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Зам директора\Ильшат\2023-2027\Корректировка на 2025-2027\"/>
    </mc:Choice>
  </mc:AlternateContent>
  <xr:revisionPtr revIDLastSave="0" documentId="8_{EB33E26E-9DC5-4703-8CFC-4F9BF0B3DB8D}" xr6:coauthVersionLast="47" xr6:coauthVersionMax="47" xr10:uidLastSave="{00000000-0000-0000-0000-000000000000}"/>
  <bookViews>
    <workbookView xWindow="3450" yWindow="75" windowWidth="33255" windowHeight="20535" tabRatio="341" xr2:uid="{00000000-000D-0000-FFFF-FFFF00000000}"/>
  </bookViews>
  <sheets>
    <sheet name="2023-2027" sheetId="1" r:id="rId1"/>
    <sheet name="08.03" sheetId="9" r:id="rId2"/>
    <sheet name="Лист1" sheetId="6" state="hidden" r:id="rId3"/>
    <sheet name="Амортизация" sheetId="8" r:id="rId4"/>
    <sheet name="2024 Предприятие01" sheetId="5" state="hidden" r:id="rId5"/>
    <sheet name="СВОД 2022-2024 год" sheetId="4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_wrn2" localSheetId="3" hidden="1">{"glc1",#N/A,FALSE,"GLC";"glc2",#N/A,FALSE,"GLC";"glc3",#N/A,FALSE,"GLC";"glc4",#N/A,FALSE,"GLC";"glc5",#N/A,FALSE,"GLC"}</definedName>
    <definedName name="_________wrn2" hidden="1">{"glc1",#N/A,FALSE,"GLC";"glc2",#N/A,FALSE,"GLC";"glc3",#N/A,FALSE,"GLC";"glc4",#N/A,FALSE,"GLC";"glc5",#N/A,FALSE,"GLC"}</definedName>
    <definedName name="_________wrn222" localSheetId="3" hidden="1">{"glc1",#N/A,FALSE,"GLC";"glc2",#N/A,FALSE,"GLC";"glc3",#N/A,FALSE,"GLC";"glc4",#N/A,FALSE,"GLC";"glc5",#N/A,FALSE,"GLC"}</definedName>
    <definedName name="_________wrn222" hidden="1">{"glc1",#N/A,FALSE,"GLC";"glc2",#N/A,FALSE,"GLC";"glc3",#N/A,FALSE,"GLC";"glc4",#N/A,FALSE,"GLC";"glc5",#N/A,FALSE,"GLC"}</definedName>
    <definedName name="________wrn2" localSheetId="3" hidden="1">{"glc1",#N/A,FALSE,"GLC";"glc2",#N/A,FALSE,"GLC";"glc3",#N/A,FALSE,"GLC";"glc4",#N/A,FALSE,"GLC";"glc5",#N/A,FALSE,"GLC"}</definedName>
    <definedName name="________wrn2" hidden="1">{"glc1",#N/A,FALSE,"GLC";"glc2",#N/A,FALSE,"GLC";"glc3",#N/A,FALSE,"GLC";"glc4",#N/A,FALSE,"GLC";"glc5",#N/A,FALSE,"GLC"}</definedName>
    <definedName name="________wrn222" localSheetId="3" hidden="1">{"glc1",#N/A,FALSE,"GLC";"glc2",#N/A,FALSE,"GLC";"glc3",#N/A,FALSE,"GLC";"glc4",#N/A,FALSE,"GLC";"glc5",#N/A,FALSE,"GLC"}</definedName>
    <definedName name="________wrn222" hidden="1">{"glc1",#N/A,FALSE,"GLC";"glc2",#N/A,FALSE,"GLC";"glc3",#N/A,FALSE,"GLC";"glc4",#N/A,FALSE,"GLC";"glc5",#N/A,FALSE,"GLC"}</definedName>
    <definedName name="________wrn3" localSheetId="3" hidden="1">{"glc1",#N/A,FALSE,"GLC";"glc2",#N/A,FALSE,"GLC";"glc3",#N/A,FALSE,"GLC";"glc4",#N/A,FALSE,"GLC";"glc5",#N/A,FALSE,"GLC"}</definedName>
    <definedName name="________wrn3" hidden="1">{"glc1",#N/A,FALSE,"GLC";"glc2",#N/A,FALSE,"GLC";"glc3",#N/A,FALSE,"GLC";"glc4",#N/A,FALSE,"GLC";"glc5",#N/A,FALSE,"GLC"}</definedName>
    <definedName name="_______wrn2" localSheetId="3" hidden="1">{"glc1",#N/A,FALSE,"GLC";"glc2",#N/A,FALSE,"GLC";"glc3",#N/A,FALSE,"GLC";"glc4",#N/A,FALSE,"GLC";"glc5",#N/A,FALSE,"GLC"}</definedName>
    <definedName name="_______wrn2" hidden="1">{"glc1",#N/A,FALSE,"GLC";"glc2",#N/A,FALSE,"GLC";"glc3",#N/A,FALSE,"GLC";"glc4",#N/A,FALSE,"GLC";"glc5",#N/A,FALSE,"GLC"}</definedName>
    <definedName name="_______wrn222" localSheetId="3" hidden="1">{"glc1",#N/A,FALSE,"GLC";"glc2",#N/A,FALSE,"GLC";"glc3",#N/A,FALSE,"GLC";"glc4",#N/A,FALSE,"GLC";"glc5",#N/A,FALSE,"GLC"}</definedName>
    <definedName name="_______wrn222" hidden="1">{"glc1",#N/A,FALSE,"GLC";"glc2",#N/A,FALSE,"GLC";"glc3",#N/A,FALSE,"GLC";"glc4",#N/A,FALSE,"GLC";"glc5",#N/A,FALSE,"GLC"}</definedName>
    <definedName name="_______wrn55" localSheetId="3" hidden="1">{"glc1",#N/A,FALSE,"GLC";"glc2",#N/A,FALSE,"GLC";"glc3",#N/A,FALSE,"GLC";"glc4",#N/A,FALSE,"GLC";"glc5",#N/A,FALSE,"GLC"}</definedName>
    <definedName name="_______wrn55" hidden="1">{"glc1",#N/A,FALSE,"GLC";"glc2",#N/A,FALSE,"GLC";"glc3",#N/A,FALSE,"GLC";"glc4",#N/A,FALSE,"GLC";"glc5",#N/A,FALSE,"GLC"}</definedName>
    <definedName name="_______цкт" localSheetId="3" hidden="1">{"glc1",#N/A,FALSE,"GLC";"glc2",#N/A,FALSE,"GLC";"glc3",#N/A,FALSE,"GLC";"glc4",#N/A,FALSE,"GLC";"glc5",#N/A,FALSE,"GLC"}</definedName>
    <definedName name="_______цкт" hidden="1">{"glc1",#N/A,FALSE,"GLC";"glc2",#N/A,FALSE,"GLC";"glc3",#N/A,FALSE,"GLC";"glc4",#N/A,FALSE,"GLC";"glc5",#N/A,FALSE,"GLC"}</definedName>
    <definedName name="______wrn2" localSheetId="3" hidden="1">{"glc1",#N/A,FALSE,"GLC";"glc2",#N/A,FALSE,"GLC";"glc3",#N/A,FALSE,"GLC";"glc4",#N/A,FALSE,"GLC";"glc5",#N/A,FALSE,"GLC"}</definedName>
    <definedName name="______wrn2" hidden="1">{"glc1",#N/A,FALSE,"GLC";"glc2",#N/A,FALSE,"GLC";"glc3",#N/A,FALSE,"GLC";"glc4",#N/A,FALSE,"GLC";"glc5",#N/A,FALSE,"GLC"}</definedName>
    <definedName name="______wrn222" localSheetId="3" hidden="1">{"glc1",#N/A,FALSE,"GLC";"glc2",#N/A,FALSE,"GLC";"glc3",#N/A,FALSE,"GLC";"glc4",#N/A,FALSE,"GLC";"glc5",#N/A,FALSE,"GLC"}</definedName>
    <definedName name="______wrn222" hidden="1">{"glc1",#N/A,FALSE,"GLC";"glc2",#N/A,FALSE,"GLC";"glc3",#N/A,FALSE,"GLC";"glc4",#N/A,FALSE,"GLC";"glc5",#N/A,FALSE,"GLC"}</definedName>
    <definedName name="_____wrn2" localSheetId="3" hidden="1">{"glc1",#N/A,FALSE,"GLC";"glc2",#N/A,FALSE,"GLC";"glc3",#N/A,FALSE,"GLC";"glc4",#N/A,FALSE,"GLC";"glc5",#N/A,FALSE,"GLC"}</definedName>
    <definedName name="_____wrn2" hidden="1">{"glc1",#N/A,FALSE,"GLC";"glc2",#N/A,FALSE,"GLC";"glc3",#N/A,FALSE,"GLC";"glc4",#N/A,FALSE,"GLC";"glc5",#N/A,FALSE,"GLC"}</definedName>
    <definedName name="_____wrn222" localSheetId="3" hidden="1">{"glc1",#N/A,FALSE,"GLC";"glc2",#N/A,FALSE,"GLC";"glc3",#N/A,FALSE,"GLC";"glc4",#N/A,FALSE,"GLC";"glc5",#N/A,FALSE,"GLC"}</definedName>
    <definedName name="_____wrn222" hidden="1">{"glc1",#N/A,FALSE,"GLC";"glc2",#N/A,FALSE,"GLC";"glc3",#N/A,FALSE,"GLC";"glc4",#N/A,FALSE,"GLC";"glc5",#N/A,FALSE,"GLC"}</definedName>
    <definedName name="____wrn2" localSheetId="3" hidden="1">{"glc1",#N/A,FALSE,"GLC";"glc2",#N/A,FALSE,"GLC";"glc3",#N/A,FALSE,"GLC";"glc4",#N/A,FALSE,"GLC";"glc5",#N/A,FALSE,"GLC"}</definedName>
    <definedName name="____wrn2" hidden="1">{"glc1",#N/A,FALSE,"GLC";"glc2",#N/A,FALSE,"GLC";"glc3",#N/A,FALSE,"GLC";"glc4",#N/A,FALSE,"GLC";"glc5",#N/A,FALSE,"GLC"}</definedName>
    <definedName name="____wrn222" localSheetId="3" hidden="1">{"glc1",#N/A,FALSE,"GLC";"glc2",#N/A,FALSE,"GLC";"glc3",#N/A,FALSE,"GLC";"glc4",#N/A,FALSE,"GLC";"glc5",#N/A,FALSE,"GLC"}</definedName>
    <definedName name="____wrn222" hidden="1">{"glc1",#N/A,FALSE,"GLC";"glc2",#N/A,FALSE,"GLC";"glc3",#N/A,FALSE,"GLC";"glc4",#N/A,FALSE,"GLC";"glc5",#N/A,FALSE,"GLC"}</definedName>
    <definedName name="___wrn2" localSheetId="3" hidden="1">{"glc1",#N/A,FALSE,"GLC";"glc2",#N/A,FALSE,"GLC";"glc3",#N/A,FALSE,"GLC";"glc4",#N/A,FALSE,"GLC";"glc5",#N/A,FALSE,"GLC"}</definedName>
    <definedName name="___wrn2" hidden="1">{"glc1",#N/A,FALSE,"GLC";"glc2",#N/A,FALSE,"GLC";"glc3",#N/A,FALSE,"GLC";"glc4",#N/A,FALSE,"GLC";"glc5",#N/A,FALSE,"GLC"}</definedName>
    <definedName name="___wrn222" localSheetId="3" hidden="1">{"glc1",#N/A,FALSE,"GLC";"glc2",#N/A,FALSE,"GLC";"glc3",#N/A,FALSE,"GLC";"glc4",#N/A,FALSE,"GLC";"glc5",#N/A,FALSE,"GLC"}</definedName>
    <definedName name="___wrn222" hidden="1">{"glc1",#N/A,FALSE,"GLC";"glc2",#N/A,FALSE,"GLC";"glc3",#N/A,FALSE,"GLC";"glc4",#N/A,FALSE,"GLC";"glc5",#N/A,FALSE,"GLC"}</definedName>
    <definedName name="__1__123Graph_ACHART_4" localSheetId="3" hidden="1">#REF!</definedName>
    <definedName name="__1__123Graph_ACHART_4" hidden="1">#REF!</definedName>
    <definedName name="__123Graph_AGRAPH1" localSheetId="3" hidden="1">#REF!</definedName>
    <definedName name="__123Graph_AGRAPH1" hidden="1">#REF!</definedName>
    <definedName name="__123Graph_AGRAPH2" localSheetId="3" hidden="1">#REF!</definedName>
    <definedName name="__123Graph_AGRAPH2" hidden="1">#REF!</definedName>
    <definedName name="__123Graph_BGRAPH1" hidden="1">#REF!</definedName>
    <definedName name="__123Graph_BGRAPH2" hidden="1">#REF!</definedName>
    <definedName name="__123Graph_CGRAPH1" hidden="1">#REF!</definedName>
    <definedName name="__123Graph_CGRAPH2" hidden="1">#REF!</definedName>
    <definedName name="__123Graph_LBL_AGRAPH1" hidden="1">#REF!</definedName>
    <definedName name="__123Graph_XGRAPH1" hidden="1">#REF!</definedName>
    <definedName name="__123Graph_XGRAPH2" hidden="1">#REF!</definedName>
    <definedName name="__2__123Graph_XCHART_3" localSheetId="3" hidden="1">#REF!</definedName>
    <definedName name="__2__123Graph_XCHART_3" hidden="1">#REF!</definedName>
    <definedName name="__3__123Graph_XCHART_4" localSheetId="3" hidden="1">#REF!</definedName>
    <definedName name="__3__123Graph_XCHART_4" hidden="1">#REF!</definedName>
    <definedName name="__wrn2" localSheetId="3" hidden="1">{"glc1",#N/A,FALSE,"GLC";"glc2",#N/A,FALSE,"GLC";"glc3",#N/A,FALSE,"GLC";"glc4",#N/A,FALSE,"GLC";"glc5",#N/A,FALSE,"GLC"}</definedName>
    <definedName name="__wrn2" hidden="1">{"glc1",#N/A,FALSE,"GLC";"glc2",#N/A,FALSE,"GLC";"glc3",#N/A,FALSE,"GLC";"glc4",#N/A,FALSE,"GLC";"glc5",#N/A,FALSE,"GLC"}</definedName>
    <definedName name="__wrn222" localSheetId="3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1__123Graph_ACHART_4" localSheetId="3" hidden="1">#REF!</definedName>
    <definedName name="_1__123Graph_ACHART_4" hidden="1">#REF!</definedName>
    <definedName name="_1__123Graph_XCHART_4" localSheetId="3" hidden="1">#REF!</definedName>
    <definedName name="_1__123Graph_XCHART_4" hidden="1">#REF!</definedName>
    <definedName name="_123" localSheetId="3" hidden="1">#REF!</definedName>
    <definedName name="_123" hidden="1">#REF!</definedName>
    <definedName name="_2__123Graph_XCHART_3" localSheetId="3" hidden="1">#REF!</definedName>
    <definedName name="_2__123Graph_XCHART_3" hidden="1">#REF!</definedName>
    <definedName name="_3__123Graph_XCHART_4" localSheetId="3" hidden="1">#REF!</definedName>
    <definedName name="_3__123Graph_XCHART_4" hidden="1">#REF!</definedName>
    <definedName name="_wrn2" localSheetId="3" hidden="1">{"glc1",#N/A,FALSE,"GLC";"glc2",#N/A,FALSE,"GLC";"glc3",#N/A,FALSE,"GLC";"glc4",#N/A,FALSE,"GLC";"glc5",#N/A,FALSE,"GLC"}</definedName>
    <definedName name="_wrn2" hidden="1">{"glc1",#N/A,FALSE,"GLC";"glc2",#N/A,FALSE,"GLC";"glc3",#N/A,FALSE,"GLC";"glc4",#N/A,FALSE,"GLC";"glc5",#N/A,FALSE,"GLC"}</definedName>
    <definedName name="_wrn222" localSheetId="3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xlnm._FilterDatabase" localSheetId="1" hidden="1">'08.03'!$A$9:$G$83</definedName>
    <definedName name="_xlnm._FilterDatabase" localSheetId="0" hidden="1">'2023-2027'!$A$2:$DB$697</definedName>
    <definedName name="_xlnm._FilterDatabase" localSheetId="4" hidden="1">'2024 Предприятие01'!$A$3:$BW$670</definedName>
    <definedName name="_xlnm._FilterDatabase" localSheetId="5" hidden="1">'СВОД 2022-2024 год'!$A$7:$BH$1077</definedName>
    <definedName name="AI_Version">#REF!</definedName>
    <definedName name="anscount" hidden="1">1</definedName>
    <definedName name="AS2DocOpenMode" hidden="1">"AS2DocumentEdit"</definedName>
    <definedName name="BLPH1" hidden="1">#REF!</definedName>
    <definedName name="BLPH2" hidden="1">#REF!</definedName>
    <definedName name="BossProviderVariable?_2aa5fdef_010c_4319_b31e_81ae8e7abc76" hidden="1">"25_01_2006"</definedName>
    <definedName name="BossProviderVariable?_60040dbb_350c_45f1_bd95_27a5a206b77c" hidden="1">"25_01_2006"</definedName>
    <definedName name="BossProviderVariable?_65223c16_9c65_468f_97aa_1fd4eba1b0ed" hidden="1">"25_01_2006"</definedName>
    <definedName name="BossProviderVariable?_c583db4b_26f3_4f93_a1e6_cb4b6f473155" hidden="1">"25_01_2006"</definedName>
    <definedName name="BossProviderVariable?_fb090bd1_c5b7_4ee0_bd5d_77060141cff5" hidden="1">"25_01_2006"</definedName>
    <definedName name="BossProviderVariable?_fc80497d_2800_402a_8235_c79ffb3c8ab8" hidden="1">"25_01_2006"</definedName>
    <definedName name="CalcMethod">#REF!</definedName>
    <definedName name="DaNet">#REF!</definedName>
    <definedName name="ghbdtn" localSheetId="3" hidden="1">{"glc1",#N/A,FALSE,"GLC";"glc2",#N/A,FALSE,"GLC";"glc3",#N/A,FALSE,"GLC";"glc4",#N/A,FALSE,"GLC";"glc5",#N/A,FALSE,"GLC"}</definedName>
    <definedName name="ghbdtn" hidden="1">{"glc1",#N/A,FALSE,"GLC";"glc2",#N/A,FALSE,"GLC";"glc3",#N/A,FALSE,"GLC";"glc4",#N/A,FALSE,"GLC";"glc5",#N/A,FALSE,"GLC"}</definedName>
    <definedName name="hhv" localSheetId="3" hidden="1">#REF!</definedName>
    <definedName name="hhv" hidden="1">#REF!</definedName>
    <definedName name="Irtysh">#REF!</definedName>
    <definedName name="IS_DEMO">#REF!</definedName>
    <definedName name="IS_ESTATE">#REF!</definedName>
    <definedName name="IS_SUMM">#REF!</definedName>
    <definedName name="IS_TRIAL">#REF!</definedName>
    <definedName name="KTP" localSheetId="3">#REF!</definedName>
    <definedName name="KTP">#REF!</definedName>
    <definedName name="kW_а_ген1" localSheetId="3">#REF!</definedName>
    <definedName name="kW_а_ген1">#REF!</definedName>
    <definedName name="kW_а_ген3" localSheetId="3">#REF!</definedName>
    <definedName name="kW_а_ген3">#REF!</definedName>
    <definedName name="LanguageID">#REF!</definedName>
    <definedName name="line">#REF!</definedName>
    <definedName name="month_list">#REF!</definedName>
    <definedName name="MR_LIST">#REF!</definedName>
    <definedName name="nds">#REF!</definedName>
    <definedName name="№25" localSheetId="3" hidden="1">{"glc1",#N/A,FALSE,"GLC";"glc2",#N/A,FALSE,"GLC";"glc3",#N/A,FALSE,"GLC";"glc4",#N/A,FALSE,"GLC";"glc5",#N/A,FALSE,"GLC"}</definedName>
    <definedName name="№25" hidden="1">{"glc1",#N/A,FALSE,"GLC";"glc2",#N/A,FALSE,"GLC";"glc3",#N/A,FALSE,"GLC";"glc4",#N/A,FALSE,"GLC";"glc5",#N/A,FALSE,"GLC"}</definedName>
    <definedName name="№30" localSheetId="3" hidden="1">{"glc1",#N/A,FALSE,"GLC";"glc2",#N/A,FALSE,"GLC";"glc3",#N/A,FALSE,"GLC";"glc4",#N/A,FALSE,"GLC";"glc5",#N/A,FALSE,"GLC"}</definedName>
    <definedName name="№30" hidden="1">{"glc1",#N/A,FALSE,"GLC";"glc2",#N/A,FALSE,"GLC";"glc3",#N/A,FALSE,"GLC";"glc4",#N/A,FALSE,"GLC";"glc5",#N/A,FALSE,"GLC"}</definedName>
    <definedName name="P1_dip" hidden="1">#REF!,#REF!,#REF!,#REF!,#REF!,#REF!,#REF!</definedName>
    <definedName name="P1_eso" hidden="1">#REF!,#REF!,#REF!,#REF!,#REF!,#REF!,#REF!</definedName>
    <definedName name="P1_ESO_PROT" localSheetId="3" hidden="1">#REF!,#REF!,#REF!,#REF!,#REF!,#REF!,#REF!,#REF!</definedName>
    <definedName name="P1_ESO_PROT" hidden="1">#REF!,#REF!,#REF!,#REF!,#REF!,#REF!,#REF!,#REF!</definedName>
    <definedName name="P1_net" hidden="1">#REF!,#REF!,#REF!,#REF!,#REF!,#REF!,#REF!</definedName>
    <definedName name="P1_SBT_PROT" localSheetId="3" hidden="1">#REF!,#REF!,#REF!,#REF!,#REF!,#REF!,#REF!</definedName>
    <definedName name="P1_SBT_PROT" hidden="1">#REF!,#REF!,#REF!,#REF!,#REF!,#REF!,#REF!</definedName>
    <definedName name="P1_SC_CLR" localSheetId="3" hidden="1">#REF!,#REF!,#REF!,#REF!,#REF!</definedName>
    <definedName name="P1_SC_CLR" hidden="1">#REF!,#REF!,#REF!,#REF!,#REF!</definedName>
    <definedName name="P1_SC22" localSheetId="3" hidden="1">#REF!,#REF!,#REF!,#REF!,#REF!,#REF!</definedName>
    <definedName name="P1_SC22" hidden="1">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localSheetId="3" hidden="1">#REF!,#REF!,#REF!,#REF!,#REF!,#REF!,#REF!</definedName>
    <definedName name="P1_SCOPE_CORR" hidden="1">#REF!,#REF!,#REF!,#REF!,#REF!,#REF!,#REF!</definedName>
    <definedName name="P1_SCOPE_DOP" localSheetId="3" hidden="1">#REF!,#REF!,#REF!,#REF!,#REF!,#REF!</definedName>
    <definedName name="P1_SCOPE_DOP" hidden="1">#REF!,#REF!,#REF!,#REF!,#REF!,#REF!</definedName>
    <definedName name="P1_SCOPE_F1_PRT" hidden="1">#REF!,#REF!,#REF!,#REF!</definedName>
    <definedName name="P1_SCOPE_F2_PRT" hidden="1">#REF!,#REF!,#REF!,#REF!</definedName>
    <definedName name="P1_SCOPE_FLOAD" localSheetId="3" hidden="1">#REF!,#REF!,#REF!,#REF!,#REF!,#REF!</definedName>
    <definedName name="P1_SCOPE_FLOAD" hidden="1">#REF!,#REF!,#REF!,#REF!,#REF!,#REF!</definedName>
    <definedName name="P1_SCOPE_FRML" localSheetId="3" hidden="1">#REF!,#REF!,#REF!,#REF!,#REF!,#REF!</definedName>
    <definedName name="P1_SCOPE_FRML" hidden="1">#REF!,#REF!,#REF!,#REF!,#REF!,#REF!</definedName>
    <definedName name="P1_SCOPE_FST7" localSheetId="3" hidden="1">#REF!,#REF!,#REF!,#REF!,#REF!,#REF!</definedName>
    <definedName name="P1_SCOPE_FST7" hidden="1">#REF!,#REF!,#REF!,#REF!,#REF!,#REF!</definedName>
    <definedName name="P1_SCOPE_FULL_LOAD" localSheetId="3" hidden="1">#REF!,#REF!,#REF!,#REF!,#REF!,#REF!</definedName>
    <definedName name="P1_SCOPE_FULL_LOAD" hidden="1">#REF!,#REF!,#REF!,#REF!,#REF!,#REF!</definedName>
    <definedName name="P1_SCOPE_IND" localSheetId="3" hidden="1">#REF!,#REF!,#REF!,#REF!,#REF!,#REF!</definedName>
    <definedName name="P1_SCOPE_IND" hidden="1">#REF!,#REF!,#REF!,#REF!,#REF!,#REF!</definedName>
    <definedName name="P1_SCOPE_IND2" localSheetId="3" hidden="1">#REF!,#REF!,#REF!,#REF!,#REF!</definedName>
    <definedName name="P1_SCOPE_IND2" hidden="1">#REF!,#REF!,#REF!,#REF!,#REF!</definedName>
    <definedName name="P1_SCOPE_NOTIND" localSheetId="3" hidden="1">#REF!,#REF!,#REF!,#REF!,#REF!,#REF!</definedName>
    <definedName name="P1_SCOPE_NOTIND" hidden="1">#REF!,#REF!,#REF!,#REF!,#REF!,#REF!</definedName>
    <definedName name="P1_SCOPE_NotInd2" localSheetId="3" hidden="1">#REF!,#REF!,#REF!,#REF!,#REF!,#REF!,#REF!</definedName>
    <definedName name="P1_SCOPE_NotInd2" hidden="1">#REF!,#REF!,#REF!,#REF!,#REF!,#REF!,#REF!</definedName>
    <definedName name="P1_SCOPE_NotInd3" localSheetId="3" hidden="1">#REF!,#REF!,#REF!,#REF!,#REF!,#REF!,#REF!</definedName>
    <definedName name="P1_SCOPE_NotInd3" hidden="1">#REF!,#REF!,#REF!,#REF!,#REF!,#REF!,#REF!</definedName>
    <definedName name="P1_SCOPE_NotInt" localSheetId="3" hidden="1">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localSheetId="3" hidden="1">#REF!,#REF!,#REF!,#REF!,#REF!,#REF!,#REF!</definedName>
    <definedName name="P1_SCOPE_SAVE2" hidden="1">#REF!,#REF!,#REF!,#REF!,#REF!,#REF!,#REF!</definedName>
    <definedName name="P1_SCOPE_SV_LD" localSheetId="3" hidden="1">#REF!,#REF!,#REF!,#REF!,#REF!,#REF!,#REF!</definedName>
    <definedName name="P1_SCOPE_SV_LD" hidden="1">#REF!,#REF!,#REF!,#REF!,#REF!,#REF!,#REF!</definedName>
    <definedName name="P1_SCOPE_SV_LD1" localSheetId="3" hidden="1">#REF!,#REF!,#REF!,#REF!,#REF!,#REF!,#REF!</definedName>
    <definedName name="P1_SCOPE_SV_LD1" hidden="1">#REF!,#REF!,#REF!,#REF!,#REF!,#REF!,#REF!</definedName>
    <definedName name="P1_SCOPE_SV_PRT" localSheetId="3" hidden="1">#REF!,#REF!,#REF!,#REF!,#REF!,#REF!,#REF!</definedName>
    <definedName name="P1_SCOPE_SV_PRT" hidden="1">#REF!,#REF!,#REF!,#REF!,#REF!,#REF!,#REF!</definedName>
    <definedName name="P1_SET_PROT" localSheetId="3" hidden="1">#REF!,#REF!,#REF!,#REF!,#REF!,#REF!,#REF!</definedName>
    <definedName name="P1_SET_PROT" hidden="1">#REF!,#REF!,#REF!,#REF!,#REF!,#REF!,#REF!</definedName>
    <definedName name="P1_SET_PRT" localSheetId="3" hidden="1">#REF!,#REF!,#REF!,#REF!,#REF!,#REF!,#REF!</definedName>
    <definedName name="P1_SET_PRT" hidden="1">#REF!,#REF!,#REF!,#REF!,#REF!,#REF!,#REF!</definedName>
    <definedName name="P1_T1_Protect" localSheetId="3" hidden="1">#REF!,#REF!,#REF!,#REF!,#REF!,#REF!</definedName>
    <definedName name="P1_T1_Protect" hidden="1">#REF!,#REF!,#REF!,#REF!,#REF!,#REF!</definedName>
    <definedName name="P1_T16?axis?R?ДОГОВОР" hidden="1">#REF!,#REF!,#REF!,#REF!,#REF!,#REF!,#REF!,#REF!,#REF!,#REF!,#REF!</definedName>
    <definedName name="P1_T16?axis?R?ДОГОВОР?" hidden="1">#REF!,#REF!,#REF!,#REF!,#REF!,#REF!,#REF!,#REF!,#REF!,#REF!,#REF!,#REF!,#REF!,#REF!,#REF!,#REF!,#REF!</definedName>
    <definedName name="P1_T16?L1" hidden="1">#REF!,#REF!,#REF!,#REF!,#REF!,#REF!,#REF!,#REF!,#REF!,#REF!,#REF!</definedName>
    <definedName name="P1_T16?L1.x" hidden="1">#REF!,#REF!,#REF!,#REF!,#REF!,#REF!,#REF!,#REF!,#REF!,#REF!,#REF!</definedName>
    <definedName name="P1_T16_Protect" localSheetId="3" hidden="1">#REF!,#REF!,#REF!,#REF!,#REF!,#REF!,#REF!,#REF!</definedName>
    <definedName name="P1_T16_Protect" hidden="1">#REF!,#REF!,#REF!,#REF!,#REF!,#REF!,#REF!,#REF!</definedName>
    <definedName name="P1_T18.2_Protect" localSheetId="3" hidden="1">#REF!,#REF!,#REF!,#REF!,#REF!,#REF!,#REF!</definedName>
    <definedName name="P1_T18.2_Protect" hidden="1">#REF!,#REF!,#REF!,#REF!,#REF!,#REF!,#REF!</definedName>
    <definedName name="P1_T20_Protection" hidden="1">#REF!,#REF!,#REF!,#REF!,#REF!,#REF!,#REF!,#REF!,#REF!</definedName>
    <definedName name="P1_T4_Protect" localSheetId="3" hidden="1">#REF!,#REF!,#REF!,#REF!,#REF!,#REF!,#REF!,#REF!,#REF!</definedName>
    <definedName name="P1_T4_Protect" hidden="1">#REF!,#REF!,#REF!,#REF!,#REF!,#REF!,#REF!,#REF!,#REF!</definedName>
    <definedName name="P1_T6_Protect" localSheetId="3" hidden="1">#REF!,#REF!,#REF!,#REF!,#REF!,#REF!,#REF!,#REF!,#REF!</definedName>
    <definedName name="P1_T6_Protect" hidden="1">#REF!,#REF!,#REF!,#REF!,#REF!,#REF!,#REF!,#REF!,#REF!</definedName>
    <definedName name="P10_SCOPE_FULL_LOAD" localSheetId="3" hidden="1">#REF!,#REF!,#REF!,#REF!,#REF!,#REF!</definedName>
    <definedName name="P10_SCOPE_FULL_LOAD" hidden="1">#REF!,#REF!,#REF!,#REF!,#REF!,#REF!</definedName>
    <definedName name="P10_T1_Protect" localSheetId="3" hidden="1">#REF!,#REF!,#REF!,#REF!,#REF!</definedName>
    <definedName name="P10_T1_Protect" hidden="1">#REF!,#REF!,#REF!,#REF!,#REF!</definedName>
    <definedName name="P11_SCOPE_FULL_LOAD" localSheetId="3" hidden="1">#REF!,#REF!,#REF!,#REF!,#REF!</definedName>
    <definedName name="P11_SCOPE_FULL_LOAD" hidden="1">#REF!,#REF!,#REF!,#REF!,#REF!</definedName>
    <definedName name="P11_T1_Protect" localSheetId="3" hidden="1">#REF!,#REF!,#REF!,#REF!,#REF!</definedName>
    <definedName name="P11_T1_Protect" hidden="1">#REF!,#REF!,#REF!,#REF!,#REF!</definedName>
    <definedName name="P12_SCOPE_FULL_LOAD" localSheetId="3" hidden="1">#REF!,#REF!,#REF!,#REF!,#REF!,#REF!</definedName>
    <definedName name="P12_SCOPE_FULL_LOAD" hidden="1">#REF!,#REF!,#REF!,#REF!,#REF!,#REF!</definedName>
    <definedName name="P12_T1_Protect" localSheetId="3" hidden="1">#REF!,#REF!,#REF!,#REF!,#REF!</definedName>
    <definedName name="P12_T1_Protect" hidden="1">#REF!,#REF!,#REF!,#REF!,#REF!</definedName>
    <definedName name="P13_SCOPE_FULL_LOAD" localSheetId="3" hidden="1">#REF!,#REF!,#REF!,#REF!,#REF!,#REF!</definedName>
    <definedName name="P13_SCOPE_FULL_LOAD" hidden="1">#REF!,#REF!,#REF!,#REF!,#REF!,#REF!</definedName>
    <definedName name="P13_T1_Protect" localSheetId="3" hidden="1">#REF!,#REF!,#REF!,#REF!,#REF!</definedName>
    <definedName name="P13_T1_Protect" hidden="1">#REF!,#REF!,#REF!,#REF!,#REF!</definedName>
    <definedName name="P14_SCOPE_FULL_LOAD" localSheetId="3" hidden="1">#REF!,#REF!,#REF!,#REF!,#REF!,#REF!</definedName>
    <definedName name="P14_SCOPE_FULL_LOAD" hidden="1">#REF!,#REF!,#REF!,#REF!,#REF!,#REF!</definedName>
    <definedName name="P14_T1_Protect" localSheetId="3" hidden="1">#REF!,#REF!,#REF!,#REF!,#REF!</definedName>
    <definedName name="P14_T1_Protect" hidden="1">#REF!,#REF!,#REF!,#REF!,#REF!</definedName>
    <definedName name="P15_SCOPE_FULL_LOAD" localSheetId="3" hidden="1">#REF!,#REF!,#REF!,#REF!,#REF!,Амортизация!P1_SCOPE_FULL_LOAD</definedName>
    <definedName name="P15_SCOPE_FULL_LOAD" hidden="1">#REF!,#REF!,#REF!,#REF!,#REF!,P1_SCOPE_FULL_LOAD</definedName>
    <definedName name="P15_T1_Protect" localSheetId="3" hidden="1">#REF!,#REF!,#REF!,#REF!,#REF!</definedName>
    <definedName name="P15_T1_Protect" hidden="1">#REF!,#REF!,#REF!,#REF!,#REF!</definedName>
    <definedName name="P16_SCOPE_FULL_LOAD" hidden="1">#REF!,#REF!,#REF!,#REF!,#REF!,#REF!,#REF!</definedName>
    <definedName name="P16_T1_Protect" localSheetId="3" hidden="1">#REF!,#REF!,#REF!,#REF!,#REF!,#REF!</definedName>
    <definedName name="P16_T1_Protect" hidden="1">#REF!,#REF!,#REF!,#REF!,#REF!,#REF!</definedName>
    <definedName name="P17_SCOPE_FULL_LOAD" localSheetId="3" hidden="1">#REF!,Амортизация!P10_SCOPE_FULL_LOAD,Амортизация!P11_SCOPE_FULL_LOAD,Амортизация!P12_SCOPE_FULL_LOAD,Амортизация!P13_SCOPE_FULL_LOAD,Амортизация!P14_SCOPE_FULL_LOAD,Амортизация!P15_SCOPE_FULL_LOAD</definedName>
    <definedName name="P17_SCOPE_FULL_LOAD" hidden="1">#REF!,P10_SCOPE_FULL_LOAD,P11_SCOPE_FULL_LOAD,P12_SCOPE_FULL_LOAD,P13_SCOPE_FULL_LOAD,P14_SCOPE_FULL_LOAD,P15_SCOPE_FULL_LOAD</definedName>
    <definedName name="P17_T1_Protect" localSheetId="3" hidden="1">#REF!,#REF!,#REF!,#REF!,#REF!</definedName>
    <definedName name="P17_T1_Protect" hidden="1">#REF!,#REF!,#REF!,#REF!,#REF!</definedName>
    <definedName name="P19_T1_Protect" hidden="1">#N/A</definedName>
    <definedName name="P2_dip" hidden="1">#REF!,#REF!,#REF!,#REF!,#REF!,#REF!,#REF!</definedName>
    <definedName name="P2_SC_CLR" localSheetId="3" hidden="1">#REF!,#REF!,#REF!,#REF!,#REF!</definedName>
    <definedName name="P2_SC_CLR" hidden="1">#REF!,#REF!,#REF!,#REF!,#REF!</definedName>
    <definedName name="P2_SC22" localSheetId="3" hidden="1">#REF!,#REF!,#REF!,#REF!,#REF!,#REF!,#REF!</definedName>
    <definedName name="P2_SC22" hidden="1">#REF!,#REF!,#REF!,#REF!,#REF!,#REF!,#REF!</definedName>
    <definedName name="P2_SCOPE_16_PRT" hidden="1">#REF!,#REF!,#REF!,#REF!,#REF!,#REF!,#REF!,#REF!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localSheetId="3" hidden="1">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localSheetId="3" hidden="1">#REF!,#REF!,#REF!,#REF!,#REF!,#REF!</definedName>
    <definedName name="P2_SCOPE_FULL_LOAD" hidden="1">#REF!,#REF!,#REF!,#REF!,#REF!,#REF!</definedName>
    <definedName name="P2_SCOPE_IND" localSheetId="3" hidden="1">#REF!,#REF!,#REF!,#REF!,#REF!,#REF!</definedName>
    <definedName name="P2_SCOPE_IND" hidden="1">#REF!,#REF!,#REF!,#REF!,#REF!,#REF!</definedName>
    <definedName name="P2_SCOPE_IND2" localSheetId="3" hidden="1">#REF!,#REF!,#REF!,#REF!,#REF!</definedName>
    <definedName name="P2_SCOPE_IND2" hidden="1">#REF!,#REF!,#REF!,#REF!,#REF!</definedName>
    <definedName name="P2_SCOPE_NOTIND" localSheetId="3" hidden="1">#REF!,#REF!,#REF!,#REF!,#REF!,#REF!,#REF!</definedName>
    <definedName name="P2_SCOPE_NOTIND" hidden="1">#REF!,#REF!,#REF!,#REF!,#REF!,#REF!,#REF!</definedName>
    <definedName name="P2_SCOPE_NotInd2" localSheetId="3" hidden="1">#REF!,#REF!,#REF!,#REF!,#REF!,#REF!</definedName>
    <definedName name="P2_SCOPE_NotInd2" hidden="1">#REF!,#REF!,#REF!,#REF!,#REF!,#REF!</definedName>
    <definedName name="P2_SCOPE_NotInd3" localSheetId="3" hidden="1">#REF!,#REF!,#REF!,#REF!,#REF!,#REF!,#REF!</definedName>
    <definedName name="P2_SCOPE_NotInd3" hidden="1">#REF!,#REF!,#REF!,#REF!,#REF!,#REF!,#REF!</definedName>
    <definedName name="P2_SCOPE_NotInt" localSheetId="3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localSheetId="3" hidden="1">#REF!,#REF!,#REF!,#REF!,#REF!,#REF!</definedName>
    <definedName name="P2_SCOPE_SAVE2" hidden="1">#REF!,#REF!,#REF!,#REF!,#REF!,#REF!</definedName>
    <definedName name="P2_SCOPE_SV_PRT" localSheetId="3" hidden="1">#REF!,#REF!,#REF!,#REF!,#REF!,#REF!,#REF!</definedName>
    <definedName name="P2_SCOPE_SV_PRT" hidden="1">#REF!,#REF!,#REF!,#REF!,#REF!,#REF!,#REF!</definedName>
    <definedName name="P2_T1_Protect" localSheetId="3" hidden="1">#REF!,#REF!,#REF!,#REF!,#REF!,#REF!</definedName>
    <definedName name="P2_T1_Protect" hidden="1">#REF!,#REF!,#REF!,#REF!,#REF!,#REF!</definedName>
    <definedName name="P2_T4_Protect" localSheetId="3" hidden="1">#REF!,#REF!,#REF!,#REF!,#REF!,#REF!,#REF!,#REF!,#REF!</definedName>
    <definedName name="P2_T4_Protect" hidden="1">#REF!,#REF!,#REF!,#REF!,#REF!,#REF!,#REF!,#REF!,#REF!</definedName>
    <definedName name="P3_dip" hidden="1">#REF!,#REF!,#REF!,#REF!,#REF!,#REF!,#REF!,#REF!</definedName>
    <definedName name="P3_SC22" localSheetId="3" hidden="1">#REF!,#REF!,#REF!,#REF!,#REF!,#REF!</definedName>
    <definedName name="P3_SC22" hidden="1">#REF!,#REF!,#REF!,#REF!,#REF!,#REF!</definedName>
    <definedName name="P3_SCOPE_F1_PRT" hidden="1">#REF!,#REF!,#REF!,#REF!</definedName>
    <definedName name="P3_SCOPE_FULL_LOAD" localSheetId="3" hidden="1">#REF!,#REF!,#REF!,#REF!,#REF!,#REF!</definedName>
    <definedName name="P3_SCOPE_FULL_LOAD" hidden="1">#REF!,#REF!,#REF!,#REF!,#REF!,#REF!</definedName>
    <definedName name="P3_SCOPE_IND" localSheetId="3" hidden="1">#REF!,#REF!,#REF!,#REF!,#REF!</definedName>
    <definedName name="P3_SCOPE_IND" hidden="1">#REF!,#REF!,#REF!,#REF!,#REF!</definedName>
    <definedName name="P3_SCOPE_IND2" localSheetId="3" hidden="1">#REF!,#REF!,#REF!,#REF!,#REF!</definedName>
    <definedName name="P3_SCOPE_IND2" hidden="1">#REF!,#REF!,#REF!,#REF!,#REF!</definedName>
    <definedName name="P3_SCOPE_NOTIND" localSheetId="3" hidden="1">#REF!,#REF!,#REF!,#REF!,#REF!,#REF!,#REF!</definedName>
    <definedName name="P3_SCOPE_NOTIND" hidden="1">#REF!,#REF!,#REF!,#REF!,#REF!,#REF!,#REF!</definedName>
    <definedName name="P3_SCOPE_NotInd2" localSheetId="3" hidden="1">#REF!,#REF!,#REF!,#REF!,#REF!,#REF!,#REF!</definedName>
    <definedName name="P3_SCOPE_NotInd2" hidden="1">#REF!,#REF!,#REF!,#REF!,#REF!,#REF!,#REF!</definedName>
    <definedName name="P3_SCOPE_NotInt" localSheetId="3" hidden="1">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 localSheetId="3" hidden="1">#REF!,#REF!,#REF!,#REF!,#REF!,#REF!,#REF!</definedName>
    <definedName name="P3_SCOPE_SV_PRT" hidden="1">#REF!,#REF!,#REF!,#REF!,#REF!,#REF!,#REF!</definedName>
    <definedName name="P3_T1_Protect" localSheetId="3" hidden="1">#REF!,#REF!,#REF!,#REF!,#REF!</definedName>
    <definedName name="P3_T1_Protect" hidden="1">#REF!,#REF!,#REF!,#REF!,#REF!</definedName>
    <definedName name="P4_dip" hidden="1">#REF!,#REF!,#REF!,#REF!,#REF!,#REF!,#REF!,#REF!</definedName>
    <definedName name="P4_SCOPE_F1_PRT" hidden="1">#REF!,#REF!,#REF!,#REF!</definedName>
    <definedName name="P4_SCOPE_FULL_LOAD" localSheetId="3" hidden="1">#REF!,#REF!,#REF!,#REF!,#REF!,#REF!</definedName>
    <definedName name="P4_SCOPE_FULL_LOAD" hidden="1">#REF!,#REF!,#REF!,#REF!,#REF!,#REF!</definedName>
    <definedName name="P4_SCOPE_IND" localSheetId="3" hidden="1">#REF!,#REF!,#REF!,#REF!,#REF!</definedName>
    <definedName name="P4_SCOPE_IND" hidden="1">#REF!,#REF!,#REF!,#REF!,#REF!</definedName>
    <definedName name="P4_SCOPE_IND2" localSheetId="3" hidden="1">#REF!,#REF!,#REF!,#REF!,#REF!,#REF!</definedName>
    <definedName name="P4_SCOPE_IND2" hidden="1">#REF!,#REF!,#REF!,#REF!,#REF!,#REF!</definedName>
    <definedName name="P4_SCOPE_NOTIND" localSheetId="3" hidden="1">#REF!,#REF!,#REF!,#REF!,#REF!,#REF!,#REF!</definedName>
    <definedName name="P4_SCOPE_NOTIND" hidden="1">#REF!,#REF!,#REF!,#REF!,#REF!,#REF!,#REF!</definedName>
    <definedName name="P4_SCOPE_NotInd2" localSheetId="3" hidden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localSheetId="3" hidden="1">#REF!,#REF!,#REF!,#REF!,#REF!,#REF!</definedName>
    <definedName name="P4_T1_Protect" hidden="1">#REF!,#REF!,#REF!,#REF!,#REF!,#REF!</definedName>
    <definedName name="P5_SCOPE_FULL_LOAD" localSheetId="3" hidden="1">#REF!,#REF!,#REF!,#REF!,#REF!,#REF!</definedName>
    <definedName name="P5_SCOPE_FULL_LOAD" hidden="1">#REF!,#REF!,#REF!,#REF!,#REF!,#REF!</definedName>
    <definedName name="P5_SCOPE_NOTIND" localSheetId="3" hidden="1">#REF!,#REF!,#REF!,#REF!,#REF!,#REF!,#REF!</definedName>
    <definedName name="P5_SCOPE_NOTIND" hidden="1">#REF!,#REF!,#REF!,#REF!,#REF!,#REF!,#REF!</definedName>
    <definedName name="P5_SCOPE_NotInd2" localSheetId="3" hidden="1">#REF!,#REF!,#REF!,#REF!,#REF!,#REF!,#REF!</definedName>
    <definedName name="P5_SCOPE_NotInd2" hidden="1">#REF!,#REF!,#REF!,#REF!,#REF!,#REF!,#REF!</definedName>
    <definedName name="P5_SCOPE_PER_PRT" hidden="1">#REF!,#REF!,#REF!,#REF!,#REF!</definedName>
    <definedName name="P5_T1_Protect" localSheetId="3" hidden="1">#REF!,#REF!,#REF!,#REF!,#REF!</definedName>
    <definedName name="P5_T1_Protect" hidden="1">#REF!,#REF!,#REF!,#REF!,#REF!</definedName>
    <definedName name="P6_SCOPE_FULL_LOAD" localSheetId="3" hidden="1">#REF!,#REF!,#REF!,#REF!,#REF!,#REF!</definedName>
    <definedName name="P6_SCOPE_FULL_LOAD" hidden="1">#REF!,#REF!,#REF!,#REF!,#REF!,#REF!</definedName>
    <definedName name="P6_SCOPE_NOTIND" localSheetId="3" hidden="1">#REF!,#REF!,#REF!,#REF!,#REF!,#REF!,#REF!</definedName>
    <definedName name="P6_SCOPE_NOTIND" hidden="1">#REF!,#REF!,#REF!,#REF!,#REF!,#REF!,#REF!</definedName>
    <definedName name="P6_SCOPE_NotInd2" localSheetId="3" hidden="1">#REF!,#REF!,#REF!,#REF!,#REF!,#REF!,#REF!</definedName>
    <definedName name="P6_SCOPE_NotInd2" hidden="1">#REF!,#REF!,#REF!,#REF!,#REF!,#REF!,#REF!</definedName>
    <definedName name="P6_SCOPE_PER_PRT" hidden="1">#REF!,#REF!,#REF!,#REF!,#REF!</definedName>
    <definedName name="P6_T1_Protect" localSheetId="3" hidden="1">#REF!,#REF!,#REF!,#REF!,#REF!</definedName>
    <definedName name="P6_T1_Protect" hidden="1">#REF!,#REF!,#REF!,#REF!,#REF!</definedName>
    <definedName name="P7_SCOPE_FULL_LOAD" localSheetId="3" hidden="1">#REF!,#REF!,#REF!,#REF!,#REF!,#REF!</definedName>
    <definedName name="P7_SCOPE_FULL_LOAD" hidden="1">#REF!,#REF!,#REF!,#REF!,#REF!,#REF!</definedName>
    <definedName name="P7_SCOPE_NOTIND" localSheetId="3" hidden="1">#REF!,#REF!,#REF!,#REF!,#REF!,#REF!</definedName>
    <definedName name="P7_SCOPE_NOTIND" hidden="1">#REF!,#REF!,#REF!,#REF!,#REF!,#REF!</definedName>
    <definedName name="P7_SCOPE_NotInd2" localSheetId="3" hidden="1">#REF!,#REF!,#REF!,#REF!,#REF!,Амортизация!P1_SCOPE_NotInd2,Амортизация!P2_SCOPE_NotInd2,Амортизация!P3_SCOPE_NotInd2</definedName>
    <definedName name="P7_SCOPE_NotInd2" hidden="1">#REF!,#REF!,#REF!,#REF!,#REF!,P1_SCOPE_NotInd2,P2_SCOPE_NotInd2,P3_SCOPE_NotInd2</definedName>
    <definedName name="P7_SCOPE_PER_PRT" hidden="1">#REF!,#REF!,#REF!,#REF!,#REF!</definedName>
    <definedName name="P7_T1_Protect" localSheetId="3" hidden="1">#REF!,#REF!,#REF!,#REF!,#REF!</definedName>
    <definedName name="P7_T1_Protect" hidden="1">#REF!,#REF!,#REF!,#REF!,#REF!</definedName>
    <definedName name="P8_SCOPE_FULL_LOAD" localSheetId="3" hidden="1">#REF!,#REF!,#REF!,#REF!,#REF!,#REF!</definedName>
    <definedName name="P8_SCOPE_FULL_LOAD" hidden="1">#REF!,#REF!,#REF!,#REF!,#REF!,#REF!</definedName>
    <definedName name="P8_SCOPE_NOTIND" localSheetId="3" hidden="1">#REF!,#REF!,#REF!,#REF!,#REF!,#REF!</definedName>
    <definedName name="P8_SCOPE_NOTIND" hidden="1">#REF!,#REF!,#REF!,#REF!,#REF!,#REF!</definedName>
    <definedName name="P8_SCOPE_PER_PRT" localSheetId="3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3" hidden="1">#REF!,#REF!,#REF!,#REF!,#REF!</definedName>
    <definedName name="P8_T1_Protect" hidden="1">#REF!,#REF!,#REF!,#REF!,#REF!</definedName>
    <definedName name="P9_SCOPE_FULL_LOAD" localSheetId="3" hidden="1">#REF!,#REF!,#REF!,#REF!,#REF!,#REF!</definedName>
    <definedName name="P9_SCOPE_FULL_LOAD" hidden="1">#REF!,#REF!,#REF!,#REF!,#REF!,#REF!</definedName>
    <definedName name="P9_SCOPE_NotInd" localSheetId="3" hidden="1">#REF!,#REF!,#REF!,#REF!,#REF!,#REF!,#REF!,#REF!</definedName>
    <definedName name="P9_SCOPE_NotInd" hidden="1">#REF!,#REF!,#REF!,#REF!,#REF!,#REF!,#REF!,#REF!</definedName>
    <definedName name="P9_T1_Protect" localSheetId="3" hidden="1">#REF!,#REF!,#REF!,#REF!,#REF!</definedName>
    <definedName name="P9_T1_Protect" hidden="1">#REF!,#REF!,#REF!,#REF!,#REF!</definedName>
    <definedName name="PORT_PrjPeriods">#REF!</definedName>
    <definedName name="PrjTariff">#REF!</definedName>
    <definedName name="qr110to10" localSheetId="3">#REF!</definedName>
    <definedName name="qr110to10">#REF!</definedName>
    <definedName name="qr110to35" localSheetId="3">#REF!</definedName>
    <definedName name="qr110to35">#REF!</definedName>
    <definedName name="qr220to10_2" localSheetId="3">#REF!</definedName>
    <definedName name="qr220to10_2">#REF!</definedName>
    <definedName name="qr220to110" localSheetId="3">#REF!</definedName>
    <definedName name="qr220to110">#REF!</definedName>
    <definedName name="qr220to35">#REF!</definedName>
    <definedName name="qr35to10">#REF!</definedName>
    <definedName name="Razd1End" localSheetId="3">#REF!</definedName>
    <definedName name="Razd1End">#REF!</definedName>
    <definedName name="Razd1Start" localSheetId="3">#REF!</definedName>
    <definedName name="Razd1Start">#REF!</definedName>
    <definedName name="Razd2End" localSheetId="3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SAPBEXrevision" hidden="1">1</definedName>
    <definedName name="SAPBEXsysID" hidden="1">"BW2"</definedName>
    <definedName name="SAPBEXwbID" hidden="1">"479GSPMTNK9HM4ZSIVE5K2SH6"</definedName>
    <definedName name="tavrich">#REF!</definedName>
    <definedName name="wrn" localSheetId="3" hidden="1">{"glc1",#N/A,FALSE,"GLC";"glc2",#N/A,FALSE,"GLC";"glc3",#N/A,FALSE,"GLC";"glc4",#N/A,FALSE,"GLC";"glc5",#N/A,FALSE,"GLC"}</definedName>
    <definedName name="wrn" hidden="1">{"glc1",#N/A,FALSE,"GLC";"glc2",#N/A,FALSE,"GLC";"glc3",#N/A,FALSE,"GLC";"glc4",#N/A,FALSE,"GLC";"glc5",#N/A,FALSE,"GLC"}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localSheetId="3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basicfin." localSheetId="3" hidden="1">{"assets",#N/A,FALSE,"historicBS";"liab",#N/A,FALSE,"historicBS";"is",#N/A,FALSE,"historicIS";"ratios",#N/A,FALSE,"ratios"}</definedName>
    <definedName name="wrn.basicfin." hidden="1">{"assets",#N/A,FALSE,"historicBS";"liab",#N/A,FALSE,"historicBS";"is",#N/A,FALSE,"historicIS";"ratios",#N/A,FALSE,"ratios"}</definedName>
    <definedName name="wrn.basicfin.2" localSheetId="3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glc." localSheetId="3" hidden="1">{"glcbs",#N/A,FALSE,"GLCBS";"glccsbs",#N/A,FALSE,"GLCCSBS";"glcis",#N/A,FALSE,"GLCIS";"glccsis",#N/A,FALSE,"GLCCSIS";"glcrat1",#N/A,FALSE,"GLC-ratios1"}</definedName>
    <definedName name="wrn.glc." hidden="1">{"glcbs",#N/A,FALSE,"GLCBS";"glccsbs",#N/A,FALSE,"GLCCSBS";"glcis",#N/A,FALSE,"GLCIS";"glccsis",#N/A,FALSE,"GLCCSIS";"glcrat1",#N/A,FALSE,"GLC-ratios1"}</definedName>
    <definedName name="wrn.glcpromonte." localSheetId="3" hidden="1">{"glc1",#N/A,FALSE,"GLC";"glc2",#N/A,FALSE,"GLC";"glc3",#N/A,FALSE,"GLC";"glc4",#N/A,FALSE,"GLC";"glc5",#N/A,FALSE,"GLC"}</definedName>
    <definedName name="wrn.glcpromonte." hidden="1">{"glc1",#N/A,FALSE,"GLC";"glc2",#N/A,FALSE,"GLC";"glc3",#N/A,FALSE,"GLC";"glc4",#N/A,FALSE,"GLC";"glc5",#N/A,FALSE,"GLC"}</definedName>
    <definedName name="wrn.print." localSheetId="3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Сравнение._.с._.отраслями." localSheetId="3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" localSheetId="3" hidden="1">{"glc1",#N/A,FALSE,"GLC";"glc2",#N/A,FALSE,"GLC";"glc3",#N/A,FALSE,"GLC";"glc4",#N/A,FALSE,"GLC";"glc5",#N/A,FALSE,"GLC"}</definedName>
    <definedName name="а" hidden="1">{"glc1",#N/A,FALSE,"GLC";"glc2",#N/A,FALSE,"GLC";"glc3",#N/A,FALSE,"GLC";"glc4",#N/A,FALSE,"GLC";"glc5",#N/A,FALSE,"GLC"}</definedName>
    <definedName name="апап" localSheetId="3" hidden="1">#REF!</definedName>
    <definedName name="апап" hidden="1">#REF!</definedName>
    <definedName name="вап" localSheetId="3" hidden="1">#REF!</definedName>
    <definedName name="вап" hidden="1">#REF!</definedName>
    <definedName name="ввв" localSheetId="3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localSheetId="3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итт" localSheetId="3" hidden="1">{#N/A,#N/A,TRUE,"Лист1";#N/A,#N/A,TRUE,"Лист2";#N/A,#N/A,TRUE,"Лист3"}</definedName>
    <definedName name="витт" hidden="1">{#N/A,#N/A,TRUE,"Лист1";#N/A,#N/A,TRUE,"Лист2";#N/A,#N/A,TRUE,"Лист3"}</definedName>
    <definedName name="вс" localSheetId="3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уув" localSheetId="3" hidden="1">{#N/A,#N/A,TRUE,"Лист1";#N/A,#N/A,TRUE,"Лист2";#N/A,#N/A,TRUE,"Лист3"}</definedName>
    <definedName name="вуув" hidden="1">{#N/A,#N/A,TRUE,"Лист1";#N/A,#N/A,TRUE,"Лист2";#N/A,#N/A,TRUE,"Лист3"}</definedName>
    <definedName name="ВЫР">#REF!</definedName>
    <definedName name="грприрцфв00ав98" localSheetId="3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3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3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3" hidden="1">#REF!</definedName>
    <definedName name="д" hidden="1">#REF!</definedName>
    <definedName name="ДатаТекст" localSheetId="3">#REF!</definedName>
    <definedName name="ДатаТекст">#REF!</definedName>
    <definedName name="дд" localSheetId="3" hidden="1">#REF!</definedName>
    <definedName name="дд" hidden="1">#REF!</definedName>
    <definedName name="дддд" localSheetId="3" hidden="1">#REF!</definedName>
    <definedName name="дддд" hidden="1">#REF!</definedName>
    <definedName name="и" localSheetId="3" hidden="1">{"glc1",#N/A,FALSE,"GLC";"glc2",#N/A,FALSE,"GLC";"glc3",#N/A,FALSE,"GLC";"glc4",#N/A,FALSE,"GLC";"glc5",#N/A,FALSE,"GLC"}</definedName>
    <definedName name="и" hidden="1">{"glc1",#N/A,FALSE,"GLC";"glc2",#N/A,FALSE,"GLC";"glc3",#N/A,FALSE,"GLC";"glc4",#N/A,FALSE,"GLC";"glc5",#N/A,FALSE,"GLC"}</definedName>
    <definedName name="индцкавг98" localSheetId="3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кеппппппппппп" localSheetId="3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тр">#REF!</definedName>
    <definedName name="лщжо" localSheetId="3" hidden="1">{#N/A,#N/A,TRUE,"Лист1";#N/A,#N/A,TRUE,"Лист2";#N/A,#N/A,TRUE,"Лист3"}</definedName>
    <definedName name="лщжо" hidden="1">{#N/A,#N/A,TRUE,"Лист1";#N/A,#N/A,TRUE,"Лист2";#N/A,#N/A,TRUE,"Лист3"}</definedName>
    <definedName name="мДата">#REF!</definedName>
    <definedName name="НБд">#REF!</definedName>
    <definedName name="ншш" localSheetId="3" hidden="1">{#N/A,#N/A,TRUE,"Лист1";#N/A,#N/A,TRUE,"Лист2";#N/A,#N/A,TRUE,"Лист3"}</definedName>
    <definedName name="ншш" hidden="1">{#N/A,#N/A,TRUE,"Лист1";#N/A,#N/A,TRUE,"Лист2";#N/A,#N/A,TRUE,"Лист3"}</definedName>
    <definedName name="о" localSheetId="3" hidden="1">{#N/A,#N/A,TRUE,"Лист1";#N/A,#N/A,TRUE,"Лист2";#N/A,#N/A,TRUE,"Лист3"}</definedName>
    <definedName name="о" hidden="1">{#N/A,#N/A,TRUE,"Лист1";#N/A,#N/A,TRUE,"Лист2";#N/A,#N/A,TRUE,"Лист3"}</definedName>
    <definedName name="о_165" localSheetId="3">#REF!</definedName>
    <definedName name="о_165">#REF!</definedName>
    <definedName name="о_166" localSheetId="3">#REF!</definedName>
    <definedName name="о_166">#REF!</definedName>
    <definedName name="о_167" localSheetId="3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556">#REF!</definedName>
    <definedName name="о_557">#REF!</definedName>
    <definedName name="о_мв10ат1i" localSheetId="3">#REF!</definedName>
    <definedName name="о_мв10ат1i">#REF!</definedName>
    <definedName name="о_мв10ат2i" localSheetId="3">#REF!</definedName>
    <definedName name="о_мв10ат2i">#REF!</definedName>
    <definedName name="о_шсов220">#REF!</definedName>
    <definedName name="ОТДАЧА">#REF!</definedName>
    <definedName name="Отдача_ГРУ">#REF!</definedName>
    <definedName name="Отдача110">#REF!</definedName>
    <definedName name="ОтпВСеть" localSheetId="3">#REF!</definedName>
    <definedName name="ОтпВСеть">#REF!</definedName>
    <definedName name="п_165" localSheetId="3">#REF!</definedName>
    <definedName name="п_165">#REF!</definedName>
    <definedName name="п_166" localSheetId="3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556">#REF!</definedName>
    <definedName name="п_557">#REF!</definedName>
    <definedName name="п_в15ат1" localSheetId="3">#REF!</definedName>
    <definedName name="п_в15ат1">#REF!</definedName>
    <definedName name="п_в15ат2" localSheetId="3">#REF!</definedName>
    <definedName name="п_в15ат2">#REF!</definedName>
    <definedName name="п_мв10ат1i" localSheetId="3">#REF!</definedName>
    <definedName name="п_мв10ат1i">#REF!</definedName>
    <definedName name="п_мв10ат2i">#REF!</definedName>
    <definedName name="п_ф6">#REF!</definedName>
    <definedName name="п_ф9">#REF!</definedName>
    <definedName name="п_шсов220">#REF!</definedName>
    <definedName name="Потери" localSheetId="3">#REF!</definedName>
    <definedName name="Потери">#REF!</definedName>
    <definedName name="Потери110" localSheetId="3">#REF!</definedName>
    <definedName name="Потери110">#REF!</definedName>
    <definedName name="Потери6" localSheetId="3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ПЖТ">#REF!</definedName>
    <definedName name="прибыль3" localSheetId="3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ЕМ">#REF!</definedName>
    <definedName name="Прием110">#REF!</definedName>
    <definedName name="ПРИХОД">#REF!</definedName>
    <definedName name="ПрНуж">#REF!</definedName>
    <definedName name="рис1" localSheetId="3" hidden="1">{#N/A,#N/A,TRUE,"Лист1";#N/A,#N/A,TRUE,"Лист2";#N/A,#N/A,TRUE,"Лист3"}</definedName>
    <definedName name="рис1" hidden="1">{#N/A,#N/A,TRUE,"Лист1";#N/A,#N/A,TRUE,"Лист2";#N/A,#N/A,TRUE,"Лист3"}</definedName>
    <definedName name="ррр" localSheetId="3" hidden="1">{"glc1",#N/A,FALSE,"GLC";"glc2",#N/A,FALSE,"GLC";"glc3",#N/A,FALSE,"GLC";"glc4",#N/A,FALSE,"GLC";"glc5",#N/A,FALSE,"GLC"}</definedName>
    <definedName name="ррр" hidden="1">{"glc1",#N/A,FALSE,"GLC";"glc2",#N/A,FALSE,"GLC";"glc3",#N/A,FALSE,"GLC";"glc4",#N/A,FALSE,"GLC";"glc5",#N/A,FALSE,"GLC"}</definedName>
    <definedName name="СН">#REF!</definedName>
    <definedName name="СН_Б">#REF!</definedName>
    <definedName name="СН_З" localSheetId="3">#REF!</definedName>
    <definedName name="СН_З">#REF!</definedName>
    <definedName name="СН_И" localSheetId="3">#REF!</definedName>
    <definedName name="СН_И">#REF!</definedName>
    <definedName name="СН_С" localSheetId="3">#REF!</definedName>
    <definedName name="СН_С">#REF!</definedName>
    <definedName name="СН_Т" localSheetId="3">#REF!</definedName>
    <definedName name="СН_Т">#REF!</definedName>
    <definedName name="тп" localSheetId="3" hidden="1">{#N/A,#N/A,TRUE,"Лист1";#N/A,#N/A,TRUE,"Лист2";#N/A,#N/A,TRUE,"Лист3"}</definedName>
    <definedName name="тп" hidden="1">{#N/A,#N/A,TRUE,"Лист1";#N/A,#N/A,TRUE,"Лист2";#N/A,#N/A,TRUE,"Лист3"}</definedName>
    <definedName name="ТЭП2" localSheetId="3" hidden="1">{#N/A,#N/A,TRUE,"Лист1";#N/A,#N/A,TRUE,"Лист2";#N/A,#N/A,TRUE,"Лист3"}</definedName>
    <definedName name="ТЭП2" hidden="1">{#N/A,#N/A,TRUE,"Лист1";#N/A,#N/A,TRUE,"Лист2";#N/A,#N/A,TRUE,"Лист3"}</definedName>
    <definedName name="укеееукеееееееееееееее" localSheetId="3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3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СН">#REF!</definedName>
    <definedName name="ФЦН1">#REF!</definedName>
    <definedName name="ФЦН2">#REF!</definedName>
    <definedName name="ХН">#REF!</definedName>
    <definedName name="ы11" localSheetId="3">#REF!</definedName>
    <definedName name="ы11">#REF!</definedName>
    <definedName name="ыапр" localSheetId="3" hidden="1">{#N/A,#N/A,TRUE,"Лист1";#N/A,#N/A,TRUE,"Лист2";#N/A,#N/A,TRUE,"Лист3"}</definedName>
    <definedName name="ыапр" hidden="1">{#N/A,#N/A,TRUE,"Лист1";#N/A,#N/A,TRUE,"Лист2";#N/A,#N/A,TRUE,"Лист3"}</definedName>
    <definedName name="ыва" localSheetId="3" hidden="1">#REF!</definedName>
    <definedName name="ыва" hidden="1">#REF!</definedName>
    <definedName name="ыпыим" localSheetId="3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3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3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3" hidden="1">{#N/A,#N/A,TRUE,"Лист1";#N/A,#N/A,TRUE,"Лист2";#N/A,#N/A,TRUE,"Лист3"}</definedName>
    <definedName name="ыуаы" hidden="1">{#N/A,#N/A,TRUE,"Лист1";#N/A,#N/A,TRUE,"Лист2";#N/A,#N/A,TRUE,"Лист3"}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690" i="1" l="1"/>
  <c r="G690" i="1"/>
  <c r="A690" i="1"/>
  <c r="K108" i="9"/>
  <c r="AO689" i="1"/>
  <c r="AO688" i="1"/>
  <c r="G689" i="1"/>
  <c r="G688" i="1"/>
  <c r="A689" i="1"/>
  <c r="A688" i="1"/>
  <c r="K107" i="9"/>
  <c r="K106" i="9"/>
  <c r="BE695" i="1"/>
  <c r="BE694" i="1"/>
  <c r="BE693" i="1"/>
  <c r="AQ688" i="1" l="1"/>
  <c r="AT688" i="1" s="1"/>
  <c r="AQ689" i="1"/>
  <c r="AT689" i="1" s="1"/>
  <c r="AQ690" i="1"/>
  <c r="AT690" i="1" s="1"/>
  <c r="AW691" i="1"/>
  <c r="AQ665" i="1"/>
  <c r="AB665" i="1"/>
  <c r="AO686" i="1"/>
  <c r="AO687" i="1"/>
  <c r="AO685" i="1"/>
  <c r="G687" i="1"/>
  <c r="G686" i="1"/>
  <c r="G685" i="1"/>
  <c r="A687" i="1"/>
  <c r="A686" i="1"/>
  <c r="A685" i="1"/>
  <c r="F101" i="9"/>
  <c r="E101" i="9"/>
  <c r="K99" i="9"/>
  <c r="K98" i="9"/>
  <c r="K97" i="9"/>
  <c r="AO683" i="1"/>
  <c r="AO682" i="1"/>
  <c r="G683" i="1"/>
  <c r="G682" i="1"/>
  <c r="A683" i="1"/>
  <c r="A682" i="1"/>
  <c r="F91" i="9"/>
  <c r="E91" i="9"/>
  <c r="K89" i="9"/>
  <c r="K88" i="9"/>
  <c r="AO684" i="1"/>
  <c r="A684" i="1"/>
  <c r="AN678" i="1"/>
  <c r="AN670" i="1"/>
  <c r="AM662" i="1"/>
  <c r="AN671" i="1"/>
  <c r="AM664" i="1"/>
  <c r="AN673" i="1"/>
  <c r="AM667" i="1"/>
  <c r="AN675" i="1"/>
  <c r="AM666" i="1"/>
  <c r="AM661" i="1"/>
  <c r="AO681" i="1"/>
  <c r="AQ681" i="1" s="1"/>
  <c r="AU681" i="1" s="1"/>
  <c r="A681" i="1"/>
  <c r="AO680" i="1"/>
  <c r="AQ680" i="1" s="1"/>
  <c r="A680" i="1"/>
  <c r="AO672" i="1"/>
  <c r="AQ672" i="1" s="1"/>
  <c r="AT672" i="1" s="1"/>
  <c r="A672" i="1"/>
  <c r="AN696" i="1"/>
  <c r="AQ696" i="1" s="1"/>
  <c r="AN676" i="1"/>
  <c r="AN674" i="1"/>
  <c r="AN677" i="1"/>
  <c r="AM663" i="1"/>
  <c r="AM668" i="1"/>
  <c r="BG662" i="1"/>
  <c r="AT40" i="1"/>
  <c r="AR318" i="1"/>
  <c r="AS318" i="1" s="1"/>
  <c r="AR506" i="1"/>
  <c r="AS506" i="1" s="1"/>
  <c r="AR561" i="1"/>
  <c r="AS561" i="1" s="1"/>
  <c r="AM669" i="1"/>
  <c r="A669" i="1"/>
  <c r="AU688" i="1" l="1"/>
  <c r="AV688" i="1" s="1"/>
  <c r="AW688" i="1" s="1"/>
  <c r="AX688" i="1" s="1"/>
  <c r="AY688" i="1" s="1"/>
  <c r="AZ688" i="1" s="1"/>
  <c r="BA688" i="1" s="1"/>
  <c r="BB688" i="1" s="1"/>
  <c r="BC688" i="1" s="1"/>
  <c r="BD688" i="1" s="1"/>
  <c r="BE688" i="1" s="1"/>
  <c r="BF688" i="1" s="1"/>
  <c r="BH688" i="1" s="1"/>
  <c r="BI688" i="1" s="1"/>
  <c r="AU689" i="1"/>
  <c r="AV689" i="1" s="1"/>
  <c r="AW689" i="1" s="1"/>
  <c r="AX689" i="1" s="1"/>
  <c r="AY689" i="1" s="1"/>
  <c r="AZ689" i="1" s="1"/>
  <c r="BA689" i="1" s="1"/>
  <c r="BB689" i="1" s="1"/>
  <c r="BC689" i="1" s="1"/>
  <c r="BD689" i="1" s="1"/>
  <c r="BE689" i="1" s="1"/>
  <c r="AV681" i="1"/>
  <c r="AW681" i="1" s="1"/>
  <c r="AX681" i="1" s="1"/>
  <c r="AY681" i="1" s="1"/>
  <c r="AZ681" i="1" s="1"/>
  <c r="BA681" i="1" s="1"/>
  <c r="BB681" i="1" s="1"/>
  <c r="BC681" i="1" s="1"/>
  <c r="BD681" i="1" s="1"/>
  <c r="BE681" i="1" s="1"/>
  <c r="BF681" i="1" s="1"/>
  <c r="BG681" i="1" s="1"/>
  <c r="AU690" i="1"/>
  <c r="AQ685" i="1"/>
  <c r="AT685" i="1" s="1"/>
  <c r="AQ686" i="1"/>
  <c r="AT686" i="1" s="1"/>
  <c r="AQ687" i="1"/>
  <c r="AT687" i="1" s="1"/>
  <c r="AQ682" i="1"/>
  <c r="AT682" i="1" s="1"/>
  <c r="AQ683" i="1"/>
  <c r="AT683" i="1" s="1"/>
  <c r="AQ684" i="1"/>
  <c r="AT684" i="1" s="1"/>
  <c r="AT681" i="1"/>
  <c r="AU680" i="1"/>
  <c r="AT680" i="1"/>
  <c r="AU672" i="1"/>
  <c r="AB696" i="1"/>
  <c r="AC696" i="1" s="1"/>
  <c r="AB669" i="1"/>
  <c r="AV680" i="1" l="1"/>
  <c r="AW680" i="1" s="1"/>
  <c r="AX680" i="1" s="1"/>
  <c r="AY680" i="1" s="1"/>
  <c r="AZ680" i="1" s="1"/>
  <c r="BA680" i="1" s="1"/>
  <c r="BB680" i="1" s="1"/>
  <c r="BC680" i="1" s="1"/>
  <c r="BD680" i="1" s="1"/>
  <c r="BE680" i="1" s="1"/>
  <c r="BF680" i="1" s="1"/>
  <c r="AV690" i="1"/>
  <c r="AW690" i="1" s="1"/>
  <c r="AX690" i="1" s="1"/>
  <c r="AY690" i="1" s="1"/>
  <c r="AZ690" i="1" s="1"/>
  <c r="BA690" i="1" s="1"/>
  <c r="BB690" i="1" s="1"/>
  <c r="BC690" i="1" s="1"/>
  <c r="BD690" i="1" s="1"/>
  <c r="BE690" i="1" s="1"/>
  <c r="BJ688" i="1"/>
  <c r="BG688" i="1"/>
  <c r="BF689" i="1"/>
  <c r="BH689" i="1" s="1"/>
  <c r="BI689" i="1" s="1"/>
  <c r="AU685" i="1"/>
  <c r="AU686" i="1"/>
  <c r="AU687" i="1"/>
  <c r="AU684" i="1"/>
  <c r="AU683" i="1"/>
  <c r="AU682" i="1"/>
  <c r="BH681" i="1"/>
  <c r="AV672" i="1"/>
  <c r="AW672" i="1" s="1"/>
  <c r="AX672" i="1" s="1"/>
  <c r="AY672" i="1" s="1"/>
  <c r="AZ672" i="1" s="1"/>
  <c r="BA672" i="1" s="1"/>
  <c r="BB672" i="1" s="1"/>
  <c r="BC672" i="1" s="1"/>
  <c r="BD672" i="1" s="1"/>
  <c r="BE672" i="1" s="1"/>
  <c r="AO696" i="1"/>
  <c r="AN669" i="1"/>
  <c r="AC669" i="1"/>
  <c r="AV684" i="1" l="1"/>
  <c r="AW684" i="1" s="1"/>
  <c r="AX684" i="1" s="1"/>
  <c r="AY684" i="1" s="1"/>
  <c r="AZ684" i="1" s="1"/>
  <c r="BA684" i="1" s="1"/>
  <c r="BB684" i="1" s="1"/>
  <c r="BC684" i="1" s="1"/>
  <c r="BD684" i="1" s="1"/>
  <c r="BE684" i="1" s="1"/>
  <c r="BF684" i="1" s="1"/>
  <c r="BH684" i="1" s="1"/>
  <c r="BG680" i="1"/>
  <c r="AV687" i="1"/>
  <c r="AW687" i="1" s="1"/>
  <c r="AX687" i="1" s="1"/>
  <c r="AY687" i="1" s="1"/>
  <c r="AZ687" i="1" s="1"/>
  <c r="BA687" i="1" s="1"/>
  <c r="BB687" i="1" s="1"/>
  <c r="BC687" i="1" s="1"/>
  <c r="BD687" i="1" s="1"/>
  <c r="BE687" i="1" s="1"/>
  <c r="BF687" i="1" s="1"/>
  <c r="BH687" i="1" s="1"/>
  <c r="BH680" i="1"/>
  <c r="BJ680" i="1" s="1"/>
  <c r="AV686" i="1"/>
  <c r="AW686" i="1" s="1"/>
  <c r="AX686" i="1" s="1"/>
  <c r="AY686" i="1" s="1"/>
  <c r="AZ686" i="1" s="1"/>
  <c r="BA686" i="1" s="1"/>
  <c r="BB686" i="1" s="1"/>
  <c r="BC686" i="1" s="1"/>
  <c r="BD686" i="1" s="1"/>
  <c r="BE686" i="1" s="1"/>
  <c r="BF686" i="1" s="1"/>
  <c r="BH686" i="1" s="1"/>
  <c r="AV685" i="1"/>
  <c r="AW685" i="1" s="1"/>
  <c r="AX685" i="1" s="1"/>
  <c r="AY685" i="1" s="1"/>
  <c r="AZ685" i="1" s="1"/>
  <c r="BA685" i="1" s="1"/>
  <c r="BB685" i="1" s="1"/>
  <c r="BC685" i="1" s="1"/>
  <c r="BD685" i="1" s="1"/>
  <c r="BE685" i="1" s="1"/>
  <c r="BF685" i="1" s="1"/>
  <c r="BG685" i="1" s="1"/>
  <c r="AV683" i="1"/>
  <c r="AW683" i="1" s="1"/>
  <c r="AX683" i="1" s="1"/>
  <c r="AY683" i="1" s="1"/>
  <c r="AZ683" i="1" s="1"/>
  <c r="BA683" i="1" s="1"/>
  <c r="BB683" i="1" s="1"/>
  <c r="BC683" i="1" s="1"/>
  <c r="BD683" i="1" s="1"/>
  <c r="BE683" i="1" s="1"/>
  <c r="BF683" i="1" s="1"/>
  <c r="BH683" i="1" s="1"/>
  <c r="BF690" i="1"/>
  <c r="BG690" i="1" s="1"/>
  <c r="BJ689" i="1"/>
  <c r="BG689" i="1"/>
  <c r="BK688" i="1"/>
  <c r="BL688" i="1" s="1"/>
  <c r="BM688" i="1" s="1"/>
  <c r="BN688" i="1" s="1"/>
  <c r="BO688" i="1" s="1"/>
  <c r="BP688" i="1" s="1"/>
  <c r="BQ688" i="1" s="1"/>
  <c r="BR688" i="1" s="1"/>
  <c r="BS688" i="1" s="1"/>
  <c r="BI681" i="1"/>
  <c r="AV682" i="1"/>
  <c r="AW682" i="1" s="1"/>
  <c r="AX682" i="1" s="1"/>
  <c r="AY682" i="1" s="1"/>
  <c r="AZ682" i="1" s="1"/>
  <c r="BA682" i="1" s="1"/>
  <c r="BB682" i="1" s="1"/>
  <c r="BC682" i="1" s="1"/>
  <c r="BD682" i="1" s="1"/>
  <c r="BE682" i="1" s="1"/>
  <c r="BJ681" i="1"/>
  <c r="BF672" i="1"/>
  <c r="BH672" i="1" s="1"/>
  <c r="AU696" i="1"/>
  <c r="AV696" i="1" s="1"/>
  <c r="AR696" i="1"/>
  <c r="AS696" i="1" s="1"/>
  <c r="AO669" i="1"/>
  <c r="AR669" i="1" s="1"/>
  <c r="BH696" i="1"/>
  <c r="AT696" i="1"/>
  <c r="BG691" i="1"/>
  <c r="BG692" i="1"/>
  <c r="AQ694" i="1"/>
  <c r="BF694" i="1" s="1"/>
  <c r="AQ695" i="1"/>
  <c r="BH695" i="1" s="1"/>
  <c r="AQ693" i="1"/>
  <c r="BF693" i="1" s="1"/>
  <c r="AQ692" i="1"/>
  <c r="AT692" i="1" s="1"/>
  <c r="AQ691" i="1"/>
  <c r="AT691" i="1" s="1"/>
  <c r="BH690" i="1" l="1"/>
  <c r="BI690" i="1" s="1"/>
  <c r="BH685" i="1"/>
  <c r="BI685" i="1" s="1"/>
  <c r="BI680" i="1"/>
  <c r="BT688" i="1"/>
  <c r="BK689" i="1"/>
  <c r="BL689" i="1" s="1"/>
  <c r="BM689" i="1" s="1"/>
  <c r="BN689" i="1" s="1"/>
  <c r="BO689" i="1" s="1"/>
  <c r="BP689" i="1" s="1"/>
  <c r="BQ689" i="1" s="1"/>
  <c r="BR689" i="1" s="1"/>
  <c r="BS689" i="1" s="1"/>
  <c r="BI687" i="1"/>
  <c r="BI684" i="1"/>
  <c r="BI672" i="1"/>
  <c r="BG687" i="1"/>
  <c r="BI683" i="1"/>
  <c r="BI686" i="1"/>
  <c r="BG686" i="1"/>
  <c r="BJ686" i="1"/>
  <c r="BJ687" i="1"/>
  <c r="BJ683" i="1"/>
  <c r="BG683" i="1"/>
  <c r="BF682" i="1"/>
  <c r="BH682" i="1" s="1"/>
  <c r="BJ684" i="1"/>
  <c r="BG684" i="1"/>
  <c r="BK681" i="1"/>
  <c r="BL681" i="1" s="1"/>
  <c r="BM681" i="1" s="1"/>
  <c r="BN681" i="1" s="1"/>
  <c r="BO681" i="1" s="1"/>
  <c r="BP681" i="1" s="1"/>
  <c r="BQ681" i="1" s="1"/>
  <c r="BR681" i="1" s="1"/>
  <c r="BS681" i="1" s="1"/>
  <c r="BK680" i="1"/>
  <c r="BL680" i="1" s="1"/>
  <c r="BM680" i="1" s="1"/>
  <c r="BN680" i="1" s="1"/>
  <c r="BO680" i="1" s="1"/>
  <c r="BP680" i="1" s="1"/>
  <c r="BQ680" i="1" s="1"/>
  <c r="BR680" i="1" s="1"/>
  <c r="BS680" i="1" s="1"/>
  <c r="BJ672" i="1"/>
  <c r="BG672" i="1"/>
  <c r="AW696" i="1"/>
  <c r="AX696" i="1" s="1"/>
  <c r="AY696" i="1" s="1"/>
  <c r="AZ696" i="1" s="1"/>
  <c r="BA696" i="1" s="1"/>
  <c r="BB696" i="1" s="1"/>
  <c r="BC696" i="1" s="1"/>
  <c r="BD696" i="1" s="1"/>
  <c r="BE696" i="1" s="1"/>
  <c r="BF696" i="1" s="1"/>
  <c r="BJ696" i="1" s="1"/>
  <c r="BK696" i="1" s="1"/>
  <c r="BL696" i="1" s="1"/>
  <c r="BM696" i="1" s="1"/>
  <c r="BN696" i="1" s="1"/>
  <c r="BO696" i="1" s="1"/>
  <c r="BP696" i="1" s="1"/>
  <c r="BQ696" i="1" s="1"/>
  <c r="BR696" i="1" s="1"/>
  <c r="BS696" i="1" s="1"/>
  <c r="BT696" i="1" s="1"/>
  <c r="BU696" i="1" s="1"/>
  <c r="BW696" i="1" s="1"/>
  <c r="AP669" i="1"/>
  <c r="AQ669" i="1"/>
  <c r="BI696" i="1"/>
  <c r="AT695" i="1"/>
  <c r="AT694" i="1"/>
  <c r="BF695" i="1"/>
  <c r="BH693" i="1"/>
  <c r="BG694" i="1"/>
  <c r="BI695" i="1"/>
  <c r="BW695" i="1"/>
  <c r="BG693" i="1"/>
  <c r="AT693" i="1"/>
  <c r="BH694" i="1"/>
  <c r="AX692" i="1"/>
  <c r="AY692" i="1" s="1"/>
  <c r="AZ692" i="1" s="1"/>
  <c r="BA692" i="1" s="1"/>
  <c r="BB692" i="1" s="1"/>
  <c r="BC692" i="1" s="1"/>
  <c r="BD692" i="1" s="1"/>
  <c r="BE692" i="1" s="1"/>
  <c r="AX691" i="1"/>
  <c r="AY691" i="1" s="1"/>
  <c r="AZ691" i="1" s="1"/>
  <c r="BA691" i="1" s="1"/>
  <c r="BB691" i="1" s="1"/>
  <c r="BC691" i="1" s="1"/>
  <c r="BD691" i="1" s="1"/>
  <c r="BE691" i="1" s="1"/>
  <c r="BH691" i="1"/>
  <c r="BH692" i="1"/>
  <c r="BG679" i="1"/>
  <c r="AP679" i="1"/>
  <c r="AB679" i="1"/>
  <c r="AQ679" i="1" s="1"/>
  <c r="BJ690" i="1" l="1"/>
  <c r="BK690" i="1" s="1"/>
  <c r="BL690" i="1" s="1"/>
  <c r="BM690" i="1" s="1"/>
  <c r="BN690" i="1" s="1"/>
  <c r="BO690" i="1" s="1"/>
  <c r="BP690" i="1" s="1"/>
  <c r="BQ690" i="1" s="1"/>
  <c r="BR690" i="1" s="1"/>
  <c r="BS690" i="1" s="1"/>
  <c r="BJ685" i="1"/>
  <c r="BK685" i="1" s="1"/>
  <c r="BL685" i="1" s="1"/>
  <c r="BM685" i="1" s="1"/>
  <c r="BN685" i="1" s="1"/>
  <c r="BO685" i="1" s="1"/>
  <c r="BP685" i="1" s="1"/>
  <c r="BQ685" i="1" s="1"/>
  <c r="BR685" i="1" s="1"/>
  <c r="BS685" i="1" s="1"/>
  <c r="BT685" i="1" s="1"/>
  <c r="BT689" i="1"/>
  <c r="BU688" i="1"/>
  <c r="BW688" i="1" s="1"/>
  <c r="BX688" i="1" s="1"/>
  <c r="BI682" i="1"/>
  <c r="BW691" i="1"/>
  <c r="BX691" i="1" s="1"/>
  <c r="BW693" i="1"/>
  <c r="CL693" i="1" s="1"/>
  <c r="BK687" i="1"/>
  <c r="BL687" i="1" s="1"/>
  <c r="BM687" i="1" s="1"/>
  <c r="BN687" i="1" s="1"/>
  <c r="BO687" i="1" s="1"/>
  <c r="BP687" i="1" s="1"/>
  <c r="BQ687" i="1" s="1"/>
  <c r="BR687" i="1" s="1"/>
  <c r="BS687" i="1" s="1"/>
  <c r="BK686" i="1"/>
  <c r="BL686" i="1" s="1"/>
  <c r="BM686" i="1" s="1"/>
  <c r="BN686" i="1" s="1"/>
  <c r="BO686" i="1" s="1"/>
  <c r="BP686" i="1" s="1"/>
  <c r="BQ686" i="1" s="1"/>
  <c r="BR686" i="1" s="1"/>
  <c r="BS686" i="1" s="1"/>
  <c r="BJ682" i="1"/>
  <c r="BG682" i="1"/>
  <c r="BK683" i="1"/>
  <c r="BL683" i="1" s="1"/>
  <c r="BM683" i="1" s="1"/>
  <c r="BN683" i="1" s="1"/>
  <c r="BO683" i="1" s="1"/>
  <c r="BP683" i="1" s="1"/>
  <c r="BQ683" i="1" s="1"/>
  <c r="BR683" i="1" s="1"/>
  <c r="BS683" i="1" s="1"/>
  <c r="BK684" i="1"/>
  <c r="BL684" i="1" s="1"/>
  <c r="BM684" i="1" s="1"/>
  <c r="BN684" i="1" s="1"/>
  <c r="BO684" i="1" s="1"/>
  <c r="BP684" i="1" s="1"/>
  <c r="BQ684" i="1" s="1"/>
  <c r="BR684" i="1" s="1"/>
  <c r="BS684" i="1" s="1"/>
  <c r="BT681" i="1"/>
  <c r="BT680" i="1"/>
  <c r="BG696" i="1"/>
  <c r="BK672" i="1"/>
  <c r="BL672" i="1" s="1"/>
  <c r="BM672" i="1" s="1"/>
  <c r="BN672" i="1" s="1"/>
  <c r="BO672" i="1" s="1"/>
  <c r="BP672" i="1" s="1"/>
  <c r="BQ672" i="1" s="1"/>
  <c r="BR672" i="1" s="1"/>
  <c r="BS672" i="1" s="1"/>
  <c r="BY696" i="1"/>
  <c r="BZ696" i="1" s="1"/>
  <c r="CA696" i="1" s="1"/>
  <c r="CB696" i="1" s="1"/>
  <c r="CC696" i="1" s="1"/>
  <c r="CD696" i="1" s="1"/>
  <c r="CE696" i="1" s="1"/>
  <c r="CF696" i="1" s="1"/>
  <c r="CG696" i="1" s="1"/>
  <c r="CH696" i="1" s="1"/>
  <c r="CI696" i="1" s="1"/>
  <c r="CJ696" i="1" s="1"/>
  <c r="BF691" i="1"/>
  <c r="BJ691" i="1" s="1"/>
  <c r="BK691" i="1" s="1"/>
  <c r="BL691" i="1" s="1"/>
  <c r="BM691" i="1" s="1"/>
  <c r="BN691" i="1" s="1"/>
  <c r="BO691" i="1" s="1"/>
  <c r="BP691" i="1" s="1"/>
  <c r="BQ691" i="1" s="1"/>
  <c r="BR691" i="1" s="1"/>
  <c r="BS691" i="1" s="1"/>
  <c r="BT691" i="1" s="1"/>
  <c r="BF692" i="1"/>
  <c r="BG695" i="1"/>
  <c r="AT669" i="1"/>
  <c r="AS669" i="1"/>
  <c r="AU669" i="1"/>
  <c r="BJ695" i="1"/>
  <c r="BK695" i="1" s="1"/>
  <c r="BL695" i="1" s="1"/>
  <c r="BM695" i="1" s="1"/>
  <c r="BN695" i="1" s="1"/>
  <c r="BO695" i="1" s="1"/>
  <c r="BP695" i="1" s="1"/>
  <c r="BQ695" i="1" s="1"/>
  <c r="BR695" i="1" s="1"/>
  <c r="BS695" i="1" s="1"/>
  <c r="BT695" i="1" s="1"/>
  <c r="CL696" i="1"/>
  <c r="BX696" i="1"/>
  <c r="BI693" i="1"/>
  <c r="BJ693" i="1"/>
  <c r="BK693" i="1" s="1"/>
  <c r="BL693" i="1" s="1"/>
  <c r="BM693" i="1" s="1"/>
  <c r="BN693" i="1" s="1"/>
  <c r="BO693" i="1" s="1"/>
  <c r="BP693" i="1" s="1"/>
  <c r="BQ693" i="1" s="1"/>
  <c r="BR693" i="1" s="1"/>
  <c r="BS693" i="1" s="1"/>
  <c r="BT693" i="1" s="1"/>
  <c r="BI694" i="1"/>
  <c r="BW694" i="1"/>
  <c r="CL695" i="1"/>
  <c r="BX695" i="1"/>
  <c r="BJ694" i="1"/>
  <c r="BI691" i="1"/>
  <c r="BI692" i="1"/>
  <c r="BW692" i="1"/>
  <c r="AT679" i="1"/>
  <c r="BH679" i="1"/>
  <c r="AC679" i="1"/>
  <c r="AO679" i="1"/>
  <c r="CM695" i="1" l="1"/>
  <c r="CM696" i="1"/>
  <c r="CM693" i="1"/>
  <c r="AV669" i="1"/>
  <c r="AW669" i="1" s="1"/>
  <c r="AX669" i="1" s="1"/>
  <c r="AY669" i="1" s="1"/>
  <c r="AZ669" i="1" s="1"/>
  <c r="BA669" i="1" s="1"/>
  <c r="BB669" i="1" s="1"/>
  <c r="BC669" i="1" s="1"/>
  <c r="BD669" i="1" s="1"/>
  <c r="BE669" i="1" s="1"/>
  <c r="BT690" i="1"/>
  <c r="BY688" i="1"/>
  <c r="BV688" i="1"/>
  <c r="BU689" i="1"/>
  <c r="BV689" i="1" s="1"/>
  <c r="CL691" i="1"/>
  <c r="CM691" i="1" s="1"/>
  <c r="BX693" i="1"/>
  <c r="BT686" i="1"/>
  <c r="BT687" i="1"/>
  <c r="BU685" i="1"/>
  <c r="BV685" i="1" s="1"/>
  <c r="BT683" i="1"/>
  <c r="BK682" i="1"/>
  <c r="BL682" i="1" s="1"/>
  <c r="BM682" i="1" s="1"/>
  <c r="BN682" i="1" s="1"/>
  <c r="BO682" i="1" s="1"/>
  <c r="BP682" i="1" s="1"/>
  <c r="BQ682" i="1" s="1"/>
  <c r="BR682" i="1" s="1"/>
  <c r="BS682" i="1" s="1"/>
  <c r="BT684" i="1"/>
  <c r="BU681" i="1"/>
  <c r="BW681" i="1" s="1"/>
  <c r="BT672" i="1"/>
  <c r="BU672" i="1" s="1"/>
  <c r="BW672" i="1" s="1"/>
  <c r="BU680" i="1"/>
  <c r="BV680" i="1" s="1"/>
  <c r="CN696" i="1"/>
  <c r="CO696" i="1" s="1"/>
  <c r="CP696" i="1" s="1"/>
  <c r="CQ696" i="1" s="1"/>
  <c r="CR696" i="1" s="1"/>
  <c r="CS696" i="1" s="1"/>
  <c r="CT696" i="1" s="1"/>
  <c r="CU696" i="1" s="1"/>
  <c r="CV696" i="1" s="1"/>
  <c r="CW696" i="1" s="1"/>
  <c r="CX696" i="1" s="1"/>
  <c r="CY696" i="1" s="1"/>
  <c r="BU693" i="1"/>
  <c r="BY693" i="1" s="1"/>
  <c r="BZ693" i="1" s="1"/>
  <c r="CA693" i="1" s="1"/>
  <c r="CB693" i="1" s="1"/>
  <c r="CC693" i="1" s="1"/>
  <c r="CD693" i="1" s="1"/>
  <c r="CE693" i="1" s="1"/>
  <c r="CF693" i="1" s="1"/>
  <c r="CG693" i="1" s="1"/>
  <c r="CH693" i="1" s="1"/>
  <c r="CI693" i="1" s="1"/>
  <c r="CJ693" i="1" s="1"/>
  <c r="BU691" i="1"/>
  <c r="BY691" i="1" s="1"/>
  <c r="BZ691" i="1" s="1"/>
  <c r="CA691" i="1" s="1"/>
  <c r="CB691" i="1" s="1"/>
  <c r="CC691" i="1" s="1"/>
  <c r="CD691" i="1" s="1"/>
  <c r="CE691" i="1" s="1"/>
  <c r="CF691" i="1" s="1"/>
  <c r="CG691" i="1" s="1"/>
  <c r="CH691" i="1" s="1"/>
  <c r="CI691" i="1" s="1"/>
  <c r="CJ691" i="1" s="1"/>
  <c r="BJ692" i="1"/>
  <c r="BK692" i="1" s="1"/>
  <c r="BL692" i="1" s="1"/>
  <c r="BM692" i="1" s="1"/>
  <c r="BN692" i="1" s="1"/>
  <c r="BO692" i="1" s="1"/>
  <c r="BP692" i="1" s="1"/>
  <c r="BQ692" i="1" s="1"/>
  <c r="BR692" i="1" s="1"/>
  <c r="BS692" i="1" s="1"/>
  <c r="BT692" i="1" s="1"/>
  <c r="AU679" i="1"/>
  <c r="AR679" i="1"/>
  <c r="AS679" i="1" s="1"/>
  <c r="BU695" i="1"/>
  <c r="BY695" i="1" s="1"/>
  <c r="BK694" i="1"/>
  <c r="BL694" i="1" s="1"/>
  <c r="BM694" i="1" s="1"/>
  <c r="BN694" i="1" s="1"/>
  <c r="BO694" i="1" s="1"/>
  <c r="BP694" i="1" s="1"/>
  <c r="BQ694" i="1" s="1"/>
  <c r="BR694" i="1" s="1"/>
  <c r="BS694" i="1" s="1"/>
  <c r="BT694" i="1" s="1"/>
  <c r="BX694" i="1"/>
  <c r="CL694" i="1"/>
  <c r="CM694" i="1" s="1"/>
  <c r="BX692" i="1"/>
  <c r="CL692" i="1"/>
  <c r="BI679" i="1"/>
  <c r="BW679" i="1"/>
  <c r="CN693" i="1" l="1"/>
  <c r="CO693" i="1" s="1"/>
  <c r="CP693" i="1" s="1"/>
  <c r="CQ693" i="1" s="1"/>
  <c r="CR693" i="1" s="1"/>
  <c r="CS693" i="1" s="1"/>
  <c r="CT693" i="1" s="1"/>
  <c r="CU693" i="1" s="1"/>
  <c r="CV693" i="1" s="1"/>
  <c r="CW693" i="1" s="1"/>
  <c r="CX693" i="1" s="1"/>
  <c r="CY693" i="1" s="1"/>
  <c r="CM692" i="1"/>
  <c r="BW689" i="1"/>
  <c r="BX689" i="1" s="1"/>
  <c r="AV679" i="1"/>
  <c r="AW679" i="1" s="1"/>
  <c r="AX679" i="1" s="1"/>
  <c r="AY679" i="1" s="1"/>
  <c r="AZ679" i="1" s="1"/>
  <c r="BA679" i="1" s="1"/>
  <c r="BB679" i="1" s="1"/>
  <c r="BC679" i="1" s="1"/>
  <c r="BD679" i="1" s="1"/>
  <c r="BE679" i="1" s="1"/>
  <c r="BF679" i="1" s="1"/>
  <c r="BJ679" i="1" s="1"/>
  <c r="BU690" i="1"/>
  <c r="BV690" i="1" s="1"/>
  <c r="BZ688" i="1"/>
  <c r="CA688" i="1" s="1"/>
  <c r="CB688" i="1" s="1"/>
  <c r="CC688" i="1" s="1"/>
  <c r="CD688" i="1" s="1"/>
  <c r="CE688" i="1" s="1"/>
  <c r="CF688" i="1" s="1"/>
  <c r="CG688" i="1" s="1"/>
  <c r="CH688" i="1" s="1"/>
  <c r="CI688" i="1" s="1"/>
  <c r="CN691" i="1"/>
  <c r="CO691" i="1" s="1"/>
  <c r="CP691" i="1" s="1"/>
  <c r="CQ691" i="1" s="1"/>
  <c r="CR691" i="1" s="1"/>
  <c r="CS691" i="1" s="1"/>
  <c r="CT691" i="1" s="1"/>
  <c r="CU691" i="1" s="1"/>
  <c r="CV691" i="1" s="1"/>
  <c r="CW691" i="1" s="1"/>
  <c r="CX691" i="1" s="1"/>
  <c r="CY691" i="1" s="1"/>
  <c r="BX681" i="1"/>
  <c r="BW685" i="1"/>
  <c r="BY685" i="1" s="1"/>
  <c r="BX672" i="1"/>
  <c r="BU687" i="1"/>
  <c r="BW687" i="1" s="1"/>
  <c r="BU686" i="1"/>
  <c r="BW686" i="1" s="1"/>
  <c r="BT682" i="1"/>
  <c r="BU683" i="1"/>
  <c r="BV683" i="1" s="1"/>
  <c r="BU684" i="1"/>
  <c r="BW684" i="1" s="1"/>
  <c r="BV681" i="1"/>
  <c r="BY681" i="1"/>
  <c r="BW680" i="1"/>
  <c r="BY672" i="1"/>
  <c r="BV672" i="1"/>
  <c r="BV693" i="1"/>
  <c r="BU692" i="1"/>
  <c r="BY692" i="1" s="1"/>
  <c r="BZ692" i="1" s="1"/>
  <c r="CA692" i="1" s="1"/>
  <c r="CB692" i="1" s="1"/>
  <c r="CC692" i="1" s="1"/>
  <c r="CD692" i="1" s="1"/>
  <c r="CE692" i="1" s="1"/>
  <c r="CF692" i="1" s="1"/>
  <c r="CG692" i="1" s="1"/>
  <c r="CH692" i="1" s="1"/>
  <c r="CI692" i="1" s="1"/>
  <c r="CJ692" i="1" s="1"/>
  <c r="BF669" i="1"/>
  <c r="BH669" i="1" s="1"/>
  <c r="BV696" i="1"/>
  <c r="BV695" i="1"/>
  <c r="BU694" i="1"/>
  <c r="BY694" i="1" s="1"/>
  <c r="BZ695" i="1"/>
  <c r="CA695" i="1" s="1"/>
  <c r="CB695" i="1" s="1"/>
  <c r="CC695" i="1" s="1"/>
  <c r="CD695" i="1" s="1"/>
  <c r="CE695" i="1" s="1"/>
  <c r="CF695" i="1" s="1"/>
  <c r="CG695" i="1" s="1"/>
  <c r="CH695" i="1" s="1"/>
  <c r="CI695" i="1" s="1"/>
  <c r="CJ695" i="1" s="1"/>
  <c r="CK693" i="1"/>
  <c r="BX679" i="1"/>
  <c r="CL679" i="1"/>
  <c r="CM679" i="1" s="1"/>
  <c r="BG678" i="1"/>
  <c r="AP678" i="1"/>
  <c r="AB677" i="1"/>
  <c r="AO677" i="1" s="1"/>
  <c r="AB678" i="1"/>
  <c r="AC678" i="1" s="1"/>
  <c r="AB676" i="1"/>
  <c r="AC676" i="1" s="1"/>
  <c r="AB675" i="1"/>
  <c r="AC675" i="1" s="1"/>
  <c r="AB674" i="1"/>
  <c r="AO674" i="1" s="1"/>
  <c r="CN692" i="1" l="1"/>
  <c r="CO692" i="1" s="1"/>
  <c r="CP692" i="1" s="1"/>
  <c r="CQ692" i="1" s="1"/>
  <c r="CR692" i="1" s="1"/>
  <c r="CS692" i="1" s="1"/>
  <c r="CT692" i="1" s="1"/>
  <c r="CU692" i="1" s="1"/>
  <c r="CV692" i="1" s="1"/>
  <c r="CW692" i="1" s="1"/>
  <c r="CX692" i="1" s="1"/>
  <c r="CY692" i="1" s="1"/>
  <c r="CN695" i="1"/>
  <c r="CO695" i="1" s="1"/>
  <c r="CP695" i="1" s="1"/>
  <c r="CQ695" i="1" s="1"/>
  <c r="CR695" i="1" s="1"/>
  <c r="CS695" i="1" s="1"/>
  <c r="CT695" i="1" s="1"/>
  <c r="CU695" i="1" s="1"/>
  <c r="CV695" i="1" s="1"/>
  <c r="CW695" i="1" s="1"/>
  <c r="CX695" i="1" s="1"/>
  <c r="CY695" i="1" s="1"/>
  <c r="CZ695" i="1" s="1"/>
  <c r="BY689" i="1"/>
  <c r="BZ689" i="1" s="1"/>
  <c r="CA689" i="1" s="1"/>
  <c r="CB689" i="1" s="1"/>
  <c r="CC689" i="1" s="1"/>
  <c r="CD689" i="1" s="1"/>
  <c r="CE689" i="1" s="1"/>
  <c r="CF689" i="1" s="1"/>
  <c r="CG689" i="1" s="1"/>
  <c r="CH689" i="1" s="1"/>
  <c r="CI689" i="1" s="1"/>
  <c r="BK679" i="1"/>
  <c r="BL679" i="1" s="1"/>
  <c r="BM679" i="1" s="1"/>
  <c r="BN679" i="1" s="1"/>
  <c r="BO679" i="1" s="1"/>
  <c r="BP679" i="1" s="1"/>
  <c r="BQ679" i="1" s="1"/>
  <c r="BR679" i="1" s="1"/>
  <c r="BS679" i="1" s="1"/>
  <c r="BT679" i="1" s="1"/>
  <c r="BU679" i="1" s="1"/>
  <c r="BY679" i="1" s="1"/>
  <c r="BZ679" i="1" s="1"/>
  <c r="CA679" i="1" s="1"/>
  <c r="CB679" i="1" s="1"/>
  <c r="CC679" i="1" s="1"/>
  <c r="CD679" i="1" s="1"/>
  <c r="CE679" i="1" s="1"/>
  <c r="CF679" i="1" s="1"/>
  <c r="CG679" i="1" s="1"/>
  <c r="CH679" i="1" s="1"/>
  <c r="CI679" i="1" s="1"/>
  <c r="CJ679" i="1" s="1"/>
  <c r="BW690" i="1"/>
  <c r="BX690" i="1" s="1"/>
  <c r="BW683" i="1"/>
  <c r="BX683" i="1" s="1"/>
  <c r="CJ688" i="1"/>
  <c r="BX686" i="1"/>
  <c r="BI669" i="1"/>
  <c r="BX680" i="1"/>
  <c r="BX684" i="1"/>
  <c r="BX687" i="1"/>
  <c r="BX685" i="1"/>
  <c r="BV687" i="1"/>
  <c r="BY686" i="1"/>
  <c r="BV686" i="1"/>
  <c r="BZ685" i="1"/>
  <c r="CA685" i="1" s="1"/>
  <c r="CB685" i="1" s="1"/>
  <c r="CC685" i="1" s="1"/>
  <c r="CD685" i="1" s="1"/>
  <c r="CE685" i="1" s="1"/>
  <c r="CF685" i="1" s="1"/>
  <c r="CG685" i="1" s="1"/>
  <c r="CH685" i="1" s="1"/>
  <c r="CI685" i="1" s="1"/>
  <c r="BY687" i="1"/>
  <c r="BU682" i="1"/>
  <c r="BV682" i="1" s="1"/>
  <c r="BV684" i="1"/>
  <c r="BY684" i="1"/>
  <c r="BZ681" i="1"/>
  <c r="CA681" i="1" s="1"/>
  <c r="CB681" i="1" s="1"/>
  <c r="CC681" i="1" s="1"/>
  <c r="CD681" i="1" s="1"/>
  <c r="CE681" i="1" s="1"/>
  <c r="CF681" i="1" s="1"/>
  <c r="CG681" i="1" s="1"/>
  <c r="CH681" i="1" s="1"/>
  <c r="CI681" i="1" s="1"/>
  <c r="BY680" i="1"/>
  <c r="BZ672" i="1"/>
  <c r="CA672" i="1" s="1"/>
  <c r="CB672" i="1" s="1"/>
  <c r="CC672" i="1" s="1"/>
  <c r="CD672" i="1" s="1"/>
  <c r="CE672" i="1" s="1"/>
  <c r="CF672" i="1" s="1"/>
  <c r="CG672" i="1" s="1"/>
  <c r="CH672" i="1" s="1"/>
  <c r="CI672" i="1" s="1"/>
  <c r="AP674" i="1"/>
  <c r="AR674" i="1"/>
  <c r="AP677" i="1"/>
  <c r="AR677" i="1"/>
  <c r="BJ669" i="1"/>
  <c r="BG669" i="1"/>
  <c r="CK696" i="1"/>
  <c r="CK695" i="1"/>
  <c r="BZ694" i="1"/>
  <c r="CA694" i="1" s="1"/>
  <c r="CB694" i="1" s="1"/>
  <c r="CC694" i="1" s="1"/>
  <c r="CD694" i="1" s="1"/>
  <c r="CE694" i="1" s="1"/>
  <c r="CF694" i="1" s="1"/>
  <c r="CG694" i="1" s="1"/>
  <c r="CH694" i="1" s="1"/>
  <c r="CI694" i="1" s="1"/>
  <c r="CJ694" i="1" s="1"/>
  <c r="CZ693" i="1"/>
  <c r="BV694" i="1"/>
  <c r="AC677" i="1"/>
  <c r="AO678" i="1"/>
  <c r="AR678" i="1" s="1"/>
  <c r="AQ676" i="1"/>
  <c r="AQ677" i="1"/>
  <c r="AU677" i="1" s="1"/>
  <c r="AQ675" i="1"/>
  <c r="AC674" i="1"/>
  <c r="AO676" i="1"/>
  <c r="AR676" i="1" s="1"/>
  <c r="AQ674" i="1"/>
  <c r="AQ678" i="1"/>
  <c r="AO675" i="1"/>
  <c r="AR675" i="1" s="1"/>
  <c r="CZ585" i="1"/>
  <c r="CZ584" i="1"/>
  <c r="CZ574" i="1"/>
  <c r="CZ573" i="1"/>
  <c r="CZ571" i="1"/>
  <c r="CZ561" i="1"/>
  <c r="CZ557" i="1"/>
  <c r="CZ556" i="1"/>
  <c r="CZ555" i="1"/>
  <c r="CZ554" i="1"/>
  <c r="CZ553" i="1"/>
  <c r="CZ552" i="1"/>
  <c r="CZ551" i="1"/>
  <c r="CZ550" i="1"/>
  <c r="CZ549" i="1"/>
  <c r="CZ548" i="1"/>
  <c r="CZ547" i="1"/>
  <c r="CZ546" i="1"/>
  <c r="CZ545" i="1"/>
  <c r="CZ544" i="1"/>
  <c r="CZ543" i="1"/>
  <c r="CZ542" i="1"/>
  <c r="CZ541" i="1"/>
  <c r="CZ540" i="1"/>
  <c r="CZ539" i="1"/>
  <c r="CZ538" i="1"/>
  <c r="CZ537" i="1"/>
  <c r="CZ536" i="1"/>
  <c r="CZ535" i="1"/>
  <c r="CZ534" i="1"/>
  <c r="CZ533" i="1"/>
  <c r="CZ527" i="1"/>
  <c r="CZ526" i="1"/>
  <c r="CZ525" i="1"/>
  <c r="CZ524" i="1"/>
  <c r="CZ516" i="1"/>
  <c r="CZ512" i="1"/>
  <c r="CZ510" i="1"/>
  <c r="CZ509" i="1"/>
  <c r="CZ500" i="1"/>
  <c r="CZ496" i="1"/>
  <c r="CZ495" i="1"/>
  <c r="CZ493" i="1"/>
  <c r="CZ492" i="1"/>
  <c r="CZ491" i="1"/>
  <c r="CZ490" i="1"/>
  <c r="CZ464" i="1"/>
  <c r="CZ448" i="1"/>
  <c r="CZ444" i="1"/>
  <c r="CZ439" i="1"/>
  <c r="CZ431" i="1"/>
  <c r="CZ425" i="1"/>
  <c r="CZ420" i="1"/>
  <c r="CZ419" i="1"/>
  <c r="CZ418" i="1"/>
  <c r="CZ407" i="1"/>
  <c r="CZ400" i="1"/>
  <c r="CZ380" i="1"/>
  <c r="CZ367" i="1"/>
  <c r="CZ364" i="1"/>
  <c r="CZ353" i="1"/>
  <c r="CZ347" i="1"/>
  <c r="CZ345" i="1"/>
  <c r="CZ343" i="1"/>
  <c r="CZ341" i="1"/>
  <c r="CZ340" i="1"/>
  <c r="CZ339" i="1"/>
  <c r="CZ335" i="1"/>
  <c r="CZ334" i="1"/>
  <c r="CZ333" i="1"/>
  <c r="CZ332" i="1"/>
  <c r="CZ331" i="1"/>
  <c r="CZ330" i="1"/>
  <c r="CZ329" i="1"/>
  <c r="CZ328" i="1"/>
  <c r="CZ327" i="1"/>
  <c r="CZ319" i="1"/>
  <c r="CZ318" i="1"/>
  <c r="CZ302" i="1"/>
  <c r="CZ301" i="1"/>
  <c r="CZ291" i="1"/>
  <c r="CZ290" i="1"/>
  <c r="CZ289" i="1"/>
  <c r="CZ288" i="1"/>
  <c r="CZ247" i="1"/>
  <c r="CZ246" i="1"/>
  <c r="CZ245" i="1"/>
  <c r="CZ244" i="1"/>
  <c r="CZ243" i="1"/>
  <c r="CZ226" i="1"/>
  <c r="CZ225" i="1"/>
  <c r="CZ223" i="1"/>
  <c r="CZ219" i="1"/>
  <c r="CZ201" i="1"/>
  <c r="CZ198" i="1"/>
  <c r="CZ195" i="1"/>
  <c r="CZ190" i="1"/>
  <c r="CZ166" i="1"/>
  <c r="CZ165" i="1"/>
  <c r="CZ160" i="1"/>
  <c r="CZ152" i="1"/>
  <c r="CZ151" i="1"/>
  <c r="CZ150" i="1"/>
  <c r="CZ149" i="1"/>
  <c r="CZ145" i="1"/>
  <c r="CZ115" i="1"/>
  <c r="CZ113" i="1"/>
  <c r="CZ111" i="1"/>
  <c r="CZ110" i="1"/>
  <c r="CZ109" i="1"/>
  <c r="CZ104" i="1"/>
  <c r="CZ101" i="1"/>
  <c r="CZ99" i="1"/>
  <c r="CZ74" i="1"/>
  <c r="CZ72" i="1"/>
  <c r="CZ56" i="1"/>
  <c r="CZ52" i="1"/>
  <c r="CZ47" i="1"/>
  <c r="CZ46" i="1"/>
  <c r="CZ41" i="1"/>
  <c r="CZ39" i="1"/>
  <c r="CZ34" i="1"/>
  <c r="CZ33" i="1"/>
  <c r="CZ32" i="1"/>
  <c r="CZ18" i="1"/>
  <c r="CZ13" i="1"/>
  <c r="CZ11" i="1"/>
  <c r="CZ10" i="1"/>
  <c r="CM673" i="1"/>
  <c r="CM671" i="1"/>
  <c r="CM670" i="1"/>
  <c r="CM668" i="1"/>
  <c r="CM667" i="1"/>
  <c r="CM666" i="1"/>
  <c r="CM664" i="1"/>
  <c r="CM663" i="1"/>
  <c r="CM662" i="1"/>
  <c r="CM661" i="1"/>
  <c r="CM660" i="1"/>
  <c r="CM659" i="1"/>
  <c r="CM658" i="1"/>
  <c r="CM657" i="1"/>
  <c r="CM656" i="1"/>
  <c r="CM655" i="1"/>
  <c r="CM654" i="1"/>
  <c r="CM653" i="1"/>
  <c r="CM652" i="1"/>
  <c r="CM651" i="1"/>
  <c r="CM650" i="1"/>
  <c r="CM649" i="1"/>
  <c r="CM648" i="1"/>
  <c r="CM647" i="1"/>
  <c r="CM646" i="1"/>
  <c r="CM645" i="1"/>
  <c r="CM644" i="1"/>
  <c r="CM643" i="1"/>
  <c r="CM642" i="1"/>
  <c r="CM641" i="1"/>
  <c r="CM640" i="1"/>
  <c r="CM637" i="1"/>
  <c r="CM636" i="1"/>
  <c r="CM635" i="1"/>
  <c r="CM634" i="1"/>
  <c r="CM629" i="1"/>
  <c r="CM628" i="1"/>
  <c r="CM627" i="1"/>
  <c r="CM626" i="1"/>
  <c r="CM625" i="1"/>
  <c r="CM624" i="1"/>
  <c r="CM623" i="1"/>
  <c r="CM622" i="1"/>
  <c r="CM621" i="1"/>
  <c r="CM620" i="1"/>
  <c r="CM619" i="1"/>
  <c r="CM618" i="1"/>
  <c r="CM617" i="1"/>
  <c r="CM616" i="1"/>
  <c r="CM615" i="1"/>
  <c r="CM614" i="1"/>
  <c r="CM613" i="1"/>
  <c r="CM612" i="1"/>
  <c r="CM611" i="1"/>
  <c r="CM610" i="1"/>
  <c r="CM609" i="1"/>
  <c r="CM608" i="1"/>
  <c r="CM607" i="1"/>
  <c r="CM606" i="1"/>
  <c r="CM605" i="1"/>
  <c r="CM604" i="1"/>
  <c r="CM603" i="1"/>
  <c r="CM602" i="1"/>
  <c r="CM599" i="1"/>
  <c r="CM598" i="1"/>
  <c r="CM597" i="1"/>
  <c r="CM596" i="1"/>
  <c r="CM595" i="1"/>
  <c r="CM594" i="1"/>
  <c r="CM593" i="1"/>
  <c r="CM592" i="1"/>
  <c r="CM591" i="1"/>
  <c r="CM589" i="1"/>
  <c r="CM588" i="1"/>
  <c r="CM585" i="1"/>
  <c r="CM583" i="1"/>
  <c r="CM581" i="1"/>
  <c r="CM580" i="1"/>
  <c r="CM579" i="1"/>
  <c r="CM578" i="1"/>
  <c r="CM577" i="1"/>
  <c r="CM576" i="1"/>
  <c r="CM575" i="1"/>
  <c r="CM570" i="1"/>
  <c r="CM569" i="1"/>
  <c r="CM568" i="1"/>
  <c r="CM567" i="1"/>
  <c r="CM565" i="1"/>
  <c r="CM563" i="1"/>
  <c r="CM562" i="1"/>
  <c r="CM531" i="1"/>
  <c r="CM530" i="1"/>
  <c r="CM529" i="1"/>
  <c r="CM528" i="1"/>
  <c r="CM523" i="1"/>
  <c r="CM522" i="1"/>
  <c r="CM521" i="1"/>
  <c r="CM520" i="1"/>
  <c r="CM519" i="1"/>
  <c r="CM518" i="1"/>
  <c r="CM517" i="1"/>
  <c r="CM515" i="1"/>
  <c r="CM514" i="1"/>
  <c r="CM511" i="1"/>
  <c r="CM508" i="1"/>
  <c r="CM507" i="1"/>
  <c r="CM505" i="1"/>
  <c r="CM504" i="1"/>
  <c r="CM503" i="1"/>
  <c r="CM502" i="1"/>
  <c r="CM501" i="1"/>
  <c r="CM499" i="1"/>
  <c r="CM498" i="1"/>
  <c r="CM494" i="1"/>
  <c r="CM488" i="1"/>
  <c r="CM487" i="1"/>
  <c r="CM486" i="1"/>
  <c r="CM482" i="1"/>
  <c r="CM481" i="1"/>
  <c r="CM480" i="1"/>
  <c r="CM479" i="1"/>
  <c r="CM477" i="1"/>
  <c r="CM476" i="1"/>
  <c r="CM475" i="1"/>
  <c r="CM474" i="1"/>
  <c r="CM473" i="1"/>
  <c r="CM472" i="1"/>
  <c r="CM471" i="1"/>
  <c r="CM470" i="1"/>
  <c r="CM468" i="1"/>
  <c r="CM467" i="1"/>
  <c r="CM466" i="1"/>
  <c r="CM465" i="1"/>
  <c r="CM463" i="1"/>
  <c r="CM462" i="1"/>
  <c r="CM461" i="1"/>
  <c r="CM460" i="1"/>
  <c r="CM459" i="1"/>
  <c r="CM457" i="1"/>
  <c r="CM456" i="1"/>
  <c r="CM452" i="1"/>
  <c r="CM451" i="1"/>
  <c r="CM434" i="1"/>
  <c r="CM433" i="1"/>
  <c r="CM432" i="1"/>
  <c r="CM430" i="1"/>
  <c r="CM429" i="1"/>
  <c r="CM428" i="1"/>
  <c r="CM426" i="1"/>
  <c r="CM424" i="1"/>
  <c r="CM422" i="1"/>
  <c r="CM421" i="1"/>
  <c r="CM417" i="1"/>
  <c r="CM415" i="1"/>
  <c r="CM414" i="1"/>
  <c r="CM413" i="1"/>
  <c r="CM411" i="1"/>
  <c r="CM410" i="1"/>
  <c r="CM409" i="1"/>
  <c r="CM408" i="1"/>
  <c r="CM406" i="1"/>
  <c r="CM405" i="1"/>
  <c r="CM403" i="1"/>
  <c r="CM402" i="1"/>
  <c r="CM401" i="1"/>
  <c r="CM399" i="1"/>
  <c r="CM398" i="1"/>
  <c r="CM397" i="1"/>
  <c r="CM396" i="1"/>
  <c r="CM395" i="1"/>
  <c r="CM394" i="1"/>
  <c r="CM393" i="1"/>
  <c r="CM391" i="1"/>
  <c r="CM390" i="1"/>
  <c r="CM388" i="1"/>
  <c r="CM387" i="1"/>
  <c r="CM386" i="1"/>
  <c r="CM385" i="1"/>
  <c r="CM384" i="1"/>
  <c r="CM383" i="1"/>
  <c r="CM382" i="1"/>
  <c r="CM381" i="1"/>
  <c r="CM379" i="1"/>
  <c r="CM377" i="1"/>
  <c r="CM375" i="1"/>
  <c r="CM374" i="1"/>
  <c r="CM373" i="1"/>
  <c r="CM371" i="1"/>
  <c r="CM370" i="1"/>
  <c r="CM369" i="1"/>
  <c r="CM368" i="1"/>
  <c r="CM366" i="1"/>
  <c r="CM365" i="1"/>
  <c r="CM363" i="1"/>
  <c r="CM362" i="1"/>
  <c r="CM361" i="1"/>
  <c r="CM360" i="1"/>
  <c r="CM359" i="1"/>
  <c r="CM358" i="1"/>
  <c r="CM357" i="1"/>
  <c r="CM356" i="1"/>
  <c r="CM355" i="1"/>
  <c r="CM354" i="1"/>
  <c r="CM352" i="1"/>
  <c r="CM351" i="1"/>
  <c r="CM350" i="1"/>
  <c r="CM349" i="1"/>
  <c r="CM348" i="1"/>
  <c r="CM346" i="1"/>
  <c r="CM342" i="1"/>
  <c r="CM338" i="1"/>
  <c r="CM324" i="1"/>
  <c r="CM322" i="1"/>
  <c r="CM317" i="1"/>
  <c r="CM316" i="1"/>
  <c r="CM315" i="1"/>
  <c r="CM314" i="1"/>
  <c r="CM313" i="1"/>
  <c r="CM312" i="1"/>
  <c r="CM311" i="1"/>
  <c r="CM310" i="1"/>
  <c r="CM309" i="1"/>
  <c r="CM308" i="1"/>
  <c r="CM307" i="1"/>
  <c r="CM305" i="1"/>
  <c r="CM304" i="1"/>
  <c r="CM300" i="1"/>
  <c r="CM299" i="1"/>
  <c r="CM298" i="1"/>
  <c r="CM297" i="1"/>
  <c r="CM296" i="1"/>
  <c r="CM295" i="1"/>
  <c r="CM294" i="1"/>
  <c r="CM293" i="1"/>
  <c r="CM292" i="1"/>
  <c r="CM287" i="1"/>
  <c r="CM286" i="1"/>
  <c r="CM285" i="1"/>
  <c r="CM284" i="1"/>
  <c r="CM283" i="1"/>
  <c r="CM282" i="1"/>
  <c r="CM281" i="1"/>
  <c r="CM280" i="1"/>
  <c r="CM279" i="1"/>
  <c r="CM278" i="1"/>
  <c r="CM277" i="1"/>
  <c r="CM276" i="1"/>
  <c r="CM275" i="1"/>
  <c r="CM274" i="1"/>
  <c r="CM273" i="1"/>
  <c r="CM272" i="1"/>
  <c r="CM271" i="1"/>
  <c r="CM270" i="1"/>
  <c r="CM269" i="1"/>
  <c r="CM268" i="1"/>
  <c r="CM267" i="1"/>
  <c r="CM266" i="1"/>
  <c r="CM265" i="1"/>
  <c r="CM264" i="1"/>
  <c r="CM263" i="1"/>
  <c r="CM262" i="1"/>
  <c r="CM261" i="1"/>
  <c r="CM260" i="1"/>
  <c r="CM232" i="1"/>
  <c r="CM222" i="1"/>
  <c r="CM221" i="1"/>
  <c r="CM218" i="1"/>
  <c r="CM217" i="1"/>
  <c r="CM216" i="1"/>
  <c r="CM215" i="1"/>
  <c r="CM214" i="1"/>
  <c r="CM213" i="1"/>
  <c r="CM212" i="1"/>
  <c r="CM211" i="1"/>
  <c r="CM210" i="1"/>
  <c r="CM209" i="1"/>
  <c r="CM208" i="1"/>
  <c r="CM207" i="1"/>
  <c r="CM206" i="1"/>
  <c r="CM205" i="1"/>
  <c r="CM204" i="1"/>
  <c r="CM203" i="1"/>
  <c r="CM202" i="1"/>
  <c r="CM200" i="1"/>
  <c r="CM199" i="1"/>
  <c r="CM197" i="1"/>
  <c r="CM193" i="1"/>
  <c r="CM192" i="1"/>
  <c r="CM191" i="1"/>
  <c r="CM189" i="1"/>
  <c r="CM188" i="1"/>
  <c r="CM187" i="1"/>
  <c r="CM186" i="1"/>
  <c r="CM185" i="1"/>
  <c r="CM184" i="1"/>
  <c r="CM183" i="1"/>
  <c r="CM182" i="1"/>
  <c r="CM181" i="1"/>
  <c r="CM180" i="1"/>
  <c r="CM179" i="1"/>
  <c r="CM178" i="1"/>
  <c r="CM177" i="1"/>
  <c r="CM176" i="1"/>
  <c r="CM175" i="1"/>
  <c r="CM172" i="1"/>
  <c r="CM171" i="1"/>
  <c r="CM169" i="1"/>
  <c r="CM167" i="1"/>
  <c r="CM161" i="1"/>
  <c r="CM159" i="1"/>
  <c r="CM158" i="1"/>
  <c r="CM157" i="1"/>
  <c r="CM156" i="1"/>
  <c r="CM153" i="1"/>
  <c r="CM148" i="1"/>
  <c r="CM147" i="1"/>
  <c r="CM146" i="1"/>
  <c r="CM122" i="1"/>
  <c r="CM120" i="1"/>
  <c r="CM119" i="1"/>
  <c r="CM118" i="1"/>
  <c r="CM117" i="1"/>
  <c r="CM116" i="1"/>
  <c r="CM114" i="1"/>
  <c r="CM112" i="1"/>
  <c r="CM108" i="1"/>
  <c r="CM107" i="1"/>
  <c r="CM106" i="1"/>
  <c r="CM105" i="1"/>
  <c r="CM103" i="1"/>
  <c r="CM102" i="1"/>
  <c r="CM100" i="1"/>
  <c r="CM98" i="1"/>
  <c r="CM97" i="1"/>
  <c r="CM96" i="1"/>
  <c r="CM95" i="1"/>
  <c r="CM92" i="1"/>
  <c r="CM91" i="1"/>
  <c r="CM90" i="1"/>
  <c r="CM89" i="1"/>
  <c r="CM88" i="1"/>
  <c r="CM87" i="1"/>
  <c r="CM86" i="1"/>
  <c r="CM85" i="1"/>
  <c r="CM84" i="1"/>
  <c r="CM83" i="1"/>
  <c r="CM82" i="1"/>
  <c r="CM81" i="1"/>
  <c r="CM80" i="1"/>
  <c r="CM79" i="1"/>
  <c r="CM77" i="1"/>
  <c r="CM76" i="1"/>
  <c r="CM75" i="1"/>
  <c r="CM73" i="1"/>
  <c r="CM71" i="1"/>
  <c r="CM70" i="1"/>
  <c r="CM69" i="1"/>
  <c r="CM68" i="1"/>
  <c r="CM67" i="1"/>
  <c r="CM66" i="1"/>
  <c r="CM65" i="1"/>
  <c r="CM64" i="1"/>
  <c r="CM63" i="1"/>
  <c r="CM62" i="1"/>
  <c r="CM61" i="1"/>
  <c r="CM60" i="1"/>
  <c r="CM58" i="1"/>
  <c r="CM57" i="1"/>
  <c r="CM55" i="1"/>
  <c r="CM54" i="1"/>
  <c r="CM50" i="1"/>
  <c r="CM49" i="1"/>
  <c r="CM48" i="1"/>
  <c r="CM44" i="1"/>
  <c r="CM43" i="1"/>
  <c r="CM42" i="1"/>
  <c r="CM37" i="1"/>
  <c r="CM36" i="1"/>
  <c r="CM35" i="1"/>
  <c r="CM28" i="1"/>
  <c r="CM27" i="1"/>
  <c r="CM25" i="1"/>
  <c r="CM23" i="1"/>
  <c r="CM21" i="1"/>
  <c r="CM15" i="1"/>
  <c r="CM14" i="1"/>
  <c r="CM12" i="1"/>
  <c r="CM7" i="1"/>
  <c r="CM6" i="1"/>
  <c r="CM5" i="1"/>
  <c r="CM4" i="1"/>
  <c r="CK318" i="1"/>
  <c r="BX673" i="1"/>
  <c r="BX671" i="1"/>
  <c r="BX670" i="1"/>
  <c r="BX668" i="1"/>
  <c r="BX667" i="1"/>
  <c r="BX666" i="1"/>
  <c r="BX664" i="1"/>
  <c r="BX663" i="1"/>
  <c r="BX662" i="1"/>
  <c r="BX661" i="1"/>
  <c r="BX660" i="1"/>
  <c r="BX659" i="1"/>
  <c r="BX658" i="1"/>
  <c r="BX657" i="1"/>
  <c r="BX656" i="1"/>
  <c r="BX655" i="1"/>
  <c r="BX654" i="1"/>
  <c r="BX653" i="1"/>
  <c r="BX652" i="1"/>
  <c r="BX651" i="1"/>
  <c r="BX650" i="1"/>
  <c r="BX649" i="1"/>
  <c r="BX648" i="1"/>
  <c r="BX647" i="1"/>
  <c r="BX646" i="1"/>
  <c r="BX645" i="1"/>
  <c r="BX644" i="1"/>
  <c r="BX643" i="1"/>
  <c r="BX642" i="1"/>
  <c r="BX641" i="1"/>
  <c r="BX640" i="1"/>
  <c r="BX637" i="1"/>
  <c r="BX636" i="1"/>
  <c r="BX635" i="1"/>
  <c r="BX634" i="1"/>
  <c r="BX629" i="1"/>
  <c r="BX628" i="1"/>
  <c r="BX627" i="1"/>
  <c r="BX626" i="1"/>
  <c r="BX625" i="1"/>
  <c r="BX624" i="1"/>
  <c r="BX623" i="1"/>
  <c r="BX622" i="1"/>
  <c r="BX621" i="1"/>
  <c r="BX620" i="1"/>
  <c r="BX619" i="1"/>
  <c r="BX618" i="1"/>
  <c r="BX617" i="1"/>
  <c r="BX616" i="1"/>
  <c r="BX615" i="1"/>
  <c r="BX614" i="1"/>
  <c r="BX613" i="1"/>
  <c r="BX612" i="1"/>
  <c r="BX611" i="1"/>
  <c r="BX610" i="1"/>
  <c r="BX609" i="1"/>
  <c r="BX608" i="1"/>
  <c r="BX607" i="1"/>
  <c r="BX606" i="1"/>
  <c r="BX605" i="1"/>
  <c r="BX604" i="1"/>
  <c r="BX603" i="1"/>
  <c r="BX602" i="1"/>
  <c r="BX601" i="1"/>
  <c r="BX600" i="1"/>
  <c r="BX599" i="1"/>
  <c r="BX598" i="1"/>
  <c r="BX597" i="1"/>
  <c r="BX596" i="1"/>
  <c r="BX595" i="1"/>
  <c r="BX594" i="1"/>
  <c r="BX593" i="1"/>
  <c r="BX592" i="1"/>
  <c r="BX591" i="1"/>
  <c r="BX589" i="1"/>
  <c r="BX588" i="1"/>
  <c r="BX585" i="1"/>
  <c r="BX583" i="1"/>
  <c r="BX581" i="1"/>
  <c r="BX580" i="1"/>
  <c r="BX579" i="1"/>
  <c r="BX578" i="1"/>
  <c r="BX577" i="1"/>
  <c r="BX576" i="1"/>
  <c r="BX575" i="1"/>
  <c r="BX570" i="1"/>
  <c r="BX569" i="1"/>
  <c r="BX568" i="1"/>
  <c r="BX567" i="1"/>
  <c r="BX565" i="1"/>
  <c r="BX563" i="1"/>
  <c r="BX562" i="1"/>
  <c r="BX531" i="1"/>
  <c r="BX530" i="1"/>
  <c r="BX529" i="1"/>
  <c r="BX528" i="1"/>
  <c r="BX523" i="1"/>
  <c r="BX522" i="1"/>
  <c r="BX521" i="1"/>
  <c r="BX520" i="1"/>
  <c r="BX519" i="1"/>
  <c r="BX518" i="1"/>
  <c r="BX517" i="1"/>
  <c r="BX515" i="1"/>
  <c r="BX514" i="1"/>
  <c r="BX511" i="1"/>
  <c r="BX508" i="1"/>
  <c r="BX507" i="1"/>
  <c r="BY506" i="1"/>
  <c r="BZ506" i="1" s="1"/>
  <c r="CA506" i="1" s="1"/>
  <c r="CB506" i="1" s="1"/>
  <c r="CC506" i="1" s="1"/>
  <c r="CD506" i="1" s="1"/>
  <c r="CE506" i="1" s="1"/>
  <c r="CF506" i="1" s="1"/>
  <c r="CG506" i="1" s="1"/>
  <c r="CH506" i="1" s="1"/>
  <c r="CI506" i="1" s="1"/>
  <c r="CJ506" i="1" s="1"/>
  <c r="BX505" i="1"/>
  <c r="BX504" i="1"/>
  <c r="BX503" i="1"/>
  <c r="BX502" i="1"/>
  <c r="BX501" i="1"/>
  <c r="BX499" i="1"/>
  <c r="BX498" i="1"/>
  <c r="BX494" i="1"/>
  <c r="BX488" i="1"/>
  <c r="BX487" i="1"/>
  <c r="BX486" i="1"/>
  <c r="BX482" i="1"/>
  <c r="BX481" i="1"/>
  <c r="BX480" i="1"/>
  <c r="BX479" i="1"/>
  <c r="BX478" i="1"/>
  <c r="BX477" i="1"/>
  <c r="BX476" i="1"/>
  <c r="BX475" i="1"/>
  <c r="BX474" i="1"/>
  <c r="BX473" i="1"/>
  <c r="BX472" i="1"/>
  <c r="BX471" i="1"/>
  <c r="BX470" i="1"/>
  <c r="BX468" i="1"/>
  <c r="BX467" i="1"/>
  <c r="BX466" i="1"/>
  <c r="BX465" i="1"/>
  <c r="BX463" i="1"/>
  <c r="BX462" i="1"/>
  <c r="BX461" i="1"/>
  <c r="BX460" i="1"/>
  <c r="BX459" i="1"/>
  <c r="BX457" i="1"/>
  <c r="BX456" i="1"/>
  <c r="BX452" i="1"/>
  <c r="BX451" i="1"/>
  <c r="BX447" i="1"/>
  <c r="BX446" i="1"/>
  <c r="BX445" i="1"/>
  <c r="BX443" i="1"/>
  <c r="BX442" i="1"/>
  <c r="BX441" i="1"/>
  <c r="BX434" i="1"/>
  <c r="BX433" i="1"/>
  <c r="BX432" i="1"/>
  <c r="BX430" i="1"/>
  <c r="BX429" i="1"/>
  <c r="BX428" i="1"/>
  <c r="BX426" i="1"/>
  <c r="BX424" i="1"/>
  <c r="BX422" i="1"/>
  <c r="BX421" i="1"/>
  <c r="BX417" i="1"/>
  <c r="BX415" i="1"/>
  <c r="BX414" i="1"/>
  <c r="BX413" i="1"/>
  <c r="BX411" i="1"/>
  <c r="BX410" i="1"/>
  <c r="BX409" i="1"/>
  <c r="BX408" i="1"/>
  <c r="BX406" i="1"/>
  <c r="BX405" i="1"/>
  <c r="BX403" i="1"/>
  <c r="BX402" i="1"/>
  <c r="BX401" i="1"/>
  <c r="BX399" i="1"/>
  <c r="BX398" i="1"/>
  <c r="BX397" i="1"/>
  <c r="BX396" i="1"/>
  <c r="BX395" i="1"/>
  <c r="BX394" i="1"/>
  <c r="BX393" i="1"/>
  <c r="BX391" i="1"/>
  <c r="BX390" i="1"/>
  <c r="BX388" i="1"/>
  <c r="BX387" i="1"/>
  <c r="BX386" i="1"/>
  <c r="BX385" i="1"/>
  <c r="BX384" i="1"/>
  <c r="BX383" i="1"/>
  <c r="BX382" i="1"/>
  <c r="BX381" i="1"/>
  <c r="BX379" i="1"/>
  <c r="BX377" i="1"/>
  <c r="BX376" i="1"/>
  <c r="BX375" i="1"/>
  <c r="BX374" i="1"/>
  <c r="BX373" i="1"/>
  <c r="BX371" i="1"/>
  <c r="BX370" i="1"/>
  <c r="BX369" i="1"/>
  <c r="BX368" i="1"/>
  <c r="BX366" i="1"/>
  <c r="BX365" i="1"/>
  <c r="BX363" i="1"/>
  <c r="BX362" i="1"/>
  <c r="BX361" i="1"/>
  <c r="BX360" i="1"/>
  <c r="BX359" i="1"/>
  <c r="BX358" i="1"/>
  <c r="BX357" i="1"/>
  <c r="BX356" i="1"/>
  <c r="BX355" i="1"/>
  <c r="BX354" i="1"/>
  <c r="BX352" i="1"/>
  <c r="BX351" i="1"/>
  <c r="BX350" i="1"/>
  <c r="BX349" i="1"/>
  <c r="BX348" i="1"/>
  <c r="BX346" i="1"/>
  <c r="BX342" i="1"/>
  <c r="BX338" i="1"/>
  <c r="BX324" i="1"/>
  <c r="BX322" i="1"/>
  <c r="BX320" i="1"/>
  <c r="BX317" i="1"/>
  <c r="BX316" i="1"/>
  <c r="BX315" i="1"/>
  <c r="BX314" i="1"/>
  <c r="BX313" i="1"/>
  <c r="BX312" i="1"/>
  <c r="BX311" i="1"/>
  <c r="BX310" i="1"/>
  <c r="BX309" i="1"/>
  <c r="BX308" i="1"/>
  <c r="BX307" i="1"/>
  <c r="BX305" i="1"/>
  <c r="BX304" i="1"/>
  <c r="BX303" i="1"/>
  <c r="BX300" i="1"/>
  <c r="BX299" i="1"/>
  <c r="BX298" i="1"/>
  <c r="BX297" i="1"/>
  <c r="BX296" i="1"/>
  <c r="BX295" i="1"/>
  <c r="BX294" i="1"/>
  <c r="BX293" i="1"/>
  <c r="BX292" i="1"/>
  <c r="BX287" i="1"/>
  <c r="BX286" i="1"/>
  <c r="BX285" i="1"/>
  <c r="BX284" i="1"/>
  <c r="BX283" i="1"/>
  <c r="BX282" i="1"/>
  <c r="BX281" i="1"/>
  <c r="BX280" i="1"/>
  <c r="BX279" i="1"/>
  <c r="BX278" i="1"/>
  <c r="BX277" i="1"/>
  <c r="BX276" i="1"/>
  <c r="BX275" i="1"/>
  <c r="BX274" i="1"/>
  <c r="BX273" i="1"/>
  <c r="BX272" i="1"/>
  <c r="BX271" i="1"/>
  <c r="BX270" i="1"/>
  <c r="BX269" i="1"/>
  <c r="BX268" i="1"/>
  <c r="BX267" i="1"/>
  <c r="BX266" i="1"/>
  <c r="BX265" i="1"/>
  <c r="BX264" i="1"/>
  <c r="BX263" i="1"/>
  <c r="BX262" i="1"/>
  <c r="BX261" i="1"/>
  <c r="BX260" i="1"/>
  <c r="BX259" i="1"/>
  <c r="BX254" i="1"/>
  <c r="BX232" i="1"/>
  <c r="BX222" i="1"/>
  <c r="BX221" i="1"/>
  <c r="BX218" i="1"/>
  <c r="BX217" i="1"/>
  <c r="BX216" i="1"/>
  <c r="BX215" i="1"/>
  <c r="BX214" i="1"/>
  <c r="BX213" i="1"/>
  <c r="BX212" i="1"/>
  <c r="BX211" i="1"/>
  <c r="BX210" i="1"/>
  <c r="BX209" i="1"/>
  <c r="BX208" i="1"/>
  <c r="BX207" i="1"/>
  <c r="BX206" i="1"/>
  <c r="BX205" i="1"/>
  <c r="BX204" i="1"/>
  <c r="BX203" i="1"/>
  <c r="BX202" i="1"/>
  <c r="BX200" i="1"/>
  <c r="BX199" i="1"/>
  <c r="BX197" i="1"/>
  <c r="BX193" i="1"/>
  <c r="BX192" i="1"/>
  <c r="BX191" i="1"/>
  <c r="BX189" i="1"/>
  <c r="BX188" i="1"/>
  <c r="BX187" i="1"/>
  <c r="BX186" i="1"/>
  <c r="BX185" i="1"/>
  <c r="BX184" i="1"/>
  <c r="BX183" i="1"/>
  <c r="BX182" i="1"/>
  <c r="BX181" i="1"/>
  <c r="BX180" i="1"/>
  <c r="BX179" i="1"/>
  <c r="BX178" i="1"/>
  <c r="BX177" i="1"/>
  <c r="BX176" i="1"/>
  <c r="BX175" i="1"/>
  <c r="BX172" i="1"/>
  <c r="BX171" i="1"/>
  <c r="BX169" i="1"/>
  <c r="BX168" i="1"/>
  <c r="BX167" i="1"/>
  <c r="BX161" i="1"/>
  <c r="BX159" i="1"/>
  <c r="BX158" i="1"/>
  <c r="BX157" i="1"/>
  <c r="BX156" i="1"/>
  <c r="BX155" i="1"/>
  <c r="BX153" i="1"/>
  <c r="BX148" i="1"/>
  <c r="BX147" i="1"/>
  <c r="BX146" i="1"/>
  <c r="BX122" i="1"/>
  <c r="BX120" i="1"/>
  <c r="BX119" i="1"/>
  <c r="BX118" i="1"/>
  <c r="BX117" i="1"/>
  <c r="BX116" i="1"/>
  <c r="BX114" i="1"/>
  <c r="BX112" i="1"/>
  <c r="BX108" i="1"/>
  <c r="BX107" i="1"/>
  <c r="BX106" i="1"/>
  <c r="BX105" i="1"/>
  <c r="BX103" i="1"/>
  <c r="BX102" i="1"/>
  <c r="BX100" i="1"/>
  <c r="BX98" i="1"/>
  <c r="BX97" i="1"/>
  <c r="BX96" i="1"/>
  <c r="BX95" i="1"/>
  <c r="BX92" i="1"/>
  <c r="BX91" i="1"/>
  <c r="BX90" i="1"/>
  <c r="BX89" i="1"/>
  <c r="BX88" i="1"/>
  <c r="BX87" i="1"/>
  <c r="BX86" i="1"/>
  <c r="BX85" i="1"/>
  <c r="BX84" i="1"/>
  <c r="BX83" i="1"/>
  <c r="BX82" i="1"/>
  <c r="BX81" i="1"/>
  <c r="BX80" i="1"/>
  <c r="BX79" i="1"/>
  <c r="BX77" i="1"/>
  <c r="BX76" i="1"/>
  <c r="BX75" i="1"/>
  <c r="BX73" i="1"/>
  <c r="BX71" i="1"/>
  <c r="BX70" i="1"/>
  <c r="BX69" i="1"/>
  <c r="BX68" i="1"/>
  <c r="BX67" i="1"/>
  <c r="BX66" i="1"/>
  <c r="BX65" i="1"/>
  <c r="BX64" i="1"/>
  <c r="BX63" i="1"/>
  <c r="BX62" i="1"/>
  <c r="BX61" i="1"/>
  <c r="BX60" i="1"/>
  <c r="BX58" i="1"/>
  <c r="BX57" i="1"/>
  <c r="BX55" i="1"/>
  <c r="BX54" i="1"/>
  <c r="BX53" i="1"/>
  <c r="BX51" i="1"/>
  <c r="BX50" i="1"/>
  <c r="BX49" i="1"/>
  <c r="BX48" i="1"/>
  <c r="BX44" i="1"/>
  <c r="BX43" i="1"/>
  <c r="BX42" i="1"/>
  <c r="BX37" i="1"/>
  <c r="BX36" i="1"/>
  <c r="BX35" i="1"/>
  <c r="BX28" i="1"/>
  <c r="BX27" i="1"/>
  <c r="BX25" i="1"/>
  <c r="BX23" i="1"/>
  <c r="BX21" i="1"/>
  <c r="BX16" i="1"/>
  <c r="BX15" i="1"/>
  <c r="BX14" i="1"/>
  <c r="BX12" i="1"/>
  <c r="BX9" i="1"/>
  <c r="BX8" i="1"/>
  <c r="BX7" i="1"/>
  <c r="BX6" i="1"/>
  <c r="BX5" i="1"/>
  <c r="BX4" i="1"/>
  <c r="BV665" i="1"/>
  <c r="BV670" i="1"/>
  <c r="BV656" i="1"/>
  <c r="BV644" i="1"/>
  <c r="BV638" i="1"/>
  <c r="BV639" i="1"/>
  <c r="BV630" i="1"/>
  <c r="BV631" i="1"/>
  <c r="BV632" i="1"/>
  <c r="BV633" i="1"/>
  <c r="BG5" i="1"/>
  <c r="BV34" i="1"/>
  <c r="BV113" i="1"/>
  <c r="BV621" i="1"/>
  <c r="BI597" i="1"/>
  <c r="BI596" i="1"/>
  <c r="BI595" i="1"/>
  <c r="BI594" i="1"/>
  <c r="BI593" i="1"/>
  <c r="BI592" i="1"/>
  <c r="BI591" i="1"/>
  <c r="BI589" i="1"/>
  <c r="BI588" i="1"/>
  <c r="BI583" i="1"/>
  <c r="BI581" i="1"/>
  <c r="BI580" i="1"/>
  <c r="BI579" i="1"/>
  <c r="BI578" i="1"/>
  <c r="BI577" i="1"/>
  <c r="BI576" i="1"/>
  <c r="BI575" i="1"/>
  <c r="BI570" i="1"/>
  <c r="BI569" i="1"/>
  <c r="BI568" i="1"/>
  <c r="BI567" i="1"/>
  <c r="BI565" i="1"/>
  <c r="BI563" i="1"/>
  <c r="BI562" i="1"/>
  <c r="BI531" i="1"/>
  <c r="BI530" i="1"/>
  <c r="BI529" i="1"/>
  <c r="BI528" i="1"/>
  <c r="BI523" i="1"/>
  <c r="BI522" i="1"/>
  <c r="BI521" i="1"/>
  <c r="BI520" i="1"/>
  <c r="BI519" i="1"/>
  <c r="BI518" i="1"/>
  <c r="BI517" i="1"/>
  <c r="BI515" i="1"/>
  <c r="BI514" i="1"/>
  <c r="BI511" i="1"/>
  <c r="BI508" i="1"/>
  <c r="BI507" i="1"/>
  <c r="BI505" i="1"/>
  <c r="BI504" i="1"/>
  <c r="BI503" i="1"/>
  <c r="BI502" i="1"/>
  <c r="BI501" i="1"/>
  <c r="BI499" i="1"/>
  <c r="BI498" i="1"/>
  <c r="BI494" i="1"/>
  <c r="BI488" i="1"/>
  <c r="BI487" i="1"/>
  <c r="BI486" i="1"/>
  <c r="BI482" i="1"/>
  <c r="BI481" i="1"/>
  <c r="BI480" i="1"/>
  <c r="BI479" i="1"/>
  <c r="BI478" i="1"/>
  <c r="BI477" i="1"/>
  <c r="BI476" i="1"/>
  <c r="BI475" i="1"/>
  <c r="BI474" i="1"/>
  <c r="BI473" i="1"/>
  <c r="BI472" i="1"/>
  <c r="BI471" i="1"/>
  <c r="BI470" i="1"/>
  <c r="BI468" i="1"/>
  <c r="BI467" i="1"/>
  <c r="BI466" i="1"/>
  <c r="BI465" i="1"/>
  <c r="BI463" i="1"/>
  <c r="BI462" i="1"/>
  <c r="BI461" i="1"/>
  <c r="BI460" i="1"/>
  <c r="BI459" i="1"/>
  <c r="BI457" i="1"/>
  <c r="BI456" i="1"/>
  <c r="BI455" i="1"/>
  <c r="BI454" i="1"/>
  <c r="BI452" i="1"/>
  <c r="BI451" i="1"/>
  <c r="BI450" i="1"/>
  <c r="BI449" i="1"/>
  <c r="BI447" i="1"/>
  <c r="BI446" i="1"/>
  <c r="BI445" i="1"/>
  <c r="BI443" i="1"/>
  <c r="BI442" i="1"/>
  <c r="BI441" i="1"/>
  <c r="BI434" i="1"/>
  <c r="BI433" i="1"/>
  <c r="BI432" i="1"/>
  <c r="BI430" i="1"/>
  <c r="BI429" i="1"/>
  <c r="BI428" i="1"/>
  <c r="BI426" i="1"/>
  <c r="BI424" i="1"/>
  <c r="BI422" i="1"/>
  <c r="BI421" i="1"/>
  <c r="BI413" i="1"/>
  <c r="BI417" i="1"/>
  <c r="BI416" i="1"/>
  <c r="BI415" i="1"/>
  <c r="BI414" i="1"/>
  <c r="BI411" i="1"/>
  <c r="BI410" i="1"/>
  <c r="BI409" i="1"/>
  <c r="BI408" i="1"/>
  <c r="BI406" i="1"/>
  <c r="BI405" i="1"/>
  <c r="BI403" i="1"/>
  <c r="BI402" i="1"/>
  <c r="BI401" i="1"/>
  <c r="BI399" i="1"/>
  <c r="BI398" i="1"/>
  <c r="BI397" i="1"/>
  <c r="BI396" i="1"/>
  <c r="BI395" i="1"/>
  <c r="BI394" i="1"/>
  <c r="BI393" i="1"/>
  <c r="BI391" i="1"/>
  <c r="BI390" i="1"/>
  <c r="BI388" i="1"/>
  <c r="BI387" i="1"/>
  <c r="BI386" i="1"/>
  <c r="BI385" i="1"/>
  <c r="BI384" i="1"/>
  <c r="BI383" i="1"/>
  <c r="BI382" i="1"/>
  <c r="BI381" i="1"/>
  <c r="BI379" i="1"/>
  <c r="BI378" i="1"/>
  <c r="BI377" i="1"/>
  <c r="BI376" i="1"/>
  <c r="BI375" i="1"/>
  <c r="BI374" i="1"/>
  <c r="BI373" i="1"/>
  <c r="BI371" i="1"/>
  <c r="BI370" i="1"/>
  <c r="BI369" i="1"/>
  <c r="BI368" i="1"/>
  <c r="BI366" i="1"/>
  <c r="BI365" i="1"/>
  <c r="BI363" i="1"/>
  <c r="BI362" i="1"/>
  <c r="BI361" i="1"/>
  <c r="BI360" i="1"/>
  <c r="BI359" i="1"/>
  <c r="BI358" i="1"/>
  <c r="BI357" i="1"/>
  <c r="BI356" i="1"/>
  <c r="BI355" i="1"/>
  <c r="BI354" i="1"/>
  <c r="BI352" i="1"/>
  <c r="BI351" i="1"/>
  <c r="BI350" i="1"/>
  <c r="BI349" i="1"/>
  <c r="BI348" i="1"/>
  <c r="BI346" i="1"/>
  <c r="BI342" i="1"/>
  <c r="BI338" i="1"/>
  <c r="BI324" i="1"/>
  <c r="BI322" i="1"/>
  <c r="BI321" i="1"/>
  <c r="BI320" i="1"/>
  <c r="BI317" i="1"/>
  <c r="BI316" i="1"/>
  <c r="BI315" i="1"/>
  <c r="BI314" i="1"/>
  <c r="BI313" i="1"/>
  <c r="BI312" i="1"/>
  <c r="BI311" i="1"/>
  <c r="BI310" i="1"/>
  <c r="BI309" i="1"/>
  <c r="BI308" i="1"/>
  <c r="BI307" i="1"/>
  <c r="BI305" i="1"/>
  <c r="BI304" i="1"/>
  <c r="BI303" i="1"/>
  <c r="BI300" i="1"/>
  <c r="BI299" i="1"/>
  <c r="BI298" i="1"/>
  <c r="BI297" i="1"/>
  <c r="BI296" i="1"/>
  <c r="BI295" i="1"/>
  <c r="BI294" i="1"/>
  <c r="BI293" i="1"/>
  <c r="BI292" i="1"/>
  <c r="BI287" i="1"/>
  <c r="BI286" i="1"/>
  <c r="BI285" i="1"/>
  <c r="BI284" i="1"/>
  <c r="BI283" i="1"/>
  <c r="BI282" i="1"/>
  <c r="BI281" i="1"/>
  <c r="BI280" i="1"/>
  <c r="BI279" i="1"/>
  <c r="BI278" i="1"/>
  <c r="BI277" i="1"/>
  <c r="BI276" i="1"/>
  <c r="BI275" i="1"/>
  <c r="BI274" i="1"/>
  <c r="BI273" i="1"/>
  <c r="BI272" i="1"/>
  <c r="BI271" i="1"/>
  <c r="BI270" i="1"/>
  <c r="BI269" i="1"/>
  <c r="BI268" i="1"/>
  <c r="BI267" i="1"/>
  <c r="BI266" i="1"/>
  <c r="BI265" i="1"/>
  <c r="BI264" i="1"/>
  <c r="BI263" i="1"/>
  <c r="BI262" i="1"/>
  <c r="BI261" i="1"/>
  <c r="BI260" i="1"/>
  <c r="BI259" i="1"/>
  <c r="BI254" i="1"/>
  <c r="BI240" i="1"/>
  <c r="BI239" i="1"/>
  <c r="BI238" i="1"/>
  <c r="BI237" i="1"/>
  <c r="BI232" i="1"/>
  <c r="BI222" i="1"/>
  <c r="BI221" i="1"/>
  <c r="BI218" i="1"/>
  <c r="BI217" i="1"/>
  <c r="BI216" i="1"/>
  <c r="BI215" i="1"/>
  <c r="BI214" i="1"/>
  <c r="BI213" i="1"/>
  <c r="BI212" i="1"/>
  <c r="BI204" i="1"/>
  <c r="BI205" i="1"/>
  <c r="BI206" i="1"/>
  <c r="BI207" i="1"/>
  <c r="BI208" i="1"/>
  <c r="BI209" i="1"/>
  <c r="BI210" i="1"/>
  <c r="BI211" i="1"/>
  <c r="BI203" i="1"/>
  <c r="BI202" i="1"/>
  <c r="BI200" i="1"/>
  <c r="BI197" i="1"/>
  <c r="BI194" i="1"/>
  <c r="BI193" i="1"/>
  <c r="BI192" i="1"/>
  <c r="BI191" i="1"/>
  <c r="BI189" i="1"/>
  <c r="BI188" i="1"/>
  <c r="BI187" i="1"/>
  <c r="BI186" i="1"/>
  <c r="BI185" i="1"/>
  <c r="BI184" i="1"/>
  <c r="BI183" i="1"/>
  <c r="BI182" i="1"/>
  <c r="BI181" i="1"/>
  <c r="BI180" i="1"/>
  <c r="BI179" i="1"/>
  <c r="BI178" i="1"/>
  <c r="BI177" i="1"/>
  <c r="BI176" i="1"/>
  <c r="BI175" i="1"/>
  <c r="BI172" i="1"/>
  <c r="BI171" i="1"/>
  <c r="BI170" i="1"/>
  <c r="BI169" i="1"/>
  <c r="BI168" i="1"/>
  <c r="BI167" i="1"/>
  <c r="BI164" i="1"/>
  <c r="BI163" i="1"/>
  <c r="BI162" i="1"/>
  <c r="BI161" i="1"/>
  <c r="BI159" i="1"/>
  <c r="BI158" i="1"/>
  <c r="BI157" i="1"/>
  <c r="BI156" i="1"/>
  <c r="BI155" i="1"/>
  <c r="BI153" i="1"/>
  <c r="BI148" i="1"/>
  <c r="BI147" i="1"/>
  <c r="BI146" i="1"/>
  <c r="BI122" i="1"/>
  <c r="BI120" i="1"/>
  <c r="BI119" i="1"/>
  <c r="BI118" i="1"/>
  <c r="BI117" i="1"/>
  <c r="BI116" i="1"/>
  <c r="BI114" i="1"/>
  <c r="BI112" i="1"/>
  <c r="BI108" i="1"/>
  <c r="BI107" i="1"/>
  <c r="BI106" i="1"/>
  <c r="BI105" i="1"/>
  <c r="BI103" i="1"/>
  <c r="BI102" i="1"/>
  <c r="BI100" i="1"/>
  <c r="BI98" i="1"/>
  <c r="BI97" i="1"/>
  <c r="BI96" i="1"/>
  <c r="BI95" i="1"/>
  <c r="BI92" i="1"/>
  <c r="BI91" i="1"/>
  <c r="BI90" i="1"/>
  <c r="BI89" i="1"/>
  <c r="BI88" i="1"/>
  <c r="BI87" i="1"/>
  <c r="BI86" i="1"/>
  <c r="BI85" i="1"/>
  <c r="BI84" i="1"/>
  <c r="BI83" i="1"/>
  <c r="BI82" i="1"/>
  <c r="BI81" i="1"/>
  <c r="BI80" i="1"/>
  <c r="BI79" i="1"/>
  <c r="BI77" i="1"/>
  <c r="BI76" i="1"/>
  <c r="BI75" i="1"/>
  <c r="BI73" i="1"/>
  <c r="BI71" i="1"/>
  <c r="BI70" i="1"/>
  <c r="BI69" i="1"/>
  <c r="BI68" i="1"/>
  <c r="BI67" i="1"/>
  <c r="BI66" i="1"/>
  <c r="BI65" i="1"/>
  <c r="BI64" i="1"/>
  <c r="BI63" i="1"/>
  <c r="BI62" i="1"/>
  <c r="BI61" i="1"/>
  <c r="BI60" i="1"/>
  <c r="BI58" i="1"/>
  <c r="BI57" i="1"/>
  <c r="BI55" i="1"/>
  <c r="BI54" i="1"/>
  <c r="BI53" i="1"/>
  <c r="BI51" i="1"/>
  <c r="BI50" i="1"/>
  <c r="BI49" i="1"/>
  <c r="BI48" i="1"/>
  <c r="BI43" i="1"/>
  <c r="BI44" i="1"/>
  <c r="BI42" i="1"/>
  <c r="BI37" i="1"/>
  <c r="BI36" i="1"/>
  <c r="BI35" i="1"/>
  <c r="BI30" i="1"/>
  <c r="BI31" i="1"/>
  <c r="BI28" i="1"/>
  <c r="BI27" i="1"/>
  <c r="BI25" i="1"/>
  <c r="BI23" i="1"/>
  <c r="BI21" i="1"/>
  <c r="BI16" i="1"/>
  <c r="BI15" i="1"/>
  <c r="BI14" i="1"/>
  <c r="BI12" i="1"/>
  <c r="BI5" i="1"/>
  <c r="BI6" i="1"/>
  <c r="BI7" i="1"/>
  <c r="BI8" i="1"/>
  <c r="BI9" i="1"/>
  <c r="BI4" i="1"/>
  <c r="CN679" i="1" l="1"/>
  <c r="CO679" i="1" s="1"/>
  <c r="CP679" i="1" s="1"/>
  <c r="CQ679" i="1" s="1"/>
  <c r="CR679" i="1" s="1"/>
  <c r="CS679" i="1" s="1"/>
  <c r="CT679" i="1" s="1"/>
  <c r="CU679" i="1" s="1"/>
  <c r="CV679" i="1" s="1"/>
  <c r="CW679" i="1" s="1"/>
  <c r="CX679" i="1" s="1"/>
  <c r="CY679" i="1" s="1"/>
  <c r="CN694" i="1"/>
  <c r="CO694" i="1" s="1"/>
  <c r="CP694" i="1" s="1"/>
  <c r="CQ694" i="1" s="1"/>
  <c r="CR694" i="1" s="1"/>
  <c r="CS694" i="1" s="1"/>
  <c r="CT694" i="1" s="1"/>
  <c r="CU694" i="1" s="1"/>
  <c r="CV694" i="1" s="1"/>
  <c r="CW694" i="1" s="1"/>
  <c r="CX694" i="1" s="1"/>
  <c r="CY694" i="1" s="1"/>
  <c r="BY683" i="1"/>
  <c r="BZ683" i="1" s="1"/>
  <c r="CA683" i="1" s="1"/>
  <c r="CB683" i="1" s="1"/>
  <c r="CC683" i="1" s="1"/>
  <c r="CD683" i="1" s="1"/>
  <c r="CE683" i="1" s="1"/>
  <c r="CF683" i="1" s="1"/>
  <c r="CG683" i="1" s="1"/>
  <c r="CH683" i="1" s="1"/>
  <c r="CI683" i="1" s="1"/>
  <c r="BY690" i="1"/>
  <c r="CJ689" i="1"/>
  <c r="CK688" i="1"/>
  <c r="CL688" i="1"/>
  <c r="CM688" i="1" s="1"/>
  <c r="BZ687" i="1"/>
  <c r="CA687" i="1" s="1"/>
  <c r="CB687" i="1" s="1"/>
  <c r="CC687" i="1" s="1"/>
  <c r="CD687" i="1" s="1"/>
  <c r="CE687" i="1" s="1"/>
  <c r="CF687" i="1" s="1"/>
  <c r="CG687" i="1" s="1"/>
  <c r="CH687" i="1" s="1"/>
  <c r="CI687" i="1" s="1"/>
  <c r="CJ685" i="1"/>
  <c r="BZ686" i="1"/>
  <c r="CA686" i="1" s="1"/>
  <c r="CB686" i="1" s="1"/>
  <c r="CC686" i="1" s="1"/>
  <c r="CD686" i="1" s="1"/>
  <c r="CE686" i="1" s="1"/>
  <c r="CF686" i="1" s="1"/>
  <c r="CG686" i="1" s="1"/>
  <c r="CH686" i="1" s="1"/>
  <c r="CI686" i="1" s="1"/>
  <c r="BW682" i="1"/>
  <c r="BZ684" i="1"/>
  <c r="CA684" i="1" s="1"/>
  <c r="CB684" i="1" s="1"/>
  <c r="CC684" i="1" s="1"/>
  <c r="CD684" i="1" s="1"/>
  <c r="CE684" i="1" s="1"/>
  <c r="CF684" i="1" s="1"/>
  <c r="CG684" i="1" s="1"/>
  <c r="CH684" i="1" s="1"/>
  <c r="CI684" i="1" s="1"/>
  <c r="CJ681" i="1"/>
  <c r="BZ680" i="1"/>
  <c r="CA680" i="1" s="1"/>
  <c r="CB680" i="1" s="1"/>
  <c r="CC680" i="1" s="1"/>
  <c r="CD680" i="1" s="1"/>
  <c r="CE680" i="1" s="1"/>
  <c r="CF680" i="1" s="1"/>
  <c r="CG680" i="1" s="1"/>
  <c r="CH680" i="1" s="1"/>
  <c r="CI680" i="1" s="1"/>
  <c r="CJ672" i="1"/>
  <c r="AQ697" i="1"/>
  <c r="AS675" i="1"/>
  <c r="AS678" i="1"/>
  <c r="AS677" i="1"/>
  <c r="AS676" i="1"/>
  <c r="AS674" i="1"/>
  <c r="BK669" i="1"/>
  <c r="BL669" i="1" s="1"/>
  <c r="BM669" i="1" s="1"/>
  <c r="BN669" i="1" s="1"/>
  <c r="BO669" i="1" s="1"/>
  <c r="BP669" i="1" s="1"/>
  <c r="BQ669" i="1" s="1"/>
  <c r="BR669" i="1" s="1"/>
  <c r="BS669" i="1" s="1"/>
  <c r="CZ696" i="1"/>
  <c r="CK694" i="1"/>
  <c r="AT676" i="1"/>
  <c r="BI715" i="1"/>
  <c r="AT678" i="1"/>
  <c r="AU674" i="1"/>
  <c r="AU676" i="1"/>
  <c r="AP676" i="1"/>
  <c r="AT674" i="1"/>
  <c r="AV677" i="1"/>
  <c r="AW677" i="1" s="1"/>
  <c r="AX677" i="1" s="1"/>
  <c r="AY677" i="1" s="1"/>
  <c r="AZ677" i="1" s="1"/>
  <c r="BA677" i="1" s="1"/>
  <c r="BB677" i="1" s="1"/>
  <c r="BC677" i="1" s="1"/>
  <c r="BD677" i="1" s="1"/>
  <c r="BE677" i="1" s="1"/>
  <c r="AT675" i="1"/>
  <c r="AT677" i="1"/>
  <c r="AP675" i="1"/>
  <c r="AU675" i="1"/>
  <c r="AU678" i="1"/>
  <c r="BG32" i="1"/>
  <c r="BG33" i="1"/>
  <c r="BG34" i="1"/>
  <c r="BG35" i="1"/>
  <c r="BG36" i="1"/>
  <c r="BG37" i="1"/>
  <c r="BG38" i="1"/>
  <c r="BG39" i="1"/>
  <c r="BG40" i="1"/>
  <c r="BG41" i="1"/>
  <c r="BG43" i="1"/>
  <c r="BG45" i="1"/>
  <c r="BG46" i="1"/>
  <c r="BG47" i="1"/>
  <c r="BG51" i="1"/>
  <c r="BG53" i="1"/>
  <c r="BG55" i="1"/>
  <c r="BG56" i="1"/>
  <c r="BG57" i="1"/>
  <c r="BG58" i="1"/>
  <c r="BG59" i="1"/>
  <c r="BG60" i="1"/>
  <c r="BG61" i="1"/>
  <c r="BG62" i="1"/>
  <c r="BG72" i="1"/>
  <c r="BG74" i="1"/>
  <c r="BG81" i="1"/>
  <c r="BG82" i="1"/>
  <c r="BG83" i="1"/>
  <c r="BG84" i="1"/>
  <c r="BG85" i="1"/>
  <c r="BG86" i="1"/>
  <c r="BG87" i="1"/>
  <c r="BG88" i="1"/>
  <c r="BG89" i="1"/>
  <c r="BG90" i="1"/>
  <c r="BG93" i="1"/>
  <c r="BG94" i="1"/>
  <c r="BG96" i="1"/>
  <c r="BG97" i="1"/>
  <c r="BG98" i="1"/>
  <c r="BG99" i="1"/>
  <c r="BG100" i="1"/>
  <c r="BG101" i="1"/>
  <c r="BG102" i="1"/>
  <c r="BG103" i="1"/>
  <c r="BG104" i="1"/>
  <c r="BG106" i="1"/>
  <c r="BG107" i="1"/>
  <c r="BG109" i="1"/>
  <c r="BG110" i="1"/>
  <c r="BG113" i="1"/>
  <c r="BG115" i="1"/>
  <c r="BG116" i="1"/>
  <c r="BG122" i="1"/>
  <c r="BG123" i="1"/>
  <c r="BG124" i="1"/>
  <c r="BG125" i="1"/>
  <c r="BG126" i="1"/>
  <c r="BG127" i="1"/>
  <c r="BG128" i="1"/>
  <c r="BG129" i="1"/>
  <c r="BG130" i="1"/>
  <c r="BG131" i="1"/>
  <c r="BG132" i="1"/>
  <c r="BG133" i="1"/>
  <c r="BG134" i="1"/>
  <c r="BG135" i="1"/>
  <c r="BG136" i="1"/>
  <c r="BG137" i="1"/>
  <c r="BG138" i="1"/>
  <c r="BG139" i="1"/>
  <c r="BG140" i="1"/>
  <c r="BG141" i="1"/>
  <c r="BG142" i="1"/>
  <c r="BG143" i="1"/>
  <c r="BG144" i="1"/>
  <c r="BG145" i="1"/>
  <c r="BG146" i="1"/>
  <c r="BG148" i="1"/>
  <c r="BG149" i="1"/>
  <c r="BG150" i="1"/>
  <c r="BG151" i="1"/>
  <c r="BG152" i="1"/>
  <c r="BG153" i="1"/>
  <c r="BG154" i="1"/>
  <c r="BG160" i="1"/>
  <c r="BG161" i="1"/>
  <c r="BG162" i="1"/>
  <c r="BG163" i="1"/>
  <c r="BG164" i="1"/>
  <c r="BG165" i="1"/>
  <c r="BG166" i="1"/>
  <c r="BG167" i="1"/>
  <c r="BG168" i="1"/>
  <c r="BG169" i="1"/>
  <c r="BG190" i="1"/>
  <c r="BG194" i="1"/>
  <c r="BG196" i="1"/>
  <c r="BG198" i="1"/>
  <c r="BG199" i="1"/>
  <c r="BG201" i="1"/>
  <c r="BG219" i="1"/>
  <c r="BG220" i="1"/>
  <c r="BG221" i="1"/>
  <c r="BG222" i="1"/>
  <c r="BG223" i="1"/>
  <c r="BG224" i="1"/>
  <c r="BG225" i="1"/>
  <c r="BG226" i="1"/>
  <c r="BG227" i="1"/>
  <c r="BG228" i="1"/>
  <c r="BG229" i="1"/>
  <c r="BG230" i="1"/>
  <c r="BG231" i="1"/>
  <c r="BG232" i="1"/>
  <c r="BG233" i="1"/>
  <c r="BG234" i="1"/>
  <c r="BG235" i="1"/>
  <c r="BG236" i="1"/>
  <c r="BG237" i="1"/>
  <c r="BG238" i="1"/>
  <c r="BG239" i="1"/>
  <c r="BG240" i="1"/>
  <c r="BG241" i="1"/>
  <c r="BG242" i="1"/>
  <c r="BG243" i="1"/>
  <c r="BG244" i="1"/>
  <c r="BG245" i="1"/>
  <c r="BG246" i="1"/>
  <c r="BG247" i="1"/>
  <c r="BG248" i="1"/>
  <c r="BG249" i="1"/>
  <c r="BG250" i="1"/>
  <c r="BG251" i="1"/>
  <c r="BG252" i="1"/>
  <c r="BG281" i="1"/>
  <c r="BG287" i="1"/>
  <c r="BG288" i="1"/>
  <c r="BG289" i="1"/>
  <c r="BG290" i="1"/>
  <c r="BG291" i="1"/>
  <c r="BG292" i="1"/>
  <c r="BG309" i="1"/>
  <c r="BG310" i="1"/>
  <c r="BG311" i="1"/>
  <c r="BG312" i="1"/>
  <c r="BG313" i="1"/>
  <c r="BG314" i="1"/>
  <c r="BG315" i="1"/>
  <c r="BG316" i="1"/>
  <c r="BG317" i="1"/>
  <c r="BG318" i="1"/>
  <c r="BG319" i="1"/>
  <c r="BG320" i="1"/>
  <c r="BG321" i="1"/>
  <c r="BG322" i="1"/>
  <c r="BG323" i="1"/>
  <c r="BG324" i="1"/>
  <c r="BG325" i="1"/>
  <c r="BG326" i="1"/>
  <c r="BG327" i="1"/>
  <c r="BG328" i="1"/>
  <c r="BG329" i="1"/>
  <c r="BG330" i="1"/>
  <c r="BG331" i="1"/>
  <c r="BG332" i="1"/>
  <c r="BG333" i="1"/>
  <c r="BG334" i="1"/>
  <c r="BG335" i="1"/>
  <c r="BG336" i="1"/>
  <c r="BG337" i="1"/>
  <c r="BG338" i="1"/>
  <c r="BG339" i="1"/>
  <c r="BG344" i="1"/>
  <c r="BG345" i="1"/>
  <c r="BG348" i="1"/>
  <c r="BG349" i="1"/>
  <c r="BG350" i="1"/>
  <c r="BG357" i="1"/>
  <c r="BG358" i="1"/>
  <c r="BG360" i="1"/>
  <c r="BG364" i="1"/>
  <c r="BG365" i="1"/>
  <c r="BG391" i="1"/>
  <c r="BG394" i="1"/>
  <c r="BG397" i="1"/>
  <c r="BG409" i="1"/>
  <c r="BG431" i="1"/>
  <c r="BG432" i="1"/>
  <c r="BG433" i="1"/>
  <c r="BG434" i="1"/>
  <c r="BG435" i="1"/>
  <c r="BG436" i="1"/>
  <c r="BG437" i="1"/>
  <c r="BG438" i="1"/>
  <c r="BG439" i="1"/>
  <c r="BG440" i="1"/>
  <c r="BG441" i="1"/>
  <c r="BG442" i="1"/>
  <c r="BG443" i="1"/>
  <c r="BG444" i="1"/>
  <c r="BG445" i="1"/>
  <c r="BG446" i="1"/>
  <c r="BG447" i="1"/>
  <c r="BG448" i="1"/>
  <c r="BG449" i="1"/>
  <c r="BG450" i="1"/>
  <c r="BG451" i="1"/>
  <c r="BG452" i="1"/>
  <c r="BG453" i="1"/>
  <c r="BG454" i="1"/>
  <c r="BG455" i="1"/>
  <c r="BG456" i="1"/>
  <c r="BG457" i="1"/>
  <c r="BG458" i="1"/>
  <c r="BG459" i="1"/>
  <c r="BG460" i="1"/>
  <c r="BG461" i="1"/>
  <c r="BG462" i="1"/>
  <c r="BG463" i="1"/>
  <c r="BG464" i="1"/>
  <c r="BG465" i="1"/>
  <c r="BG466" i="1"/>
  <c r="BG477" i="1"/>
  <c r="BG478" i="1"/>
  <c r="BG479" i="1"/>
  <c r="BG480" i="1"/>
  <c r="BG481" i="1"/>
  <c r="BG482" i="1"/>
  <c r="BG483" i="1"/>
  <c r="BG484" i="1"/>
  <c r="BG485" i="1"/>
  <c r="BG487" i="1"/>
  <c r="BG488" i="1"/>
  <c r="BG489" i="1"/>
  <c r="BG490" i="1"/>
  <c r="BG491" i="1"/>
  <c r="BG492" i="1"/>
  <c r="BG493" i="1"/>
  <c r="BG494" i="1"/>
  <c r="BG495" i="1"/>
  <c r="BG496" i="1"/>
  <c r="BG505" i="1"/>
  <c r="BG506" i="1"/>
  <c r="BG507" i="1"/>
  <c r="BG508" i="1"/>
  <c r="BG509" i="1"/>
  <c r="BG511" i="1"/>
  <c r="BG515" i="1"/>
  <c r="BG516" i="1"/>
  <c r="BG519" i="1"/>
  <c r="BG520" i="1"/>
  <c r="BG521" i="1"/>
  <c r="BG522" i="1"/>
  <c r="BG523" i="1"/>
  <c r="BG524" i="1"/>
  <c r="BG525" i="1"/>
  <c r="BG526" i="1"/>
  <c r="BG527" i="1"/>
  <c r="BG528" i="1"/>
  <c r="BG529" i="1"/>
  <c r="BG530" i="1"/>
  <c r="BG531" i="1"/>
  <c r="BG533" i="1"/>
  <c r="BG534" i="1"/>
  <c r="BG535" i="1"/>
  <c r="BG536" i="1"/>
  <c r="BG537" i="1"/>
  <c r="BG538" i="1"/>
  <c r="BG539" i="1"/>
  <c r="BG540" i="1"/>
  <c r="BG541" i="1"/>
  <c r="BG542" i="1"/>
  <c r="BG543" i="1"/>
  <c r="BG544" i="1"/>
  <c r="BG545" i="1"/>
  <c r="BG546" i="1"/>
  <c r="BG547" i="1"/>
  <c r="BG548" i="1"/>
  <c r="BG549" i="1"/>
  <c r="BG550" i="1"/>
  <c r="BG551" i="1"/>
  <c r="BG552" i="1"/>
  <c r="BG553" i="1"/>
  <c r="BG554" i="1"/>
  <c r="BG555" i="1"/>
  <c r="BG556" i="1"/>
  <c r="BG557" i="1"/>
  <c r="BG558" i="1"/>
  <c r="BG559" i="1"/>
  <c r="BG560" i="1"/>
  <c r="BG561" i="1"/>
  <c r="BG563" i="1"/>
  <c r="BG564" i="1"/>
  <c r="BG565" i="1"/>
  <c r="BG566" i="1"/>
  <c r="BG568" i="1"/>
  <c r="BG569" i="1"/>
  <c r="BG570" i="1"/>
  <c r="BG571" i="1"/>
  <c r="BG573" i="1"/>
  <c r="BG574" i="1"/>
  <c r="BG581" i="1"/>
  <c r="BG582" i="1"/>
  <c r="BG583" i="1"/>
  <c r="BG584" i="1"/>
  <c r="BG585" i="1"/>
  <c r="BG586" i="1"/>
  <c r="BG587" i="1"/>
  <c r="BG588" i="1"/>
  <c r="BG589" i="1"/>
  <c r="BG590" i="1"/>
  <c r="BG600" i="1"/>
  <c r="BG601" i="1"/>
  <c r="BG602" i="1"/>
  <c r="BG608" i="1"/>
  <c r="BG613" i="1"/>
  <c r="BG619" i="1"/>
  <c r="BG621" i="1"/>
  <c r="BG630" i="1"/>
  <c r="BG631" i="1"/>
  <c r="BG632" i="1"/>
  <c r="BG633" i="1"/>
  <c r="BG638" i="1"/>
  <c r="BG639" i="1"/>
  <c r="BG644" i="1"/>
  <c r="BG656" i="1"/>
  <c r="BG665" i="1"/>
  <c r="BG670" i="1"/>
  <c r="BG13" i="1"/>
  <c r="BG14" i="1"/>
  <c r="BG15" i="1"/>
  <c r="BG16" i="1"/>
  <c r="BG17" i="1"/>
  <c r="BG18" i="1"/>
  <c r="BG19" i="1"/>
  <c r="BG20" i="1"/>
  <c r="BG22" i="1"/>
  <c r="BG23" i="1"/>
  <c r="BG24" i="1"/>
  <c r="BG25" i="1"/>
  <c r="BG26" i="1"/>
  <c r="BG27" i="1"/>
  <c r="BG30" i="1"/>
  <c r="BG31" i="1"/>
  <c r="BG6" i="1"/>
  <c r="BG7" i="1"/>
  <c r="BG8" i="1"/>
  <c r="BG9" i="1"/>
  <c r="BG10" i="1"/>
  <c r="BG11" i="1"/>
  <c r="AP662" i="1"/>
  <c r="AP665" i="1"/>
  <c r="AP670" i="1"/>
  <c r="AB673" i="1"/>
  <c r="AB670" i="1"/>
  <c r="AB671" i="1"/>
  <c r="AB668" i="1"/>
  <c r="AB667" i="1"/>
  <c r="AB666" i="1"/>
  <c r="AB663" i="1"/>
  <c r="AB664" i="1"/>
  <c r="CL672" i="1" l="1"/>
  <c r="CN672" i="1" s="1"/>
  <c r="CL685" i="1"/>
  <c r="CM685" i="1" s="1"/>
  <c r="CL681" i="1"/>
  <c r="CN681" i="1" s="1"/>
  <c r="CL689" i="1"/>
  <c r="AV674" i="1"/>
  <c r="AW674" i="1" s="1"/>
  <c r="AX674" i="1" s="1"/>
  <c r="AY674" i="1" s="1"/>
  <c r="AZ674" i="1" s="1"/>
  <c r="BA674" i="1" s="1"/>
  <c r="BB674" i="1" s="1"/>
  <c r="BC674" i="1" s="1"/>
  <c r="BD674" i="1" s="1"/>
  <c r="BE674" i="1" s="1"/>
  <c r="BF674" i="1" s="1"/>
  <c r="BH674" i="1" s="1"/>
  <c r="AV678" i="1"/>
  <c r="AW678" i="1" s="1"/>
  <c r="AX678" i="1" s="1"/>
  <c r="AY678" i="1" s="1"/>
  <c r="AZ678" i="1" s="1"/>
  <c r="BA678" i="1" s="1"/>
  <c r="BB678" i="1" s="1"/>
  <c r="BC678" i="1" s="1"/>
  <c r="BD678" i="1" s="1"/>
  <c r="BE678" i="1" s="1"/>
  <c r="BF678" i="1" s="1"/>
  <c r="BH678" i="1" s="1"/>
  <c r="AV675" i="1"/>
  <c r="AW675" i="1" s="1"/>
  <c r="AX675" i="1" s="1"/>
  <c r="AY675" i="1" s="1"/>
  <c r="AZ675" i="1" s="1"/>
  <c r="BA675" i="1" s="1"/>
  <c r="BB675" i="1" s="1"/>
  <c r="BC675" i="1" s="1"/>
  <c r="BD675" i="1" s="1"/>
  <c r="BE675" i="1" s="1"/>
  <c r="BF675" i="1" s="1"/>
  <c r="BH675" i="1" s="1"/>
  <c r="BZ690" i="1"/>
  <c r="CA690" i="1" s="1"/>
  <c r="CB690" i="1" s="1"/>
  <c r="CC690" i="1" s="1"/>
  <c r="CD690" i="1" s="1"/>
  <c r="CE690" i="1" s="1"/>
  <c r="CF690" i="1" s="1"/>
  <c r="CG690" i="1" s="1"/>
  <c r="CH690" i="1" s="1"/>
  <c r="CI690" i="1" s="1"/>
  <c r="CN688" i="1"/>
  <c r="CK689" i="1"/>
  <c r="BY682" i="1"/>
  <c r="BZ682" i="1" s="1"/>
  <c r="CA682" i="1" s="1"/>
  <c r="CB682" i="1" s="1"/>
  <c r="CC682" i="1" s="1"/>
  <c r="CD682" i="1" s="1"/>
  <c r="CE682" i="1" s="1"/>
  <c r="CF682" i="1" s="1"/>
  <c r="CG682" i="1" s="1"/>
  <c r="CH682" i="1" s="1"/>
  <c r="CI682" i="1" s="1"/>
  <c r="CK685" i="1"/>
  <c r="CJ686" i="1"/>
  <c r="CN685" i="1"/>
  <c r="CJ687" i="1"/>
  <c r="BX682" i="1"/>
  <c r="CJ683" i="1"/>
  <c r="CJ684" i="1"/>
  <c r="CK681" i="1"/>
  <c r="CJ680" i="1"/>
  <c r="CK672" i="1"/>
  <c r="BF677" i="1"/>
  <c r="BG677" i="1" s="1"/>
  <c r="BT669" i="1"/>
  <c r="CZ694" i="1"/>
  <c r="AV676" i="1"/>
  <c r="AW676" i="1" s="1"/>
  <c r="AX676" i="1" s="1"/>
  <c r="AY676" i="1" s="1"/>
  <c r="AZ676" i="1" s="1"/>
  <c r="BA676" i="1" s="1"/>
  <c r="BB676" i="1" s="1"/>
  <c r="BC676" i="1" s="1"/>
  <c r="BD676" i="1" s="1"/>
  <c r="BE676" i="1" s="1"/>
  <c r="AN663" i="1"/>
  <c r="AC667" i="1"/>
  <c r="AN668" i="1"/>
  <c r="AC670" i="1"/>
  <c r="AC663" i="1"/>
  <c r="AN664" i="1"/>
  <c r="AC666" i="1"/>
  <c r="AC664" i="1"/>
  <c r="AO671" i="1"/>
  <c r="AR671" i="1" s="1"/>
  <c r="AS671" i="1" s="1"/>
  <c r="AO665" i="1"/>
  <c r="AR665" i="1" s="1"/>
  <c r="AS665" i="1" s="1"/>
  <c r="AC673" i="1"/>
  <c r="AC665" i="1"/>
  <c r="AC671" i="1"/>
  <c r="AN666" i="1"/>
  <c r="AO670" i="1"/>
  <c r="AR670" i="1" s="1"/>
  <c r="AS670" i="1" s="1"/>
  <c r="AC668" i="1"/>
  <c r="AO673" i="1"/>
  <c r="AR673" i="1" s="1"/>
  <c r="AS673" i="1" s="1"/>
  <c r="AN667" i="1"/>
  <c r="AB662" i="1"/>
  <c r="BI662" i="1" s="1"/>
  <c r="AB661" i="1"/>
  <c r="AB660" i="1"/>
  <c r="CM689" i="1" l="1"/>
  <c r="CL683" i="1"/>
  <c r="CN683" i="1" s="1"/>
  <c r="CM681" i="1"/>
  <c r="CK686" i="1"/>
  <c r="CK687" i="1"/>
  <c r="CN689" i="1"/>
  <c r="CO689" i="1" s="1"/>
  <c r="CP689" i="1" s="1"/>
  <c r="CQ689" i="1" s="1"/>
  <c r="CR689" i="1" s="1"/>
  <c r="CS689" i="1" s="1"/>
  <c r="CT689" i="1" s="1"/>
  <c r="CU689" i="1" s="1"/>
  <c r="CV689" i="1" s="1"/>
  <c r="CW689" i="1" s="1"/>
  <c r="CX689" i="1" s="1"/>
  <c r="CY689" i="1" s="1"/>
  <c r="CM672" i="1"/>
  <c r="CJ690" i="1"/>
  <c r="CO688" i="1"/>
  <c r="CP688" i="1" s="1"/>
  <c r="CQ688" i="1" s="1"/>
  <c r="CR688" i="1" s="1"/>
  <c r="CS688" i="1" s="1"/>
  <c r="CT688" i="1" s="1"/>
  <c r="CU688" i="1" s="1"/>
  <c r="CV688" i="1" s="1"/>
  <c r="CW688" i="1" s="1"/>
  <c r="CX688" i="1" s="1"/>
  <c r="CY688" i="1" s="1"/>
  <c r="CL686" i="1"/>
  <c r="BI678" i="1"/>
  <c r="CO685" i="1"/>
  <c r="CP685" i="1" s="1"/>
  <c r="CQ685" i="1" s="1"/>
  <c r="CR685" i="1" s="1"/>
  <c r="CS685" i="1" s="1"/>
  <c r="CT685" i="1" s="1"/>
  <c r="CU685" i="1" s="1"/>
  <c r="CV685" i="1" s="1"/>
  <c r="CW685" i="1" s="1"/>
  <c r="CX685" i="1" s="1"/>
  <c r="CY685" i="1" s="1"/>
  <c r="CL687" i="1"/>
  <c r="CJ682" i="1"/>
  <c r="CK683" i="1"/>
  <c r="CL684" i="1"/>
  <c r="CK684" i="1"/>
  <c r="CO681" i="1"/>
  <c r="CP681" i="1" s="1"/>
  <c r="CQ681" i="1" s="1"/>
  <c r="CR681" i="1" s="1"/>
  <c r="CS681" i="1" s="1"/>
  <c r="CT681" i="1" s="1"/>
  <c r="CU681" i="1" s="1"/>
  <c r="CV681" i="1" s="1"/>
  <c r="CW681" i="1" s="1"/>
  <c r="CX681" i="1" s="1"/>
  <c r="CY681" i="1" s="1"/>
  <c r="CO672" i="1"/>
  <c r="CP672" i="1" s="1"/>
  <c r="CQ672" i="1" s="1"/>
  <c r="CR672" i="1" s="1"/>
  <c r="CS672" i="1" s="1"/>
  <c r="CT672" i="1" s="1"/>
  <c r="CU672" i="1" s="1"/>
  <c r="CV672" i="1" s="1"/>
  <c r="CW672" i="1" s="1"/>
  <c r="CX672" i="1" s="1"/>
  <c r="CY672" i="1" s="1"/>
  <c r="CK680" i="1"/>
  <c r="CL680" i="1"/>
  <c r="AO668" i="1"/>
  <c r="AT668" i="1" s="1"/>
  <c r="AO664" i="1"/>
  <c r="AP664" i="1" s="1"/>
  <c r="AO663" i="1"/>
  <c r="AR663" i="1" s="1"/>
  <c r="AS663" i="1" s="1"/>
  <c r="BW675" i="1"/>
  <c r="BI675" i="1"/>
  <c r="BJ678" i="1"/>
  <c r="BW678" i="1"/>
  <c r="BJ675" i="1"/>
  <c r="BG675" i="1"/>
  <c r="BI674" i="1"/>
  <c r="BW674" i="1"/>
  <c r="CL674" i="1" s="1"/>
  <c r="BF676" i="1"/>
  <c r="BH676" i="1" s="1"/>
  <c r="BG674" i="1"/>
  <c r="BU669" i="1"/>
  <c r="BH677" i="1"/>
  <c r="BJ674" i="1"/>
  <c r="AU665" i="1"/>
  <c r="AP671" i="1"/>
  <c r="AT663" i="1"/>
  <c r="AU671" i="1"/>
  <c r="AT671" i="1"/>
  <c r="AC662" i="1"/>
  <c r="AN661" i="1"/>
  <c r="AO667" i="1"/>
  <c r="AP667" i="1" s="1"/>
  <c r="AP673" i="1"/>
  <c r="AU670" i="1"/>
  <c r="AO666" i="1"/>
  <c r="AR666" i="1" s="1"/>
  <c r="AS666" i="1" s="1"/>
  <c r="AT665" i="1"/>
  <c r="AC661" i="1"/>
  <c r="AN662" i="1"/>
  <c r="E50" i="6"/>
  <c r="X49" i="6"/>
  <c r="K49" i="6"/>
  <c r="P49" i="6" s="1"/>
  <c r="U49" i="6" s="1"/>
  <c r="J1094" i="4"/>
  <c r="CM687" i="1" l="1"/>
  <c r="CL690" i="1"/>
  <c r="CN690" i="1" s="1"/>
  <c r="CM683" i="1"/>
  <c r="CM674" i="1"/>
  <c r="CK682" i="1"/>
  <c r="CM684" i="1"/>
  <c r="CM680" i="1"/>
  <c r="CM686" i="1"/>
  <c r="AV670" i="1"/>
  <c r="AW670" i="1" s="1"/>
  <c r="AX670" i="1" s="1"/>
  <c r="AY670" i="1" s="1"/>
  <c r="AZ670" i="1" s="1"/>
  <c r="BA670" i="1" s="1"/>
  <c r="BB670" i="1" s="1"/>
  <c r="BC670" i="1" s="1"/>
  <c r="BD670" i="1" s="1"/>
  <c r="BE670" i="1" s="1"/>
  <c r="AV671" i="1"/>
  <c r="AW671" i="1" s="1"/>
  <c r="AX671" i="1" s="1"/>
  <c r="AY671" i="1" s="1"/>
  <c r="AZ671" i="1" s="1"/>
  <c r="BA671" i="1" s="1"/>
  <c r="BB671" i="1" s="1"/>
  <c r="BC671" i="1" s="1"/>
  <c r="BD671" i="1" s="1"/>
  <c r="BE671" i="1" s="1"/>
  <c r="BK675" i="1"/>
  <c r="BL675" i="1" s="1"/>
  <c r="BM675" i="1" s="1"/>
  <c r="BN675" i="1" s="1"/>
  <c r="BO675" i="1" s="1"/>
  <c r="BP675" i="1" s="1"/>
  <c r="BQ675" i="1" s="1"/>
  <c r="BR675" i="1" s="1"/>
  <c r="BS675" i="1" s="1"/>
  <c r="BT675" i="1" s="1"/>
  <c r="BU675" i="1" s="1"/>
  <c r="BY675" i="1" s="1"/>
  <c r="BZ675" i="1" s="1"/>
  <c r="CA675" i="1" s="1"/>
  <c r="CB675" i="1" s="1"/>
  <c r="CC675" i="1" s="1"/>
  <c r="CD675" i="1" s="1"/>
  <c r="CE675" i="1" s="1"/>
  <c r="CF675" i="1" s="1"/>
  <c r="CG675" i="1" s="1"/>
  <c r="CH675" i="1" s="1"/>
  <c r="CI675" i="1" s="1"/>
  <c r="CJ675" i="1" s="1"/>
  <c r="BK678" i="1"/>
  <c r="BL678" i="1" s="1"/>
  <c r="BM678" i="1" s="1"/>
  <c r="BN678" i="1" s="1"/>
  <c r="BO678" i="1" s="1"/>
  <c r="BP678" i="1" s="1"/>
  <c r="BQ678" i="1" s="1"/>
  <c r="BR678" i="1" s="1"/>
  <c r="BS678" i="1" s="1"/>
  <c r="BT678" i="1" s="1"/>
  <c r="BU678" i="1" s="1"/>
  <c r="BY678" i="1" s="1"/>
  <c r="BZ678" i="1" s="1"/>
  <c r="CA678" i="1" s="1"/>
  <c r="CB678" i="1" s="1"/>
  <c r="CC678" i="1" s="1"/>
  <c r="CD678" i="1" s="1"/>
  <c r="CE678" i="1" s="1"/>
  <c r="CF678" i="1" s="1"/>
  <c r="CG678" i="1" s="1"/>
  <c r="CH678" i="1" s="1"/>
  <c r="CI678" i="1" s="1"/>
  <c r="CJ678" i="1" s="1"/>
  <c r="AV665" i="1"/>
  <c r="AW665" i="1" s="1"/>
  <c r="AX665" i="1" s="1"/>
  <c r="AY665" i="1" s="1"/>
  <c r="AZ665" i="1" s="1"/>
  <c r="BA665" i="1" s="1"/>
  <c r="BB665" i="1" s="1"/>
  <c r="BC665" i="1" s="1"/>
  <c r="BD665" i="1" s="1"/>
  <c r="BE665" i="1" s="1"/>
  <c r="BF665" i="1" s="1"/>
  <c r="BH665" i="1" s="1"/>
  <c r="BK674" i="1"/>
  <c r="BL674" i="1" s="1"/>
  <c r="BM674" i="1" s="1"/>
  <c r="BN674" i="1" s="1"/>
  <c r="BO674" i="1" s="1"/>
  <c r="BP674" i="1" s="1"/>
  <c r="BQ674" i="1" s="1"/>
  <c r="BR674" i="1" s="1"/>
  <c r="BS674" i="1" s="1"/>
  <c r="BT674" i="1" s="1"/>
  <c r="BU674" i="1" s="1"/>
  <c r="BY674" i="1" s="1"/>
  <c r="CZ689" i="1"/>
  <c r="CK690" i="1"/>
  <c r="CZ688" i="1"/>
  <c r="CN686" i="1"/>
  <c r="CZ685" i="1"/>
  <c r="CN687" i="1"/>
  <c r="CL682" i="1"/>
  <c r="CN682" i="1" s="1"/>
  <c r="CO683" i="1"/>
  <c r="CP683" i="1" s="1"/>
  <c r="CQ683" i="1" s="1"/>
  <c r="CR683" i="1" s="1"/>
  <c r="CS683" i="1" s="1"/>
  <c r="CT683" i="1" s="1"/>
  <c r="CU683" i="1" s="1"/>
  <c r="CV683" i="1" s="1"/>
  <c r="CW683" i="1" s="1"/>
  <c r="CX683" i="1" s="1"/>
  <c r="CY683" i="1" s="1"/>
  <c r="CN684" i="1"/>
  <c r="CZ681" i="1"/>
  <c r="CN680" i="1"/>
  <c r="CZ672" i="1"/>
  <c r="AP668" i="1"/>
  <c r="CL675" i="1"/>
  <c r="BX674" i="1"/>
  <c r="CL678" i="1"/>
  <c r="BX675" i="1"/>
  <c r="AR667" i="1"/>
  <c r="AS667" i="1" s="1"/>
  <c r="AU668" i="1"/>
  <c r="AR668" i="1"/>
  <c r="AS668" i="1" s="1"/>
  <c r="AR664" i="1"/>
  <c r="AS664" i="1" s="1"/>
  <c r="AO662" i="1"/>
  <c r="AR662" i="1" s="1"/>
  <c r="AS662" i="1" s="1"/>
  <c r="AP663" i="1"/>
  <c r="AO661" i="1"/>
  <c r="AR661" i="1" s="1"/>
  <c r="AS661" i="1" s="1"/>
  <c r="AU663" i="1"/>
  <c r="BG676" i="1"/>
  <c r="BX678" i="1"/>
  <c r="BW676" i="1"/>
  <c r="BI676" i="1"/>
  <c r="BV669" i="1"/>
  <c r="BJ676" i="1"/>
  <c r="BJ677" i="1"/>
  <c r="BI677" i="1"/>
  <c r="BW677" i="1"/>
  <c r="BW669" i="1"/>
  <c r="AT661" i="1"/>
  <c r="AT673" i="1"/>
  <c r="AT664" i="1"/>
  <c r="AT670" i="1"/>
  <c r="AA49" i="6"/>
  <c r="AU673" i="1"/>
  <c r="AU664" i="1"/>
  <c r="AP666" i="1"/>
  <c r="AE267" i="4"/>
  <c r="CM678" i="1" l="1"/>
  <c r="CO686" i="1"/>
  <c r="CP686" i="1" s="1"/>
  <c r="CQ686" i="1" s="1"/>
  <c r="CR686" i="1" s="1"/>
  <c r="CS686" i="1" s="1"/>
  <c r="CT686" i="1" s="1"/>
  <c r="CU686" i="1" s="1"/>
  <c r="CV686" i="1" s="1"/>
  <c r="CW686" i="1" s="1"/>
  <c r="CX686" i="1" s="1"/>
  <c r="CY686" i="1" s="1"/>
  <c r="CM690" i="1"/>
  <c r="CM675" i="1"/>
  <c r="AV668" i="1"/>
  <c r="AW668" i="1" s="1"/>
  <c r="AX668" i="1" s="1"/>
  <c r="AY668" i="1" s="1"/>
  <c r="AZ668" i="1" s="1"/>
  <c r="BA668" i="1" s="1"/>
  <c r="BB668" i="1" s="1"/>
  <c r="BC668" i="1" s="1"/>
  <c r="BD668" i="1" s="1"/>
  <c r="BE668" i="1" s="1"/>
  <c r="CO690" i="1"/>
  <c r="CP690" i="1" s="1"/>
  <c r="CQ690" i="1" s="1"/>
  <c r="CR690" i="1" s="1"/>
  <c r="CS690" i="1" s="1"/>
  <c r="CT690" i="1" s="1"/>
  <c r="CU690" i="1" s="1"/>
  <c r="CV690" i="1" s="1"/>
  <c r="CW690" i="1" s="1"/>
  <c r="CX690" i="1" s="1"/>
  <c r="CY690" i="1" s="1"/>
  <c r="BI665" i="1"/>
  <c r="CM682" i="1"/>
  <c r="CZ683" i="1"/>
  <c r="CO687" i="1"/>
  <c r="CP687" i="1" s="1"/>
  <c r="CQ687" i="1" s="1"/>
  <c r="CR687" i="1" s="1"/>
  <c r="CS687" i="1" s="1"/>
  <c r="CT687" i="1" s="1"/>
  <c r="CU687" i="1" s="1"/>
  <c r="CV687" i="1" s="1"/>
  <c r="CW687" i="1" s="1"/>
  <c r="CX687" i="1" s="1"/>
  <c r="CY687" i="1" s="1"/>
  <c r="CO682" i="1"/>
  <c r="CP682" i="1" s="1"/>
  <c r="CQ682" i="1" s="1"/>
  <c r="CR682" i="1" s="1"/>
  <c r="CS682" i="1" s="1"/>
  <c r="CT682" i="1" s="1"/>
  <c r="CU682" i="1" s="1"/>
  <c r="CV682" i="1" s="1"/>
  <c r="CW682" i="1" s="1"/>
  <c r="CX682" i="1" s="1"/>
  <c r="CY682" i="1" s="1"/>
  <c r="CO684" i="1"/>
  <c r="CP684" i="1" s="1"/>
  <c r="CQ684" i="1" s="1"/>
  <c r="CR684" i="1" s="1"/>
  <c r="CS684" i="1" s="1"/>
  <c r="CT684" i="1" s="1"/>
  <c r="CU684" i="1" s="1"/>
  <c r="CV684" i="1" s="1"/>
  <c r="CW684" i="1" s="1"/>
  <c r="CX684" i="1" s="1"/>
  <c r="CY684" i="1" s="1"/>
  <c r="CO680" i="1"/>
  <c r="CP680" i="1" s="1"/>
  <c r="CQ680" i="1" s="1"/>
  <c r="CR680" i="1" s="1"/>
  <c r="CS680" i="1" s="1"/>
  <c r="CT680" i="1" s="1"/>
  <c r="CU680" i="1" s="1"/>
  <c r="CV680" i="1" s="1"/>
  <c r="CW680" i="1" s="1"/>
  <c r="CX680" i="1" s="1"/>
  <c r="CY680" i="1" s="1"/>
  <c r="CN678" i="1"/>
  <c r="CO678" i="1" s="1"/>
  <c r="CP678" i="1" s="1"/>
  <c r="CQ678" i="1" s="1"/>
  <c r="CR678" i="1" s="1"/>
  <c r="CS678" i="1" s="1"/>
  <c r="CT678" i="1" s="1"/>
  <c r="CU678" i="1" s="1"/>
  <c r="CV678" i="1" s="1"/>
  <c r="CW678" i="1" s="1"/>
  <c r="CX678" i="1" s="1"/>
  <c r="CY678" i="1" s="1"/>
  <c r="AV663" i="1"/>
  <c r="AW663" i="1" s="1"/>
  <c r="AX663" i="1" s="1"/>
  <c r="AY663" i="1" s="1"/>
  <c r="AZ663" i="1" s="1"/>
  <c r="BA663" i="1" s="1"/>
  <c r="BB663" i="1" s="1"/>
  <c r="BC663" i="1" s="1"/>
  <c r="BD663" i="1" s="1"/>
  <c r="BE663" i="1" s="1"/>
  <c r="CN675" i="1"/>
  <c r="CO675" i="1" s="1"/>
  <c r="CP675" i="1" s="1"/>
  <c r="CQ675" i="1" s="1"/>
  <c r="CR675" i="1" s="1"/>
  <c r="CS675" i="1" s="1"/>
  <c r="CT675" i="1" s="1"/>
  <c r="CU675" i="1" s="1"/>
  <c r="CV675" i="1" s="1"/>
  <c r="CW675" i="1" s="1"/>
  <c r="CX675" i="1" s="1"/>
  <c r="CY675" i="1" s="1"/>
  <c r="AU661" i="1"/>
  <c r="BV675" i="1"/>
  <c r="BX669" i="1"/>
  <c r="AP661" i="1"/>
  <c r="BY669" i="1"/>
  <c r="BZ669" i="1" s="1"/>
  <c r="CA669" i="1" s="1"/>
  <c r="CB669" i="1" s="1"/>
  <c r="CC669" i="1" s="1"/>
  <c r="CD669" i="1" s="1"/>
  <c r="CE669" i="1" s="1"/>
  <c r="CF669" i="1" s="1"/>
  <c r="CG669" i="1" s="1"/>
  <c r="CH669" i="1" s="1"/>
  <c r="CI669" i="1" s="1"/>
  <c r="BF670" i="1"/>
  <c r="BH670" i="1" s="1"/>
  <c r="BK677" i="1"/>
  <c r="BL677" i="1" s="1"/>
  <c r="BM677" i="1" s="1"/>
  <c r="BN677" i="1" s="1"/>
  <c r="BO677" i="1" s="1"/>
  <c r="BP677" i="1" s="1"/>
  <c r="BQ677" i="1" s="1"/>
  <c r="BR677" i="1" s="1"/>
  <c r="BS677" i="1" s="1"/>
  <c r="BT677" i="1" s="1"/>
  <c r="CL676" i="1"/>
  <c r="CM676" i="1" s="1"/>
  <c r="BX676" i="1"/>
  <c r="BJ665" i="1"/>
  <c r="BK676" i="1"/>
  <c r="BL676" i="1" s="1"/>
  <c r="BM676" i="1" s="1"/>
  <c r="BN676" i="1" s="1"/>
  <c r="BO676" i="1" s="1"/>
  <c r="BP676" i="1" s="1"/>
  <c r="BQ676" i="1" s="1"/>
  <c r="BR676" i="1" s="1"/>
  <c r="BS676" i="1" s="1"/>
  <c r="BT676" i="1" s="1"/>
  <c r="CL677" i="1"/>
  <c r="BX677" i="1"/>
  <c r="CK675" i="1"/>
  <c r="BZ674" i="1"/>
  <c r="CA674" i="1" s="1"/>
  <c r="CB674" i="1" s="1"/>
  <c r="CC674" i="1" s="1"/>
  <c r="CD674" i="1" s="1"/>
  <c r="CE674" i="1" s="1"/>
  <c r="CF674" i="1" s="1"/>
  <c r="CG674" i="1" s="1"/>
  <c r="CH674" i="1" s="1"/>
  <c r="CI674" i="1" s="1"/>
  <c r="CJ674" i="1" s="1"/>
  <c r="BV674" i="1"/>
  <c r="BF671" i="1"/>
  <c r="AT666" i="1"/>
  <c r="AT662" i="1"/>
  <c r="AT667" i="1"/>
  <c r="AV664" i="1"/>
  <c r="AW664" i="1" s="1"/>
  <c r="AU666" i="1"/>
  <c r="AV673" i="1"/>
  <c r="AW673" i="1" s="1"/>
  <c r="AU667" i="1"/>
  <c r="AU662" i="1"/>
  <c r="AP644" i="1"/>
  <c r="AB644" i="1"/>
  <c r="BI644" i="1" s="1"/>
  <c r="AB659" i="1"/>
  <c r="AM660" i="1"/>
  <c r="AN660" i="1" s="1"/>
  <c r="AB658" i="1"/>
  <c r="AB657" i="1"/>
  <c r="CM677" i="1" l="1"/>
  <c r="CN674" i="1"/>
  <c r="CO674" i="1" s="1"/>
  <c r="CP674" i="1" s="1"/>
  <c r="CQ674" i="1" s="1"/>
  <c r="CR674" i="1" s="1"/>
  <c r="CS674" i="1" s="1"/>
  <c r="CT674" i="1" s="1"/>
  <c r="CU674" i="1" s="1"/>
  <c r="CV674" i="1" s="1"/>
  <c r="CW674" i="1" s="1"/>
  <c r="CX674" i="1" s="1"/>
  <c r="CY674" i="1" s="1"/>
  <c r="CZ686" i="1"/>
  <c r="BK665" i="1"/>
  <c r="BL665" i="1" s="1"/>
  <c r="BM665" i="1" s="1"/>
  <c r="BN665" i="1" s="1"/>
  <c r="BO665" i="1" s="1"/>
  <c r="BP665" i="1" s="1"/>
  <c r="BQ665" i="1" s="1"/>
  <c r="BR665" i="1" s="1"/>
  <c r="BS665" i="1" s="1"/>
  <c r="BT665" i="1" s="1"/>
  <c r="BU665" i="1" s="1"/>
  <c r="AV661" i="1"/>
  <c r="AW661" i="1" s="1"/>
  <c r="AX661" i="1" s="1"/>
  <c r="AY661" i="1" s="1"/>
  <c r="AZ661" i="1" s="1"/>
  <c r="BA661" i="1" s="1"/>
  <c r="BB661" i="1" s="1"/>
  <c r="BC661" i="1" s="1"/>
  <c r="BD661" i="1" s="1"/>
  <c r="AV662" i="1"/>
  <c r="AW662" i="1" s="1"/>
  <c r="AX662" i="1" s="1"/>
  <c r="AY662" i="1" s="1"/>
  <c r="AZ662" i="1" s="1"/>
  <c r="BA662" i="1" s="1"/>
  <c r="BB662" i="1" s="1"/>
  <c r="BC662" i="1" s="1"/>
  <c r="BD662" i="1" s="1"/>
  <c r="CZ690" i="1"/>
  <c r="BI670" i="1"/>
  <c r="CZ687" i="1"/>
  <c r="CZ682" i="1"/>
  <c r="CZ684" i="1"/>
  <c r="CZ680" i="1"/>
  <c r="BU677" i="1"/>
  <c r="BY677" i="1" s="1"/>
  <c r="BZ677" i="1" s="1"/>
  <c r="CA677" i="1" s="1"/>
  <c r="CB677" i="1" s="1"/>
  <c r="CC677" i="1" s="1"/>
  <c r="CD677" i="1" s="1"/>
  <c r="CE677" i="1" s="1"/>
  <c r="CF677" i="1" s="1"/>
  <c r="CG677" i="1" s="1"/>
  <c r="CH677" i="1" s="1"/>
  <c r="CI677" i="1" s="1"/>
  <c r="CJ677" i="1" s="1"/>
  <c r="BU676" i="1"/>
  <c r="BY676" i="1" s="1"/>
  <c r="BZ676" i="1" s="1"/>
  <c r="CA676" i="1" s="1"/>
  <c r="CB676" i="1" s="1"/>
  <c r="CC676" i="1" s="1"/>
  <c r="CD676" i="1" s="1"/>
  <c r="CE676" i="1" s="1"/>
  <c r="CF676" i="1" s="1"/>
  <c r="CG676" i="1" s="1"/>
  <c r="CH676" i="1" s="1"/>
  <c r="CI676" i="1" s="1"/>
  <c r="CJ676" i="1" s="1"/>
  <c r="BF663" i="1"/>
  <c r="BJ663" i="1" s="1"/>
  <c r="AO660" i="1"/>
  <c r="AR660" i="1" s="1"/>
  <c r="AS660" i="1" s="1"/>
  <c r="BJ670" i="1"/>
  <c r="BF668" i="1"/>
  <c r="BH668" i="1" s="1"/>
  <c r="BH671" i="1"/>
  <c r="CJ669" i="1"/>
  <c r="CZ675" i="1"/>
  <c r="CK674" i="1"/>
  <c r="BG671" i="1"/>
  <c r="AC644" i="1"/>
  <c r="AC657" i="1"/>
  <c r="AC658" i="1"/>
  <c r="AX673" i="1"/>
  <c r="AY673" i="1" s="1"/>
  <c r="AZ673" i="1" s="1"/>
  <c r="BA673" i="1" s="1"/>
  <c r="BB673" i="1" s="1"/>
  <c r="BC673" i="1" s="1"/>
  <c r="BD673" i="1" s="1"/>
  <c r="BE673" i="1" s="1"/>
  <c r="AC659" i="1"/>
  <c r="AX664" i="1"/>
  <c r="AY664" i="1" s="1"/>
  <c r="AZ664" i="1" s="1"/>
  <c r="BA664" i="1" s="1"/>
  <c r="BB664" i="1" s="1"/>
  <c r="BC664" i="1" s="1"/>
  <c r="BD664" i="1" s="1"/>
  <c r="AV666" i="1"/>
  <c r="AW666" i="1" s="1"/>
  <c r="AV667" i="1"/>
  <c r="AW667" i="1" s="1"/>
  <c r="AC660" i="1"/>
  <c r="AK644" i="1"/>
  <c r="AL644" i="1" s="1"/>
  <c r="AM644" i="1" s="1"/>
  <c r="AN644" i="1" s="1"/>
  <c r="AM659" i="1"/>
  <c r="AN659" i="1" s="1"/>
  <c r="AL657" i="1"/>
  <c r="AL658" i="1"/>
  <c r="AB656" i="1"/>
  <c r="AB654" i="1"/>
  <c r="AB655" i="1"/>
  <c r="AB653" i="1"/>
  <c r="AB646" i="1"/>
  <c r="AB647" i="1"/>
  <c r="AB648" i="1"/>
  <c r="AB649" i="1"/>
  <c r="AB650" i="1"/>
  <c r="AB651" i="1"/>
  <c r="AB652" i="1"/>
  <c r="CN677" i="1" l="1"/>
  <c r="CO677" i="1" s="1"/>
  <c r="CP677" i="1" s="1"/>
  <c r="CQ677" i="1" s="1"/>
  <c r="CR677" i="1" s="1"/>
  <c r="CS677" i="1" s="1"/>
  <c r="CT677" i="1" s="1"/>
  <c r="CU677" i="1" s="1"/>
  <c r="CV677" i="1" s="1"/>
  <c r="CW677" i="1" s="1"/>
  <c r="CX677" i="1" s="1"/>
  <c r="CY677" i="1" s="1"/>
  <c r="CZ677" i="1" s="1"/>
  <c r="CN676" i="1"/>
  <c r="CO676" i="1" s="1"/>
  <c r="CP676" i="1" s="1"/>
  <c r="CQ676" i="1" s="1"/>
  <c r="CR676" i="1" s="1"/>
  <c r="CS676" i="1" s="1"/>
  <c r="CT676" i="1" s="1"/>
  <c r="CU676" i="1" s="1"/>
  <c r="CV676" i="1" s="1"/>
  <c r="CW676" i="1" s="1"/>
  <c r="CX676" i="1" s="1"/>
  <c r="CY676" i="1" s="1"/>
  <c r="CK669" i="1"/>
  <c r="BK670" i="1"/>
  <c r="BL670" i="1" s="1"/>
  <c r="BM670" i="1" s="1"/>
  <c r="BN670" i="1" s="1"/>
  <c r="BO670" i="1" s="1"/>
  <c r="BP670" i="1" s="1"/>
  <c r="BQ670" i="1" s="1"/>
  <c r="BR670" i="1" s="1"/>
  <c r="BS670" i="1" s="1"/>
  <c r="BT670" i="1" s="1"/>
  <c r="BU670" i="1" s="1"/>
  <c r="BY670" i="1" s="1"/>
  <c r="BZ670" i="1" s="1"/>
  <c r="CA670" i="1" s="1"/>
  <c r="CB670" i="1" s="1"/>
  <c r="CC670" i="1" s="1"/>
  <c r="CD670" i="1" s="1"/>
  <c r="CE670" i="1" s="1"/>
  <c r="CF670" i="1" s="1"/>
  <c r="CG670" i="1" s="1"/>
  <c r="CH670" i="1" s="1"/>
  <c r="CI670" i="1" s="1"/>
  <c r="CJ670" i="1" s="1"/>
  <c r="BW665" i="1"/>
  <c r="BJ671" i="1"/>
  <c r="BG663" i="1"/>
  <c r="BV676" i="1"/>
  <c r="BV677" i="1"/>
  <c r="CK677" i="1"/>
  <c r="CL669" i="1"/>
  <c r="AP660" i="1"/>
  <c r="AO659" i="1"/>
  <c r="AP659" i="1" s="1"/>
  <c r="AO644" i="1"/>
  <c r="AR644" i="1" s="1"/>
  <c r="AS644" i="1" s="1"/>
  <c r="BI671" i="1"/>
  <c r="CK676" i="1"/>
  <c r="BG668" i="1"/>
  <c r="BJ668" i="1"/>
  <c r="CZ674" i="1"/>
  <c r="BE661" i="1"/>
  <c r="BE664" i="1"/>
  <c r="BF673" i="1"/>
  <c r="BH673" i="1" s="1"/>
  <c r="BE662" i="1"/>
  <c r="BI663" i="1"/>
  <c r="BI668" i="1"/>
  <c r="BI656" i="1"/>
  <c r="AK647" i="1"/>
  <c r="AL647" i="1" s="1"/>
  <c r="AM647" i="1" s="1"/>
  <c r="AN647" i="1" s="1"/>
  <c r="AC646" i="1"/>
  <c r="AT660" i="1"/>
  <c r="AK652" i="1"/>
  <c r="AL652" i="1" s="1"/>
  <c r="AM652" i="1" s="1"/>
  <c r="AN652" i="1" s="1"/>
  <c r="AL653" i="1"/>
  <c r="AM653" i="1" s="1"/>
  <c r="AL655" i="1"/>
  <c r="AM655" i="1" s="1"/>
  <c r="AN655" i="1" s="1"/>
  <c r="AC654" i="1"/>
  <c r="AC650" i="1"/>
  <c r="AC648" i="1"/>
  <c r="AX666" i="1"/>
  <c r="AY666" i="1" s="1"/>
  <c r="AZ666" i="1" s="1"/>
  <c r="BA666" i="1" s="1"/>
  <c r="BB666" i="1" s="1"/>
  <c r="BC666" i="1" s="1"/>
  <c r="BD666" i="1" s="1"/>
  <c r="AK651" i="1"/>
  <c r="AL651" i="1" s="1"/>
  <c r="AM651" i="1" s="1"/>
  <c r="AN651" i="1" s="1"/>
  <c r="AX667" i="1"/>
  <c r="AY667" i="1" s="1"/>
  <c r="AZ667" i="1" s="1"/>
  <c r="BA667" i="1" s="1"/>
  <c r="BB667" i="1" s="1"/>
  <c r="BC667" i="1" s="1"/>
  <c r="BD667" i="1" s="1"/>
  <c r="AC649" i="1"/>
  <c r="AU660" i="1"/>
  <c r="AM657" i="1"/>
  <c r="AN657" i="1" s="1"/>
  <c r="AC656" i="1"/>
  <c r="AM656" i="1"/>
  <c r="AN656" i="1" s="1"/>
  <c r="AM658" i="1"/>
  <c r="AN658" i="1" s="1"/>
  <c r="AL654" i="1"/>
  <c r="AC655" i="1"/>
  <c r="AC653" i="1"/>
  <c r="AC647" i="1"/>
  <c r="AK649" i="1"/>
  <c r="AK650" i="1"/>
  <c r="AC652" i="1"/>
  <c r="AK648" i="1"/>
  <c r="AC651" i="1"/>
  <c r="AK646" i="1"/>
  <c r="CZ676" i="1" l="1"/>
  <c r="CM669" i="1"/>
  <c r="CN670" i="1"/>
  <c r="CO670" i="1" s="1"/>
  <c r="CP670" i="1" s="1"/>
  <c r="CQ670" i="1" s="1"/>
  <c r="CR670" i="1" s="1"/>
  <c r="CS670" i="1" s="1"/>
  <c r="CT670" i="1" s="1"/>
  <c r="CU670" i="1" s="1"/>
  <c r="CV670" i="1" s="1"/>
  <c r="CW670" i="1" s="1"/>
  <c r="CX670" i="1" s="1"/>
  <c r="CY670" i="1" s="1"/>
  <c r="BK671" i="1"/>
  <c r="BL671" i="1" s="1"/>
  <c r="BM671" i="1" s="1"/>
  <c r="BN671" i="1" s="1"/>
  <c r="BO671" i="1" s="1"/>
  <c r="BP671" i="1" s="1"/>
  <c r="BQ671" i="1" s="1"/>
  <c r="BR671" i="1" s="1"/>
  <c r="BS671" i="1" s="1"/>
  <c r="BT671" i="1" s="1"/>
  <c r="AV660" i="1"/>
  <c r="AW660" i="1" s="1"/>
  <c r="BX665" i="1"/>
  <c r="BW697" i="1"/>
  <c r="BY665" i="1"/>
  <c r="BZ665" i="1" s="1"/>
  <c r="CA665" i="1" s="1"/>
  <c r="CB665" i="1" s="1"/>
  <c r="CC665" i="1" s="1"/>
  <c r="CD665" i="1" s="1"/>
  <c r="CE665" i="1" s="1"/>
  <c r="CF665" i="1" s="1"/>
  <c r="CG665" i="1" s="1"/>
  <c r="CH665" i="1" s="1"/>
  <c r="CI665" i="1" s="1"/>
  <c r="AR659" i="1"/>
  <c r="AS659" i="1" s="1"/>
  <c r="CN669" i="1"/>
  <c r="BF662" i="1"/>
  <c r="BJ662" i="1" s="1"/>
  <c r="BF661" i="1"/>
  <c r="BJ661" i="1" s="1"/>
  <c r="AO651" i="1"/>
  <c r="AR651" i="1" s="1"/>
  <c r="AS651" i="1" s="1"/>
  <c r="AO652" i="1"/>
  <c r="AP652" i="1" s="1"/>
  <c r="AO657" i="1"/>
  <c r="AR657" i="1" s="1"/>
  <c r="AS657" i="1" s="1"/>
  <c r="AO658" i="1"/>
  <c r="AR658" i="1" s="1"/>
  <c r="AS658" i="1" s="1"/>
  <c r="AO647" i="1"/>
  <c r="AP647" i="1" s="1"/>
  <c r="AO656" i="1"/>
  <c r="AU656" i="1" s="1"/>
  <c r="AO655" i="1"/>
  <c r="AR655" i="1" s="1"/>
  <c r="AS655" i="1" s="1"/>
  <c r="BF664" i="1"/>
  <c r="BH664" i="1" s="1"/>
  <c r="BJ673" i="1"/>
  <c r="BG673" i="1"/>
  <c r="BE666" i="1"/>
  <c r="BE667" i="1"/>
  <c r="BI673" i="1"/>
  <c r="BK663" i="1"/>
  <c r="BK668" i="1"/>
  <c r="AT659" i="1"/>
  <c r="AT644" i="1"/>
  <c r="AT656" i="1"/>
  <c r="AT657" i="1"/>
  <c r="AU644" i="1"/>
  <c r="AU659" i="1"/>
  <c r="AT655" i="1"/>
  <c r="AN653" i="1"/>
  <c r="AL650" i="1"/>
  <c r="AM650" i="1" s="1"/>
  <c r="AN650" i="1" s="1"/>
  <c r="AL649" i="1"/>
  <c r="AM649" i="1" s="1"/>
  <c r="AN649" i="1" s="1"/>
  <c r="AM654" i="1"/>
  <c r="AN654" i="1" s="1"/>
  <c r="AL646" i="1"/>
  <c r="AM646" i="1" s="1"/>
  <c r="AN646" i="1" s="1"/>
  <c r="AL648" i="1"/>
  <c r="AM648" i="1" s="1"/>
  <c r="AN648" i="1" s="1"/>
  <c r="CO669" i="1" l="1"/>
  <c r="CP669" i="1" s="1"/>
  <c r="CQ669" i="1" s="1"/>
  <c r="CR669" i="1" s="1"/>
  <c r="CS669" i="1" s="1"/>
  <c r="CT669" i="1" s="1"/>
  <c r="CU669" i="1" s="1"/>
  <c r="CV669" i="1" s="1"/>
  <c r="CW669" i="1" s="1"/>
  <c r="CX669" i="1" s="1"/>
  <c r="CY669" i="1" s="1"/>
  <c r="CZ669" i="1" s="1"/>
  <c r="AV656" i="1"/>
  <c r="AW656" i="1" s="1"/>
  <c r="AX656" i="1" s="1"/>
  <c r="AY656" i="1" s="1"/>
  <c r="AZ656" i="1" s="1"/>
  <c r="BA656" i="1" s="1"/>
  <c r="BB656" i="1" s="1"/>
  <c r="BC656" i="1" s="1"/>
  <c r="BD656" i="1" s="1"/>
  <c r="BE656" i="1" s="1"/>
  <c r="BF656" i="1" s="1"/>
  <c r="BJ656" i="1" s="1"/>
  <c r="AV644" i="1"/>
  <c r="AW644" i="1" s="1"/>
  <c r="AX644" i="1" s="1"/>
  <c r="AY644" i="1" s="1"/>
  <c r="AZ644" i="1" s="1"/>
  <c r="BA644" i="1" s="1"/>
  <c r="BB644" i="1" s="1"/>
  <c r="BC644" i="1" s="1"/>
  <c r="BD644" i="1" s="1"/>
  <c r="BE644" i="1" s="1"/>
  <c r="CJ665" i="1"/>
  <c r="BK662" i="1"/>
  <c r="BL662" i="1" s="1"/>
  <c r="BM662" i="1" s="1"/>
  <c r="BN662" i="1" s="1"/>
  <c r="BO662" i="1" s="1"/>
  <c r="BP662" i="1" s="1"/>
  <c r="BQ662" i="1" s="1"/>
  <c r="BR662" i="1" s="1"/>
  <c r="BS662" i="1" s="1"/>
  <c r="BT662" i="1" s="1"/>
  <c r="BG664" i="1"/>
  <c r="AR656" i="1"/>
  <c r="AS656" i="1" s="1"/>
  <c r="AR652" i="1"/>
  <c r="AS652" i="1" s="1"/>
  <c r="AP657" i="1"/>
  <c r="AP658" i="1"/>
  <c r="BG661" i="1"/>
  <c r="AR647" i="1"/>
  <c r="AS647" i="1" s="1"/>
  <c r="AU657" i="1"/>
  <c r="AP655" i="1"/>
  <c r="AU655" i="1"/>
  <c r="AP651" i="1"/>
  <c r="AO654" i="1"/>
  <c r="AR654" i="1" s="1"/>
  <c r="AS654" i="1" s="1"/>
  <c r="AO649" i="1"/>
  <c r="AR649" i="1" s="1"/>
  <c r="AS649" i="1" s="1"/>
  <c r="AO650" i="1"/>
  <c r="AU650" i="1" s="1"/>
  <c r="AO648" i="1"/>
  <c r="AP648" i="1" s="1"/>
  <c r="AO646" i="1"/>
  <c r="AR646" i="1" s="1"/>
  <c r="AS646" i="1" s="1"/>
  <c r="AO653" i="1"/>
  <c r="AU653" i="1" s="1"/>
  <c r="BF667" i="1"/>
  <c r="BG667" i="1" s="1"/>
  <c r="BF666" i="1"/>
  <c r="BH666" i="1" s="1"/>
  <c r="BJ664" i="1"/>
  <c r="BL668" i="1"/>
  <c r="BM668" i="1" s="1"/>
  <c r="BN668" i="1" s="1"/>
  <c r="BO668" i="1" s="1"/>
  <c r="BP668" i="1" s="1"/>
  <c r="BQ668" i="1" s="1"/>
  <c r="BR668" i="1" s="1"/>
  <c r="BS668" i="1" s="1"/>
  <c r="BL663" i="1"/>
  <c r="BM663" i="1" s="1"/>
  <c r="BN663" i="1" s="1"/>
  <c r="BO663" i="1" s="1"/>
  <c r="BP663" i="1" s="1"/>
  <c r="BQ663" i="1" s="1"/>
  <c r="BR663" i="1" s="1"/>
  <c r="BS663" i="1" s="1"/>
  <c r="BU671" i="1"/>
  <c r="BI664" i="1"/>
  <c r="BK673" i="1"/>
  <c r="BI661" i="1"/>
  <c r="AX660" i="1"/>
  <c r="AY660" i="1" s="1"/>
  <c r="AT647" i="1"/>
  <c r="AT650" i="1"/>
  <c r="AT651" i="1"/>
  <c r="AT649" i="1"/>
  <c r="AT652" i="1"/>
  <c r="AT653" i="1"/>
  <c r="AT658" i="1"/>
  <c r="AU658" i="1"/>
  <c r="AT654" i="1"/>
  <c r="AV659" i="1"/>
  <c r="AW659" i="1" s="1"/>
  <c r="AU652" i="1"/>
  <c r="AU651" i="1"/>
  <c r="AU647" i="1"/>
  <c r="CL665" i="1" l="1"/>
  <c r="CN665" i="1" s="1"/>
  <c r="CO665" i="1" s="1"/>
  <c r="CP665" i="1" s="1"/>
  <c r="CQ665" i="1" s="1"/>
  <c r="CR665" i="1" s="1"/>
  <c r="CS665" i="1" s="1"/>
  <c r="CT665" i="1" s="1"/>
  <c r="CU665" i="1" s="1"/>
  <c r="CV665" i="1" s="1"/>
  <c r="CW665" i="1" s="1"/>
  <c r="CX665" i="1" s="1"/>
  <c r="CY665" i="1" s="1"/>
  <c r="BK656" i="1"/>
  <c r="BL656" i="1" s="1"/>
  <c r="BM656" i="1" s="1"/>
  <c r="BN656" i="1" s="1"/>
  <c r="BO656" i="1" s="1"/>
  <c r="BP656" i="1" s="1"/>
  <c r="BQ656" i="1" s="1"/>
  <c r="BR656" i="1" s="1"/>
  <c r="BS656" i="1" s="1"/>
  <c r="BT656" i="1" s="1"/>
  <c r="BU656" i="1" s="1"/>
  <c r="BY656" i="1" s="1"/>
  <c r="BZ656" i="1" s="1"/>
  <c r="CA656" i="1" s="1"/>
  <c r="CB656" i="1" s="1"/>
  <c r="CC656" i="1" s="1"/>
  <c r="CD656" i="1" s="1"/>
  <c r="CE656" i="1" s="1"/>
  <c r="CF656" i="1" s="1"/>
  <c r="CG656" i="1" s="1"/>
  <c r="CH656" i="1" s="1"/>
  <c r="CI656" i="1" s="1"/>
  <c r="CJ656" i="1" s="1"/>
  <c r="AV657" i="1"/>
  <c r="AW657" i="1" s="1"/>
  <c r="AX657" i="1" s="1"/>
  <c r="AV655" i="1"/>
  <c r="AW655" i="1" s="1"/>
  <c r="AX655" i="1" s="1"/>
  <c r="AY655" i="1" s="1"/>
  <c r="AZ655" i="1" s="1"/>
  <c r="BA655" i="1" s="1"/>
  <c r="BB655" i="1" s="1"/>
  <c r="BC655" i="1" s="1"/>
  <c r="BD655" i="1" s="1"/>
  <c r="BE655" i="1" s="1"/>
  <c r="BU662" i="1"/>
  <c r="BY662" i="1" s="1"/>
  <c r="BZ662" i="1" s="1"/>
  <c r="CA662" i="1" s="1"/>
  <c r="CB662" i="1" s="1"/>
  <c r="CC662" i="1" s="1"/>
  <c r="CD662" i="1" s="1"/>
  <c r="CE662" i="1" s="1"/>
  <c r="CF662" i="1" s="1"/>
  <c r="CG662" i="1" s="1"/>
  <c r="CH662" i="1" s="1"/>
  <c r="CI662" i="1" s="1"/>
  <c r="CJ662" i="1" s="1"/>
  <c r="AR653" i="1"/>
  <c r="AS653" i="1" s="1"/>
  <c r="AP649" i="1"/>
  <c r="AP646" i="1"/>
  <c r="AP653" i="1"/>
  <c r="AU649" i="1"/>
  <c r="BH667" i="1"/>
  <c r="AP650" i="1"/>
  <c r="AR648" i="1"/>
  <c r="AS648" i="1" s="1"/>
  <c r="BF644" i="1"/>
  <c r="BJ644" i="1" s="1"/>
  <c r="AR650" i="1"/>
  <c r="AS650" i="1" s="1"/>
  <c r="AP654" i="1"/>
  <c r="AU654" i="1"/>
  <c r="BJ666" i="1"/>
  <c r="BG666" i="1"/>
  <c r="BY671" i="1"/>
  <c r="BV671" i="1"/>
  <c r="BT663" i="1"/>
  <c r="BL673" i="1"/>
  <c r="BM673" i="1" s="1"/>
  <c r="BN673" i="1" s="1"/>
  <c r="BO673" i="1" s="1"/>
  <c r="BP673" i="1" s="1"/>
  <c r="BQ673" i="1" s="1"/>
  <c r="BR673" i="1" s="1"/>
  <c r="BS673" i="1" s="1"/>
  <c r="BT673" i="1" s="1"/>
  <c r="BT668" i="1"/>
  <c r="BK664" i="1"/>
  <c r="BI666" i="1"/>
  <c r="BI655" i="1"/>
  <c r="BK661" i="1"/>
  <c r="AZ660" i="1"/>
  <c r="BA660" i="1" s="1"/>
  <c r="BB660" i="1" s="1"/>
  <c r="BC660" i="1" s="1"/>
  <c r="AT646" i="1"/>
  <c r="AX659" i="1"/>
  <c r="AY659" i="1" s="1"/>
  <c r="AZ659" i="1" s="1"/>
  <c r="BA659" i="1" s="1"/>
  <c r="BB659" i="1" s="1"/>
  <c r="BC659" i="1" s="1"/>
  <c r="BD659" i="1" s="1"/>
  <c r="BE659" i="1" s="1"/>
  <c r="AT648" i="1"/>
  <c r="AV658" i="1"/>
  <c r="AW658" i="1" s="1"/>
  <c r="AV650" i="1"/>
  <c r="AW650" i="1" s="1"/>
  <c r="AV653" i="1"/>
  <c r="AW653" i="1" s="1"/>
  <c r="AU648" i="1"/>
  <c r="AU646" i="1"/>
  <c r="AV651" i="1"/>
  <c r="AW651" i="1" s="1"/>
  <c r="AV647" i="1"/>
  <c r="AW647" i="1" s="1"/>
  <c r="AV652" i="1"/>
  <c r="AW652" i="1" s="1"/>
  <c r="CN656" i="1" l="1"/>
  <c r="CO656" i="1" s="1"/>
  <c r="CP656" i="1" s="1"/>
  <c r="CQ656" i="1" s="1"/>
  <c r="CR656" i="1" s="1"/>
  <c r="CS656" i="1" s="1"/>
  <c r="CT656" i="1" s="1"/>
  <c r="CU656" i="1" s="1"/>
  <c r="CV656" i="1" s="1"/>
  <c r="CW656" i="1" s="1"/>
  <c r="CX656" i="1" s="1"/>
  <c r="CY656" i="1" s="1"/>
  <c r="CN662" i="1"/>
  <c r="CM665" i="1"/>
  <c r="CL697" i="1"/>
  <c r="BK644" i="1"/>
  <c r="BL644" i="1" s="1"/>
  <c r="BM644" i="1" s="1"/>
  <c r="BN644" i="1" s="1"/>
  <c r="BO644" i="1" s="1"/>
  <c r="BP644" i="1" s="1"/>
  <c r="BQ644" i="1" s="1"/>
  <c r="BR644" i="1" s="1"/>
  <c r="BS644" i="1" s="1"/>
  <c r="BT644" i="1" s="1"/>
  <c r="BU644" i="1" s="1"/>
  <c r="BY644" i="1" s="1"/>
  <c r="BZ644" i="1" s="1"/>
  <c r="CA644" i="1" s="1"/>
  <c r="CB644" i="1" s="1"/>
  <c r="CC644" i="1" s="1"/>
  <c r="CD644" i="1" s="1"/>
  <c r="CE644" i="1" s="1"/>
  <c r="CF644" i="1" s="1"/>
  <c r="CG644" i="1" s="1"/>
  <c r="CH644" i="1" s="1"/>
  <c r="CI644" i="1" s="1"/>
  <c r="CJ644" i="1" s="1"/>
  <c r="AV649" i="1"/>
  <c r="AW649" i="1" s="1"/>
  <c r="AX649" i="1" s="1"/>
  <c r="AY649" i="1" s="1"/>
  <c r="AZ649" i="1" s="1"/>
  <c r="BA649" i="1" s="1"/>
  <c r="AV654" i="1"/>
  <c r="AW654" i="1" s="1"/>
  <c r="AX654" i="1" s="1"/>
  <c r="AY654" i="1" s="1"/>
  <c r="AZ654" i="1" s="1"/>
  <c r="BA654" i="1" s="1"/>
  <c r="BB654" i="1" s="1"/>
  <c r="BC654" i="1" s="1"/>
  <c r="BD654" i="1" s="1"/>
  <c r="BE654" i="1" s="1"/>
  <c r="BJ667" i="1"/>
  <c r="BI667" i="1"/>
  <c r="BH697" i="1"/>
  <c r="BU663" i="1"/>
  <c r="BY663" i="1" s="1"/>
  <c r="BZ663" i="1" s="1"/>
  <c r="CA663" i="1" s="1"/>
  <c r="CB663" i="1" s="1"/>
  <c r="CC663" i="1" s="1"/>
  <c r="CD663" i="1" s="1"/>
  <c r="CE663" i="1" s="1"/>
  <c r="CF663" i="1" s="1"/>
  <c r="CG663" i="1" s="1"/>
  <c r="CH663" i="1" s="1"/>
  <c r="CI663" i="1" s="1"/>
  <c r="CJ663" i="1" s="1"/>
  <c r="BF659" i="1"/>
  <c r="BJ659" i="1" s="1"/>
  <c r="BF655" i="1"/>
  <c r="BJ655" i="1" s="1"/>
  <c r="CO662" i="1"/>
  <c r="CP662" i="1" s="1"/>
  <c r="CQ662" i="1" s="1"/>
  <c r="CR662" i="1" s="1"/>
  <c r="CS662" i="1" s="1"/>
  <c r="CT662" i="1" s="1"/>
  <c r="CU662" i="1" s="1"/>
  <c r="CV662" i="1" s="1"/>
  <c r="CW662" i="1" s="1"/>
  <c r="CX662" i="1" s="1"/>
  <c r="CY662" i="1" s="1"/>
  <c r="BD660" i="1"/>
  <c r="BE660" i="1" s="1"/>
  <c r="BL661" i="1"/>
  <c r="BM661" i="1" s="1"/>
  <c r="BN661" i="1" s="1"/>
  <c r="BO661" i="1" s="1"/>
  <c r="BP661" i="1" s="1"/>
  <c r="BQ661" i="1" s="1"/>
  <c r="BR661" i="1" s="1"/>
  <c r="BS661" i="1" s="1"/>
  <c r="BU668" i="1"/>
  <c r="BY668" i="1" s="1"/>
  <c r="BU673" i="1"/>
  <c r="BL664" i="1"/>
  <c r="BM664" i="1" s="1"/>
  <c r="BN664" i="1" s="1"/>
  <c r="BO664" i="1" s="1"/>
  <c r="BP664" i="1" s="1"/>
  <c r="BQ664" i="1" s="1"/>
  <c r="BR664" i="1" s="1"/>
  <c r="BS664" i="1" s="1"/>
  <c r="BZ671" i="1"/>
  <c r="CA671" i="1" s="1"/>
  <c r="CB671" i="1" s="1"/>
  <c r="CC671" i="1" s="1"/>
  <c r="CD671" i="1" s="1"/>
  <c r="CE671" i="1" s="1"/>
  <c r="CF671" i="1" s="1"/>
  <c r="CG671" i="1" s="1"/>
  <c r="CH671" i="1" s="1"/>
  <c r="CI671" i="1" s="1"/>
  <c r="CJ671" i="1" s="1"/>
  <c r="BK666" i="1"/>
  <c r="AX652" i="1"/>
  <c r="AY652" i="1" s="1"/>
  <c r="AZ652" i="1" s="1"/>
  <c r="BA652" i="1" s="1"/>
  <c r="AX651" i="1"/>
  <c r="AY651" i="1" s="1"/>
  <c r="AZ651" i="1" s="1"/>
  <c r="BA651" i="1" s="1"/>
  <c r="AX647" i="1"/>
  <c r="AY647" i="1" s="1"/>
  <c r="AZ647" i="1" s="1"/>
  <c r="BA647" i="1" s="1"/>
  <c r="AX650" i="1"/>
  <c r="AY650" i="1" s="1"/>
  <c r="AZ650" i="1" s="1"/>
  <c r="BA650" i="1" s="1"/>
  <c r="AX658" i="1"/>
  <c r="AY658" i="1" s="1"/>
  <c r="AZ658" i="1" s="1"/>
  <c r="BA658" i="1" s="1"/>
  <c r="BB658" i="1" s="1"/>
  <c r="AX653" i="1"/>
  <c r="AY653" i="1" s="1"/>
  <c r="AZ653" i="1" s="1"/>
  <c r="BA653" i="1" s="1"/>
  <c r="BB653" i="1" s="1"/>
  <c r="AY657" i="1"/>
  <c r="AV646" i="1"/>
  <c r="AW646" i="1" s="1"/>
  <c r="AV648" i="1"/>
  <c r="AW648" i="1" s="1"/>
  <c r="G608" i="1"/>
  <c r="AB645" i="1"/>
  <c r="CN671" i="1" l="1"/>
  <c r="CO671" i="1" s="1"/>
  <c r="CP671" i="1" s="1"/>
  <c r="CQ671" i="1" s="1"/>
  <c r="CR671" i="1" s="1"/>
  <c r="CS671" i="1" s="1"/>
  <c r="CT671" i="1" s="1"/>
  <c r="CU671" i="1" s="1"/>
  <c r="CV671" i="1" s="1"/>
  <c r="CW671" i="1" s="1"/>
  <c r="CX671" i="1" s="1"/>
  <c r="CY671" i="1" s="1"/>
  <c r="CN663" i="1"/>
  <c r="CO663" i="1" s="1"/>
  <c r="CP663" i="1" s="1"/>
  <c r="CQ663" i="1" s="1"/>
  <c r="CR663" i="1" s="1"/>
  <c r="CS663" i="1" s="1"/>
  <c r="CT663" i="1" s="1"/>
  <c r="CU663" i="1" s="1"/>
  <c r="CV663" i="1" s="1"/>
  <c r="CW663" i="1" s="1"/>
  <c r="CX663" i="1" s="1"/>
  <c r="CY663" i="1" s="1"/>
  <c r="CN644" i="1"/>
  <c r="CO644" i="1" s="1"/>
  <c r="CP644" i="1" s="1"/>
  <c r="CQ644" i="1" s="1"/>
  <c r="CR644" i="1" s="1"/>
  <c r="CS644" i="1" s="1"/>
  <c r="CT644" i="1" s="1"/>
  <c r="CU644" i="1" s="1"/>
  <c r="CV644" i="1" s="1"/>
  <c r="CW644" i="1" s="1"/>
  <c r="CX644" i="1" s="1"/>
  <c r="CY644" i="1" s="1"/>
  <c r="BK655" i="1"/>
  <c r="BL655" i="1" s="1"/>
  <c r="BM655" i="1" s="1"/>
  <c r="BN655" i="1" s="1"/>
  <c r="BO655" i="1" s="1"/>
  <c r="BP655" i="1" s="1"/>
  <c r="BQ655" i="1" s="1"/>
  <c r="BR655" i="1" s="1"/>
  <c r="BK667" i="1"/>
  <c r="BL667" i="1" s="1"/>
  <c r="BM667" i="1" s="1"/>
  <c r="BN667" i="1" s="1"/>
  <c r="BO667" i="1" s="1"/>
  <c r="BP667" i="1" s="1"/>
  <c r="BQ667" i="1" s="1"/>
  <c r="BR667" i="1" s="1"/>
  <c r="BS667" i="1" s="1"/>
  <c r="BT667" i="1" s="1"/>
  <c r="BV663" i="1"/>
  <c r="BG659" i="1"/>
  <c r="BG655" i="1"/>
  <c r="BF654" i="1"/>
  <c r="BJ654" i="1" s="1"/>
  <c r="BF660" i="1"/>
  <c r="BJ660" i="1" s="1"/>
  <c r="BV668" i="1"/>
  <c r="CK671" i="1"/>
  <c r="BZ668" i="1"/>
  <c r="CA668" i="1" s="1"/>
  <c r="CB668" i="1" s="1"/>
  <c r="CC668" i="1" s="1"/>
  <c r="CD668" i="1" s="1"/>
  <c r="CE668" i="1" s="1"/>
  <c r="CF668" i="1" s="1"/>
  <c r="CG668" i="1" s="1"/>
  <c r="CH668" i="1" s="1"/>
  <c r="CI668" i="1" s="1"/>
  <c r="CJ668" i="1" s="1"/>
  <c r="BB647" i="1"/>
  <c r="BC647" i="1" s="1"/>
  <c r="BD647" i="1" s="1"/>
  <c r="BE647" i="1" s="1"/>
  <c r="BB649" i="1"/>
  <c r="BC649" i="1" s="1"/>
  <c r="BD649" i="1" s="1"/>
  <c r="BE649" i="1" s="1"/>
  <c r="BB652" i="1"/>
  <c r="BC652" i="1" s="1"/>
  <c r="BD652" i="1" s="1"/>
  <c r="BE652" i="1" s="1"/>
  <c r="BT661" i="1"/>
  <c r="BB650" i="1"/>
  <c r="BC650" i="1" s="1"/>
  <c r="BD650" i="1" s="1"/>
  <c r="BE650" i="1" s="1"/>
  <c r="BB651" i="1"/>
  <c r="BC651" i="1" s="1"/>
  <c r="BD651" i="1" s="1"/>
  <c r="BE651" i="1" s="1"/>
  <c r="BC653" i="1"/>
  <c r="BD653" i="1" s="1"/>
  <c r="BE653" i="1" s="1"/>
  <c r="BY673" i="1"/>
  <c r="BV673" i="1"/>
  <c r="BT664" i="1"/>
  <c r="BC658" i="1"/>
  <c r="BD658" i="1" s="1"/>
  <c r="BE658" i="1" s="1"/>
  <c r="CK663" i="1"/>
  <c r="BL666" i="1"/>
  <c r="BM666" i="1" s="1"/>
  <c r="BN666" i="1" s="1"/>
  <c r="BO666" i="1" s="1"/>
  <c r="BP666" i="1" s="1"/>
  <c r="BQ666" i="1" s="1"/>
  <c r="BR666" i="1" s="1"/>
  <c r="BS666" i="1" s="1"/>
  <c r="BI652" i="1"/>
  <c r="BI654" i="1"/>
  <c r="AX648" i="1"/>
  <c r="AY648" i="1" s="1"/>
  <c r="AZ648" i="1" s="1"/>
  <c r="BA648" i="1" s="1"/>
  <c r="AX646" i="1"/>
  <c r="AY646" i="1" s="1"/>
  <c r="AZ646" i="1" s="1"/>
  <c r="BA646" i="1" s="1"/>
  <c r="AC645" i="1"/>
  <c r="AZ657" i="1"/>
  <c r="AK645" i="1"/>
  <c r="CN668" i="1" l="1"/>
  <c r="CO668" i="1" s="1"/>
  <c r="CP668" i="1" s="1"/>
  <c r="CQ668" i="1" s="1"/>
  <c r="CR668" i="1" s="1"/>
  <c r="CS668" i="1" s="1"/>
  <c r="CT668" i="1" s="1"/>
  <c r="CU668" i="1" s="1"/>
  <c r="CV668" i="1" s="1"/>
  <c r="CW668" i="1" s="1"/>
  <c r="CX668" i="1" s="1"/>
  <c r="CY668" i="1" s="1"/>
  <c r="BU667" i="1"/>
  <c r="BY667" i="1" s="1"/>
  <c r="BZ667" i="1" s="1"/>
  <c r="CA667" i="1" s="1"/>
  <c r="CB667" i="1" s="1"/>
  <c r="CC667" i="1" s="1"/>
  <c r="CD667" i="1" s="1"/>
  <c r="CE667" i="1" s="1"/>
  <c r="CF667" i="1" s="1"/>
  <c r="CG667" i="1" s="1"/>
  <c r="CH667" i="1" s="1"/>
  <c r="CI667" i="1" s="1"/>
  <c r="CJ667" i="1" s="1"/>
  <c r="BU664" i="1"/>
  <c r="BY664" i="1" s="1"/>
  <c r="BZ664" i="1" s="1"/>
  <c r="CA664" i="1" s="1"/>
  <c r="CB664" i="1" s="1"/>
  <c r="CC664" i="1" s="1"/>
  <c r="CD664" i="1" s="1"/>
  <c r="CE664" i="1" s="1"/>
  <c r="CF664" i="1" s="1"/>
  <c r="CG664" i="1" s="1"/>
  <c r="CH664" i="1" s="1"/>
  <c r="CI664" i="1" s="1"/>
  <c r="CJ664" i="1" s="1"/>
  <c r="BG660" i="1"/>
  <c r="BG654" i="1"/>
  <c r="BF649" i="1"/>
  <c r="BJ649" i="1" s="1"/>
  <c r="BF647" i="1"/>
  <c r="BJ647" i="1" s="1"/>
  <c r="BF651" i="1"/>
  <c r="BJ651" i="1" s="1"/>
  <c r="BF650" i="1"/>
  <c r="BJ650" i="1" s="1"/>
  <c r="BF652" i="1"/>
  <c r="BJ652" i="1" s="1"/>
  <c r="BF653" i="1"/>
  <c r="BJ653" i="1" s="1"/>
  <c r="BF658" i="1"/>
  <c r="BJ658" i="1" s="1"/>
  <c r="CZ663" i="1"/>
  <c r="BZ673" i="1"/>
  <c r="CA673" i="1" s="1"/>
  <c r="CB673" i="1" s="1"/>
  <c r="CC673" i="1" s="1"/>
  <c r="CD673" i="1" s="1"/>
  <c r="CE673" i="1" s="1"/>
  <c r="CF673" i="1" s="1"/>
  <c r="CG673" i="1" s="1"/>
  <c r="CH673" i="1" s="1"/>
  <c r="CI673" i="1" s="1"/>
  <c r="CJ673" i="1" s="1"/>
  <c r="BB648" i="1"/>
  <c r="BC648" i="1" s="1"/>
  <c r="BD648" i="1" s="1"/>
  <c r="BE648" i="1" s="1"/>
  <c r="BS655" i="1"/>
  <c r="BT655" i="1" s="1"/>
  <c r="BB646" i="1"/>
  <c r="BC646" i="1" s="1"/>
  <c r="BD646" i="1" s="1"/>
  <c r="BE646" i="1" s="1"/>
  <c r="BU661" i="1"/>
  <c r="BY661" i="1" s="1"/>
  <c r="CK668" i="1"/>
  <c r="BT666" i="1"/>
  <c r="CZ671" i="1"/>
  <c r="BI660" i="1"/>
  <c r="BI659" i="1"/>
  <c r="BK654" i="1"/>
  <c r="BI650" i="1"/>
  <c r="BA657" i="1"/>
  <c r="BB657" i="1" s="1"/>
  <c r="AL645" i="1"/>
  <c r="AM645" i="1" s="1"/>
  <c r="AN645" i="1" s="1"/>
  <c r="CN664" i="1" l="1"/>
  <c r="CN667" i="1"/>
  <c r="CO667" i="1" s="1"/>
  <c r="CP667" i="1" s="1"/>
  <c r="CQ667" i="1" s="1"/>
  <c r="CR667" i="1" s="1"/>
  <c r="CS667" i="1" s="1"/>
  <c r="CT667" i="1" s="1"/>
  <c r="CU667" i="1" s="1"/>
  <c r="CV667" i="1" s="1"/>
  <c r="CW667" i="1" s="1"/>
  <c r="CX667" i="1" s="1"/>
  <c r="CY667" i="1" s="1"/>
  <c r="CN673" i="1"/>
  <c r="CO673" i="1" s="1"/>
  <c r="CP673" i="1" s="1"/>
  <c r="CQ673" i="1" s="1"/>
  <c r="CR673" i="1" s="1"/>
  <c r="CS673" i="1" s="1"/>
  <c r="CT673" i="1" s="1"/>
  <c r="CU673" i="1" s="1"/>
  <c r="CV673" i="1" s="1"/>
  <c r="CW673" i="1" s="1"/>
  <c r="CX673" i="1" s="1"/>
  <c r="CY673" i="1" s="1"/>
  <c r="BK652" i="1"/>
  <c r="BL652" i="1" s="1"/>
  <c r="BM652" i="1" s="1"/>
  <c r="BN652" i="1" s="1"/>
  <c r="BO652" i="1" s="1"/>
  <c r="BP652" i="1" s="1"/>
  <c r="BQ652" i="1" s="1"/>
  <c r="BR652" i="1" s="1"/>
  <c r="BS652" i="1" s="1"/>
  <c r="BT652" i="1" s="1"/>
  <c r="BV667" i="1"/>
  <c r="BG650" i="1"/>
  <c r="BG647" i="1"/>
  <c r="BG649" i="1"/>
  <c r="BU655" i="1"/>
  <c r="BY655" i="1" s="1"/>
  <c r="BZ655" i="1" s="1"/>
  <c r="CA655" i="1" s="1"/>
  <c r="CB655" i="1" s="1"/>
  <c r="CC655" i="1" s="1"/>
  <c r="CD655" i="1" s="1"/>
  <c r="CE655" i="1" s="1"/>
  <c r="CF655" i="1" s="1"/>
  <c r="CG655" i="1" s="1"/>
  <c r="CH655" i="1" s="1"/>
  <c r="CI655" i="1" s="1"/>
  <c r="CJ655" i="1" s="1"/>
  <c r="BV664" i="1"/>
  <c r="BG652" i="1"/>
  <c r="BG653" i="1"/>
  <c r="BG658" i="1"/>
  <c r="BF648" i="1"/>
  <c r="BJ648" i="1" s="1"/>
  <c r="BG651" i="1"/>
  <c r="BF646" i="1"/>
  <c r="BJ646" i="1" s="1"/>
  <c r="AO645" i="1"/>
  <c r="AR645" i="1" s="1"/>
  <c r="AS645" i="1" s="1"/>
  <c r="BV661" i="1"/>
  <c r="CK673" i="1"/>
  <c r="CK664" i="1"/>
  <c r="CK667" i="1"/>
  <c r="BC657" i="1"/>
  <c r="BD657" i="1" s="1"/>
  <c r="BE657" i="1" s="1"/>
  <c r="BZ661" i="1"/>
  <c r="CA661" i="1" s="1"/>
  <c r="CB661" i="1" s="1"/>
  <c r="CC661" i="1" s="1"/>
  <c r="CD661" i="1" s="1"/>
  <c r="CE661" i="1" s="1"/>
  <c r="CF661" i="1" s="1"/>
  <c r="CG661" i="1" s="1"/>
  <c r="CH661" i="1" s="1"/>
  <c r="CI661" i="1" s="1"/>
  <c r="CJ661" i="1" s="1"/>
  <c r="CZ668" i="1"/>
  <c r="CO664" i="1"/>
  <c r="CP664" i="1" s="1"/>
  <c r="CQ664" i="1" s="1"/>
  <c r="CR664" i="1" s="1"/>
  <c r="CS664" i="1" s="1"/>
  <c r="CT664" i="1" s="1"/>
  <c r="CU664" i="1" s="1"/>
  <c r="CV664" i="1" s="1"/>
  <c r="CW664" i="1" s="1"/>
  <c r="CX664" i="1" s="1"/>
  <c r="CY664" i="1" s="1"/>
  <c r="BU666" i="1"/>
  <c r="BY666" i="1" s="1"/>
  <c r="BL654" i="1"/>
  <c r="BM654" i="1" s="1"/>
  <c r="BN654" i="1" s="1"/>
  <c r="BO654" i="1" s="1"/>
  <c r="BP654" i="1" s="1"/>
  <c r="BQ654" i="1" s="1"/>
  <c r="BK659" i="1"/>
  <c r="BI653" i="1"/>
  <c r="BI649" i="1"/>
  <c r="BI647" i="1"/>
  <c r="BI651" i="1"/>
  <c r="BK650" i="1"/>
  <c r="BK660" i="1"/>
  <c r="BI646" i="1"/>
  <c r="BI658" i="1"/>
  <c r="CN655" i="1" l="1"/>
  <c r="CO655" i="1" s="1"/>
  <c r="CP655" i="1" s="1"/>
  <c r="CQ655" i="1" s="1"/>
  <c r="CR655" i="1" s="1"/>
  <c r="CS655" i="1" s="1"/>
  <c r="CT655" i="1" s="1"/>
  <c r="CU655" i="1" s="1"/>
  <c r="CV655" i="1" s="1"/>
  <c r="CW655" i="1" s="1"/>
  <c r="CX655" i="1" s="1"/>
  <c r="CY655" i="1" s="1"/>
  <c r="CN661" i="1"/>
  <c r="CO661" i="1" s="1"/>
  <c r="CP661" i="1" s="1"/>
  <c r="CQ661" i="1" s="1"/>
  <c r="CR661" i="1" s="1"/>
  <c r="CS661" i="1" s="1"/>
  <c r="CT661" i="1" s="1"/>
  <c r="CU661" i="1" s="1"/>
  <c r="CV661" i="1" s="1"/>
  <c r="CW661" i="1" s="1"/>
  <c r="CX661" i="1" s="1"/>
  <c r="CY661" i="1" s="1"/>
  <c r="BV655" i="1"/>
  <c r="BG648" i="1"/>
  <c r="BU652" i="1"/>
  <c r="BY652" i="1" s="1"/>
  <c r="BZ652" i="1" s="1"/>
  <c r="CA652" i="1" s="1"/>
  <c r="CB652" i="1" s="1"/>
  <c r="CC652" i="1" s="1"/>
  <c r="CD652" i="1" s="1"/>
  <c r="CE652" i="1" s="1"/>
  <c r="CF652" i="1" s="1"/>
  <c r="CG652" i="1" s="1"/>
  <c r="CH652" i="1" s="1"/>
  <c r="CI652" i="1" s="1"/>
  <c r="CJ652" i="1" s="1"/>
  <c r="BG646" i="1"/>
  <c r="BF657" i="1"/>
  <c r="BJ657" i="1" s="1"/>
  <c r="AP645" i="1"/>
  <c r="CZ667" i="1"/>
  <c r="BZ666" i="1"/>
  <c r="CA666" i="1" s="1"/>
  <c r="CB666" i="1" s="1"/>
  <c r="CC666" i="1" s="1"/>
  <c r="CD666" i="1" s="1"/>
  <c r="CE666" i="1" s="1"/>
  <c r="CF666" i="1" s="1"/>
  <c r="CG666" i="1" s="1"/>
  <c r="CH666" i="1" s="1"/>
  <c r="CI666" i="1" s="1"/>
  <c r="CJ666" i="1" s="1"/>
  <c r="CZ664" i="1"/>
  <c r="BL660" i="1"/>
  <c r="BM660" i="1" s="1"/>
  <c r="BN660" i="1" s="1"/>
  <c r="BO660" i="1" s="1"/>
  <c r="BP660" i="1" s="1"/>
  <c r="BQ660" i="1" s="1"/>
  <c r="BR660" i="1" s="1"/>
  <c r="CK655" i="1"/>
  <c r="BL650" i="1"/>
  <c r="BM650" i="1" s="1"/>
  <c r="BN650" i="1" s="1"/>
  <c r="BO650" i="1" s="1"/>
  <c r="BP650" i="1" s="1"/>
  <c r="CZ673" i="1"/>
  <c r="CK661" i="1"/>
  <c r="BR654" i="1"/>
  <c r="BL659" i="1"/>
  <c r="BM659" i="1" s="1"/>
  <c r="BN659" i="1" s="1"/>
  <c r="BO659" i="1" s="1"/>
  <c r="BP659" i="1" s="1"/>
  <c r="BQ659" i="1" s="1"/>
  <c r="BR659" i="1" s="1"/>
  <c r="BV666" i="1"/>
  <c r="BK649" i="1"/>
  <c r="BK646" i="1"/>
  <c r="BI648" i="1"/>
  <c r="BK651" i="1"/>
  <c r="BK658" i="1"/>
  <c r="BK647" i="1"/>
  <c r="BK653" i="1"/>
  <c r="AT645" i="1"/>
  <c r="AU645" i="1"/>
  <c r="BV652" i="1" l="1"/>
  <c r="CN666" i="1"/>
  <c r="CO666" i="1" s="1"/>
  <c r="CP666" i="1" s="1"/>
  <c r="CQ666" i="1" s="1"/>
  <c r="CR666" i="1" s="1"/>
  <c r="CS666" i="1" s="1"/>
  <c r="CT666" i="1" s="1"/>
  <c r="CU666" i="1" s="1"/>
  <c r="CV666" i="1" s="1"/>
  <c r="CW666" i="1" s="1"/>
  <c r="CX666" i="1" s="1"/>
  <c r="CY666" i="1" s="1"/>
  <c r="CN652" i="1"/>
  <c r="CO652" i="1" s="1"/>
  <c r="CP652" i="1" s="1"/>
  <c r="CQ652" i="1" s="1"/>
  <c r="CR652" i="1" s="1"/>
  <c r="CS652" i="1" s="1"/>
  <c r="CT652" i="1" s="1"/>
  <c r="CU652" i="1" s="1"/>
  <c r="CV652" i="1" s="1"/>
  <c r="CW652" i="1" s="1"/>
  <c r="CX652" i="1" s="1"/>
  <c r="CY652" i="1" s="1"/>
  <c r="BG657" i="1"/>
  <c r="CZ655" i="1"/>
  <c r="CK666" i="1"/>
  <c r="BS654" i="1"/>
  <c r="BT654" i="1" s="1"/>
  <c r="BL653" i="1"/>
  <c r="BM653" i="1" s="1"/>
  <c r="BN653" i="1" s="1"/>
  <c r="BO653" i="1" s="1"/>
  <c r="BP653" i="1" s="1"/>
  <c r="BQ653" i="1" s="1"/>
  <c r="BL647" i="1"/>
  <c r="BM647" i="1" s="1"/>
  <c r="BN647" i="1" s="1"/>
  <c r="BO647" i="1" s="1"/>
  <c r="BP647" i="1" s="1"/>
  <c r="BL658" i="1"/>
  <c r="BM658" i="1" s="1"/>
  <c r="BN658" i="1" s="1"/>
  <c r="BO658" i="1" s="1"/>
  <c r="BP658" i="1" s="1"/>
  <c r="BQ658" i="1" s="1"/>
  <c r="BS660" i="1"/>
  <c r="BT660" i="1" s="1"/>
  <c r="CK652" i="1"/>
  <c r="BL651" i="1"/>
  <c r="BM651" i="1" s="1"/>
  <c r="BN651" i="1" s="1"/>
  <c r="BO651" i="1" s="1"/>
  <c r="BP651" i="1" s="1"/>
  <c r="BQ650" i="1"/>
  <c r="BR650" i="1" s="1"/>
  <c r="BS650" i="1" s="1"/>
  <c r="BT650" i="1" s="1"/>
  <c r="BL649" i="1"/>
  <c r="BM649" i="1" s="1"/>
  <c r="BN649" i="1" s="1"/>
  <c r="BO649" i="1" s="1"/>
  <c r="BP649" i="1" s="1"/>
  <c r="CZ661" i="1"/>
  <c r="BS659" i="1"/>
  <c r="BT659" i="1" s="1"/>
  <c r="BL646" i="1"/>
  <c r="BM646" i="1" s="1"/>
  <c r="BN646" i="1" s="1"/>
  <c r="BO646" i="1" s="1"/>
  <c r="BP646" i="1" s="1"/>
  <c r="BK648" i="1"/>
  <c r="BI657" i="1"/>
  <c r="AV645" i="1"/>
  <c r="AW645" i="1" s="1"/>
  <c r="BU654" i="1" l="1"/>
  <c r="BY654" i="1" s="1"/>
  <c r="BZ654" i="1" s="1"/>
  <c r="CA654" i="1" s="1"/>
  <c r="CB654" i="1" s="1"/>
  <c r="CC654" i="1" s="1"/>
  <c r="CD654" i="1" s="1"/>
  <c r="CE654" i="1" s="1"/>
  <c r="CF654" i="1" s="1"/>
  <c r="CG654" i="1" s="1"/>
  <c r="CH654" i="1" s="1"/>
  <c r="CI654" i="1" s="1"/>
  <c r="CJ654" i="1" s="1"/>
  <c r="BU660" i="1"/>
  <c r="BY660" i="1" s="1"/>
  <c r="BZ660" i="1" s="1"/>
  <c r="CA660" i="1" s="1"/>
  <c r="CB660" i="1" s="1"/>
  <c r="CC660" i="1" s="1"/>
  <c r="CD660" i="1" s="1"/>
  <c r="CE660" i="1" s="1"/>
  <c r="CF660" i="1" s="1"/>
  <c r="CG660" i="1" s="1"/>
  <c r="CH660" i="1" s="1"/>
  <c r="CI660" i="1" s="1"/>
  <c r="CJ660" i="1" s="1"/>
  <c r="BU659" i="1"/>
  <c r="BY659" i="1" s="1"/>
  <c r="BZ659" i="1" s="1"/>
  <c r="CA659" i="1" s="1"/>
  <c r="CB659" i="1" s="1"/>
  <c r="CC659" i="1" s="1"/>
  <c r="CD659" i="1" s="1"/>
  <c r="CE659" i="1" s="1"/>
  <c r="CF659" i="1" s="1"/>
  <c r="CG659" i="1" s="1"/>
  <c r="CH659" i="1" s="1"/>
  <c r="CI659" i="1" s="1"/>
  <c r="CJ659" i="1" s="1"/>
  <c r="BU650" i="1"/>
  <c r="BY650" i="1" s="1"/>
  <c r="BZ650" i="1" s="1"/>
  <c r="CA650" i="1" s="1"/>
  <c r="CB650" i="1" s="1"/>
  <c r="CC650" i="1" s="1"/>
  <c r="CD650" i="1" s="1"/>
  <c r="CE650" i="1" s="1"/>
  <c r="CF650" i="1" s="1"/>
  <c r="CG650" i="1" s="1"/>
  <c r="CH650" i="1" s="1"/>
  <c r="CI650" i="1" s="1"/>
  <c r="CJ650" i="1" s="1"/>
  <c r="BQ647" i="1"/>
  <c r="BR653" i="1"/>
  <c r="BQ649" i="1"/>
  <c r="BR649" i="1" s="1"/>
  <c r="BS649" i="1" s="1"/>
  <c r="BT649" i="1" s="1"/>
  <c r="CZ666" i="1"/>
  <c r="BR658" i="1"/>
  <c r="BS658" i="1" s="1"/>
  <c r="BT658" i="1" s="1"/>
  <c r="CZ652" i="1"/>
  <c r="BQ651" i="1"/>
  <c r="BR651" i="1" s="1"/>
  <c r="BS651" i="1" s="1"/>
  <c r="BT651" i="1" s="1"/>
  <c r="BL648" i="1"/>
  <c r="BM648" i="1" s="1"/>
  <c r="BN648" i="1" s="1"/>
  <c r="BO648" i="1" s="1"/>
  <c r="BP648" i="1" s="1"/>
  <c r="BQ646" i="1"/>
  <c r="BK657" i="1"/>
  <c r="AX645" i="1"/>
  <c r="AY645" i="1" s="1"/>
  <c r="AZ645" i="1" s="1"/>
  <c r="BA645" i="1" s="1"/>
  <c r="BB645" i="1" s="1"/>
  <c r="BC645" i="1" s="1"/>
  <c r="BD645" i="1" s="1"/>
  <c r="BE645" i="1" s="1"/>
  <c r="AB643" i="1"/>
  <c r="AB642" i="1"/>
  <c r="AB641" i="1"/>
  <c r="AB640" i="1"/>
  <c r="AB639" i="1"/>
  <c r="BI639" i="1" s="1"/>
  <c r="AB638" i="1"/>
  <c r="BI638" i="1" s="1"/>
  <c r="AB637" i="1"/>
  <c r="AB636" i="1"/>
  <c r="AB635" i="1"/>
  <c r="AB634" i="1"/>
  <c r="J19" i="6"/>
  <c r="K18" i="6"/>
  <c r="G19" i="6"/>
  <c r="G18" i="6"/>
  <c r="H18" i="6" s="1"/>
  <c r="I18" i="6" s="1"/>
  <c r="CN650" i="1" l="1"/>
  <c r="CO650" i="1" s="1"/>
  <c r="CP650" i="1" s="1"/>
  <c r="CQ650" i="1" s="1"/>
  <c r="CR650" i="1" s="1"/>
  <c r="CS650" i="1" s="1"/>
  <c r="CT650" i="1" s="1"/>
  <c r="CU650" i="1" s="1"/>
  <c r="CV650" i="1" s="1"/>
  <c r="CW650" i="1" s="1"/>
  <c r="CX650" i="1" s="1"/>
  <c r="CY650" i="1" s="1"/>
  <c r="CN659" i="1"/>
  <c r="CO659" i="1" s="1"/>
  <c r="CP659" i="1" s="1"/>
  <c r="CQ659" i="1" s="1"/>
  <c r="CR659" i="1" s="1"/>
  <c r="CS659" i="1" s="1"/>
  <c r="CT659" i="1" s="1"/>
  <c r="CU659" i="1" s="1"/>
  <c r="CV659" i="1" s="1"/>
  <c r="CW659" i="1" s="1"/>
  <c r="CX659" i="1" s="1"/>
  <c r="CY659" i="1" s="1"/>
  <c r="CN660" i="1"/>
  <c r="CO660" i="1" s="1"/>
  <c r="CP660" i="1" s="1"/>
  <c r="CQ660" i="1" s="1"/>
  <c r="CR660" i="1" s="1"/>
  <c r="CS660" i="1" s="1"/>
  <c r="CT660" i="1" s="1"/>
  <c r="CU660" i="1" s="1"/>
  <c r="CV660" i="1" s="1"/>
  <c r="CW660" i="1" s="1"/>
  <c r="CX660" i="1" s="1"/>
  <c r="CY660" i="1" s="1"/>
  <c r="CZ660" i="1" s="1"/>
  <c r="CN654" i="1"/>
  <c r="BV659" i="1"/>
  <c r="BV650" i="1"/>
  <c r="BV654" i="1"/>
  <c r="BV660" i="1"/>
  <c r="BU658" i="1"/>
  <c r="BY658" i="1" s="1"/>
  <c r="BZ658" i="1" s="1"/>
  <c r="CA658" i="1" s="1"/>
  <c r="CB658" i="1" s="1"/>
  <c r="CC658" i="1" s="1"/>
  <c r="CD658" i="1" s="1"/>
  <c r="CE658" i="1" s="1"/>
  <c r="CF658" i="1" s="1"/>
  <c r="CG658" i="1" s="1"/>
  <c r="CH658" i="1" s="1"/>
  <c r="CI658" i="1" s="1"/>
  <c r="CJ658" i="1" s="1"/>
  <c r="BU651" i="1"/>
  <c r="BY651" i="1" s="1"/>
  <c r="BZ651" i="1" s="1"/>
  <c r="CA651" i="1" s="1"/>
  <c r="CB651" i="1" s="1"/>
  <c r="CC651" i="1" s="1"/>
  <c r="CD651" i="1" s="1"/>
  <c r="CE651" i="1" s="1"/>
  <c r="CF651" i="1" s="1"/>
  <c r="CG651" i="1" s="1"/>
  <c r="CH651" i="1" s="1"/>
  <c r="CI651" i="1" s="1"/>
  <c r="CJ651" i="1" s="1"/>
  <c r="BU649" i="1"/>
  <c r="BY649" i="1" s="1"/>
  <c r="BZ649" i="1" s="1"/>
  <c r="CA649" i="1" s="1"/>
  <c r="CB649" i="1" s="1"/>
  <c r="CC649" i="1" s="1"/>
  <c r="CD649" i="1" s="1"/>
  <c r="CE649" i="1" s="1"/>
  <c r="CF649" i="1" s="1"/>
  <c r="CG649" i="1" s="1"/>
  <c r="CH649" i="1" s="1"/>
  <c r="CI649" i="1" s="1"/>
  <c r="CJ649" i="1" s="1"/>
  <c r="BF645" i="1"/>
  <c r="BJ645" i="1" s="1"/>
  <c r="BR646" i="1"/>
  <c r="BS646" i="1" s="1"/>
  <c r="BT646" i="1" s="1"/>
  <c r="BS653" i="1"/>
  <c r="BT653" i="1" s="1"/>
  <c r="CK660" i="1"/>
  <c r="CK650" i="1"/>
  <c r="BL657" i="1"/>
  <c r="BM657" i="1" s="1"/>
  <c r="BN657" i="1" s="1"/>
  <c r="BO657" i="1" s="1"/>
  <c r="BP657" i="1" s="1"/>
  <c r="BQ657" i="1" s="1"/>
  <c r="BQ648" i="1"/>
  <c r="BR648" i="1" s="1"/>
  <c r="BS648" i="1" s="1"/>
  <c r="BT648" i="1" s="1"/>
  <c r="CK659" i="1"/>
  <c r="CK654" i="1"/>
  <c r="BR647" i="1"/>
  <c r="BS647" i="1" s="1"/>
  <c r="BT647" i="1" s="1"/>
  <c r="CO654" i="1"/>
  <c r="CP654" i="1" s="1"/>
  <c r="CQ654" i="1" s="1"/>
  <c r="CR654" i="1" s="1"/>
  <c r="CS654" i="1" s="1"/>
  <c r="CT654" i="1" s="1"/>
  <c r="CU654" i="1" s="1"/>
  <c r="CV654" i="1" s="1"/>
  <c r="CW654" i="1" s="1"/>
  <c r="CX654" i="1" s="1"/>
  <c r="CY654" i="1" s="1"/>
  <c r="BI645" i="1"/>
  <c r="AI639" i="1"/>
  <c r="AJ639" i="1" s="1"/>
  <c r="AK639" i="1" s="1"/>
  <c r="AL639" i="1" s="1"/>
  <c r="AM639" i="1" s="1"/>
  <c r="AN639" i="1" s="1"/>
  <c r="AC641" i="1"/>
  <c r="AJ642" i="1"/>
  <c r="AK642" i="1" s="1"/>
  <c r="AL642" i="1" s="1"/>
  <c r="AM642" i="1" s="1"/>
  <c r="AN642" i="1" s="1"/>
  <c r="AC643" i="1"/>
  <c r="AI637" i="1"/>
  <c r="AJ637" i="1" s="1"/>
  <c r="AK637" i="1" s="1"/>
  <c r="AL637" i="1" s="1"/>
  <c r="AM637" i="1" s="1"/>
  <c r="AN637" i="1" s="1"/>
  <c r="AI640" i="1"/>
  <c r="AJ640" i="1" s="1"/>
  <c r="AK640" i="1" s="1"/>
  <c r="AL640" i="1" s="1"/>
  <c r="AM640" i="1" s="1"/>
  <c r="AN640" i="1" s="1"/>
  <c r="AH634" i="1"/>
  <c r="AI634" i="1" s="1"/>
  <c r="AJ634" i="1" s="1"/>
  <c r="AK634" i="1" s="1"/>
  <c r="AL634" i="1" s="1"/>
  <c r="AM634" i="1" s="1"/>
  <c r="AN634" i="1" s="1"/>
  <c r="AH635" i="1"/>
  <c r="AI635" i="1" s="1"/>
  <c r="AJ635" i="1" s="1"/>
  <c r="AK635" i="1" s="1"/>
  <c r="AL635" i="1" s="1"/>
  <c r="AM635" i="1" s="1"/>
  <c r="AN635" i="1" s="1"/>
  <c r="AC636" i="1"/>
  <c r="AI638" i="1"/>
  <c r="AJ638" i="1" s="1"/>
  <c r="AK638" i="1" s="1"/>
  <c r="AL638" i="1" s="1"/>
  <c r="AM638" i="1" s="1"/>
  <c r="AN638" i="1" s="1"/>
  <c r="Z403" i="1"/>
  <c r="L18" i="6"/>
  <c r="AJ643" i="1"/>
  <c r="AH636" i="1"/>
  <c r="AC635" i="1"/>
  <c r="AC642" i="1"/>
  <c r="AC638" i="1"/>
  <c r="AC639" i="1"/>
  <c r="AC637" i="1"/>
  <c r="AI641" i="1"/>
  <c r="AC640" i="1"/>
  <c r="AC634" i="1"/>
  <c r="M28" i="6"/>
  <c r="J27" i="6"/>
  <c r="G28" i="6"/>
  <c r="H28" i="6"/>
  <c r="I28" i="6" s="1"/>
  <c r="J28" i="6" s="1"/>
  <c r="M25" i="6"/>
  <c r="CN649" i="1" l="1"/>
  <c r="CO649" i="1" s="1"/>
  <c r="CP649" i="1" s="1"/>
  <c r="CQ649" i="1" s="1"/>
  <c r="CR649" i="1" s="1"/>
  <c r="CS649" i="1" s="1"/>
  <c r="CT649" i="1" s="1"/>
  <c r="CU649" i="1" s="1"/>
  <c r="CV649" i="1" s="1"/>
  <c r="CW649" i="1" s="1"/>
  <c r="CX649" i="1" s="1"/>
  <c r="CY649" i="1" s="1"/>
  <c r="CN651" i="1"/>
  <c r="CO651" i="1" s="1"/>
  <c r="CP651" i="1" s="1"/>
  <c r="CQ651" i="1" s="1"/>
  <c r="CR651" i="1" s="1"/>
  <c r="CS651" i="1" s="1"/>
  <c r="CT651" i="1" s="1"/>
  <c r="CU651" i="1" s="1"/>
  <c r="CV651" i="1" s="1"/>
  <c r="CW651" i="1" s="1"/>
  <c r="CX651" i="1" s="1"/>
  <c r="CY651" i="1" s="1"/>
  <c r="CN658" i="1"/>
  <c r="CO658" i="1" s="1"/>
  <c r="CP658" i="1" s="1"/>
  <c r="CQ658" i="1" s="1"/>
  <c r="CR658" i="1" s="1"/>
  <c r="CS658" i="1" s="1"/>
  <c r="CT658" i="1" s="1"/>
  <c r="CU658" i="1" s="1"/>
  <c r="CV658" i="1" s="1"/>
  <c r="CW658" i="1" s="1"/>
  <c r="CX658" i="1" s="1"/>
  <c r="CY658" i="1" s="1"/>
  <c r="BV651" i="1"/>
  <c r="BV658" i="1"/>
  <c r="BG645" i="1"/>
  <c r="BV649" i="1"/>
  <c r="BU653" i="1"/>
  <c r="BY653" i="1" s="1"/>
  <c r="BZ653" i="1" s="1"/>
  <c r="CA653" i="1" s="1"/>
  <c r="CB653" i="1" s="1"/>
  <c r="CC653" i="1" s="1"/>
  <c r="CD653" i="1" s="1"/>
  <c r="CE653" i="1" s="1"/>
  <c r="CF653" i="1" s="1"/>
  <c r="CG653" i="1" s="1"/>
  <c r="CH653" i="1" s="1"/>
  <c r="CI653" i="1" s="1"/>
  <c r="CJ653" i="1" s="1"/>
  <c r="BU646" i="1"/>
  <c r="BY646" i="1" s="1"/>
  <c r="BZ646" i="1" s="1"/>
  <c r="CA646" i="1" s="1"/>
  <c r="CB646" i="1" s="1"/>
  <c r="CC646" i="1" s="1"/>
  <c r="CD646" i="1" s="1"/>
  <c r="CE646" i="1" s="1"/>
  <c r="CF646" i="1" s="1"/>
  <c r="CG646" i="1" s="1"/>
  <c r="CH646" i="1" s="1"/>
  <c r="CI646" i="1" s="1"/>
  <c r="CJ646" i="1" s="1"/>
  <c r="BU647" i="1"/>
  <c r="BY647" i="1" s="1"/>
  <c r="BZ647" i="1" s="1"/>
  <c r="CA647" i="1" s="1"/>
  <c r="CB647" i="1" s="1"/>
  <c r="CC647" i="1" s="1"/>
  <c r="CD647" i="1" s="1"/>
  <c r="CE647" i="1" s="1"/>
  <c r="CF647" i="1" s="1"/>
  <c r="CG647" i="1" s="1"/>
  <c r="CH647" i="1" s="1"/>
  <c r="CI647" i="1" s="1"/>
  <c r="CJ647" i="1" s="1"/>
  <c r="BU648" i="1"/>
  <c r="BY648" i="1" s="1"/>
  <c r="BZ648" i="1" s="1"/>
  <c r="CA648" i="1" s="1"/>
  <c r="CB648" i="1" s="1"/>
  <c r="CC648" i="1" s="1"/>
  <c r="CD648" i="1" s="1"/>
  <c r="CE648" i="1" s="1"/>
  <c r="CF648" i="1" s="1"/>
  <c r="CG648" i="1" s="1"/>
  <c r="CH648" i="1" s="1"/>
  <c r="CI648" i="1" s="1"/>
  <c r="CJ648" i="1" s="1"/>
  <c r="AO635" i="1"/>
  <c r="AR635" i="1" s="1"/>
  <c r="AS635" i="1" s="1"/>
  <c r="AO634" i="1"/>
  <c r="AR634" i="1" s="1"/>
  <c r="AS634" i="1" s="1"/>
  <c r="AO640" i="1"/>
  <c r="AR640" i="1" s="1"/>
  <c r="AS640" i="1" s="1"/>
  <c r="AO642" i="1"/>
  <c r="AR642" i="1" s="1"/>
  <c r="AS642" i="1" s="1"/>
  <c r="AO637" i="1"/>
  <c r="AR637" i="1" s="1"/>
  <c r="AS637" i="1" s="1"/>
  <c r="AO639" i="1"/>
  <c r="AR639" i="1" s="1"/>
  <c r="AS639" i="1" s="1"/>
  <c r="AO638" i="1"/>
  <c r="AU638" i="1" s="1"/>
  <c r="CK651" i="1"/>
  <c r="CZ654" i="1"/>
  <c r="CK658" i="1"/>
  <c r="CK649" i="1"/>
  <c r="CZ659" i="1"/>
  <c r="BR657" i="1"/>
  <c r="BS657" i="1" s="1"/>
  <c r="BT657" i="1" s="1"/>
  <c r="CZ650" i="1"/>
  <c r="BK645" i="1"/>
  <c r="AT639" i="1"/>
  <c r="N620" i="1"/>
  <c r="I620" i="1"/>
  <c r="K28" i="6"/>
  <c r="AK643" i="1"/>
  <c r="AL643" i="1" s="1"/>
  <c r="AM643" i="1" s="1"/>
  <c r="AN643" i="1" s="1"/>
  <c r="AJ641" i="1"/>
  <c r="AK641" i="1" s="1"/>
  <c r="AL641" i="1" s="1"/>
  <c r="AM641" i="1" s="1"/>
  <c r="AN641" i="1" s="1"/>
  <c r="AI636" i="1"/>
  <c r="AJ636" i="1" s="1"/>
  <c r="AK636" i="1" s="1"/>
  <c r="AL636" i="1" s="1"/>
  <c r="AM636" i="1" s="1"/>
  <c r="AN636" i="1" s="1"/>
  <c r="AT634" i="1"/>
  <c r="CN653" i="1" l="1"/>
  <c r="CO653" i="1" s="1"/>
  <c r="CP653" i="1" s="1"/>
  <c r="CQ653" i="1" s="1"/>
  <c r="CR653" i="1" s="1"/>
  <c r="CS653" i="1" s="1"/>
  <c r="CT653" i="1" s="1"/>
  <c r="CU653" i="1" s="1"/>
  <c r="CV653" i="1" s="1"/>
  <c r="CW653" i="1" s="1"/>
  <c r="CX653" i="1" s="1"/>
  <c r="CY653" i="1" s="1"/>
  <c r="CN646" i="1"/>
  <c r="CN648" i="1"/>
  <c r="CN647" i="1"/>
  <c r="AP640" i="1"/>
  <c r="BV646" i="1"/>
  <c r="BV648" i="1"/>
  <c r="BV653" i="1"/>
  <c r="AP635" i="1"/>
  <c r="BU657" i="1"/>
  <c r="BY657" i="1" s="1"/>
  <c r="BZ657" i="1" s="1"/>
  <c r="CA657" i="1" s="1"/>
  <c r="CB657" i="1" s="1"/>
  <c r="CC657" i="1" s="1"/>
  <c r="CD657" i="1" s="1"/>
  <c r="CE657" i="1" s="1"/>
  <c r="CF657" i="1" s="1"/>
  <c r="CG657" i="1" s="1"/>
  <c r="CH657" i="1" s="1"/>
  <c r="CI657" i="1" s="1"/>
  <c r="CJ657" i="1" s="1"/>
  <c r="BV647" i="1"/>
  <c r="AP637" i="1"/>
  <c r="AU639" i="1"/>
  <c r="AP634" i="1"/>
  <c r="AP642" i="1"/>
  <c r="AR638" i="1"/>
  <c r="AS638" i="1" s="1"/>
  <c r="AO643" i="1"/>
  <c r="AP643" i="1" s="1"/>
  <c r="AO636" i="1"/>
  <c r="AR636" i="1" s="1"/>
  <c r="AS636" i="1" s="1"/>
  <c r="AO641" i="1"/>
  <c r="AP641" i="1" s="1"/>
  <c r="CZ649" i="1"/>
  <c r="CZ658" i="1"/>
  <c r="CK653" i="1"/>
  <c r="CO647" i="1"/>
  <c r="CP647" i="1" s="1"/>
  <c r="CQ647" i="1" s="1"/>
  <c r="CR647" i="1" s="1"/>
  <c r="CS647" i="1" s="1"/>
  <c r="CT647" i="1" s="1"/>
  <c r="CU647" i="1" s="1"/>
  <c r="CV647" i="1" s="1"/>
  <c r="CW647" i="1" s="1"/>
  <c r="CX647" i="1" s="1"/>
  <c r="CY647" i="1" s="1"/>
  <c r="CZ647" i="1" s="1"/>
  <c r="BL645" i="1"/>
  <c r="BM645" i="1" s="1"/>
  <c r="BN645" i="1" s="1"/>
  <c r="BO645" i="1" s="1"/>
  <c r="BP645" i="1" s="1"/>
  <c r="CZ651" i="1"/>
  <c r="CK647" i="1"/>
  <c r="CO646" i="1"/>
  <c r="CP646" i="1" s="1"/>
  <c r="CQ646" i="1" s="1"/>
  <c r="CR646" i="1" s="1"/>
  <c r="CS646" i="1" s="1"/>
  <c r="CT646" i="1" s="1"/>
  <c r="CU646" i="1" s="1"/>
  <c r="CV646" i="1" s="1"/>
  <c r="CW646" i="1" s="1"/>
  <c r="CX646" i="1" s="1"/>
  <c r="CY646" i="1" s="1"/>
  <c r="CO648" i="1"/>
  <c r="CP648" i="1" s="1"/>
  <c r="CQ648" i="1" s="1"/>
  <c r="CR648" i="1" s="1"/>
  <c r="CS648" i="1" s="1"/>
  <c r="CT648" i="1" s="1"/>
  <c r="CU648" i="1" s="1"/>
  <c r="CV648" i="1" s="1"/>
  <c r="CW648" i="1" s="1"/>
  <c r="CX648" i="1" s="1"/>
  <c r="CY648" i="1" s="1"/>
  <c r="CK646" i="1"/>
  <c r="CK648" i="1"/>
  <c r="N28" i="6"/>
  <c r="AB620" i="1" s="1"/>
  <c r="J620" i="1"/>
  <c r="O620" i="1" s="1"/>
  <c r="P620" i="1" s="1"/>
  <c r="Q620" i="1" s="1"/>
  <c r="R620" i="1" s="1"/>
  <c r="S620" i="1" s="1"/>
  <c r="T620" i="1" s="1"/>
  <c r="U620" i="1" s="1"/>
  <c r="V620" i="1" s="1"/>
  <c r="W620" i="1" s="1"/>
  <c r="X620" i="1" s="1"/>
  <c r="Y620" i="1" s="1"/>
  <c r="Z620" i="1" s="1"/>
  <c r="AU634" i="1"/>
  <c r="CN657" i="1" l="1"/>
  <c r="CO657" i="1" s="1"/>
  <c r="CP657" i="1" s="1"/>
  <c r="CQ657" i="1" s="1"/>
  <c r="CR657" i="1" s="1"/>
  <c r="CS657" i="1" s="1"/>
  <c r="CT657" i="1" s="1"/>
  <c r="CU657" i="1" s="1"/>
  <c r="CV657" i="1" s="1"/>
  <c r="CW657" i="1" s="1"/>
  <c r="CX657" i="1" s="1"/>
  <c r="CY657" i="1" s="1"/>
  <c r="AP636" i="1"/>
  <c r="BV657" i="1"/>
  <c r="AR643" i="1"/>
  <c r="AS643" i="1" s="1"/>
  <c r="AR641" i="1"/>
  <c r="AS641" i="1" s="1"/>
  <c r="CZ648" i="1"/>
  <c r="CZ653" i="1"/>
  <c r="BQ645" i="1"/>
  <c r="BR645" i="1" s="1"/>
  <c r="BS645" i="1" s="1"/>
  <c r="BT645" i="1" s="1"/>
  <c r="CZ646" i="1"/>
  <c r="CK657" i="1"/>
  <c r="AA620" i="1"/>
  <c r="AD620" i="1"/>
  <c r="AE620" i="1" s="1"/>
  <c r="AF620" i="1" s="1"/>
  <c r="AG620" i="1" s="1"/>
  <c r="AH620" i="1" s="1"/>
  <c r="AI620" i="1" s="1"/>
  <c r="AJ620" i="1" s="1"/>
  <c r="AK620" i="1" s="1"/>
  <c r="AL620" i="1" s="1"/>
  <c r="AM620" i="1" s="1"/>
  <c r="AN620" i="1" s="1"/>
  <c r="AC620" i="1"/>
  <c r="AV634" i="1"/>
  <c r="BU645" i="1" l="1"/>
  <c r="BY645" i="1" s="1"/>
  <c r="BZ645" i="1" s="1"/>
  <c r="CA645" i="1" s="1"/>
  <c r="CB645" i="1" s="1"/>
  <c r="CC645" i="1" s="1"/>
  <c r="CD645" i="1" s="1"/>
  <c r="CE645" i="1" s="1"/>
  <c r="CF645" i="1" s="1"/>
  <c r="CG645" i="1" s="1"/>
  <c r="CH645" i="1" s="1"/>
  <c r="CI645" i="1" s="1"/>
  <c r="CJ645" i="1" s="1"/>
  <c r="AO620" i="1"/>
  <c r="AU620" i="1" s="1"/>
  <c r="CZ657" i="1"/>
  <c r="AT620" i="1"/>
  <c r="CN645" i="1" l="1"/>
  <c r="CO645" i="1" s="1"/>
  <c r="CP645" i="1" s="1"/>
  <c r="CQ645" i="1" s="1"/>
  <c r="CR645" i="1" s="1"/>
  <c r="CS645" i="1" s="1"/>
  <c r="CT645" i="1" s="1"/>
  <c r="CU645" i="1" s="1"/>
  <c r="CV645" i="1" s="1"/>
  <c r="CW645" i="1" s="1"/>
  <c r="CX645" i="1" s="1"/>
  <c r="CY645" i="1" s="1"/>
  <c r="AV620" i="1"/>
  <c r="AW620" i="1" s="1"/>
  <c r="AX620" i="1" s="1"/>
  <c r="AY620" i="1" s="1"/>
  <c r="AZ620" i="1" s="1"/>
  <c r="BA620" i="1" s="1"/>
  <c r="BB620" i="1" s="1"/>
  <c r="BC620" i="1" s="1"/>
  <c r="BD620" i="1" s="1"/>
  <c r="BE620" i="1" s="1"/>
  <c r="AP620" i="1"/>
  <c r="AR620" i="1"/>
  <c r="AS620" i="1" s="1"/>
  <c r="BV645" i="1"/>
  <c r="CK645" i="1"/>
  <c r="K53" i="6"/>
  <c r="P53" i="6" s="1"/>
  <c r="U53" i="6" s="1"/>
  <c r="G53" i="6"/>
  <c r="H53" i="6" s="1"/>
  <c r="I53" i="6" s="1"/>
  <c r="G49" i="6"/>
  <c r="I579" i="1"/>
  <c r="J579" i="1"/>
  <c r="BF620" i="1" l="1"/>
  <c r="BJ620" i="1" s="1"/>
  <c r="CZ645" i="1"/>
  <c r="H49" i="6"/>
  <c r="I49" i="6" s="1"/>
  <c r="L49" i="6" s="1"/>
  <c r="M49" i="6" s="1"/>
  <c r="N49" i="6" s="1"/>
  <c r="L53" i="6"/>
  <c r="M53" i="6" s="1"/>
  <c r="N53" i="6" s="1"/>
  <c r="BG620" i="1" l="1"/>
  <c r="Q53" i="6"/>
  <c r="R53" i="6" s="1"/>
  <c r="S53" i="6"/>
  <c r="V53" i="6" s="1"/>
  <c r="N580" i="1" s="1"/>
  <c r="Q49" i="6"/>
  <c r="R49" i="6" s="1"/>
  <c r="S49" i="6" s="1"/>
  <c r="BI620" i="1" l="1"/>
  <c r="Y49" i="6"/>
  <c r="V49" i="6"/>
  <c r="Y50" i="6"/>
  <c r="AB49" i="6"/>
  <c r="BK620" i="1" l="1"/>
  <c r="N578" i="1"/>
  <c r="BL620" i="1" l="1"/>
  <c r="BM620" i="1" s="1"/>
  <c r="BN620" i="1" s="1"/>
  <c r="BO620" i="1" s="1"/>
  <c r="BP620" i="1" s="1"/>
  <c r="BQ620" i="1" s="1"/>
  <c r="BR620" i="1" s="1"/>
  <c r="BS620" i="1" s="1"/>
  <c r="BT620" i="1" s="1"/>
  <c r="E46" i="6"/>
  <c r="P45" i="6"/>
  <c r="K45" i="6"/>
  <c r="L45" i="6" s="1"/>
  <c r="M45" i="6" s="1"/>
  <c r="N45" i="6" s="1"/>
  <c r="Q45" i="6" s="1"/>
  <c r="G45" i="6"/>
  <c r="H45" i="6" s="1"/>
  <c r="BU620" i="1" l="1"/>
  <c r="BY620" i="1" s="1"/>
  <c r="BZ620" i="1" s="1"/>
  <c r="CA620" i="1" s="1"/>
  <c r="CB620" i="1" s="1"/>
  <c r="CC620" i="1" s="1"/>
  <c r="CD620" i="1" s="1"/>
  <c r="CE620" i="1" s="1"/>
  <c r="CF620" i="1" s="1"/>
  <c r="CG620" i="1" s="1"/>
  <c r="CH620" i="1" s="1"/>
  <c r="CI620" i="1" s="1"/>
  <c r="CJ620" i="1" s="1"/>
  <c r="N47" i="6"/>
  <c r="I45" i="6"/>
  <c r="AC579" i="1"/>
  <c r="N579" i="1"/>
  <c r="AB633" i="1"/>
  <c r="AB632" i="1"/>
  <c r="BI632" i="1" s="1"/>
  <c r="AB631" i="1"/>
  <c r="BI631" i="1" s="1"/>
  <c r="AB630" i="1"/>
  <c r="AB629" i="1"/>
  <c r="AB628" i="1"/>
  <c r="AB627" i="1"/>
  <c r="AB626" i="1"/>
  <c r="AB625" i="1"/>
  <c r="AB624" i="1"/>
  <c r="AB623" i="1"/>
  <c r="AD621" i="1"/>
  <c r="CN620" i="1" l="1"/>
  <c r="CO620" i="1" s="1"/>
  <c r="CP620" i="1" s="1"/>
  <c r="CQ620" i="1" s="1"/>
  <c r="CR620" i="1" s="1"/>
  <c r="CS620" i="1" s="1"/>
  <c r="CT620" i="1" s="1"/>
  <c r="CU620" i="1" s="1"/>
  <c r="CV620" i="1" s="1"/>
  <c r="CW620" i="1" s="1"/>
  <c r="CX620" i="1" s="1"/>
  <c r="CY620" i="1" s="1"/>
  <c r="BV620" i="1"/>
  <c r="CK620" i="1"/>
  <c r="BI633" i="1"/>
  <c r="AC631" i="1"/>
  <c r="AC630" i="1"/>
  <c r="AC623" i="1"/>
  <c r="AC624" i="1"/>
  <c r="AC632" i="1"/>
  <c r="AC625" i="1"/>
  <c r="AC626" i="1"/>
  <c r="AC628" i="1"/>
  <c r="AG627" i="1"/>
  <c r="AH627" i="1" s="1"/>
  <c r="AI627" i="1" s="1"/>
  <c r="AJ627" i="1" s="1"/>
  <c r="AK627" i="1" s="1"/>
  <c r="AL627" i="1" s="1"/>
  <c r="AM627" i="1" s="1"/>
  <c r="AN627" i="1" s="1"/>
  <c r="AC629" i="1"/>
  <c r="AH633" i="1"/>
  <c r="AI633" i="1" s="1"/>
  <c r="AJ633" i="1" s="1"/>
  <c r="AK633" i="1" s="1"/>
  <c r="AL633" i="1" s="1"/>
  <c r="AM633" i="1" s="1"/>
  <c r="AN633" i="1" s="1"/>
  <c r="AG628" i="1"/>
  <c r="AH630" i="1"/>
  <c r="AI630" i="1" s="1"/>
  <c r="AJ630" i="1" s="1"/>
  <c r="AK630" i="1" s="1"/>
  <c r="AL630" i="1" s="1"/>
  <c r="AM630" i="1" s="1"/>
  <c r="AN630" i="1" s="1"/>
  <c r="AH632" i="1"/>
  <c r="AI632" i="1" s="1"/>
  <c r="AJ632" i="1" s="1"/>
  <c r="AK632" i="1" s="1"/>
  <c r="AL632" i="1" s="1"/>
  <c r="AM632" i="1" s="1"/>
  <c r="AN632" i="1" s="1"/>
  <c r="AF623" i="1"/>
  <c r="AF624" i="1"/>
  <c r="AG629" i="1"/>
  <c r="AH631" i="1"/>
  <c r="AI631" i="1" s="1"/>
  <c r="AJ631" i="1" s="1"/>
  <c r="AK631" i="1" s="1"/>
  <c r="AL631" i="1" s="1"/>
  <c r="AM631" i="1" s="1"/>
  <c r="AN631" i="1" s="1"/>
  <c r="AC633" i="1"/>
  <c r="AC627" i="1"/>
  <c r="AG626" i="1"/>
  <c r="AF625" i="1"/>
  <c r="AB621" i="1"/>
  <c r="AB622" i="1"/>
  <c r="BD23" i="6"/>
  <c r="BD24" i="6" s="1"/>
  <c r="BA25" i="6"/>
  <c r="AL25" i="6"/>
  <c r="K22" i="6"/>
  <c r="P22" i="6" s="1"/>
  <c r="U22" i="6" s="1"/>
  <c r="BC22" i="6"/>
  <c r="G22" i="6"/>
  <c r="H22" i="6" s="1"/>
  <c r="I22" i="6" s="1"/>
  <c r="Y564" i="1"/>
  <c r="E10" i="6"/>
  <c r="H564" i="1"/>
  <c r="G9" i="6"/>
  <c r="H9" i="6" s="1"/>
  <c r="P9" i="6"/>
  <c r="U9" i="6"/>
  <c r="AO630" i="1" l="1"/>
  <c r="AR630" i="1" s="1"/>
  <c r="AS630" i="1" s="1"/>
  <c r="AO632" i="1"/>
  <c r="AR632" i="1" s="1"/>
  <c r="AS632" i="1" s="1"/>
  <c r="AO627" i="1"/>
  <c r="AP627" i="1" s="1"/>
  <c r="AO633" i="1"/>
  <c r="AR633" i="1" s="1"/>
  <c r="AS633" i="1" s="1"/>
  <c r="AO631" i="1"/>
  <c r="AR631" i="1" s="1"/>
  <c r="AS631" i="1" s="1"/>
  <c r="CZ620" i="1"/>
  <c r="BI621" i="1"/>
  <c r="AG623" i="1"/>
  <c r="AH623" i="1" s="1"/>
  <c r="AI623" i="1" s="1"/>
  <c r="AJ623" i="1" s="1"/>
  <c r="AK623" i="1" s="1"/>
  <c r="AL623" i="1" s="1"/>
  <c r="AM623" i="1" s="1"/>
  <c r="AN623" i="1" s="1"/>
  <c r="AG624" i="1"/>
  <c r="AH624" i="1" s="1"/>
  <c r="AI624" i="1" s="1"/>
  <c r="AJ624" i="1" s="1"/>
  <c r="AK624" i="1" s="1"/>
  <c r="AL624" i="1" s="1"/>
  <c r="AM624" i="1" s="1"/>
  <c r="AN624" i="1" s="1"/>
  <c r="AH628" i="1"/>
  <c r="AI628" i="1" s="1"/>
  <c r="AJ628" i="1" s="1"/>
  <c r="AK628" i="1" s="1"/>
  <c r="AL628" i="1" s="1"/>
  <c r="AM628" i="1" s="1"/>
  <c r="AN628" i="1" s="1"/>
  <c r="AG625" i="1"/>
  <c r="AH625" i="1" s="1"/>
  <c r="AI625" i="1" s="1"/>
  <c r="AJ625" i="1" s="1"/>
  <c r="AK625" i="1" s="1"/>
  <c r="AL625" i="1" s="1"/>
  <c r="AM625" i="1" s="1"/>
  <c r="AN625" i="1" s="1"/>
  <c r="AH626" i="1"/>
  <c r="AI626" i="1" s="1"/>
  <c r="AJ626" i="1" s="1"/>
  <c r="AK626" i="1" s="1"/>
  <c r="AL626" i="1" s="1"/>
  <c r="AM626" i="1" s="1"/>
  <c r="AN626" i="1" s="1"/>
  <c r="AH629" i="1"/>
  <c r="AI629" i="1" s="1"/>
  <c r="AJ629" i="1" s="1"/>
  <c r="AK629" i="1" s="1"/>
  <c r="AL629" i="1" s="1"/>
  <c r="AM629" i="1" s="1"/>
  <c r="AN629" i="1" s="1"/>
  <c r="BD25" i="6"/>
  <c r="Z22" i="6"/>
  <c r="AE22" i="6" s="1"/>
  <c r="AJ22" i="6" s="1"/>
  <c r="AO22" i="6" s="1"/>
  <c r="AT22" i="6" s="1"/>
  <c r="AY22" i="6" s="1"/>
  <c r="BD22" i="6" s="1"/>
  <c r="BD27" i="6" s="1"/>
  <c r="AC622" i="1"/>
  <c r="AF622" i="1"/>
  <c r="AE621" i="1"/>
  <c r="AF621" i="1" s="1"/>
  <c r="AG621" i="1" s="1"/>
  <c r="AH621" i="1" s="1"/>
  <c r="AI621" i="1" s="1"/>
  <c r="AJ621" i="1" s="1"/>
  <c r="AK621" i="1" s="1"/>
  <c r="AL621" i="1" s="1"/>
  <c r="AM621" i="1" s="1"/>
  <c r="AN621" i="1" s="1"/>
  <c r="AC621" i="1"/>
  <c r="AR627" i="1" l="1"/>
  <c r="AS627" i="1" s="1"/>
  <c r="AO628" i="1"/>
  <c r="AP628" i="1" s="1"/>
  <c r="AO626" i="1"/>
  <c r="AP626" i="1" s="1"/>
  <c r="AO624" i="1"/>
  <c r="AP624" i="1" s="1"/>
  <c r="AO623" i="1"/>
  <c r="AR623" i="1" s="1"/>
  <c r="AS623" i="1" s="1"/>
  <c r="AO621" i="1"/>
  <c r="AU621" i="1" s="1"/>
  <c r="AO625" i="1"/>
  <c r="AU625" i="1" s="1"/>
  <c r="AO629" i="1"/>
  <c r="AR629" i="1" s="1"/>
  <c r="AS629" i="1" s="1"/>
  <c r="AT625" i="1"/>
  <c r="AT621" i="1"/>
  <c r="AT624" i="1"/>
  <c r="AG622" i="1"/>
  <c r="AH622" i="1" s="1"/>
  <c r="AI622" i="1" s="1"/>
  <c r="AJ622" i="1" s="1"/>
  <c r="AK622" i="1" s="1"/>
  <c r="AL622" i="1" s="1"/>
  <c r="AM622" i="1" s="1"/>
  <c r="AN622" i="1" s="1"/>
  <c r="AV621" i="1" l="1"/>
  <c r="AW621" i="1" s="1"/>
  <c r="AR628" i="1"/>
  <c r="AS628" i="1" s="1"/>
  <c r="AR624" i="1"/>
  <c r="AS624" i="1" s="1"/>
  <c r="AP623" i="1"/>
  <c r="AU623" i="1"/>
  <c r="AR621" i="1"/>
  <c r="AS621" i="1" s="1"/>
  <c r="AR626" i="1"/>
  <c r="AS626" i="1" s="1"/>
  <c r="AU629" i="1"/>
  <c r="AP625" i="1"/>
  <c r="AP629" i="1"/>
  <c r="AR625" i="1"/>
  <c r="AS625" i="1" s="1"/>
  <c r="AU624" i="1"/>
  <c r="AO622" i="1"/>
  <c r="AU622" i="1" s="1"/>
  <c r="AT622" i="1"/>
  <c r="AR622" i="1" l="1"/>
  <c r="AS622" i="1" s="1"/>
  <c r="AP622" i="1"/>
  <c r="AV622" i="1"/>
  <c r="K14" i="6"/>
  <c r="G14" i="6"/>
  <c r="H14" i="6" s="1"/>
  <c r="I14" i="6" s="1"/>
  <c r="G519" i="1"/>
  <c r="K33" i="6"/>
  <c r="L33" i="6" s="1"/>
  <c r="H33" i="6"/>
  <c r="I33" i="6" s="1"/>
  <c r="G33" i="6"/>
  <c r="AW622" i="1" l="1"/>
  <c r="AB403" i="1"/>
  <c r="M18" i="6"/>
  <c r="N18" i="6" s="1"/>
  <c r="K41" i="6"/>
  <c r="L41" i="6" s="1"/>
  <c r="AC403" i="1" l="1"/>
  <c r="AD403" i="1"/>
  <c r="AC199" i="1"/>
  <c r="G37" i="6"/>
  <c r="H37" i="6" s="1"/>
  <c r="K37" i="6"/>
  <c r="P37" i="6"/>
  <c r="O38" i="6"/>
  <c r="I37" i="6" l="1"/>
  <c r="L37" i="6" s="1"/>
  <c r="J199" i="1"/>
  <c r="O199" i="1" s="1"/>
  <c r="P199" i="1" s="1"/>
  <c r="G41" i="6"/>
  <c r="H41" i="6" s="1"/>
  <c r="I41" i="6" s="1"/>
  <c r="P41" i="6" l="1"/>
  <c r="M37" i="6" l="1"/>
  <c r="N37" i="6" s="1"/>
  <c r="Q37" i="6" s="1"/>
  <c r="R37" i="6" l="1"/>
  <c r="AE530" i="4"/>
  <c r="U5" i="6"/>
  <c r="U4" i="6" s="1"/>
  <c r="T5" i="6"/>
  <c r="AR1063" i="4"/>
  <c r="K4" i="6"/>
  <c r="P4" i="6" s="1"/>
  <c r="G4" i="6"/>
  <c r="H4" i="6" s="1"/>
  <c r="I4" i="6" s="1"/>
  <c r="L4" i="6" l="1"/>
  <c r="M4" i="6" s="1"/>
  <c r="N4" i="6" s="1"/>
  <c r="Q4" i="6" s="1"/>
  <c r="R4" i="6" s="1"/>
  <c r="S4" i="6" s="1"/>
  <c r="V4" i="6" s="1"/>
  <c r="AC313" i="1"/>
  <c r="N313" i="1"/>
  <c r="U3" i="6"/>
  <c r="L14" i="6"/>
  <c r="K19" i="6" l="1"/>
  <c r="L19" i="6" s="1"/>
  <c r="T22" i="6" l="1"/>
  <c r="J22" i="6"/>
  <c r="M565" i="1"/>
  <c r="H15" i="6"/>
  <c r="I9" i="6"/>
  <c r="L9" i="6" s="1"/>
  <c r="M9" i="6" s="1"/>
  <c r="AC565" i="1" l="1"/>
  <c r="G23" i="6"/>
  <c r="F23" i="6" s="1"/>
  <c r="BG24" i="6"/>
  <c r="L22" i="6"/>
  <c r="M22" i="6" s="1"/>
  <c r="N22" i="6" s="1"/>
  <c r="N9" i="6"/>
  <c r="AE403" i="1"/>
  <c r="M118" i="1"/>
  <c r="AC118" i="1" l="1"/>
  <c r="AF403" i="1"/>
  <c r="AG403" i="1" s="1"/>
  <c r="AH403" i="1" s="1"/>
  <c r="AI403" i="1" s="1"/>
  <c r="AJ403" i="1" s="1"/>
  <c r="AK403" i="1" s="1"/>
  <c r="AL403" i="1" s="1"/>
  <c r="AM403" i="1" s="1"/>
  <c r="AN403" i="1" s="1"/>
  <c r="Q9" i="6"/>
  <c r="R10" i="6" s="1"/>
  <c r="Q22" i="6"/>
  <c r="AO403" i="1" l="1"/>
  <c r="AR403" i="1" s="1"/>
  <c r="AS403" i="1" s="1"/>
  <c r="AT403" i="1"/>
  <c r="R9" i="6"/>
  <c r="S9" i="6" s="1"/>
  <c r="V9" i="6" s="1"/>
  <c r="E11" i="6"/>
  <c r="J564" i="1" s="1"/>
  <c r="I564" i="1" s="1"/>
  <c r="Q11" i="6"/>
  <c r="R22" i="6"/>
  <c r="S22" i="6" s="1"/>
  <c r="V22" i="6" s="1"/>
  <c r="W22" i="6" s="1"/>
  <c r="X22" i="6" s="1"/>
  <c r="AP403" i="1" l="1"/>
  <c r="AU403" i="1"/>
  <c r="AV403" i="1" s="1"/>
  <c r="AW403" i="1" s="1"/>
  <c r="AT564" i="1"/>
  <c r="Z564" i="1"/>
  <c r="N564" i="1"/>
  <c r="AB564" i="1" s="1"/>
  <c r="AA22" i="6"/>
  <c r="AB22" i="6" s="1"/>
  <c r="AC22" i="6" s="1"/>
  <c r="AC564" i="1" l="1"/>
  <c r="AX403" i="1"/>
  <c r="AY403" i="1" s="1"/>
  <c r="AZ403" i="1" s="1"/>
  <c r="BA403" i="1" s="1"/>
  <c r="BB403" i="1" s="1"/>
  <c r="BC403" i="1" s="1"/>
  <c r="BD403" i="1" s="1"/>
  <c r="BE403" i="1" s="1"/>
  <c r="AD564" i="1"/>
  <c r="AE564" i="1" s="1"/>
  <c r="AF564" i="1" s="1"/>
  <c r="AF22" i="6"/>
  <c r="AG22" i="6" s="1"/>
  <c r="AH22" i="6" s="1"/>
  <c r="BF403" i="1" l="1"/>
  <c r="BJ403" i="1" s="1"/>
  <c r="AK22" i="6"/>
  <c r="AL22" i="6" s="1"/>
  <c r="AM22" i="6" s="1"/>
  <c r="AP22" i="6" s="1"/>
  <c r="AQ22" i="6" s="1"/>
  <c r="AR22" i="6" s="1"/>
  <c r="AU22" i="6" s="1"/>
  <c r="AV22" i="6" s="1"/>
  <c r="BG403" i="1" l="1"/>
  <c r="BK403" i="1"/>
  <c r="BL403" i="1" s="1"/>
  <c r="BM403" i="1" s="1"/>
  <c r="BN403" i="1" s="1"/>
  <c r="BO403" i="1" s="1"/>
  <c r="BP403" i="1" s="1"/>
  <c r="BQ403" i="1" s="1"/>
  <c r="BR403" i="1" s="1"/>
  <c r="BS403" i="1" s="1"/>
  <c r="BT403" i="1" s="1"/>
  <c r="AW22" i="6"/>
  <c r="BU403" i="1" l="1"/>
  <c r="BY403" i="1" s="1"/>
  <c r="BZ403" i="1" s="1"/>
  <c r="CA403" i="1" s="1"/>
  <c r="CB403" i="1" s="1"/>
  <c r="CC403" i="1" s="1"/>
  <c r="CD403" i="1" s="1"/>
  <c r="CE403" i="1" s="1"/>
  <c r="CF403" i="1" s="1"/>
  <c r="CG403" i="1" s="1"/>
  <c r="CH403" i="1" s="1"/>
  <c r="CI403" i="1" s="1"/>
  <c r="CJ403" i="1" s="1"/>
  <c r="AZ22" i="6"/>
  <c r="BA22" i="6" s="1"/>
  <c r="BB22" i="6" s="1"/>
  <c r="Z619" i="1"/>
  <c r="CN403" i="1" l="1"/>
  <c r="CO403" i="1" s="1"/>
  <c r="CP403" i="1" s="1"/>
  <c r="CQ403" i="1" s="1"/>
  <c r="CR403" i="1" s="1"/>
  <c r="CS403" i="1" s="1"/>
  <c r="CT403" i="1" s="1"/>
  <c r="CU403" i="1" s="1"/>
  <c r="CV403" i="1" s="1"/>
  <c r="CW403" i="1" s="1"/>
  <c r="CX403" i="1" s="1"/>
  <c r="CY403" i="1" s="1"/>
  <c r="BV403" i="1"/>
  <c r="CK403" i="1"/>
  <c r="BE22" i="6"/>
  <c r="BF22" i="6" s="1"/>
  <c r="BG22" i="6" s="1"/>
  <c r="BG25" i="6" s="1"/>
  <c r="CZ403" i="1" l="1"/>
  <c r="A564" i="1"/>
  <c r="N147" i="1" l="1"/>
  <c r="AC147" i="1"/>
  <c r="AT643" i="1"/>
  <c r="AT640" i="1"/>
  <c r="AT641" i="1"/>
  <c r="AT638" i="1"/>
  <c r="AU643" i="1" l="1"/>
  <c r="AV638" i="1"/>
  <c r="AW638" i="1" s="1"/>
  <c r="AX638" i="1" s="1"/>
  <c r="AY638" i="1" s="1"/>
  <c r="AZ638" i="1" s="1"/>
  <c r="BA638" i="1" s="1"/>
  <c r="BB638" i="1" s="1"/>
  <c r="BC638" i="1" s="1"/>
  <c r="BD638" i="1" s="1"/>
  <c r="BE638" i="1" s="1"/>
  <c r="AU641" i="1"/>
  <c r="AU640" i="1"/>
  <c r="AV639" i="1"/>
  <c r="AW639" i="1" s="1"/>
  <c r="AX639" i="1" s="1"/>
  <c r="AY639" i="1" s="1"/>
  <c r="AZ639" i="1" s="1"/>
  <c r="BA639" i="1" s="1"/>
  <c r="BB639" i="1" s="1"/>
  <c r="BC639" i="1" s="1"/>
  <c r="BD639" i="1" s="1"/>
  <c r="BE639" i="1" s="1"/>
  <c r="AT642" i="1"/>
  <c r="BF639" i="1" l="1"/>
  <c r="BJ639" i="1" s="1"/>
  <c r="BF638" i="1"/>
  <c r="BJ638" i="1" s="1"/>
  <c r="AV640" i="1"/>
  <c r="AW640" i="1" s="1"/>
  <c r="AV641" i="1"/>
  <c r="AW641" i="1" s="1"/>
  <c r="AV643" i="1"/>
  <c r="AW643" i="1" s="1"/>
  <c r="AU642" i="1"/>
  <c r="BK639" i="1" l="1"/>
  <c r="BL639" i="1" s="1"/>
  <c r="BM639" i="1" s="1"/>
  <c r="BN639" i="1" s="1"/>
  <c r="BO639" i="1" s="1"/>
  <c r="BP639" i="1" s="1"/>
  <c r="BQ639" i="1" s="1"/>
  <c r="BR639" i="1" s="1"/>
  <c r="BS639" i="1" s="1"/>
  <c r="BT639" i="1" s="1"/>
  <c r="BU639" i="1" s="1"/>
  <c r="BY639" i="1" s="1"/>
  <c r="BZ639" i="1" s="1"/>
  <c r="CA639" i="1" s="1"/>
  <c r="CB639" i="1" s="1"/>
  <c r="BK638" i="1"/>
  <c r="BL638" i="1" s="1"/>
  <c r="BM638" i="1" s="1"/>
  <c r="BN638" i="1" s="1"/>
  <c r="BO638" i="1" s="1"/>
  <c r="BP638" i="1" s="1"/>
  <c r="BQ638" i="1" s="1"/>
  <c r="BR638" i="1" s="1"/>
  <c r="BS638" i="1" s="1"/>
  <c r="BT638" i="1" s="1"/>
  <c r="BU638" i="1" s="1"/>
  <c r="BY638" i="1" s="1"/>
  <c r="BZ638" i="1" s="1"/>
  <c r="CA638" i="1" s="1"/>
  <c r="CB638" i="1" s="1"/>
  <c r="AX641" i="1"/>
  <c r="AY641" i="1" s="1"/>
  <c r="AX643" i="1"/>
  <c r="AY643" i="1" s="1"/>
  <c r="AZ643" i="1" s="1"/>
  <c r="AX640" i="1"/>
  <c r="AY640" i="1" s="1"/>
  <c r="AV642" i="1"/>
  <c r="AW642" i="1" s="1"/>
  <c r="BE666" i="5"/>
  <c r="BE680" i="5" s="1"/>
  <c r="AP666" i="5"/>
  <c r="AP680" i="5" s="1"/>
  <c r="AA666" i="5"/>
  <c r="AA680" i="5" s="1"/>
  <c r="I656" i="5"/>
  <c r="M656" i="5" s="1"/>
  <c r="AR656" i="5" s="1"/>
  <c r="M655" i="5"/>
  <c r="AR655" i="5" s="1"/>
  <c r="M654" i="5"/>
  <c r="AS654" i="5" s="1"/>
  <c r="M653" i="5"/>
  <c r="I652" i="5"/>
  <c r="I651" i="5"/>
  <c r="I650" i="5"/>
  <c r="I649" i="5"/>
  <c r="I648" i="5"/>
  <c r="I647" i="5"/>
  <c r="I646" i="5"/>
  <c r="M645" i="5"/>
  <c r="AR645" i="5" s="1"/>
  <c r="M644" i="5"/>
  <c r="AJ644" i="5" s="1"/>
  <c r="M643" i="5"/>
  <c r="AR643" i="5" s="1"/>
  <c r="M642" i="5"/>
  <c r="AC642" i="5" s="1"/>
  <c r="M641" i="5"/>
  <c r="AI641" i="5" s="1"/>
  <c r="AJ641" i="5" s="1"/>
  <c r="M640" i="5"/>
  <c r="AI640" i="5" s="1"/>
  <c r="AJ640" i="5" s="1"/>
  <c r="AK640" i="5" s="1"/>
  <c r="AL640" i="5" s="1"/>
  <c r="AM640" i="5" s="1"/>
  <c r="AN640" i="5" s="1"/>
  <c r="AO640" i="5" s="1"/>
  <c r="AS640" i="5" s="1"/>
  <c r="AT640" i="5" s="1"/>
  <c r="AU640" i="5" s="1"/>
  <c r="AV640" i="5" s="1"/>
  <c r="AW640" i="5" s="1"/>
  <c r="AX640" i="5" s="1"/>
  <c r="AY640" i="5" s="1"/>
  <c r="AZ640" i="5" s="1"/>
  <c r="BA640" i="5" s="1"/>
  <c r="BB640" i="5" s="1"/>
  <c r="BC640" i="5" s="1"/>
  <c r="BD640" i="5" s="1"/>
  <c r="M639" i="5"/>
  <c r="AI639" i="5" s="1"/>
  <c r="AJ639" i="5" s="1"/>
  <c r="AK639" i="5" s="1"/>
  <c r="AL639" i="5" s="1"/>
  <c r="AM639" i="5" s="1"/>
  <c r="AN639" i="5" s="1"/>
  <c r="AO639" i="5" s="1"/>
  <c r="AS639" i="5" s="1"/>
  <c r="AT639" i="5" s="1"/>
  <c r="AU639" i="5" s="1"/>
  <c r="AV639" i="5" s="1"/>
  <c r="AW639" i="5" s="1"/>
  <c r="AX639" i="5" s="1"/>
  <c r="AY639" i="5" s="1"/>
  <c r="AZ639" i="5" s="1"/>
  <c r="BA639" i="5" s="1"/>
  <c r="BB639" i="5" s="1"/>
  <c r="BC639" i="5" s="1"/>
  <c r="BD639" i="5" s="1"/>
  <c r="M638" i="5"/>
  <c r="M637" i="5"/>
  <c r="AC637" i="5" s="1"/>
  <c r="M636" i="5"/>
  <c r="M635" i="5"/>
  <c r="AC635" i="5" s="1"/>
  <c r="M634" i="5"/>
  <c r="AC634" i="5" s="1"/>
  <c r="M633" i="5"/>
  <c r="M632" i="5"/>
  <c r="M631" i="5"/>
  <c r="M630" i="5"/>
  <c r="AC630" i="5" s="1"/>
  <c r="M629" i="5"/>
  <c r="AC629" i="5" s="1"/>
  <c r="M628" i="5"/>
  <c r="AG628" i="5" s="1"/>
  <c r="AH628" i="5" s="1"/>
  <c r="AI628" i="5" s="1"/>
  <c r="AJ628" i="5" s="1"/>
  <c r="AK628" i="5" s="1"/>
  <c r="AL628" i="5" s="1"/>
  <c r="AM628" i="5" s="1"/>
  <c r="AN628" i="5" s="1"/>
  <c r="AO628" i="5" s="1"/>
  <c r="AS628" i="5" s="1"/>
  <c r="M627" i="5"/>
  <c r="AG627" i="5" s="1"/>
  <c r="M626" i="5"/>
  <c r="M625" i="5"/>
  <c r="M624" i="5"/>
  <c r="AC624" i="5" s="1"/>
  <c r="M623" i="5"/>
  <c r="AC623" i="5" s="1"/>
  <c r="M622" i="5"/>
  <c r="AE622" i="5" s="1"/>
  <c r="AF622" i="5" s="1"/>
  <c r="AG622" i="5" s="1"/>
  <c r="AH622" i="5" s="1"/>
  <c r="AI622" i="5" s="1"/>
  <c r="AJ622" i="5" s="1"/>
  <c r="AK622" i="5" s="1"/>
  <c r="AL622" i="5" s="1"/>
  <c r="AM622" i="5" s="1"/>
  <c r="AN622" i="5" s="1"/>
  <c r="AO622" i="5" s="1"/>
  <c r="AS622" i="5" s="1"/>
  <c r="AT622" i="5" s="1"/>
  <c r="AU622" i="5" s="1"/>
  <c r="AV622" i="5" s="1"/>
  <c r="AW622" i="5" s="1"/>
  <c r="AX622" i="5" s="1"/>
  <c r="AY622" i="5" s="1"/>
  <c r="AZ622" i="5" s="1"/>
  <c r="BA622" i="5" s="1"/>
  <c r="BB622" i="5" s="1"/>
  <c r="BC622" i="5" s="1"/>
  <c r="BD622" i="5" s="1"/>
  <c r="M621" i="5"/>
  <c r="AD621" i="5" s="1"/>
  <c r="AE621" i="5" s="1"/>
  <c r="AF621" i="5" s="1"/>
  <c r="AG621" i="5" s="1"/>
  <c r="AH621" i="5" s="1"/>
  <c r="AI621" i="5" s="1"/>
  <c r="AJ621" i="5" s="1"/>
  <c r="AK621" i="5" s="1"/>
  <c r="AL621" i="5" s="1"/>
  <c r="AM621" i="5" s="1"/>
  <c r="AN621" i="5" s="1"/>
  <c r="AO621" i="5" s="1"/>
  <c r="AS621" i="5" s="1"/>
  <c r="AT621" i="5" s="1"/>
  <c r="AU621" i="5" s="1"/>
  <c r="AV621" i="5" s="1"/>
  <c r="AW621" i="5" s="1"/>
  <c r="AX621" i="5" s="1"/>
  <c r="AY621" i="5" s="1"/>
  <c r="AZ621" i="5" s="1"/>
  <c r="BA621" i="5" s="1"/>
  <c r="BB621" i="5" s="1"/>
  <c r="BC621" i="5" s="1"/>
  <c r="BD621" i="5" s="1"/>
  <c r="BE620" i="5"/>
  <c r="AP620" i="5"/>
  <c r="AA620" i="5"/>
  <c r="M620" i="5"/>
  <c r="BE619" i="5"/>
  <c r="AP619" i="5"/>
  <c r="AA619" i="5"/>
  <c r="M619" i="5"/>
  <c r="BE618" i="5"/>
  <c r="AP618" i="5"/>
  <c r="AA618" i="5"/>
  <c r="M618" i="5"/>
  <c r="AC618" i="5" s="1"/>
  <c r="BE617" i="5"/>
  <c r="AP617" i="5"/>
  <c r="AA617" i="5"/>
  <c r="M617" i="5"/>
  <c r="AD617" i="5" s="1"/>
  <c r="AE617" i="5" s="1"/>
  <c r="AF617" i="5" s="1"/>
  <c r="AG617" i="5" s="1"/>
  <c r="AH617" i="5" s="1"/>
  <c r="AI617" i="5" s="1"/>
  <c r="AJ617" i="5" s="1"/>
  <c r="AK617" i="5" s="1"/>
  <c r="AL617" i="5" s="1"/>
  <c r="AM617" i="5" s="1"/>
  <c r="AN617" i="5" s="1"/>
  <c r="AO617" i="5" s="1"/>
  <c r="AS617" i="5" s="1"/>
  <c r="AT617" i="5" s="1"/>
  <c r="AU617" i="5" s="1"/>
  <c r="AV617" i="5" s="1"/>
  <c r="AW617" i="5" s="1"/>
  <c r="AX617" i="5" s="1"/>
  <c r="AY617" i="5" s="1"/>
  <c r="AZ617" i="5" s="1"/>
  <c r="BA617" i="5" s="1"/>
  <c r="BB617" i="5" s="1"/>
  <c r="BC617" i="5" s="1"/>
  <c r="BD617" i="5" s="1"/>
  <c r="BE616" i="5"/>
  <c r="AP616" i="5"/>
  <c r="AA616" i="5"/>
  <c r="M616" i="5"/>
  <c r="M615" i="5"/>
  <c r="AC615" i="5" s="1"/>
  <c r="BE614" i="5"/>
  <c r="AP614" i="5"/>
  <c r="AA614" i="5"/>
  <c r="M614" i="5"/>
  <c r="AC614" i="5" s="1"/>
  <c r="BE613" i="5"/>
  <c r="AP613" i="5"/>
  <c r="M613" i="5"/>
  <c r="AC613" i="5" s="1"/>
  <c r="BE612" i="5"/>
  <c r="AP612" i="5"/>
  <c r="M612" i="5"/>
  <c r="AC612" i="5" s="1"/>
  <c r="BE611" i="5"/>
  <c r="AP611" i="5"/>
  <c r="M611" i="5"/>
  <c r="AC611" i="5" s="1"/>
  <c r="M610" i="5"/>
  <c r="Z610" i="5" s="1"/>
  <c r="AD610" i="5" s="1"/>
  <c r="AE610" i="5" s="1"/>
  <c r="AF610" i="5" s="1"/>
  <c r="AG610" i="5" s="1"/>
  <c r="AH610" i="5" s="1"/>
  <c r="AI610" i="5" s="1"/>
  <c r="AJ610" i="5" s="1"/>
  <c r="AK610" i="5" s="1"/>
  <c r="AL610" i="5" s="1"/>
  <c r="AM610" i="5" s="1"/>
  <c r="AN610" i="5" s="1"/>
  <c r="AO610" i="5" s="1"/>
  <c r="AS610" i="5" s="1"/>
  <c r="AT610" i="5" s="1"/>
  <c r="AU610" i="5" s="1"/>
  <c r="AV610" i="5" s="1"/>
  <c r="AW610" i="5" s="1"/>
  <c r="AX610" i="5" s="1"/>
  <c r="AY610" i="5" s="1"/>
  <c r="AZ610" i="5" s="1"/>
  <c r="BA610" i="5" s="1"/>
  <c r="BB610" i="5" s="1"/>
  <c r="BC610" i="5" s="1"/>
  <c r="BD610" i="5" s="1"/>
  <c r="BE609" i="5"/>
  <c r="AP609" i="5"/>
  <c r="M609" i="5"/>
  <c r="N609" i="5" s="1"/>
  <c r="BE608" i="5"/>
  <c r="AP608" i="5"/>
  <c r="M608" i="5"/>
  <c r="N608" i="5" s="1"/>
  <c r="BE607" i="5"/>
  <c r="AP607" i="5"/>
  <c r="M607" i="5"/>
  <c r="AC607" i="5" s="1"/>
  <c r="BE606" i="5"/>
  <c r="AP606" i="5"/>
  <c r="M606" i="5"/>
  <c r="AR606" i="5" s="1"/>
  <c r="BE605" i="5"/>
  <c r="AP605" i="5"/>
  <c r="M605" i="5"/>
  <c r="Y605" i="5" s="1"/>
  <c r="Z605" i="5" s="1"/>
  <c r="BE604" i="5"/>
  <c r="AP604" i="5"/>
  <c r="AA604" i="5"/>
  <c r="M604" i="5"/>
  <c r="AR604" i="5" s="1"/>
  <c r="BE603" i="5"/>
  <c r="AP603" i="5"/>
  <c r="AA603" i="5"/>
  <c r="M603" i="5"/>
  <c r="AC603" i="5" s="1"/>
  <c r="BE602" i="5"/>
  <c r="AP602" i="5"/>
  <c r="AA602" i="5"/>
  <c r="M602" i="5"/>
  <c r="W602" i="5" s="1"/>
  <c r="X602" i="5" s="1"/>
  <c r="Y602" i="5" s="1"/>
  <c r="Z602" i="5" s="1"/>
  <c r="AD602" i="5" s="1"/>
  <c r="AE602" i="5" s="1"/>
  <c r="AF602" i="5" s="1"/>
  <c r="AG602" i="5" s="1"/>
  <c r="AH602" i="5" s="1"/>
  <c r="AI602" i="5" s="1"/>
  <c r="AJ602" i="5" s="1"/>
  <c r="AK602" i="5" s="1"/>
  <c r="AL602" i="5" s="1"/>
  <c r="AM602" i="5" s="1"/>
  <c r="AN602" i="5" s="1"/>
  <c r="AO602" i="5" s="1"/>
  <c r="AS602" i="5" s="1"/>
  <c r="AT602" i="5" s="1"/>
  <c r="AU602" i="5" s="1"/>
  <c r="AV602" i="5" s="1"/>
  <c r="AW602" i="5" s="1"/>
  <c r="AX602" i="5" s="1"/>
  <c r="AY602" i="5" s="1"/>
  <c r="AZ602" i="5" s="1"/>
  <c r="BA602" i="5" s="1"/>
  <c r="BB602" i="5" s="1"/>
  <c r="BC602" i="5" s="1"/>
  <c r="BD602" i="5" s="1"/>
  <c r="BE601" i="5"/>
  <c r="AP601" i="5"/>
  <c r="AA601" i="5"/>
  <c r="M601" i="5"/>
  <c r="BE600" i="5"/>
  <c r="AP600" i="5"/>
  <c r="AA600" i="5"/>
  <c r="M600" i="5"/>
  <c r="BE599" i="5"/>
  <c r="AP599" i="5"/>
  <c r="AA599" i="5"/>
  <c r="M599" i="5"/>
  <c r="BE598" i="5"/>
  <c r="AP598" i="5"/>
  <c r="AA598" i="5"/>
  <c r="M598" i="5"/>
  <c r="M597" i="5"/>
  <c r="N597" i="5" s="1"/>
  <c r="BE596" i="5"/>
  <c r="AP596" i="5"/>
  <c r="AA596" i="5"/>
  <c r="M596" i="5"/>
  <c r="M595" i="5"/>
  <c r="AC595" i="5" s="1"/>
  <c r="M594" i="5"/>
  <c r="M593" i="5"/>
  <c r="AC593" i="5" s="1"/>
  <c r="M592" i="5"/>
  <c r="BE591" i="5"/>
  <c r="AP591" i="5"/>
  <c r="AA591" i="5"/>
  <c r="M591" i="5"/>
  <c r="AR591" i="5" s="1"/>
  <c r="M590" i="5"/>
  <c r="AR590" i="5" s="1"/>
  <c r="M589" i="5"/>
  <c r="AR589" i="5" s="1"/>
  <c r="M588" i="5"/>
  <c r="N587" i="5"/>
  <c r="AC587" i="5" s="1"/>
  <c r="AR587" i="5" s="1"/>
  <c r="K587" i="5"/>
  <c r="O587" i="5" s="1"/>
  <c r="P587" i="5" s="1"/>
  <c r="Q587" i="5" s="1"/>
  <c r="R587" i="5" s="1"/>
  <c r="S587" i="5" s="1"/>
  <c r="T587" i="5" s="1"/>
  <c r="U587" i="5" s="1"/>
  <c r="V587" i="5" s="1"/>
  <c r="W587" i="5" s="1"/>
  <c r="X587" i="5" s="1"/>
  <c r="Y587" i="5" s="1"/>
  <c r="Z587" i="5" s="1"/>
  <c r="AD587" i="5" s="1"/>
  <c r="AE587" i="5" s="1"/>
  <c r="AF587" i="5" s="1"/>
  <c r="AG587" i="5" s="1"/>
  <c r="AH587" i="5" s="1"/>
  <c r="AI587" i="5" s="1"/>
  <c r="AJ587" i="5" s="1"/>
  <c r="AK587" i="5" s="1"/>
  <c r="AL587" i="5" s="1"/>
  <c r="AM587" i="5" s="1"/>
  <c r="AN587" i="5" s="1"/>
  <c r="AO587" i="5" s="1"/>
  <c r="AS587" i="5" s="1"/>
  <c r="AT587" i="5" s="1"/>
  <c r="AU587" i="5" s="1"/>
  <c r="AV587" i="5" s="1"/>
  <c r="AW587" i="5" s="1"/>
  <c r="AX587" i="5" s="1"/>
  <c r="AY587" i="5" s="1"/>
  <c r="AZ587" i="5" s="1"/>
  <c r="BA587" i="5" s="1"/>
  <c r="BB587" i="5" s="1"/>
  <c r="BC587" i="5" s="1"/>
  <c r="BD587" i="5" s="1"/>
  <c r="J587" i="5"/>
  <c r="I587" i="5" s="1"/>
  <c r="G587" i="5"/>
  <c r="F587" i="5"/>
  <c r="D587" i="5"/>
  <c r="B587" i="5"/>
  <c r="L587" i="5" s="1"/>
  <c r="A587" i="5"/>
  <c r="AR586" i="5"/>
  <c r="K586" i="5"/>
  <c r="J586" i="5"/>
  <c r="I586" i="5"/>
  <c r="G586" i="5"/>
  <c r="F586" i="5"/>
  <c r="D586" i="5"/>
  <c r="B586" i="5"/>
  <c r="L586" i="5" s="1"/>
  <c r="A586" i="5"/>
  <c r="K585" i="5"/>
  <c r="J585" i="5"/>
  <c r="I585" i="5"/>
  <c r="G585" i="5"/>
  <c r="F585" i="5"/>
  <c r="D585" i="5"/>
  <c r="B585" i="5"/>
  <c r="L585" i="5" s="1"/>
  <c r="A585" i="5"/>
  <c r="K584" i="5"/>
  <c r="J584" i="5"/>
  <c r="I584" i="5"/>
  <c r="G584" i="5"/>
  <c r="F584" i="5"/>
  <c r="D584" i="5"/>
  <c r="B584" i="5"/>
  <c r="L584" i="5" s="1"/>
  <c r="A584" i="5"/>
  <c r="K583" i="5"/>
  <c r="J583" i="5"/>
  <c r="I583" i="5"/>
  <c r="G583" i="5"/>
  <c r="F583" i="5"/>
  <c r="D583" i="5"/>
  <c r="B583" i="5"/>
  <c r="L583" i="5" s="1"/>
  <c r="A583" i="5"/>
  <c r="K582" i="5"/>
  <c r="J582" i="5"/>
  <c r="I582" i="5"/>
  <c r="H582" i="5"/>
  <c r="G582" i="5"/>
  <c r="F582" i="5"/>
  <c r="D582" i="5"/>
  <c r="B582" i="5"/>
  <c r="L582" i="5" s="1"/>
  <c r="A582" i="5"/>
  <c r="K581" i="5"/>
  <c r="J581" i="5"/>
  <c r="I581" i="5"/>
  <c r="H581" i="5"/>
  <c r="G581" i="5"/>
  <c r="F581" i="5"/>
  <c r="D581" i="5"/>
  <c r="B581" i="5"/>
  <c r="L581" i="5" s="1"/>
  <c r="A581" i="5"/>
  <c r="K580" i="5"/>
  <c r="J580" i="5"/>
  <c r="I580" i="5"/>
  <c r="H580" i="5"/>
  <c r="G580" i="5"/>
  <c r="F580" i="5"/>
  <c r="D580" i="5"/>
  <c r="B580" i="5"/>
  <c r="L580" i="5" s="1"/>
  <c r="A580" i="5"/>
  <c r="K579" i="5"/>
  <c r="J579" i="5"/>
  <c r="I579" i="5"/>
  <c r="H579" i="5"/>
  <c r="G579" i="5"/>
  <c r="F579" i="5"/>
  <c r="D579" i="5"/>
  <c r="B579" i="5"/>
  <c r="L579" i="5" s="1"/>
  <c r="A579" i="5"/>
  <c r="K578" i="5"/>
  <c r="J578" i="5"/>
  <c r="I578" i="5"/>
  <c r="H578" i="5"/>
  <c r="G578" i="5"/>
  <c r="F578" i="5"/>
  <c r="D578" i="5"/>
  <c r="B578" i="5"/>
  <c r="L578" i="5" s="1"/>
  <c r="A578" i="5"/>
  <c r="K577" i="5"/>
  <c r="J577" i="5"/>
  <c r="I577" i="5"/>
  <c r="H577" i="5"/>
  <c r="G577" i="5"/>
  <c r="F577" i="5"/>
  <c r="D577" i="5"/>
  <c r="B577" i="5"/>
  <c r="L577" i="5" s="1"/>
  <c r="A577" i="5"/>
  <c r="AQ576" i="5"/>
  <c r="AB576" i="5"/>
  <c r="H576" i="5"/>
  <c r="G576" i="5"/>
  <c r="F576" i="5"/>
  <c r="E576" i="5"/>
  <c r="D576" i="5"/>
  <c r="B576" i="5"/>
  <c r="A576" i="5"/>
  <c r="K575" i="5"/>
  <c r="J575" i="5"/>
  <c r="I575" i="5"/>
  <c r="G575" i="5"/>
  <c r="F575" i="5"/>
  <c r="D575" i="5"/>
  <c r="B575" i="5"/>
  <c r="L575" i="5" s="1"/>
  <c r="A575" i="5"/>
  <c r="K574" i="5"/>
  <c r="J574" i="5"/>
  <c r="I574" i="5"/>
  <c r="G574" i="5"/>
  <c r="F574" i="5"/>
  <c r="D574" i="5"/>
  <c r="B574" i="5"/>
  <c r="L574" i="5" s="1"/>
  <c r="A574" i="5"/>
  <c r="K573" i="5"/>
  <c r="J573" i="5"/>
  <c r="I573" i="5"/>
  <c r="G573" i="5"/>
  <c r="F573" i="5"/>
  <c r="D573" i="5"/>
  <c r="B573" i="5"/>
  <c r="L573" i="5" s="1"/>
  <c r="A573" i="5"/>
  <c r="K572" i="5"/>
  <c r="J572" i="5"/>
  <c r="I572" i="5"/>
  <c r="G572" i="5"/>
  <c r="F572" i="5"/>
  <c r="D572" i="5"/>
  <c r="B572" i="5"/>
  <c r="L572" i="5" s="1"/>
  <c r="A572" i="5"/>
  <c r="K571" i="5"/>
  <c r="J571" i="5"/>
  <c r="I571" i="5"/>
  <c r="G571" i="5"/>
  <c r="F571" i="5"/>
  <c r="D571" i="5"/>
  <c r="B571" i="5"/>
  <c r="L571" i="5" s="1"/>
  <c r="A571" i="5"/>
  <c r="K570" i="5"/>
  <c r="J570" i="5"/>
  <c r="I570" i="5"/>
  <c r="G570" i="5"/>
  <c r="F570" i="5"/>
  <c r="D570" i="5"/>
  <c r="B570" i="5"/>
  <c r="L570" i="5" s="1"/>
  <c r="A570" i="5"/>
  <c r="K569" i="5"/>
  <c r="J569" i="5"/>
  <c r="I569" i="5"/>
  <c r="G569" i="5"/>
  <c r="F569" i="5"/>
  <c r="D569" i="5"/>
  <c r="B569" i="5"/>
  <c r="L569" i="5" s="1"/>
  <c r="A569" i="5"/>
  <c r="K568" i="5"/>
  <c r="J568" i="5"/>
  <c r="I568" i="5"/>
  <c r="G568" i="5"/>
  <c r="F568" i="5"/>
  <c r="D568" i="5"/>
  <c r="B568" i="5"/>
  <c r="L568" i="5" s="1"/>
  <c r="A568" i="5"/>
  <c r="K567" i="5"/>
  <c r="J567" i="5"/>
  <c r="I567" i="5"/>
  <c r="G567" i="5"/>
  <c r="F567" i="5"/>
  <c r="D567" i="5"/>
  <c r="B567" i="5"/>
  <c r="L567" i="5" s="1"/>
  <c r="A567" i="5"/>
  <c r="AR566" i="5"/>
  <c r="K566" i="5"/>
  <c r="J566" i="5"/>
  <c r="I566" i="5"/>
  <c r="G566" i="5"/>
  <c r="F566" i="5"/>
  <c r="D566" i="5"/>
  <c r="B566" i="5"/>
  <c r="L566" i="5" s="1"/>
  <c r="A566" i="5"/>
  <c r="K565" i="5"/>
  <c r="J565" i="5"/>
  <c r="I565" i="5"/>
  <c r="G565" i="5"/>
  <c r="F565" i="5"/>
  <c r="D565" i="5"/>
  <c r="B565" i="5"/>
  <c r="L565" i="5" s="1"/>
  <c r="A565" i="5"/>
  <c r="K564" i="5"/>
  <c r="J564" i="5"/>
  <c r="I564" i="5"/>
  <c r="H564" i="5"/>
  <c r="G564" i="5"/>
  <c r="F564" i="5"/>
  <c r="D564" i="5"/>
  <c r="B564" i="5"/>
  <c r="L564" i="5" s="1"/>
  <c r="A564" i="5"/>
  <c r="K563" i="5"/>
  <c r="J563" i="5"/>
  <c r="I563" i="5"/>
  <c r="G563" i="5"/>
  <c r="F563" i="5"/>
  <c r="D563" i="5"/>
  <c r="B563" i="5"/>
  <c r="L563" i="5" s="1"/>
  <c r="A563" i="5"/>
  <c r="K562" i="5"/>
  <c r="J562" i="5"/>
  <c r="I562" i="5"/>
  <c r="G562" i="5"/>
  <c r="F562" i="5"/>
  <c r="D562" i="5"/>
  <c r="B562" i="5"/>
  <c r="L562" i="5" s="1"/>
  <c r="A562" i="5"/>
  <c r="K561" i="5"/>
  <c r="J561" i="5"/>
  <c r="I561" i="5"/>
  <c r="G561" i="5"/>
  <c r="F561" i="5"/>
  <c r="D561" i="5"/>
  <c r="B561" i="5"/>
  <c r="L561" i="5" s="1"/>
  <c r="A561" i="5"/>
  <c r="K560" i="5"/>
  <c r="J560" i="5"/>
  <c r="I560" i="5"/>
  <c r="G560" i="5"/>
  <c r="F560" i="5"/>
  <c r="D560" i="5"/>
  <c r="B560" i="5"/>
  <c r="L560" i="5" s="1"/>
  <c r="A560" i="5"/>
  <c r="AC559" i="5"/>
  <c r="AR559" i="5" s="1"/>
  <c r="P559" i="5"/>
  <c r="Q559" i="5" s="1"/>
  <c r="R559" i="5" s="1"/>
  <c r="S559" i="5" s="1"/>
  <c r="T559" i="5" s="1"/>
  <c r="U559" i="5" s="1"/>
  <c r="V559" i="5" s="1"/>
  <c r="W559" i="5" s="1"/>
  <c r="X559" i="5" s="1"/>
  <c r="Y559" i="5" s="1"/>
  <c r="Z559" i="5" s="1"/>
  <c r="AD559" i="5" s="1"/>
  <c r="AE559" i="5" s="1"/>
  <c r="AF559" i="5" s="1"/>
  <c r="AG559" i="5" s="1"/>
  <c r="AH559" i="5" s="1"/>
  <c r="AI559" i="5" s="1"/>
  <c r="AJ559" i="5" s="1"/>
  <c r="AK559" i="5" s="1"/>
  <c r="AL559" i="5" s="1"/>
  <c r="AM559" i="5" s="1"/>
  <c r="AN559" i="5" s="1"/>
  <c r="AO559" i="5" s="1"/>
  <c r="AS559" i="5" s="1"/>
  <c r="AT559" i="5" s="1"/>
  <c r="AU559" i="5" s="1"/>
  <c r="AV559" i="5" s="1"/>
  <c r="AW559" i="5" s="1"/>
  <c r="AX559" i="5" s="1"/>
  <c r="AY559" i="5" s="1"/>
  <c r="AZ559" i="5" s="1"/>
  <c r="BA559" i="5" s="1"/>
  <c r="BB559" i="5" s="1"/>
  <c r="BC559" i="5" s="1"/>
  <c r="BD559" i="5" s="1"/>
  <c r="N559" i="5"/>
  <c r="K559" i="5"/>
  <c r="J559" i="5"/>
  <c r="I559" i="5"/>
  <c r="G559" i="5"/>
  <c r="F559" i="5"/>
  <c r="D559" i="5"/>
  <c r="B559" i="5"/>
  <c r="L559" i="5" s="1"/>
  <c r="A559" i="5"/>
  <c r="AC558" i="5"/>
  <c r="AR558" i="5" s="1"/>
  <c r="P558" i="5"/>
  <c r="Q558" i="5" s="1"/>
  <c r="R558" i="5" s="1"/>
  <c r="S558" i="5" s="1"/>
  <c r="T558" i="5" s="1"/>
  <c r="U558" i="5" s="1"/>
  <c r="V558" i="5" s="1"/>
  <c r="W558" i="5" s="1"/>
  <c r="X558" i="5" s="1"/>
  <c r="Y558" i="5" s="1"/>
  <c r="Z558" i="5" s="1"/>
  <c r="AD558" i="5" s="1"/>
  <c r="AE558" i="5" s="1"/>
  <c r="AF558" i="5" s="1"/>
  <c r="AG558" i="5" s="1"/>
  <c r="AH558" i="5" s="1"/>
  <c r="AI558" i="5" s="1"/>
  <c r="AJ558" i="5" s="1"/>
  <c r="AK558" i="5" s="1"/>
  <c r="AL558" i="5" s="1"/>
  <c r="AM558" i="5" s="1"/>
  <c r="AN558" i="5" s="1"/>
  <c r="AO558" i="5" s="1"/>
  <c r="AS558" i="5" s="1"/>
  <c r="AT558" i="5" s="1"/>
  <c r="AU558" i="5" s="1"/>
  <c r="AV558" i="5" s="1"/>
  <c r="AW558" i="5" s="1"/>
  <c r="AX558" i="5" s="1"/>
  <c r="AY558" i="5" s="1"/>
  <c r="AZ558" i="5" s="1"/>
  <c r="BA558" i="5" s="1"/>
  <c r="BB558" i="5" s="1"/>
  <c r="BC558" i="5" s="1"/>
  <c r="BD558" i="5" s="1"/>
  <c r="N558" i="5"/>
  <c r="K558" i="5"/>
  <c r="J558" i="5"/>
  <c r="I558" i="5"/>
  <c r="G558" i="5"/>
  <c r="F558" i="5"/>
  <c r="D558" i="5"/>
  <c r="B558" i="5"/>
  <c r="L558" i="5" s="1"/>
  <c r="A558" i="5"/>
  <c r="AC557" i="5"/>
  <c r="AR557" i="5" s="1"/>
  <c r="P557" i="5"/>
  <c r="Q557" i="5" s="1"/>
  <c r="R557" i="5" s="1"/>
  <c r="S557" i="5" s="1"/>
  <c r="T557" i="5" s="1"/>
  <c r="U557" i="5" s="1"/>
  <c r="V557" i="5" s="1"/>
  <c r="W557" i="5" s="1"/>
  <c r="X557" i="5" s="1"/>
  <c r="Y557" i="5" s="1"/>
  <c r="Z557" i="5" s="1"/>
  <c r="AD557" i="5" s="1"/>
  <c r="AE557" i="5" s="1"/>
  <c r="AF557" i="5" s="1"/>
  <c r="AG557" i="5" s="1"/>
  <c r="AH557" i="5" s="1"/>
  <c r="AI557" i="5" s="1"/>
  <c r="AJ557" i="5" s="1"/>
  <c r="AK557" i="5" s="1"/>
  <c r="AL557" i="5" s="1"/>
  <c r="AM557" i="5" s="1"/>
  <c r="AN557" i="5" s="1"/>
  <c r="AO557" i="5" s="1"/>
  <c r="AS557" i="5" s="1"/>
  <c r="AT557" i="5" s="1"/>
  <c r="AU557" i="5" s="1"/>
  <c r="AV557" i="5" s="1"/>
  <c r="AW557" i="5" s="1"/>
  <c r="AX557" i="5" s="1"/>
  <c r="AY557" i="5" s="1"/>
  <c r="AZ557" i="5" s="1"/>
  <c r="BA557" i="5" s="1"/>
  <c r="BB557" i="5" s="1"/>
  <c r="BC557" i="5" s="1"/>
  <c r="BD557" i="5" s="1"/>
  <c r="K557" i="5"/>
  <c r="J557" i="5"/>
  <c r="I557" i="5"/>
  <c r="G557" i="5"/>
  <c r="F557" i="5"/>
  <c r="D557" i="5"/>
  <c r="B557" i="5"/>
  <c r="L557" i="5" s="1"/>
  <c r="A557" i="5"/>
  <c r="AC556" i="5"/>
  <c r="AR556" i="5" s="1"/>
  <c r="P556" i="5"/>
  <c r="Q556" i="5" s="1"/>
  <c r="R556" i="5" s="1"/>
  <c r="S556" i="5" s="1"/>
  <c r="T556" i="5" s="1"/>
  <c r="U556" i="5" s="1"/>
  <c r="V556" i="5" s="1"/>
  <c r="W556" i="5" s="1"/>
  <c r="X556" i="5" s="1"/>
  <c r="Y556" i="5" s="1"/>
  <c r="Z556" i="5" s="1"/>
  <c r="AD556" i="5" s="1"/>
  <c r="AE556" i="5" s="1"/>
  <c r="AF556" i="5" s="1"/>
  <c r="AG556" i="5" s="1"/>
  <c r="AH556" i="5" s="1"/>
  <c r="AI556" i="5" s="1"/>
  <c r="AJ556" i="5" s="1"/>
  <c r="AK556" i="5" s="1"/>
  <c r="AL556" i="5" s="1"/>
  <c r="AM556" i="5" s="1"/>
  <c r="AN556" i="5" s="1"/>
  <c r="AO556" i="5" s="1"/>
  <c r="AS556" i="5" s="1"/>
  <c r="AT556" i="5" s="1"/>
  <c r="AU556" i="5" s="1"/>
  <c r="AV556" i="5" s="1"/>
  <c r="AW556" i="5" s="1"/>
  <c r="AX556" i="5" s="1"/>
  <c r="AY556" i="5" s="1"/>
  <c r="AZ556" i="5" s="1"/>
  <c r="BA556" i="5" s="1"/>
  <c r="BB556" i="5" s="1"/>
  <c r="BC556" i="5" s="1"/>
  <c r="BD556" i="5" s="1"/>
  <c r="N556" i="5"/>
  <c r="K556" i="5"/>
  <c r="J556" i="5"/>
  <c r="I556" i="5"/>
  <c r="G556" i="5"/>
  <c r="F556" i="5"/>
  <c r="D556" i="5"/>
  <c r="B556" i="5"/>
  <c r="L556" i="5" s="1"/>
  <c r="A556" i="5"/>
  <c r="AC555" i="5"/>
  <c r="AR555" i="5" s="1"/>
  <c r="P555" i="5"/>
  <c r="Q555" i="5" s="1"/>
  <c r="R555" i="5" s="1"/>
  <c r="S555" i="5" s="1"/>
  <c r="T555" i="5" s="1"/>
  <c r="U555" i="5" s="1"/>
  <c r="V555" i="5" s="1"/>
  <c r="W555" i="5" s="1"/>
  <c r="X555" i="5" s="1"/>
  <c r="Y555" i="5" s="1"/>
  <c r="Z555" i="5" s="1"/>
  <c r="AD555" i="5" s="1"/>
  <c r="AE555" i="5" s="1"/>
  <c r="AF555" i="5" s="1"/>
  <c r="AG555" i="5" s="1"/>
  <c r="AH555" i="5" s="1"/>
  <c r="AI555" i="5" s="1"/>
  <c r="AJ555" i="5" s="1"/>
  <c r="AK555" i="5" s="1"/>
  <c r="AL555" i="5" s="1"/>
  <c r="AM555" i="5" s="1"/>
  <c r="AN555" i="5" s="1"/>
  <c r="AO555" i="5" s="1"/>
  <c r="AS555" i="5" s="1"/>
  <c r="AT555" i="5" s="1"/>
  <c r="AU555" i="5" s="1"/>
  <c r="AV555" i="5" s="1"/>
  <c r="AW555" i="5" s="1"/>
  <c r="AX555" i="5" s="1"/>
  <c r="AY555" i="5" s="1"/>
  <c r="AZ555" i="5" s="1"/>
  <c r="BA555" i="5" s="1"/>
  <c r="BB555" i="5" s="1"/>
  <c r="BC555" i="5" s="1"/>
  <c r="BD555" i="5" s="1"/>
  <c r="N555" i="5"/>
  <c r="K555" i="5"/>
  <c r="J555" i="5"/>
  <c r="I555" i="5"/>
  <c r="G555" i="5"/>
  <c r="F555" i="5"/>
  <c r="D555" i="5"/>
  <c r="B555" i="5"/>
  <c r="L555" i="5" s="1"/>
  <c r="A555" i="5"/>
  <c r="AC554" i="5"/>
  <c r="AR554" i="5" s="1"/>
  <c r="Q554" i="5"/>
  <c r="R554" i="5" s="1"/>
  <c r="S554" i="5" s="1"/>
  <c r="T554" i="5" s="1"/>
  <c r="U554" i="5" s="1"/>
  <c r="V554" i="5" s="1"/>
  <c r="W554" i="5" s="1"/>
  <c r="X554" i="5" s="1"/>
  <c r="Y554" i="5" s="1"/>
  <c r="Z554" i="5" s="1"/>
  <c r="AD554" i="5" s="1"/>
  <c r="AE554" i="5" s="1"/>
  <c r="AF554" i="5" s="1"/>
  <c r="AG554" i="5" s="1"/>
  <c r="AH554" i="5" s="1"/>
  <c r="AI554" i="5" s="1"/>
  <c r="AJ554" i="5" s="1"/>
  <c r="AK554" i="5" s="1"/>
  <c r="AL554" i="5" s="1"/>
  <c r="AM554" i="5" s="1"/>
  <c r="AN554" i="5" s="1"/>
  <c r="AO554" i="5" s="1"/>
  <c r="AS554" i="5" s="1"/>
  <c r="AT554" i="5" s="1"/>
  <c r="AU554" i="5" s="1"/>
  <c r="AV554" i="5" s="1"/>
  <c r="AW554" i="5" s="1"/>
  <c r="AX554" i="5" s="1"/>
  <c r="AY554" i="5" s="1"/>
  <c r="AZ554" i="5" s="1"/>
  <c r="BA554" i="5" s="1"/>
  <c r="BB554" i="5" s="1"/>
  <c r="BC554" i="5" s="1"/>
  <c r="BD554" i="5" s="1"/>
  <c r="N554" i="5"/>
  <c r="K554" i="5"/>
  <c r="J554" i="5"/>
  <c r="I554" i="5"/>
  <c r="G554" i="5"/>
  <c r="F554" i="5"/>
  <c r="D554" i="5"/>
  <c r="B554" i="5"/>
  <c r="L554" i="5" s="1"/>
  <c r="A554" i="5"/>
  <c r="K553" i="5"/>
  <c r="J553" i="5"/>
  <c r="I553" i="5"/>
  <c r="G553" i="5"/>
  <c r="F553" i="5"/>
  <c r="D553" i="5"/>
  <c r="B553" i="5"/>
  <c r="L553" i="5" s="1"/>
  <c r="A553" i="5"/>
  <c r="K552" i="5"/>
  <c r="J552" i="5"/>
  <c r="I552" i="5"/>
  <c r="G552" i="5"/>
  <c r="F552" i="5"/>
  <c r="D552" i="5"/>
  <c r="B552" i="5"/>
  <c r="L552" i="5" s="1"/>
  <c r="A552" i="5"/>
  <c r="K551" i="5"/>
  <c r="J551" i="5"/>
  <c r="I551" i="5"/>
  <c r="G551" i="5"/>
  <c r="F551" i="5"/>
  <c r="D551" i="5"/>
  <c r="B551" i="5"/>
  <c r="L551" i="5" s="1"/>
  <c r="A551" i="5"/>
  <c r="K550" i="5"/>
  <c r="J550" i="5"/>
  <c r="I550" i="5"/>
  <c r="G550" i="5"/>
  <c r="F550" i="5"/>
  <c r="D550" i="5"/>
  <c r="B550" i="5"/>
  <c r="L550" i="5" s="1"/>
  <c r="A550" i="5"/>
  <c r="AR549" i="5"/>
  <c r="K549" i="5"/>
  <c r="J549" i="5"/>
  <c r="I549" i="5"/>
  <c r="G549" i="5"/>
  <c r="F549" i="5"/>
  <c r="D549" i="5"/>
  <c r="B549" i="5"/>
  <c r="L549" i="5" s="1"/>
  <c r="A549" i="5"/>
  <c r="AR548" i="5"/>
  <c r="K548" i="5"/>
  <c r="J548" i="5"/>
  <c r="I548" i="5"/>
  <c r="G548" i="5"/>
  <c r="F548" i="5"/>
  <c r="D548" i="5"/>
  <c r="B548" i="5"/>
  <c r="L548" i="5" s="1"/>
  <c r="A548" i="5"/>
  <c r="AR547" i="5"/>
  <c r="K547" i="5"/>
  <c r="J547" i="5"/>
  <c r="I547" i="5"/>
  <c r="G547" i="5"/>
  <c r="F547" i="5"/>
  <c r="D547" i="5"/>
  <c r="B547" i="5"/>
  <c r="L547" i="5" s="1"/>
  <c r="A547" i="5"/>
  <c r="K546" i="5"/>
  <c r="J546" i="5"/>
  <c r="I546" i="5"/>
  <c r="G546" i="5"/>
  <c r="F546" i="5"/>
  <c r="D546" i="5"/>
  <c r="B546" i="5"/>
  <c r="L546" i="5" s="1"/>
  <c r="A546" i="5"/>
  <c r="AR545" i="5"/>
  <c r="K545" i="5"/>
  <c r="J545" i="5"/>
  <c r="I545" i="5"/>
  <c r="G545" i="5"/>
  <c r="F545" i="5"/>
  <c r="D545" i="5"/>
  <c r="B545" i="5"/>
  <c r="L545" i="5" s="1"/>
  <c r="A545" i="5"/>
  <c r="AR544" i="5"/>
  <c r="K544" i="5"/>
  <c r="J544" i="5"/>
  <c r="I544" i="5"/>
  <c r="G544" i="5"/>
  <c r="F544" i="5"/>
  <c r="D544" i="5"/>
  <c r="B544" i="5"/>
  <c r="L544" i="5" s="1"/>
  <c r="A544" i="5"/>
  <c r="AR543" i="5"/>
  <c r="K543" i="5"/>
  <c r="J543" i="5"/>
  <c r="I543" i="5"/>
  <c r="G543" i="5"/>
  <c r="F543" i="5"/>
  <c r="D543" i="5"/>
  <c r="B543" i="5"/>
  <c r="L543" i="5" s="1"/>
  <c r="A543" i="5"/>
  <c r="K542" i="5"/>
  <c r="J542" i="5"/>
  <c r="I542" i="5"/>
  <c r="G542" i="5"/>
  <c r="F542" i="5"/>
  <c r="D542" i="5"/>
  <c r="B542" i="5"/>
  <c r="L542" i="5" s="1"/>
  <c r="A542" i="5"/>
  <c r="AR541" i="5"/>
  <c r="K541" i="5"/>
  <c r="J541" i="5"/>
  <c r="I541" i="5"/>
  <c r="G541" i="5"/>
  <c r="F541" i="5"/>
  <c r="D541" i="5"/>
  <c r="B541" i="5"/>
  <c r="L541" i="5" s="1"/>
  <c r="A541" i="5"/>
  <c r="K540" i="5"/>
  <c r="J540" i="5"/>
  <c r="I540" i="5"/>
  <c r="G540" i="5"/>
  <c r="F540" i="5"/>
  <c r="D540" i="5"/>
  <c r="B540" i="5"/>
  <c r="L540" i="5" s="1"/>
  <c r="A540" i="5"/>
  <c r="AR539" i="5"/>
  <c r="K539" i="5"/>
  <c r="J539" i="5"/>
  <c r="I539" i="5"/>
  <c r="G539" i="5"/>
  <c r="F539" i="5"/>
  <c r="D539" i="5"/>
  <c r="B539" i="5"/>
  <c r="L539" i="5" s="1"/>
  <c r="A539" i="5"/>
  <c r="AR538" i="5"/>
  <c r="K538" i="5"/>
  <c r="J538" i="5"/>
  <c r="I538" i="5"/>
  <c r="G538" i="5"/>
  <c r="F538" i="5"/>
  <c r="D538" i="5"/>
  <c r="B538" i="5"/>
  <c r="L538" i="5" s="1"/>
  <c r="A538" i="5"/>
  <c r="AR537" i="5"/>
  <c r="K537" i="5"/>
  <c r="J537" i="5"/>
  <c r="I537" i="5"/>
  <c r="G537" i="5"/>
  <c r="F537" i="5"/>
  <c r="D537" i="5"/>
  <c r="B537" i="5"/>
  <c r="L537" i="5" s="1"/>
  <c r="A537" i="5"/>
  <c r="K536" i="5"/>
  <c r="J536" i="5"/>
  <c r="I536" i="5"/>
  <c r="G536" i="5"/>
  <c r="F536" i="5"/>
  <c r="D536" i="5"/>
  <c r="B536" i="5"/>
  <c r="L536" i="5" s="1"/>
  <c r="A536" i="5"/>
  <c r="AR535" i="5"/>
  <c r="K535" i="5"/>
  <c r="J535" i="5"/>
  <c r="I535" i="5"/>
  <c r="G535" i="5"/>
  <c r="F535" i="5"/>
  <c r="D535" i="5"/>
  <c r="B535" i="5"/>
  <c r="L535" i="5" s="1"/>
  <c r="A535" i="5"/>
  <c r="K534" i="5"/>
  <c r="J534" i="5"/>
  <c r="I534" i="5"/>
  <c r="G534" i="5"/>
  <c r="F534" i="5"/>
  <c r="D534" i="5"/>
  <c r="B534" i="5"/>
  <c r="L534" i="5" s="1"/>
  <c r="A534" i="5"/>
  <c r="K533" i="5"/>
  <c r="J533" i="5"/>
  <c r="I533" i="5"/>
  <c r="G533" i="5"/>
  <c r="F533" i="5"/>
  <c r="D533" i="5"/>
  <c r="B533" i="5"/>
  <c r="L533" i="5" s="1"/>
  <c r="A533" i="5"/>
  <c r="K532" i="5"/>
  <c r="J532" i="5"/>
  <c r="I532" i="5"/>
  <c r="G532" i="5"/>
  <c r="F532" i="5"/>
  <c r="D532" i="5"/>
  <c r="B532" i="5"/>
  <c r="L532" i="5" s="1"/>
  <c r="A532" i="5"/>
  <c r="K531" i="5"/>
  <c r="J531" i="5"/>
  <c r="I531" i="5"/>
  <c r="G531" i="5"/>
  <c r="F531" i="5"/>
  <c r="D531" i="5"/>
  <c r="B531" i="5"/>
  <c r="L531" i="5" s="1"/>
  <c r="A531" i="5"/>
  <c r="K530" i="5"/>
  <c r="J530" i="5"/>
  <c r="I530" i="5"/>
  <c r="G530" i="5"/>
  <c r="F530" i="5"/>
  <c r="D530" i="5"/>
  <c r="B530" i="5"/>
  <c r="L530" i="5" s="1"/>
  <c r="A530" i="5"/>
  <c r="AR529" i="5"/>
  <c r="K529" i="5"/>
  <c r="J529" i="5"/>
  <c r="I529" i="5"/>
  <c r="G529" i="5"/>
  <c r="F529" i="5"/>
  <c r="D529" i="5"/>
  <c r="B529" i="5"/>
  <c r="L529" i="5" s="1"/>
  <c r="A529" i="5"/>
  <c r="AR528" i="5"/>
  <c r="K528" i="5"/>
  <c r="J528" i="5"/>
  <c r="I528" i="5"/>
  <c r="G528" i="5"/>
  <c r="F528" i="5"/>
  <c r="D528" i="5"/>
  <c r="B528" i="5"/>
  <c r="L528" i="5" s="1"/>
  <c r="A528" i="5"/>
  <c r="AR527" i="5"/>
  <c r="K527" i="5"/>
  <c r="J527" i="5"/>
  <c r="I527" i="5"/>
  <c r="G527" i="5"/>
  <c r="F527" i="5"/>
  <c r="D527" i="5"/>
  <c r="B527" i="5"/>
  <c r="L527" i="5" s="1"/>
  <c r="A527" i="5"/>
  <c r="AR526" i="5"/>
  <c r="K526" i="5"/>
  <c r="J526" i="5"/>
  <c r="I526" i="5"/>
  <c r="G526" i="5"/>
  <c r="F526" i="5"/>
  <c r="D526" i="5"/>
  <c r="B526" i="5"/>
  <c r="L526" i="5" s="1"/>
  <c r="A526" i="5"/>
  <c r="K525" i="5"/>
  <c r="J525" i="5"/>
  <c r="I525" i="5"/>
  <c r="G525" i="5"/>
  <c r="F525" i="5"/>
  <c r="D525" i="5"/>
  <c r="B525" i="5"/>
  <c r="L525" i="5" s="1"/>
  <c r="A525" i="5"/>
  <c r="K524" i="5"/>
  <c r="J524" i="5"/>
  <c r="I524" i="5"/>
  <c r="G524" i="5"/>
  <c r="F524" i="5"/>
  <c r="D524" i="5"/>
  <c r="B524" i="5"/>
  <c r="L524" i="5" s="1"/>
  <c r="A524" i="5"/>
  <c r="K523" i="5"/>
  <c r="J523" i="5"/>
  <c r="I523" i="5"/>
  <c r="G523" i="5"/>
  <c r="F523" i="5"/>
  <c r="D523" i="5"/>
  <c r="B523" i="5"/>
  <c r="L523" i="5" s="1"/>
  <c r="A523" i="5"/>
  <c r="K522" i="5"/>
  <c r="J522" i="5"/>
  <c r="I522" i="5"/>
  <c r="G522" i="5"/>
  <c r="F522" i="5"/>
  <c r="D522" i="5"/>
  <c r="B522" i="5"/>
  <c r="L522" i="5" s="1"/>
  <c r="A522" i="5"/>
  <c r="K521" i="5"/>
  <c r="J521" i="5"/>
  <c r="I521" i="5"/>
  <c r="G521" i="5"/>
  <c r="F521" i="5"/>
  <c r="D521" i="5"/>
  <c r="B521" i="5"/>
  <c r="L521" i="5" s="1"/>
  <c r="A521" i="5"/>
  <c r="K520" i="5"/>
  <c r="J520" i="5"/>
  <c r="I520" i="5"/>
  <c r="H520" i="5"/>
  <c r="G520" i="5"/>
  <c r="F520" i="5"/>
  <c r="D520" i="5"/>
  <c r="B520" i="5"/>
  <c r="L520" i="5" s="1"/>
  <c r="A520" i="5"/>
  <c r="K519" i="5"/>
  <c r="J519" i="5"/>
  <c r="I519" i="5"/>
  <c r="G519" i="5"/>
  <c r="F519" i="5"/>
  <c r="D519" i="5"/>
  <c r="B519" i="5"/>
  <c r="L519" i="5" s="1"/>
  <c r="A519" i="5"/>
  <c r="AQ518" i="5"/>
  <c r="AB518" i="5"/>
  <c r="H518" i="5"/>
  <c r="G518" i="5"/>
  <c r="F518" i="5"/>
  <c r="E518" i="5"/>
  <c r="D518" i="5"/>
  <c r="B518" i="5"/>
  <c r="A518" i="5"/>
  <c r="K517" i="5"/>
  <c r="J517" i="5"/>
  <c r="I517" i="5"/>
  <c r="F517" i="5"/>
  <c r="D517" i="5"/>
  <c r="B517" i="5"/>
  <c r="L517" i="5" s="1"/>
  <c r="A517" i="5"/>
  <c r="K516" i="5"/>
  <c r="J516" i="5"/>
  <c r="I516" i="5"/>
  <c r="F516" i="5"/>
  <c r="D516" i="5"/>
  <c r="B516" i="5"/>
  <c r="L516" i="5" s="1"/>
  <c r="A516" i="5"/>
  <c r="K515" i="5"/>
  <c r="J515" i="5"/>
  <c r="I515" i="5"/>
  <c r="F515" i="5"/>
  <c r="D515" i="5"/>
  <c r="B515" i="5"/>
  <c r="L515" i="5" s="1"/>
  <c r="A515" i="5"/>
  <c r="BE514" i="5"/>
  <c r="AR514" i="5"/>
  <c r="K514" i="5"/>
  <c r="J514" i="5"/>
  <c r="I514" i="5"/>
  <c r="F514" i="5"/>
  <c r="D514" i="5"/>
  <c r="B514" i="5"/>
  <c r="L514" i="5" s="1"/>
  <c r="A514" i="5"/>
  <c r="K513" i="5"/>
  <c r="J513" i="5"/>
  <c r="I513" i="5"/>
  <c r="F513" i="5"/>
  <c r="D513" i="5"/>
  <c r="B513" i="5"/>
  <c r="L513" i="5" s="1"/>
  <c r="A513" i="5"/>
  <c r="BE512" i="5"/>
  <c r="K512" i="5"/>
  <c r="J512" i="5"/>
  <c r="I512" i="5"/>
  <c r="F512" i="5"/>
  <c r="D512" i="5"/>
  <c r="B512" i="5"/>
  <c r="L512" i="5" s="1"/>
  <c r="A512" i="5"/>
  <c r="AQ511" i="5"/>
  <c r="AB511" i="5"/>
  <c r="H511" i="5"/>
  <c r="G511" i="5"/>
  <c r="F511" i="5"/>
  <c r="E511" i="5"/>
  <c r="D511" i="5"/>
  <c r="B511" i="5"/>
  <c r="A511" i="5"/>
  <c r="K510" i="5"/>
  <c r="J510" i="5"/>
  <c r="I510" i="5"/>
  <c r="G510" i="5"/>
  <c r="F510" i="5"/>
  <c r="D510" i="5"/>
  <c r="B510" i="5"/>
  <c r="L510" i="5" s="1"/>
  <c r="A510" i="5"/>
  <c r="K509" i="5"/>
  <c r="K508" i="5" s="1"/>
  <c r="J509" i="5"/>
  <c r="I509" i="5"/>
  <c r="G509" i="5"/>
  <c r="F509" i="5"/>
  <c r="D509" i="5"/>
  <c r="B509" i="5"/>
  <c r="L509" i="5" s="1"/>
  <c r="A509" i="5"/>
  <c r="BE508" i="5"/>
  <c r="AQ508" i="5"/>
  <c r="AP508" i="5"/>
  <c r="AB508" i="5"/>
  <c r="AA508" i="5"/>
  <c r="H508" i="5"/>
  <c r="G508" i="5"/>
  <c r="F508" i="5"/>
  <c r="E508" i="5"/>
  <c r="D508" i="5"/>
  <c r="B508" i="5"/>
  <c r="A508" i="5"/>
  <c r="K507" i="5"/>
  <c r="J507" i="5"/>
  <c r="I507" i="5"/>
  <c r="G507" i="5"/>
  <c r="F507" i="5"/>
  <c r="D507" i="5"/>
  <c r="B507" i="5"/>
  <c r="L507" i="5" s="1"/>
  <c r="A507" i="5"/>
  <c r="G506" i="5"/>
  <c r="F506" i="5"/>
  <c r="D506" i="5"/>
  <c r="B506" i="5"/>
  <c r="L506" i="5" s="1"/>
  <c r="A506" i="5"/>
  <c r="G505" i="5"/>
  <c r="F505" i="5"/>
  <c r="D505" i="5"/>
  <c r="B505" i="5"/>
  <c r="L505" i="5" s="1"/>
  <c r="A505" i="5"/>
  <c r="K504" i="5"/>
  <c r="J504" i="5"/>
  <c r="I504" i="5"/>
  <c r="G504" i="5"/>
  <c r="F504" i="5"/>
  <c r="D504" i="5"/>
  <c r="B504" i="5"/>
  <c r="L504" i="5" s="1"/>
  <c r="A504" i="5"/>
  <c r="G503" i="5"/>
  <c r="F503" i="5"/>
  <c r="D503" i="5"/>
  <c r="B503" i="5"/>
  <c r="L503" i="5" s="1"/>
  <c r="A503" i="5"/>
  <c r="K502" i="5"/>
  <c r="J502" i="5"/>
  <c r="I502" i="5"/>
  <c r="H502" i="5"/>
  <c r="G502" i="5"/>
  <c r="F502" i="5"/>
  <c r="D502" i="5"/>
  <c r="B502" i="5"/>
  <c r="L502" i="5" s="1"/>
  <c r="A502" i="5"/>
  <c r="BE501" i="5"/>
  <c r="AP501" i="5"/>
  <c r="K501" i="5"/>
  <c r="J501" i="5"/>
  <c r="I501" i="5"/>
  <c r="H501" i="5"/>
  <c r="G501" i="5"/>
  <c r="F501" i="5"/>
  <c r="D501" i="5"/>
  <c r="B501" i="5"/>
  <c r="L501" i="5" s="1"/>
  <c r="A501" i="5"/>
  <c r="K500" i="5"/>
  <c r="J500" i="5"/>
  <c r="I500" i="5"/>
  <c r="H500" i="5"/>
  <c r="G500" i="5"/>
  <c r="F500" i="5"/>
  <c r="D500" i="5"/>
  <c r="B500" i="5"/>
  <c r="L500" i="5" s="1"/>
  <c r="A500" i="5"/>
  <c r="K499" i="5"/>
  <c r="J499" i="5"/>
  <c r="I499" i="5"/>
  <c r="H499" i="5"/>
  <c r="G499" i="5"/>
  <c r="F499" i="5"/>
  <c r="D499" i="5"/>
  <c r="B499" i="5"/>
  <c r="L499" i="5" s="1"/>
  <c r="A499" i="5"/>
  <c r="K498" i="5"/>
  <c r="J498" i="5"/>
  <c r="I498" i="5"/>
  <c r="G498" i="5"/>
  <c r="F498" i="5"/>
  <c r="D498" i="5"/>
  <c r="B498" i="5"/>
  <c r="L498" i="5" s="1"/>
  <c r="A498" i="5"/>
  <c r="K497" i="5"/>
  <c r="J497" i="5"/>
  <c r="I497" i="5"/>
  <c r="G497" i="5"/>
  <c r="F497" i="5"/>
  <c r="D497" i="5"/>
  <c r="B497" i="5"/>
  <c r="L497" i="5" s="1"/>
  <c r="A497" i="5"/>
  <c r="K496" i="5"/>
  <c r="J496" i="5"/>
  <c r="I496" i="5"/>
  <c r="G496" i="5"/>
  <c r="F496" i="5"/>
  <c r="D496" i="5"/>
  <c r="B496" i="5"/>
  <c r="L496" i="5" s="1"/>
  <c r="A496" i="5"/>
  <c r="K495" i="5"/>
  <c r="J495" i="5"/>
  <c r="I495" i="5"/>
  <c r="G495" i="5"/>
  <c r="F495" i="5"/>
  <c r="D495" i="5"/>
  <c r="B495" i="5"/>
  <c r="L495" i="5" s="1"/>
  <c r="A495" i="5"/>
  <c r="K494" i="5"/>
  <c r="J494" i="5"/>
  <c r="I494" i="5"/>
  <c r="G494" i="5"/>
  <c r="F494" i="5"/>
  <c r="D494" i="5"/>
  <c r="B494" i="5"/>
  <c r="L494" i="5" s="1"/>
  <c r="A494" i="5"/>
  <c r="K493" i="5"/>
  <c r="J493" i="5"/>
  <c r="I493" i="5"/>
  <c r="G493" i="5"/>
  <c r="F493" i="5"/>
  <c r="D493" i="5"/>
  <c r="B493" i="5"/>
  <c r="L493" i="5" s="1"/>
  <c r="A493" i="5"/>
  <c r="K492" i="5"/>
  <c r="J492" i="5"/>
  <c r="I492" i="5"/>
  <c r="G492" i="5"/>
  <c r="F492" i="5"/>
  <c r="D492" i="5"/>
  <c r="B492" i="5"/>
  <c r="L492" i="5" s="1"/>
  <c r="A492" i="5"/>
  <c r="K491" i="5"/>
  <c r="J491" i="5"/>
  <c r="I491" i="5"/>
  <c r="G491" i="5"/>
  <c r="F491" i="5"/>
  <c r="D491" i="5"/>
  <c r="B491" i="5"/>
  <c r="L491" i="5" s="1"/>
  <c r="A491" i="5"/>
  <c r="K490" i="5"/>
  <c r="J490" i="5"/>
  <c r="I490" i="5"/>
  <c r="G490" i="5"/>
  <c r="F490" i="5"/>
  <c r="D490" i="5"/>
  <c r="B490" i="5"/>
  <c r="L490" i="5" s="1"/>
  <c r="A490" i="5"/>
  <c r="K489" i="5"/>
  <c r="J489" i="5"/>
  <c r="I489" i="5"/>
  <c r="G489" i="5"/>
  <c r="F489" i="5"/>
  <c r="D489" i="5"/>
  <c r="B489" i="5"/>
  <c r="L489" i="5" s="1"/>
  <c r="A489" i="5"/>
  <c r="K488" i="5"/>
  <c r="J488" i="5"/>
  <c r="I488" i="5"/>
  <c r="G488" i="5"/>
  <c r="F488" i="5"/>
  <c r="D488" i="5"/>
  <c r="B488" i="5"/>
  <c r="L488" i="5" s="1"/>
  <c r="A488" i="5"/>
  <c r="K487" i="5"/>
  <c r="J487" i="5"/>
  <c r="I487" i="5"/>
  <c r="G487" i="5"/>
  <c r="F487" i="5"/>
  <c r="D487" i="5"/>
  <c r="B487" i="5"/>
  <c r="L487" i="5" s="1"/>
  <c r="A487" i="5"/>
  <c r="K486" i="5"/>
  <c r="J486" i="5"/>
  <c r="I486" i="5"/>
  <c r="G486" i="5"/>
  <c r="F486" i="5"/>
  <c r="D486" i="5"/>
  <c r="B486" i="5"/>
  <c r="L486" i="5" s="1"/>
  <c r="A486" i="5"/>
  <c r="K485" i="5"/>
  <c r="J485" i="5"/>
  <c r="I485" i="5"/>
  <c r="G485" i="5"/>
  <c r="F485" i="5"/>
  <c r="D485" i="5"/>
  <c r="B485" i="5"/>
  <c r="L485" i="5" s="1"/>
  <c r="A485" i="5"/>
  <c r="K484" i="5"/>
  <c r="J484" i="5"/>
  <c r="I484" i="5"/>
  <c r="G484" i="5"/>
  <c r="F484" i="5"/>
  <c r="D484" i="5"/>
  <c r="B484" i="5"/>
  <c r="L484" i="5" s="1"/>
  <c r="A484" i="5"/>
  <c r="K483" i="5"/>
  <c r="J483" i="5"/>
  <c r="I483" i="5"/>
  <c r="G483" i="5"/>
  <c r="F483" i="5"/>
  <c r="D483" i="5"/>
  <c r="B483" i="5"/>
  <c r="L483" i="5" s="1"/>
  <c r="A483" i="5"/>
  <c r="K482" i="5"/>
  <c r="J482" i="5"/>
  <c r="I482" i="5"/>
  <c r="G482" i="5"/>
  <c r="F482" i="5"/>
  <c r="D482" i="5"/>
  <c r="B482" i="5"/>
  <c r="L482" i="5" s="1"/>
  <c r="A482" i="5"/>
  <c r="K481" i="5"/>
  <c r="J481" i="5"/>
  <c r="I481" i="5"/>
  <c r="G481" i="5"/>
  <c r="F481" i="5"/>
  <c r="D481" i="5"/>
  <c r="B481" i="5"/>
  <c r="L481" i="5" s="1"/>
  <c r="A481" i="5"/>
  <c r="K480" i="5"/>
  <c r="J480" i="5"/>
  <c r="I480" i="5"/>
  <c r="G480" i="5"/>
  <c r="F480" i="5"/>
  <c r="D480" i="5"/>
  <c r="B480" i="5"/>
  <c r="L480" i="5" s="1"/>
  <c r="A480" i="5"/>
  <c r="K479" i="5"/>
  <c r="J479" i="5"/>
  <c r="I479" i="5"/>
  <c r="G479" i="5"/>
  <c r="F479" i="5"/>
  <c r="D479" i="5"/>
  <c r="B479" i="5"/>
  <c r="L479" i="5" s="1"/>
  <c r="A479" i="5"/>
  <c r="K478" i="5"/>
  <c r="J478" i="5"/>
  <c r="I478" i="5"/>
  <c r="G478" i="5"/>
  <c r="F478" i="5"/>
  <c r="D478" i="5"/>
  <c r="B478" i="5"/>
  <c r="L478" i="5" s="1"/>
  <c r="A478" i="5"/>
  <c r="K477" i="5"/>
  <c r="J477" i="5"/>
  <c r="I477" i="5"/>
  <c r="G477" i="5"/>
  <c r="F477" i="5"/>
  <c r="D477" i="5"/>
  <c r="B477" i="5"/>
  <c r="L477" i="5" s="1"/>
  <c r="A477" i="5"/>
  <c r="K476" i="5"/>
  <c r="J476" i="5"/>
  <c r="I476" i="5"/>
  <c r="G476" i="5"/>
  <c r="F476" i="5"/>
  <c r="D476" i="5"/>
  <c r="B476" i="5"/>
  <c r="L476" i="5" s="1"/>
  <c r="A476" i="5"/>
  <c r="K475" i="5"/>
  <c r="J475" i="5"/>
  <c r="I475" i="5"/>
  <c r="G475" i="5"/>
  <c r="F475" i="5"/>
  <c r="D475" i="5"/>
  <c r="B475" i="5"/>
  <c r="L475" i="5" s="1"/>
  <c r="A475" i="5"/>
  <c r="K474" i="5"/>
  <c r="J474" i="5"/>
  <c r="I474" i="5"/>
  <c r="G474" i="5"/>
  <c r="F474" i="5"/>
  <c r="D474" i="5"/>
  <c r="B474" i="5"/>
  <c r="L474" i="5" s="1"/>
  <c r="A474" i="5"/>
  <c r="K473" i="5"/>
  <c r="J473" i="5"/>
  <c r="I473" i="5"/>
  <c r="G473" i="5"/>
  <c r="F473" i="5"/>
  <c r="D473" i="5"/>
  <c r="B473" i="5"/>
  <c r="L473" i="5" s="1"/>
  <c r="A473" i="5"/>
  <c r="K472" i="5"/>
  <c r="J472" i="5"/>
  <c r="I472" i="5"/>
  <c r="G472" i="5"/>
  <c r="F472" i="5"/>
  <c r="D472" i="5"/>
  <c r="B472" i="5"/>
  <c r="L472" i="5" s="1"/>
  <c r="A472" i="5"/>
  <c r="K471" i="5"/>
  <c r="J471" i="5"/>
  <c r="I471" i="5"/>
  <c r="G471" i="5"/>
  <c r="F471" i="5"/>
  <c r="D471" i="5"/>
  <c r="B471" i="5"/>
  <c r="L471" i="5" s="1"/>
  <c r="A471" i="5"/>
  <c r="K470" i="5"/>
  <c r="J470" i="5"/>
  <c r="I470" i="5"/>
  <c r="G470" i="5"/>
  <c r="F470" i="5"/>
  <c r="D470" i="5"/>
  <c r="B470" i="5"/>
  <c r="L470" i="5" s="1"/>
  <c r="A470" i="5"/>
  <c r="K469" i="5"/>
  <c r="J469" i="5"/>
  <c r="I469" i="5"/>
  <c r="G469" i="5"/>
  <c r="F469" i="5"/>
  <c r="D469" i="5"/>
  <c r="B469" i="5"/>
  <c r="L469" i="5" s="1"/>
  <c r="A469" i="5"/>
  <c r="K468" i="5"/>
  <c r="J468" i="5"/>
  <c r="I468" i="5"/>
  <c r="G468" i="5"/>
  <c r="F468" i="5"/>
  <c r="D468" i="5"/>
  <c r="B468" i="5"/>
  <c r="L468" i="5" s="1"/>
  <c r="A468" i="5"/>
  <c r="K467" i="5"/>
  <c r="J467" i="5"/>
  <c r="I467" i="5"/>
  <c r="G467" i="5"/>
  <c r="F467" i="5"/>
  <c r="D467" i="5"/>
  <c r="B467" i="5"/>
  <c r="L467" i="5" s="1"/>
  <c r="A467" i="5"/>
  <c r="K466" i="5"/>
  <c r="J466" i="5"/>
  <c r="I466" i="5"/>
  <c r="G466" i="5"/>
  <c r="F466" i="5"/>
  <c r="D466" i="5"/>
  <c r="B466" i="5"/>
  <c r="L466" i="5" s="1"/>
  <c r="A466" i="5"/>
  <c r="K465" i="5"/>
  <c r="J465" i="5"/>
  <c r="I465" i="5"/>
  <c r="G465" i="5"/>
  <c r="F465" i="5"/>
  <c r="D465" i="5"/>
  <c r="B465" i="5"/>
  <c r="L465" i="5" s="1"/>
  <c r="A465" i="5"/>
  <c r="K464" i="5"/>
  <c r="J464" i="5"/>
  <c r="I464" i="5"/>
  <c r="G464" i="5"/>
  <c r="F464" i="5"/>
  <c r="D464" i="5"/>
  <c r="B464" i="5"/>
  <c r="L464" i="5" s="1"/>
  <c r="A464" i="5"/>
  <c r="K463" i="5"/>
  <c r="J463" i="5"/>
  <c r="I463" i="5"/>
  <c r="G463" i="5"/>
  <c r="F463" i="5"/>
  <c r="D463" i="5"/>
  <c r="B463" i="5"/>
  <c r="L463" i="5" s="1"/>
  <c r="A463" i="5"/>
  <c r="K462" i="5"/>
  <c r="J462" i="5"/>
  <c r="I462" i="5"/>
  <c r="G462" i="5"/>
  <c r="F462" i="5"/>
  <c r="D462" i="5"/>
  <c r="B462" i="5"/>
  <c r="L462" i="5" s="1"/>
  <c r="A462" i="5"/>
  <c r="K461" i="5"/>
  <c r="J461" i="5"/>
  <c r="I461" i="5"/>
  <c r="G461" i="5"/>
  <c r="F461" i="5"/>
  <c r="D461" i="5"/>
  <c r="B461" i="5"/>
  <c r="L461" i="5" s="1"/>
  <c r="A461" i="5"/>
  <c r="K460" i="5"/>
  <c r="J460" i="5"/>
  <c r="I460" i="5"/>
  <c r="G460" i="5"/>
  <c r="F460" i="5"/>
  <c r="D460" i="5"/>
  <c r="B460" i="5"/>
  <c r="L460" i="5" s="1"/>
  <c r="A460" i="5"/>
  <c r="K459" i="5"/>
  <c r="J459" i="5"/>
  <c r="I459" i="5"/>
  <c r="G459" i="5"/>
  <c r="F459" i="5"/>
  <c r="D459" i="5"/>
  <c r="B459" i="5"/>
  <c r="L459" i="5" s="1"/>
  <c r="A459" i="5"/>
  <c r="K458" i="5"/>
  <c r="J458" i="5"/>
  <c r="I458" i="5"/>
  <c r="G458" i="5"/>
  <c r="F458" i="5"/>
  <c r="D458" i="5"/>
  <c r="B458" i="5"/>
  <c r="L458" i="5" s="1"/>
  <c r="A458" i="5"/>
  <c r="K457" i="5"/>
  <c r="J457" i="5"/>
  <c r="I457" i="5"/>
  <c r="G457" i="5"/>
  <c r="F457" i="5"/>
  <c r="D457" i="5"/>
  <c r="B457" i="5"/>
  <c r="L457" i="5" s="1"/>
  <c r="A457" i="5"/>
  <c r="K456" i="5"/>
  <c r="J456" i="5"/>
  <c r="I456" i="5"/>
  <c r="G456" i="5"/>
  <c r="F456" i="5"/>
  <c r="D456" i="5"/>
  <c r="B456" i="5"/>
  <c r="L456" i="5" s="1"/>
  <c r="A456" i="5"/>
  <c r="K455" i="5"/>
  <c r="J455" i="5"/>
  <c r="I455" i="5"/>
  <c r="G455" i="5"/>
  <c r="F455" i="5"/>
  <c r="D455" i="5"/>
  <c r="B455" i="5"/>
  <c r="L455" i="5" s="1"/>
  <c r="A455" i="5"/>
  <c r="K454" i="5"/>
  <c r="J454" i="5"/>
  <c r="I454" i="5"/>
  <c r="G454" i="5"/>
  <c r="F454" i="5"/>
  <c r="D454" i="5"/>
  <c r="B454" i="5"/>
  <c r="L454" i="5" s="1"/>
  <c r="A454" i="5"/>
  <c r="K453" i="5"/>
  <c r="J453" i="5"/>
  <c r="I453" i="5"/>
  <c r="G453" i="5"/>
  <c r="F453" i="5"/>
  <c r="D453" i="5"/>
  <c r="B453" i="5"/>
  <c r="L453" i="5" s="1"/>
  <c r="A453" i="5"/>
  <c r="K452" i="5"/>
  <c r="J452" i="5"/>
  <c r="I452" i="5"/>
  <c r="G452" i="5"/>
  <c r="F452" i="5"/>
  <c r="D452" i="5"/>
  <c r="B452" i="5"/>
  <c r="L452" i="5" s="1"/>
  <c r="A452" i="5"/>
  <c r="K451" i="5"/>
  <c r="J451" i="5"/>
  <c r="I451" i="5"/>
  <c r="G451" i="5"/>
  <c r="F451" i="5"/>
  <c r="D451" i="5"/>
  <c r="B451" i="5"/>
  <c r="L451" i="5" s="1"/>
  <c r="A451" i="5"/>
  <c r="K450" i="5"/>
  <c r="J450" i="5"/>
  <c r="I450" i="5"/>
  <c r="G450" i="5"/>
  <c r="F450" i="5"/>
  <c r="D450" i="5"/>
  <c r="B450" i="5"/>
  <c r="L450" i="5" s="1"/>
  <c r="A450" i="5"/>
  <c r="K449" i="5"/>
  <c r="J449" i="5"/>
  <c r="I449" i="5"/>
  <c r="G449" i="5"/>
  <c r="F449" i="5"/>
  <c r="D449" i="5"/>
  <c r="B449" i="5"/>
  <c r="L449" i="5" s="1"/>
  <c r="A449" i="5"/>
  <c r="K448" i="5"/>
  <c r="J448" i="5"/>
  <c r="I448" i="5"/>
  <c r="G448" i="5"/>
  <c r="F448" i="5"/>
  <c r="D448" i="5"/>
  <c r="B448" i="5"/>
  <c r="L448" i="5" s="1"/>
  <c r="A448" i="5"/>
  <c r="K447" i="5"/>
  <c r="J447" i="5"/>
  <c r="I447" i="5"/>
  <c r="G447" i="5"/>
  <c r="F447" i="5"/>
  <c r="D447" i="5"/>
  <c r="B447" i="5"/>
  <c r="L447" i="5" s="1"/>
  <c r="A447" i="5"/>
  <c r="K446" i="5"/>
  <c r="J446" i="5"/>
  <c r="I446" i="5"/>
  <c r="G446" i="5"/>
  <c r="F446" i="5"/>
  <c r="D446" i="5"/>
  <c r="B446" i="5"/>
  <c r="L446" i="5" s="1"/>
  <c r="A446" i="5"/>
  <c r="K445" i="5"/>
  <c r="J445" i="5"/>
  <c r="I445" i="5"/>
  <c r="G445" i="5"/>
  <c r="F445" i="5"/>
  <c r="D445" i="5"/>
  <c r="B445" i="5"/>
  <c r="L445" i="5" s="1"/>
  <c r="A445" i="5"/>
  <c r="K444" i="5"/>
  <c r="J444" i="5"/>
  <c r="I444" i="5"/>
  <c r="G444" i="5"/>
  <c r="F444" i="5"/>
  <c r="D444" i="5"/>
  <c r="B444" i="5"/>
  <c r="L444" i="5" s="1"/>
  <c r="A444" i="5"/>
  <c r="K443" i="5"/>
  <c r="J443" i="5"/>
  <c r="I443" i="5"/>
  <c r="G443" i="5"/>
  <c r="F443" i="5"/>
  <c r="D443" i="5"/>
  <c r="B443" i="5"/>
  <c r="L443" i="5" s="1"/>
  <c r="A443" i="5"/>
  <c r="K442" i="5"/>
  <c r="J442" i="5"/>
  <c r="I442" i="5"/>
  <c r="G442" i="5"/>
  <c r="F442" i="5"/>
  <c r="D442" i="5"/>
  <c r="B442" i="5"/>
  <c r="L442" i="5" s="1"/>
  <c r="A442" i="5"/>
  <c r="K441" i="5"/>
  <c r="J441" i="5"/>
  <c r="I441" i="5"/>
  <c r="G441" i="5"/>
  <c r="F441" i="5"/>
  <c r="D441" i="5"/>
  <c r="B441" i="5"/>
  <c r="L441" i="5" s="1"/>
  <c r="A441" i="5"/>
  <c r="K440" i="5"/>
  <c r="J440" i="5"/>
  <c r="I440" i="5"/>
  <c r="G440" i="5"/>
  <c r="F440" i="5"/>
  <c r="D440" i="5"/>
  <c r="B440" i="5"/>
  <c r="L440" i="5" s="1"/>
  <c r="A440" i="5"/>
  <c r="K439" i="5"/>
  <c r="J439" i="5"/>
  <c r="I439" i="5"/>
  <c r="G439" i="5"/>
  <c r="F439" i="5"/>
  <c r="D439" i="5"/>
  <c r="B439" i="5"/>
  <c r="L439" i="5" s="1"/>
  <c r="A439" i="5"/>
  <c r="K438" i="5"/>
  <c r="J438" i="5"/>
  <c r="I438" i="5"/>
  <c r="G438" i="5"/>
  <c r="F438" i="5"/>
  <c r="D438" i="5"/>
  <c r="B438" i="5"/>
  <c r="L438" i="5" s="1"/>
  <c r="A438" i="5"/>
  <c r="K437" i="5"/>
  <c r="J437" i="5"/>
  <c r="I437" i="5"/>
  <c r="G437" i="5"/>
  <c r="F437" i="5"/>
  <c r="D437" i="5"/>
  <c r="B437" i="5"/>
  <c r="L437" i="5" s="1"/>
  <c r="A437" i="5"/>
  <c r="K436" i="5"/>
  <c r="J436" i="5"/>
  <c r="I436" i="5"/>
  <c r="G436" i="5"/>
  <c r="F436" i="5"/>
  <c r="D436" i="5"/>
  <c r="B436" i="5"/>
  <c r="L436" i="5" s="1"/>
  <c r="A436" i="5"/>
  <c r="K435" i="5"/>
  <c r="J435" i="5"/>
  <c r="I435" i="5"/>
  <c r="G435" i="5"/>
  <c r="F435" i="5"/>
  <c r="D435" i="5"/>
  <c r="B435" i="5"/>
  <c r="L435" i="5" s="1"/>
  <c r="A435" i="5"/>
  <c r="K434" i="5"/>
  <c r="J434" i="5"/>
  <c r="I434" i="5"/>
  <c r="G434" i="5"/>
  <c r="F434" i="5"/>
  <c r="D434" i="5"/>
  <c r="B434" i="5"/>
  <c r="L434" i="5" s="1"/>
  <c r="A434" i="5"/>
  <c r="K433" i="5"/>
  <c r="J433" i="5"/>
  <c r="I433" i="5"/>
  <c r="G433" i="5"/>
  <c r="F433" i="5"/>
  <c r="D433" i="5"/>
  <c r="B433" i="5"/>
  <c r="L433" i="5" s="1"/>
  <c r="A433" i="5"/>
  <c r="AC432" i="5"/>
  <c r="K432" i="5"/>
  <c r="J432" i="5"/>
  <c r="I432" i="5"/>
  <c r="G432" i="5"/>
  <c r="F432" i="5"/>
  <c r="D432" i="5"/>
  <c r="B432" i="5"/>
  <c r="L432" i="5" s="1"/>
  <c r="A432" i="5"/>
  <c r="G431" i="5"/>
  <c r="F431" i="5"/>
  <c r="D431" i="5"/>
  <c r="B431" i="5"/>
  <c r="L431" i="5" s="1"/>
  <c r="A431" i="5"/>
  <c r="G430" i="5"/>
  <c r="F430" i="5"/>
  <c r="D430" i="5"/>
  <c r="B430" i="5"/>
  <c r="L430" i="5" s="1"/>
  <c r="A430" i="5"/>
  <c r="G429" i="5"/>
  <c r="F429" i="5"/>
  <c r="D429" i="5"/>
  <c r="B429" i="5"/>
  <c r="L429" i="5" s="1"/>
  <c r="A429" i="5"/>
  <c r="K428" i="5"/>
  <c r="J428" i="5"/>
  <c r="I428" i="5"/>
  <c r="G428" i="5"/>
  <c r="F428" i="5"/>
  <c r="D428" i="5"/>
  <c r="B428" i="5"/>
  <c r="L428" i="5" s="1"/>
  <c r="A428" i="5"/>
  <c r="G427" i="5"/>
  <c r="F427" i="5"/>
  <c r="D427" i="5"/>
  <c r="B427" i="5"/>
  <c r="L427" i="5" s="1"/>
  <c r="A427" i="5"/>
  <c r="BE426" i="5"/>
  <c r="K426" i="5"/>
  <c r="J426" i="5"/>
  <c r="I426" i="5"/>
  <c r="G426" i="5"/>
  <c r="F426" i="5"/>
  <c r="D426" i="5"/>
  <c r="B426" i="5"/>
  <c r="L426" i="5" s="1"/>
  <c r="A426" i="5"/>
  <c r="K425" i="5"/>
  <c r="H425" i="5"/>
  <c r="M425" i="5" s="1"/>
  <c r="G425" i="5"/>
  <c r="F425" i="5"/>
  <c r="D425" i="5"/>
  <c r="B425" i="5"/>
  <c r="L425" i="5" s="1"/>
  <c r="A425" i="5"/>
  <c r="G424" i="5"/>
  <c r="F424" i="5"/>
  <c r="D424" i="5"/>
  <c r="B424" i="5"/>
  <c r="L424" i="5" s="1"/>
  <c r="A424" i="5"/>
  <c r="G423" i="5"/>
  <c r="F423" i="5"/>
  <c r="D423" i="5"/>
  <c r="B423" i="5"/>
  <c r="L423" i="5" s="1"/>
  <c r="A423" i="5"/>
  <c r="K422" i="5"/>
  <c r="J422" i="5"/>
  <c r="I422" i="5"/>
  <c r="G422" i="5"/>
  <c r="F422" i="5"/>
  <c r="D422" i="5"/>
  <c r="B422" i="5"/>
  <c r="L422" i="5" s="1"/>
  <c r="A422" i="5"/>
  <c r="BE421" i="5"/>
  <c r="AP421" i="5"/>
  <c r="K421" i="5"/>
  <c r="J421" i="5"/>
  <c r="I421" i="5"/>
  <c r="G421" i="5"/>
  <c r="F421" i="5"/>
  <c r="D421" i="5"/>
  <c r="B421" i="5"/>
  <c r="L421" i="5" s="1"/>
  <c r="A421" i="5"/>
  <c r="AR420" i="5"/>
  <c r="AC420" i="5"/>
  <c r="N420" i="5"/>
  <c r="K420" i="5"/>
  <c r="O420" i="5" s="1"/>
  <c r="J420" i="5"/>
  <c r="I420" i="5"/>
  <c r="G420" i="5"/>
  <c r="F420" i="5"/>
  <c r="D420" i="5"/>
  <c r="B420" i="5"/>
  <c r="L420" i="5" s="1"/>
  <c r="A420" i="5"/>
  <c r="AR419" i="5"/>
  <c r="AC419" i="5"/>
  <c r="N419" i="5"/>
  <c r="K419" i="5"/>
  <c r="O419" i="5" s="1"/>
  <c r="P419" i="5" s="1"/>
  <c r="Q419" i="5" s="1"/>
  <c r="R419" i="5" s="1"/>
  <c r="S419" i="5" s="1"/>
  <c r="T419" i="5" s="1"/>
  <c r="U419" i="5" s="1"/>
  <c r="V419" i="5" s="1"/>
  <c r="W419" i="5" s="1"/>
  <c r="X419" i="5" s="1"/>
  <c r="Y419" i="5" s="1"/>
  <c r="Z419" i="5" s="1"/>
  <c r="AD419" i="5" s="1"/>
  <c r="J419" i="5"/>
  <c r="I419" i="5"/>
  <c r="G419" i="5"/>
  <c r="F419" i="5"/>
  <c r="D419" i="5"/>
  <c r="B419" i="5"/>
  <c r="L419" i="5" s="1"/>
  <c r="A419" i="5"/>
  <c r="K418" i="5"/>
  <c r="J418" i="5"/>
  <c r="I418" i="5"/>
  <c r="G418" i="5"/>
  <c r="F418" i="5"/>
  <c r="D418" i="5"/>
  <c r="B418" i="5"/>
  <c r="L418" i="5" s="1"/>
  <c r="A418" i="5"/>
  <c r="K417" i="5"/>
  <c r="J417" i="5"/>
  <c r="I417" i="5"/>
  <c r="H417" i="5"/>
  <c r="G417" i="5"/>
  <c r="F417" i="5"/>
  <c r="D417" i="5"/>
  <c r="B417" i="5"/>
  <c r="L417" i="5" s="1"/>
  <c r="A417" i="5"/>
  <c r="K416" i="5"/>
  <c r="J416" i="5"/>
  <c r="I416" i="5"/>
  <c r="G416" i="5"/>
  <c r="F416" i="5"/>
  <c r="D416" i="5"/>
  <c r="B416" i="5"/>
  <c r="L416" i="5" s="1"/>
  <c r="A416" i="5"/>
  <c r="K415" i="5"/>
  <c r="J415" i="5"/>
  <c r="I415" i="5"/>
  <c r="H415" i="5"/>
  <c r="G415" i="5"/>
  <c r="F415" i="5"/>
  <c r="D415" i="5"/>
  <c r="B415" i="5"/>
  <c r="L415" i="5" s="1"/>
  <c r="A415" i="5"/>
  <c r="K414" i="5"/>
  <c r="J414" i="5"/>
  <c r="I414" i="5"/>
  <c r="H414" i="5"/>
  <c r="G414" i="5"/>
  <c r="F414" i="5"/>
  <c r="D414" i="5"/>
  <c r="B414" i="5"/>
  <c r="L414" i="5" s="1"/>
  <c r="A414" i="5"/>
  <c r="K413" i="5"/>
  <c r="J413" i="5"/>
  <c r="I413" i="5"/>
  <c r="G413" i="5"/>
  <c r="F413" i="5"/>
  <c r="D413" i="5"/>
  <c r="B413" i="5"/>
  <c r="L413" i="5" s="1"/>
  <c r="A413" i="5"/>
  <c r="G412" i="5"/>
  <c r="F412" i="5"/>
  <c r="D412" i="5"/>
  <c r="B412" i="5"/>
  <c r="L412" i="5" s="1"/>
  <c r="A412" i="5"/>
  <c r="K411" i="5"/>
  <c r="J411" i="5"/>
  <c r="I411" i="5"/>
  <c r="G411" i="5"/>
  <c r="F411" i="5"/>
  <c r="D411" i="5"/>
  <c r="B411" i="5"/>
  <c r="L411" i="5" s="1"/>
  <c r="A411" i="5"/>
  <c r="K410" i="5"/>
  <c r="J410" i="5"/>
  <c r="I410" i="5"/>
  <c r="H410" i="5"/>
  <c r="G410" i="5"/>
  <c r="F410" i="5"/>
  <c r="D410" i="5"/>
  <c r="B410" i="5"/>
  <c r="L410" i="5" s="1"/>
  <c r="A410" i="5"/>
  <c r="K409" i="5"/>
  <c r="J409" i="5"/>
  <c r="I409" i="5"/>
  <c r="G409" i="5"/>
  <c r="F409" i="5"/>
  <c r="D409" i="5"/>
  <c r="B409" i="5"/>
  <c r="L409" i="5" s="1"/>
  <c r="A409" i="5"/>
  <c r="AR408" i="5"/>
  <c r="AC408" i="5"/>
  <c r="N408" i="5"/>
  <c r="K408" i="5"/>
  <c r="O408" i="5" s="1"/>
  <c r="J408" i="5"/>
  <c r="I408" i="5"/>
  <c r="H408" i="5"/>
  <c r="G408" i="5"/>
  <c r="F408" i="5"/>
  <c r="D408" i="5"/>
  <c r="B408" i="5"/>
  <c r="L408" i="5" s="1"/>
  <c r="A408" i="5"/>
  <c r="K407" i="5"/>
  <c r="J407" i="5"/>
  <c r="I407" i="5"/>
  <c r="H407" i="5"/>
  <c r="G407" i="5"/>
  <c r="F407" i="5"/>
  <c r="D407" i="5"/>
  <c r="B407" i="5"/>
  <c r="L407" i="5" s="1"/>
  <c r="A407" i="5"/>
  <c r="K406" i="5"/>
  <c r="J406" i="5"/>
  <c r="I406" i="5"/>
  <c r="G406" i="5"/>
  <c r="F406" i="5"/>
  <c r="D406" i="5"/>
  <c r="B406" i="5"/>
  <c r="L406" i="5" s="1"/>
  <c r="A406" i="5"/>
  <c r="K405" i="5"/>
  <c r="J405" i="5"/>
  <c r="I405" i="5"/>
  <c r="G405" i="5"/>
  <c r="F405" i="5"/>
  <c r="D405" i="5"/>
  <c r="B405" i="5"/>
  <c r="L405" i="5" s="1"/>
  <c r="A405" i="5"/>
  <c r="K404" i="5"/>
  <c r="J404" i="5"/>
  <c r="I404" i="5"/>
  <c r="G404" i="5"/>
  <c r="F404" i="5"/>
  <c r="D404" i="5"/>
  <c r="B404" i="5"/>
  <c r="L404" i="5" s="1"/>
  <c r="A404" i="5"/>
  <c r="K403" i="5"/>
  <c r="J403" i="5"/>
  <c r="I403" i="5"/>
  <c r="G403" i="5"/>
  <c r="F403" i="5"/>
  <c r="D403" i="5"/>
  <c r="B403" i="5"/>
  <c r="L403" i="5" s="1"/>
  <c r="A403" i="5"/>
  <c r="K402" i="5"/>
  <c r="J402" i="5"/>
  <c r="I402" i="5"/>
  <c r="H402" i="5"/>
  <c r="G402" i="5"/>
  <c r="F402" i="5"/>
  <c r="D402" i="5"/>
  <c r="B402" i="5"/>
  <c r="L402" i="5" s="1"/>
  <c r="A402" i="5"/>
  <c r="BE401" i="5"/>
  <c r="K401" i="5"/>
  <c r="J401" i="5"/>
  <c r="I401" i="5"/>
  <c r="G401" i="5"/>
  <c r="F401" i="5"/>
  <c r="D401" i="5"/>
  <c r="B401" i="5"/>
  <c r="L401" i="5" s="1"/>
  <c r="A401" i="5"/>
  <c r="G400" i="5"/>
  <c r="F400" i="5"/>
  <c r="D400" i="5"/>
  <c r="B400" i="5"/>
  <c r="L400" i="5" s="1"/>
  <c r="A400" i="5"/>
  <c r="K399" i="5"/>
  <c r="J399" i="5"/>
  <c r="I399" i="5"/>
  <c r="G399" i="5"/>
  <c r="F399" i="5"/>
  <c r="D399" i="5"/>
  <c r="B399" i="5"/>
  <c r="L399" i="5" s="1"/>
  <c r="A399" i="5"/>
  <c r="K398" i="5"/>
  <c r="J398" i="5"/>
  <c r="I398" i="5"/>
  <c r="H398" i="5"/>
  <c r="G398" i="5"/>
  <c r="F398" i="5"/>
  <c r="D398" i="5"/>
  <c r="B398" i="5"/>
  <c r="L398" i="5" s="1"/>
  <c r="A398" i="5"/>
  <c r="K397" i="5"/>
  <c r="J397" i="5"/>
  <c r="I397" i="5"/>
  <c r="G397" i="5"/>
  <c r="F397" i="5"/>
  <c r="D397" i="5"/>
  <c r="B397" i="5"/>
  <c r="L397" i="5" s="1"/>
  <c r="A397" i="5"/>
  <c r="K396" i="5"/>
  <c r="J396" i="5"/>
  <c r="I396" i="5"/>
  <c r="G396" i="5"/>
  <c r="F396" i="5"/>
  <c r="D396" i="5"/>
  <c r="B396" i="5"/>
  <c r="L396" i="5" s="1"/>
  <c r="A396" i="5"/>
  <c r="K395" i="5"/>
  <c r="J395" i="5"/>
  <c r="I395" i="5"/>
  <c r="H395" i="5"/>
  <c r="G395" i="5"/>
  <c r="F395" i="5"/>
  <c r="D395" i="5"/>
  <c r="B395" i="5"/>
  <c r="L395" i="5" s="1"/>
  <c r="A395" i="5"/>
  <c r="K394" i="5"/>
  <c r="J394" i="5"/>
  <c r="I394" i="5"/>
  <c r="H394" i="5"/>
  <c r="G394" i="5"/>
  <c r="F394" i="5"/>
  <c r="D394" i="5"/>
  <c r="B394" i="5"/>
  <c r="L394" i="5" s="1"/>
  <c r="A394" i="5"/>
  <c r="K393" i="5"/>
  <c r="J393" i="5"/>
  <c r="I393" i="5"/>
  <c r="H393" i="5"/>
  <c r="G393" i="5"/>
  <c r="F393" i="5"/>
  <c r="D393" i="5"/>
  <c r="B393" i="5"/>
  <c r="L393" i="5" s="1"/>
  <c r="A393" i="5"/>
  <c r="K392" i="5"/>
  <c r="J392" i="5"/>
  <c r="I392" i="5"/>
  <c r="H392" i="5"/>
  <c r="G392" i="5"/>
  <c r="F392" i="5"/>
  <c r="D392" i="5"/>
  <c r="B392" i="5"/>
  <c r="L392" i="5" s="1"/>
  <c r="A392" i="5"/>
  <c r="K391" i="5"/>
  <c r="J391" i="5"/>
  <c r="I391" i="5"/>
  <c r="G391" i="5"/>
  <c r="F391" i="5"/>
  <c r="D391" i="5"/>
  <c r="B391" i="5"/>
  <c r="L391" i="5" s="1"/>
  <c r="A391" i="5"/>
  <c r="K390" i="5"/>
  <c r="J390" i="5"/>
  <c r="I390" i="5"/>
  <c r="M390" i="5" s="1"/>
  <c r="AC390" i="5" s="1"/>
  <c r="G390" i="5"/>
  <c r="F390" i="5"/>
  <c r="D390" i="5"/>
  <c r="B390" i="5"/>
  <c r="L390" i="5" s="1"/>
  <c r="A390" i="5"/>
  <c r="K389" i="5"/>
  <c r="J389" i="5"/>
  <c r="I389" i="5"/>
  <c r="G389" i="5"/>
  <c r="F389" i="5"/>
  <c r="D389" i="5"/>
  <c r="B389" i="5"/>
  <c r="L389" i="5" s="1"/>
  <c r="A389" i="5"/>
  <c r="K388" i="5"/>
  <c r="J388" i="5"/>
  <c r="I388" i="5"/>
  <c r="G388" i="5"/>
  <c r="F388" i="5"/>
  <c r="D388" i="5"/>
  <c r="B388" i="5"/>
  <c r="L388" i="5" s="1"/>
  <c r="A388" i="5"/>
  <c r="K387" i="5"/>
  <c r="J387" i="5"/>
  <c r="I387" i="5"/>
  <c r="G387" i="5"/>
  <c r="F387" i="5"/>
  <c r="D387" i="5"/>
  <c r="B387" i="5"/>
  <c r="L387" i="5" s="1"/>
  <c r="A387" i="5"/>
  <c r="K386" i="5"/>
  <c r="J386" i="5"/>
  <c r="I386" i="5"/>
  <c r="G386" i="5"/>
  <c r="F386" i="5"/>
  <c r="D386" i="5"/>
  <c r="B386" i="5"/>
  <c r="L386" i="5" s="1"/>
  <c r="A386" i="5"/>
  <c r="K385" i="5"/>
  <c r="J385" i="5"/>
  <c r="I385" i="5"/>
  <c r="G385" i="5"/>
  <c r="F385" i="5"/>
  <c r="D385" i="5"/>
  <c r="B385" i="5"/>
  <c r="L385" i="5" s="1"/>
  <c r="A385" i="5"/>
  <c r="K384" i="5"/>
  <c r="J384" i="5"/>
  <c r="I384" i="5"/>
  <c r="G384" i="5"/>
  <c r="F384" i="5"/>
  <c r="D384" i="5"/>
  <c r="B384" i="5"/>
  <c r="L384" i="5" s="1"/>
  <c r="A384" i="5"/>
  <c r="K383" i="5"/>
  <c r="J383" i="5"/>
  <c r="I383" i="5"/>
  <c r="G383" i="5"/>
  <c r="F383" i="5"/>
  <c r="D383" i="5"/>
  <c r="B383" i="5"/>
  <c r="L383" i="5" s="1"/>
  <c r="A383" i="5"/>
  <c r="K382" i="5"/>
  <c r="J382" i="5"/>
  <c r="I382" i="5"/>
  <c r="H382" i="5"/>
  <c r="G382" i="5"/>
  <c r="F382" i="5"/>
  <c r="D382" i="5"/>
  <c r="B382" i="5"/>
  <c r="L382" i="5" s="1"/>
  <c r="A382" i="5"/>
  <c r="BE381" i="5"/>
  <c r="K381" i="5"/>
  <c r="J381" i="5"/>
  <c r="I381" i="5"/>
  <c r="G381" i="5"/>
  <c r="F381" i="5"/>
  <c r="D381" i="5"/>
  <c r="B381" i="5"/>
  <c r="L381" i="5" s="1"/>
  <c r="A381" i="5"/>
  <c r="K380" i="5"/>
  <c r="J380" i="5"/>
  <c r="I380" i="5"/>
  <c r="G380" i="5"/>
  <c r="F380" i="5"/>
  <c r="D380" i="5"/>
  <c r="B380" i="5"/>
  <c r="L380" i="5" s="1"/>
  <c r="A380" i="5"/>
  <c r="K379" i="5"/>
  <c r="J379" i="5"/>
  <c r="I379" i="5"/>
  <c r="H379" i="5"/>
  <c r="G379" i="5"/>
  <c r="F379" i="5"/>
  <c r="D379" i="5"/>
  <c r="B379" i="5"/>
  <c r="L379" i="5" s="1"/>
  <c r="A379" i="5"/>
  <c r="K378" i="5"/>
  <c r="J378" i="5"/>
  <c r="I378" i="5"/>
  <c r="G378" i="5"/>
  <c r="F378" i="5"/>
  <c r="D378" i="5"/>
  <c r="B378" i="5"/>
  <c r="L378" i="5" s="1"/>
  <c r="A378" i="5"/>
  <c r="K377" i="5"/>
  <c r="J377" i="5"/>
  <c r="I377" i="5"/>
  <c r="H377" i="5"/>
  <c r="G377" i="5"/>
  <c r="F377" i="5"/>
  <c r="D377" i="5"/>
  <c r="B377" i="5"/>
  <c r="L377" i="5" s="1"/>
  <c r="A377" i="5"/>
  <c r="K376" i="5"/>
  <c r="J376" i="5"/>
  <c r="I376" i="5"/>
  <c r="G376" i="5"/>
  <c r="F376" i="5"/>
  <c r="D376" i="5"/>
  <c r="B376" i="5"/>
  <c r="L376" i="5" s="1"/>
  <c r="A376" i="5"/>
  <c r="K375" i="5"/>
  <c r="J375" i="5"/>
  <c r="I375" i="5"/>
  <c r="G375" i="5"/>
  <c r="F375" i="5"/>
  <c r="D375" i="5"/>
  <c r="B375" i="5"/>
  <c r="L375" i="5" s="1"/>
  <c r="A375" i="5"/>
  <c r="K374" i="5"/>
  <c r="J374" i="5"/>
  <c r="I374" i="5"/>
  <c r="H374" i="5"/>
  <c r="G374" i="5"/>
  <c r="F374" i="5"/>
  <c r="D374" i="5"/>
  <c r="B374" i="5"/>
  <c r="L374" i="5" s="1"/>
  <c r="A374" i="5"/>
  <c r="BE373" i="5"/>
  <c r="K373" i="5"/>
  <c r="J373" i="5"/>
  <c r="I373" i="5"/>
  <c r="H373" i="5"/>
  <c r="G373" i="5"/>
  <c r="F373" i="5"/>
  <c r="D373" i="5"/>
  <c r="B373" i="5"/>
  <c r="L373" i="5" s="1"/>
  <c r="A373" i="5"/>
  <c r="G372" i="5"/>
  <c r="F372" i="5"/>
  <c r="D372" i="5"/>
  <c r="B372" i="5"/>
  <c r="L372" i="5" s="1"/>
  <c r="A372" i="5"/>
  <c r="K371" i="5"/>
  <c r="J371" i="5"/>
  <c r="I371" i="5"/>
  <c r="H371" i="5"/>
  <c r="G371" i="5"/>
  <c r="F371" i="5"/>
  <c r="D371" i="5"/>
  <c r="B371" i="5"/>
  <c r="L371" i="5" s="1"/>
  <c r="A371" i="5"/>
  <c r="K370" i="5"/>
  <c r="J370" i="5"/>
  <c r="I370" i="5"/>
  <c r="G370" i="5"/>
  <c r="F370" i="5"/>
  <c r="D370" i="5"/>
  <c r="B370" i="5"/>
  <c r="L370" i="5" s="1"/>
  <c r="A370" i="5"/>
  <c r="K369" i="5"/>
  <c r="J369" i="5"/>
  <c r="I369" i="5"/>
  <c r="G369" i="5"/>
  <c r="F369" i="5"/>
  <c r="D369" i="5"/>
  <c r="B369" i="5"/>
  <c r="L369" i="5" s="1"/>
  <c r="A369" i="5"/>
  <c r="AR368" i="5"/>
  <c r="AC368" i="5"/>
  <c r="N368" i="5"/>
  <c r="K368" i="5"/>
  <c r="O368" i="5" s="1"/>
  <c r="J368" i="5"/>
  <c r="I368" i="5"/>
  <c r="G368" i="5"/>
  <c r="F368" i="5"/>
  <c r="D368" i="5"/>
  <c r="B368" i="5"/>
  <c r="L368" i="5" s="1"/>
  <c r="A368" i="5"/>
  <c r="K367" i="5"/>
  <c r="J367" i="5"/>
  <c r="I367" i="5"/>
  <c r="H367" i="5"/>
  <c r="G367" i="5"/>
  <c r="F367" i="5"/>
  <c r="D367" i="5"/>
  <c r="B367" i="5"/>
  <c r="L367" i="5" s="1"/>
  <c r="A367" i="5"/>
  <c r="K366" i="5"/>
  <c r="J366" i="5"/>
  <c r="I366" i="5"/>
  <c r="G366" i="5"/>
  <c r="F366" i="5"/>
  <c r="D366" i="5"/>
  <c r="B366" i="5"/>
  <c r="L366" i="5" s="1"/>
  <c r="A366" i="5"/>
  <c r="K365" i="5"/>
  <c r="J365" i="5"/>
  <c r="I365" i="5"/>
  <c r="G365" i="5"/>
  <c r="F365" i="5"/>
  <c r="D365" i="5"/>
  <c r="B365" i="5"/>
  <c r="L365" i="5" s="1"/>
  <c r="A365" i="5"/>
  <c r="K364" i="5"/>
  <c r="J364" i="5"/>
  <c r="I364" i="5"/>
  <c r="G364" i="5"/>
  <c r="F364" i="5"/>
  <c r="D364" i="5"/>
  <c r="B364" i="5"/>
  <c r="L364" i="5" s="1"/>
  <c r="A364" i="5"/>
  <c r="K363" i="5"/>
  <c r="J363" i="5"/>
  <c r="I363" i="5"/>
  <c r="G363" i="5"/>
  <c r="F363" i="5"/>
  <c r="D363" i="5"/>
  <c r="B363" i="5"/>
  <c r="L363" i="5" s="1"/>
  <c r="A363" i="5"/>
  <c r="K362" i="5"/>
  <c r="J362" i="5"/>
  <c r="I362" i="5"/>
  <c r="G362" i="5"/>
  <c r="F362" i="5"/>
  <c r="D362" i="5"/>
  <c r="B362" i="5"/>
  <c r="L362" i="5" s="1"/>
  <c r="A362" i="5"/>
  <c r="K361" i="5"/>
  <c r="J361" i="5"/>
  <c r="I361" i="5"/>
  <c r="G361" i="5"/>
  <c r="F361" i="5"/>
  <c r="D361" i="5"/>
  <c r="B361" i="5"/>
  <c r="L361" i="5" s="1"/>
  <c r="A361" i="5"/>
  <c r="G360" i="5"/>
  <c r="F360" i="5"/>
  <c r="D360" i="5"/>
  <c r="B360" i="5"/>
  <c r="L360" i="5" s="1"/>
  <c r="A360" i="5"/>
  <c r="K359" i="5"/>
  <c r="J359" i="5"/>
  <c r="I359" i="5"/>
  <c r="G359" i="5"/>
  <c r="F359" i="5"/>
  <c r="D359" i="5"/>
  <c r="B359" i="5"/>
  <c r="L359" i="5" s="1"/>
  <c r="A359" i="5"/>
  <c r="K358" i="5"/>
  <c r="J358" i="5"/>
  <c r="I358" i="5"/>
  <c r="G358" i="5"/>
  <c r="F358" i="5"/>
  <c r="D358" i="5"/>
  <c r="B358" i="5"/>
  <c r="L358" i="5" s="1"/>
  <c r="A358" i="5"/>
  <c r="K357" i="5"/>
  <c r="J357" i="5"/>
  <c r="I357" i="5"/>
  <c r="G357" i="5"/>
  <c r="F357" i="5"/>
  <c r="D357" i="5"/>
  <c r="B357" i="5"/>
  <c r="L357" i="5" s="1"/>
  <c r="A357" i="5"/>
  <c r="G356" i="5"/>
  <c r="F356" i="5"/>
  <c r="D356" i="5"/>
  <c r="B356" i="5"/>
  <c r="L356" i="5" s="1"/>
  <c r="A356" i="5"/>
  <c r="K355" i="5"/>
  <c r="J355" i="5"/>
  <c r="I355" i="5"/>
  <c r="G355" i="5"/>
  <c r="F355" i="5"/>
  <c r="D355" i="5"/>
  <c r="B355" i="5"/>
  <c r="L355" i="5" s="1"/>
  <c r="A355" i="5"/>
  <c r="BE354" i="5"/>
  <c r="K354" i="5"/>
  <c r="J354" i="5"/>
  <c r="I354" i="5"/>
  <c r="G354" i="5"/>
  <c r="F354" i="5"/>
  <c r="D354" i="5"/>
  <c r="B354" i="5"/>
  <c r="L354" i="5" s="1"/>
  <c r="A354" i="5"/>
  <c r="K353" i="5"/>
  <c r="J353" i="5"/>
  <c r="I353" i="5"/>
  <c r="G353" i="5"/>
  <c r="F353" i="5"/>
  <c r="D353" i="5"/>
  <c r="B353" i="5"/>
  <c r="L353" i="5" s="1"/>
  <c r="A353" i="5"/>
  <c r="K352" i="5"/>
  <c r="J352" i="5"/>
  <c r="I352" i="5"/>
  <c r="G352" i="5"/>
  <c r="F352" i="5"/>
  <c r="D352" i="5"/>
  <c r="B352" i="5"/>
  <c r="L352" i="5" s="1"/>
  <c r="A352" i="5"/>
  <c r="K351" i="5"/>
  <c r="J351" i="5"/>
  <c r="I351" i="5"/>
  <c r="G351" i="5"/>
  <c r="F351" i="5"/>
  <c r="D351" i="5"/>
  <c r="B351" i="5"/>
  <c r="L351" i="5" s="1"/>
  <c r="A351" i="5"/>
  <c r="K350" i="5"/>
  <c r="J350" i="5"/>
  <c r="I350" i="5"/>
  <c r="G350" i="5"/>
  <c r="F350" i="5"/>
  <c r="D350" i="5"/>
  <c r="B350" i="5"/>
  <c r="L350" i="5" s="1"/>
  <c r="A350" i="5"/>
  <c r="K349" i="5"/>
  <c r="J349" i="5"/>
  <c r="I349" i="5"/>
  <c r="G349" i="5"/>
  <c r="F349" i="5"/>
  <c r="D349" i="5"/>
  <c r="B349" i="5"/>
  <c r="L349" i="5" s="1"/>
  <c r="A349" i="5"/>
  <c r="BE348" i="5"/>
  <c r="AP348" i="5"/>
  <c r="K348" i="5"/>
  <c r="H348" i="5"/>
  <c r="M348" i="5" s="1"/>
  <c r="G348" i="5"/>
  <c r="F348" i="5"/>
  <c r="D348" i="5"/>
  <c r="B348" i="5"/>
  <c r="L348" i="5" s="1"/>
  <c r="A348" i="5"/>
  <c r="K347" i="5"/>
  <c r="J347" i="5"/>
  <c r="I347" i="5"/>
  <c r="G347" i="5"/>
  <c r="F347" i="5"/>
  <c r="D347" i="5"/>
  <c r="B347" i="5"/>
  <c r="L347" i="5" s="1"/>
  <c r="A347" i="5"/>
  <c r="K346" i="5"/>
  <c r="J346" i="5"/>
  <c r="I346" i="5"/>
  <c r="G346" i="5"/>
  <c r="F346" i="5"/>
  <c r="D346" i="5"/>
  <c r="B346" i="5"/>
  <c r="L346" i="5" s="1"/>
  <c r="A346" i="5"/>
  <c r="K345" i="5"/>
  <c r="J345" i="5"/>
  <c r="I345" i="5"/>
  <c r="G345" i="5"/>
  <c r="F345" i="5"/>
  <c r="D345" i="5"/>
  <c r="B345" i="5"/>
  <c r="L345" i="5" s="1"/>
  <c r="A345" i="5"/>
  <c r="AR344" i="5"/>
  <c r="AC344" i="5"/>
  <c r="N344" i="5"/>
  <c r="K344" i="5"/>
  <c r="O344" i="5" s="1"/>
  <c r="J344" i="5"/>
  <c r="I344" i="5"/>
  <c r="H344" i="5"/>
  <c r="G344" i="5"/>
  <c r="F344" i="5"/>
  <c r="D344" i="5"/>
  <c r="B344" i="5"/>
  <c r="L344" i="5" s="1"/>
  <c r="A344" i="5"/>
  <c r="K343" i="5"/>
  <c r="J343" i="5"/>
  <c r="I343" i="5"/>
  <c r="H343" i="5"/>
  <c r="G343" i="5"/>
  <c r="F343" i="5"/>
  <c r="D343" i="5"/>
  <c r="B343" i="5"/>
  <c r="L343" i="5" s="1"/>
  <c r="A343" i="5"/>
  <c r="BE342" i="5"/>
  <c r="AP342" i="5"/>
  <c r="K342" i="5"/>
  <c r="J342" i="5"/>
  <c r="I342" i="5"/>
  <c r="G342" i="5"/>
  <c r="F342" i="5"/>
  <c r="D342" i="5"/>
  <c r="B342" i="5"/>
  <c r="L342" i="5" s="1"/>
  <c r="A342" i="5"/>
  <c r="BE341" i="5"/>
  <c r="AP341" i="5"/>
  <c r="K341" i="5"/>
  <c r="J341" i="5"/>
  <c r="I341" i="5"/>
  <c r="H341" i="5"/>
  <c r="G341" i="5"/>
  <c r="F341" i="5"/>
  <c r="D341" i="5"/>
  <c r="B341" i="5"/>
  <c r="L341" i="5" s="1"/>
  <c r="A341" i="5"/>
  <c r="K340" i="5"/>
  <c r="J340" i="5"/>
  <c r="I340" i="5"/>
  <c r="G340" i="5"/>
  <c r="F340" i="5"/>
  <c r="D340" i="5"/>
  <c r="B340" i="5"/>
  <c r="L340" i="5" s="1"/>
  <c r="A340" i="5"/>
  <c r="K339" i="5"/>
  <c r="J339" i="5"/>
  <c r="I339" i="5"/>
  <c r="G339" i="5"/>
  <c r="F339" i="5"/>
  <c r="D339" i="5"/>
  <c r="B339" i="5"/>
  <c r="L339" i="5" s="1"/>
  <c r="A339" i="5"/>
  <c r="K338" i="5"/>
  <c r="J338" i="5"/>
  <c r="I338" i="5"/>
  <c r="G338" i="5"/>
  <c r="F338" i="5"/>
  <c r="D338" i="5"/>
  <c r="B338" i="5"/>
  <c r="L338" i="5" s="1"/>
  <c r="A338" i="5"/>
  <c r="K337" i="5"/>
  <c r="J337" i="5"/>
  <c r="I337" i="5"/>
  <c r="G337" i="5"/>
  <c r="F337" i="5"/>
  <c r="D337" i="5"/>
  <c r="B337" i="5"/>
  <c r="L337" i="5" s="1"/>
  <c r="A337" i="5"/>
  <c r="AR336" i="5"/>
  <c r="AC336" i="5"/>
  <c r="N336" i="5"/>
  <c r="K336" i="5"/>
  <c r="O336" i="5" s="1"/>
  <c r="P336" i="5" s="1"/>
  <c r="Q336" i="5" s="1"/>
  <c r="R336" i="5" s="1"/>
  <c r="S336" i="5" s="1"/>
  <c r="T336" i="5" s="1"/>
  <c r="U336" i="5" s="1"/>
  <c r="V336" i="5" s="1"/>
  <c r="W336" i="5" s="1"/>
  <c r="X336" i="5" s="1"/>
  <c r="Y336" i="5" s="1"/>
  <c r="Z336" i="5" s="1"/>
  <c r="AD336" i="5" s="1"/>
  <c r="AE336" i="5" s="1"/>
  <c r="AF336" i="5" s="1"/>
  <c r="AG336" i="5" s="1"/>
  <c r="AH336" i="5" s="1"/>
  <c r="AI336" i="5" s="1"/>
  <c r="AJ336" i="5" s="1"/>
  <c r="AK336" i="5" s="1"/>
  <c r="AL336" i="5" s="1"/>
  <c r="AM336" i="5" s="1"/>
  <c r="AN336" i="5" s="1"/>
  <c r="AO336" i="5" s="1"/>
  <c r="AS336" i="5" s="1"/>
  <c r="AT336" i="5" s="1"/>
  <c r="AU336" i="5" s="1"/>
  <c r="AV336" i="5" s="1"/>
  <c r="AW336" i="5" s="1"/>
  <c r="AX336" i="5" s="1"/>
  <c r="AY336" i="5" s="1"/>
  <c r="AZ336" i="5" s="1"/>
  <c r="BA336" i="5" s="1"/>
  <c r="BB336" i="5" s="1"/>
  <c r="BC336" i="5" s="1"/>
  <c r="BD336" i="5" s="1"/>
  <c r="J336" i="5"/>
  <c r="I336" i="5"/>
  <c r="G336" i="5"/>
  <c r="F336" i="5"/>
  <c r="D336" i="5"/>
  <c r="B336" i="5"/>
  <c r="L336" i="5" s="1"/>
  <c r="A336" i="5"/>
  <c r="AR335" i="5"/>
  <c r="AC335" i="5"/>
  <c r="N335" i="5"/>
  <c r="K335" i="5"/>
  <c r="O335" i="5" s="1"/>
  <c r="P335" i="5" s="1"/>
  <c r="Q335" i="5" s="1"/>
  <c r="R335" i="5" s="1"/>
  <c r="S335" i="5" s="1"/>
  <c r="T335" i="5" s="1"/>
  <c r="U335" i="5" s="1"/>
  <c r="V335" i="5" s="1"/>
  <c r="W335" i="5" s="1"/>
  <c r="X335" i="5" s="1"/>
  <c r="Y335" i="5" s="1"/>
  <c r="Z335" i="5" s="1"/>
  <c r="AD335" i="5" s="1"/>
  <c r="AE335" i="5" s="1"/>
  <c r="AF335" i="5" s="1"/>
  <c r="AG335" i="5" s="1"/>
  <c r="AH335" i="5" s="1"/>
  <c r="AI335" i="5" s="1"/>
  <c r="AJ335" i="5" s="1"/>
  <c r="AK335" i="5" s="1"/>
  <c r="AL335" i="5" s="1"/>
  <c r="AM335" i="5" s="1"/>
  <c r="AN335" i="5" s="1"/>
  <c r="AO335" i="5" s="1"/>
  <c r="AS335" i="5" s="1"/>
  <c r="AT335" i="5" s="1"/>
  <c r="AU335" i="5" s="1"/>
  <c r="AV335" i="5" s="1"/>
  <c r="AW335" i="5" s="1"/>
  <c r="AX335" i="5" s="1"/>
  <c r="AY335" i="5" s="1"/>
  <c r="AZ335" i="5" s="1"/>
  <c r="BA335" i="5" s="1"/>
  <c r="BB335" i="5" s="1"/>
  <c r="BC335" i="5" s="1"/>
  <c r="BD335" i="5" s="1"/>
  <c r="J335" i="5"/>
  <c r="I335" i="5"/>
  <c r="G335" i="5"/>
  <c r="F335" i="5"/>
  <c r="D335" i="5"/>
  <c r="B335" i="5"/>
  <c r="L335" i="5" s="1"/>
  <c r="A335" i="5"/>
  <c r="AR334" i="5"/>
  <c r="AC334" i="5"/>
  <c r="N334" i="5"/>
  <c r="K334" i="5"/>
  <c r="O334" i="5" s="1"/>
  <c r="P334" i="5" s="1"/>
  <c r="Q334" i="5" s="1"/>
  <c r="R334" i="5" s="1"/>
  <c r="S334" i="5" s="1"/>
  <c r="T334" i="5" s="1"/>
  <c r="U334" i="5" s="1"/>
  <c r="V334" i="5" s="1"/>
  <c r="W334" i="5" s="1"/>
  <c r="X334" i="5" s="1"/>
  <c r="Y334" i="5" s="1"/>
  <c r="Z334" i="5" s="1"/>
  <c r="AD334" i="5" s="1"/>
  <c r="AE334" i="5" s="1"/>
  <c r="AF334" i="5" s="1"/>
  <c r="AG334" i="5" s="1"/>
  <c r="AH334" i="5" s="1"/>
  <c r="AI334" i="5" s="1"/>
  <c r="AJ334" i="5" s="1"/>
  <c r="AK334" i="5" s="1"/>
  <c r="AL334" i="5" s="1"/>
  <c r="AM334" i="5" s="1"/>
  <c r="AN334" i="5" s="1"/>
  <c r="AO334" i="5" s="1"/>
  <c r="AS334" i="5" s="1"/>
  <c r="AT334" i="5" s="1"/>
  <c r="AU334" i="5" s="1"/>
  <c r="AV334" i="5" s="1"/>
  <c r="AW334" i="5" s="1"/>
  <c r="AX334" i="5" s="1"/>
  <c r="AY334" i="5" s="1"/>
  <c r="AZ334" i="5" s="1"/>
  <c r="BA334" i="5" s="1"/>
  <c r="BB334" i="5" s="1"/>
  <c r="BC334" i="5" s="1"/>
  <c r="BD334" i="5" s="1"/>
  <c r="J334" i="5"/>
  <c r="I334" i="5"/>
  <c r="G334" i="5"/>
  <c r="F334" i="5"/>
  <c r="D334" i="5"/>
  <c r="B334" i="5"/>
  <c r="L334" i="5" s="1"/>
  <c r="A334" i="5"/>
  <c r="AR333" i="5"/>
  <c r="AC333" i="5"/>
  <c r="N333" i="5"/>
  <c r="K333" i="5"/>
  <c r="O333" i="5" s="1"/>
  <c r="P333" i="5" s="1"/>
  <c r="Q333" i="5" s="1"/>
  <c r="R333" i="5" s="1"/>
  <c r="S333" i="5" s="1"/>
  <c r="T333" i="5" s="1"/>
  <c r="U333" i="5" s="1"/>
  <c r="V333" i="5" s="1"/>
  <c r="W333" i="5" s="1"/>
  <c r="X333" i="5" s="1"/>
  <c r="Y333" i="5" s="1"/>
  <c r="Z333" i="5" s="1"/>
  <c r="AD333" i="5" s="1"/>
  <c r="AE333" i="5" s="1"/>
  <c r="AF333" i="5" s="1"/>
  <c r="AG333" i="5" s="1"/>
  <c r="AH333" i="5" s="1"/>
  <c r="AI333" i="5" s="1"/>
  <c r="AJ333" i="5" s="1"/>
  <c r="AK333" i="5" s="1"/>
  <c r="AL333" i="5" s="1"/>
  <c r="AM333" i="5" s="1"/>
  <c r="AN333" i="5" s="1"/>
  <c r="AO333" i="5" s="1"/>
  <c r="AS333" i="5" s="1"/>
  <c r="AT333" i="5" s="1"/>
  <c r="AU333" i="5" s="1"/>
  <c r="AV333" i="5" s="1"/>
  <c r="AW333" i="5" s="1"/>
  <c r="AX333" i="5" s="1"/>
  <c r="AY333" i="5" s="1"/>
  <c r="AZ333" i="5" s="1"/>
  <c r="BA333" i="5" s="1"/>
  <c r="BB333" i="5" s="1"/>
  <c r="BC333" i="5" s="1"/>
  <c r="BD333" i="5" s="1"/>
  <c r="J333" i="5"/>
  <c r="I333" i="5"/>
  <c r="G333" i="5"/>
  <c r="F333" i="5"/>
  <c r="D333" i="5"/>
  <c r="B333" i="5"/>
  <c r="L333" i="5" s="1"/>
  <c r="A333" i="5"/>
  <c r="AR332" i="5"/>
  <c r="AC332" i="5"/>
  <c r="N332" i="5"/>
  <c r="K332" i="5"/>
  <c r="O332" i="5" s="1"/>
  <c r="P332" i="5" s="1"/>
  <c r="Q332" i="5" s="1"/>
  <c r="R332" i="5" s="1"/>
  <c r="S332" i="5" s="1"/>
  <c r="T332" i="5" s="1"/>
  <c r="U332" i="5" s="1"/>
  <c r="V332" i="5" s="1"/>
  <c r="W332" i="5" s="1"/>
  <c r="X332" i="5" s="1"/>
  <c r="Y332" i="5" s="1"/>
  <c r="Z332" i="5" s="1"/>
  <c r="AD332" i="5" s="1"/>
  <c r="AE332" i="5" s="1"/>
  <c r="AF332" i="5" s="1"/>
  <c r="AG332" i="5" s="1"/>
  <c r="AH332" i="5" s="1"/>
  <c r="AI332" i="5" s="1"/>
  <c r="AJ332" i="5" s="1"/>
  <c r="AK332" i="5" s="1"/>
  <c r="AL332" i="5" s="1"/>
  <c r="AM332" i="5" s="1"/>
  <c r="AN332" i="5" s="1"/>
  <c r="AO332" i="5" s="1"/>
  <c r="AS332" i="5" s="1"/>
  <c r="AT332" i="5" s="1"/>
  <c r="AU332" i="5" s="1"/>
  <c r="AV332" i="5" s="1"/>
  <c r="AW332" i="5" s="1"/>
  <c r="AX332" i="5" s="1"/>
  <c r="AY332" i="5" s="1"/>
  <c r="AZ332" i="5" s="1"/>
  <c r="BA332" i="5" s="1"/>
  <c r="BB332" i="5" s="1"/>
  <c r="BC332" i="5" s="1"/>
  <c r="BD332" i="5" s="1"/>
  <c r="J332" i="5"/>
  <c r="I332" i="5"/>
  <c r="G332" i="5"/>
  <c r="F332" i="5"/>
  <c r="D332" i="5"/>
  <c r="B332" i="5"/>
  <c r="L332" i="5" s="1"/>
  <c r="A332" i="5"/>
  <c r="AR331" i="5"/>
  <c r="AC331" i="5"/>
  <c r="N331" i="5"/>
  <c r="K331" i="5"/>
  <c r="O331" i="5" s="1"/>
  <c r="P331" i="5" s="1"/>
  <c r="Q331" i="5" s="1"/>
  <c r="R331" i="5" s="1"/>
  <c r="S331" i="5" s="1"/>
  <c r="T331" i="5" s="1"/>
  <c r="U331" i="5" s="1"/>
  <c r="V331" i="5" s="1"/>
  <c r="W331" i="5" s="1"/>
  <c r="X331" i="5" s="1"/>
  <c r="Y331" i="5" s="1"/>
  <c r="Z331" i="5" s="1"/>
  <c r="AD331" i="5" s="1"/>
  <c r="AE331" i="5" s="1"/>
  <c r="AF331" i="5" s="1"/>
  <c r="AG331" i="5" s="1"/>
  <c r="AH331" i="5" s="1"/>
  <c r="AI331" i="5" s="1"/>
  <c r="AJ331" i="5" s="1"/>
  <c r="AK331" i="5" s="1"/>
  <c r="AL331" i="5" s="1"/>
  <c r="AM331" i="5" s="1"/>
  <c r="AN331" i="5" s="1"/>
  <c r="AO331" i="5" s="1"/>
  <c r="AS331" i="5" s="1"/>
  <c r="AT331" i="5" s="1"/>
  <c r="AU331" i="5" s="1"/>
  <c r="AV331" i="5" s="1"/>
  <c r="AW331" i="5" s="1"/>
  <c r="AX331" i="5" s="1"/>
  <c r="AY331" i="5" s="1"/>
  <c r="AZ331" i="5" s="1"/>
  <c r="BA331" i="5" s="1"/>
  <c r="BB331" i="5" s="1"/>
  <c r="BC331" i="5" s="1"/>
  <c r="BD331" i="5" s="1"/>
  <c r="J331" i="5"/>
  <c r="I331" i="5"/>
  <c r="G331" i="5"/>
  <c r="F331" i="5"/>
  <c r="D331" i="5"/>
  <c r="B331" i="5"/>
  <c r="L331" i="5" s="1"/>
  <c r="A331" i="5"/>
  <c r="AR330" i="5"/>
  <c r="AC330" i="5"/>
  <c r="N330" i="5"/>
  <c r="K330" i="5"/>
  <c r="O330" i="5" s="1"/>
  <c r="P330" i="5" s="1"/>
  <c r="Q330" i="5" s="1"/>
  <c r="R330" i="5" s="1"/>
  <c r="S330" i="5" s="1"/>
  <c r="T330" i="5" s="1"/>
  <c r="U330" i="5" s="1"/>
  <c r="V330" i="5" s="1"/>
  <c r="W330" i="5" s="1"/>
  <c r="X330" i="5" s="1"/>
  <c r="Y330" i="5" s="1"/>
  <c r="Z330" i="5" s="1"/>
  <c r="AD330" i="5" s="1"/>
  <c r="AE330" i="5" s="1"/>
  <c r="AF330" i="5" s="1"/>
  <c r="AG330" i="5" s="1"/>
  <c r="AH330" i="5" s="1"/>
  <c r="AI330" i="5" s="1"/>
  <c r="AJ330" i="5" s="1"/>
  <c r="AK330" i="5" s="1"/>
  <c r="AL330" i="5" s="1"/>
  <c r="AM330" i="5" s="1"/>
  <c r="AN330" i="5" s="1"/>
  <c r="AO330" i="5" s="1"/>
  <c r="AS330" i="5" s="1"/>
  <c r="AT330" i="5" s="1"/>
  <c r="AU330" i="5" s="1"/>
  <c r="AV330" i="5" s="1"/>
  <c r="AW330" i="5" s="1"/>
  <c r="AX330" i="5" s="1"/>
  <c r="AY330" i="5" s="1"/>
  <c r="AZ330" i="5" s="1"/>
  <c r="BA330" i="5" s="1"/>
  <c r="BB330" i="5" s="1"/>
  <c r="BC330" i="5" s="1"/>
  <c r="BD330" i="5" s="1"/>
  <c r="J330" i="5"/>
  <c r="I330" i="5"/>
  <c r="G330" i="5"/>
  <c r="F330" i="5"/>
  <c r="D330" i="5"/>
  <c r="B330" i="5"/>
  <c r="L330" i="5" s="1"/>
  <c r="A330" i="5"/>
  <c r="AR329" i="5"/>
  <c r="AC329" i="5"/>
  <c r="N329" i="5"/>
  <c r="K329" i="5"/>
  <c r="O329" i="5" s="1"/>
  <c r="P329" i="5" s="1"/>
  <c r="Q329" i="5" s="1"/>
  <c r="R329" i="5" s="1"/>
  <c r="S329" i="5" s="1"/>
  <c r="T329" i="5" s="1"/>
  <c r="U329" i="5" s="1"/>
  <c r="V329" i="5" s="1"/>
  <c r="W329" i="5" s="1"/>
  <c r="X329" i="5" s="1"/>
  <c r="Y329" i="5" s="1"/>
  <c r="Z329" i="5" s="1"/>
  <c r="AD329" i="5" s="1"/>
  <c r="AE329" i="5" s="1"/>
  <c r="AF329" i="5" s="1"/>
  <c r="AG329" i="5" s="1"/>
  <c r="AH329" i="5" s="1"/>
  <c r="AI329" i="5" s="1"/>
  <c r="AJ329" i="5" s="1"/>
  <c r="AK329" i="5" s="1"/>
  <c r="AL329" i="5" s="1"/>
  <c r="AM329" i="5" s="1"/>
  <c r="AN329" i="5" s="1"/>
  <c r="AO329" i="5" s="1"/>
  <c r="AS329" i="5" s="1"/>
  <c r="AT329" i="5" s="1"/>
  <c r="AU329" i="5" s="1"/>
  <c r="AV329" i="5" s="1"/>
  <c r="AW329" i="5" s="1"/>
  <c r="AX329" i="5" s="1"/>
  <c r="AY329" i="5" s="1"/>
  <c r="AZ329" i="5" s="1"/>
  <c r="BA329" i="5" s="1"/>
  <c r="BB329" i="5" s="1"/>
  <c r="BC329" i="5" s="1"/>
  <c r="BD329" i="5" s="1"/>
  <c r="J329" i="5"/>
  <c r="I329" i="5"/>
  <c r="G329" i="5"/>
  <c r="F329" i="5"/>
  <c r="D329" i="5"/>
  <c r="B329" i="5"/>
  <c r="L329" i="5" s="1"/>
  <c r="A329" i="5"/>
  <c r="AR328" i="5"/>
  <c r="AC328" i="5"/>
  <c r="N328" i="5"/>
  <c r="K328" i="5"/>
  <c r="O328" i="5" s="1"/>
  <c r="P328" i="5" s="1"/>
  <c r="Q328" i="5" s="1"/>
  <c r="R328" i="5" s="1"/>
  <c r="S328" i="5" s="1"/>
  <c r="T328" i="5" s="1"/>
  <c r="U328" i="5" s="1"/>
  <c r="V328" i="5" s="1"/>
  <c r="W328" i="5" s="1"/>
  <c r="X328" i="5" s="1"/>
  <c r="Y328" i="5" s="1"/>
  <c r="Z328" i="5" s="1"/>
  <c r="AD328" i="5" s="1"/>
  <c r="AE328" i="5" s="1"/>
  <c r="AF328" i="5" s="1"/>
  <c r="AG328" i="5" s="1"/>
  <c r="AH328" i="5" s="1"/>
  <c r="AI328" i="5" s="1"/>
  <c r="AJ328" i="5" s="1"/>
  <c r="AK328" i="5" s="1"/>
  <c r="AL328" i="5" s="1"/>
  <c r="AM328" i="5" s="1"/>
  <c r="AN328" i="5" s="1"/>
  <c r="AO328" i="5" s="1"/>
  <c r="AS328" i="5" s="1"/>
  <c r="AT328" i="5" s="1"/>
  <c r="AU328" i="5" s="1"/>
  <c r="AV328" i="5" s="1"/>
  <c r="AW328" i="5" s="1"/>
  <c r="AX328" i="5" s="1"/>
  <c r="AY328" i="5" s="1"/>
  <c r="AZ328" i="5" s="1"/>
  <c r="BA328" i="5" s="1"/>
  <c r="BB328" i="5" s="1"/>
  <c r="BC328" i="5" s="1"/>
  <c r="BD328" i="5" s="1"/>
  <c r="J328" i="5"/>
  <c r="I328" i="5"/>
  <c r="G328" i="5"/>
  <c r="F328" i="5"/>
  <c r="D328" i="5"/>
  <c r="B328" i="5"/>
  <c r="L328" i="5" s="1"/>
  <c r="A328" i="5"/>
  <c r="K327" i="5"/>
  <c r="J327" i="5"/>
  <c r="I327" i="5"/>
  <c r="G327" i="5"/>
  <c r="F327" i="5"/>
  <c r="D327" i="5"/>
  <c r="B327" i="5"/>
  <c r="L327" i="5" s="1"/>
  <c r="A327" i="5"/>
  <c r="K326" i="5"/>
  <c r="J326" i="5"/>
  <c r="I326" i="5"/>
  <c r="G326" i="5"/>
  <c r="F326" i="5"/>
  <c r="D326" i="5"/>
  <c r="B326" i="5"/>
  <c r="L326" i="5" s="1"/>
  <c r="A326" i="5"/>
  <c r="K325" i="5"/>
  <c r="J325" i="5"/>
  <c r="I325" i="5"/>
  <c r="H325" i="5"/>
  <c r="G325" i="5"/>
  <c r="F325" i="5"/>
  <c r="D325" i="5"/>
  <c r="B325" i="5"/>
  <c r="L325" i="5" s="1"/>
  <c r="A325" i="5"/>
  <c r="K324" i="5"/>
  <c r="J324" i="5"/>
  <c r="I324" i="5"/>
  <c r="H324" i="5"/>
  <c r="G324" i="5"/>
  <c r="F324" i="5"/>
  <c r="D324" i="5"/>
  <c r="B324" i="5"/>
  <c r="L324" i="5" s="1"/>
  <c r="A324" i="5"/>
  <c r="K323" i="5"/>
  <c r="J323" i="5"/>
  <c r="I323" i="5"/>
  <c r="G323" i="5"/>
  <c r="F323" i="5"/>
  <c r="D323" i="5"/>
  <c r="B323" i="5"/>
  <c r="L323" i="5" s="1"/>
  <c r="A323" i="5"/>
  <c r="K322" i="5"/>
  <c r="J322" i="5"/>
  <c r="I322" i="5"/>
  <c r="H322" i="5"/>
  <c r="G322" i="5"/>
  <c r="F322" i="5"/>
  <c r="D322" i="5"/>
  <c r="B322" i="5"/>
  <c r="L322" i="5" s="1"/>
  <c r="A322" i="5"/>
  <c r="K321" i="5"/>
  <c r="J321" i="5"/>
  <c r="I321" i="5"/>
  <c r="H321" i="5"/>
  <c r="G321" i="5"/>
  <c r="F321" i="5"/>
  <c r="D321" i="5"/>
  <c r="B321" i="5"/>
  <c r="L321" i="5" s="1"/>
  <c r="A321" i="5"/>
  <c r="K320" i="5"/>
  <c r="J320" i="5"/>
  <c r="I320" i="5"/>
  <c r="H320" i="5"/>
  <c r="G320" i="5"/>
  <c r="F320" i="5"/>
  <c r="D320" i="5"/>
  <c r="B320" i="5"/>
  <c r="L320" i="5" s="1"/>
  <c r="A320" i="5"/>
  <c r="K319" i="5"/>
  <c r="J319" i="5"/>
  <c r="I319" i="5"/>
  <c r="G319" i="5"/>
  <c r="F319" i="5"/>
  <c r="D319" i="5"/>
  <c r="B319" i="5"/>
  <c r="L319" i="5" s="1"/>
  <c r="A319" i="5"/>
  <c r="K318" i="5"/>
  <c r="J318" i="5"/>
  <c r="I318" i="5"/>
  <c r="G318" i="5"/>
  <c r="F318" i="5"/>
  <c r="D318" i="5"/>
  <c r="B318" i="5"/>
  <c r="L318" i="5" s="1"/>
  <c r="A318" i="5"/>
  <c r="K317" i="5"/>
  <c r="J317" i="5"/>
  <c r="I317" i="5"/>
  <c r="G317" i="5"/>
  <c r="F317" i="5"/>
  <c r="D317" i="5"/>
  <c r="B317" i="5"/>
  <c r="L317" i="5" s="1"/>
  <c r="A317" i="5"/>
  <c r="K316" i="5"/>
  <c r="J316" i="5"/>
  <c r="I316" i="5"/>
  <c r="G316" i="5"/>
  <c r="F316" i="5"/>
  <c r="D316" i="5"/>
  <c r="B316" i="5"/>
  <c r="L316" i="5" s="1"/>
  <c r="A316" i="5"/>
  <c r="K315" i="5"/>
  <c r="J315" i="5"/>
  <c r="I315" i="5"/>
  <c r="H315" i="5"/>
  <c r="G315" i="5"/>
  <c r="F315" i="5"/>
  <c r="D315" i="5"/>
  <c r="B315" i="5"/>
  <c r="L315" i="5" s="1"/>
  <c r="A315" i="5"/>
  <c r="K314" i="5"/>
  <c r="J314" i="5"/>
  <c r="I314" i="5"/>
  <c r="H314" i="5"/>
  <c r="G314" i="5"/>
  <c r="F314" i="5"/>
  <c r="D314" i="5"/>
  <c r="B314" i="5"/>
  <c r="L314" i="5" s="1"/>
  <c r="A314" i="5"/>
  <c r="K313" i="5"/>
  <c r="J313" i="5"/>
  <c r="I313" i="5"/>
  <c r="H313" i="5"/>
  <c r="G313" i="5"/>
  <c r="F313" i="5"/>
  <c r="D313" i="5"/>
  <c r="B313" i="5"/>
  <c r="L313" i="5" s="1"/>
  <c r="A313" i="5"/>
  <c r="K312" i="5"/>
  <c r="J312" i="5"/>
  <c r="I312" i="5"/>
  <c r="H312" i="5"/>
  <c r="G312" i="5"/>
  <c r="F312" i="5"/>
  <c r="D312" i="5"/>
  <c r="B312" i="5"/>
  <c r="L312" i="5" s="1"/>
  <c r="A312" i="5"/>
  <c r="K311" i="5"/>
  <c r="J311" i="5"/>
  <c r="I311" i="5"/>
  <c r="H311" i="5"/>
  <c r="G311" i="5"/>
  <c r="F311" i="5"/>
  <c r="D311" i="5"/>
  <c r="B311" i="5"/>
  <c r="L311" i="5" s="1"/>
  <c r="A311" i="5"/>
  <c r="K310" i="5"/>
  <c r="J310" i="5"/>
  <c r="I310" i="5"/>
  <c r="G310" i="5"/>
  <c r="F310" i="5"/>
  <c r="D310" i="5"/>
  <c r="B310" i="5"/>
  <c r="L310" i="5" s="1"/>
  <c r="A310" i="5"/>
  <c r="K309" i="5"/>
  <c r="J309" i="5"/>
  <c r="I309" i="5"/>
  <c r="H309" i="5"/>
  <c r="G309" i="5"/>
  <c r="F309" i="5"/>
  <c r="D309" i="5"/>
  <c r="B309" i="5"/>
  <c r="L309" i="5" s="1"/>
  <c r="A309" i="5"/>
  <c r="G308" i="5"/>
  <c r="F308" i="5"/>
  <c r="D308" i="5"/>
  <c r="B308" i="5"/>
  <c r="L308" i="5" s="1"/>
  <c r="A308" i="5"/>
  <c r="K307" i="5"/>
  <c r="J307" i="5"/>
  <c r="I307" i="5"/>
  <c r="G307" i="5"/>
  <c r="F307" i="5"/>
  <c r="D307" i="5"/>
  <c r="B307" i="5"/>
  <c r="L307" i="5" s="1"/>
  <c r="A307" i="5"/>
  <c r="K306" i="5"/>
  <c r="J306" i="5"/>
  <c r="I306" i="5"/>
  <c r="H306" i="5"/>
  <c r="G306" i="5"/>
  <c r="F306" i="5"/>
  <c r="D306" i="5"/>
  <c r="B306" i="5"/>
  <c r="L306" i="5" s="1"/>
  <c r="A306" i="5"/>
  <c r="G305" i="5"/>
  <c r="F305" i="5"/>
  <c r="D305" i="5"/>
  <c r="B305" i="5"/>
  <c r="L305" i="5" s="1"/>
  <c r="A305" i="5"/>
  <c r="K304" i="5"/>
  <c r="J304" i="5"/>
  <c r="I304" i="5"/>
  <c r="H304" i="5"/>
  <c r="G304" i="5"/>
  <c r="F304" i="5"/>
  <c r="D304" i="5"/>
  <c r="B304" i="5"/>
  <c r="L304" i="5" s="1"/>
  <c r="A304" i="5"/>
  <c r="BE303" i="5"/>
  <c r="K303" i="5"/>
  <c r="J303" i="5"/>
  <c r="I303" i="5"/>
  <c r="G303" i="5"/>
  <c r="F303" i="5"/>
  <c r="D303" i="5"/>
  <c r="B303" i="5"/>
  <c r="L303" i="5" s="1"/>
  <c r="A303" i="5"/>
  <c r="BE302" i="5"/>
  <c r="K302" i="5"/>
  <c r="J302" i="5"/>
  <c r="I302" i="5"/>
  <c r="G302" i="5"/>
  <c r="F302" i="5"/>
  <c r="D302" i="5"/>
  <c r="B302" i="5"/>
  <c r="L302" i="5" s="1"/>
  <c r="A302" i="5"/>
  <c r="K301" i="5"/>
  <c r="J301" i="5"/>
  <c r="I301" i="5"/>
  <c r="G301" i="5"/>
  <c r="F301" i="5"/>
  <c r="D301" i="5"/>
  <c r="B301" i="5"/>
  <c r="L301" i="5" s="1"/>
  <c r="A301" i="5"/>
  <c r="K300" i="5"/>
  <c r="J300" i="5"/>
  <c r="I300" i="5"/>
  <c r="G300" i="5"/>
  <c r="F300" i="5"/>
  <c r="D300" i="5"/>
  <c r="B300" i="5"/>
  <c r="L300" i="5" s="1"/>
  <c r="A300" i="5"/>
  <c r="K299" i="5"/>
  <c r="J299" i="5"/>
  <c r="I299" i="5"/>
  <c r="G299" i="5"/>
  <c r="F299" i="5"/>
  <c r="D299" i="5"/>
  <c r="B299" i="5"/>
  <c r="L299" i="5" s="1"/>
  <c r="A299" i="5"/>
  <c r="K298" i="5"/>
  <c r="G298" i="5"/>
  <c r="F298" i="5"/>
  <c r="D298" i="5"/>
  <c r="B298" i="5"/>
  <c r="L298" i="5" s="1"/>
  <c r="A298" i="5"/>
  <c r="K297" i="5"/>
  <c r="J297" i="5"/>
  <c r="I297" i="5"/>
  <c r="H297" i="5"/>
  <c r="G297" i="5"/>
  <c r="F297" i="5"/>
  <c r="D297" i="5"/>
  <c r="B297" i="5"/>
  <c r="L297" i="5" s="1"/>
  <c r="A297" i="5"/>
  <c r="G296" i="5"/>
  <c r="F296" i="5"/>
  <c r="D296" i="5"/>
  <c r="B296" i="5"/>
  <c r="L296" i="5" s="1"/>
  <c r="A296" i="5"/>
  <c r="G295" i="5"/>
  <c r="F295" i="5"/>
  <c r="D295" i="5"/>
  <c r="B295" i="5"/>
  <c r="L295" i="5" s="1"/>
  <c r="A295" i="5"/>
  <c r="G294" i="5"/>
  <c r="F294" i="5"/>
  <c r="D294" i="5"/>
  <c r="B294" i="5"/>
  <c r="L294" i="5" s="1"/>
  <c r="A294" i="5"/>
  <c r="K293" i="5"/>
  <c r="J293" i="5"/>
  <c r="I293" i="5"/>
  <c r="H293" i="5"/>
  <c r="G293" i="5"/>
  <c r="F293" i="5"/>
  <c r="D293" i="5"/>
  <c r="B293" i="5"/>
  <c r="L293" i="5" s="1"/>
  <c r="A293" i="5"/>
  <c r="AR292" i="5"/>
  <c r="AC292" i="5"/>
  <c r="N292" i="5"/>
  <c r="K292" i="5"/>
  <c r="O292" i="5" s="1"/>
  <c r="P292" i="5" s="1"/>
  <c r="Q292" i="5" s="1"/>
  <c r="R292" i="5" s="1"/>
  <c r="S292" i="5" s="1"/>
  <c r="T292" i="5" s="1"/>
  <c r="U292" i="5" s="1"/>
  <c r="V292" i="5" s="1"/>
  <c r="W292" i="5" s="1"/>
  <c r="X292" i="5" s="1"/>
  <c r="Y292" i="5" s="1"/>
  <c r="Z292" i="5" s="1"/>
  <c r="AD292" i="5" s="1"/>
  <c r="AE292" i="5" s="1"/>
  <c r="AF292" i="5" s="1"/>
  <c r="AG292" i="5" s="1"/>
  <c r="AH292" i="5" s="1"/>
  <c r="AI292" i="5" s="1"/>
  <c r="AJ292" i="5" s="1"/>
  <c r="AK292" i="5" s="1"/>
  <c r="AL292" i="5" s="1"/>
  <c r="AM292" i="5" s="1"/>
  <c r="AN292" i="5" s="1"/>
  <c r="AO292" i="5" s="1"/>
  <c r="AS292" i="5" s="1"/>
  <c r="AT292" i="5" s="1"/>
  <c r="AU292" i="5" s="1"/>
  <c r="AV292" i="5" s="1"/>
  <c r="AW292" i="5" s="1"/>
  <c r="AX292" i="5" s="1"/>
  <c r="AY292" i="5" s="1"/>
  <c r="AZ292" i="5" s="1"/>
  <c r="BA292" i="5" s="1"/>
  <c r="BB292" i="5" s="1"/>
  <c r="BC292" i="5" s="1"/>
  <c r="BD292" i="5" s="1"/>
  <c r="J292" i="5"/>
  <c r="I292" i="5"/>
  <c r="G292" i="5"/>
  <c r="F292" i="5"/>
  <c r="D292" i="5"/>
  <c r="B292" i="5"/>
  <c r="L292" i="5" s="1"/>
  <c r="A292" i="5"/>
  <c r="AR291" i="5"/>
  <c r="AC291" i="5"/>
  <c r="N291" i="5"/>
  <c r="K291" i="5"/>
  <c r="O291" i="5" s="1"/>
  <c r="P291" i="5" s="1"/>
  <c r="Q291" i="5" s="1"/>
  <c r="R291" i="5" s="1"/>
  <c r="S291" i="5" s="1"/>
  <c r="T291" i="5" s="1"/>
  <c r="U291" i="5" s="1"/>
  <c r="V291" i="5" s="1"/>
  <c r="W291" i="5" s="1"/>
  <c r="X291" i="5" s="1"/>
  <c r="Y291" i="5" s="1"/>
  <c r="Z291" i="5" s="1"/>
  <c r="AD291" i="5" s="1"/>
  <c r="AE291" i="5" s="1"/>
  <c r="AF291" i="5" s="1"/>
  <c r="AG291" i="5" s="1"/>
  <c r="AH291" i="5" s="1"/>
  <c r="AI291" i="5" s="1"/>
  <c r="AJ291" i="5" s="1"/>
  <c r="AK291" i="5" s="1"/>
  <c r="AL291" i="5" s="1"/>
  <c r="AM291" i="5" s="1"/>
  <c r="AN291" i="5" s="1"/>
  <c r="AO291" i="5" s="1"/>
  <c r="AS291" i="5" s="1"/>
  <c r="AT291" i="5" s="1"/>
  <c r="AU291" i="5" s="1"/>
  <c r="AV291" i="5" s="1"/>
  <c r="AW291" i="5" s="1"/>
  <c r="AX291" i="5" s="1"/>
  <c r="AY291" i="5" s="1"/>
  <c r="AZ291" i="5" s="1"/>
  <c r="BA291" i="5" s="1"/>
  <c r="BB291" i="5" s="1"/>
  <c r="BC291" i="5" s="1"/>
  <c r="BD291" i="5" s="1"/>
  <c r="J291" i="5"/>
  <c r="I291" i="5"/>
  <c r="G291" i="5"/>
  <c r="F291" i="5"/>
  <c r="D291" i="5"/>
  <c r="B291" i="5"/>
  <c r="L291" i="5" s="1"/>
  <c r="A291" i="5"/>
  <c r="AR290" i="5"/>
  <c r="AC290" i="5"/>
  <c r="N290" i="5"/>
  <c r="K290" i="5"/>
  <c r="O290" i="5" s="1"/>
  <c r="P290" i="5" s="1"/>
  <c r="Q290" i="5" s="1"/>
  <c r="R290" i="5" s="1"/>
  <c r="S290" i="5" s="1"/>
  <c r="T290" i="5" s="1"/>
  <c r="U290" i="5" s="1"/>
  <c r="V290" i="5" s="1"/>
  <c r="W290" i="5" s="1"/>
  <c r="X290" i="5" s="1"/>
  <c r="Y290" i="5" s="1"/>
  <c r="Z290" i="5" s="1"/>
  <c r="AD290" i="5" s="1"/>
  <c r="AE290" i="5" s="1"/>
  <c r="AF290" i="5" s="1"/>
  <c r="AG290" i="5" s="1"/>
  <c r="AH290" i="5" s="1"/>
  <c r="AI290" i="5" s="1"/>
  <c r="AJ290" i="5" s="1"/>
  <c r="AK290" i="5" s="1"/>
  <c r="AL290" i="5" s="1"/>
  <c r="AM290" i="5" s="1"/>
  <c r="AN290" i="5" s="1"/>
  <c r="AO290" i="5" s="1"/>
  <c r="AS290" i="5" s="1"/>
  <c r="AT290" i="5" s="1"/>
  <c r="AU290" i="5" s="1"/>
  <c r="AV290" i="5" s="1"/>
  <c r="AW290" i="5" s="1"/>
  <c r="AX290" i="5" s="1"/>
  <c r="AY290" i="5" s="1"/>
  <c r="AZ290" i="5" s="1"/>
  <c r="BA290" i="5" s="1"/>
  <c r="BB290" i="5" s="1"/>
  <c r="BC290" i="5" s="1"/>
  <c r="BD290" i="5" s="1"/>
  <c r="J290" i="5"/>
  <c r="I290" i="5"/>
  <c r="G290" i="5"/>
  <c r="F290" i="5"/>
  <c r="D290" i="5"/>
  <c r="B290" i="5"/>
  <c r="L290" i="5" s="1"/>
  <c r="A290" i="5"/>
  <c r="AR289" i="5"/>
  <c r="AC289" i="5"/>
  <c r="N289" i="5"/>
  <c r="K289" i="5"/>
  <c r="O289" i="5" s="1"/>
  <c r="P289" i="5" s="1"/>
  <c r="Q289" i="5" s="1"/>
  <c r="R289" i="5" s="1"/>
  <c r="S289" i="5" s="1"/>
  <c r="T289" i="5" s="1"/>
  <c r="U289" i="5" s="1"/>
  <c r="V289" i="5" s="1"/>
  <c r="W289" i="5" s="1"/>
  <c r="X289" i="5" s="1"/>
  <c r="Y289" i="5" s="1"/>
  <c r="Z289" i="5" s="1"/>
  <c r="AD289" i="5" s="1"/>
  <c r="AE289" i="5" s="1"/>
  <c r="AF289" i="5" s="1"/>
  <c r="AG289" i="5" s="1"/>
  <c r="AH289" i="5" s="1"/>
  <c r="AI289" i="5" s="1"/>
  <c r="AJ289" i="5" s="1"/>
  <c r="AK289" i="5" s="1"/>
  <c r="AL289" i="5" s="1"/>
  <c r="AM289" i="5" s="1"/>
  <c r="AN289" i="5" s="1"/>
  <c r="AO289" i="5" s="1"/>
  <c r="AS289" i="5" s="1"/>
  <c r="AT289" i="5" s="1"/>
  <c r="AU289" i="5" s="1"/>
  <c r="AV289" i="5" s="1"/>
  <c r="AW289" i="5" s="1"/>
  <c r="AX289" i="5" s="1"/>
  <c r="AY289" i="5" s="1"/>
  <c r="AZ289" i="5" s="1"/>
  <c r="BA289" i="5" s="1"/>
  <c r="BB289" i="5" s="1"/>
  <c r="BC289" i="5" s="1"/>
  <c r="BD289" i="5" s="1"/>
  <c r="J289" i="5"/>
  <c r="I289" i="5"/>
  <c r="G289" i="5"/>
  <c r="F289" i="5"/>
  <c r="D289" i="5"/>
  <c r="B289" i="5"/>
  <c r="L289" i="5" s="1"/>
  <c r="A289" i="5"/>
  <c r="K288" i="5"/>
  <c r="J288" i="5"/>
  <c r="I288" i="5"/>
  <c r="G288" i="5"/>
  <c r="F288" i="5"/>
  <c r="D288" i="5"/>
  <c r="B288" i="5"/>
  <c r="L288" i="5" s="1"/>
  <c r="A288" i="5"/>
  <c r="K287" i="5"/>
  <c r="J287" i="5"/>
  <c r="I287" i="5"/>
  <c r="G287" i="5"/>
  <c r="F287" i="5"/>
  <c r="D287" i="5"/>
  <c r="B287" i="5"/>
  <c r="L287" i="5" s="1"/>
  <c r="A287" i="5"/>
  <c r="K286" i="5"/>
  <c r="J286" i="5"/>
  <c r="I286" i="5"/>
  <c r="G286" i="5"/>
  <c r="F286" i="5"/>
  <c r="D286" i="5"/>
  <c r="B286" i="5"/>
  <c r="L286" i="5" s="1"/>
  <c r="A286" i="5"/>
  <c r="K285" i="5"/>
  <c r="J285" i="5"/>
  <c r="I285" i="5"/>
  <c r="H285" i="5"/>
  <c r="G285" i="5"/>
  <c r="F285" i="5"/>
  <c r="D285" i="5"/>
  <c r="B285" i="5"/>
  <c r="L285" i="5" s="1"/>
  <c r="A285" i="5"/>
  <c r="K284" i="5"/>
  <c r="J284" i="5"/>
  <c r="I284" i="5"/>
  <c r="H284" i="5"/>
  <c r="G284" i="5"/>
  <c r="F284" i="5"/>
  <c r="D284" i="5"/>
  <c r="B284" i="5"/>
  <c r="L284" i="5" s="1"/>
  <c r="A284" i="5"/>
  <c r="K283" i="5"/>
  <c r="J283" i="5"/>
  <c r="I283" i="5"/>
  <c r="H283" i="5"/>
  <c r="G283" i="5"/>
  <c r="F283" i="5"/>
  <c r="D283" i="5"/>
  <c r="B283" i="5"/>
  <c r="L283" i="5" s="1"/>
  <c r="A283" i="5"/>
  <c r="K282" i="5"/>
  <c r="J282" i="5"/>
  <c r="I282" i="5"/>
  <c r="G282" i="5"/>
  <c r="F282" i="5"/>
  <c r="D282" i="5"/>
  <c r="B282" i="5"/>
  <c r="L282" i="5" s="1"/>
  <c r="A282" i="5"/>
  <c r="G281" i="5"/>
  <c r="F281" i="5"/>
  <c r="D281" i="5"/>
  <c r="B281" i="5"/>
  <c r="L281" i="5" s="1"/>
  <c r="A281" i="5"/>
  <c r="G280" i="5"/>
  <c r="F280" i="5"/>
  <c r="D280" i="5"/>
  <c r="B280" i="5"/>
  <c r="L280" i="5" s="1"/>
  <c r="A280" i="5"/>
  <c r="K279" i="5"/>
  <c r="J279" i="5"/>
  <c r="I279" i="5"/>
  <c r="G279" i="5"/>
  <c r="F279" i="5"/>
  <c r="D279" i="5"/>
  <c r="B279" i="5"/>
  <c r="L279" i="5" s="1"/>
  <c r="A279" i="5"/>
  <c r="K278" i="5"/>
  <c r="J278" i="5"/>
  <c r="I278" i="5"/>
  <c r="G278" i="5"/>
  <c r="F278" i="5"/>
  <c r="D278" i="5"/>
  <c r="B278" i="5"/>
  <c r="L278" i="5" s="1"/>
  <c r="A278" i="5"/>
  <c r="K277" i="5"/>
  <c r="J277" i="5"/>
  <c r="I277" i="5"/>
  <c r="G277" i="5"/>
  <c r="F277" i="5"/>
  <c r="D277" i="5"/>
  <c r="B277" i="5"/>
  <c r="L277" i="5" s="1"/>
  <c r="A277" i="5"/>
  <c r="K276" i="5"/>
  <c r="J276" i="5"/>
  <c r="I276" i="5"/>
  <c r="G276" i="5"/>
  <c r="F276" i="5"/>
  <c r="D276" i="5"/>
  <c r="B276" i="5"/>
  <c r="L276" i="5" s="1"/>
  <c r="A276" i="5"/>
  <c r="K275" i="5"/>
  <c r="J275" i="5"/>
  <c r="I275" i="5"/>
  <c r="G275" i="5"/>
  <c r="F275" i="5"/>
  <c r="D275" i="5"/>
  <c r="B275" i="5"/>
  <c r="L275" i="5" s="1"/>
  <c r="A275" i="5"/>
  <c r="K274" i="5"/>
  <c r="J274" i="5"/>
  <c r="I274" i="5"/>
  <c r="G274" i="5"/>
  <c r="F274" i="5"/>
  <c r="D274" i="5"/>
  <c r="B274" i="5"/>
  <c r="L274" i="5" s="1"/>
  <c r="A274" i="5"/>
  <c r="K273" i="5"/>
  <c r="J273" i="5"/>
  <c r="I273" i="5"/>
  <c r="G273" i="5"/>
  <c r="F273" i="5"/>
  <c r="D273" i="5"/>
  <c r="B273" i="5"/>
  <c r="L273" i="5" s="1"/>
  <c r="A273" i="5"/>
  <c r="K272" i="5"/>
  <c r="J272" i="5"/>
  <c r="I272" i="5"/>
  <c r="G272" i="5"/>
  <c r="F272" i="5"/>
  <c r="D272" i="5"/>
  <c r="B272" i="5"/>
  <c r="L272" i="5" s="1"/>
  <c r="A272" i="5"/>
  <c r="K271" i="5"/>
  <c r="J271" i="5"/>
  <c r="I271" i="5"/>
  <c r="G271" i="5"/>
  <c r="F271" i="5"/>
  <c r="D271" i="5"/>
  <c r="B271" i="5"/>
  <c r="L271" i="5" s="1"/>
  <c r="A271" i="5"/>
  <c r="G270" i="5"/>
  <c r="F270" i="5"/>
  <c r="D270" i="5"/>
  <c r="B270" i="5"/>
  <c r="L270" i="5" s="1"/>
  <c r="A270" i="5"/>
  <c r="K269" i="5"/>
  <c r="J269" i="5"/>
  <c r="I269" i="5"/>
  <c r="G269" i="5"/>
  <c r="F269" i="5"/>
  <c r="D269" i="5"/>
  <c r="B269" i="5"/>
  <c r="L269" i="5" s="1"/>
  <c r="A269" i="5"/>
  <c r="K268" i="5"/>
  <c r="J268" i="5"/>
  <c r="I268" i="5"/>
  <c r="G268" i="5"/>
  <c r="F268" i="5"/>
  <c r="D268" i="5"/>
  <c r="B268" i="5"/>
  <c r="L268" i="5" s="1"/>
  <c r="A268" i="5"/>
  <c r="K267" i="5"/>
  <c r="J267" i="5"/>
  <c r="I267" i="5"/>
  <c r="G267" i="5"/>
  <c r="F267" i="5"/>
  <c r="D267" i="5"/>
  <c r="B267" i="5"/>
  <c r="L267" i="5" s="1"/>
  <c r="A267" i="5"/>
  <c r="K266" i="5"/>
  <c r="J266" i="5"/>
  <c r="I266" i="5"/>
  <c r="G266" i="5"/>
  <c r="F266" i="5"/>
  <c r="D266" i="5"/>
  <c r="B266" i="5"/>
  <c r="L266" i="5" s="1"/>
  <c r="A266" i="5"/>
  <c r="K265" i="5"/>
  <c r="J265" i="5"/>
  <c r="I265" i="5"/>
  <c r="G265" i="5"/>
  <c r="F265" i="5"/>
  <c r="D265" i="5"/>
  <c r="B265" i="5"/>
  <c r="L265" i="5" s="1"/>
  <c r="A265" i="5"/>
  <c r="K264" i="5"/>
  <c r="J264" i="5"/>
  <c r="I264" i="5"/>
  <c r="G264" i="5"/>
  <c r="F264" i="5"/>
  <c r="D264" i="5"/>
  <c r="B264" i="5"/>
  <c r="L264" i="5" s="1"/>
  <c r="A264" i="5"/>
  <c r="G263" i="5"/>
  <c r="F263" i="5"/>
  <c r="D263" i="5"/>
  <c r="B263" i="5"/>
  <c r="L263" i="5" s="1"/>
  <c r="A263" i="5"/>
  <c r="K262" i="5"/>
  <c r="J262" i="5"/>
  <c r="I262" i="5"/>
  <c r="G262" i="5"/>
  <c r="F262" i="5"/>
  <c r="D262" i="5"/>
  <c r="B262" i="5"/>
  <c r="L262" i="5" s="1"/>
  <c r="A262" i="5"/>
  <c r="K261" i="5"/>
  <c r="J261" i="5"/>
  <c r="I261" i="5"/>
  <c r="G261" i="5"/>
  <c r="F261" i="5"/>
  <c r="D261" i="5"/>
  <c r="B261" i="5"/>
  <c r="L261" i="5" s="1"/>
  <c r="A261" i="5"/>
  <c r="K260" i="5"/>
  <c r="J260" i="5"/>
  <c r="I260" i="5"/>
  <c r="G260" i="5"/>
  <c r="F260" i="5"/>
  <c r="D260" i="5"/>
  <c r="B260" i="5"/>
  <c r="L260" i="5" s="1"/>
  <c r="A260" i="5"/>
  <c r="K259" i="5"/>
  <c r="J259" i="5"/>
  <c r="I259" i="5"/>
  <c r="G259" i="5"/>
  <c r="F259" i="5"/>
  <c r="D259" i="5"/>
  <c r="B259" i="5"/>
  <c r="L259" i="5" s="1"/>
  <c r="A259" i="5"/>
  <c r="K258" i="5"/>
  <c r="J258" i="5"/>
  <c r="I258" i="5"/>
  <c r="G258" i="5"/>
  <c r="F258" i="5"/>
  <c r="D258" i="5"/>
  <c r="B258" i="5"/>
  <c r="L258" i="5" s="1"/>
  <c r="A258" i="5"/>
  <c r="K257" i="5"/>
  <c r="J257" i="5"/>
  <c r="I257" i="5"/>
  <c r="G257" i="5"/>
  <c r="F257" i="5"/>
  <c r="D257" i="5"/>
  <c r="B257" i="5"/>
  <c r="L257" i="5" s="1"/>
  <c r="A257" i="5"/>
  <c r="K256" i="5"/>
  <c r="J256" i="5"/>
  <c r="I256" i="5"/>
  <c r="G256" i="5"/>
  <c r="F256" i="5"/>
  <c r="D256" i="5"/>
  <c r="B256" i="5"/>
  <c r="L256" i="5" s="1"/>
  <c r="A256" i="5"/>
  <c r="K255" i="5"/>
  <c r="J255" i="5"/>
  <c r="I255" i="5"/>
  <c r="G255" i="5"/>
  <c r="F255" i="5"/>
  <c r="D255" i="5"/>
  <c r="B255" i="5"/>
  <c r="L255" i="5" s="1"/>
  <c r="A255" i="5"/>
  <c r="K254" i="5"/>
  <c r="J254" i="5"/>
  <c r="I254" i="5"/>
  <c r="G254" i="5"/>
  <c r="F254" i="5"/>
  <c r="D254" i="5"/>
  <c r="B254" i="5"/>
  <c r="L254" i="5" s="1"/>
  <c r="A254" i="5"/>
  <c r="K253" i="5"/>
  <c r="J253" i="5"/>
  <c r="I253" i="5"/>
  <c r="G253" i="5"/>
  <c r="F253" i="5"/>
  <c r="D253" i="5"/>
  <c r="B253" i="5"/>
  <c r="L253" i="5" s="1"/>
  <c r="A253" i="5"/>
  <c r="K252" i="5"/>
  <c r="J252" i="5"/>
  <c r="I252" i="5"/>
  <c r="G252" i="5"/>
  <c r="F252" i="5"/>
  <c r="D252" i="5"/>
  <c r="B252" i="5"/>
  <c r="L252" i="5" s="1"/>
  <c r="A252" i="5"/>
  <c r="K251" i="5"/>
  <c r="J251" i="5"/>
  <c r="I251" i="5"/>
  <c r="G251" i="5"/>
  <c r="F251" i="5"/>
  <c r="D251" i="5"/>
  <c r="B251" i="5"/>
  <c r="L251" i="5" s="1"/>
  <c r="A251" i="5"/>
  <c r="K250" i="5"/>
  <c r="J250" i="5"/>
  <c r="I250" i="5"/>
  <c r="G250" i="5"/>
  <c r="F250" i="5"/>
  <c r="D250" i="5"/>
  <c r="B250" i="5"/>
  <c r="L250" i="5" s="1"/>
  <c r="A250" i="5"/>
  <c r="K249" i="5"/>
  <c r="J249" i="5"/>
  <c r="I249" i="5"/>
  <c r="G249" i="5"/>
  <c r="F249" i="5"/>
  <c r="D249" i="5"/>
  <c r="B249" i="5"/>
  <c r="L249" i="5" s="1"/>
  <c r="A249" i="5"/>
  <c r="K248" i="5"/>
  <c r="J248" i="5"/>
  <c r="I248" i="5"/>
  <c r="G248" i="5"/>
  <c r="F248" i="5"/>
  <c r="D248" i="5"/>
  <c r="B248" i="5"/>
  <c r="L248" i="5" s="1"/>
  <c r="A248" i="5"/>
  <c r="K247" i="5"/>
  <c r="J247" i="5"/>
  <c r="I247" i="5"/>
  <c r="G247" i="5"/>
  <c r="F247" i="5"/>
  <c r="D247" i="5"/>
  <c r="B247" i="5"/>
  <c r="L247" i="5" s="1"/>
  <c r="A247" i="5"/>
  <c r="K246" i="5"/>
  <c r="J246" i="5"/>
  <c r="I246" i="5"/>
  <c r="G246" i="5"/>
  <c r="F246" i="5"/>
  <c r="D246" i="5"/>
  <c r="B246" i="5"/>
  <c r="L246" i="5" s="1"/>
  <c r="A246" i="5"/>
  <c r="K245" i="5"/>
  <c r="J245" i="5"/>
  <c r="I245" i="5"/>
  <c r="G245" i="5"/>
  <c r="F245" i="5"/>
  <c r="D245" i="5"/>
  <c r="B245" i="5"/>
  <c r="L245" i="5" s="1"/>
  <c r="A245" i="5"/>
  <c r="K244" i="5"/>
  <c r="J244" i="5"/>
  <c r="I244" i="5"/>
  <c r="G244" i="5"/>
  <c r="F244" i="5"/>
  <c r="D244" i="5"/>
  <c r="B244" i="5"/>
  <c r="L244" i="5" s="1"/>
  <c r="A244" i="5"/>
  <c r="K243" i="5"/>
  <c r="J243" i="5"/>
  <c r="I243" i="5"/>
  <c r="G243" i="5"/>
  <c r="F243" i="5"/>
  <c r="D243" i="5"/>
  <c r="B243" i="5"/>
  <c r="L243" i="5" s="1"/>
  <c r="A243" i="5"/>
  <c r="K242" i="5"/>
  <c r="J242" i="5"/>
  <c r="I242" i="5"/>
  <c r="G242" i="5"/>
  <c r="F242" i="5"/>
  <c r="D242" i="5"/>
  <c r="B242" i="5"/>
  <c r="L242" i="5" s="1"/>
  <c r="A242" i="5"/>
  <c r="K241" i="5"/>
  <c r="J241" i="5"/>
  <c r="I241" i="5"/>
  <c r="G241" i="5"/>
  <c r="F241" i="5"/>
  <c r="D241" i="5"/>
  <c r="B241" i="5"/>
  <c r="L241" i="5" s="1"/>
  <c r="A241" i="5"/>
  <c r="K240" i="5"/>
  <c r="J240" i="5"/>
  <c r="I240" i="5"/>
  <c r="G240" i="5"/>
  <c r="F240" i="5"/>
  <c r="D240" i="5"/>
  <c r="B240" i="5"/>
  <c r="L240" i="5" s="1"/>
  <c r="A240" i="5"/>
  <c r="K239" i="5"/>
  <c r="J239" i="5"/>
  <c r="I239" i="5"/>
  <c r="G239" i="5"/>
  <c r="F239" i="5"/>
  <c r="D239" i="5"/>
  <c r="B239" i="5"/>
  <c r="L239" i="5" s="1"/>
  <c r="A239" i="5"/>
  <c r="K238" i="5"/>
  <c r="J238" i="5"/>
  <c r="I238" i="5"/>
  <c r="G238" i="5"/>
  <c r="F238" i="5"/>
  <c r="D238" i="5"/>
  <c r="B238" i="5"/>
  <c r="L238" i="5" s="1"/>
  <c r="A238" i="5"/>
  <c r="K237" i="5"/>
  <c r="J237" i="5"/>
  <c r="I237" i="5"/>
  <c r="G237" i="5"/>
  <c r="F237" i="5"/>
  <c r="D237" i="5"/>
  <c r="B237" i="5"/>
  <c r="L237" i="5" s="1"/>
  <c r="A237" i="5"/>
  <c r="K236" i="5"/>
  <c r="J236" i="5"/>
  <c r="I236" i="5"/>
  <c r="G236" i="5"/>
  <c r="F236" i="5"/>
  <c r="D236" i="5"/>
  <c r="B236" i="5"/>
  <c r="L236" i="5" s="1"/>
  <c r="A236" i="5"/>
  <c r="K235" i="5"/>
  <c r="J235" i="5"/>
  <c r="I235" i="5"/>
  <c r="G235" i="5"/>
  <c r="F235" i="5"/>
  <c r="D235" i="5"/>
  <c r="B235" i="5"/>
  <c r="L235" i="5" s="1"/>
  <c r="A235" i="5"/>
  <c r="K234" i="5"/>
  <c r="J234" i="5"/>
  <c r="I234" i="5"/>
  <c r="G234" i="5"/>
  <c r="F234" i="5"/>
  <c r="D234" i="5"/>
  <c r="B234" i="5"/>
  <c r="L234" i="5" s="1"/>
  <c r="A234" i="5"/>
  <c r="K233" i="5"/>
  <c r="J233" i="5"/>
  <c r="I233" i="5"/>
  <c r="G233" i="5"/>
  <c r="F233" i="5"/>
  <c r="D233" i="5"/>
  <c r="B233" i="5"/>
  <c r="L233" i="5" s="1"/>
  <c r="A233" i="5"/>
  <c r="K232" i="5"/>
  <c r="J232" i="5"/>
  <c r="I232" i="5"/>
  <c r="G232" i="5"/>
  <c r="F232" i="5"/>
  <c r="D232" i="5"/>
  <c r="B232" i="5"/>
  <c r="L232" i="5" s="1"/>
  <c r="A232" i="5"/>
  <c r="K231" i="5"/>
  <c r="J231" i="5"/>
  <c r="I231" i="5"/>
  <c r="G231" i="5"/>
  <c r="F231" i="5"/>
  <c r="D231" i="5"/>
  <c r="B231" i="5"/>
  <c r="L231" i="5" s="1"/>
  <c r="A231" i="5"/>
  <c r="K230" i="5"/>
  <c r="J230" i="5"/>
  <c r="I230" i="5"/>
  <c r="G230" i="5"/>
  <c r="F230" i="5"/>
  <c r="D230" i="5"/>
  <c r="B230" i="5"/>
  <c r="L230" i="5" s="1"/>
  <c r="A230" i="5"/>
  <c r="K229" i="5"/>
  <c r="J229" i="5"/>
  <c r="I229" i="5"/>
  <c r="G229" i="5"/>
  <c r="F229" i="5"/>
  <c r="D229" i="5"/>
  <c r="B229" i="5"/>
  <c r="L229" i="5" s="1"/>
  <c r="A229" i="5"/>
  <c r="K228" i="5"/>
  <c r="J228" i="5"/>
  <c r="I228" i="5"/>
  <c r="G228" i="5"/>
  <c r="F228" i="5"/>
  <c r="D228" i="5"/>
  <c r="B228" i="5"/>
  <c r="L228" i="5" s="1"/>
  <c r="A228" i="5"/>
  <c r="AR227" i="5"/>
  <c r="AC227" i="5"/>
  <c r="N227" i="5"/>
  <c r="K227" i="5"/>
  <c r="O227" i="5" s="1"/>
  <c r="P227" i="5" s="1"/>
  <c r="Q227" i="5" s="1"/>
  <c r="R227" i="5" s="1"/>
  <c r="S227" i="5" s="1"/>
  <c r="T227" i="5" s="1"/>
  <c r="U227" i="5" s="1"/>
  <c r="V227" i="5" s="1"/>
  <c r="W227" i="5" s="1"/>
  <c r="X227" i="5" s="1"/>
  <c r="Y227" i="5" s="1"/>
  <c r="Z227" i="5" s="1"/>
  <c r="AD227" i="5" s="1"/>
  <c r="AE227" i="5" s="1"/>
  <c r="AF227" i="5" s="1"/>
  <c r="AG227" i="5" s="1"/>
  <c r="AH227" i="5" s="1"/>
  <c r="AI227" i="5" s="1"/>
  <c r="AJ227" i="5" s="1"/>
  <c r="AK227" i="5" s="1"/>
  <c r="AL227" i="5" s="1"/>
  <c r="AM227" i="5" s="1"/>
  <c r="AN227" i="5" s="1"/>
  <c r="AO227" i="5" s="1"/>
  <c r="AS227" i="5" s="1"/>
  <c r="AT227" i="5" s="1"/>
  <c r="AU227" i="5" s="1"/>
  <c r="AV227" i="5" s="1"/>
  <c r="AW227" i="5" s="1"/>
  <c r="AX227" i="5" s="1"/>
  <c r="AY227" i="5" s="1"/>
  <c r="AZ227" i="5" s="1"/>
  <c r="BA227" i="5" s="1"/>
  <c r="BB227" i="5" s="1"/>
  <c r="BC227" i="5" s="1"/>
  <c r="BD227" i="5" s="1"/>
  <c r="J227" i="5"/>
  <c r="I227" i="5"/>
  <c r="G227" i="5"/>
  <c r="F227" i="5"/>
  <c r="D227" i="5"/>
  <c r="B227" i="5"/>
  <c r="L227" i="5" s="1"/>
  <c r="A227" i="5"/>
  <c r="AR226" i="5"/>
  <c r="AC226" i="5"/>
  <c r="N226" i="5"/>
  <c r="K226" i="5"/>
  <c r="O226" i="5" s="1"/>
  <c r="P226" i="5" s="1"/>
  <c r="Q226" i="5" s="1"/>
  <c r="R226" i="5" s="1"/>
  <c r="S226" i="5" s="1"/>
  <c r="T226" i="5" s="1"/>
  <c r="U226" i="5" s="1"/>
  <c r="V226" i="5" s="1"/>
  <c r="W226" i="5" s="1"/>
  <c r="X226" i="5" s="1"/>
  <c r="Y226" i="5" s="1"/>
  <c r="Z226" i="5" s="1"/>
  <c r="AD226" i="5" s="1"/>
  <c r="AE226" i="5" s="1"/>
  <c r="AF226" i="5" s="1"/>
  <c r="AG226" i="5" s="1"/>
  <c r="AH226" i="5" s="1"/>
  <c r="AI226" i="5" s="1"/>
  <c r="AJ226" i="5" s="1"/>
  <c r="AK226" i="5" s="1"/>
  <c r="AL226" i="5" s="1"/>
  <c r="AM226" i="5" s="1"/>
  <c r="AN226" i="5" s="1"/>
  <c r="AO226" i="5" s="1"/>
  <c r="AS226" i="5" s="1"/>
  <c r="AT226" i="5" s="1"/>
  <c r="AU226" i="5" s="1"/>
  <c r="AV226" i="5" s="1"/>
  <c r="AW226" i="5" s="1"/>
  <c r="AX226" i="5" s="1"/>
  <c r="AY226" i="5" s="1"/>
  <c r="AZ226" i="5" s="1"/>
  <c r="BA226" i="5" s="1"/>
  <c r="BB226" i="5" s="1"/>
  <c r="BC226" i="5" s="1"/>
  <c r="BD226" i="5" s="1"/>
  <c r="J226" i="5"/>
  <c r="I226" i="5"/>
  <c r="G226" i="5"/>
  <c r="F226" i="5"/>
  <c r="D226" i="5"/>
  <c r="B226" i="5"/>
  <c r="L226" i="5" s="1"/>
  <c r="A226" i="5"/>
  <c r="K225" i="5"/>
  <c r="J225" i="5"/>
  <c r="I225" i="5"/>
  <c r="G225" i="5"/>
  <c r="F225" i="5"/>
  <c r="D225" i="5"/>
  <c r="B225" i="5"/>
  <c r="L225" i="5" s="1"/>
  <c r="A225" i="5"/>
  <c r="AR224" i="5"/>
  <c r="AC224" i="5"/>
  <c r="N224" i="5"/>
  <c r="K224" i="5"/>
  <c r="O224" i="5" s="1"/>
  <c r="P224" i="5" s="1"/>
  <c r="Q224" i="5" s="1"/>
  <c r="R224" i="5" s="1"/>
  <c r="S224" i="5" s="1"/>
  <c r="T224" i="5" s="1"/>
  <c r="U224" i="5" s="1"/>
  <c r="V224" i="5" s="1"/>
  <c r="W224" i="5" s="1"/>
  <c r="X224" i="5" s="1"/>
  <c r="Y224" i="5" s="1"/>
  <c r="Z224" i="5" s="1"/>
  <c r="AD224" i="5" s="1"/>
  <c r="AE224" i="5" s="1"/>
  <c r="AF224" i="5" s="1"/>
  <c r="AG224" i="5" s="1"/>
  <c r="AH224" i="5" s="1"/>
  <c r="AI224" i="5" s="1"/>
  <c r="AJ224" i="5" s="1"/>
  <c r="AK224" i="5" s="1"/>
  <c r="AL224" i="5" s="1"/>
  <c r="AM224" i="5" s="1"/>
  <c r="AN224" i="5" s="1"/>
  <c r="AO224" i="5" s="1"/>
  <c r="AS224" i="5" s="1"/>
  <c r="AT224" i="5" s="1"/>
  <c r="AU224" i="5" s="1"/>
  <c r="AV224" i="5" s="1"/>
  <c r="AW224" i="5" s="1"/>
  <c r="AX224" i="5" s="1"/>
  <c r="AY224" i="5" s="1"/>
  <c r="AZ224" i="5" s="1"/>
  <c r="BA224" i="5" s="1"/>
  <c r="BB224" i="5" s="1"/>
  <c r="BC224" i="5" s="1"/>
  <c r="BD224" i="5" s="1"/>
  <c r="J224" i="5"/>
  <c r="I224" i="5"/>
  <c r="G224" i="5"/>
  <c r="F224" i="5"/>
  <c r="D224" i="5"/>
  <c r="B224" i="5"/>
  <c r="L224" i="5" s="1"/>
  <c r="A224" i="5"/>
  <c r="K223" i="5"/>
  <c r="J223" i="5"/>
  <c r="I223" i="5"/>
  <c r="G223" i="5"/>
  <c r="F223" i="5"/>
  <c r="D223" i="5"/>
  <c r="B223" i="5"/>
  <c r="L223" i="5" s="1"/>
  <c r="A223" i="5"/>
  <c r="K222" i="5"/>
  <c r="J222" i="5"/>
  <c r="I222" i="5"/>
  <c r="G222" i="5"/>
  <c r="F222" i="5"/>
  <c r="D222" i="5"/>
  <c r="B222" i="5"/>
  <c r="L222" i="5" s="1"/>
  <c r="A222" i="5"/>
  <c r="K221" i="5"/>
  <c r="J221" i="5"/>
  <c r="I221" i="5"/>
  <c r="G221" i="5"/>
  <c r="F221" i="5"/>
  <c r="D221" i="5"/>
  <c r="B221" i="5"/>
  <c r="L221" i="5" s="1"/>
  <c r="A221" i="5"/>
  <c r="K220" i="5"/>
  <c r="J220" i="5"/>
  <c r="I220" i="5"/>
  <c r="G220" i="5"/>
  <c r="F220" i="5"/>
  <c r="D220" i="5"/>
  <c r="B220" i="5"/>
  <c r="L220" i="5" s="1"/>
  <c r="A220" i="5"/>
  <c r="K219" i="5"/>
  <c r="J219" i="5"/>
  <c r="I219" i="5"/>
  <c r="G219" i="5"/>
  <c r="F219" i="5"/>
  <c r="D219" i="5"/>
  <c r="B219" i="5"/>
  <c r="L219" i="5" s="1"/>
  <c r="A219" i="5"/>
  <c r="K218" i="5"/>
  <c r="J218" i="5"/>
  <c r="I218" i="5"/>
  <c r="G218" i="5"/>
  <c r="F218" i="5"/>
  <c r="D218" i="5"/>
  <c r="B218" i="5"/>
  <c r="L218" i="5" s="1"/>
  <c r="A218" i="5"/>
  <c r="K217" i="5"/>
  <c r="J217" i="5"/>
  <c r="I217" i="5"/>
  <c r="G217" i="5"/>
  <c r="F217" i="5"/>
  <c r="D217" i="5"/>
  <c r="B217" i="5"/>
  <c r="L217" i="5" s="1"/>
  <c r="A217" i="5"/>
  <c r="K216" i="5"/>
  <c r="J216" i="5"/>
  <c r="I216" i="5"/>
  <c r="G216" i="5"/>
  <c r="F216" i="5"/>
  <c r="D216" i="5"/>
  <c r="B216" i="5"/>
  <c r="L216" i="5" s="1"/>
  <c r="A216" i="5"/>
  <c r="K215" i="5"/>
  <c r="J215" i="5"/>
  <c r="I215" i="5"/>
  <c r="G215" i="5"/>
  <c r="F215" i="5"/>
  <c r="D215" i="5"/>
  <c r="B215" i="5"/>
  <c r="L215" i="5" s="1"/>
  <c r="A215" i="5"/>
  <c r="K214" i="5"/>
  <c r="J214" i="5"/>
  <c r="I214" i="5"/>
  <c r="G214" i="5"/>
  <c r="F214" i="5"/>
  <c r="D214" i="5"/>
  <c r="B214" i="5"/>
  <c r="L214" i="5" s="1"/>
  <c r="A214" i="5"/>
  <c r="K213" i="5"/>
  <c r="J213" i="5"/>
  <c r="I213" i="5"/>
  <c r="G213" i="5"/>
  <c r="F213" i="5"/>
  <c r="D213" i="5"/>
  <c r="B213" i="5"/>
  <c r="L213" i="5" s="1"/>
  <c r="A213" i="5"/>
  <c r="K212" i="5"/>
  <c r="J212" i="5"/>
  <c r="I212" i="5"/>
  <c r="G212" i="5"/>
  <c r="F212" i="5"/>
  <c r="D212" i="5"/>
  <c r="B212" i="5"/>
  <c r="L212" i="5" s="1"/>
  <c r="A212" i="5"/>
  <c r="K211" i="5"/>
  <c r="J211" i="5"/>
  <c r="I211" i="5"/>
  <c r="G211" i="5"/>
  <c r="F211" i="5"/>
  <c r="D211" i="5"/>
  <c r="B211" i="5"/>
  <c r="L211" i="5" s="1"/>
  <c r="A211" i="5"/>
  <c r="K210" i="5"/>
  <c r="J210" i="5"/>
  <c r="I210" i="5"/>
  <c r="G210" i="5"/>
  <c r="F210" i="5"/>
  <c r="D210" i="5"/>
  <c r="B210" i="5"/>
  <c r="L210" i="5" s="1"/>
  <c r="A210" i="5"/>
  <c r="K209" i="5"/>
  <c r="J209" i="5"/>
  <c r="I209" i="5"/>
  <c r="G209" i="5"/>
  <c r="F209" i="5"/>
  <c r="D209" i="5"/>
  <c r="B209" i="5"/>
  <c r="L209" i="5" s="1"/>
  <c r="A209" i="5"/>
  <c r="K208" i="5"/>
  <c r="J208" i="5"/>
  <c r="I208" i="5"/>
  <c r="G208" i="5"/>
  <c r="F208" i="5"/>
  <c r="D208" i="5"/>
  <c r="B208" i="5"/>
  <c r="L208" i="5" s="1"/>
  <c r="A208" i="5"/>
  <c r="K207" i="5"/>
  <c r="J207" i="5"/>
  <c r="I207" i="5"/>
  <c r="G207" i="5"/>
  <c r="F207" i="5"/>
  <c r="D207" i="5"/>
  <c r="B207" i="5"/>
  <c r="L207" i="5" s="1"/>
  <c r="A207" i="5"/>
  <c r="K206" i="5"/>
  <c r="J206" i="5"/>
  <c r="I206" i="5"/>
  <c r="G206" i="5"/>
  <c r="F206" i="5"/>
  <c r="D206" i="5"/>
  <c r="B206" i="5"/>
  <c r="L206" i="5" s="1"/>
  <c r="A206" i="5"/>
  <c r="K205" i="5"/>
  <c r="J205" i="5"/>
  <c r="I205" i="5"/>
  <c r="G205" i="5"/>
  <c r="F205" i="5"/>
  <c r="D205" i="5"/>
  <c r="B205" i="5"/>
  <c r="L205" i="5" s="1"/>
  <c r="A205" i="5"/>
  <c r="K204" i="5"/>
  <c r="J204" i="5"/>
  <c r="I204" i="5"/>
  <c r="G204" i="5"/>
  <c r="F204" i="5"/>
  <c r="D204" i="5"/>
  <c r="B204" i="5"/>
  <c r="L204" i="5" s="1"/>
  <c r="A204" i="5"/>
  <c r="K203" i="5"/>
  <c r="J203" i="5"/>
  <c r="I203" i="5"/>
  <c r="G203" i="5"/>
  <c r="F203" i="5"/>
  <c r="D203" i="5"/>
  <c r="B203" i="5"/>
  <c r="L203" i="5" s="1"/>
  <c r="A203" i="5"/>
  <c r="K202" i="5"/>
  <c r="J202" i="5"/>
  <c r="I202" i="5"/>
  <c r="G202" i="5"/>
  <c r="F202" i="5"/>
  <c r="D202" i="5"/>
  <c r="B202" i="5"/>
  <c r="L202" i="5" s="1"/>
  <c r="A202" i="5"/>
  <c r="K201" i="5"/>
  <c r="J201" i="5"/>
  <c r="I201" i="5"/>
  <c r="G201" i="5"/>
  <c r="F201" i="5"/>
  <c r="D201" i="5"/>
  <c r="B201" i="5"/>
  <c r="L201" i="5" s="1"/>
  <c r="A201" i="5"/>
  <c r="K200" i="5"/>
  <c r="J200" i="5"/>
  <c r="I200" i="5"/>
  <c r="H200" i="5"/>
  <c r="G200" i="5"/>
  <c r="F200" i="5"/>
  <c r="D200" i="5"/>
  <c r="B200" i="5"/>
  <c r="L200" i="5" s="1"/>
  <c r="A200" i="5"/>
  <c r="AR199" i="5"/>
  <c r="AC199" i="5"/>
  <c r="Y199" i="5"/>
  <c r="Z199" i="5" s="1"/>
  <c r="AD199" i="5" s="1"/>
  <c r="AE199" i="5" s="1"/>
  <c r="AF199" i="5" s="1"/>
  <c r="AG199" i="5" s="1"/>
  <c r="AH199" i="5" s="1"/>
  <c r="AI199" i="5" s="1"/>
  <c r="AJ199" i="5" s="1"/>
  <c r="AK199" i="5" s="1"/>
  <c r="AL199" i="5" s="1"/>
  <c r="AM199" i="5" s="1"/>
  <c r="AN199" i="5" s="1"/>
  <c r="AO199" i="5" s="1"/>
  <c r="AS199" i="5" s="1"/>
  <c r="AT199" i="5" s="1"/>
  <c r="AU199" i="5" s="1"/>
  <c r="AV199" i="5" s="1"/>
  <c r="AW199" i="5" s="1"/>
  <c r="AX199" i="5" s="1"/>
  <c r="AY199" i="5" s="1"/>
  <c r="AZ199" i="5" s="1"/>
  <c r="BA199" i="5" s="1"/>
  <c r="BB199" i="5" s="1"/>
  <c r="BC199" i="5" s="1"/>
  <c r="BD199" i="5" s="1"/>
  <c r="K199" i="5"/>
  <c r="J199" i="5"/>
  <c r="I199" i="5"/>
  <c r="G199" i="5"/>
  <c r="F199" i="5"/>
  <c r="D199" i="5"/>
  <c r="B199" i="5"/>
  <c r="L199" i="5" s="1"/>
  <c r="A199" i="5"/>
  <c r="K198" i="5"/>
  <c r="J198" i="5"/>
  <c r="I198" i="5"/>
  <c r="H198" i="5"/>
  <c r="G198" i="5"/>
  <c r="F198" i="5"/>
  <c r="D198" i="5"/>
  <c r="B198" i="5"/>
  <c r="L198" i="5" s="1"/>
  <c r="A198" i="5"/>
  <c r="K197" i="5"/>
  <c r="J197" i="5"/>
  <c r="I197" i="5"/>
  <c r="G197" i="5"/>
  <c r="F197" i="5"/>
  <c r="D197" i="5"/>
  <c r="B197" i="5"/>
  <c r="L197" i="5" s="1"/>
  <c r="A197" i="5"/>
  <c r="K196" i="5"/>
  <c r="J196" i="5"/>
  <c r="I196" i="5"/>
  <c r="H196" i="5"/>
  <c r="G196" i="5"/>
  <c r="F196" i="5"/>
  <c r="D196" i="5"/>
  <c r="B196" i="5"/>
  <c r="L196" i="5" s="1"/>
  <c r="A196" i="5"/>
  <c r="K195" i="5"/>
  <c r="J195" i="5"/>
  <c r="I195" i="5"/>
  <c r="G195" i="5"/>
  <c r="F195" i="5"/>
  <c r="D195" i="5"/>
  <c r="B195" i="5"/>
  <c r="L195" i="5" s="1"/>
  <c r="A195" i="5"/>
  <c r="K194" i="5"/>
  <c r="J194" i="5"/>
  <c r="I194" i="5"/>
  <c r="H194" i="5"/>
  <c r="G194" i="5"/>
  <c r="F194" i="5"/>
  <c r="D194" i="5"/>
  <c r="B194" i="5"/>
  <c r="L194" i="5" s="1"/>
  <c r="A194" i="5"/>
  <c r="K193" i="5"/>
  <c r="J193" i="5"/>
  <c r="I193" i="5"/>
  <c r="H193" i="5"/>
  <c r="G193" i="5"/>
  <c r="F193" i="5"/>
  <c r="D193" i="5"/>
  <c r="B193" i="5"/>
  <c r="L193" i="5" s="1"/>
  <c r="A193" i="5"/>
  <c r="G192" i="5"/>
  <c r="F192" i="5"/>
  <c r="D192" i="5"/>
  <c r="B192" i="5"/>
  <c r="L192" i="5" s="1"/>
  <c r="A192" i="5"/>
  <c r="K191" i="5"/>
  <c r="J191" i="5"/>
  <c r="I191" i="5"/>
  <c r="G191" i="5"/>
  <c r="F191" i="5"/>
  <c r="D191" i="5"/>
  <c r="B191" i="5"/>
  <c r="L191" i="5" s="1"/>
  <c r="A191" i="5"/>
  <c r="K190" i="5"/>
  <c r="J190" i="5"/>
  <c r="I190" i="5"/>
  <c r="G190" i="5"/>
  <c r="F190" i="5"/>
  <c r="D190" i="5"/>
  <c r="B190" i="5"/>
  <c r="L190" i="5" s="1"/>
  <c r="A190" i="5"/>
  <c r="K189" i="5"/>
  <c r="J189" i="5"/>
  <c r="I189" i="5"/>
  <c r="G189" i="5"/>
  <c r="F189" i="5"/>
  <c r="D189" i="5"/>
  <c r="B189" i="5"/>
  <c r="L189" i="5" s="1"/>
  <c r="A189" i="5"/>
  <c r="K188" i="5"/>
  <c r="J188" i="5"/>
  <c r="I188" i="5"/>
  <c r="G188" i="5"/>
  <c r="F188" i="5"/>
  <c r="D188" i="5"/>
  <c r="B188" i="5"/>
  <c r="L188" i="5" s="1"/>
  <c r="A188" i="5"/>
  <c r="K187" i="5"/>
  <c r="J187" i="5"/>
  <c r="I187" i="5"/>
  <c r="G187" i="5"/>
  <c r="F187" i="5"/>
  <c r="D187" i="5"/>
  <c r="B187" i="5"/>
  <c r="L187" i="5" s="1"/>
  <c r="A187" i="5"/>
  <c r="K186" i="5"/>
  <c r="J186" i="5"/>
  <c r="I186" i="5"/>
  <c r="G186" i="5"/>
  <c r="F186" i="5"/>
  <c r="D186" i="5"/>
  <c r="B186" i="5"/>
  <c r="L186" i="5" s="1"/>
  <c r="A186" i="5"/>
  <c r="K185" i="5"/>
  <c r="J185" i="5"/>
  <c r="I185" i="5"/>
  <c r="G185" i="5"/>
  <c r="F185" i="5"/>
  <c r="D185" i="5"/>
  <c r="B185" i="5"/>
  <c r="L185" i="5" s="1"/>
  <c r="A185" i="5"/>
  <c r="K184" i="5"/>
  <c r="J184" i="5"/>
  <c r="I184" i="5"/>
  <c r="G184" i="5"/>
  <c r="F184" i="5"/>
  <c r="D184" i="5"/>
  <c r="B184" i="5"/>
  <c r="L184" i="5" s="1"/>
  <c r="A184" i="5"/>
  <c r="K183" i="5"/>
  <c r="J183" i="5"/>
  <c r="I183" i="5"/>
  <c r="G183" i="5"/>
  <c r="F183" i="5"/>
  <c r="D183" i="5"/>
  <c r="B183" i="5"/>
  <c r="L183" i="5" s="1"/>
  <c r="A183" i="5"/>
  <c r="K182" i="5"/>
  <c r="J182" i="5"/>
  <c r="I182" i="5"/>
  <c r="G182" i="5"/>
  <c r="F182" i="5"/>
  <c r="D182" i="5"/>
  <c r="B182" i="5"/>
  <c r="L182" i="5" s="1"/>
  <c r="A182" i="5"/>
  <c r="K181" i="5"/>
  <c r="J181" i="5"/>
  <c r="I181" i="5"/>
  <c r="G181" i="5"/>
  <c r="F181" i="5"/>
  <c r="D181" i="5"/>
  <c r="B181" i="5"/>
  <c r="L181" i="5" s="1"/>
  <c r="A181" i="5"/>
  <c r="K180" i="5"/>
  <c r="J180" i="5"/>
  <c r="I180" i="5"/>
  <c r="H180" i="5"/>
  <c r="G180" i="5"/>
  <c r="F180" i="5"/>
  <c r="D180" i="5"/>
  <c r="B180" i="5"/>
  <c r="L180" i="5" s="1"/>
  <c r="A180" i="5"/>
  <c r="K179" i="5"/>
  <c r="J179" i="5"/>
  <c r="I179" i="5"/>
  <c r="G179" i="5"/>
  <c r="F179" i="5"/>
  <c r="D179" i="5"/>
  <c r="B179" i="5"/>
  <c r="L179" i="5" s="1"/>
  <c r="A179" i="5"/>
  <c r="K178" i="5"/>
  <c r="J178" i="5"/>
  <c r="I178" i="5"/>
  <c r="H178" i="5"/>
  <c r="G178" i="5"/>
  <c r="F178" i="5"/>
  <c r="D178" i="5"/>
  <c r="B178" i="5"/>
  <c r="L178" i="5" s="1"/>
  <c r="A178" i="5"/>
  <c r="K177" i="5"/>
  <c r="J177" i="5"/>
  <c r="I177" i="5"/>
  <c r="G177" i="5"/>
  <c r="F177" i="5"/>
  <c r="D177" i="5"/>
  <c r="B177" i="5"/>
  <c r="L177" i="5" s="1"/>
  <c r="A177" i="5"/>
  <c r="K176" i="5"/>
  <c r="J176" i="5"/>
  <c r="I176" i="5"/>
  <c r="H176" i="5"/>
  <c r="G176" i="5"/>
  <c r="F176" i="5"/>
  <c r="D176" i="5"/>
  <c r="B176" i="5"/>
  <c r="L176" i="5" s="1"/>
  <c r="A176" i="5"/>
  <c r="K175" i="5"/>
  <c r="J175" i="5"/>
  <c r="I175" i="5"/>
  <c r="G175" i="5"/>
  <c r="F175" i="5"/>
  <c r="D175" i="5"/>
  <c r="B175" i="5"/>
  <c r="L175" i="5" s="1"/>
  <c r="A175" i="5"/>
  <c r="K174" i="5"/>
  <c r="J174" i="5"/>
  <c r="I174" i="5"/>
  <c r="G174" i="5"/>
  <c r="F174" i="5"/>
  <c r="D174" i="5"/>
  <c r="B174" i="5"/>
  <c r="L174" i="5" s="1"/>
  <c r="A174" i="5"/>
  <c r="K173" i="5"/>
  <c r="J173" i="5"/>
  <c r="I173" i="5"/>
  <c r="H173" i="5"/>
  <c r="G173" i="5"/>
  <c r="F173" i="5"/>
  <c r="D173" i="5"/>
  <c r="B173" i="5"/>
  <c r="L173" i="5" s="1"/>
  <c r="A173" i="5"/>
  <c r="K172" i="5"/>
  <c r="J172" i="5"/>
  <c r="I172" i="5"/>
  <c r="G172" i="5"/>
  <c r="F172" i="5"/>
  <c r="D172" i="5"/>
  <c r="B172" i="5"/>
  <c r="L172" i="5" s="1"/>
  <c r="A172" i="5"/>
  <c r="K171" i="5"/>
  <c r="J171" i="5"/>
  <c r="I171" i="5"/>
  <c r="G171" i="5"/>
  <c r="F171" i="5"/>
  <c r="D171" i="5"/>
  <c r="B171" i="5"/>
  <c r="L171" i="5" s="1"/>
  <c r="A171" i="5"/>
  <c r="K170" i="5"/>
  <c r="J170" i="5"/>
  <c r="I170" i="5"/>
  <c r="G170" i="5"/>
  <c r="F170" i="5"/>
  <c r="D170" i="5"/>
  <c r="B170" i="5"/>
  <c r="L170" i="5" s="1"/>
  <c r="A170" i="5"/>
  <c r="K169" i="5"/>
  <c r="J169" i="5"/>
  <c r="I169" i="5"/>
  <c r="G169" i="5"/>
  <c r="F169" i="5"/>
  <c r="D169" i="5"/>
  <c r="B169" i="5"/>
  <c r="L169" i="5" s="1"/>
  <c r="A169" i="5"/>
  <c r="K168" i="5"/>
  <c r="J168" i="5"/>
  <c r="I168" i="5"/>
  <c r="G168" i="5"/>
  <c r="F168" i="5"/>
  <c r="D168" i="5"/>
  <c r="B168" i="5"/>
  <c r="L168" i="5" s="1"/>
  <c r="A168" i="5"/>
  <c r="K167" i="5"/>
  <c r="J167" i="5"/>
  <c r="I167" i="5"/>
  <c r="H167" i="5"/>
  <c r="G167" i="5"/>
  <c r="F167" i="5"/>
  <c r="D167" i="5"/>
  <c r="B167" i="5"/>
  <c r="L167" i="5" s="1"/>
  <c r="A167" i="5"/>
  <c r="K166" i="5"/>
  <c r="J166" i="5"/>
  <c r="I166" i="5"/>
  <c r="H166" i="5"/>
  <c r="G166" i="5"/>
  <c r="F166" i="5"/>
  <c r="D166" i="5"/>
  <c r="B166" i="5"/>
  <c r="L166" i="5" s="1"/>
  <c r="A166" i="5"/>
  <c r="K165" i="5"/>
  <c r="J165" i="5"/>
  <c r="I165" i="5"/>
  <c r="G165" i="5"/>
  <c r="F165" i="5"/>
  <c r="D165" i="5"/>
  <c r="B165" i="5"/>
  <c r="L165" i="5" s="1"/>
  <c r="A165" i="5"/>
  <c r="K164" i="5"/>
  <c r="J164" i="5"/>
  <c r="I164" i="5"/>
  <c r="G164" i="5"/>
  <c r="F164" i="5"/>
  <c r="D164" i="5"/>
  <c r="B164" i="5"/>
  <c r="L164" i="5" s="1"/>
  <c r="A164" i="5"/>
  <c r="K163" i="5"/>
  <c r="J163" i="5"/>
  <c r="I163" i="5"/>
  <c r="G163" i="5"/>
  <c r="F163" i="5"/>
  <c r="D163" i="5"/>
  <c r="B163" i="5"/>
  <c r="L163" i="5" s="1"/>
  <c r="A163" i="5"/>
  <c r="K162" i="5"/>
  <c r="J162" i="5"/>
  <c r="I162" i="5"/>
  <c r="G162" i="5"/>
  <c r="F162" i="5"/>
  <c r="D162" i="5"/>
  <c r="B162" i="5"/>
  <c r="L162" i="5" s="1"/>
  <c r="A162" i="5"/>
  <c r="K161" i="5"/>
  <c r="J161" i="5"/>
  <c r="I161" i="5"/>
  <c r="H161" i="5"/>
  <c r="G161" i="5"/>
  <c r="F161" i="5"/>
  <c r="D161" i="5"/>
  <c r="B161" i="5"/>
  <c r="L161" i="5" s="1"/>
  <c r="A161" i="5"/>
  <c r="G160" i="5"/>
  <c r="F160" i="5"/>
  <c r="D160" i="5"/>
  <c r="B160" i="5"/>
  <c r="L160" i="5" s="1"/>
  <c r="A160" i="5"/>
  <c r="K159" i="5"/>
  <c r="J159" i="5"/>
  <c r="I159" i="5"/>
  <c r="G159" i="5"/>
  <c r="F159" i="5"/>
  <c r="D159" i="5"/>
  <c r="B159" i="5"/>
  <c r="L159" i="5" s="1"/>
  <c r="A159" i="5"/>
  <c r="K158" i="5"/>
  <c r="J158" i="5"/>
  <c r="I158" i="5"/>
  <c r="G158" i="5"/>
  <c r="F158" i="5"/>
  <c r="D158" i="5"/>
  <c r="B158" i="5"/>
  <c r="L158" i="5" s="1"/>
  <c r="A158" i="5"/>
  <c r="G157" i="5"/>
  <c r="F157" i="5"/>
  <c r="D157" i="5"/>
  <c r="B157" i="5"/>
  <c r="L157" i="5" s="1"/>
  <c r="A157" i="5"/>
  <c r="K156" i="5"/>
  <c r="J156" i="5"/>
  <c r="I156" i="5"/>
  <c r="G156" i="5"/>
  <c r="F156" i="5"/>
  <c r="D156" i="5"/>
  <c r="B156" i="5"/>
  <c r="L156" i="5" s="1"/>
  <c r="A156" i="5"/>
  <c r="AQ155" i="5"/>
  <c r="AB155" i="5"/>
  <c r="A155" i="5"/>
  <c r="K154" i="5"/>
  <c r="J154" i="5"/>
  <c r="I154" i="5"/>
  <c r="G154" i="5"/>
  <c r="F154" i="5"/>
  <c r="D154" i="5"/>
  <c r="B154" i="5"/>
  <c r="L154" i="5" s="1"/>
  <c r="A154" i="5"/>
  <c r="K153" i="5"/>
  <c r="J153" i="5"/>
  <c r="I153" i="5"/>
  <c r="G153" i="5"/>
  <c r="F153" i="5"/>
  <c r="D153" i="5"/>
  <c r="B153" i="5"/>
  <c r="L153" i="5" s="1"/>
  <c r="A153" i="5"/>
  <c r="K152" i="5"/>
  <c r="J152" i="5"/>
  <c r="I152" i="5"/>
  <c r="G152" i="5"/>
  <c r="F152" i="5"/>
  <c r="D152" i="5"/>
  <c r="B152" i="5"/>
  <c r="L152" i="5" s="1"/>
  <c r="A152" i="5"/>
  <c r="K151" i="5"/>
  <c r="J151" i="5"/>
  <c r="I151" i="5"/>
  <c r="G151" i="5"/>
  <c r="F151" i="5"/>
  <c r="D151" i="5"/>
  <c r="B151" i="5"/>
  <c r="L151" i="5" s="1"/>
  <c r="A151" i="5"/>
  <c r="K150" i="5"/>
  <c r="J150" i="5"/>
  <c r="I150" i="5"/>
  <c r="G150" i="5"/>
  <c r="F150" i="5"/>
  <c r="D150" i="5"/>
  <c r="B150" i="5"/>
  <c r="L150" i="5" s="1"/>
  <c r="A150" i="5"/>
  <c r="K149" i="5"/>
  <c r="J149" i="5"/>
  <c r="I149" i="5"/>
  <c r="G149" i="5"/>
  <c r="F149" i="5"/>
  <c r="D149" i="5"/>
  <c r="B149" i="5"/>
  <c r="L149" i="5" s="1"/>
  <c r="A149" i="5"/>
  <c r="K148" i="5"/>
  <c r="J148" i="5"/>
  <c r="I148" i="5"/>
  <c r="H148" i="5"/>
  <c r="G148" i="5"/>
  <c r="F148" i="5"/>
  <c r="D148" i="5"/>
  <c r="B148" i="5"/>
  <c r="L148" i="5" s="1"/>
  <c r="A148" i="5"/>
  <c r="K147" i="5"/>
  <c r="J147" i="5"/>
  <c r="I147" i="5"/>
  <c r="G147" i="5"/>
  <c r="F147" i="5"/>
  <c r="D147" i="5"/>
  <c r="B147" i="5"/>
  <c r="L147" i="5" s="1"/>
  <c r="A147" i="5"/>
  <c r="K146" i="5"/>
  <c r="J146" i="5"/>
  <c r="I146" i="5"/>
  <c r="G146" i="5"/>
  <c r="F146" i="5"/>
  <c r="D146" i="5"/>
  <c r="B146" i="5"/>
  <c r="L146" i="5" s="1"/>
  <c r="A146" i="5"/>
  <c r="K145" i="5"/>
  <c r="J145" i="5"/>
  <c r="I145" i="5"/>
  <c r="G145" i="5"/>
  <c r="F145" i="5"/>
  <c r="D145" i="5"/>
  <c r="B145" i="5"/>
  <c r="L145" i="5" s="1"/>
  <c r="A145" i="5"/>
  <c r="G144" i="5"/>
  <c r="F144" i="5"/>
  <c r="D144" i="5"/>
  <c r="B144" i="5"/>
  <c r="L144" i="5" s="1"/>
  <c r="A144" i="5"/>
  <c r="G143" i="5"/>
  <c r="F143" i="5"/>
  <c r="D143" i="5"/>
  <c r="B143" i="5"/>
  <c r="L143" i="5" s="1"/>
  <c r="A143" i="5"/>
  <c r="G142" i="5"/>
  <c r="F142" i="5"/>
  <c r="D142" i="5"/>
  <c r="B142" i="5"/>
  <c r="L142" i="5" s="1"/>
  <c r="A142" i="5"/>
  <c r="G141" i="5"/>
  <c r="F141" i="5"/>
  <c r="D141" i="5"/>
  <c r="B141" i="5"/>
  <c r="L141" i="5" s="1"/>
  <c r="A141" i="5"/>
  <c r="G140" i="5"/>
  <c r="F140" i="5"/>
  <c r="D140" i="5"/>
  <c r="B140" i="5"/>
  <c r="L140" i="5" s="1"/>
  <c r="A140" i="5"/>
  <c r="G139" i="5"/>
  <c r="F139" i="5"/>
  <c r="D139" i="5"/>
  <c r="B139" i="5"/>
  <c r="L139" i="5" s="1"/>
  <c r="A139" i="5"/>
  <c r="G138" i="5"/>
  <c r="F138" i="5"/>
  <c r="D138" i="5"/>
  <c r="B138" i="5"/>
  <c r="L138" i="5" s="1"/>
  <c r="A138" i="5"/>
  <c r="K137" i="5"/>
  <c r="J137" i="5"/>
  <c r="I137" i="5"/>
  <c r="G137" i="5"/>
  <c r="F137" i="5"/>
  <c r="D137" i="5"/>
  <c r="B137" i="5"/>
  <c r="L137" i="5" s="1"/>
  <c r="A137" i="5"/>
  <c r="K136" i="5"/>
  <c r="J136" i="5"/>
  <c r="I136" i="5"/>
  <c r="G136" i="5"/>
  <c r="F136" i="5"/>
  <c r="D136" i="5"/>
  <c r="B136" i="5"/>
  <c r="L136" i="5" s="1"/>
  <c r="A136" i="5"/>
  <c r="G135" i="5"/>
  <c r="F135" i="5"/>
  <c r="D135" i="5"/>
  <c r="B135" i="5"/>
  <c r="L135" i="5" s="1"/>
  <c r="A135" i="5"/>
  <c r="G134" i="5"/>
  <c r="F134" i="5"/>
  <c r="D134" i="5"/>
  <c r="B134" i="5"/>
  <c r="L134" i="5" s="1"/>
  <c r="A134" i="5"/>
  <c r="G133" i="5"/>
  <c r="F133" i="5"/>
  <c r="D133" i="5"/>
  <c r="B133" i="5"/>
  <c r="L133" i="5" s="1"/>
  <c r="A133" i="5"/>
  <c r="G132" i="5"/>
  <c r="F132" i="5"/>
  <c r="D132" i="5"/>
  <c r="B132" i="5"/>
  <c r="L132" i="5" s="1"/>
  <c r="A132" i="5"/>
  <c r="K131" i="5"/>
  <c r="J131" i="5"/>
  <c r="I131" i="5"/>
  <c r="G131" i="5"/>
  <c r="F131" i="5"/>
  <c r="D131" i="5"/>
  <c r="B131" i="5"/>
  <c r="L131" i="5" s="1"/>
  <c r="A131" i="5"/>
  <c r="G130" i="5"/>
  <c r="F130" i="5"/>
  <c r="D130" i="5"/>
  <c r="B130" i="5"/>
  <c r="L130" i="5" s="1"/>
  <c r="A130" i="5"/>
  <c r="G129" i="5"/>
  <c r="F129" i="5"/>
  <c r="D129" i="5"/>
  <c r="B129" i="5"/>
  <c r="L129" i="5" s="1"/>
  <c r="A129" i="5"/>
  <c r="G128" i="5"/>
  <c r="F128" i="5"/>
  <c r="D128" i="5"/>
  <c r="B128" i="5"/>
  <c r="L128" i="5" s="1"/>
  <c r="A128" i="5"/>
  <c r="K127" i="5"/>
  <c r="J127" i="5"/>
  <c r="I127" i="5"/>
  <c r="G127" i="5"/>
  <c r="F127" i="5"/>
  <c r="D127" i="5"/>
  <c r="B127" i="5"/>
  <c r="L127" i="5" s="1"/>
  <c r="A127" i="5"/>
  <c r="G126" i="5"/>
  <c r="F126" i="5"/>
  <c r="D126" i="5"/>
  <c r="B126" i="5"/>
  <c r="L126" i="5" s="1"/>
  <c r="A126" i="5"/>
  <c r="K125" i="5"/>
  <c r="J125" i="5"/>
  <c r="I125" i="5"/>
  <c r="G125" i="5"/>
  <c r="F125" i="5"/>
  <c r="D125" i="5"/>
  <c r="B125" i="5"/>
  <c r="L125" i="5" s="1"/>
  <c r="A125" i="5"/>
  <c r="G124" i="5"/>
  <c r="F124" i="5"/>
  <c r="D124" i="5"/>
  <c r="B124" i="5"/>
  <c r="L124" i="5" s="1"/>
  <c r="A124" i="5"/>
  <c r="K123" i="5"/>
  <c r="J123" i="5"/>
  <c r="I123" i="5"/>
  <c r="G123" i="5"/>
  <c r="F123" i="5"/>
  <c r="D123" i="5"/>
  <c r="B123" i="5"/>
  <c r="L123" i="5" s="1"/>
  <c r="A123" i="5"/>
  <c r="K122" i="5"/>
  <c r="J122" i="5"/>
  <c r="I122" i="5"/>
  <c r="H122" i="5"/>
  <c r="G122" i="5"/>
  <c r="F122" i="5"/>
  <c r="D122" i="5"/>
  <c r="B122" i="5"/>
  <c r="L122" i="5" s="1"/>
  <c r="A122" i="5"/>
  <c r="K121" i="5"/>
  <c r="J121" i="5"/>
  <c r="I121" i="5"/>
  <c r="G121" i="5"/>
  <c r="F121" i="5"/>
  <c r="D121" i="5"/>
  <c r="B121" i="5"/>
  <c r="L121" i="5" s="1"/>
  <c r="A121" i="5"/>
  <c r="K120" i="5"/>
  <c r="J120" i="5"/>
  <c r="I120" i="5"/>
  <c r="G120" i="5"/>
  <c r="F120" i="5"/>
  <c r="D120" i="5"/>
  <c r="B120" i="5"/>
  <c r="L120" i="5" s="1"/>
  <c r="A120" i="5"/>
  <c r="H119" i="5"/>
  <c r="M119" i="5" s="1"/>
  <c r="O119" i="5" s="1"/>
  <c r="P119" i="5" s="1"/>
  <c r="Q119" i="5" s="1"/>
  <c r="R119" i="5" s="1"/>
  <c r="S119" i="5" s="1"/>
  <c r="T119" i="5" s="1"/>
  <c r="U119" i="5" s="1"/>
  <c r="V119" i="5" s="1"/>
  <c r="W119" i="5" s="1"/>
  <c r="X119" i="5" s="1"/>
  <c r="Y119" i="5" s="1"/>
  <c r="Z119" i="5" s="1"/>
  <c r="AD119" i="5" s="1"/>
  <c r="G119" i="5"/>
  <c r="F119" i="5"/>
  <c r="D119" i="5"/>
  <c r="B119" i="5"/>
  <c r="L119" i="5" s="1"/>
  <c r="A119" i="5"/>
  <c r="G118" i="5"/>
  <c r="F118" i="5"/>
  <c r="D118" i="5"/>
  <c r="B118" i="5"/>
  <c r="L118" i="5" s="1"/>
  <c r="A118" i="5"/>
  <c r="G117" i="5"/>
  <c r="F117" i="5"/>
  <c r="D117" i="5"/>
  <c r="B117" i="5"/>
  <c r="L117" i="5" s="1"/>
  <c r="A117" i="5"/>
  <c r="K116" i="5"/>
  <c r="J116" i="5"/>
  <c r="I116" i="5"/>
  <c r="G116" i="5"/>
  <c r="F116" i="5"/>
  <c r="D116" i="5"/>
  <c r="B116" i="5"/>
  <c r="L116" i="5" s="1"/>
  <c r="A116" i="5"/>
  <c r="K115" i="5"/>
  <c r="J115" i="5"/>
  <c r="I115" i="5"/>
  <c r="G115" i="5"/>
  <c r="F115" i="5"/>
  <c r="D115" i="5"/>
  <c r="B115" i="5"/>
  <c r="L115" i="5" s="1"/>
  <c r="A115" i="5"/>
  <c r="K114" i="5"/>
  <c r="J114" i="5"/>
  <c r="I114" i="5"/>
  <c r="H114" i="5"/>
  <c r="G114" i="5"/>
  <c r="F114" i="5"/>
  <c r="D114" i="5"/>
  <c r="B114" i="5"/>
  <c r="L114" i="5" s="1"/>
  <c r="A114" i="5"/>
  <c r="K113" i="5"/>
  <c r="J113" i="5"/>
  <c r="I113" i="5"/>
  <c r="G113" i="5"/>
  <c r="F113" i="5"/>
  <c r="D113" i="5"/>
  <c r="B113" i="5"/>
  <c r="L113" i="5" s="1"/>
  <c r="A113" i="5"/>
  <c r="BE112" i="5"/>
  <c r="G112" i="5"/>
  <c r="F112" i="5"/>
  <c r="D112" i="5"/>
  <c r="B112" i="5"/>
  <c r="L112" i="5" s="1"/>
  <c r="A112" i="5"/>
  <c r="K111" i="5"/>
  <c r="J111" i="5"/>
  <c r="I111" i="5"/>
  <c r="G111" i="5"/>
  <c r="F111" i="5"/>
  <c r="D111" i="5"/>
  <c r="B111" i="5"/>
  <c r="L111" i="5" s="1"/>
  <c r="A111" i="5"/>
  <c r="K110" i="5"/>
  <c r="J110" i="5"/>
  <c r="I110" i="5"/>
  <c r="G110" i="5"/>
  <c r="F110" i="5"/>
  <c r="D110" i="5"/>
  <c r="B110" i="5"/>
  <c r="L110" i="5" s="1"/>
  <c r="A110" i="5"/>
  <c r="K109" i="5"/>
  <c r="J109" i="5"/>
  <c r="I109" i="5"/>
  <c r="G109" i="5"/>
  <c r="F109" i="5"/>
  <c r="D109" i="5"/>
  <c r="B109" i="5"/>
  <c r="L109" i="5" s="1"/>
  <c r="A109" i="5"/>
  <c r="K108" i="5"/>
  <c r="J108" i="5"/>
  <c r="I108" i="5"/>
  <c r="G108" i="5"/>
  <c r="F108" i="5"/>
  <c r="D108" i="5"/>
  <c r="B108" i="5"/>
  <c r="L108" i="5" s="1"/>
  <c r="A108" i="5"/>
  <c r="K107" i="5"/>
  <c r="J107" i="5"/>
  <c r="I107" i="5"/>
  <c r="G107" i="5"/>
  <c r="F107" i="5"/>
  <c r="D107" i="5"/>
  <c r="B107" i="5"/>
  <c r="L107" i="5" s="1"/>
  <c r="A107" i="5"/>
  <c r="K106" i="5"/>
  <c r="J106" i="5"/>
  <c r="I106" i="5"/>
  <c r="G106" i="5"/>
  <c r="F106" i="5"/>
  <c r="D106" i="5"/>
  <c r="B106" i="5"/>
  <c r="L106" i="5" s="1"/>
  <c r="A106" i="5"/>
  <c r="K105" i="5"/>
  <c r="J105" i="5"/>
  <c r="I105" i="5"/>
  <c r="G105" i="5"/>
  <c r="F105" i="5"/>
  <c r="D105" i="5"/>
  <c r="B105" i="5"/>
  <c r="L105" i="5" s="1"/>
  <c r="A105" i="5"/>
  <c r="K104" i="5"/>
  <c r="J104" i="5"/>
  <c r="I104" i="5"/>
  <c r="G104" i="5"/>
  <c r="F104" i="5"/>
  <c r="D104" i="5"/>
  <c r="B104" i="5"/>
  <c r="L104" i="5" s="1"/>
  <c r="A104" i="5"/>
  <c r="K103" i="5"/>
  <c r="J103" i="5"/>
  <c r="I103" i="5"/>
  <c r="G103" i="5"/>
  <c r="F103" i="5"/>
  <c r="D103" i="5"/>
  <c r="B103" i="5"/>
  <c r="L103" i="5" s="1"/>
  <c r="A103" i="5"/>
  <c r="K102" i="5"/>
  <c r="J102" i="5"/>
  <c r="I102" i="5"/>
  <c r="G102" i="5"/>
  <c r="F102" i="5"/>
  <c r="D102" i="5"/>
  <c r="B102" i="5"/>
  <c r="L102" i="5" s="1"/>
  <c r="A102" i="5"/>
  <c r="K101" i="5"/>
  <c r="J101" i="5"/>
  <c r="I101" i="5"/>
  <c r="G101" i="5"/>
  <c r="F101" i="5"/>
  <c r="D101" i="5"/>
  <c r="B101" i="5"/>
  <c r="L101" i="5" s="1"/>
  <c r="A101" i="5"/>
  <c r="K100" i="5"/>
  <c r="J100" i="5"/>
  <c r="I100" i="5"/>
  <c r="G100" i="5"/>
  <c r="F100" i="5"/>
  <c r="D100" i="5"/>
  <c r="B100" i="5"/>
  <c r="L100" i="5" s="1"/>
  <c r="A100" i="5"/>
  <c r="K99" i="5"/>
  <c r="J99" i="5"/>
  <c r="I99" i="5"/>
  <c r="G99" i="5"/>
  <c r="F99" i="5"/>
  <c r="D99" i="5"/>
  <c r="B99" i="5"/>
  <c r="L99" i="5" s="1"/>
  <c r="A99" i="5"/>
  <c r="K98" i="5"/>
  <c r="J98" i="5"/>
  <c r="I98" i="5"/>
  <c r="H98" i="5"/>
  <c r="G98" i="5"/>
  <c r="F98" i="5"/>
  <c r="D98" i="5"/>
  <c r="B98" i="5"/>
  <c r="L98" i="5" s="1"/>
  <c r="A98" i="5"/>
  <c r="K97" i="5"/>
  <c r="J97" i="5"/>
  <c r="I97" i="5"/>
  <c r="G97" i="5"/>
  <c r="F97" i="5"/>
  <c r="D97" i="5"/>
  <c r="B97" i="5"/>
  <c r="L97" i="5" s="1"/>
  <c r="A97" i="5"/>
  <c r="K96" i="5"/>
  <c r="J96" i="5"/>
  <c r="I96" i="5"/>
  <c r="G96" i="5"/>
  <c r="F96" i="5"/>
  <c r="D96" i="5"/>
  <c r="B96" i="5"/>
  <c r="L96" i="5" s="1"/>
  <c r="A96" i="5"/>
  <c r="K95" i="5"/>
  <c r="J95" i="5"/>
  <c r="I95" i="5"/>
  <c r="G95" i="5"/>
  <c r="F95" i="5"/>
  <c r="D95" i="5"/>
  <c r="B95" i="5"/>
  <c r="L95" i="5" s="1"/>
  <c r="A95" i="5"/>
  <c r="G94" i="5"/>
  <c r="F94" i="5"/>
  <c r="D94" i="5"/>
  <c r="B94" i="5"/>
  <c r="L94" i="5" s="1"/>
  <c r="A94" i="5"/>
  <c r="K93" i="5"/>
  <c r="J93" i="5"/>
  <c r="I93" i="5"/>
  <c r="G93" i="5"/>
  <c r="F93" i="5"/>
  <c r="D93" i="5"/>
  <c r="B93" i="5"/>
  <c r="L93" i="5" s="1"/>
  <c r="A93" i="5"/>
  <c r="K92" i="5"/>
  <c r="J92" i="5"/>
  <c r="I92" i="5"/>
  <c r="G92" i="5"/>
  <c r="F92" i="5"/>
  <c r="D92" i="5"/>
  <c r="B92" i="5"/>
  <c r="L92" i="5" s="1"/>
  <c r="A92" i="5"/>
  <c r="K91" i="5"/>
  <c r="J91" i="5"/>
  <c r="I91" i="5"/>
  <c r="G91" i="5"/>
  <c r="F91" i="5"/>
  <c r="D91" i="5"/>
  <c r="B91" i="5"/>
  <c r="L91" i="5" s="1"/>
  <c r="A91" i="5"/>
  <c r="K90" i="5"/>
  <c r="J90" i="5"/>
  <c r="I90" i="5"/>
  <c r="G90" i="5"/>
  <c r="F90" i="5"/>
  <c r="D90" i="5"/>
  <c r="B90" i="5"/>
  <c r="L90" i="5" s="1"/>
  <c r="A90" i="5"/>
  <c r="K89" i="5"/>
  <c r="J89" i="5"/>
  <c r="I89" i="5"/>
  <c r="G89" i="5"/>
  <c r="F89" i="5"/>
  <c r="D89" i="5"/>
  <c r="B89" i="5"/>
  <c r="L89" i="5" s="1"/>
  <c r="A89" i="5"/>
  <c r="K88" i="5"/>
  <c r="J88" i="5"/>
  <c r="I88" i="5"/>
  <c r="G88" i="5"/>
  <c r="F88" i="5"/>
  <c r="D88" i="5"/>
  <c r="B88" i="5"/>
  <c r="L88" i="5" s="1"/>
  <c r="A88" i="5"/>
  <c r="K87" i="5"/>
  <c r="J87" i="5"/>
  <c r="I87" i="5"/>
  <c r="G87" i="5"/>
  <c r="F87" i="5"/>
  <c r="D87" i="5"/>
  <c r="B87" i="5"/>
  <c r="L87" i="5" s="1"/>
  <c r="A87" i="5"/>
  <c r="K86" i="5"/>
  <c r="J86" i="5"/>
  <c r="I86" i="5"/>
  <c r="G86" i="5"/>
  <c r="F86" i="5"/>
  <c r="D86" i="5"/>
  <c r="B86" i="5"/>
  <c r="L86" i="5" s="1"/>
  <c r="A86" i="5"/>
  <c r="K85" i="5"/>
  <c r="J85" i="5"/>
  <c r="I85" i="5"/>
  <c r="G85" i="5"/>
  <c r="F85" i="5"/>
  <c r="D85" i="5"/>
  <c r="B85" i="5"/>
  <c r="L85" i="5" s="1"/>
  <c r="A85" i="5"/>
  <c r="K84" i="5"/>
  <c r="J84" i="5"/>
  <c r="I84" i="5"/>
  <c r="G84" i="5"/>
  <c r="F84" i="5"/>
  <c r="D84" i="5"/>
  <c r="B84" i="5"/>
  <c r="L84" i="5" s="1"/>
  <c r="A84" i="5"/>
  <c r="K83" i="5"/>
  <c r="J83" i="5"/>
  <c r="I83" i="5"/>
  <c r="G83" i="5"/>
  <c r="F83" i="5"/>
  <c r="D83" i="5"/>
  <c r="B83" i="5"/>
  <c r="L83" i="5" s="1"/>
  <c r="A83" i="5"/>
  <c r="K82" i="5"/>
  <c r="J82" i="5"/>
  <c r="I82" i="5"/>
  <c r="G82" i="5"/>
  <c r="F82" i="5"/>
  <c r="D82" i="5"/>
  <c r="B82" i="5"/>
  <c r="L82" i="5" s="1"/>
  <c r="A82" i="5"/>
  <c r="K81" i="5"/>
  <c r="J81" i="5"/>
  <c r="I81" i="5"/>
  <c r="G81" i="5"/>
  <c r="F81" i="5"/>
  <c r="D81" i="5"/>
  <c r="B81" i="5"/>
  <c r="L81" i="5" s="1"/>
  <c r="A81" i="5"/>
  <c r="K80" i="5"/>
  <c r="J80" i="5"/>
  <c r="I80" i="5"/>
  <c r="G80" i="5"/>
  <c r="F80" i="5"/>
  <c r="D80" i="5"/>
  <c r="B80" i="5"/>
  <c r="L80" i="5" s="1"/>
  <c r="A80" i="5"/>
  <c r="K79" i="5"/>
  <c r="J79" i="5"/>
  <c r="I79" i="5"/>
  <c r="G79" i="5"/>
  <c r="F79" i="5"/>
  <c r="D79" i="5"/>
  <c r="B79" i="5"/>
  <c r="L79" i="5" s="1"/>
  <c r="A79" i="5"/>
  <c r="K78" i="5"/>
  <c r="J78" i="5"/>
  <c r="I78" i="5"/>
  <c r="G78" i="5"/>
  <c r="F78" i="5"/>
  <c r="D78" i="5"/>
  <c r="B78" i="5"/>
  <c r="L78" i="5" s="1"/>
  <c r="A78" i="5"/>
  <c r="K77" i="5"/>
  <c r="J77" i="5"/>
  <c r="I77" i="5"/>
  <c r="G77" i="5"/>
  <c r="F77" i="5"/>
  <c r="D77" i="5"/>
  <c r="B77" i="5"/>
  <c r="L77" i="5" s="1"/>
  <c r="A77" i="5"/>
  <c r="K76" i="5"/>
  <c r="J76" i="5"/>
  <c r="I76" i="5"/>
  <c r="G76" i="5"/>
  <c r="F76" i="5"/>
  <c r="D76" i="5"/>
  <c r="B76" i="5"/>
  <c r="L76" i="5" s="1"/>
  <c r="A76" i="5"/>
  <c r="AR75" i="5"/>
  <c r="AC75" i="5"/>
  <c r="N75" i="5"/>
  <c r="K75" i="5"/>
  <c r="O75" i="5" s="1"/>
  <c r="P75" i="5" s="1"/>
  <c r="Q75" i="5" s="1"/>
  <c r="R75" i="5" s="1"/>
  <c r="S75" i="5" s="1"/>
  <c r="T75" i="5" s="1"/>
  <c r="U75" i="5" s="1"/>
  <c r="V75" i="5" s="1"/>
  <c r="W75" i="5" s="1"/>
  <c r="X75" i="5" s="1"/>
  <c r="Y75" i="5" s="1"/>
  <c r="Z75" i="5" s="1"/>
  <c r="AD75" i="5" s="1"/>
  <c r="AE75" i="5" s="1"/>
  <c r="AF75" i="5" s="1"/>
  <c r="AG75" i="5" s="1"/>
  <c r="AH75" i="5" s="1"/>
  <c r="AI75" i="5" s="1"/>
  <c r="AJ75" i="5" s="1"/>
  <c r="AK75" i="5" s="1"/>
  <c r="AL75" i="5" s="1"/>
  <c r="AM75" i="5" s="1"/>
  <c r="AN75" i="5" s="1"/>
  <c r="AO75" i="5" s="1"/>
  <c r="AS75" i="5" s="1"/>
  <c r="AT75" i="5" s="1"/>
  <c r="AU75" i="5" s="1"/>
  <c r="AV75" i="5" s="1"/>
  <c r="AW75" i="5" s="1"/>
  <c r="AX75" i="5" s="1"/>
  <c r="AY75" i="5" s="1"/>
  <c r="AZ75" i="5" s="1"/>
  <c r="BA75" i="5" s="1"/>
  <c r="BB75" i="5" s="1"/>
  <c r="BC75" i="5" s="1"/>
  <c r="BD75" i="5" s="1"/>
  <c r="J75" i="5"/>
  <c r="I75" i="5"/>
  <c r="G75" i="5"/>
  <c r="F75" i="5"/>
  <c r="D75" i="5"/>
  <c r="B75" i="5"/>
  <c r="L75" i="5" s="1"/>
  <c r="A75" i="5"/>
  <c r="K74" i="5"/>
  <c r="J74" i="5"/>
  <c r="I74" i="5"/>
  <c r="G74" i="5"/>
  <c r="F74" i="5"/>
  <c r="D74" i="5"/>
  <c r="B74" i="5"/>
  <c r="L74" i="5" s="1"/>
  <c r="A74" i="5"/>
  <c r="AR73" i="5"/>
  <c r="AC73" i="5"/>
  <c r="N73" i="5"/>
  <c r="K73" i="5"/>
  <c r="O73" i="5" s="1"/>
  <c r="P73" i="5" s="1"/>
  <c r="Q73" i="5" s="1"/>
  <c r="R73" i="5" s="1"/>
  <c r="S73" i="5" s="1"/>
  <c r="T73" i="5" s="1"/>
  <c r="U73" i="5" s="1"/>
  <c r="V73" i="5" s="1"/>
  <c r="W73" i="5" s="1"/>
  <c r="X73" i="5" s="1"/>
  <c r="Y73" i="5" s="1"/>
  <c r="Z73" i="5" s="1"/>
  <c r="AD73" i="5" s="1"/>
  <c r="AE73" i="5" s="1"/>
  <c r="AF73" i="5" s="1"/>
  <c r="AG73" i="5" s="1"/>
  <c r="AH73" i="5" s="1"/>
  <c r="AI73" i="5" s="1"/>
  <c r="AJ73" i="5" s="1"/>
  <c r="AK73" i="5" s="1"/>
  <c r="AL73" i="5" s="1"/>
  <c r="AM73" i="5" s="1"/>
  <c r="AN73" i="5" s="1"/>
  <c r="AO73" i="5" s="1"/>
  <c r="AS73" i="5" s="1"/>
  <c r="AT73" i="5" s="1"/>
  <c r="AU73" i="5" s="1"/>
  <c r="AV73" i="5" s="1"/>
  <c r="AW73" i="5" s="1"/>
  <c r="AX73" i="5" s="1"/>
  <c r="AY73" i="5" s="1"/>
  <c r="AZ73" i="5" s="1"/>
  <c r="BA73" i="5" s="1"/>
  <c r="BB73" i="5" s="1"/>
  <c r="BC73" i="5" s="1"/>
  <c r="BD73" i="5" s="1"/>
  <c r="J73" i="5"/>
  <c r="I73" i="5"/>
  <c r="G73" i="5"/>
  <c r="F73" i="5"/>
  <c r="D73" i="5"/>
  <c r="B73" i="5"/>
  <c r="L73" i="5" s="1"/>
  <c r="A73" i="5"/>
  <c r="G72" i="5"/>
  <c r="F72" i="5"/>
  <c r="D72" i="5"/>
  <c r="B72" i="5"/>
  <c r="L72" i="5" s="1"/>
  <c r="A72" i="5"/>
  <c r="K71" i="5"/>
  <c r="J71" i="5"/>
  <c r="I71" i="5"/>
  <c r="G71" i="5"/>
  <c r="F71" i="5"/>
  <c r="D71" i="5"/>
  <c r="B71" i="5"/>
  <c r="L71" i="5" s="1"/>
  <c r="A71" i="5"/>
  <c r="G70" i="5"/>
  <c r="F70" i="5"/>
  <c r="D70" i="5"/>
  <c r="B70" i="5"/>
  <c r="L70" i="5" s="1"/>
  <c r="A70" i="5"/>
  <c r="K69" i="5"/>
  <c r="J69" i="5"/>
  <c r="I69" i="5"/>
  <c r="G69" i="5"/>
  <c r="F69" i="5"/>
  <c r="D69" i="5"/>
  <c r="B69" i="5"/>
  <c r="L69" i="5" s="1"/>
  <c r="A69" i="5"/>
  <c r="K68" i="5"/>
  <c r="J68" i="5"/>
  <c r="I68" i="5"/>
  <c r="G68" i="5"/>
  <c r="F68" i="5"/>
  <c r="D68" i="5"/>
  <c r="B68" i="5"/>
  <c r="L68" i="5" s="1"/>
  <c r="A68" i="5"/>
  <c r="K67" i="5"/>
  <c r="J67" i="5"/>
  <c r="I67" i="5"/>
  <c r="G67" i="5"/>
  <c r="F67" i="5"/>
  <c r="D67" i="5"/>
  <c r="B67" i="5"/>
  <c r="L67" i="5" s="1"/>
  <c r="A67" i="5"/>
  <c r="G66" i="5"/>
  <c r="F66" i="5"/>
  <c r="D66" i="5"/>
  <c r="B66" i="5"/>
  <c r="L66" i="5" s="1"/>
  <c r="A66" i="5"/>
  <c r="K65" i="5"/>
  <c r="J65" i="5"/>
  <c r="I65" i="5"/>
  <c r="G65" i="5"/>
  <c r="F65" i="5"/>
  <c r="D65" i="5"/>
  <c r="B65" i="5"/>
  <c r="L65" i="5" s="1"/>
  <c r="A65" i="5"/>
  <c r="K64" i="5"/>
  <c r="J64" i="5"/>
  <c r="I64" i="5"/>
  <c r="G64" i="5"/>
  <c r="F64" i="5"/>
  <c r="D64" i="5"/>
  <c r="B64" i="5"/>
  <c r="L64" i="5" s="1"/>
  <c r="A64" i="5"/>
  <c r="K63" i="5"/>
  <c r="J63" i="5"/>
  <c r="I63" i="5"/>
  <c r="G63" i="5"/>
  <c r="F63" i="5"/>
  <c r="D63" i="5"/>
  <c r="B63" i="5"/>
  <c r="L63" i="5" s="1"/>
  <c r="A63" i="5"/>
  <c r="K62" i="5"/>
  <c r="J62" i="5"/>
  <c r="I62" i="5"/>
  <c r="G62" i="5"/>
  <c r="F62" i="5"/>
  <c r="D62" i="5"/>
  <c r="B62" i="5"/>
  <c r="L62" i="5" s="1"/>
  <c r="A62" i="5"/>
  <c r="K61" i="5"/>
  <c r="J61" i="5"/>
  <c r="I61" i="5"/>
  <c r="G61" i="5"/>
  <c r="F61" i="5"/>
  <c r="D61" i="5"/>
  <c r="B61" i="5"/>
  <c r="L61" i="5" s="1"/>
  <c r="A61" i="5"/>
  <c r="K60" i="5"/>
  <c r="J60" i="5"/>
  <c r="I60" i="5"/>
  <c r="G60" i="5"/>
  <c r="F60" i="5"/>
  <c r="D60" i="5"/>
  <c r="B60" i="5"/>
  <c r="L60" i="5" s="1"/>
  <c r="A60" i="5"/>
  <c r="K59" i="5"/>
  <c r="J59" i="5"/>
  <c r="I59" i="5"/>
  <c r="G59" i="5"/>
  <c r="F59" i="5"/>
  <c r="D59" i="5"/>
  <c r="B59" i="5"/>
  <c r="L59" i="5" s="1"/>
  <c r="A59" i="5"/>
  <c r="K58" i="5"/>
  <c r="J58" i="5"/>
  <c r="I58" i="5"/>
  <c r="G58" i="5"/>
  <c r="F58" i="5"/>
  <c r="D58" i="5"/>
  <c r="B58" i="5"/>
  <c r="L58" i="5" s="1"/>
  <c r="A58" i="5"/>
  <c r="K57" i="5"/>
  <c r="J57" i="5"/>
  <c r="I57" i="5"/>
  <c r="G57" i="5"/>
  <c r="F57" i="5"/>
  <c r="D57" i="5"/>
  <c r="B57" i="5"/>
  <c r="L57" i="5" s="1"/>
  <c r="A57" i="5"/>
  <c r="K56" i="5"/>
  <c r="J56" i="5"/>
  <c r="I56" i="5"/>
  <c r="G56" i="5"/>
  <c r="F56" i="5"/>
  <c r="D56" i="5"/>
  <c r="B56" i="5"/>
  <c r="L56" i="5" s="1"/>
  <c r="A56" i="5"/>
  <c r="K55" i="5"/>
  <c r="J55" i="5"/>
  <c r="I55" i="5"/>
  <c r="G55" i="5"/>
  <c r="F55" i="5"/>
  <c r="D55" i="5"/>
  <c r="B55" i="5"/>
  <c r="L55" i="5" s="1"/>
  <c r="A55" i="5"/>
  <c r="K54" i="5"/>
  <c r="J54" i="5"/>
  <c r="I54" i="5"/>
  <c r="G54" i="5"/>
  <c r="F54" i="5"/>
  <c r="D54" i="5"/>
  <c r="B54" i="5"/>
  <c r="L54" i="5" s="1"/>
  <c r="A54" i="5"/>
  <c r="AR53" i="5"/>
  <c r="AC53" i="5"/>
  <c r="N53" i="5"/>
  <c r="K53" i="5"/>
  <c r="O53" i="5" s="1"/>
  <c r="J53" i="5"/>
  <c r="I53" i="5"/>
  <c r="H53" i="5"/>
  <c r="G53" i="5"/>
  <c r="F53" i="5"/>
  <c r="D53" i="5"/>
  <c r="B53" i="5"/>
  <c r="L53" i="5" s="1"/>
  <c r="A53" i="5"/>
  <c r="K52" i="5"/>
  <c r="J52" i="5"/>
  <c r="I52" i="5"/>
  <c r="G52" i="5"/>
  <c r="F52" i="5"/>
  <c r="D52" i="5"/>
  <c r="B52" i="5"/>
  <c r="L52" i="5" s="1"/>
  <c r="A52" i="5"/>
  <c r="K51" i="5"/>
  <c r="J51" i="5"/>
  <c r="I51" i="5"/>
  <c r="G51" i="5"/>
  <c r="F51" i="5"/>
  <c r="D51" i="5"/>
  <c r="B51" i="5"/>
  <c r="L51" i="5" s="1"/>
  <c r="A51" i="5"/>
  <c r="G50" i="5"/>
  <c r="F50" i="5"/>
  <c r="D50" i="5"/>
  <c r="B50" i="5"/>
  <c r="L50" i="5" s="1"/>
  <c r="A50" i="5"/>
  <c r="K49" i="5"/>
  <c r="J49" i="5"/>
  <c r="I49" i="5"/>
  <c r="H49" i="5"/>
  <c r="G49" i="5"/>
  <c r="F49" i="5"/>
  <c r="D49" i="5"/>
  <c r="B49" i="5"/>
  <c r="L49" i="5" s="1"/>
  <c r="A49" i="5"/>
  <c r="K48" i="5"/>
  <c r="J48" i="5"/>
  <c r="I48" i="5"/>
  <c r="G48" i="5"/>
  <c r="F48" i="5"/>
  <c r="D48" i="5"/>
  <c r="B48" i="5"/>
  <c r="L48" i="5" s="1"/>
  <c r="A48" i="5"/>
  <c r="AR47" i="5"/>
  <c r="AC47" i="5"/>
  <c r="N47" i="5"/>
  <c r="K47" i="5"/>
  <c r="O47" i="5" s="1"/>
  <c r="P47" i="5" s="1"/>
  <c r="Q47" i="5" s="1"/>
  <c r="R47" i="5" s="1"/>
  <c r="S47" i="5" s="1"/>
  <c r="T47" i="5" s="1"/>
  <c r="U47" i="5" s="1"/>
  <c r="V47" i="5" s="1"/>
  <c r="W47" i="5" s="1"/>
  <c r="X47" i="5" s="1"/>
  <c r="Y47" i="5" s="1"/>
  <c r="Z47" i="5" s="1"/>
  <c r="AD47" i="5" s="1"/>
  <c r="AE47" i="5" s="1"/>
  <c r="AF47" i="5" s="1"/>
  <c r="AG47" i="5" s="1"/>
  <c r="AH47" i="5" s="1"/>
  <c r="AI47" i="5" s="1"/>
  <c r="AJ47" i="5" s="1"/>
  <c r="AK47" i="5" s="1"/>
  <c r="AL47" i="5" s="1"/>
  <c r="AM47" i="5" s="1"/>
  <c r="AN47" i="5" s="1"/>
  <c r="AO47" i="5" s="1"/>
  <c r="AS47" i="5" s="1"/>
  <c r="AT47" i="5" s="1"/>
  <c r="AU47" i="5" s="1"/>
  <c r="AV47" i="5" s="1"/>
  <c r="AW47" i="5" s="1"/>
  <c r="AX47" i="5" s="1"/>
  <c r="AY47" i="5" s="1"/>
  <c r="AZ47" i="5" s="1"/>
  <c r="BA47" i="5" s="1"/>
  <c r="BB47" i="5" s="1"/>
  <c r="BC47" i="5" s="1"/>
  <c r="BD47" i="5" s="1"/>
  <c r="J47" i="5"/>
  <c r="I47" i="5"/>
  <c r="G47" i="5"/>
  <c r="F47" i="5"/>
  <c r="D47" i="5"/>
  <c r="B47" i="5"/>
  <c r="L47" i="5" s="1"/>
  <c r="A47" i="5"/>
  <c r="K46" i="5"/>
  <c r="J46" i="5"/>
  <c r="I46" i="5"/>
  <c r="G46" i="5"/>
  <c r="F46" i="5"/>
  <c r="D46" i="5"/>
  <c r="B46" i="5"/>
  <c r="L46" i="5" s="1"/>
  <c r="A46" i="5"/>
  <c r="K45" i="5"/>
  <c r="H45" i="5"/>
  <c r="M45" i="5" s="1"/>
  <c r="AC45" i="5" s="1"/>
  <c r="G45" i="5"/>
  <c r="F45" i="5"/>
  <c r="D45" i="5"/>
  <c r="B45" i="5"/>
  <c r="L45" i="5" s="1"/>
  <c r="A45" i="5"/>
  <c r="K44" i="5"/>
  <c r="J44" i="5"/>
  <c r="I44" i="5"/>
  <c r="G44" i="5"/>
  <c r="F44" i="5"/>
  <c r="D44" i="5"/>
  <c r="B44" i="5"/>
  <c r="L44" i="5" s="1"/>
  <c r="A44" i="5"/>
  <c r="K43" i="5"/>
  <c r="J43" i="5"/>
  <c r="I43" i="5"/>
  <c r="G43" i="5"/>
  <c r="F43" i="5"/>
  <c r="D43" i="5"/>
  <c r="B43" i="5"/>
  <c r="L43" i="5" s="1"/>
  <c r="A43" i="5"/>
  <c r="K42" i="5"/>
  <c r="J42" i="5"/>
  <c r="I42" i="5"/>
  <c r="G42" i="5"/>
  <c r="F42" i="5"/>
  <c r="D42" i="5"/>
  <c r="B42" i="5"/>
  <c r="L42" i="5" s="1"/>
  <c r="A42" i="5"/>
  <c r="K41" i="5"/>
  <c r="J41" i="5"/>
  <c r="I41" i="5"/>
  <c r="H41" i="5"/>
  <c r="G41" i="5"/>
  <c r="F41" i="5"/>
  <c r="D41" i="5"/>
  <c r="B41" i="5"/>
  <c r="L41" i="5" s="1"/>
  <c r="A41" i="5"/>
  <c r="G40" i="5"/>
  <c r="F40" i="5"/>
  <c r="D40" i="5"/>
  <c r="B40" i="5"/>
  <c r="L40" i="5" s="1"/>
  <c r="A40" i="5"/>
  <c r="AC39" i="5"/>
  <c r="N39" i="5"/>
  <c r="K39" i="5"/>
  <c r="O39" i="5" s="1"/>
  <c r="P39" i="5" s="1"/>
  <c r="Q39" i="5" s="1"/>
  <c r="R39" i="5" s="1"/>
  <c r="S39" i="5" s="1"/>
  <c r="T39" i="5" s="1"/>
  <c r="U39" i="5" s="1"/>
  <c r="V39" i="5" s="1"/>
  <c r="W39" i="5" s="1"/>
  <c r="X39" i="5" s="1"/>
  <c r="Y39" i="5" s="1"/>
  <c r="Z39" i="5" s="1"/>
  <c r="AD39" i="5" s="1"/>
  <c r="AE39" i="5" s="1"/>
  <c r="AF39" i="5" s="1"/>
  <c r="AG39" i="5" s="1"/>
  <c r="AH39" i="5" s="1"/>
  <c r="AI39" i="5" s="1"/>
  <c r="AJ39" i="5" s="1"/>
  <c r="AK39" i="5" s="1"/>
  <c r="AL39" i="5" s="1"/>
  <c r="AM39" i="5" s="1"/>
  <c r="AN39" i="5" s="1"/>
  <c r="AO39" i="5" s="1"/>
  <c r="AS39" i="5" s="1"/>
  <c r="J39" i="5"/>
  <c r="I39" i="5"/>
  <c r="G39" i="5"/>
  <c r="F39" i="5"/>
  <c r="D39" i="5"/>
  <c r="B39" i="5"/>
  <c r="L39" i="5" s="1"/>
  <c r="A39" i="5"/>
  <c r="AR38" i="5"/>
  <c r="AC38" i="5"/>
  <c r="O38" i="5"/>
  <c r="P38" i="5" s="1"/>
  <c r="Q38" i="5" s="1"/>
  <c r="R38" i="5" s="1"/>
  <c r="S38" i="5" s="1"/>
  <c r="T38" i="5" s="1"/>
  <c r="U38" i="5" s="1"/>
  <c r="V38" i="5" s="1"/>
  <c r="W38" i="5" s="1"/>
  <c r="X38" i="5" s="1"/>
  <c r="Y38" i="5" s="1"/>
  <c r="Z38" i="5" s="1"/>
  <c r="AD38" i="5" s="1"/>
  <c r="AE38" i="5" s="1"/>
  <c r="AF38" i="5" s="1"/>
  <c r="AG38" i="5" s="1"/>
  <c r="AH38" i="5" s="1"/>
  <c r="AI38" i="5" s="1"/>
  <c r="AJ38" i="5" s="1"/>
  <c r="AK38" i="5" s="1"/>
  <c r="AL38" i="5" s="1"/>
  <c r="AM38" i="5" s="1"/>
  <c r="AN38" i="5" s="1"/>
  <c r="AO38" i="5" s="1"/>
  <c r="AS38" i="5" s="1"/>
  <c r="AT38" i="5" s="1"/>
  <c r="AU38" i="5" s="1"/>
  <c r="AV38" i="5" s="1"/>
  <c r="AW38" i="5" s="1"/>
  <c r="AX38" i="5" s="1"/>
  <c r="AY38" i="5" s="1"/>
  <c r="AZ38" i="5" s="1"/>
  <c r="BA38" i="5" s="1"/>
  <c r="BB38" i="5" s="1"/>
  <c r="BC38" i="5" s="1"/>
  <c r="BD38" i="5" s="1"/>
  <c r="N38" i="5"/>
  <c r="G38" i="5"/>
  <c r="F38" i="5"/>
  <c r="D38" i="5"/>
  <c r="B38" i="5"/>
  <c r="L38" i="5" s="1"/>
  <c r="A38" i="5"/>
  <c r="AR37" i="5"/>
  <c r="AC37" i="5"/>
  <c r="O37" i="5"/>
  <c r="P37" i="5" s="1"/>
  <c r="Q37" i="5" s="1"/>
  <c r="R37" i="5" s="1"/>
  <c r="S37" i="5" s="1"/>
  <c r="T37" i="5" s="1"/>
  <c r="U37" i="5" s="1"/>
  <c r="V37" i="5" s="1"/>
  <c r="W37" i="5" s="1"/>
  <c r="X37" i="5" s="1"/>
  <c r="Y37" i="5" s="1"/>
  <c r="Z37" i="5" s="1"/>
  <c r="AD37" i="5" s="1"/>
  <c r="AE37" i="5" s="1"/>
  <c r="AF37" i="5" s="1"/>
  <c r="AG37" i="5" s="1"/>
  <c r="AH37" i="5" s="1"/>
  <c r="AI37" i="5" s="1"/>
  <c r="AJ37" i="5" s="1"/>
  <c r="AK37" i="5" s="1"/>
  <c r="AL37" i="5" s="1"/>
  <c r="AM37" i="5" s="1"/>
  <c r="AN37" i="5" s="1"/>
  <c r="AO37" i="5" s="1"/>
  <c r="AS37" i="5" s="1"/>
  <c r="AT37" i="5" s="1"/>
  <c r="AU37" i="5" s="1"/>
  <c r="AV37" i="5" s="1"/>
  <c r="AW37" i="5" s="1"/>
  <c r="AX37" i="5" s="1"/>
  <c r="AY37" i="5" s="1"/>
  <c r="AZ37" i="5" s="1"/>
  <c r="BA37" i="5" s="1"/>
  <c r="BB37" i="5" s="1"/>
  <c r="BC37" i="5" s="1"/>
  <c r="BD37" i="5" s="1"/>
  <c r="N37" i="5"/>
  <c r="G37" i="5"/>
  <c r="F37" i="5"/>
  <c r="D37" i="5"/>
  <c r="B37" i="5"/>
  <c r="L37" i="5" s="1"/>
  <c r="A37" i="5"/>
  <c r="AR36" i="5"/>
  <c r="AC36" i="5"/>
  <c r="O36" i="5"/>
  <c r="P36" i="5" s="1"/>
  <c r="Q36" i="5" s="1"/>
  <c r="R36" i="5" s="1"/>
  <c r="S36" i="5" s="1"/>
  <c r="T36" i="5" s="1"/>
  <c r="U36" i="5" s="1"/>
  <c r="V36" i="5" s="1"/>
  <c r="W36" i="5" s="1"/>
  <c r="X36" i="5" s="1"/>
  <c r="Y36" i="5" s="1"/>
  <c r="Z36" i="5" s="1"/>
  <c r="AD36" i="5" s="1"/>
  <c r="AE36" i="5" s="1"/>
  <c r="AF36" i="5" s="1"/>
  <c r="AG36" i="5" s="1"/>
  <c r="AH36" i="5" s="1"/>
  <c r="AI36" i="5" s="1"/>
  <c r="AJ36" i="5" s="1"/>
  <c r="AK36" i="5" s="1"/>
  <c r="AL36" i="5" s="1"/>
  <c r="AM36" i="5" s="1"/>
  <c r="AN36" i="5" s="1"/>
  <c r="AO36" i="5" s="1"/>
  <c r="AS36" i="5" s="1"/>
  <c r="AT36" i="5" s="1"/>
  <c r="AU36" i="5" s="1"/>
  <c r="AV36" i="5" s="1"/>
  <c r="AW36" i="5" s="1"/>
  <c r="AX36" i="5" s="1"/>
  <c r="AY36" i="5" s="1"/>
  <c r="AZ36" i="5" s="1"/>
  <c r="BA36" i="5" s="1"/>
  <c r="BB36" i="5" s="1"/>
  <c r="BC36" i="5" s="1"/>
  <c r="BD36" i="5" s="1"/>
  <c r="N36" i="5"/>
  <c r="G36" i="5"/>
  <c r="F36" i="5"/>
  <c r="D36" i="5"/>
  <c r="B36" i="5"/>
  <c r="L36" i="5" s="1"/>
  <c r="A36" i="5"/>
  <c r="K35" i="5"/>
  <c r="O35" i="5" s="1"/>
  <c r="P35" i="5" s="1"/>
  <c r="Q35" i="5" s="1"/>
  <c r="R35" i="5" s="1"/>
  <c r="S35" i="5" s="1"/>
  <c r="T35" i="5" s="1"/>
  <c r="U35" i="5" s="1"/>
  <c r="J35" i="5"/>
  <c r="I35" i="5"/>
  <c r="G35" i="5"/>
  <c r="F35" i="5"/>
  <c r="D35" i="5"/>
  <c r="B35" i="5"/>
  <c r="L35" i="5" s="1"/>
  <c r="A35" i="5"/>
  <c r="N34" i="5"/>
  <c r="K34" i="5"/>
  <c r="O34" i="5" s="1"/>
  <c r="P34" i="5" s="1"/>
  <c r="Q34" i="5" s="1"/>
  <c r="R34" i="5" s="1"/>
  <c r="S34" i="5" s="1"/>
  <c r="T34" i="5" s="1"/>
  <c r="U34" i="5" s="1"/>
  <c r="V34" i="5" s="1"/>
  <c r="W34" i="5" s="1"/>
  <c r="X34" i="5" s="1"/>
  <c r="Y34" i="5" s="1"/>
  <c r="Z34" i="5" s="1"/>
  <c r="AD34" i="5" s="1"/>
  <c r="J34" i="5"/>
  <c r="I34" i="5"/>
  <c r="H34" i="5"/>
  <c r="G34" i="5"/>
  <c r="F34" i="5"/>
  <c r="D34" i="5"/>
  <c r="B34" i="5"/>
  <c r="L34" i="5" s="1"/>
  <c r="A34" i="5"/>
  <c r="N33" i="5"/>
  <c r="K33" i="5"/>
  <c r="O33" i="5" s="1"/>
  <c r="P33" i="5" s="1"/>
  <c r="Q33" i="5" s="1"/>
  <c r="R33" i="5" s="1"/>
  <c r="S33" i="5" s="1"/>
  <c r="T33" i="5" s="1"/>
  <c r="U33" i="5" s="1"/>
  <c r="V33" i="5" s="1"/>
  <c r="W33" i="5" s="1"/>
  <c r="X33" i="5" s="1"/>
  <c r="Y33" i="5" s="1"/>
  <c r="Z33" i="5" s="1"/>
  <c r="AD33" i="5" s="1"/>
  <c r="J33" i="5"/>
  <c r="I33" i="5"/>
  <c r="H33" i="5"/>
  <c r="G33" i="5"/>
  <c r="F33" i="5"/>
  <c r="D33" i="5"/>
  <c r="B33" i="5"/>
  <c r="L33" i="5" s="1"/>
  <c r="A33" i="5"/>
  <c r="K32" i="5"/>
  <c r="J32" i="5"/>
  <c r="I32" i="5"/>
  <c r="H32" i="5"/>
  <c r="G32" i="5"/>
  <c r="F32" i="5"/>
  <c r="D32" i="5"/>
  <c r="B32" i="5"/>
  <c r="L32" i="5" s="1"/>
  <c r="A32" i="5"/>
  <c r="K31" i="5"/>
  <c r="J31" i="5"/>
  <c r="I31" i="5"/>
  <c r="H31" i="5"/>
  <c r="G31" i="5"/>
  <c r="F31" i="5"/>
  <c r="D31" i="5"/>
  <c r="B31" i="5"/>
  <c r="L31" i="5" s="1"/>
  <c r="A31" i="5"/>
  <c r="K30" i="5"/>
  <c r="J30" i="5"/>
  <c r="I30" i="5"/>
  <c r="H30" i="5"/>
  <c r="G30" i="5"/>
  <c r="F30" i="5"/>
  <c r="D30" i="5"/>
  <c r="B30" i="5"/>
  <c r="L30" i="5" s="1"/>
  <c r="A30" i="5"/>
  <c r="K29" i="5"/>
  <c r="J29" i="5"/>
  <c r="I29" i="5"/>
  <c r="H29" i="5"/>
  <c r="G29" i="5"/>
  <c r="F29" i="5"/>
  <c r="D29" i="5"/>
  <c r="B29" i="5"/>
  <c r="L29" i="5" s="1"/>
  <c r="A29" i="5"/>
  <c r="N28" i="5"/>
  <c r="K28" i="5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D28" i="5" s="1"/>
  <c r="J28" i="5"/>
  <c r="I28" i="5"/>
  <c r="G28" i="5"/>
  <c r="F28" i="5"/>
  <c r="D28" i="5"/>
  <c r="B28" i="5"/>
  <c r="L28" i="5" s="1"/>
  <c r="A28" i="5"/>
  <c r="AR27" i="5"/>
  <c r="AC27" i="5"/>
  <c r="O27" i="5"/>
  <c r="P27" i="5" s="1"/>
  <c r="Q27" i="5" s="1"/>
  <c r="R27" i="5" s="1"/>
  <c r="S27" i="5" s="1"/>
  <c r="T27" i="5" s="1"/>
  <c r="U27" i="5" s="1"/>
  <c r="V27" i="5" s="1"/>
  <c r="W27" i="5" s="1"/>
  <c r="X27" i="5" s="1"/>
  <c r="Y27" i="5" s="1"/>
  <c r="Z27" i="5" s="1"/>
  <c r="AD27" i="5" s="1"/>
  <c r="AE27" i="5" s="1"/>
  <c r="AF27" i="5" s="1"/>
  <c r="AG27" i="5" s="1"/>
  <c r="AH27" i="5" s="1"/>
  <c r="AI27" i="5" s="1"/>
  <c r="AJ27" i="5" s="1"/>
  <c r="AK27" i="5" s="1"/>
  <c r="AL27" i="5" s="1"/>
  <c r="AM27" i="5" s="1"/>
  <c r="AN27" i="5" s="1"/>
  <c r="AO27" i="5" s="1"/>
  <c r="AS27" i="5" s="1"/>
  <c r="AT27" i="5" s="1"/>
  <c r="AU27" i="5" s="1"/>
  <c r="AV27" i="5" s="1"/>
  <c r="AW27" i="5" s="1"/>
  <c r="AX27" i="5" s="1"/>
  <c r="AY27" i="5" s="1"/>
  <c r="AZ27" i="5" s="1"/>
  <c r="BA27" i="5" s="1"/>
  <c r="BB27" i="5" s="1"/>
  <c r="BC27" i="5" s="1"/>
  <c r="BD27" i="5" s="1"/>
  <c r="N27" i="5"/>
  <c r="G27" i="5"/>
  <c r="F27" i="5"/>
  <c r="D27" i="5"/>
  <c r="B27" i="5"/>
  <c r="L27" i="5" s="1"/>
  <c r="A27" i="5"/>
  <c r="AR26" i="5"/>
  <c r="N26" i="5"/>
  <c r="K26" i="5"/>
  <c r="O26" i="5" s="1"/>
  <c r="P26" i="5" s="1"/>
  <c r="Q26" i="5" s="1"/>
  <c r="R26" i="5" s="1"/>
  <c r="S26" i="5" s="1"/>
  <c r="T26" i="5" s="1"/>
  <c r="U26" i="5" s="1"/>
  <c r="V26" i="5" s="1"/>
  <c r="W26" i="5" s="1"/>
  <c r="X26" i="5" s="1"/>
  <c r="Y26" i="5" s="1"/>
  <c r="Z26" i="5" s="1"/>
  <c r="AD26" i="5" s="1"/>
  <c r="J26" i="5"/>
  <c r="I26" i="5"/>
  <c r="G26" i="5"/>
  <c r="F26" i="5"/>
  <c r="D26" i="5"/>
  <c r="B26" i="5"/>
  <c r="L26" i="5" s="1"/>
  <c r="A26" i="5"/>
  <c r="AR25" i="5"/>
  <c r="AM25" i="5"/>
  <c r="AN25" i="5" s="1"/>
  <c r="AO25" i="5" s="1"/>
  <c r="AS25" i="5" s="1"/>
  <c r="AT25" i="5" s="1"/>
  <c r="AU25" i="5" s="1"/>
  <c r="AV25" i="5" s="1"/>
  <c r="AW25" i="5" s="1"/>
  <c r="AX25" i="5" s="1"/>
  <c r="AY25" i="5" s="1"/>
  <c r="AZ25" i="5" s="1"/>
  <c r="BA25" i="5" s="1"/>
  <c r="BB25" i="5" s="1"/>
  <c r="BC25" i="5" s="1"/>
  <c r="BD25" i="5" s="1"/>
  <c r="H25" i="5"/>
  <c r="G25" i="5"/>
  <c r="F25" i="5"/>
  <c r="D25" i="5"/>
  <c r="B25" i="5"/>
  <c r="L25" i="5" s="1"/>
  <c r="A25" i="5"/>
  <c r="M24" i="5"/>
  <c r="AR24" i="5" s="1"/>
  <c r="K24" i="5"/>
  <c r="J24" i="5"/>
  <c r="I24" i="5"/>
  <c r="G24" i="5"/>
  <c r="F24" i="5"/>
  <c r="D24" i="5"/>
  <c r="B24" i="5"/>
  <c r="L24" i="5" s="1"/>
  <c r="A24" i="5"/>
  <c r="AR23" i="5"/>
  <c r="AC23" i="5"/>
  <c r="R23" i="5"/>
  <c r="S23" i="5" s="1"/>
  <c r="T23" i="5" s="1"/>
  <c r="U23" i="5" s="1"/>
  <c r="V23" i="5" s="1"/>
  <c r="W23" i="5" s="1"/>
  <c r="X23" i="5" s="1"/>
  <c r="Y23" i="5" s="1"/>
  <c r="Z23" i="5" s="1"/>
  <c r="AD23" i="5" s="1"/>
  <c r="AE23" i="5" s="1"/>
  <c r="AF23" i="5" s="1"/>
  <c r="AG23" i="5" s="1"/>
  <c r="AH23" i="5" s="1"/>
  <c r="AI23" i="5" s="1"/>
  <c r="AJ23" i="5" s="1"/>
  <c r="AK23" i="5" s="1"/>
  <c r="AL23" i="5" s="1"/>
  <c r="AM23" i="5" s="1"/>
  <c r="AN23" i="5" s="1"/>
  <c r="AO23" i="5" s="1"/>
  <c r="AS23" i="5" s="1"/>
  <c r="AT23" i="5" s="1"/>
  <c r="AU23" i="5" s="1"/>
  <c r="AV23" i="5" s="1"/>
  <c r="AW23" i="5" s="1"/>
  <c r="AX23" i="5" s="1"/>
  <c r="AY23" i="5" s="1"/>
  <c r="AZ23" i="5" s="1"/>
  <c r="BA23" i="5" s="1"/>
  <c r="BB23" i="5" s="1"/>
  <c r="BC23" i="5" s="1"/>
  <c r="BD23" i="5" s="1"/>
  <c r="N23" i="5"/>
  <c r="H23" i="5"/>
  <c r="G23" i="5"/>
  <c r="F23" i="5"/>
  <c r="D23" i="5"/>
  <c r="B23" i="5"/>
  <c r="L23" i="5" s="1"/>
  <c r="A23" i="5"/>
  <c r="G22" i="5"/>
  <c r="F22" i="5"/>
  <c r="D22" i="5"/>
  <c r="B22" i="5"/>
  <c r="L22" i="5" s="1"/>
  <c r="A22" i="5"/>
  <c r="AR21" i="5"/>
  <c r="AC21" i="5"/>
  <c r="O21" i="5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D21" i="5" s="1"/>
  <c r="AE21" i="5" s="1"/>
  <c r="AF21" i="5" s="1"/>
  <c r="AG21" i="5" s="1"/>
  <c r="AH21" i="5" s="1"/>
  <c r="AI21" i="5" s="1"/>
  <c r="AJ21" i="5" s="1"/>
  <c r="AK21" i="5" s="1"/>
  <c r="AL21" i="5" s="1"/>
  <c r="AM21" i="5" s="1"/>
  <c r="AN21" i="5" s="1"/>
  <c r="AO21" i="5" s="1"/>
  <c r="AS21" i="5" s="1"/>
  <c r="N21" i="5"/>
  <c r="J21" i="5"/>
  <c r="I21" i="5"/>
  <c r="H21" i="5"/>
  <c r="G21" i="5"/>
  <c r="F21" i="5"/>
  <c r="D21" i="5"/>
  <c r="B21" i="5"/>
  <c r="L21" i="5" s="1"/>
  <c r="A21" i="5"/>
  <c r="AR20" i="5"/>
  <c r="AC20" i="5"/>
  <c r="O20" i="5"/>
  <c r="P20" i="5" s="1"/>
  <c r="Q20" i="5" s="1"/>
  <c r="R20" i="5" s="1"/>
  <c r="S20" i="5" s="1"/>
  <c r="T20" i="5" s="1"/>
  <c r="U20" i="5" s="1"/>
  <c r="V20" i="5" s="1"/>
  <c r="W20" i="5" s="1"/>
  <c r="X20" i="5" s="1"/>
  <c r="Y20" i="5" s="1"/>
  <c r="Z20" i="5" s="1"/>
  <c r="AD20" i="5" s="1"/>
  <c r="AE20" i="5" s="1"/>
  <c r="AF20" i="5" s="1"/>
  <c r="AG20" i="5" s="1"/>
  <c r="AH20" i="5" s="1"/>
  <c r="AI20" i="5" s="1"/>
  <c r="AJ20" i="5" s="1"/>
  <c r="AK20" i="5" s="1"/>
  <c r="AL20" i="5" s="1"/>
  <c r="AM20" i="5" s="1"/>
  <c r="AN20" i="5" s="1"/>
  <c r="AO20" i="5" s="1"/>
  <c r="AS20" i="5" s="1"/>
  <c r="AT20" i="5" s="1"/>
  <c r="AU20" i="5" s="1"/>
  <c r="AV20" i="5" s="1"/>
  <c r="AW20" i="5" s="1"/>
  <c r="AX20" i="5" s="1"/>
  <c r="AY20" i="5" s="1"/>
  <c r="AZ20" i="5" s="1"/>
  <c r="BA20" i="5" s="1"/>
  <c r="BB20" i="5" s="1"/>
  <c r="BC20" i="5" s="1"/>
  <c r="BD20" i="5" s="1"/>
  <c r="N20" i="5"/>
  <c r="J20" i="5"/>
  <c r="I20" i="5"/>
  <c r="G20" i="5"/>
  <c r="F20" i="5"/>
  <c r="D20" i="5"/>
  <c r="B20" i="5"/>
  <c r="L20" i="5" s="1"/>
  <c r="A20" i="5"/>
  <c r="K19" i="5"/>
  <c r="J19" i="5"/>
  <c r="I19" i="5"/>
  <c r="G19" i="5"/>
  <c r="F19" i="5"/>
  <c r="D19" i="5"/>
  <c r="B19" i="5"/>
  <c r="L19" i="5" s="1"/>
  <c r="A19" i="5"/>
  <c r="K18" i="5"/>
  <c r="J18" i="5"/>
  <c r="I18" i="5"/>
  <c r="G18" i="5"/>
  <c r="F18" i="5"/>
  <c r="D18" i="5"/>
  <c r="B18" i="5"/>
  <c r="L18" i="5" s="1"/>
  <c r="A18" i="5"/>
  <c r="K17" i="5"/>
  <c r="J17" i="5"/>
  <c r="I17" i="5"/>
  <c r="G17" i="5"/>
  <c r="F17" i="5"/>
  <c r="D17" i="5"/>
  <c r="B17" i="5"/>
  <c r="L17" i="5" s="1"/>
  <c r="A17" i="5"/>
  <c r="G16" i="5"/>
  <c r="F16" i="5"/>
  <c r="D16" i="5"/>
  <c r="B16" i="5"/>
  <c r="L16" i="5" s="1"/>
  <c r="A16" i="5"/>
  <c r="G15" i="5"/>
  <c r="F15" i="5"/>
  <c r="D15" i="5"/>
  <c r="B15" i="5"/>
  <c r="L15" i="5" s="1"/>
  <c r="A15" i="5"/>
  <c r="K14" i="5"/>
  <c r="J14" i="5"/>
  <c r="I14" i="5"/>
  <c r="G14" i="5"/>
  <c r="F14" i="5"/>
  <c r="D14" i="5"/>
  <c r="B14" i="5"/>
  <c r="L14" i="5" s="1"/>
  <c r="A14" i="5"/>
  <c r="K13" i="5"/>
  <c r="J13" i="5"/>
  <c r="I13" i="5"/>
  <c r="G13" i="5"/>
  <c r="F13" i="5"/>
  <c r="D13" i="5"/>
  <c r="B13" i="5"/>
  <c r="L13" i="5" s="1"/>
  <c r="A13" i="5"/>
  <c r="AR12" i="5"/>
  <c r="AC12" i="5"/>
  <c r="N12" i="5"/>
  <c r="K12" i="5"/>
  <c r="O12" i="5" s="1"/>
  <c r="P12" i="5" s="1"/>
  <c r="Q12" i="5" s="1"/>
  <c r="R12" i="5" s="1"/>
  <c r="S12" i="5" s="1"/>
  <c r="T12" i="5" s="1"/>
  <c r="U12" i="5" s="1"/>
  <c r="V12" i="5" s="1"/>
  <c r="W12" i="5" s="1"/>
  <c r="X12" i="5" s="1"/>
  <c r="Y12" i="5" s="1"/>
  <c r="Z12" i="5" s="1"/>
  <c r="AD12" i="5" s="1"/>
  <c r="AE12" i="5" s="1"/>
  <c r="AF12" i="5" s="1"/>
  <c r="AG12" i="5" s="1"/>
  <c r="AH12" i="5" s="1"/>
  <c r="AI12" i="5" s="1"/>
  <c r="AJ12" i="5" s="1"/>
  <c r="AK12" i="5" s="1"/>
  <c r="AL12" i="5" s="1"/>
  <c r="AM12" i="5" s="1"/>
  <c r="AN12" i="5" s="1"/>
  <c r="AO12" i="5" s="1"/>
  <c r="AS12" i="5" s="1"/>
  <c r="AT12" i="5" s="1"/>
  <c r="AU12" i="5" s="1"/>
  <c r="AV12" i="5" s="1"/>
  <c r="AW12" i="5" s="1"/>
  <c r="AX12" i="5" s="1"/>
  <c r="AY12" i="5" s="1"/>
  <c r="AZ12" i="5" s="1"/>
  <c r="BA12" i="5" s="1"/>
  <c r="BB12" i="5" s="1"/>
  <c r="BC12" i="5" s="1"/>
  <c r="BD12" i="5" s="1"/>
  <c r="J12" i="5"/>
  <c r="I12" i="5"/>
  <c r="G12" i="5"/>
  <c r="F12" i="5"/>
  <c r="D12" i="5"/>
  <c r="B12" i="5"/>
  <c r="L12" i="5" s="1"/>
  <c r="A12" i="5"/>
  <c r="AR11" i="5"/>
  <c r="AC11" i="5"/>
  <c r="K11" i="5"/>
  <c r="O11" i="5" s="1"/>
  <c r="P11" i="5" s="1"/>
  <c r="Q11" i="5" s="1"/>
  <c r="R11" i="5" s="1"/>
  <c r="S11" i="5" s="1"/>
  <c r="T11" i="5" s="1"/>
  <c r="U11" i="5" s="1"/>
  <c r="V11" i="5" s="1"/>
  <c r="W11" i="5" s="1"/>
  <c r="X11" i="5" s="1"/>
  <c r="Y11" i="5" s="1"/>
  <c r="Z11" i="5" s="1"/>
  <c r="AD11" i="5" s="1"/>
  <c r="AE11" i="5" s="1"/>
  <c r="AF11" i="5" s="1"/>
  <c r="AG11" i="5" s="1"/>
  <c r="AH11" i="5" s="1"/>
  <c r="AI11" i="5" s="1"/>
  <c r="AJ11" i="5" s="1"/>
  <c r="AK11" i="5" s="1"/>
  <c r="AL11" i="5" s="1"/>
  <c r="AM11" i="5" s="1"/>
  <c r="AN11" i="5" s="1"/>
  <c r="AO11" i="5" s="1"/>
  <c r="AS11" i="5" s="1"/>
  <c r="AT11" i="5" s="1"/>
  <c r="AU11" i="5" s="1"/>
  <c r="AV11" i="5" s="1"/>
  <c r="AW11" i="5" s="1"/>
  <c r="AX11" i="5" s="1"/>
  <c r="AY11" i="5" s="1"/>
  <c r="AZ11" i="5" s="1"/>
  <c r="BA11" i="5" s="1"/>
  <c r="BB11" i="5" s="1"/>
  <c r="BC11" i="5" s="1"/>
  <c r="BD11" i="5" s="1"/>
  <c r="J11" i="5"/>
  <c r="I11" i="5"/>
  <c r="G11" i="5"/>
  <c r="F11" i="5"/>
  <c r="D11" i="5"/>
  <c r="B11" i="5"/>
  <c r="L11" i="5" s="1"/>
  <c r="A11" i="5"/>
  <c r="K10" i="5"/>
  <c r="J10" i="5"/>
  <c r="I10" i="5"/>
  <c r="G10" i="5"/>
  <c r="F10" i="5"/>
  <c r="D10" i="5"/>
  <c r="B10" i="5"/>
  <c r="L10" i="5" s="1"/>
  <c r="A10" i="5"/>
  <c r="K9" i="5"/>
  <c r="J9" i="5"/>
  <c r="I9" i="5"/>
  <c r="G9" i="5"/>
  <c r="F9" i="5"/>
  <c r="D9" i="5"/>
  <c r="B9" i="5"/>
  <c r="L9" i="5" s="1"/>
  <c r="A9" i="5"/>
  <c r="K8" i="5"/>
  <c r="J8" i="5"/>
  <c r="I8" i="5"/>
  <c r="G8" i="5"/>
  <c r="F8" i="5"/>
  <c r="D8" i="5"/>
  <c r="B8" i="5"/>
  <c r="L8" i="5" s="1"/>
  <c r="A8" i="5"/>
  <c r="G7" i="5"/>
  <c r="F7" i="5"/>
  <c r="D7" i="5"/>
  <c r="B7" i="5"/>
  <c r="L7" i="5" s="1"/>
  <c r="A7" i="5"/>
  <c r="G6" i="5"/>
  <c r="F6" i="5"/>
  <c r="D6" i="5"/>
  <c r="B6" i="5"/>
  <c r="L6" i="5" s="1"/>
  <c r="A6" i="5"/>
  <c r="G5" i="5"/>
  <c r="F5" i="5"/>
  <c r="D5" i="5"/>
  <c r="B5" i="5"/>
  <c r="L5" i="5" s="1"/>
  <c r="A5" i="5"/>
  <c r="AQ4" i="5"/>
  <c r="AB4" i="5"/>
  <c r="AZ640" i="1" l="1"/>
  <c r="BA643" i="1"/>
  <c r="AZ641" i="1"/>
  <c r="BA641" i="1" s="1"/>
  <c r="BB641" i="1" s="1"/>
  <c r="BC641" i="1" s="1"/>
  <c r="BD641" i="1" s="1"/>
  <c r="BE641" i="1" s="1"/>
  <c r="BI640" i="1"/>
  <c r="BI643" i="1"/>
  <c r="AX642" i="1"/>
  <c r="AY642" i="1" s="1"/>
  <c r="AZ642" i="1" s="1"/>
  <c r="M314" i="5"/>
  <c r="M194" i="5"/>
  <c r="AR194" i="5" s="1"/>
  <c r="M98" i="5"/>
  <c r="N98" i="5" s="1"/>
  <c r="M198" i="5"/>
  <c r="O198" i="5" s="1"/>
  <c r="P198" i="5" s="1"/>
  <c r="Q198" i="5" s="1"/>
  <c r="R198" i="5" s="1"/>
  <c r="S198" i="5" s="1"/>
  <c r="T198" i="5" s="1"/>
  <c r="U198" i="5" s="1"/>
  <c r="V198" i="5" s="1"/>
  <c r="W198" i="5" s="1"/>
  <c r="X198" i="5" s="1"/>
  <c r="Y198" i="5" s="1"/>
  <c r="Z198" i="5" s="1"/>
  <c r="AD198" i="5" s="1"/>
  <c r="M393" i="5"/>
  <c r="AC393" i="5" s="1"/>
  <c r="M417" i="5"/>
  <c r="N417" i="5" s="1"/>
  <c r="K155" i="5"/>
  <c r="M371" i="5"/>
  <c r="N371" i="5" s="1"/>
  <c r="M392" i="5"/>
  <c r="AC392" i="5" s="1"/>
  <c r="M166" i="5"/>
  <c r="AC166" i="5" s="1"/>
  <c r="O24" i="5"/>
  <c r="P24" i="5" s="1"/>
  <c r="Q24" i="5" s="1"/>
  <c r="R24" i="5" s="1"/>
  <c r="S24" i="5" s="1"/>
  <c r="T24" i="5" s="1"/>
  <c r="U24" i="5" s="1"/>
  <c r="V24" i="5" s="1"/>
  <c r="W24" i="5" s="1"/>
  <c r="X24" i="5" s="1"/>
  <c r="Y24" i="5" s="1"/>
  <c r="Z24" i="5" s="1"/>
  <c r="AD24" i="5" s="1"/>
  <c r="AE24" i="5" s="1"/>
  <c r="AF24" i="5" s="1"/>
  <c r="AG24" i="5" s="1"/>
  <c r="AH24" i="5" s="1"/>
  <c r="AI24" i="5" s="1"/>
  <c r="AJ24" i="5" s="1"/>
  <c r="AK24" i="5" s="1"/>
  <c r="AL24" i="5" s="1"/>
  <c r="AM24" i="5" s="1"/>
  <c r="AN24" i="5" s="1"/>
  <c r="AO24" i="5" s="1"/>
  <c r="AS24" i="5" s="1"/>
  <c r="AT24" i="5" s="1"/>
  <c r="AU24" i="5" s="1"/>
  <c r="AV24" i="5" s="1"/>
  <c r="AW24" i="5" s="1"/>
  <c r="AX24" i="5" s="1"/>
  <c r="AY24" i="5" s="1"/>
  <c r="AZ24" i="5" s="1"/>
  <c r="BA24" i="5" s="1"/>
  <c r="BB24" i="5" s="1"/>
  <c r="BC24" i="5" s="1"/>
  <c r="BD24" i="5" s="1"/>
  <c r="M29" i="5"/>
  <c r="AC29" i="5" s="1"/>
  <c r="M293" i="5"/>
  <c r="O293" i="5" s="1"/>
  <c r="P293" i="5" s="1"/>
  <c r="Q293" i="5" s="1"/>
  <c r="R293" i="5" s="1"/>
  <c r="S293" i="5" s="1"/>
  <c r="T293" i="5" s="1"/>
  <c r="U293" i="5" s="1"/>
  <c r="V293" i="5" s="1"/>
  <c r="W293" i="5" s="1"/>
  <c r="X293" i="5" s="1"/>
  <c r="Y293" i="5" s="1"/>
  <c r="Z293" i="5" s="1"/>
  <c r="AD293" i="5" s="1"/>
  <c r="AE293" i="5" s="1"/>
  <c r="AF293" i="5" s="1"/>
  <c r="AG293" i="5" s="1"/>
  <c r="AH293" i="5" s="1"/>
  <c r="AI293" i="5" s="1"/>
  <c r="AJ293" i="5" s="1"/>
  <c r="AK293" i="5" s="1"/>
  <c r="AL293" i="5" s="1"/>
  <c r="AM293" i="5" s="1"/>
  <c r="AN293" i="5" s="1"/>
  <c r="AO293" i="5" s="1"/>
  <c r="AS293" i="5" s="1"/>
  <c r="AT293" i="5" s="1"/>
  <c r="AU293" i="5" s="1"/>
  <c r="AV293" i="5" s="1"/>
  <c r="AW293" i="5" s="1"/>
  <c r="AX293" i="5" s="1"/>
  <c r="AY293" i="5" s="1"/>
  <c r="AZ293" i="5" s="1"/>
  <c r="BA293" i="5" s="1"/>
  <c r="BB293" i="5" s="1"/>
  <c r="BC293" i="5" s="1"/>
  <c r="BD293" i="5" s="1"/>
  <c r="M297" i="5"/>
  <c r="AR297" i="5" s="1"/>
  <c r="I511" i="5"/>
  <c r="S590" i="5"/>
  <c r="T590" i="5" s="1"/>
  <c r="U590" i="5" s="1"/>
  <c r="V590" i="5" s="1"/>
  <c r="W590" i="5" s="1"/>
  <c r="X590" i="5" s="1"/>
  <c r="Y590" i="5" s="1"/>
  <c r="Z590" i="5" s="1"/>
  <c r="AD590" i="5" s="1"/>
  <c r="AE590" i="5" s="1"/>
  <c r="AF590" i="5" s="1"/>
  <c r="AG590" i="5" s="1"/>
  <c r="AH590" i="5" s="1"/>
  <c r="AI590" i="5" s="1"/>
  <c r="AJ590" i="5" s="1"/>
  <c r="AK590" i="5" s="1"/>
  <c r="AL590" i="5" s="1"/>
  <c r="AM590" i="5" s="1"/>
  <c r="AN590" i="5" s="1"/>
  <c r="AO590" i="5" s="1"/>
  <c r="AS590" i="5" s="1"/>
  <c r="AT590" i="5" s="1"/>
  <c r="AU590" i="5" s="1"/>
  <c r="AV590" i="5" s="1"/>
  <c r="AW590" i="5" s="1"/>
  <c r="AX590" i="5" s="1"/>
  <c r="AY590" i="5" s="1"/>
  <c r="AZ590" i="5" s="1"/>
  <c r="BA590" i="5" s="1"/>
  <c r="BB590" i="5" s="1"/>
  <c r="BC590" i="5" s="1"/>
  <c r="BD590" i="5" s="1"/>
  <c r="W604" i="5"/>
  <c r="X604" i="5" s="1"/>
  <c r="Y604" i="5" s="1"/>
  <c r="Z604" i="5" s="1"/>
  <c r="AD604" i="5" s="1"/>
  <c r="AE604" i="5" s="1"/>
  <c r="AF604" i="5" s="1"/>
  <c r="AG604" i="5" s="1"/>
  <c r="AH604" i="5" s="1"/>
  <c r="AI604" i="5" s="1"/>
  <c r="AJ604" i="5" s="1"/>
  <c r="AK604" i="5" s="1"/>
  <c r="AL604" i="5" s="1"/>
  <c r="AM604" i="5" s="1"/>
  <c r="AN604" i="5" s="1"/>
  <c r="AO604" i="5" s="1"/>
  <c r="AS604" i="5" s="1"/>
  <c r="AT604" i="5" s="1"/>
  <c r="AU604" i="5" s="1"/>
  <c r="AV604" i="5" s="1"/>
  <c r="AW604" i="5" s="1"/>
  <c r="AX604" i="5" s="1"/>
  <c r="AY604" i="5" s="1"/>
  <c r="AZ604" i="5" s="1"/>
  <c r="BA604" i="5" s="1"/>
  <c r="BB604" i="5" s="1"/>
  <c r="BC604" i="5" s="1"/>
  <c r="BD604" i="5" s="1"/>
  <c r="AC606" i="5"/>
  <c r="Z613" i="5"/>
  <c r="AA613" i="5" s="1"/>
  <c r="AD615" i="5"/>
  <c r="AE615" i="5" s="1"/>
  <c r="AF615" i="5" s="1"/>
  <c r="AG615" i="5" s="1"/>
  <c r="AH615" i="5" s="1"/>
  <c r="AI615" i="5" s="1"/>
  <c r="AJ615" i="5" s="1"/>
  <c r="AK615" i="5" s="1"/>
  <c r="AL615" i="5" s="1"/>
  <c r="AM615" i="5" s="1"/>
  <c r="AN615" i="5" s="1"/>
  <c r="AO615" i="5" s="1"/>
  <c r="AS615" i="5" s="1"/>
  <c r="AT615" i="5" s="1"/>
  <c r="AU615" i="5" s="1"/>
  <c r="AV615" i="5" s="1"/>
  <c r="AW615" i="5" s="1"/>
  <c r="AX615" i="5" s="1"/>
  <c r="AY615" i="5" s="1"/>
  <c r="AZ615" i="5" s="1"/>
  <c r="BA615" i="5" s="1"/>
  <c r="BB615" i="5" s="1"/>
  <c r="BC615" i="5" s="1"/>
  <c r="BD615" i="5" s="1"/>
  <c r="AC590" i="5"/>
  <c r="O194" i="5"/>
  <c r="P194" i="5" s="1"/>
  <c r="Q194" i="5" s="1"/>
  <c r="R194" i="5" s="1"/>
  <c r="S194" i="5" s="1"/>
  <c r="T194" i="5" s="1"/>
  <c r="U194" i="5" s="1"/>
  <c r="V194" i="5" s="1"/>
  <c r="W194" i="5" s="1"/>
  <c r="X194" i="5" s="1"/>
  <c r="Y194" i="5" s="1"/>
  <c r="Z194" i="5" s="1"/>
  <c r="AD194" i="5" s="1"/>
  <c r="M173" i="5"/>
  <c r="N173" i="5" s="1"/>
  <c r="M304" i="5"/>
  <c r="AC304" i="5" s="1"/>
  <c r="M341" i="5"/>
  <c r="O341" i="5" s="1"/>
  <c r="M377" i="5"/>
  <c r="O377" i="5" s="1"/>
  <c r="N589" i="5"/>
  <c r="AC628" i="5"/>
  <c r="O348" i="5"/>
  <c r="N348" i="5" s="1"/>
  <c r="K511" i="5"/>
  <c r="J576" i="5"/>
  <c r="M579" i="5"/>
  <c r="N579" i="5" s="1"/>
  <c r="AC579" i="5" s="1"/>
  <c r="AR579" i="5" s="1"/>
  <c r="AR611" i="5"/>
  <c r="AD618" i="5"/>
  <c r="AE618" i="5" s="1"/>
  <c r="AF618" i="5" s="1"/>
  <c r="AG618" i="5" s="1"/>
  <c r="AH618" i="5" s="1"/>
  <c r="AI618" i="5" s="1"/>
  <c r="AJ618" i="5" s="1"/>
  <c r="AK618" i="5" s="1"/>
  <c r="AL618" i="5" s="1"/>
  <c r="AM618" i="5" s="1"/>
  <c r="AN618" i="5" s="1"/>
  <c r="AO618" i="5" s="1"/>
  <c r="AS618" i="5" s="1"/>
  <c r="AT618" i="5" s="1"/>
  <c r="AU618" i="5" s="1"/>
  <c r="AV618" i="5" s="1"/>
  <c r="AW618" i="5" s="1"/>
  <c r="AX618" i="5" s="1"/>
  <c r="AY618" i="5" s="1"/>
  <c r="AZ618" i="5" s="1"/>
  <c r="BA618" i="5" s="1"/>
  <c r="BB618" i="5" s="1"/>
  <c r="BC618" i="5" s="1"/>
  <c r="BD618" i="5" s="1"/>
  <c r="AC621" i="5"/>
  <c r="N35" i="5"/>
  <c r="M312" i="5"/>
  <c r="N312" i="5" s="1"/>
  <c r="AR390" i="5"/>
  <c r="M499" i="5"/>
  <c r="AC499" i="5" s="1"/>
  <c r="AR612" i="5"/>
  <c r="M31" i="5"/>
  <c r="N31" i="5" s="1"/>
  <c r="M324" i="5"/>
  <c r="AC324" i="5" s="1"/>
  <c r="M343" i="5"/>
  <c r="AC343" i="5" s="1"/>
  <c r="M373" i="5"/>
  <c r="N373" i="5" s="1"/>
  <c r="M379" i="5"/>
  <c r="AR379" i="5" s="1"/>
  <c r="M502" i="5"/>
  <c r="AR502" i="5" s="1"/>
  <c r="M582" i="5"/>
  <c r="N582" i="5" s="1"/>
  <c r="AC582" i="5" s="1"/>
  <c r="AR582" i="5" s="1"/>
  <c r="Z612" i="5"/>
  <c r="AD612" i="5" s="1"/>
  <c r="AE612" i="5" s="1"/>
  <c r="AF612" i="5" s="1"/>
  <c r="AG612" i="5" s="1"/>
  <c r="AH612" i="5" s="1"/>
  <c r="AI612" i="5" s="1"/>
  <c r="AJ612" i="5" s="1"/>
  <c r="AK612" i="5" s="1"/>
  <c r="AL612" i="5" s="1"/>
  <c r="AM612" i="5" s="1"/>
  <c r="AN612" i="5" s="1"/>
  <c r="AO612" i="5" s="1"/>
  <c r="AS612" i="5" s="1"/>
  <c r="AT612" i="5" s="1"/>
  <c r="AU612" i="5" s="1"/>
  <c r="AV612" i="5" s="1"/>
  <c r="AW612" i="5" s="1"/>
  <c r="AX612" i="5" s="1"/>
  <c r="AY612" i="5" s="1"/>
  <c r="AZ612" i="5" s="1"/>
  <c r="BA612" i="5" s="1"/>
  <c r="BB612" i="5" s="1"/>
  <c r="BC612" i="5" s="1"/>
  <c r="BD612" i="5" s="1"/>
  <c r="AC617" i="5"/>
  <c r="AS655" i="5"/>
  <c r="AT655" i="5" s="1"/>
  <c r="AU655" i="5" s="1"/>
  <c r="AV655" i="5" s="1"/>
  <c r="AW655" i="5" s="1"/>
  <c r="AX655" i="5" s="1"/>
  <c r="AY655" i="5" s="1"/>
  <c r="AZ655" i="5" s="1"/>
  <c r="BA655" i="5" s="1"/>
  <c r="BB655" i="5" s="1"/>
  <c r="BC655" i="5" s="1"/>
  <c r="BD655" i="5" s="1"/>
  <c r="AR119" i="5"/>
  <c r="L155" i="5"/>
  <c r="J4" i="5"/>
  <c r="M41" i="5"/>
  <c r="AC41" i="5" s="1"/>
  <c r="M49" i="5"/>
  <c r="AR49" i="5" s="1"/>
  <c r="N119" i="5"/>
  <c r="M122" i="5"/>
  <c r="AC122" i="5" s="1"/>
  <c r="M148" i="5"/>
  <c r="AC148" i="5" s="1"/>
  <c r="J155" i="5"/>
  <c r="M161" i="5"/>
  <c r="AC161" i="5" s="1"/>
  <c r="M193" i="5"/>
  <c r="AC193" i="5" s="1"/>
  <c r="M284" i="5"/>
  <c r="N284" i="5" s="1"/>
  <c r="N24" i="5"/>
  <c r="M32" i="5"/>
  <c r="N32" i="5" s="1"/>
  <c r="K4" i="5"/>
  <c r="M30" i="5"/>
  <c r="AR30" i="5" s="1"/>
  <c r="I4" i="5"/>
  <c r="M114" i="5"/>
  <c r="AC114" i="5" s="1"/>
  <c r="AC119" i="5"/>
  <c r="M167" i="5"/>
  <c r="AC167" i="5" s="1"/>
  <c r="M196" i="5"/>
  <c r="AR196" i="5" s="1"/>
  <c r="M285" i="5"/>
  <c r="N285" i="5" s="1"/>
  <c r="M309" i="5"/>
  <c r="N309" i="5" s="1"/>
  <c r="M410" i="5"/>
  <c r="N410" i="5" s="1"/>
  <c r="M414" i="5"/>
  <c r="O414" i="5" s="1"/>
  <c r="M501" i="5"/>
  <c r="O501" i="5" s="1"/>
  <c r="N501" i="5" s="1"/>
  <c r="L518" i="5"/>
  <c r="N590" i="5"/>
  <c r="U593" i="5"/>
  <c r="V593" i="5" s="1"/>
  <c r="W593" i="5" s="1"/>
  <c r="X593" i="5" s="1"/>
  <c r="Y593" i="5" s="1"/>
  <c r="Z593" i="5" s="1"/>
  <c r="AD593" i="5" s="1"/>
  <c r="AE593" i="5" s="1"/>
  <c r="AF593" i="5" s="1"/>
  <c r="AG593" i="5" s="1"/>
  <c r="AH593" i="5" s="1"/>
  <c r="AI593" i="5" s="1"/>
  <c r="AJ593" i="5" s="1"/>
  <c r="AK593" i="5" s="1"/>
  <c r="AL593" i="5" s="1"/>
  <c r="AM593" i="5" s="1"/>
  <c r="AN593" i="5" s="1"/>
  <c r="AO593" i="5" s="1"/>
  <c r="AS593" i="5" s="1"/>
  <c r="AT593" i="5" s="1"/>
  <c r="AU593" i="5" s="1"/>
  <c r="AV593" i="5" s="1"/>
  <c r="AW593" i="5" s="1"/>
  <c r="AX593" i="5" s="1"/>
  <c r="AY593" i="5" s="1"/>
  <c r="AZ593" i="5" s="1"/>
  <c r="BA593" i="5" s="1"/>
  <c r="BB593" i="5" s="1"/>
  <c r="BC593" i="5" s="1"/>
  <c r="BD593" i="5" s="1"/>
  <c r="AR593" i="5"/>
  <c r="U595" i="5"/>
  <c r="V595" i="5" s="1"/>
  <c r="W595" i="5" s="1"/>
  <c r="X595" i="5" s="1"/>
  <c r="Y595" i="5" s="1"/>
  <c r="Z595" i="5" s="1"/>
  <c r="AD595" i="5" s="1"/>
  <c r="AE595" i="5" s="1"/>
  <c r="AF595" i="5" s="1"/>
  <c r="AG595" i="5" s="1"/>
  <c r="AH595" i="5" s="1"/>
  <c r="AI595" i="5" s="1"/>
  <c r="AJ595" i="5" s="1"/>
  <c r="AK595" i="5" s="1"/>
  <c r="AL595" i="5" s="1"/>
  <c r="AM595" i="5" s="1"/>
  <c r="AN595" i="5" s="1"/>
  <c r="AO595" i="5" s="1"/>
  <c r="AS595" i="5" s="1"/>
  <c r="AT595" i="5" s="1"/>
  <c r="AU595" i="5" s="1"/>
  <c r="AV595" i="5" s="1"/>
  <c r="AW595" i="5" s="1"/>
  <c r="AX595" i="5" s="1"/>
  <c r="AY595" i="5" s="1"/>
  <c r="AZ595" i="5" s="1"/>
  <c r="BA595" i="5" s="1"/>
  <c r="BB595" i="5" s="1"/>
  <c r="BC595" i="5" s="1"/>
  <c r="BD595" i="5" s="1"/>
  <c r="AR602" i="5"/>
  <c r="W603" i="5"/>
  <c r="X603" i="5" s="1"/>
  <c r="Y603" i="5" s="1"/>
  <c r="Z603" i="5" s="1"/>
  <c r="AD603" i="5" s="1"/>
  <c r="AE603" i="5" s="1"/>
  <c r="AF603" i="5" s="1"/>
  <c r="AG603" i="5" s="1"/>
  <c r="AH603" i="5" s="1"/>
  <c r="AI603" i="5" s="1"/>
  <c r="AJ603" i="5" s="1"/>
  <c r="AK603" i="5" s="1"/>
  <c r="AL603" i="5" s="1"/>
  <c r="AM603" i="5" s="1"/>
  <c r="AN603" i="5" s="1"/>
  <c r="AO603" i="5" s="1"/>
  <c r="AS603" i="5" s="1"/>
  <c r="AT603" i="5" s="1"/>
  <c r="AU603" i="5" s="1"/>
  <c r="AV603" i="5" s="1"/>
  <c r="AW603" i="5" s="1"/>
  <c r="AX603" i="5" s="1"/>
  <c r="AY603" i="5" s="1"/>
  <c r="AZ603" i="5" s="1"/>
  <c r="BA603" i="5" s="1"/>
  <c r="BB603" i="5" s="1"/>
  <c r="BC603" i="5" s="1"/>
  <c r="BD603" i="5" s="1"/>
  <c r="N604" i="5"/>
  <c r="AC604" i="5"/>
  <c r="AR605" i="5"/>
  <c r="Y606" i="5"/>
  <c r="Z606" i="5" s="1"/>
  <c r="AD606" i="5" s="1"/>
  <c r="AE606" i="5" s="1"/>
  <c r="AF606" i="5" s="1"/>
  <c r="AG606" i="5" s="1"/>
  <c r="AH606" i="5" s="1"/>
  <c r="AI606" i="5" s="1"/>
  <c r="AJ606" i="5" s="1"/>
  <c r="AK606" i="5" s="1"/>
  <c r="AL606" i="5" s="1"/>
  <c r="AM606" i="5" s="1"/>
  <c r="AN606" i="5" s="1"/>
  <c r="AO606" i="5" s="1"/>
  <c r="AS606" i="5" s="1"/>
  <c r="AT606" i="5" s="1"/>
  <c r="AU606" i="5" s="1"/>
  <c r="AV606" i="5" s="1"/>
  <c r="AW606" i="5" s="1"/>
  <c r="AX606" i="5" s="1"/>
  <c r="AY606" i="5" s="1"/>
  <c r="AZ606" i="5" s="1"/>
  <c r="BA606" i="5" s="1"/>
  <c r="BB606" i="5" s="1"/>
  <c r="BC606" i="5" s="1"/>
  <c r="BD606" i="5" s="1"/>
  <c r="Z611" i="5"/>
  <c r="AD611" i="5" s="1"/>
  <c r="AE611" i="5" s="1"/>
  <c r="AF611" i="5" s="1"/>
  <c r="AG611" i="5" s="1"/>
  <c r="AH611" i="5" s="1"/>
  <c r="AI611" i="5" s="1"/>
  <c r="AJ611" i="5" s="1"/>
  <c r="AK611" i="5" s="1"/>
  <c r="AL611" i="5" s="1"/>
  <c r="AM611" i="5" s="1"/>
  <c r="AN611" i="5" s="1"/>
  <c r="AO611" i="5" s="1"/>
  <c r="AS611" i="5" s="1"/>
  <c r="AT611" i="5" s="1"/>
  <c r="AU611" i="5" s="1"/>
  <c r="AV611" i="5" s="1"/>
  <c r="AW611" i="5" s="1"/>
  <c r="AX611" i="5" s="1"/>
  <c r="AY611" i="5" s="1"/>
  <c r="AZ611" i="5" s="1"/>
  <c r="BA611" i="5" s="1"/>
  <c r="BB611" i="5" s="1"/>
  <c r="BC611" i="5" s="1"/>
  <c r="BD611" i="5" s="1"/>
  <c r="AD614" i="5"/>
  <c r="AE614" i="5" s="1"/>
  <c r="AF614" i="5" s="1"/>
  <c r="AG614" i="5" s="1"/>
  <c r="AH614" i="5" s="1"/>
  <c r="AI614" i="5" s="1"/>
  <c r="AJ614" i="5" s="1"/>
  <c r="AK614" i="5" s="1"/>
  <c r="AL614" i="5" s="1"/>
  <c r="AM614" i="5" s="1"/>
  <c r="AN614" i="5" s="1"/>
  <c r="AO614" i="5" s="1"/>
  <c r="AS614" i="5" s="1"/>
  <c r="AT614" i="5" s="1"/>
  <c r="AU614" i="5" s="1"/>
  <c r="AV614" i="5" s="1"/>
  <c r="AW614" i="5" s="1"/>
  <c r="AX614" i="5" s="1"/>
  <c r="AY614" i="5" s="1"/>
  <c r="AZ614" i="5" s="1"/>
  <c r="BA614" i="5" s="1"/>
  <c r="BB614" i="5" s="1"/>
  <c r="BC614" i="5" s="1"/>
  <c r="BD614" i="5" s="1"/>
  <c r="AP628" i="5"/>
  <c r="AG630" i="5"/>
  <c r="AH630" i="5" s="1"/>
  <c r="AI630" i="5" s="1"/>
  <c r="AJ630" i="5" s="1"/>
  <c r="AK630" i="5" s="1"/>
  <c r="AL630" i="5" s="1"/>
  <c r="AM630" i="5" s="1"/>
  <c r="AN630" i="5" s="1"/>
  <c r="AO630" i="5" s="1"/>
  <c r="AS630" i="5" s="1"/>
  <c r="AI642" i="5"/>
  <c r="AJ642" i="5" s="1"/>
  <c r="AK642" i="5" s="1"/>
  <c r="AL642" i="5" s="1"/>
  <c r="AM642" i="5" s="1"/>
  <c r="AN642" i="5" s="1"/>
  <c r="AO642" i="5" s="1"/>
  <c r="AS642" i="5" s="1"/>
  <c r="AJ643" i="5"/>
  <c r="AK643" i="5" s="1"/>
  <c r="AL643" i="5" s="1"/>
  <c r="AM643" i="5" s="1"/>
  <c r="AN643" i="5" s="1"/>
  <c r="AO643" i="5" s="1"/>
  <c r="AS643" i="5" s="1"/>
  <c r="AM645" i="5"/>
  <c r="AN645" i="5" s="1"/>
  <c r="AO645" i="5" s="1"/>
  <c r="AS645" i="5" s="1"/>
  <c r="AT645" i="5" s="1"/>
  <c r="AU645" i="5" s="1"/>
  <c r="AV645" i="5" s="1"/>
  <c r="AW645" i="5" s="1"/>
  <c r="AX645" i="5" s="1"/>
  <c r="AY645" i="5" s="1"/>
  <c r="AZ645" i="5" s="1"/>
  <c r="BA645" i="5" s="1"/>
  <c r="BB645" i="5" s="1"/>
  <c r="BC645" i="5" s="1"/>
  <c r="BD645" i="5" s="1"/>
  <c r="AK656" i="5"/>
  <c r="AL656" i="5" s="1"/>
  <c r="AM656" i="5" s="1"/>
  <c r="AN656" i="5" s="1"/>
  <c r="AO656" i="5" s="1"/>
  <c r="AS656" i="5" s="1"/>
  <c r="L508" i="5"/>
  <c r="L576" i="5"/>
  <c r="AC602" i="5"/>
  <c r="AR641" i="5"/>
  <c r="M322" i="5"/>
  <c r="O322" i="5" s="1"/>
  <c r="P322" i="5" s="1"/>
  <c r="Q322" i="5" s="1"/>
  <c r="R322" i="5" s="1"/>
  <c r="S322" i="5" s="1"/>
  <c r="T322" i="5" s="1"/>
  <c r="U322" i="5" s="1"/>
  <c r="V322" i="5" s="1"/>
  <c r="W322" i="5" s="1"/>
  <c r="X322" i="5" s="1"/>
  <c r="Y322" i="5" s="1"/>
  <c r="Z322" i="5" s="1"/>
  <c r="AD322" i="5" s="1"/>
  <c r="AE322" i="5" s="1"/>
  <c r="AF322" i="5" s="1"/>
  <c r="AG322" i="5" s="1"/>
  <c r="AH322" i="5" s="1"/>
  <c r="AI322" i="5" s="1"/>
  <c r="AJ322" i="5" s="1"/>
  <c r="AK322" i="5" s="1"/>
  <c r="AL322" i="5" s="1"/>
  <c r="AM322" i="5" s="1"/>
  <c r="AN322" i="5" s="1"/>
  <c r="AO322" i="5" s="1"/>
  <c r="AS322" i="5" s="1"/>
  <c r="AT322" i="5" s="1"/>
  <c r="AU322" i="5" s="1"/>
  <c r="AV322" i="5" s="1"/>
  <c r="AW322" i="5" s="1"/>
  <c r="AX322" i="5" s="1"/>
  <c r="AY322" i="5" s="1"/>
  <c r="AZ322" i="5" s="1"/>
  <c r="BA322" i="5" s="1"/>
  <c r="BB322" i="5" s="1"/>
  <c r="BC322" i="5" s="1"/>
  <c r="BD322" i="5" s="1"/>
  <c r="M367" i="5"/>
  <c r="O367" i="5" s="1"/>
  <c r="P367" i="5" s="1"/>
  <c r="Q367" i="5" s="1"/>
  <c r="R367" i="5" s="1"/>
  <c r="S367" i="5" s="1"/>
  <c r="T367" i="5" s="1"/>
  <c r="U367" i="5" s="1"/>
  <c r="V367" i="5" s="1"/>
  <c r="W367" i="5" s="1"/>
  <c r="X367" i="5" s="1"/>
  <c r="Y367" i="5" s="1"/>
  <c r="Z367" i="5" s="1"/>
  <c r="AD367" i="5" s="1"/>
  <c r="M374" i="5"/>
  <c r="N374" i="5" s="1"/>
  <c r="M382" i="5"/>
  <c r="AC382" i="5" s="1"/>
  <c r="M394" i="5"/>
  <c r="AR394" i="5" s="1"/>
  <c r="M402" i="5"/>
  <c r="AR402" i="5" s="1"/>
  <c r="M415" i="5"/>
  <c r="N415" i="5" s="1"/>
  <c r="M500" i="5"/>
  <c r="N500" i="5" s="1"/>
  <c r="J508" i="5"/>
  <c r="M577" i="5"/>
  <c r="O577" i="5" s="1"/>
  <c r="P577" i="5" s="1"/>
  <c r="M580" i="5"/>
  <c r="N580" i="5" s="1"/>
  <c r="AC580" i="5" s="1"/>
  <c r="AR580" i="5" s="1"/>
  <c r="N591" i="5"/>
  <c r="AC591" i="5"/>
  <c r="AR595" i="5"/>
  <c r="N602" i="5"/>
  <c r="AC608" i="5"/>
  <c r="AC609" i="5"/>
  <c r="AC610" i="5"/>
  <c r="AC622" i="5"/>
  <c r="AF623" i="5"/>
  <c r="AG623" i="5" s="1"/>
  <c r="AH623" i="5" s="1"/>
  <c r="AI623" i="5" s="1"/>
  <c r="AJ623" i="5" s="1"/>
  <c r="AK623" i="5" s="1"/>
  <c r="AL623" i="5" s="1"/>
  <c r="AM623" i="5" s="1"/>
  <c r="AN623" i="5" s="1"/>
  <c r="AO623" i="5" s="1"/>
  <c r="AS623" i="5" s="1"/>
  <c r="AH637" i="5"/>
  <c r="AI637" i="5" s="1"/>
  <c r="AJ637" i="5" s="1"/>
  <c r="AK637" i="5" s="1"/>
  <c r="AL637" i="5" s="1"/>
  <c r="AM637" i="5" s="1"/>
  <c r="AN637" i="5" s="1"/>
  <c r="AO637" i="5" s="1"/>
  <c r="AS637" i="5" s="1"/>
  <c r="AC641" i="5"/>
  <c r="AR642" i="5"/>
  <c r="AR644" i="5"/>
  <c r="T591" i="5"/>
  <c r="U591" i="5" s="1"/>
  <c r="V591" i="5" s="1"/>
  <c r="W591" i="5" s="1"/>
  <c r="X591" i="5" s="1"/>
  <c r="Y591" i="5" s="1"/>
  <c r="Z591" i="5" s="1"/>
  <c r="AD591" i="5" s="1"/>
  <c r="AE591" i="5" s="1"/>
  <c r="AF591" i="5" s="1"/>
  <c r="AG591" i="5" s="1"/>
  <c r="AH591" i="5" s="1"/>
  <c r="AI591" i="5" s="1"/>
  <c r="AJ591" i="5" s="1"/>
  <c r="AK591" i="5" s="1"/>
  <c r="AL591" i="5" s="1"/>
  <c r="AM591" i="5" s="1"/>
  <c r="AN591" i="5" s="1"/>
  <c r="AO591" i="5" s="1"/>
  <c r="AS591" i="5" s="1"/>
  <c r="AT591" i="5" s="1"/>
  <c r="AU591" i="5" s="1"/>
  <c r="AV591" i="5" s="1"/>
  <c r="AW591" i="5" s="1"/>
  <c r="AX591" i="5" s="1"/>
  <c r="AY591" i="5" s="1"/>
  <c r="AZ591" i="5" s="1"/>
  <c r="BA591" i="5" s="1"/>
  <c r="BB591" i="5" s="1"/>
  <c r="BC591" i="5" s="1"/>
  <c r="BD591" i="5" s="1"/>
  <c r="N593" i="5"/>
  <c r="N595" i="5"/>
  <c r="N603" i="5"/>
  <c r="N606" i="5"/>
  <c r="AR613" i="5"/>
  <c r="AC627" i="5"/>
  <c r="AH635" i="5"/>
  <c r="AI635" i="5" s="1"/>
  <c r="AJ635" i="5" s="1"/>
  <c r="AK635" i="5" s="1"/>
  <c r="AL635" i="5" s="1"/>
  <c r="AM635" i="5" s="1"/>
  <c r="AN635" i="5" s="1"/>
  <c r="AO635" i="5" s="1"/>
  <c r="AS635" i="5" s="1"/>
  <c r="AC656" i="5"/>
  <c r="AE119" i="5"/>
  <c r="AF119" i="5" s="1"/>
  <c r="AG119" i="5" s="1"/>
  <c r="AH119" i="5" s="1"/>
  <c r="AI119" i="5" s="1"/>
  <c r="AJ119" i="5" s="1"/>
  <c r="AK119" i="5" s="1"/>
  <c r="AL119" i="5" s="1"/>
  <c r="AM119" i="5" s="1"/>
  <c r="AN119" i="5" s="1"/>
  <c r="AO119" i="5" s="1"/>
  <c r="AS119" i="5" s="1"/>
  <c r="AE28" i="5"/>
  <c r="AF28" i="5" s="1"/>
  <c r="AG28" i="5" s="1"/>
  <c r="AH28" i="5" s="1"/>
  <c r="AI28" i="5" s="1"/>
  <c r="AJ28" i="5" s="1"/>
  <c r="AK28" i="5" s="1"/>
  <c r="AL28" i="5" s="1"/>
  <c r="AM28" i="5" s="1"/>
  <c r="AN28" i="5" s="1"/>
  <c r="AO28" i="5" s="1"/>
  <c r="AS28" i="5" s="1"/>
  <c r="AT28" i="5" s="1"/>
  <c r="AU28" i="5" s="1"/>
  <c r="AV28" i="5" s="1"/>
  <c r="AW28" i="5" s="1"/>
  <c r="AX28" i="5" s="1"/>
  <c r="AY28" i="5" s="1"/>
  <c r="AZ28" i="5" s="1"/>
  <c r="BA28" i="5" s="1"/>
  <c r="BB28" i="5" s="1"/>
  <c r="BC28" i="5" s="1"/>
  <c r="BD28" i="5" s="1"/>
  <c r="AC28" i="5"/>
  <c r="AT21" i="5"/>
  <c r="AE33" i="5"/>
  <c r="AF33" i="5" s="1"/>
  <c r="AG33" i="5" s="1"/>
  <c r="AH33" i="5" s="1"/>
  <c r="AI33" i="5" s="1"/>
  <c r="AJ33" i="5" s="1"/>
  <c r="AK33" i="5" s="1"/>
  <c r="AC33" i="5"/>
  <c r="AC34" i="5"/>
  <c r="AE34" i="5"/>
  <c r="AF34" i="5" s="1"/>
  <c r="AG34" i="5" s="1"/>
  <c r="AH34" i="5" s="1"/>
  <c r="AI34" i="5" s="1"/>
  <c r="AJ34" i="5" s="1"/>
  <c r="AK34" i="5" s="1"/>
  <c r="AL34" i="5" s="1"/>
  <c r="AM34" i="5" s="1"/>
  <c r="AN34" i="5" s="1"/>
  <c r="AR39" i="5"/>
  <c r="AT39" i="5"/>
  <c r="AC26" i="5"/>
  <c r="AE26" i="5"/>
  <c r="AF26" i="5" s="1"/>
  <c r="AG26" i="5" s="1"/>
  <c r="AH26" i="5" s="1"/>
  <c r="AI26" i="5" s="1"/>
  <c r="AJ26" i="5" s="1"/>
  <c r="AK26" i="5" s="1"/>
  <c r="AL26" i="5" s="1"/>
  <c r="AM26" i="5" s="1"/>
  <c r="AN26" i="5" s="1"/>
  <c r="AO26" i="5" s="1"/>
  <c r="AS26" i="5" s="1"/>
  <c r="AT26" i="5" s="1"/>
  <c r="AU26" i="5" s="1"/>
  <c r="AV26" i="5" s="1"/>
  <c r="AW26" i="5" s="1"/>
  <c r="AX26" i="5" s="1"/>
  <c r="AY26" i="5" s="1"/>
  <c r="AZ26" i="5" s="1"/>
  <c r="BA26" i="5" s="1"/>
  <c r="BB26" i="5" s="1"/>
  <c r="BC26" i="5" s="1"/>
  <c r="BD26" i="5" s="1"/>
  <c r="AR45" i="5"/>
  <c r="N45" i="5"/>
  <c r="P53" i="5"/>
  <c r="Q53" i="5" s="1"/>
  <c r="R53" i="5" s="1"/>
  <c r="S53" i="5" s="1"/>
  <c r="T53" i="5" s="1"/>
  <c r="U53" i="5" s="1"/>
  <c r="V53" i="5" s="1"/>
  <c r="W53" i="5" s="1"/>
  <c r="X53" i="5" s="1"/>
  <c r="Y53" i="5" s="1"/>
  <c r="Z53" i="5" s="1"/>
  <c r="AD53" i="5" s="1"/>
  <c r="O45" i="5"/>
  <c r="AA119" i="5"/>
  <c r="M176" i="5"/>
  <c r="O176" i="5" s="1"/>
  <c r="M180" i="5"/>
  <c r="AC202" i="5"/>
  <c r="I155" i="5"/>
  <c r="M178" i="5"/>
  <c r="O178" i="5" s="1"/>
  <c r="M200" i="5"/>
  <c r="O200" i="5" s="1"/>
  <c r="P200" i="5" s="1"/>
  <c r="Q200" i="5" s="1"/>
  <c r="R200" i="5" s="1"/>
  <c r="S200" i="5" s="1"/>
  <c r="T200" i="5" s="1"/>
  <c r="U200" i="5" s="1"/>
  <c r="V200" i="5" s="1"/>
  <c r="W200" i="5" s="1"/>
  <c r="X200" i="5" s="1"/>
  <c r="Y200" i="5" s="1"/>
  <c r="Z200" i="5" s="1"/>
  <c r="AD200" i="5" s="1"/>
  <c r="AE200" i="5" s="1"/>
  <c r="AF200" i="5" s="1"/>
  <c r="AG200" i="5" s="1"/>
  <c r="AH200" i="5" s="1"/>
  <c r="AI200" i="5" s="1"/>
  <c r="AJ200" i="5" s="1"/>
  <c r="AK200" i="5" s="1"/>
  <c r="AL200" i="5" s="1"/>
  <c r="AM200" i="5" s="1"/>
  <c r="AN200" i="5" s="1"/>
  <c r="AO200" i="5" s="1"/>
  <c r="AS200" i="5" s="1"/>
  <c r="M283" i="5"/>
  <c r="M313" i="5"/>
  <c r="O313" i="5" s="1"/>
  <c r="P313" i="5" s="1"/>
  <c r="Q313" i="5" s="1"/>
  <c r="R313" i="5" s="1"/>
  <c r="S313" i="5" s="1"/>
  <c r="T313" i="5" s="1"/>
  <c r="U313" i="5" s="1"/>
  <c r="V313" i="5" s="1"/>
  <c r="W313" i="5" s="1"/>
  <c r="X313" i="5" s="1"/>
  <c r="Y313" i="5" s="1"/>
  <c r="Z313" i="5" s="1"/>
  <c r="AD313" i="5" s="1"/>
  <c r="AE313" i="5" s="1"/>
  <c r="AF313" i="5" s="1"/>
  <c r="AG313" i="5" s="1"/>
  <c r="AH313" i="5" s="1"/>
  <c r="AI313" i="5" s="1"/>
  <c r="AJ313" i="5" s="1"/>
  <c r="AK313" i="5" s="1"/>
  <c r="AL313" i="5" s="1"/>
  <c r="AM313" i="5" s="1"/>
  <c r="AN313" i="5" s="1"/>
  <c r="AO313" i="5" s="1"/>
  <c r="AS313" i="5" s="1"/>
  <c r="AT313" i="5" s="1"/>
  <c r="AU313" i="5" s="1"/>
  <c r="AV313" i="5" s="1"/>
  <c r="AW313" i="5" s="1"/>
  <c r="AX313" i="5" s="1"/>
  <c r="AY313" i="5" s="1"/>
  <c r="AZ313" i="5" s="1"/>
  <c r="BA313" i="5" s="1"/>
  <c r="BB313" i="5" s="1"/>
  <c r="BC313" i="5" s="1"/>
  <c r="BD313" i="5" s="1"/>
  <c r="M306" i="5"/>
  <c r="M315" i="5"/>
  <c r="M321" i="5"/>
  <c r="M320" i="5"/>
  <c r="O320" i="5" s="1"/>
  <c r="P368" i="5"/>
  <c r="Q368" i="5" s="1"/>
  <c r="R368" i="5" s="1"/>
  <c r="S368" i="5" s="1"/>
  <c r="T368" i="5" s="1"/>
  <c r="U368" i="5" s="1"/>
  <c r="V368" i="5" s="1"/>
  <c r="W368" i="5" s="1"/>
  <c r="X368" i="5" s="1"/>
  <c r="Y368" i="5" s="1"/>
  <c r="Z368" i="5" s="1"/>
  <c r="AD368" i="5" s="1"/>
  <c r="M311" i="5"/>
  <c r="M325" i="5"/>
  <c r="P344" i="5"/>
  <c r="Q344" i="5" s="1"/>
  <c r="R344" i="5" s="1"/>
  <c r="S344" i="5" s="1"/>
  <c r="T344" i="5" s="1"/>
  <c r="U344" i="5" s="1"/>
  <c r="V344" i="5" s="1"/>
  <c r="W344" i="5" s="1"/>
  <c r="X344" i="5" s="1"/>
  <c r="Y344" i="5" s="1"/>
  <c r="Z344" i="5" s="1"/>
  <c r="AD344" i="5" s="1"/>
  <c r="N390" i="5"/>
  <c r="AC425" i="5"/>
  <c r="N425" i="5"/>
  <c r="AR425" i="5"/>
  <c r="O425" i="5"/>
  <c r="O390" i="5"/>
  <c r="AE419" i="5"/>
  <c r="AF419" i="5" s="1"/>
  <c r="AG419" i="5" s="1"/>
  <c r="AH419" i="5" s="1"/>
  <c r="AI419" i="5" s="1"/>
  <c r="AJ419" i="5" s="1"/>
  <c r="AK419" i="5" s="1"/>
  <c r="AL419" i="5" s="1"/>
  <c r="AM419" i="5" s="1"/>
  <c r="AN419" i="5" s="1"/>
  <c r="AO419" i="5" s="1"/>
  <c r="AS419" i="5" s="1"/>
  <c r="M395" i="5"/>
  <c r="P408" i="5"/>
  <c r="Q408" i="5" s="1"/>
  <c r="R408" i="5" s="1"/>
  <c r="S408" i="5" s="1"/>
  <c r="T408" i="5" s="1"/>
  <c r="U408" i="5" s="1"/>
  <c r="V408" i="5" s="1"/>
  <c r="W408" i="5" s="1"/>
  <c r="X408" i="5" s="1"/>
  <c r="Y408" i="5" s="1"/>
  <c r="Z408" i="5" s="1"/>
  <c r="AD408" i="5" s="1"/>
  <c r="M398" i="5"/>
  <c r="O398" i="5" s="1"/>
  <c r="P398" i="5" s="1"/>
  <c r="Q398" i="5" s="1"/>
  <c r="R398" i="5" s="1"/>
  <c r="S398" i="5" s="1"/>
  <c r="T398" i="5" s="1"/>
  <c r="U398" i="5" s="1"/>
  <c r="V398" i="5" s="1"/>
  <c r="W398" i="5" s="1"/>
  <c r="X398" i="5" s="1"/>
  <c r="Y398" i="5" s="1"/>
  <c r="Z398" i="5" s="1"/>
  <c r="AD398" i="5" s="1"/>
  <c r="AE398" i="5" s="1"/>
  <c r="AF398" i="5" s="1"/>
  <c r="AG398" i="5" s="1"/>
  <c r="AH398" i="5" s="1"/>
  <c r="AI398" i="5" s="1"/>
  <c r="AJ398" i="5" s="1"/>
  <c r="AK398" i="5" s="1"/>
  <c r="AL398" i="5" s="1"/>
  <c r="AM398" i="5" s="1"/>
  <c r="AN398" i="5" s="1"/>
  <c r="AO398" i="5" s="1"/>
  <c r="AS398" i="5" s="1"/>
  <c r="AT398" i="5" s="1"/>
  <c r="AU398" i="5" s="1"/>
  <c r="AV398" i="5" s="1"/>
  <c r="AW398" i="5" s="1"/>
  <c r="AX398" i="5" s="1"/>
  <c r="AY398" i="5" s="1"/>
  <c r="AZ398" i="5" s="1"/>
  <c r="BA398" i="5" s="1"/>
  <c r="BB398" i="5" s="1"/>
  <c r="BC398" i="5" s="1"/>
  <c r="BD398" i="5" s="1"/>
  <c r="M407" i="5"/>
  <c r="O407" i="5" s="1"/>
  <c r="AA419" i="5"/>
  <c r="P420" i="5"/>
  <c r="Q420" i="5" s="1"/>
  <c r="R420" i="5" s="1"/>
  <c r="S420" i="5" s="1"/>
  <c r="T420" i="5" s="1"/>
  <c r="U420" i="5" s="1"/>
  <c r="V420" i="5" s="1"/>
  <c r="W420" i="5" s="1"/>
  <c r="X420" i="5" s="1"/>
  <c r="Y420" i="5" s="1"/>
  <c r="Z420" i="5" s="1"/>
  <c r="AD420" i="5" s="1"/>
  <c r="K518" i="5"/>
  <c r="AD605" i="5"/>
  <c r="AE605" i="5" s="1"/>
  <c r="AF605" i="5" s="1"/>
  <c r="AG605" i="5" s="1"/>
  <c r="AH605" i="5" s="1"/>
  <c r="AI605" i="5" s="1"/>
  <c r="AJ605" i="5" s="1"/>
  <c r="AK605" i="5" s="1"/>
  <c r="AL605" i="5" s="1"/>
  <c r="AM605" i="5" s="1"/>
  <c r="AN605" i="5" s="1"/>
  <c r="AO605" i="5" s="1"/>
  <c r="AS605" i="5" s="1"/>
  <c r="AT605" i="5" s="1"/>
  <c r="AU605" i="5" s="1"/>
  <c r="AV605" i="5" s="1"/>
  <c r="AW605" i="5" s="1"/>
  <c r="AX605" i="5" s="1"/>
  <c r="AY605" i="5" s="1"/>
  <c r="AZ605" i="5" s="1"/>
  <c r="BA605" i="5" s="1"/>
  <c r="BB605" i="5" s="1"/>
  <c r="BC605" i="5" s="1"/>
  <c r="BD605" i="5" s="1"/>
  <c r="AA605" i="5"/>
  <c r="K576" i="5"/>
  <c r="L511" i="5"/>
  <c r="J511" i="5"/>
  <c r="I508" i="5"/>
  <c r="I518" i="5"/>
  <c r="M520" i="5"/>
  <c r="M564" i="5"/>
  <c r="O564" i="5" s="1"/>
  <c r="U594" i="5"/>
  <c r="V594" i="5" s="1"/>
  <c r="W594" i="5" s="1"/>
  <c r="X594" i="5" s="1"/>
  <c r="Y594" i="5" s="1"/>
  <c r="Z594" i="5" s="1"/>
  <c r="AD594" i="5" s="1"/>
  <c r="AE594" i="5" s="1"/>
  <c r="AF594" i="5" s="1"/>
  <c r="AG594" i="5" s="1"/>
  <c r="AH594" i="5" s="1"/>
  <c r="AI594" i="5" s="1"/>
  <c r="AJ594" i="5" s="1"/>
  <c r="AK594" i="5" s="1"/>
  <c r="AL594" i="5" s="1"/>
  <c r="AM594" i="5" s="1"/>
  <c r="AN594" i="5" s="1"/>
  <c r="AO594" i="5" s="1"/>
  <c r="AS594" i="5" s="1"/>
  <c r="AT594" i="5" s="1"/>
  <c r="AU594" i="5" s="1"/>
  <c r="AV594" i="5" s="1"/>
  <c r="AW594" i="5" s="1"/>
  <c r="AX594" i="5" s="1"/>
  <c r="AY594" i="5" s="1"/>
  <c r="AZ594" i="5" s="1"/>
  <c r="BA594" i="5" s="1"/>
  <c r="BB594" i="5" s="1"/>
  <c r="BC594" i="5" s="1"/>
  <c r="BD594" i="5" s="1"/>
  <c r="AC594" i="5"/>
  <c r="N594" i="5"/>
  <c r="AR594" i="5"/>
  <c r="AR596" i="5"/>
  <c r="V596" i="5"/>
  <c r="N596" i="5"/>
  <c r="AC596" i="5"/>
  <c r="AT628" i="5"/>
  <c r="AU628" i="5" s="1"/>
  <c r="AV628" i="5" s="1"/>
  <c r="AW628" i="5" s="1"/>
  <c r="AX628" i="5" s="1"/>
  <c r="AY628" i="5" s="1"/>
  <c r="AZ628" i="5" s="1"/>
  <c r="BA628" i="5" s="1"/>
  <c r="BB628" i="5" s="1"/>
  <c r="BC628" i="5" s="1"/>
  <c r="BD628" i="5" s="1"/>
  <c r="M651" i="5"/>
  <c r="AR651" i="5" s="1"/>
  <c r="J518" i="5"/>
  <c r="AR588" i="5"/>
  <c r="N588" i="5"/>
  <c r="AC588" i="5"/>
  <c r="Q588" i="5"/>
  <c r="U592" i="5"/>
  <c r="AC592" i="5"/>
  <c r="N592" i="5"/>
  <c r="AR592" i="5"/>
  <c r="I576" i="5"/>
  <c r="M578" i="5"/>
  <c r="N578" i="5" s="1"/>
  <c r="AC578" i="5" s="1"/>
  <c r="AR578" i="5" s="1"/>
  <c r="N598" i="5"/>
  <c r="AR598" i="5"/>
  <c r="V598" i="5"/>
  <c r="W598" i="5" s="1"/>
  <c r="X598" i="5" s="1"/>
  <c r="Y598" i="5" s="1"/>
  <c r="Z598" i="5" s="1"/>
  <c r="AD598" i="5" s="1"/>
  <c r="AE598" i="5" s="1"/>
  <c r="AF598" i="5" s="1"/>
  <c r="AG598" i="5" s="1"/>
  <c r="AH598" i="5" s="1"/>
  <c r="AI598" i="5" s="1"/>
  <c r="AJ598" i="5" s="1"/>
  <c r="AK598" i="5" s="1"/>
  <c r="AL598" i="5" s="1"/>
  <c r="AM598" i="5" s="1"/>
  <c r="AN598" i="5" s="1"/>
  <c r="AO598" i="5" s="1"/>
  <c r="AS598" i="5" s="1"/>
  <c r="AT598" i="5" s="1"/>
  <c r="AU598" i="5" s="1"/>
  <c r="AV598" i="5" s="1"/>
  <c r="AW598" i="5" s="1"/>
  <c r="AX598" i="5" s="1"/>
  <c r="AY598" i="5" s="1"/>
  <c r="AZ598" i="5" s="1"/>
  <c r="BA598" i="5" s="1"/>
  <c r="BB598" i="5" s="1"/>
  <c r="BC598" i="5" s="1"/>
  <c r="BD598" i="5" s="1"/>
  <c r="AC598" i="5"/>
  <c r="AC619" i="5"/>
  <c r="AD619" i="5"/>
  <c r="AE619" i="5" s="1"/>
  <c r="AF619" i="5" s="1"/>
  <c r="AG619" i="5" s="1"/>
  <c r="AH619" i="5" s="1"/>
  <c r="AI619" i="5" s="1"/>
  <c r="AJ619" i="5" s="1"/>
  <c r="AK619" i="5" s="1"/>
  <c r="AL619" i="5" s="1"/>
  <c r="AM619" i="5" s="1"/>
  <c r="AN619" i="5" s="1"/>
  <c r="AO619" i="5" s="1"/>
  <c r="AS619" i="5" s="1"/>
  <c r="AT619" i="5" s="1"/>
  <c r="AU619" i="5" s="1"/>
  <c r="AV619" i="5" s="1"/>
  <c r="AW619" i="5" s="1"/>
  <c r="AX619" i="5" s="1"/>
  <c r="AY619" i="5" s="1"/>
  <c r="AZ619" i="5" s="1"/>
  <c r="BA619" i="5" s="1"/>
  <c r="BB619" i="5" s="1"/>
  <c r="BC619" i="5" s="1"/>
  <c r="BD619" i="5" s="1"/>
  <c r="AC589" i="5"/>
  <c r="R589" i="5"/>
  <c r="S589" i="5" s="1"/>
  <c r="T589" i="5" s="1"/>
  <c r="U589" i="5" s="1"/>
  <c r="V589" i="5" s="1"/>
  <c r="W589" i="5" s="1"/>
  <c r="X589" i="5" s="1"/>
  <c r="Y589" i="5" s="1"/>
  <c r="Z589" i="5" s="1"/>
  <c r="AD589" i="5" s="1"/>
  <c r="AE589" i="5" s="1"/>
  <c r="AF589" i="5" s="1"/>
  <c r="AG589" i="5" s="1"/>
  <c r="AH589" i="5" s="1"/>
  <c r="AI589" i="5" s="1"/>
  <c r="AJ589" i="5" s="1"/>
  <c r="AK589" i="5" s="1"/>
  <c r="AL589" i="5" s="1"/>
  <c r="AM589" i="5" s="1"/>
  <c r="AN589" i="5" s="1"/>
  <c r="AO589" i="5" s="1"/>
  <c r="AS589" i="5" s="1"/>
  <c r="AT589" i="5" s="1"/>
  <c r="AU589" i="5" s="1"/>
  <c r="AV589" i="5" s="1"/>
  <c r="AW589" i="5" s="1"/>
  <c r="AX589" i="5" s="1"/>
  <c r="AY589" i="5" s="1"/>
  <c r="AZ589" i="5" s="1"/>
  <c r="BA589" i="5" s="1"/>
  <c r="BB589" i="5" s="1"/>
  <c r="BC589" i="5" s="1"/>
  <c r="BD589" i="5" s="1"/>
  <c r="AH631" i="5"/>
  <c r="AI631" i="5" s="1"/>
  <c r="AJ631" i="5" s="1"/>
  <c r="AK631" i="5" s="1"/>
  <c r="AL631" i="5" s="1"/>
  <c r="AM631" i="5" s="1"/>
  <c r="AN631" i="5" s="1"/>
  <c r="AO631" i="5" s="1"/>
  <c r="AS631" i="5" s="1"/>
  <c r="AT631" i="5" s="1"/>
  <c r="AU631" i="5" s="1"/>
  <c r="AV631" i="5" s="1"/>
  <c r="AW631" i="5" s="1"/>
  <c r="AX631" i="5" s="1"/>
  <c r="AY631" i="5" s="1"/>
  <c r="AZ631" i="5" s="1"/>
  <c r="BA631" i="5" s="1"/>
  <c r="BB631" i="5" s="1"/>
  <c r="BC631" i="5" s="1"/>
  <c r="BD631" i="5" s="1"/>
  <c r="AC631" i="5"/>
  <c r="M581" i="5"/>
  <c r="N581" i="5" s="1"/>
  <c r="AC581" i="5" s="1"/>
  <c r="AR581" i="5" s="1"/>
  <c r="AR601" i="5"/>
  <c r="N601" i="5"/>
  <c r="AC601" i="5"/>
  <c r="W601" i="5"/>
  <c r="X601" i="5" s="1"/>
  <c r="Y601" i="5" s="1"/>
  <c r="Z601" i="5" s="1"/>
  <c r="AD601" i="5" s="1"/>
  <c r="AE601" i="5" s="1"/>
  <c r="AF601" i="5" s="1"/>
  <c r="AG601" i="5" s="1"/>
  <c r="AH601" i="5" s="1"/>
  <c r="AI601" i="5" s="1"/>
  <c r="AJ601" i="5" s="1"/>
  <c r="AK601" i="5" s="1"/>
  <c r="AL601" i="5" s="1"/>
  <c r="AM601" i="5" s="1"/>
  <c r="AN601" i="5" s="1"/>
  <c r="AO601" i="5" s="1"/>
  <c r="AS601" i="5" s="1"/>
  <c r="AT601" i="5" s="1"/>
  <c r="AU601" i="5" s="1"/>
  <c r="AV601" i="5" s="1"/>
  <c r="AW601" i="5" s="1"/>
  <c r="AX601" i="5" s="1"/>
  <c r="AY601" i="5" s="1"/>
  <c r="AZ601" i="5" s="1"/>
  <c r="BA601" i="5" s="1"/>
  <c r="BB601" i="5" s="1"/>
  <c r="BC601" i="5" s="1"/>
  <c r="BD601" i="5" s="1"/>
  <c r="AC616" i="5"/>
  <c r="AD616" i="5"/>
  <c r="AE616" i="5" s="1"/>
  <c r="AF616" i="5" s="1"/>
  <c r="AG616" i="5" s="1"/>
  <c r="AH616" i="5" s="1"/>
  <c r="AI616" i="5" s="1"/>
  <c r="AJ616" i="5" s="1"/>
  <c r="AK616" i="5" s="1"/>
  <c r="AL616" i="5" s="1"/>
  <c r="AM616" i="5" s="1"/>
  <c r="AN616" i="5" s="1"/>
  <c r="AO616" i="5" s="1"/>
  <c r="AS616" i="5" s="1"/>
  <c r="AT616" i="5" s="1"/>
  <c r="AU616" i="5" s="1"/>
  <c r="AV616" i="5" s="1"/>
  <c r="AW616" i="5" s="1"/>
  <c r="AX616" i="5" s="1"/>
  <c r="AY616" i="5" s="1"/>
  <c r="AZ616" i="5" s="1"/>
  <c r="BA616" i="5" s="1"/>
  <c r="BB616" i="5" s="1"/>
  <c r="BC616" i="5" s="1"/>
  <c r="BD616" i="5" s="1"/>
  <c r="AC625" i="5"/>
  <c r="AF625" i="5"/>
  <c r="M649" i="5"/>
  <c r="AR649" i="5" s="1"/>
  <c r="V597" i="5"/>
  <c r="W597" i="5" s="1"/>
  <c r="X597" i="5" s="1"/>
  <c r="Y597" i="5" s="1"/>
  <c r="Z597" i="5" s="1"/>
  <c r="AD597" i="5" s="1"/>
  <c r="AE597" i="5" s="1"/>
  <c r="AF597" i="5" s="1"/>
  <c r="AG597" i="5" s="1"/>
  <c r="AH597" i="5" s="1"/>
  <c r="AI597" i="5" s="1"/>
  <c r="AJ597" i="5" s="1"/>
  <c r="AK597" i="5" s="1"/>
  <c r="AL597" i="5" s="1"/>
  <c r="AM597" i="5" s="1"/>
  <c r="AN597" i="5" s="1"/>
  <c r="AO597" i="5" s="1"/>
  <c r="AS597" i="5" s="1"/>
  <c r="AT597" i="5" s="1"/>
  <c r="AU597" i="5" s="1"/>
  <c r="AV597" i="5" s="1"/>
  <c r="AW597" i="5" s="1"/>
  <c r="AX597" i="5" s="1"/>
  <c r="AY597" i="5" s="1"/>
  <c r="AZ597" i="5" s="1"/>
  <c r="BA597" i="5" s="1"/>
  <c r="BB597" i="5" s="1"/>
  <c r="BC597" i="5" s="1"/>
  <c r="BD597" i="5" s="1"/>
  <c r="AR597" i="5"/>
  <c r="N599" i="5"/>
  <c r="AR599" i="5"/>
  <c r="V599" i="5"/>
  <c r="W599" i="5" s="1"/>
  <c r="X599" i="5" s="1"/>
  <c r="Y599" i="5" s="1"/>
  <c r="Z599" i="5" s="1"/>
  <c r="AD599" i="5" s="1"/>
  <c r="AE599" i="5" s="1"/>
  <c r="AF599" i="5" s="1"/>
  <c r="AG599" i="5" s="1"/>
  <c r="AH599" i="5" s="1"/>
  <c r="AI599" i="5" s="1"/>
  <c r="AJ599" i="5" s="1"/>
  <c r="AK599" i="5" s="1"/>
  <c r="AL599" i="5" s="1"/>
  <c r="AM599" i="5" s="1"/>
  <c r="AN599" i="5" s="1"/>
  <c r="AO599" i="5" s="1"/>
  <c r="AS599" i="5" s="1"/>
  <c r="AT599" i="5" s="1"/>
  <c r="AU599" i="5" s="1"/>
  <c r="AV599" i="5" s="1"/>
  <c r="AW599" i="5" s="1"/>
  <c r="AX599" i="5" s="1"/>
  <c r="AY599" i="5" s="1"/>
  <c r="AZ599" i="5" s="1"/>
  <c r="BA599" i="5" s="1"/>
  <c r="BB599" i="5" s="1"/>
  <c r="BC599" i="5" s="1"/>
  <c r="BD599" i="5" s="1"/>
  <c r="AC599" i="5"/>
  <c r="AS653" i="5"/>
  <c r="AR653" i="5"/>
  <c r="AC597" i="5"/>
  <c r="N600" i="5"/>
  <c r="AR600" i="5"/>
  <c r="V600" i="5"/>
  <c r="W600" i="5" s="1"/>
  <c r="X600" i="5" s="1"/>
  <c r="Y600" i="5" s="1"/>
  <c r="Z600" i="5" s="1"/>
  <c r="AD600" i="5" s="1"/>
  <c r="AE600" i="5" s="1"/>
  <c r="AF600" i="5" s="1"/>
  <c r="AG600" i="5" s="1"/>
  <c r="AH600" i="5" s="1"/>
  <c r="AI600" i="5" s="1"/>
  <c r="AJ600" i="5" s="1"/>
  <c r="AK600" i="5" s="1"/>
  <c r="AL600" i="5" s="1"/>
  <c r="AM600" i="5" s="1"/>
  <c r="AN600" i="5" s="1"/>
  <c r="AO600" i="5" s="1"/>
  <c r="AS600" i="5" s="1"/>
  <c r="AT600" i="5" s="1"/>
  <c r="AU600" i="5" s="1"/>
  <c r="AV600" i="5" s="1"/>
  <c r="AW600" i="5" s="1"/>
  <c r="AX600" i="5" s="1"/>
  <c r="AY600" i="5" s="1"/>
  <c r="AZ600" i="5" s="1"/>
  <c r="BA600" i="5" s="1"/>
  <c r="BB600" i="5" s="1"/>
  <c r="BC600" i="5" s="1"/>
  <c r="BD600" i="5" s="1"/>
  <c r="AC600" i="5"/>
  <c r="AR607" i="5"/>
  <c r="N607" i="5"/>
  <c r="Y607" i="5"/>
  <c r="AD620" i="5"/>
  <c r="AE620" i="5" s="1"/>
  <c r="AF620" i="5" s="1"/>
  <c r="AG620" i="5" s="1"/>
  <c r="AH620" i="5" s="1"/>
  <c r="AI620" i="5" s="1"/>
  <c r="AJ620" i="5" s="1"/>
  <c r="AK620" i="5" s="1"/>
  <c r="AL620" i="5" s="1"/>
  <c r="AM620" i="5" s="1"/>
  <c r="AN620" i="5" s="1"/>
  <c r="AO620" i="5" s="1"/>
  <c r="AS620" i="5" s="1"/>
  <c r="AT620" i="5" s="1"/>
  <c r="AU620" i="5" s="1"/>
  <c r="AV620" i="5" s="1"/>
  <c r="AW620" i="5" s="1"/>
  <c r="AX620" i="5" s="1"/>
  <c r="AY620" i="5" s="1"/>
  <c r="AZ620" i="5" s="1"/>
  <c r="BA620" i="5" s="1"/>
  <c r="BB620" i="5" s="1"/>
  <c r="BC620" i="5" s="1"/>
  <c r="BD620" i="5" s="1"/>
  <c r="AC620" i="5"/>
  <c r="AH636" i="5"/>
  <c r="AC636" i="5"/>
  <c r="M647" i="5"/>
  <c r="AR647" i="5" s="1"/>
  <c r="AR603" i="5"/>
  <c r="N610" i="5"/>
  <c r="AH627" i="5"/>
  <c r="AI627" i="5" s="1"/>
  <c r="AJ627" i="5" s="1"/>
  <c r="AK627" i="5" s="1"/>
  <c r="AL627" i="5" s="1"/>
  <c r="AM627" i="5" s="1"/>
  <c r="AN627" i="5" s="1"/>
  <c r="AO627" i="5" s="1"/>
  <c r="AS627" i="5" s="1"/>
  <c r="AI638" i="5"/>
  <c r="AC638" i="5"/>
  <c r="AC605" i="5"/>
  <c r="N605" i="5"/>
  <c r="AR608" i="5"/>
  <c r="Z608" i="5"/>
  <c r="AR609" i="5"/>
  <c r="Z609" i="5"/>
  <c r="AR610" i="5"/>
  <c r="AC626" i="5"/>
  <c r="AF626" i="5"/>
  <c r="AC632" i="5"/>
  <c r="AH632" i="5"/>
  <c r="AI632" i="5" s="1"/>
  <c r="AJ632" i="5" s="1"/>
  <c r="AK632" i="5" s="1"/>
  <c r="AL632" i="5" s="1"/>
  <c r="AM632" i="5" s="1"/>
  <c r="AN632" i="5" s="1"/>
  <c r="AO632" i="5" s="1"/>
  <c r="AS632" i="5" s="1"/>
  <c r="AT632" i="5" s="1"/>
  <c r="AU632" i="5" s="1"/>
  <c r="AV632" i="5" s="1"/>
  <c r="AW632" i="5" s="1"/>
  <c r="AX632" i="5" s="1"/>
  <c r="AY632" i="5" s="1"/>
  <c r="AZ632" i="5" s="1"/>
  <c r="BA632" i="5" s="1"/>
  <c r="BB632" i="5" s="1"/>
  <c r="BC632" i="5" s="1"/>
  <c r="BD632" i="5" s="1"/>
  <c r="AC633" i="5"/>
  <c r="AH633" i="5"/>
  <c r="AI633" i="5" s="1"/>
  <c r="AJ633" i="5" s="1"/>
  <c r="AK633" i="5" s="1"/>
  <c r="AL633" i="5" s="1"/>
  <c r="AM633" i="5" s="1"/>
  <c r="AN633" i="5" s="1"/>
  <c r="AO633" i="5" s="1"/>
  <c r="AS633" i="5" s="1"/>
  <c r="AT633" i="5" s="1"/>
  <c r="AU633" i="5" s="1"/>
  <c r="AV633" i="5" s="1"/>
  <c r="AW633" i="5" s="1"/>
  <c r="AX633" i="5" s="1"/>
  <c r="AY633" i="5" s="1"/>
  <c r="AZ633" i="5" s="1"/>
  <c r="BA633" i="5" s="1"/>
  <c r="BB633" i="5" s="1"/>
  <c r="BC633" i="5" s="1"/>
  <c r="BD633" i="5" s="1"/>
  <c r="AK641" i="5"/>
  <c r="AL641" i="5" s="1"/>
  <c r="AM641" i="5" s="1"/>
  <c r="AN641" i="5" s="1"/>
  <c r="AO641" i="5" s="1"/>
  <c r="AS641" i="5" s="1"/>
  <c r="M646" i="5"/>
  <c r="AR646" i="5" s="1"/>
  <c r="M648" i="5"/>
  <c r="AR648" i="5" s="1"/>
  <c r="M650" i="5"/>
  <c r="AR650" i="5" s="1"/>
  <c r="M652" i="5"/>
  <c r="AR652" i="5" s="1"/>
  <c r="N611" i="5"/>
  <c r="N612" i="5"/>
  <c r="N613" i="5"/>
  <c r="AF624" i="5"/>
  <c r="AG629" i="5"/>
  <c r="AH634" i="5"/>
  <c r="AI634" i="5" s="1"/>
  <c r="AJ634" i="5" s="1"/>
  <c r="AK634" i="5" s="1"/>
  <c r="AL634" i="5" s="1"/>
  <c r="AM634" i="5" s="1"/>
  <c r="AN634" i="5" s="1"/>
  <c r="AO634" i="5" s="1"/>
  <c r="AS634" i="5" s="1"/>
  <c r="AT634" i="5" s="1"/>
  <c r="AU634" i="5" s="1"/>
  <c r="AV634" i="5" s="1"/>
  <c r="AW634" i="5" s="1"/>
  <c r="AX634" i="5" s="1"/>
  <c r="AY634" i="5" s="1"/>
  <c r="AZ634" i="5" s="1"/>
  <c r="BA634" i="5" s="1"/>
  <c r="BB634" i="5" s="1"/>
  <c r="BC634" i="5" s="1"/>
  <c r="BD634" i="5" s="1"/>
  <c r="AC639" i="5"/>
  <c r="AR639" i="5"/>
  <c r="AR640" i="5"/>
  <c r="AK644" i="5"/>
  <c r="AL644" i="5" s="1"/>
  <c r="AM644" i="5" s="1"/>
  <c r="AN644" i="5" s="1"/>
  <c r="AO644" i="5" s="1"/>
  <c r="AS644" i="5" s="1"/>
  <c r="AR654" i="5"/>
  <c r="AT654" i="5"/>
  <c r="AU654" i="5" s="1"/>
  <c r="AV654" i="5" s="1"/>
  <c r="AW654" i="5" s="1"/>
  <c r="AX654" i="5" s="1"/>
  <c r="AY654" i="5" s="1"/>
  <c r="AZ654" i="5" s="1"/>
  <c r="BA654" i="5" s="1"/>
  <c r="BB654" i="5" s="1"/>
  <c r="BC654" i="5" s="1"/>
  <c r="BD654" i="5" s="1"/>
  <c r="BF641" i="1" l="1"/>
  <c r="BB643" i="1"/>
  <c r="BC643" i="1" s="1"/>
  <c r="BD643" i="1" s="1"/>
  <c r="BE643" i="1" s="1"/>
  <c r="BA642" i="1"/>
  <c r="BB642" i="1" s="1"/>
  <c r="BC642" i="1" s="1"/>
  <c r="BD642" i="1" s="1"/>
  <c r="BE642" i="1" s="1"/>
  <c r="BA640" i="1"/>
  <c r="BB640" i="1" s="1"/>
  <c r="BC640" i="1" s="1"/>
  <c r="BD640" i="1" s="1"/>
  <c r="BE640" i="1" s="1"/>
  <c r="O502" i="5"/>
  <c r="P502" i="5" s="1"/>
  <c r="Q502" i="5" s="1"/>
  <c r="R502" i="5" s="1"/>
  <c r="S502" i="5" s="1"/>
  <c r="T502" i="5" s="1"/>
  <c r="U502" i="5" s="1"/>
  <c r="V502" i="5" s="1"/>
  <c r="W502" i="5" s="1"/>
  <c r="X502" i="5" s="1"/>
  <c r="Y502" i="5" s="1"/>
  <c r="Z502" i="5" s="1"/>
  <c r="AD502" i="5" s="1"/>
  <c r="N502" i="5"/>
  <c r="O167" i="5"/>
  <c r="P167" i="5" s="1"/>
  <c r="Q167" i="5" s="1"/>
  <c r="R167" i="5" s="1"/>
  <c r="S167" i="5" s="1"/>
  <c r="T167" i="5" s="1"/>
  <c r="U167" i="5" s="1"/>
  <c r="V167" i="5" s="1"/>
  <c r="W167" i="5" s="1"/>
  <c r="X167" i="5" s="1"/>
  <c r="Y167" i="5" s="1"/>
  <c r="Z167" i="5" s="1"/>
  <c r="AD167" i="5" s="1"/>
  <c r="AE167" i="5" s="1"/>
  <c r="AF167" i="5" s="1"/>
  <c r="AG167" i="5" s="1"/>
  <c r="AH167" i="5" s="1"/>
  <c r="AI167" i="5" s="1"/>
  <c r="AJ167" i="5" s="1"/>
  <c r="AK167" i="5" s="1"/>
  <c r="AL167" i="5" s="1"/>
  <c r="AM167" i="5" s="1"/>
  <c r="AN167" i="5" s="1"/>
  <c r="AO167" i="5" s="1"/>
  <c r="AS167" i="5" s="1"/>
  <c r="AT167" i="5" s="1"/>
  <c r="AU167" i="5" s="1"/>
  <c r="AV167" i="5" s="1"/>
  <c r="AW167" i="5" s="1"/>
  <c r="AX167" i="5" s="1"/>
  <c r="AY167" i="5" s="1"/>
  <c r="AZ167" i="5" s="1"/>
  <c r="BA167" i="5" s="1"/>
  <c r="BB167" i="5" s="1"/>
  <c r="BC167" i="5" s="1"/>
  <c r="BD167" i="5" s="1"/>
  <c r="O582" i="5"/>
  <c r="P582" i="5" s="1"/>
  <c r="Q582" i="5" s="1"/>
  <c r="R582" i="5" s="1"/>
  <c r="S582" i="5" s="1"/>
  <c r="T582" i="5" s="1"/>
  <c r="U582" i="5" s="1"/>
  <c r="V582" i="5" s="1"/>
  <c r="W582" i="5" s="1"/>
  <c r="X582" i="5" s="1"/>
  <c r="Y582" i="5" s="1"/>
  <c r="Z582" i="5" s="1"/>
  <c r="AD582" i="5" s="1"/>
  <c r="AC500" i="5"/>
  <c r="N343" i="5"/>
  <c r="O579" i="5"/>
  <c r="O382" i="5"/>
  <c r="P382" i="5" s="1"/>
  <c r="Q382" i="5" s="1"/>
  <c r="R382" i="5" s="1"/>
  <c r="S382" i="5" s="1"/>
  <c r="T382" i="5" s="1"/>
  <c r="U382" i="5" s="1"/>
  <c r="V382" i="5" s="1"/>
  <c r="W382" i="5" s="1"/>
  <c r="X382" i="5" s="1"/>
  <c r="Y382" i="5" s="1"/>
  <c r="Z382" i="5" s="1"/>
  <c r="AD382" i="5" s="1"/>
  <c r="N29" i="5"/>
  <c r="AR198" i="5"/>
  <c r="AC402" i="5"/>
  <c r="N577" i="5"/>
  <c r="AC577" i="5" s="1"/>
  <c r="AC285" i="5"/>
  <c r="N392" i="5"/>
  <c r="AC24" i="5"/>
  <c r="O410" i="5"/>
  <c r="P410" i="5" s="1"/>
  <c r="Q410" i="5" s="1"/>
  <c r="R410" i="5" s="1"/>
  <c r="S410" i="5" s="1"/>
  <c r="T410" i="5" s="1"/>
  <c r="U410" i="5" s="1"/>
  <c r="V410" i="5" s="1"/>
  <c r="W410" i="5" s="1"/>
  <c r="X410" i="5" s="1"/>
  <c r="Y410" i="5" s="1"/>
  <c r="Z410" i="5" s="1"/>
  <c r="AD410" i="5" s="1"/>
  <c r="AE410" i="5" s="1"/>
  <c r="AF410" i="5" s="1"/>
  <c r="AG410" i="5" s="1"/>
  <c r="AH410" i="5" s="1"/>
  <c r="AI410" i="5" s="1"/>
  <c r="AJ410" i="5" s="1"/>
  <c r="AK410" i="5" s="1"/>
  <c r="AL410" i="5" s="1"/>
  <c r="AM410" i="5" s="1"/>
  <c r="AN410" i="5" s="1"/>
  <c r="AO410" i="5" s="1"/>
  <c r="AS410" i="5" s="1"/>
  <c r="AT410" i="5" s="1"/>
  <c r="AU410" i="5" s="1"/>
  <c r="AV410" i="5" s="1"/>
  <c r="AW410" i="5" s="1"/>
  <c r="AX410" i="5" s="1"/>
  <c r="AY410" i="5" s="1"/>
  <c r="AZ410" i="5" s="1"/>
  <c r="BA410" i="5" s="1"/>
  <c r="BB410" i="5" s="1"/>
  <c r="BC410" i="5" s="1"/>
  <c r="BD410" i="5" s="1"/>
  <c r="N167" i="5"/>
  <c r="AR167" i="5"/>
  <c r="O343" i="5"/>
  <c r="P343" i="5" s="1"/>
  <c r="Q343" i="5" s="1"/>
  <c r="R343" i="5" s="1"/>
  <c r="S343" i="5" s="1"/>
  <c r="T343" i="5" s="1"/>
  <c r="U343" i="5" s="1"/>
  <c r="V343" i="5" s="1"/>
  <c r="W343" i="5" s="1"/>
  <c r="X343" i="5" s="1"/>
  <c r="Y343" i="5" s="1"/>
  <c r="Z343" i="5" s="1"/>
  <c r="AD343" i="5" s="1"/>
  <c r="O196" i="5"/>
  <c r="P196" i="5" s="1"/>
  <c r="Q196" i="5" s="1"/>
  <c r="R196" i="5" s="1"/>
  <c r="S196" i="5" s="1"/>
  <c r="T196" i="5" s="1"/>
  <c r="U196" i="5" s="1"/>
  <c r="V196" i="5" s="1"/>
  <c r="W196" i="5" s="1"/>
  <c r="X196" i="5" s="1"/>
  <c r="Y196" i="5" s="1"/>
  <c r="Z196" i="5" s="1"/>
  <c r="AD196" i="5" s="1"/>
  <c r="AR304" i="5"/>
  <c r="N49" i="5"/>
  <c r="O49" i="5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D49" i="5" s="1"/>
  <c r="AR393" i="5"/>
  <c r="N293" i="5"/>
  <c r="AC284" i="5"/>
  <c r="N30" i="5"/>
  <c r="AD613" i="5"/>
  <c r="AE613" i="5" s="1"/>
  <c r="AF613" i="5" s="1"/>
  <c r="AG613" i="5" s="1"/>
  <c r="AH613" i="5" s="1"/>
  <c r="AI613" i="5" s="1"/>
  <c r="AJ613" i="5" s="1"/>
  <c r="AK613" i="5" s="1"/>
  <c r="AL613" i="5" s="1"/>
  <c r="AM613" i="5" s="1"/>
  <c r="AN613" i="5" s="1"/>
  <c r="AO613" i="5" s="1"/>
  <c r="AS613" i="5" s="1"/>
  <c r="AT613" i="5" s="1"/>
  <c r="AU613" i="5" s="1"/>
  <c r="AV613" i="5" s="1"/>
  <c r="AW613" i="5" s="1"/>
  <c r="AX613" i="5" s="1"/>
  <c r="AY613" i="5" s="1"/>
  <c r="AZ613" i="5" s="1"/>
  <c r="BA613" i="5" s="1"/>
  <c r="BB613" i="5" s="1"/>
  <c r="BC613" i="5" s="1"/>
  <c r="BD613" i="5" s="1"/>
  <c r="AR417" i="5"/>
  <c r="N148" i="5"/>
  <c r="O41" i="5"/>
  <c r="P41" i="5" s="1"/>
  <c r="Q41" i="5" s="1"/>
  <c r="R41" i="5" s="1"/>
  <c r="S41" i="5" s="1"/>
  <c r="T41" i="5" s="1"/>
  <c r="U41" i="5" s="1"/>
  <c r="V41" i="5" s="1"/>
  <c r="W41" i="5" s="1"/>
  <c r="X41" i="5" s="1"/>
  <c r="Y41" i="5" s="1"/>
  <c r="Z41" i="5" s="1"/>
  <c r="AD41" i="5" s="1"/>
  <c r="AE41" i="5" s="1"/>
  <c r="AF41" i="5" s="1"/>
  <c r="AG41" i="5" s="1"/>
  <c r="AH41" i="5" s="1"/>
  <c r="AI41" i="5" s="1"/>
  <c r="AJ41" i="5" s="1"/>
  <c r="AK41" i="5" s="1"/>
  <c r="AL41" i="5" s="1"/>
  <c r="AM41" i="5" s="1"/>
  <c r="AN41" i="5" s="1"/>
  <c r="AO41" i="5" s="1"/>
  <c r="AS41" i="5" s="1"/>
  <c r="AR41" i="5" s="1"/>
  <c r="AC410" i="5"/>
  <c r="AR324" i="5"/>
  <c r="O148" i="5"/>
  <c r="P148" i="5" s="1"/>
  <c r="Q148" i="5" s="1"/>
  <c r="R148" i="5" s="1"/>
  <c r="S148" i="5" s="1"/>
  <c r="T148" i="5" s="1"/>
  <c r="U148" i="5" s="1"/>
  <c r="V148" i="5" s="1"/>
  <c r="W148" i="5" s="1"/>
  <c r="X148" i="5" s="1"/>
  <c r="Y148" i="5" s="1"/>
  <c r="Z148" i="5" s="1"/>
  <c r="AD148" i="5" s="1"/>
  <c r="AR499" i="5"/>
  <c r="P501" i="5"/>
  <c r="Q501" i="5" s="1"/>
  <c r="R501" i="5" s="1"/>
  <c r="S501" i="5" s="1"/>
  <c r="T501" i="5" s="1"/>
  <c r="U501" i="5" s="1"/>
  <c r="V501" i="5" s="1"/>
  <c r="W501" i="5" s="1"/>
  <c r="N394" i="5"/>
  <c r="AR392" i="5"/>
  <c r="AR293" i="5"/>
  <c r="AC297" i="5"/>
  <c r="O98" i="5"/>
  <c r="P98" i="5" s="1"/>
  <c r="Q98" i="5" s="1"/>
  <c r="R98" i="5" s="1"/>
  <c r="S98" i="5" s="1"/>
  <c r="T98" i="5" s="1"/>
  <c r="U98" i="5" s="1"/>
  <c r="V98" i="5" s="1"/>
  <c r="W98" i="5" s="1"/>
  <c r="X98" i="5" s="1"/>
  <c r="Y98" i="5" s="1"/>
  <c r="Z98" i="5" s="1"/>
  <c r="AD98" i="5" s="1"/>
  <c r="AC98" i="5" s="1"/>
  <c r="O499" i="5"/>
  <c r="P499" i="5" s="1"/>
  <c r="Q499" i="5" s="1"/>
  <c r="R499" i="5" s="1"/>
  <c r="S499" i="5" s="1"/>
  <c r="T499" i="5" s="1"/>
  <c r="U499" i="5" s="1"/>
  <c r="V499" i="5" s="1"/>
  <c r="W499" i="5" s="1"/>
  <c r="X499" i="5" s="1"/>
  <c r="Y499" i="5" s="1"/>
  <c r="Z499" i="5" s="1"/>
  <c r="AD499" i="5" s="1"/>
  <c r="AE499" i="5" s="1"/>
  <c r="AF499" i="5" s="1"/>
  <c r="AG499" i="5" s="1"/>
  <c r="AH499" i="5" s="1"/>
  <c r="AI499" i="5" s="1"/>
  <c r="AJ499" i="5" s="1"/>
  <c r="AK499" i="5" s="1"/>
  <c r="AL499" i="5" s="1"/>
  <c r="AM499" i="5" s="1"/>
  <c r="AN499" i="5" s="1"/>
  <c r="AO499" i="5" s="1"/>
  <c r="AS499" i="5" s="1"/>
  <c r="N367" i="5"/>
  <c r="AC194" i="5"/>
  <c r="P341" i="5"/>
  <c r="Q341" i="5" s="1"/>
  <c r="R341" i="5" s="1"/>
  <c r="S341" i="5" s="1"/>
  <c r="T341" i="5" s="1"/>
  <c r="U341" i="5" s="1"/>
  <c r="V341" i="5" s="1"/>
  <c r="W341" i="5" s="1"/>
  <c r="X341" i="5" s="1"/>
  <c r="N341" i="5"/>
  <c r="O417" i="5"/>
  <c r="O402" i="5"/>
  <c r="P402" i="5" s="1"/>
  <c r="Q402" i="5" s="1"/>
  <c r="R402" i="5" s="1"/>
  <c r="S402" i="5" s="1"/>
  <c r="T402" i="5" s="1"/>
  <c r="U402" i="5" s="1"/>
  <c r="V402" i="5" s="1"/>
  <c r="W402" i="5" s="1"/>
  <c r="X402" i="5" s="1"/>
  <c r="Y402" i="5" s="1"/>
  <c r="Z402" i="5" s="1"/>
  <c r="AD402" i="5" s="1"/>
  <c r="N414" i="5"/>
  <c r="AC374" i="5"/>
  <c r="O297" i="5"/>
  <c r="P297" i="5" s="1"/>
  <c r="Q297" i="5" s="1"/>
  <c r="R297" i="5" s="1"/>
  <c r="S297" i="5" s="1"/>
  <c r="T297" i="5" s="1"/>
  <c r="U297" i="5" s="1"/>
  <c r="V297" i="5" s="1"/>
  <c r="W297" i="5" s="1"/>
  <c r="X297" i="5" s="1"/>
  <c r="Y297" i="5" s="1"/>
  <c r="Z297" i="5" s="1"/>
  <c r="AD297" i="5" s="1"/>
  <c r="AC293" i="5"/>
  <c r="O312" i="5"/>
  <c r="P312" i="5" s="1"/>
  <c r="Q312" i="5" s="1"/>
  <c r="R312" i="5" s="1"/>
  <c r="S312" i="5" s="1"/>
  <c r="T312" i="5" s="1"/>
  <c r="U312" i="5" s="1"/>
  <c r="V312" i="5" s="1"/>
  <c r="W312" i="5" s="1"/>
  <c r="X312" i="5" s="1"/>
  <c r="Y312" i="5" s="1"/>
  <c r="Z312" i="5" s="1"/>
  <c r="AD312" i="5" s="1"/>
  <c r="AE312" i="5" s="1"/>
  <c r="AF312" i="5" s="1"/>
  <c r="AG312" i="5" s="1"/>
  <c r="AH312" i="5" s="1"/>
  <c r="AI312" i="5" s="1"/>
  <c r="AJ312" i="5" s="1"/>
  <c r="AK312" i="5" s="1"/>
  <c r="AL312" i="5" s="1"/>
  <c r="AM312" i="5" s="1"/>
  <c r="AN312" i="5" s="1"/>
  <c r="AO312" i="5" s="1"/>
  <c r="AS312" i="5" s="1"/>
  <c r="AT312" i="5" s="1"/>
  <c r="AU312" i="5" s="1"/>
  <c r="AV312" i="5" s="1"/>
  <c r="AW312" i="5" s="1"/>
  <c r="AX312" i="5" s="1"/>
  <c r="AY312" i="5" s="1"/>
  <c r="AZ312" i="5" s="1"/>
  <c r="BA312" i="5" s="1"/>
  <c r="BB312" i="5" s="1"/>
  <c r="BC312" i="5" s="1"/>
  <c r="BD312" i="5" s="1"/>
  <c r="O122" i="5"/>
  <c r="P122" i="5" s="1"/>
  <c r="Q122" i="5" s="1"/>
  <c r="R122" i="5" s="1"/>
  <c r="S122" i="5" s="1"/>
  <c r="T122" i="5" s="1"/>
  <c r="U122" i="5" s="1"/>
  <c r="V122" i="5" s="1"/>
  <c r="W122" i="5" s="1"/>
  <c r="X122" i="5" s="1"/>
  <c r="Y122" i="5" s="1"/>
  <c r="Z122" i="5" s="1"/>
  <c r="AD122" i="5" s="1"/>
  <c r="O392" i="5"/>
  <c r="P392" i="5" s="1"/>
  <c r="Q392" i="5" s="1"/>
  <c r="R392" i="5" s="1"/>
  <c r="S392" i="5" s="1"/>
  <c r="T392" i="5" s="1"/>
  <c r="U392" i="5" s="1"/>
  <c r="V392" i="5" s="1"/>
  <c r="W392" i="5" s="1"/>
  <c r="X392" i="5" s="1"/>
  <c r="Y392" i="5" s="1"/>
  <c r="Z392" i="5" s="1"/>
  <c r="AD392" i="5" s="1"/>
  <c r="AE392" i="5" s="1"/>
  <c r="AF392" i="5" s="1"/>
  <c r="AG392" i="5" s="1"/>
  <c r="AH392" i="5" s="1"/>
  <c r="AI392" i="5" s="1"/>
  <c r="AJ392" i="5" s="1"/>
  <c r="AK392" i="5" s="1"/>
  <c r="AL392" i="5" s="1"/>
  <c r="AM392" i="5" s="1"/>
  <c r="AN392" i="5" s="1"/>
  <c r="AO392" i="5" s="1"/>
  <c r="AS392" i="5" s="1"/>
  <c r="AT392" i="5" s="1"/>
  <c r="AU392" i="5" s="1"/>
  <c r="AV392" i="5" s="1"/>
  <c r="AW392" i="5" s="1"/>
  <c r="AX392" i="5" s="1"/>
  <c r="AY392" i="5" s="1"/>
  <c r="AZ392" i="5" s="1"/>
  <c r="BA392" i="5" s="1"/>
  <c r="BB392" i="5" s="1"/>
  <c r="BC392" i="5" s="1"/>
  <c r="BD392" i="5" s="1"/>
  <c r="O166" i="5"/>
  <c r="P166" i="5" s="1"/>
  <c r="Q166" i="5" s="1"/>
  <c r="R166" i="5" s="1"/>
  <c r="S166" i="5" s="1"/>
  <c r="T166" i="5" s="1"/>
  <c r="U166" i="5" s="1"/>
  <c r="V166" i="5" s="1"/>
  <c r="W166" i="5" s="1"/>
  <c r="X166" i="5" s="1"/>
  <c r="Y166" i="5" s="1"/>
  <c r="Z166" i="5" s="1"/>
  <c r="AD166" i="5" s="1"/>
  <c r="AE166" i="5" s="1"/>
  <c r="AF166" i="5" s="1"/>
  <c r="AG166" i="5" s="1"/>
  <c r="AH166" i="5" s="1"/>
  <c r="AI166" i="5" s="1"/>
  <c r="AJ166" i="5" s="1"/>
  <c r="AK166" i="5" s="1"/>
  <c r="AL166" i="5" s="1"/>
  <c r="AM166" i="5" s="1"/>
  <c r="AN166" i="5" s="1"/>
  <c r="AO166" i="5" s="1"/>
  <c r="AS166" i="5" s="1"/>
  <c r="AT166" i="5" s="1"/>
  <c r="AU166" i="5" s="1"/>
  <c r="AV166" i="5" s="1"/>
  <c r="AW166" i="5" s="1"/>
  <c r="AX166" i="5" s="1"/>
  <c r="AY166" i="5" s="1"/>
  <c r="AZ166" i="5" s="1"/>
  <c r="BA166" i="5" s="1"/>
  <c r="BB166" i="5" s="1"/>
  <c r="BC166" i="5" s="1"/>
  <c r="BD166" i="5" s="1"/>
  <c r="AC417" i="5"/>
  <c r="N382" i="5"/>
  <c r="AR322" i="5"/>
  <c r="N297" i="5"/>
  <c r="AR166" i="5"/>
  <c r="N194" i="5"/>
  <c r="AA611" i="5"/>
  <c r="AC415" i="5"/>
  <c r="N393" i="5"/>
  <c r="O393" i="5"/>
  <c r="P393" i="5" s="1"/>
  <c r="Q393" i="5" s="1"/>
  <c r="R393" i="5" s="1"/>
  <c r="S393" i="5" s="1"/>
  <c r="T393" i="5" s="1"/>
  <c r="U393" i="5" s="1"/>
  <c r="V393" i="5" s="1"/>
  <c r="W393" i="5" s="1"/>
  <c r="X393" i="5" s="1"/>
  <c r="Y393" i="5" s="1"/>
  <c r="Z393" i="5" s="1"/>
  <c r="AD393" i="5" s="1"/>
  <c r="AR374" i="5"/>
  <c r="O285" i="5"/>
  <c r="P285" i="5" s="1"/>
  <c r="Q285" i="5" s="1"/>
  <c r="R285" i="5" s="1"/>
  <c r="S285" i="5" s="1"/>
  <c r="T285" i="5" s="1"/>
  <c r="U285" i="5" s="1"/>
  <c r="V285" i="5" s="1"/>
  <c r="W285" i="5" s="1"/>
  <c r="X285" i="5" s="1"/>
  <c r="Y285" i="5" s="1"/>
  <c r="Z285" i="5" s="1"/>
  <c r="AD285" i="5" s="1"/>
  <c r="N166" i="5"/>
  <c r="N122" i="5"/>
  <c r="O371" i="5"/>
  <c r="P371" i="5" s="1"/>
  <c r="Q371" i="5" s="1"/>
  <c r="R371" i="5" s="1"/>
  <c r="S371" i="5" s="1"/>
  <c r="T371" i="5" s="1"/>
  <c r="U371" i="5" s="1"/>
  <c r="V371" i="5" s="1"/>
  <c r="W371" i="5" s="1"/>
  <c r="X371" i="5" s="1"/>
  <c r="Y371" i="5" s="1"/>
  <c r="Z371" i="5" s="1"/>
  <c r="AD371" i="5" s="1"/>
  <c r="AC371" i="5"/>
  <c r="AC309" i="5"/>
  <c r="O324" i="5"/>
  <c r="P324" i="5" s="1"/>
  <c r="Q324" i="5" s="1"/>
  <c r="R324" i="5" s="1"/>
  <c r="S324" i="5" s="1"/>
  <c r="T324" i="5" s="1"/>
  <c r="U324" i="5" s="1"/>
  <c r="V324" i="5" s="1"/>
  <c r="W324" i="5" s="1"/>
  <c r="X324" i="5" s="1"/>
  <c r="Y324" i="5" s="1"/>
  <c r="Z324" i="5" s="1"/>
  <c r="AD324" i="5" s="1"/>
  <c r="AE324" i="5" s="1"/>
  <c r="AF324" i="5" s="1"/>
  <c r="AG324" i="5" s="1"/>
  <c r="AH324" i="5" s="1"/>
  <c r="AI324" i="5" s="1"/>
  <c r="AJ324" i="5" s="1"/>
  <c r="AK324" i="5" s="1"/>
  <c r="AL324" i="5" s="1"/>
  <c r="AM324" i="5" s="1"/>
  <c r="AN324" i="5" s="1"/>
  <c r="AO324" i="5" s="1"/>
  <c r="AS324" i="5" s="1"/>
  <c r="AT324" i="5" s="1"/>
  <c r="AU324" i="5" s="1"/>
  <c r="AV324" i="5" s="1"/>
  <c r="AW324" i="5" s="1"/>
  <c r="AX324" i="5" s="1"/>
  <c r="AY324" i="5" s="1"/>
  <c r="AZ324" i="5" s="1"/>
  <c r="BA324" i="5" s="1"/>
  <c r="BB324" i="5" s="1"/>
  <c r="BC324" i="5" s="1"/>
  <c r="BD324" i="5" s="1"/>
  <c r="AC198" i="5"/>
  <c r="O580" i="5"/>
  <c r="P580" i="5" s="1"/>
  <c r="Q580" i="5" s="1"/>
  <c r="R580" i="5" s="1"/>
  <c r="S580" i="5" s="1"/>
  <c r="T580" i="5" s="1"/>
  <c r="U580" i="5" s="1"/>
  <c r="V580" i="5" s="1"/>
  <c r="W580" i="5" s="1"/>
  <c r="X580" i="5" s="1"/>
  <c r="Y580" i="5" s="1"/>
  <c r="Z580" i="5" s="1"/>
  <c r="AD580" i="5" s="1"/>
  <c r="N499" i="5"/>
  <c r="AR415" i="5"/>
  <c r="AR382" i="5"/>
  <c r="AR371" i="5"/>
  <c r="AR285" i="5"/>
  <c r="N322" i="5"/>
  <c r="AR284" i="5"/>
  <c r="N324" i="5"/>
  <c r="N304" i="5"/>
  <c r="O29" i="5"/>
  <c r="P29" i="5" s="1"/>
  <c r="Q29" i="5" s="1"/>
  <c r="R29" i="5" s="1"/>
  <c r="S29" i="5" s="1"/>
  <c r="T29" i="5" s="1"/>
  <c r="U29" i="5" s="1"/>
  <c r="V29" i="5" s="1"/>
  <c r="W29" i="5" s="1"/>
  <c r="X29" i="5" s="1"/>
  <c r="Y29" i="5" s="1"/>
  <c r="Z29" i="5" s="1"/>
  <c r="AD29" i="5" s="1"/>
  <c r="N198" i="5"/>
  <c r="AC30" i="5"/>
  <c r="AC502" i="5"/>
  <c r="O304" i="5"/>
  <c r="P304" i="5" s="1"/>
  <c r="Q304" i="5" s="1"/>
  <c r="R304" i="5" s="1"/>
  <c r="S304" i="5" s="1"/>
  <c r="T304" i="5" s="1"/>
  <c r="U304" i="5" s="1"/>
  <c r="V304" i="5" s="1"/>
  <c r="W304" i="5" s="1"/>
  <c r="X304" i="5" s="1"/>
  <c r="Y304" i="5" s="1"/>
  <c r="Z304" i="5" s="1"/>
  <c r="AD304" i="5" s="1"/>
  <c r="AR148" i="5"/>
  <c r="N41" i="5"/>
  <c r="O379" i="5"/>
  <c r="P379" i="5" s="1"/>
  <c r="Q379" i="5" s="1"/>
  <c r="R379" i="5" s="1"/>
  <c r="S379" i="5" s="1"/>
  <c r="T379" i="5" s="1"/>
  <c r="U379" i="5" s="1"/>
  <c r="V379" i="5" s="1"/>
  <c r="W379" i="5" s="1"/>
  <c r="X379" i="5" s="1"/>
  <c r="Y379" i="5" s="1"/>
  <c r="Z379" i="5" s="1"/>
  <c r="AD379" i="5" s="1"/>
  <c r="AC379" i="5"/>
  <c r="AC322" i="5"/>
  <c r="AR309" i="5"/>
  <c r="O284" i="5"/>
  <c r="P284" i="5" s="1"/>
  <c r="Q284" i="5" s="1"/>
  <c r="R284" i="5" s="1"/>
  <c r="S284" i="5" s="1"/>
  <c r="T284" i="5" s="1"/>
  <c r="U284" i="5" s="1"/>
  <c r="V284" i="5" s="1"/>
  <c r="W284" i="5" s="1"/>
  <c r="X284" i="5" s="1"/>
  <c r="Y284" i="5" s="1"/>
  <c r="Z284" i="5" s="1"/>
  <c r="AD284" i="5" s="1"/>
  <c r="AR29" i="5"/>
  <c r="AA194" i="5"/>
  <c r="O193" i="5"/>
  <c r="P193" i="5" s="1"/>
  <c r="Q193" i="5" s="1"/>
  <c r="R193" i="5" s="1"/>
  <c r="S193" i="5" s="1"/>
  <c r="T193" i="5" s="1"/>
  <c r="U193" i="5" s="1"/>
  <c r="V193" i="5" s="1"/>
  <c r="W193" i="5" s="1"/>
  <c r="X193" i="5" s="1"/>
  <c r="Y193" i="5" s="1"/>
  <c r="Z193" i="5" s="1"/>
  <c r="AD193" i="5" s="1"/>
  <c r="AR193" i="5"/>
  <c r="AA368" i="5"/>
  <c r="AR500" i="5"/>
  <c r="AC394" i="5"/>
  <c r="AC414" i="5"/>
  <c r="N377" i="5"/>
  <c r="P348" i="5"/>
  <c r="Q348" i="5" s="1"/>
  <c r="R348" i="5" s="1"/>
  <c r="AC367" i="5"/>
  <c r="AR312" i="5"/>
  <c r="AP656" i="5"/>
  <c r="O415" i="5"/>
  <c r="BE628" i="5"/>
  <c r="O500" i="5"/>
  <c r="P500" i="5" s="1"/>
  <c r="Q500" i="5" s="1"/>
  <c r="R500" i="5" s="1"/>
  <c r="S500" i="5" s="1"/>
  <c r="T500" i="5" s="1"/>
  <c r="U500" i="5" s="1"/>
  <c r="V500" i="5" s="1"/>
  <c r="W500" i="5" s="1"/>
  <c r="X500" i="5" s="1"/>
  <c r="Y500" i="5" s="1"/>
  <c r="Z500" i="5" s="1"/>
  <c r="AD500" i="5" s="1"/>
  <c r="AR414" i="5"/>
  <c r="AR377" i="5"/>
  <c r="O373" i="5"/>
  <c r="P373" i="5" s="1"/>
  <c r="Q373" i="5" s="1"/>
  <c r="R373" i="5" s="1"/>
  <c r="S373" i="5" s="1"/>
  <c r="T373" i="5" s="1"/>
  <c r="U373" i="5" s="1"/>
  <c r="V373" i="5" s="1"/>
  <c r="W373" i="5" s="1"/>
  <c r="X373" i="5" s="1"/>
  <c r="Y373" i="5" s="1"/>
  <c r="Z373" i="5" s="1"/>
  <c r="AD373" i="5" s="1"/>
  <c r="AR367" i="5"/>
  <c r="P377" i="5"/>
  <c r="Q377" i="5" s="1"/>
  <c r="R377" i="5" s="1"/>
  <c r="S377" i="5" s="1"/>
  <c r="T377" i="5" s="1"/>
  <c r="U377" i="5" s="1"/>
  <c r="V377" i="5" s="1"/>
  <c r="W377" i="5" s="1"/>
  <c r="X377" i="5" s="1"/>
  <c r="Y377" i="5" s="1"/>
  <c r="Z377" i="5" s="1"/>
  <c r="AD377" i="5" s="1"/>
  <c r="AE377" i="5" s="1"/>
  <c r="AF377" i="5" s="1"/>
  <c r="AG377" i="5" s="1"/>
  <c r="AH377" i="5" s="1"/>
  <c r="AI377" i="5" s="1"/>
  <c r="AJ377" i="5" s="1"/>
  <c r="AK377" i="5" s="1"/>
  <c r="AL377" i="5" s="1"/>
  <c r="AM377" i="5" s="1"/>
  <c r="AN377" i="5" s="1"/>
  <c r="AO377" i="5" s="1"/>
  <c r="AS377" i="5" s="1"/>
  <c r="AC173" i="5"/>
  <c r="AR173" i="5"/>
  <c r="AC312" i="5"/>
  <c r="N114" i="5"/>
  <c r="AA612" i="5"/>
  <c r="AP643" i="5"/>
  <c r="AS652" i="5"/>
  <c r="AT652" i="5" s="1"/>
  <c r="AU652" i="5" s="1"/>
  <c r="AV652" i="5" s="1"/>
  <c r="AW652" i="5" s="1"/>
  <c r="AX652" i="5" s="1"/>
  <c r="AY652" i="5" s="1"/>
  <c r="AZ652" i="5" s="1"/>
  <c r="BA652" i="5" s="1"/>
  <c r="BB652" i="5" s="1"/>
  <c r="BC652" i="5" s="1"/>
  <c r="BD652" i="5" s="1"/>
  <c r="AC377" i="5"/>
  <c r="AR161" i="5"/>
  <c r="O173" i="5"/>
  <c r="P173" i="5" s="1"/>
  <c r="Q173" i="5" s="1"/>
  <c r="R173" i="5" s="1"/>
  <c r="S173" i="5" s="1"/>
  <c r="T173" i="5" s="1"/>
  <c r="U173" i="5" s="1"/>
  <c r="V173" i="5" s="1"/>
  <c r="W173" i="5" s="1"/>
  <c r="X173" i="5" s="1"/>
  <c r="Y173" i="5" s="1"/>
  <c r="Z173" i="5" s="1"/>
  <c r="AD173" i="5" s="1"/>
  <c r="N161" i="5"/>
  <c r="AR314" i="5"/>
  <c r="AC314" i="5"/>
  <c r="AP637" i="5"/>
  <c r="AP630" i="5"/>
  <c r="AR410" i="5"/>
  <c r="N402" i="5"/>
  <c r="AA344" i="5"/>
  <c r="N314" i="5"/>
  <c r="N196" i="5"/>
  <c r="AC196" i="5"/>
  <c r="N193" i="5"/>
  <c r="AC49" i="5"/>
  <c r="O30" i="5"/>
  <c r="P30" i="5" s="1"/>
  <c r="Q30" i="5" s="1"/>
  <c r="R30" i="5" s="1"/>
  <c r="S30" i="5" s="1"/>
  <c r="T30" i="5" s="1"/>
  <c r="U30" i="5" s="1"/>
  <c r="V30" i="5" s="1"/>
  <c r="W30" i="5" s="1"/>
  <c r="X30" i="5" s="1"/>
  <c r="Y30" i="5" s="1"/>
  <c r="Z30" i="5" s="1"/>
  <c r="AD30" i="5" s="1"/>
  <c r="O314" i="5"/>
  <c r="P314" i="5" s="1"/>
  <c r="Q314" i="5" s="1"/>
  <c r="R314" i="5" s="1"/>
  <c r="S314" i="5" s="1"/>
  <c r="T314" i="5" s="1"/>
  <c r="U314" i="5" s="1"/>
  <c r="V314" i="5" s="1"/>
  <c r="W314" i="5" s="1"/>
  <c r="X314" i="5" s="1"/>
  <c r="Y314" i="5" s="1"/>
  <c r="Z314" i="5" s="1"/>
  <c r="AD314" i="5" s="1"/>
  <c r="AE314" i="5" s="1"/>
  <c r="AF314" i="5" s="1"/>
  <c r="AG314" i="5" s="1"/>
  <c r="AH314" i="5" s="1"/>
  <c r="AI314" i="5" s="1"/>
  <c r="AJ314" i="5" s="1"/>
  <c r="AK314" i="5" s="1"/>
  <c r="AL314" i="5" s="1"/>
  <c r="AM314" i="5" s="1"/>
  <c r="AN314" i="5" s="1"/>
  <c r="AO314" i="5" s="1"/>
  <c r="AS314" i="5" s="1"/>
  <c r="AT314" i="5" s="1"/>
  <c r="AU314" i="5" s="1"/>
  <c r="AV314" i="5" s="1"/>
  <c r="AW314" i="5" s="1"/>
  <c r="AX314" i="5" s="1"/>
  <c r="AY314" i="5" s="1"/>
  <c r="AZ314" i="5" s="1"/>
  <c r="BA314" i="5" s="1"/>
  <c r="BB314" i="5" s="1"/>
  <c r="BC314" i="5" s="1"/>
  <c r="BD314" i="5" s="1"/>
  <c r="O309" i="5"/>
  <c r="O374" i="5"/>
  <c r="P374" i="5" s="1"/>
  <c r="Q374" i="5" s="1"/>
  <c r="R374" i="5" s="1"/>
  <c r="S374" i="5" s="1"/>
  <c r="T374" i="5" s="1"/>
  <c r="U374" i="5" s="1"/>
  <c r="V374" i="5" s="1"/>
  <c r="W374" i="5" s="1"/>
  <c r="X374" i="5" s="1"/>
  <c r="Y374" i="5" s="1"/>
  <c r="Z374" i="5" s="1"/>
  <c r="AD374" i="5" s="1"/>
  <c r="N379" i="5"/>
  <c r="AR343" i="5"/>
  <c r="I657" i="5"/>
  <c r="AR122" i="5"/>
  <c r="AR114" i="5"/>
  <c r="AP119" i="5"/>
  <c r="O32" i="5"/>
  <c r="P32" i="5" s="1"/>
  <c r="Q32" i="5" s="1"/>
  <c r="R32" i="5" s="1"/>
  <c r="S32" i="5" s="1"/>
  <c r="T32" i="5" s="1"/>
  <c r="U32" i="5" s="1"/>
  <c r="V32" i="5" s="1"/>
  <c r="W32" i="5" s="1"/>
  <c r="X32" i="5" s="1"/>
  <c r="Y32" i="5" s="1"/>
  <c r="Z32" i="5" s="1"/>
  <c r="AD32" i="5" s="1"/>
  <c r="AE32" i="5" s="1"/>
  <c r="AF32" i="5" s="1"/>
  <c r="AG32" i="5" s="1"/>
  <c r="O31" i="5"/>
  <c r="P31" i="5" s="1"/>
  <c r="Q31" i="5" s="1"/>
  <c r="R31" i="5" s="1"/>
  <c r="S31" i="5" s="1"/>
  <c r="T31" i="5" s="1"/>
  <c r="U31" i="5" s="1"/>
  <c r="V31" i="5" s="1"/>
  <c r="W31" i="5" s="1"/>
  <c r="X31" i="5" s="1"/>
  <c r="Y31" i="5" s="1"/>
  <c r="Z31" i="5" s="1"/>
  <c r="AD31" i="5" s="1"/>
  <c r="O161" i="5"/>
  <c r="P161" i="5" s="1"/>
  <c r="Q161" i="5" s="1"/>
  <c r="R161" i="5" s="1"/>
  <c r="S161" i="5" s="1"/>
  <c r="T161" i="5" s="1"/>
  <c r="U161" i="5" s="1"/>
  <c r="V161" i="5" s="1"/>
  <c r="W161" i="5" s="1"/>
  <c r="X161" i="5" s="1"/>
  <c r="Y161" i="5" s="1"/>
  <c r="Z161" i="5" s="1"/>
  <c r="AD161" i="5" s="1"/>
  <c r="AE161" i="5" s="1"/>
  <c r="AF161" i="5" s="1"/>
  <c r="AG161" i="5" s="1"/>
  <c r="AH161" i="5" s="1"/>
  <c r="AI161" i="5" s="1"/>
  <c r="AJ161" i="5" s="1"/>
  <c r="AK161" i="5" s="1"/>
  <c r="AL161" i="5" s="1"/>
  <c r="AM161" i="5" s="1"/>
  <c r="AN161" i="5" s="1"/>
  <c r="AO161" i="5" s="1"/>
  <c r="AS161" i="5" s="1"/>
  <c r="AT161" i="5" s="1"/>
  <c r="AU161" i="5" s="1"/>
  <c r="AP635" i="5"/>
  <c r="O394" i="5"/>
  <c r="O114" i="5"/>
  <c r="P114" i="5" s="1"/>
  <c r="Q114" i="5" s="1"/>
  <c r="R114" i="5" s="1"/>
  <c r="S114" i="5" s="1"/>
  <c r="T114" i="5" s="1"/>
  <c r="U114" i="5" s="1"/>
  <c r="V114" i="5" s="1"/>
  <c r="W114" i="5" s="1"/>
  <c r="X114" i="5" s="1"/>
  <c r="Y114" i="5" s="1"/>
  <c r="Z114" i="5" s="1"/>
  <c r="AD114" i="5" s="1"/>
  <c r="AE114" i="5" s="1"/>
  <c r="AF114" i="5" s="1"/>
  <c r="AG114" i="5" s="1"/>
  <c r="AH114" i="5" s="1"/>
  <c r="AI114" i="5" s="1"/>
  <c r="AJ114" i="5" s="1"/>
  <c r="AK114" i="5" s="1"/>
  <c r="AL114" i="5" s="1"/>
  <c r="AM114" i="5" s="1"/>
  <c r="AN114" i="5" s="1"/>
  <c r="AO114" i="5" s="1"/>
  <c r="AS114" i="5" s="1"/>
  <c r="AT114" i="5" s="1"/>
  <c r="AU114" i="5" s="1"/>
  <c r="AV114" i="5" s="1"/>
  <c r="AW114" i="5" s="1"/>
  <c r="AX114" i="5" s="1"/>
  <c r="AY114" i="5" s="1"/>
  <c r="AZ114" i="5" s="1"/>
  <c r="BA114" i="5" s="1"/>
  <c r="BB114" i="5" s="1"/>
  <c r="BC114" i="5" s="1"/>
  <c r="BD114" i="5" s="1"/>
  <c r="BE655" i="5"/>
  <c r="AS648" i="5"/>
  <c r="AT648" i="5" s="1"/>
  <c r="AU648" i="5" s="1"/>
  <c r="AV648" i="5" s="1"/>
  <c r="AW648" i="5" s="1"/>
  <c r="AX648" i="5" s="1"/>
  <c r="AY648" i="5" s="1"/>
  <c r="AZ648" i="5" s="1"/>
  <c r="BA648" i="5" s="1"/>
  <c r="BB648" i="5" s="1"/>
  <c r="BC648" i="5" s="1"/>
  <c r="BD648" i="5" s="1"/>
  <c r="AP642" i="5"/>
  <c r="AA606" i="5"/>
  <c r="P320" i="5"/>
  <c r="Q320" i="5" s="1"/>
  <c r="R320" i="5" s="1"/>
  <c r="S320" i="5" s="1"/>
  <c r="T320" i="5" s="1"/>
  <c r="U320" i="5" s="1"/>
  <c r="V320" i="5" s="1"/>
  <c r="W320" i="5" s="1"/>
  <c r="X320" i="5" s="1"/>
  <c r="Y320" i="5" s="1"/>
  <c r="N320" i="5"/>
  <c r="AT656" i="5"/>
  <c r="AU656" i="5" s="1"/>
  <c r="AV656" i="5" s="1"/>
  <c r="AW656" i="5" s="1"/>
  <c r="AX656" i="5" s="1"/>
  <c r="AY656" i="5" s="1"/>
  <c r="AZ656" i="5" s="1"/>
  <c r="BA656" i="5" s="1"/>
  <c r="BB656" i="5" s="1"/>
  <c r="BC656" i="5" s="1"/>
  <c r="BD656" i="5" s="1"/>
  <c r="AP644" i="5"/>
  <c r="AT641" i="5"/>
  <c r="AU641" i="5" s="1"/>
  <c r="AV641" i="5" s="1"/>
  <c r="AW641" i="5" s="1"/>
  <c r="AX641" i="5" s="1"/>
  <c r="AY641" i="5" s="1"/>
  <c r="AZ641" i="5" s="1"/>
  <c r="BA641" i="5" s="1"/>
  <c r="BB641" i="5" s="1"/>
  <c r="BC641" i="5" s="1"/>
  <c r="BD641" i="5" s="1"/>
  <c r="AD609" i="5"/>
  <c r="AE609" i="5" s="1"/>
  <c r="AF609" i="5" s="1"/>
  <c r="AG609" i="5" s="1"/>
  <c r="AH609" i="5" s="1"/>
  <c r="AI609" i="5" s="1"/>
  <c r="AJ609" i="5" s="1"/>
  <c r="AK609" i="5" s="1"/>
  <c r="AL609" i="5" s="1"/>
  <c r="AM609" i="5" s="1"/>
  <c r="AN609" i="5" s="1"/>
  <c r="AO609" i="5" s="1"/>
  <c r="AS609" i="5" s="1"/>
  <c r="AT609" i="5" s="1"/>
  <c r="AU609" i="5" s="1"/>
  <c r="AV609" i="5" s="1"/>
  <c r="AW609" i="5" s="1"/>
  <c r="AX609" i="5" s="1"/>
  <c r="AY609" i="5" s="1"/>
  <c r="AZ609" i="5" s="1"/>
  <c r="BA609" i="5" s="1"/>
  <c r="BB609" i="5" s="1"/>
  <c r="BC609" i="5" s="1"/>
  <c r="BD609" i="5" s="1"/>
  <c r="AA609" i="5"/>
  <c r="AT643" i="5"/>
  <c r="AU643" i="5" s="1"/>
  <c r="AV643" i="5" s="1"/>
  <c r="AW643" i="5" s="1"/>
  <c r="AX643" i="5" s="1"/>
  <c r="AY643" i="5" s="1"/>
  <c r="AZ643" i="5" s="1"/>
  <c r="BA643" i="5" s="1"/>
  <c r="BB643" i="5" s="1"/>
  <c r="BC643" i="5" s="1"/>
  <c r="BD643" i="5" s="1"/>
  <c r="AG625" i="5"/>
  <c r="AH625" i="5" s="1"/>
  <c r="AI625" i="5" s="1"/>
  <c r="AJ625" i="5" s="1"/>
  <c r="AK625" i="5" s="1"/>
  <c r="AL625" i="5" s="1"/>
  <c r="AM625" i="5" s="1"/>
  <c r="AN625" i="5" s="1"/>
  <c r="AO625" i="5" s="1"/>
  <c r="AS625" i="5" s="1"/>
  <c r="AT637" i="5"/>
  <c r="AU637" i="5" s="1"/>
  <c r="AV637" i="5" s="1"/>
  <c r="AW637" i="5" s="1"/>
  <c r="AX637" i="5" s="1"/>
  <c r="AY637" i="5" s="1"/>
  <c r="AZ637" i="5" s="1"/>
  <c r="BA637" i="5" s="1"/>
  <c r="BB637" i="5" s="1"/>
  <c r="BC637" i="5" s="1"/>
  <c r="BD637" i="5" s="1"/>
  <c r="O581" i="5"/>
  <c r="AP623" i="5"/>
  <c r="W596" i="5"/>
  <c r="P579" i="5"/>
  <c r="Q579" i="5" s="1"/>
  <c r="R579" i="5" s="1"/>
  <c r="S579" i="5" s="1"/>
  <c r="T579" i="5" s="1"/>
  <c r="U579" i="5" s="1"/>
  <c r="V579" i="5" s="1"/>
  <c r="W579" i="5" s="1"/>
  <c r="X579" i="5" s="1"/>
  <c r="Y579" i="5" s="1"/>
  <c r="Z579" i="5" s="1"/>
  <c r="AD579" i="5" s="1"/>
  <c r="P407" i="5"/>
  <c r="Q407" i="5" s="1"/>
  <c r="R407" i="5" s="1"/>
  <c r="S407" i="5" s="1"/>
  <c r="T407" i="5" s="1"/>
  <c r="U407" i="5" s="1"/>
  <c r="V407" i="5" s="1"/>
  <c r="W407" i="5" s="1"/>
  <c r="X407" i="5" s="1"/>
  <c r="Y407" i="5" s="1"/>
  <c r="Z407" i="5" s="1"/>
  <c r="AD407" i="5" s="1"/>
  <c r="AE420" i="5"/>
  <c r="AF420" i="5" s="1"/>
  <c r="AG420" i="5" s="1"/>
  <c r="AH420" i="5" s="1"/>
  <c r="AI420" i="5" s="1"/>
  <c r="AJ420" i="5" s="1"/>
  <c r="AK420" i="5" s="1"/>
  <c r="AL420" i="5" s="1"/>
  <c r="AM420" i="5" s="1"/>
  <c r="AN420" i="5" s="1"/>
  <c r="AO420" i="5" s="1"/>
  <c r="AS420" i="5" s="1"/>
  <c r="AR407" i="5"/>
  <c r="AC407" i="5"/>
  <c r="N407" i="5"/>
  <c r="AE344" i="5"/>
  <c r="AF344" i="5" s="1"/>
  <c r="AG344" i="5" s="1"/>
  <c r="AH344" i="5" s="1"/>
  <c r="AI344" i="5" s="1"/>
  <c r="AJ344" i="5" s="1"/>
  <c r="AK344" i="5" s="1"/>
  <c r="AL344" i="5" s="1"/>
  <c r="AM344" i="5" s="1"/>
  <c r="AN344" i="5" s="1"/>
  <c r="AO344" i="5" s="1"/>
  <c r="AS344" i="5" s="1"/>
  <c r="O325" i="5"/>
  <c r="P325" i="5" s="1"/>
  <c r="Q325" i="5" s="1"/>
  <c r="R325" i="5" s="1"/>
  <c r="S325" i="5" s="1"/>
  <c r="T325" i="5" s="1"/>
  <c r="U325" i="5" s="1"/>
  <c r="V325" i="5" s="1"/>
  <c r="W325" i="5" s="1"/>
  <c r="X325" i="5" s="1"/>
  <c r="Y325" i="5" s="1"/>
  <c r="Z325" i="5" s="1"/>
  <c r="AD325" i="5" s="1"/>
  <c r="AE325" i="5" s="1"/>
  <c r="AF325" i="5" s="1"/>
  <c r="AG325" i="5" s="1"/>
  <c r="AH325" i="5" s="1"/>
  <c r="AI325" i="5" s="1"/>
  <c r="AJ325" i="5" s="1"/>
  <c r="AK325" i="5" s="1"/>
  <c r="AL325" i="5" s="1"/>
  <c r="AM325" i="5" s="1"/>
  <c r="AN325" i="5" s="1"/>
  <c r="AO325" i="5" s="1"/>
  <c r="AS325" i="5" s="1"/>
  <c r="AT325" i="5" s="1"/>
  <c r="AU325" i="5" s="1"/>
  <c r="AV325" i="5" s="1"/>
  <c r="AW325" i="5" s="1"/>
  <c r="AX325" i="5" s="1"/>
  <c r="AY325" i="5" s="1"/>
  <c r="AZ325" i="5" s="1"/>
  <c r="BA325" i="5" s="1"/>
  <c r="BB325" i="5" s="1"/>
  <c r="BC325" i="5" s="1"/>
  <c r="BD325" i="5" s="1"/>
  <c r="AR325" i="5"/>
  <c r="N325" i="5"/>
  <c r="AC325" i="5"/>
  <c r="AR306" i="5"/>
  <c r="O306" i="5"/>
  <c r="N306" i="5"/>
  <c r="AC306" i="5"/>
  <c r="AC200" i="5"/>
  <c r="AR200" i="5"/>
  <c r="N200" i="5"/>
  <c r="N178" i="5"/>
  <c r="AC178" i="5"/>
  <c r="AR178" i="5"/>
  <c r="AE198" i="5"/>
  <c r="AF198" i="5" s="1"/>
  <c r="AG198" i="5" s="1"/>
  <c r="AH198" i="5" s="1"/>
  <c r="AI198" i="5" s="1"/>
  <c r="AJ198" i="5" s="1"/>
  <c r="AK198" i="5" s="1"/>
  <c r="AL198" i="5" s="1"/>
  <c r="AM198" i="5" s="1"/>
  <c r="AN198" i="5" s="1"/>
  <c r="AO198" i="5" s="1"/>
  <c r="AS198" i="5" s="1"/>
  <c r="AA53" i="5"/>
  <c r="AT623" i="5"/>
  <c r="AU623" i="5" s="1"/>
  <c r="AV623" i="5" s="1"/>
  <c r="AW623" i="5" s="1"/>
  <c r="AX623" i="5" s="1"/>
  <c r="AY623" i="5" s="1"/>
  <c r="AZ623" i="5" s="1"/>
  <c r="BA623" i="5" s="1"/>
  <c r="BB623" i="5" s="1"/>
  <c r="BC623" i="5" s="1"/>
  <c r="BD623" i="5" s="1"/>
  <c r="V592" i="5"/>
  <c r="P564" i="5"/>
  <c r="Q564" i="5" s="1"/>
  <c r="R564" i="5" s="1"/>
  <c r="S564" i="5" s="1"/>
  <c r="T564" i="5" s="1"/>
  <c r="U564" i="5" s="1"/>
  <c r="V564" i="5" s="1"/>
  <c r="W564" i="5" s="1"/>
  <c r="X564" i="5" s="1"/>
  <c r="Y564" i="5" s="1"/>
  <c r="Z564" i="5" s="1"/>
  <c r="AD564" i="5" s="1"/>
  <c r="N564" i="5"/>
  <c r="AC564" i="5"/>
  <c r="N520" i="5"/>
  <c r="O520" i="5"/>
  <c r="AC520" i="5"/>
  <c r="AR520" i="5" s="1"/>
  <c r="AC395" i="5"/>
  <c r="O395" i="5"/>
  <c r="P395" i="5" s="1"/>
  <c r="Q395" i="5" s="1"/>
  <c r="R395" i="5" s="1"/>
  <c r="S395" i="5" s="1"/>
  <c r="T395" i="5" s="1"/>
  <c r="U395" i="5" s="1"/>
  <c r="V395" i="5" s="1"/>
  <c r="W395" i="5" s="1"/>
  <c r="X395" i="5" s="1"/>
  <c r="Y395" i="5" s="1"/>
  <c r="Z395" i="5" s="1"/>
  <c r="AD395" i="5" s="1"/>
  <c r="AE395" i="5" s="1"/>
  <c r="AF395" i="5" s="1"/>
  <c r="AG395" i="5" s="1"/>
  <c r="AH395" i="5" s="1"/>
  <c r="AI395" i="5" s="1"/>
  <c r="AJ395" i="5" s="1"/>
  <c r="AK395" i="5" s="1"/>
  <c r="AL395" i="5" s="1"/>
  <c r="AM395" i="5" s="1"/>
  <c r="AN395" i="5" s="1"/>
  <c r="AO395" i="5" s="1"/>
  <c r="AS395" i="5" s="1"/>
  <c r="AT395" i="5" s="1"/>
  <c r="AU395" i="5" s="1"/>
  <c r="AV395" i="5" s="1"/>
  <c r="AW395" i="5" s="1"/>
  <c r="AX395" i="5" s="1"/>
  <c r="AY395" i="5" s="1"/>
  <c r="AZ395" i="5" s="1"/>
  <c r="BA395" i="5" s="1"/>
  <c r="BB395" i="5" s="1"/>
  <c r="BC395" i="5" s="1"/>
  <c r="BD395" i="5" s="1"/>
  <c r="N395" i="5"/>
  <c r="AR395" i="5"/>
  <c r="P390" i="5"/>
  <c r="Q390" i="5" s="1"/>
  <c r="R390" i="5" s="1"/>
  <c r="S390" i="5" s="1"/>
  <c r="T390" i="5" s="1"/>
  <c r="U390" i="5" s="1"/>
  <c r="V390" i="5" s="1"/>
  <c r="W390" i="5" s="1"/>
  <c r="X390" i="5" s="1"/>
  <c r="Y390" i="5" s="1"/>
  <c r="Z390" i="5" s="1"/>
  <c r="AD390" i="5" s="1"/>
  <c r="AE368" i="5"/>
  <c r="AF368" i="5" s="1"/>
  <c r="AG368" i="5" s="1"/>
  <c r="AH368" i="5" s="1"/>
  <c r="AI368" i="5" s="1"/>
  <c r="AJ368" i="5" s="1"/>
  <c r="AK368" i="5" s="1"/>
  <c r="AL368" i="5" s="1"/>
  <c r="AM368" i="5" s="1"/>
  <c r="AN368" i="5" s="1"/>
  <c r="AO368" i="5" s="1"/>
  <c r="AS368" i="5" s="1"/>
  <c r="AC321" i="5"/>
  <c r="O321" i="5"/>
  <c r="P321" i="5" s="1"/>
  <c r="Q321" i="5" s="1"/>
  <c r="R321" i="5" s="1"/>
  <c r="S321" i="5" s="1"/>
  <c r="T321" i="5" s="1"/>
  <c r="U321" i="5" s="1"/>
  <c r="V321" i="5" s="1"/>
  <c r="W321" i="5" s="1"/>
  <c r="X321" i="5" s="1"/>
  <c r="Y321" i="5" s="1"/>
  <c r="Z321" i="5" s="1"/>
  <c r="AD321" i="5" s="1"/>
  <c r="AE321" i="5" s="1"/>
  <c r="AF321" i="5" s="1"/>
  <c r="AG321" i="5" s="1"/>
  <c r="AH321" i="5" s="1"/>
  <c r="AI321" i="5" s="1"/>
  <c r="AJ321" i="5" s="1"/>
  <c r="AK321" i="5" s="1"/>
  <c r="AL321" i="5" s="1"/>
  <c r="AM321" i="5" s="1"/>
  <c r="AN321" i="5" s="1"/>
  <c r="AO321" i="5" s="1"/>
  <c r="AS321" i="5" s="1"/>
  <c r="AT321" i="5" s="1"/>
  <c r="AU321" i="5" s="1"/>
  <c r="AV321" i="5" s="1"/>
  <c r="AW321" i="5" s="1"/>
  <c r="AX321" i="5" s="1"/>
  <c r="AY321" i="5" s="1"/>
  <c r="AZ321" i="5" s="1"/>
  <c r="BA321" i="5" s="1"/>
  <c r="BB321" i="5" s="1"/>
  <c r="BC321" i="5" s="1"/>
  <c r="BD321" i="5" s="1"/>
  <c r="AR321" i="5"/>
  <c r="N321" i="5"/>
  <c r="N283" i="5"/>
  <c r="AC283" i="5"/>
  <c r="AR283" i="5"/>
  <c r="P176" i="5"/>
  <c r="Q176" i="5" s="1"/>
  <c r="R176" i="5" s="1"/>
  <c r="S176" i="5" s="1"/>
  <c r="T176" i="5" s="1"/>
  <c r="U176" i="5" s="1"/>
  <c r="V176" i="5" s="1"/>
  <c r="W176" i="5" s="1"/>
  <c r="X176" i="5" s="1"/>
  <c r="Y176" i="5" s="1"/>
  <c r="Z176" i="5" s="1"/>
  <c r="AD176" i="5" s="1"/>
  <c r="AT200" i="5"/>
  <c r="AC180" i="5"/>
  <c r="AR180" i="5"/>
  <c r="N180" i="5"/>
  <c r="P45" i="5"/>
  <c r="Q45" i="5" s="1"/>
  <c r="R45" i="5" s="1"/>
  <c r="S45" i="5" s="1"/>
  <c r="T45" i="5" s="1"/>
  <c r="U45" i="5" s="1"/>
  <c r="V45" i="5" s="1"/>
  <c r="W45" i="5" s="1"/>
  <c r="X45" i="5" s="1"/>
  <c r="Y45" i="5" s="1"/>
  <c r="Z45" i="5" s="1"/>
  <c r="AD45" i="5" s="1"/>
  <c r="AT644" i="5"/>
  <c r="AU644" i="5" s="1"/>
  <c r="AV644" i="5" s="1"/>
  <c r="AW644" i="5" s="1"/>
  <c r="AX644" i="5" s="1"/>
  <c r="AY644" i="5" s="1"/>
  <c r="AZ644" i="5" s="1"/>
  <c r="BA644" i="5" s="1"/>
  <c r="BB644" i="5" s="1"/>
  <c r="BC644" i="5" s="1"/>
  <c r="BD644" i="5" s="1"/>
  <c r="AG626" i="5"/>
  <c r="AH626" i="5" s="1"/>
  <c r="AI626" i="5" s="1"/>
  <c r="AJ626" i="5" s="1"/>
  <c r="AK626" i="5" s="1"/>
  <c r="AL626" i="5" s="1"/>
  <c r="AM626" i="5" s="1"/>
  <c r="AN626" i="5" s="1"/>
  <c r="AO626" i="5" s="1"/>
  <c r="AS626" i="5" s="1"/>
  <c r="AJ638" i="5"/>
  <c r="AK638" i="5" s="1"/>
  <c r="AL638" i="5" s="1"/>
  <c r="AM638" i="5" s="1"/>
  <c r="AN638" i="5" s="1"/>
  <c r="AO638" i="5" s="1"/>
  <c r="AS638" i="5" s="1"/>
  <c r="AI636" i="5"/>
  <c r="AJ636" i="5" s="1"/>
  <c r="AK636" i="5" s="1"/>
  <c r="AL636" i="5" s="1"/>
  <c r="AM636" i="5" s="1"/>
  <c r="AN636" i="5" s="1"/>
  <c r="AO636" i="5" s="1"/>
  <c r="AS636" i="5" s="1"/>
  <c r="BE654" i="5"/>
  <c r="AS646" i="5"/>
  <c r="AD608" i="5"/>
  <c r="AE608" i="5" s="1"/>
  <c r="AF608" i="5" s="1"/>
  <c r="AG608" i="5" s="1"/>
  <c r="AH608" i="5" s="1"/>
  <c r="AI608" i="5" s="1"/>
  <c r="AJ608" i="5" s="1"/>
  <c r="AK608" i="5" s="1"/>
  <c r="AL608" i="5" s="1"/>
  <c r="AM608" i="5" s="1"/>
  <c r="AN608" i="5" s="1"/>
  <c r="AO608" i="5" s="1"/>
  <c r="AS608" i="5" s="1"/>
  <c r="AT608" i="5" s="1"/>
  <c r="AU608" i="5" s="1"/>
  <c r="AV608" i="5" s="1"/>
  <c r="AW608" i="5" s="1"/>
  <c r="AX608" i="5" s="1"/>
  <c r="AY608" i="5" s="1"/>
  <c r="AZ608" i="5" s="1"/>
  <c r="BA608" i="5" s="1"/>
  <c r="BB608" i="5" s="1"/>
  <c r="BC608" i="5" s="1"/>
  <c r="BD608" i="5" s="1"/>
  <c r="AA608" i="5"/>
  <c r="R588" i="5"/>
  <c r="AE408" i="5"/>
  <c r="AF408" i="5" s="1"/>
  <c r="AG408" i="5" s="1"/>
  <c r="AH408" i="5" s="1"/>
  <c r="AI408" i="5" s="1"/>
  <c r="AJ408" i="5" s="1"/>
  <c r="AK408" i="5" s="1"/>
  <c r="AL408" i="5" s="1"/>
  <c r="AM408" i="5" s="1"/>
  <c r="AN408" i="5" s="1"/>
  <c r="AO408" i="5" s="1"/>
  <c r="AS408" i="5" s="1"/>
  <c r="AT419" i="5"/>
  <c r="AU419" i="5" s="1"/>
  <c r="AV419" i="5" s="1"/>
  <c r="AW419" i="5" s="1"/>
  <c r="AX419" i="5" s="1"/>
  <c r="AY419" i="5" s="1"/>
  <c r="AZ419" i="5" s="1"/>
  <c r="BA419" i="5" s="1"/>
  <c r="BB419" i="5" s="1"/>
  <c r="BC419" i="5" s="1"/>
  <c r="BD419" i="5" s="1"/>
  <c r="AR311" i="5"/>
  <c r="N311" i="5"/>
  <c r="AC311" i="5"/>
  <c r="O311" i="5"/>
  <c r="P311" i="5" s="1"/>
  <c r="Q311" i="5" s="1"/>
  <c r="R311" i="5" s="1"/>
  <c r="S311" i="5" s="1"/>
  <c r="T311" i="5" s="1"/>
  <c r="U311" i="5" s="1"/>
  <c r="V311" i="5" s="1"/>
  <c r="W311" i="5" s="1"/>
  <c r="X311" i="5" s="1"/>
  <c r="Y311" i="5" s="1"/>
  <c r="Z311" i="5" s="1"/>
  <c r="AD311" i="5" s="1"/>
  <c r="AE311" i="5" s="1"/>
  <c r="AF311" i="5" s="1"/>
  <c r="AG311" i="5" s="1"/>
  <c r="AH311" i="5" s="1"/>
  <c r="AI311" i="5" s="1"/>
  <c r="AJ311" i="5" s="1"/>
  <c r="AK311" i="5" s="1"/>
  <c r="AL311" i="5" s="1"/>
  <c r="AM311" i="5" s="1"/>
  <c r="AN311" i="5" s="1"/>
  <c r="AO311" i="5" s="1"/>
  <c r="AS311" i="5" s="1"/>
  <c r="AT311" i="5" s="1"/>
  <c r="AU311" i="5" s="1"/>
  <c r="AV311" i="5" s="1"/>
  <c r="AW311" i="5" s="1"/>
  <c r="AX311" i="5" s="1"/>
  <c r="AY311" i="5" s="1"/>
  <c r="AZ311" i="5" s="1"/>
  <c r="BA311" i="5" s="1"/>
  <c r="BB311" i="5" s="1"/>
  <c r="BC311" i="5" s="1"/>
  <c r="BD311" i="5" s="1"/>
  <c r="AE367" i="5"/>
  <c r="AF367" i="5" s="1"/>
  <c r="AG367" i="5" s="1"/>
  <c r="AH367" i="5" s="1"/>
  <c r="AI367" i="5" s="1"/>
  <c r="AJ367" i="5" s="1"/>
  <c r="AK367" i="5" s="1"/>
  <c r="AL367" i="5" s="1"/>
  <c r="AM367" i="5" s="1"/>
  <c r="AN367" i="5" s="1"/>
  <c r="AO367" i="5" s="1"/>
  <c r="AS367" i="5" s="1"/>
  <c r="AC313" i="5"/>
  <c r="N313" i="5"/>
  <c r="AR313" i="5"/>
  <c r="P178" i="5"/>
  <c r="Q178" i="5" s="1"/>
  <c r="R178" i="5" s="1"/>
  <c r="S178" i="5" s="1"/>
  <c r="T178" i="5" s="1"/>
  <c r="U178" i="5" s="1"/>
  <c r="V178" i="5" s="1"/>
  <c r="W178" i="5" s="1"/>
  <c r="X178" i="5" s="1"/>
  <c r="Y178" i="5" s="1"/>
  <c r="Z178" i="5" s="1"/>
  <c r="AD178" i="5" s="1"/>
  <c r="AE194" i="5"/>
  <c r="AF194" i="5" s="1"/>
  <c r="AG194" i="5" s="1"/>
  <c r="AH194" i="5" s="1"/>
  <c r="AI194" i="5" s="1"/>
  <c r="AJ194" i="5" s="1"/>
  <c r="AK194" i="5" s="1"/>
  <c r="AL194" i="5" s="1"/>
  <c r="AM194" i="5" s="1"/>
  <c r="AN194" i="5" s="1"/>
  <c r="AO194" i="5" s="1"/>
  <c r="AS194" i="5" s="1"/>
  <c r="AE53" i="5"/>
  <c r="AF53" i="5" s="1"/>
  <c r="AG53" i="5" s="1"/>
  <c r="AH53" i="5" s="1"/>
  <c r="AI53" i="5" s="1"/>
  <c r="AJ53" i="5" s="1"/>
  <c r="AK53" i="5" s="1"/>
  <c r="AL53" i="5" s="1"/>
  <c r="AM53" i="5" s="1"/>
  <c r="AN53" i="5" s="1"/>
  <c r="AO53" i="5" s="1"/>
  <c r="AS53" i="5" s="1"/>
  <c r="AT119" i="5"/>
  <c r="AU119" i="5" s="1"/>
  <c r="AV119" i="5" s="1"/>
  <c r="AW119" i="5" s="1"/>
  <c r="AX119" i="5" s="1"/>
  <c r="AY119" i="5" s="1"/>
  <c r="AZ119" i="5" s="1"/>
  <c r="BA119" i="5" s="1"/>
  <c r="BB119" i="5" s="1"/>
  <c r="BC119" i="5" s="1"/>
  <c r="BD119" i="5" s="1"/>
  <c r="AH629" i="5"/>
  <c r="AI629" i="5" s="1"/>
  <c r="AJ629" i="5" s="1"/>
  <c r="AK629" i="5" s="1"/>
  <c r="AL629" i="5" s="1"/>
  <c r="AM629" i="5" s="1"/>
  <c r="AN629" i="5" s="1"/>
  <c r="AO629" i="5" s="1"/>
  <c r="AS629" i="5" s="1"/>
  <c r="AS650" i="5"/>
  <c r="AT627" i="5"/>
  <c r="AU627" i="5" s="1"/>
  <c r="AV627" i="5" s="1"/>
  <c r="AW627" i="5" s="1"/>
  <c r="AX627" i="5" s="1"/>
  <c r="AY627" i="5" s="1"/>
  <c r="AZ627" i="5" s="1"/>
  <c r="BA627" i="5" s="1"/>
  <c r="BB627" i="5" s="1"/>
  <c r="BC627" i="5" s="1"/>
  <c r="BD627" i="5" s="1"/>
  <c r="Z607" i="5"/>
  <c r="AD607" i="5" s="1"/>
  <c r="AE607" i="5" s="1"/>
  <c r="AF607" i="5" s="1"/>
  <c r="AG607" i="5" s="1"/>
  <c r="AH607" i="5" s="1"/>
  <c r="AI607" i="5" s="1"/>
  <c r="AJ607" i="5" s="1"/>
  <c r="AK607" i="5" s="1"/>
  <c r="AL607" i="5" s="1"/>
  <c r="AM607" i="5" s="1"/>
  <c r="AN607" i="5" s="1"/>
  <c r="AO607" i="5" s="1"/>
  <c r="AS607" i="5" s="1"/>
  <c r="AT607" i="5" s="1"/>
  <c r="AU607" i="5" s="1"/>
  <c r="AV607" i="5" s="1"/>
  <c r="AW607" i="5" s="1"/>
  <c r="AX607" i="5" s="1"/>
  <c r="AY607" i="5" s="1"/>
  <c r="AZ607" i="5" s="1"/>
  <c r="BA607" i="5" s="1"/>
  <c r="BB607" i="5" s="1"/>
  <c r="BC607" i="5" s="1"/>
  <c r="BD607" i="5" s="1"/>
  <c r="O578" i="5"/>
  <c r="AG624" i="5"/>
  <c r="AH624" i="5" s="1"/>
  <c r="AI624" i="5" s="1"/>
  <c r="AJ624" i="5" s="1"/>
  <c r="AK624" i="5" s="1"/>
  <c r="AL624" i="5" s="1"/>
  <c r="AM624" i="5" s="1"/>
  <c r="AN624" i="5" s="1"/>
  <c r="AO624" i="5" s="1"/>
  <c r="AS624" i="5" s="1"/>
  <c r="AP641" i="5"/>
  <c r="AT642" i="5"/>
  <c r="AU642" i="5" s="1"/>
  <c r="AV642" i="5" s="1"/>
  <c r="AW642" i="5" s="1"/>
  <c r="AX642" i="5" s="1"/>
  <c r="AY642" i="5" s="1"/>
  <c r="AZ642" i="5" s="1"/>
  <c r="BA642" i="5" s="1"/>
  <c r="BB642" i="5" s="1"/>
  <c r="BC642" i="5" s="1"/>
  <c r="BD642" i="5" s="1"/>
  <c r="AP627" i="5"/>
  <c r="AS647" i="5"/>
  <c r="AT635" i="5"/>
  <c r="AU635" i="5" s="1"/>
  <c r="AV635" i="5" s="1"/>
  <c r="AW635" i="5" s="1"/>
  <c r="AX635" i="5" s="1"/>
  <c r="AY635" i="5" s="1"/>
  <c r="AZ635" i="5" s="1"/>
  <c r="BA635" i="5" s="1"/>
  <c r="BB635" i="5" s="1"/>
  <c r="BC635" i="5" s="1"/>
  <c r="BD635" i="5" s="1"/>
  <c r="AT653" i="5"/>
  <c r="AU653" i="5" s="1"/>
  <c r="AV653" i="5" s="1"/>
  <c r="AW653" i="5" s="1"/>
  <c r="AX653" i="5" s="1"/>
  <c r="AY653" i="5" s="1"/>
  <c r="AZ653" i="5" s="1"/>
  <c r="BA653" i="5" s="1"/>
  <c r="BB653" i="5" s="1"/>
  <c r="BC653" i="5" s="1"/>
  <c r="BD653" i="5" s="1"/>
  <c r="AS649" i="5"/>
  <c r="AT630" i="5"/>
  <c r="AU630" i="5" s="1"/>
  <c r="AV630" i="5" s="1"/>
  <c r="AW630" i="5" s="1"/>
  <c r="AX630" i="5" s="1"/>
  <c r="AY630" i="5" s="1"/>
  <c r="AZ630" i="5" s="1"/>
  <c r="BA630" i="5" s="1"/>
  <c r="BB630" i="5" s="1"/>
  <c r="BC630" i="5" s="1"/>
  <c r="BD630" i="5" s="1"/>
  <c r="AS651" i="5"/>
  <c r="Q577" i="5"/>
  <c r="AA420" i="5"/>
  <c r="N398" i="5"/>
  <c r="AR398" i="5"/>
  <c r="AC398" i="5"/>
  <c r="AA408" i="5"/>
  <c r="AP419" i="5"/>
  <c r="P425" i="5"/>
  <c r="Q425" i="5" s="1"/>
  <c r="R425" i="5" s="1"/>
  <c r="S425" i="5" s="1"/>
  <c r="T425" i="5" s="1"/>
  <c r="U425" i="5" s="1"/>
  <c r="V425" i="5" s="1"/>
  <c r="W425" i="5" s="1"/>
  <c r="X425" i="5" s="1"/>
  <c r="Y425" i="5" s="1"/>
  <c r="Z425" i="5" s="1"/>
  <c r="AD425" i="5" s="1"/>
  <c r="P414" i="5"/>
  <c r="Q414" i="5" s="1"/>
  <c r="R414" i="5" s="1"/>
  <c r="S414" i="5" s="1"/>
  <c r="T414" i="5" s="1"/>
  <c r="U414" i="5" s="1"/>
  <c r="V414" i="5" s="1"/>
  <c r="W414" i="5" s="1"/>
  <c r="X414" i="5" s="1"/>
  <c r="Y414" i="5" s="1"/>
  <c r="Z414" i="5" s="1"/>
  <c r="AD414" i="5" s="1"/>
  <c r="AA367" i="5"/>
  <c r="AC315" i="5"/>
  <c r="O315" i="5"/>
  <c r="P315" i="5" s="1"/>
  <c r="Q315" i="5" s="1"/>
  <c r="R315" i="5" s="1"/>
  <c r="S315" i="5" s="1"/>
  <c r="T315" i="5" s="1"/>
  <c r="U315" i="5" s="1"/>
  <c r="V315" i="5" s="1"/>
  <c r="W315" i="5" s="1"/>
  <c r="X315" i="5" s="1"/>
  <c r="Y315" i="5" s="1"/>
  <c r="Z315" i="5" s="1"/>
  <c r="AD315" i="5" s="1"/>
  <c r="AE315" i="5" s="1"/>
  <c r="AF315" i="5" s="1"/>
  <c r="AG315" i="5" s="1"/>
  <c r="AH315" i="5" s="1"/>
  <c r="AI315" i="5" s="1"/>
  <c r="AJ315" i="5" s="1"/>
  <c r="AK315" i="5" s="1"/>
  <c r="AL315" i="5" s="1"/>
  <c r="AM315" i="5" s="1"/>
  <c r="AN315" i="5" s="1"/>
  <c r="AO315" i="5" s="1"/>
  <c r="AS315" i="5" s="1"/>
  <c r="AT315" i="5" s="1"/>
  <c r="AU315" i="5" s="1"/>
  <c r="AV315" i="5" s="1"/>
  <c r="AW315" i="5" s="1"/>
  <c r="AX315" i="5" s="1"/>
  <c r="AY315" i="5" s="1"/>
  <c r="AZ315" i="5" s="1"/>
  <c r="BA315" i="5" s="1"/>
  <c r="BB315" i="5" s="1"/>
  <c r="BC315" i="5" s="1"/>
  <c r="BD315" i="5" s="1"/>
  <c r="AR315" i="5"/>
  <c r="N315" i="5"/>
  <c r="O283" i="5"/>
  <c r="O180" i="5"/>
  <c r="AC176" i="5"/>
  <c r="AR176" i="5"/>
  <c r="N176" i="5"/>
  <c r="AA198" i="5"/>
  <c r="AU21" i="5"/>
  <c r="BF640" i="1" l="1"/>
  <c r="BJ640" i="1" s="1"/>
  <c r="BF642" i="1"/>
  <c r="BF643" i="1"/>
  <c r="BJ643" i="1" s="1"/>
  <c r="BJ641" i="1"/>
  <c r="BG641" i="1"/>
  <c r="BI642" i="1"/>
  <c r="BI641" i="1"/>
  <c r="AE98" i="5"/>
  <c r="AF98" i="5" s="1"/>
  <c r="AG98" i="5" s="1"/>
  <c r="AH98" i="5" s="1"/>
  <c r="AI98" i="5" s="1"/>
  <c r="AJ98" i="5" s="1"/>
  <c r="AK98" i="5" s="1"/>
  <c r="AC32" i="5"/>
  <c r="AA501" i="5"/>
  <c r="AA499" i="5"/>
  <c r="AA341" i="5"/>
  <c r="AT41" i="5"/>
  <c r="AU41" i="5" s="1"/>
  <c r="AV41" i="5" s="1"/>
  <c r="P417" i="5"/>
  <c r="Q417" i="5" s="1"/>
  <c r="R417" i="5" s="1"/>
  <c r="S417" i="5" s="1"/>
  <c r="T417" i="5" s="1"/>
  <c r="U417" i="5" s="1"/>
  <c r="V417" i="5" s="1"/>
  <c r="W417" i="5" s="1"/>
  <c r="X417" i="5" s="1"/>
  <c r="Y417" i="5" s="1"/>
  <c r="Z417" i="5" s="1"/>
  <c r="AD417" i="5" s="1"/>
  <c r="AA348" i="5"/>
  <c r="AP636" i="5"/>
  <c r="AA178" i="5"/>
  <c r="BE652" i="5"/>
  <c r="AA297" i="5"/>
  <c r="P415" i="5"/>
  <c r="Q415" i="5" s="1"/>
  <c r="R415" i="5" s="1"/>
  <c r="S415" i="5" s="1"/>
  <c r="T415" i="5" s="1"/>
  <c r="U415" i="5" s="1"/>
  <c r="V415" i="5" s="1"/>
  <c r="W415" i="5" s="1"/>
  <c r="X415" i="5" s="1"/>
  <c r="Y415" i="5" s="1"/>
  <c r="Z415" i="5" s="1"/>
  <c r="AD415" i="5" s="1"/>
  <c r="AA502" i="5"/>
  <c r="AA377" i="5"/>
  <c r="P309" i="5"/>
  <c r="Q309" i="5" s="1"/>
  <c r="R309" i="5" s="1"/>
  <c r="S309" i="5" s="1"/>
  <c r="T309" i="5" s="1"/>
  <c r="U309" i="5" s="1"/>
  <c r="V309" i="5" s="1"/>
  <c r="W309" i="5" s="1"/>
  <c r="X309" i="5" s="1"/>
  <c r="Y309" i="5" s="1"/>
  <c r="Z309" i="5" s="1"/>
  <c r="AD309" i="5" s="1"/>
  <c r="AA425" i="5"/>
  <c r="AP625" i="5"/>
  <c r="AP629" i="5"/>
  <c r="AP367" i="5"/>
  <c r="AA343" i="5"/>
  <c r="AA176" i="5"/>
  <c r="AA382" i="5"/>
  <c r="AA371" i="5"/>
  <c r="AE31" i="5"/>
  <c r="AF31" i="5" s="1"/>
  <c r="AG31" i="5" s="1"/>
  <c r="AC31" i="5"/>
  <c r="AA582" i="5"/>
  <c r="AA607" i="5"/>
  <c r="AP194" i="5"/>
  <c r="BE637" i="5"/>
  <c r="P394" i="5"/>
  <c r="Q394" i="5" s="1"/>
  <c r="R394" i="5" s="1"/>
  <c r="S394" i="5" s="1"/>
  <c r="T394" i="5" s="1"/>
  <c r="U394" i="5" s="1"/>
  <c r="V394" i="5" s="1"/>
  <c r="W394" i="5" s="1"/>
  <c r="X394" i="5" s="1"/>
  <c r="Y394" i="5" s="1"/>
  <c r="Z394" i="5" s="1"/>
  <c r="AD394" i="5" s="1"/>
  <c r="AA193" i="5"/>
  <c r="AA661" i="5" s="1"/>
  <c r="AA414" i="5"/>
  <c r="BE642" i="5"/>
  <c r="AP624" i="5"/>
  <c r="AA148" i="5"/>
  <c r="AP408" i="5"/>
  <c r="AA122" i="5"/>
  <c r="AA393" i="5"/>
  <c r="BE623" i="5"/>
  <c r="AP344" i="5"/>
  <c r="AP420" i="5"/>
  <c r="AE29" i="5"/>
  <c r="AF29" i="5" s="1"/>
  <c r="AG29" i="5" s="1"/>
  <c r="AH29" i="5" s="1"/>
  <c r="AI29" i="5" s="1"/>
  <c r="AJ29" i="5" s="1"/>
  <c r="AK29" i="5" s="1"/>
  <c r="AL29" i="5" s="1"/>
  <c r="AM29" i="5" s="1"/>
  <c r="AN29" i="5" s="1"/>
  <c r="AO29" i="5" s="1"/>
  <c r="AS29" i="5" s="1"/>
  <c r="AA29" i="5"/>
  <c r="AE414" i="5"/>
  <c r="AF414" i="5" s="1"/>
  <c r="AG414" i="5" s="1"/>
  <c r="AH414" i="5" s="1"/>
  <c r="AI414" i="5" s="1"/>
  <c r="AJ414" i="5" s="1"/>
  <c r="AK414" i="5" s="1"/>
  <c r="AL414" i="5" s="1"/>
  <c r="AM414" i="5" s="1"/>
  <c r="AN414" i="5" s="1"/>
  <c r="AO414" i="5" s="1"/>
  <c r="AS414" i="5" s="1"/>
  <c r="AE582" i="5"/>
  <c r="AF582" i="5" s="1"/>
  <c r="AG582" i="5" s="1"/>
  <c r="AH582" i="5" s="1"/>
  <c r="AI582" i="5" s="1"/>
  <c r="AJ582" i="5" s="1"/>
  <c r="AK582" i="5" s="1"/>
  <c r="AL582" i="5" s="1"/>
  <c r="AM582" i="5" s="1"/>
  <c r="AN582" i="5" s="1"/>
  <c r="AO582" i="5" s="1"/>
  <c r="AS582" i="5" s="1"/>
  <c r="BE653" i="5"/>
  <c r="AT624" i="5"/>
  <c r="AU624" i="5" s="1"/>
  <c r="AV624" i="5" s="1"/>
  <c r="AW624" i="5" s="1"/>
  <c r="AX624" i="5" s="1"/>
  <c r="AY624" i="5" s="1"/>
  <c r="AZ624" i="5" s="1"/>
  <c r="BA624" i="5" s="1"/>
  <c r="BB624" i="5" s="1"/>
  <c r="BC624" i="5" s="1"/>
  <c r="BD624" i="5" s="1"/>
  <c r="AT629" i="5"/>
  <c r="AU629" i="5" s="1"/>
  <c r="AV629" i="5" s="1"/>
  <c r="AW629" i="5" s="1"/>
  <c r="AX629" i="5" s="1"/>
  <c r="AY629" i="5" s="1"/>
  <c r="AZ629" i="5" s="1"/>
  <c r="BA629" i="5" s="1"/>
  <c r="BB629" i="5" s="1"/>
  <c r="BC629" i="5" s="1"/>
  <c r="BD629" i="5" s="1"/>
  <c r="AP53" i="5"/>
  <c r="AE178" i="5"/>
  <c r="AF178" i="5" s="1"/>
  <c r="AG178" i="5" s="1"/>
  <c r="AH178" i="5" s="1"/>
  <c r="AI178" i="5" s="1"/>
  <c r="AJ178" i="5" s="1"/>
  <c r="AK178" i="5" s="1"/>
  <c r="AL178" i="5" s="1"/>
  <c r="AM178" i="5" s="1"/>
  <c r="AN178" i="5" s="1"/>
  <c r="AO178" i="5" s="1"/>
  <c r="AS178" i="5" s="1"/>
  <c r="AE148" i="5"/>
  <c r="AF148" i="5" s="1"/>
  <c r="AG148" i="5" s="1"/>
  <c r="AH148" i="5" s="1"/>
  <c r="AI148" i="5" s="1"/>
  <c r="AJ148" i="5" s="1"/>
  <c r="AK148" i="5" s="1"/>
  <c r="AL148" i="5" s="1"/>
  <c r="AM148" i="5" s="1"/>
  <c r="AN148" i="5" s="1"/>
  <c r="AO148" i="5" s="1"/>
  <c r="AS148" i="5" s="1"/>
  <c r="AT367" i="5"/>
  <c r="AU367" i="5" s="1"/>
  <c r="AV367" i="5" s="1"/>
  <c r="AW367" i="5" s="1"/>
  <c r="AX367" i="5" s="1"/>
  <c r="AY367" i="5" s="1"/>
  <c r="AZ367" i="5" s="1"/>
  <c r="BA367" i="5" s="1"/>
  <c r="BB367" i="5" s="1"/>
  <c r="BC367" i="5" s="1"/>
  <c r="BD367" i="5" s="1"/>
  <c r="AE343" i="5"/>
  <c r="AF343" i="5" s="1"/>
  <c r="AG343" i="5" s="1"/>
  <c r="AH343" i="5" s="1"/>
  <c r="AI343" i="5" s="1"/>
  <c r="AJ343" i="5" s="1"/>
  <c r="AK343" i="5" s="1"/>
  <c r="AL343" i="5" s="1"/>
  <c r="AM343" i="5" s="1"/>
  <c r="AN343" i="5" s="1"/>
  <c r="AO343" i="5" s="1"/>
  <c r="AS343" i="5" s="1"/>
  <c r="AA379" i="5"/>
  <c r="AA402" i="5"/>
  <c r="AE502" i="5"/>
  <c r="AF502" i="5" s="1"/>
  <c r="AG502" i="5" s="1"/>
  <c r="AH502" i="5" s="1"/>
  <c r="AI502" i="5" s="1"/>
  <c r="AJ502" i="5" s="1"/>
  <c r="AK502" i="5" s="1"/>
  <c r="AL502" i="5" s="1"/>
  <c r="AM502" i="5" s="1"/>
  <c r="AN502" i="5" s="1"/>
  <c r="AO502" i="5" s="1"/>
  <c r="AS502" i="5" s="1"/>
  <c r="AP638" i="5"/>
  <c r="BE644" i="5"/>
  <c r="AE122" i="5"/>
  <c r="AF122" i="5" s="1"/>
  <c r="AG122" i="5" s="1"/>
  <c r="AH122" i="5" s="1"/>
  <c r="AI122" i="5" s="1"/>
  <c r="AJ122" i="5" s="1"/>
  <c r="AK122" i="5" s="1"/>
  <c r="AL122" i="5" s="1"/>
  <c r="AM122" i="5" s="1"/>
  <c r="AN122" i="5" s="1"/>
  <c r="AO122" i="5" s="1"/>
  <c r="AS122" i="5" s="1"/>
  <c r="AA45" i="5"/>
  <c r="AU200" i="5"/>
  <c r="AE176" i="5"/>
  <c r="AF176" i="5" s="1"/>
  <c r="AG176" i="5" s="1"/>
  <c r="AH176" i="5" s="1"/>
  <c r="AI176" i="5" s="1"/>
  <c r="AJ176" i="5" s="1"/>
  <c r="AK176" i="5" s="1"/>
  <c r="AL176" i="5" s="1"/>
  <c r="AM176" i="5" s="1"/>
  <c r="AN176" i="5" s="1"/>
  <c r="AO176" i="5" s="1"/>
  <c r="AS176" i="5" s="1"/>
  <c r="AP377" i="5"/>
  <c r="AE390" i="5"/>
  <c r="AF390" i="5" s="1"/>
  <c r="AG390" i="5" s="1"/>
  <c r="AH390" i="5" s="1"/>
  <c r="AI390" i="5" s="1"/>
  <c r="AJ390" i="5" s="1"/>
  <c r="AK390" i="5" s="1"/>
  <c r="AL390" i="5" s="1"/>
  <c r="AM390" i="5" s="1"/>
  <c r="AN390" i="5" s="1"/>
  <c r="AO390" i="5" s="1"/>
  <c r="AS390" i="5" s="1"/>
  <c r="AE564" i="5"/>
  <c r="AF564" i="5" s="1"/>
  <c r="AG564" i="5" s="1"/>
  <c r="AH564" i="5" s="1"/>
  <c r="AI564" i="5" s="1"/>
  <c r="AJ564" i="5" s="1"/>
  <c r="AK564" i="5" s="1"/>
  <c r="AL564" i="5" s="1"/>
  <c r="AM564" i="5" s="1"/>
  <c r="AN564" i="5" s="1"/>
  <c r="AO564" i="5" s="1"/>
  <c r="AS564" i="5" s="1"/>
  <c r="AT198" i="5"/>
  <c r="AU198" i="5" s="1"/>
  <c r="AV198" i="5" s="1"/>
  <c r="AW198" i="5" s="1"/>
  <c r="AX198" i="5" s="1"/>
  <c r="AY198" i="5" s="1"/>
  <c r="AZ198" i="5" s="1"/>
  <c r="BA198" i="5" s="1"/>
  <c r="BB198" i="5" s="1"/>
  <c r="BC198" i="5" s="1"/>
  <c r="BD198" i="5" s="1"/>
  <c r="AA284" i="5"/>
  <c r="AT420" i="5"/>
  <c r="AU420" i="5" s="1"/>
  <c r="AV420" i="5" s="1"/>
  <c r="AW420" i="5" s="1"/>
  <c r="AX420" i="5" s="1"/>
  <c r="AY420" i="5" s="1"/>
  <c r="AZ420" i="5" s="1"/>
  <c r="BA420" i="5" s="1"/>
  <c r="BB420" i="5" s="1"/>
  <c r="BC420" i="5" s="1"/>
  <c r="BD420" i="5" s="1"/>
  <c r="AE579" i="5"/>
  <c r="AF579" i="5" s="1"/>
  <c r="AG579" i="5" s="1"/>
  <c r="AH579" i="5" s="1"/>
  <c r="AI579" i="5" s="1"/>
  <c r="AJ579" i="5" s="1"/>
  <c r="AK579" i="5" s="1"/>
  <c r="AL579" i="5" s="1"/>
  <c r="AM579" i="5" s="1"/>
  <c r="AN579" i="5" s="1"/>
  <c r="AO579" i="5" s="1"/>
  <c r="AS579" i="5" s="1"/>
  <c r="BE643" i="5"/>
  <c r="BE641" i="5"/>
  <c r="BE656" i="5"/>
  <c r="AE285" i="5"/>
  <c r="AF285" i="5" s="1"/>
  <c r="AG285" i="5" s="1"/>
  <c r="AH285" i="5" s="1"/>
  <c r="AI285" i="5" s="1"/>
  <c r="AJ285" i="5" s="1"/>
  <c r="AK285" i="5" s="1"/>
  <c r="AL285" i="5" s="1"/>
  <c r="AM285" i="5" s="1"/>
  <c r="AN285" i="5" s="1"/>
  <c r="AO285" i="5" s="1"/>
  <c r="AS285" i="5" s="1"/>
  <c r="AT626" i="5"/>
  <c r="AU626" i="5" s="1"/>
  <c r="AV626" i="5" s="1"/>
  <c r="AW626" i="5" s="1"/>
  <c r="AX626" i="5" s="1"/>
  <c r="AY626" i="5" s="1"/>
  <c r="AZ626" i="5" s="1"/>
  <c r="BA626" i="5" s="1"/>
  <c r="BB626" i="5" s="1"/>
  <c r="BC626" i="5" s="1"/>
  <c r="BD626" i="5" s="1"/>
  <c r="AT368" i="5"/>
  <c r="AU368" i="5" s="1"/>
  <c r="AV368" i="5" s="1"/>
  <c r="AW368" i="5" s="1"/>
  <c r="AX368" i="5" s="1"/>
  <c r="AY368" i="5" s="1"/>
  <c r="AZ368" i="5" s="1"/>
  <c r="BA368" i="5" s="1"/>
  <c r="BB368" i="5" s="1"/>
  <c r="BC368" i="5" s="1"/>
  <c r="BD368" i="5" s="1"/>
  <c r="AE373" i="5"/>
  <c r="AF373" i="5" s="1"/>
  <c r="AG373" i="5" s="1"/>
  <c r="AH373" i="5" s="1"/>
  <c r="AI373" i="5" s="1"/>
  <c r="AC373" i="5"/>
  <c r="AT499" i="5"/>
  <c r="AU499" i="5" s="1"/>
  <c r="AV499" i="5" s="1"/>
  <c r="AW499" i="5" s="1"/>
  <c r="AX499" i="5" s="1"/>
  <c r="AY499" i="5" s="1"/>
  <c r="AZ499" i="5" s="1"/>
  <c r="BA499" i="5" s="1"/>
  <c r="BB499" i="5" s="1"/>
  <c r="BC499" i="5" s="1"/>
  <c r="BD499" i="5" s="1"/>
  <c r="P520" i="5"/>
  <c r="Q520" i="5" s="1"/>
  <c r="R520" i="5" s="1"/>
  <c r="S520" i="5" s="1"/>
  <c r="T520" i="5" s="1"/>
  <c r="U520" i="5" s="1"/>
  <c r="V520" i="5" s="1"/>
  <c r="W520" i="5" s="1"/>
  <c r="X520" i="5" s="1"/>
  <c r="Y520" i="5" s="1"/>
  <c r="Z520" i="5" s="1"/>
  <c r="AD520" i="5" s="1"/>
  <c r="AV161" i="5"/>
  <c r="AE49" i="5"/>
  <c r="AF49" i="5" s="1"/>
  <c r="AG49" i="5" s="1"/>
  <c r="AH49" i="5" s="1"/>
  <c r="AI49" i="5" s="1"/>
  <c r="AJ49" i="5" s="1"/>
  <c r="AK49" i="5" s="1"/>
  <c r="AL49" i="5" s="1"/>
  <c r="AM49" i="5" s="1"/>
  <c r="AN49" i="5" s="1"/>
  <c r="AO49" i="5" s="1"/>
  <c r="AS49" i="5" s="1"/>
  <c r="AE196" i="5"/>
  <c r="AF196" i="5" s="1"/>
  <c r="AG196" i="5" s="1"/>
  <c r="AH196" i="5" s="1"/>
  <c r="AI196" i="5" s="1"/>
  <c r="AJ196" i="5" s="1"/>
  <c r="AK196" i="5" s="1"/>
  <c r="AL196" i="5" s="1"/>
  <c r="AM196" i="5" s="1"/>
  <c r="AN196" i="5" s="1"/>
  <c r="AO196" i="5" s="1"/>
  <c r="AS196" i="5" s="1"/>
  <c r="AE374" i="5"/>
  <c r="AF374" i="5" s="1"/>
  <c r="AG374" i="5" s="1"/>
  <c r="AH374" i="5" s="1"/>
  <c r="AI374" i="5" s="1"/>
  <c r="AJ374" i="5" s="1"/>
  <c r="AK374" i="5" s="1"/>
  <c r="AL374" i="5" s="1"/>
  <c r="AM374" i="5" s="1"/>
  <c r="AN374" i="5" s="1"/>
  <c r="AO374" i="5" s="1"/>
  <c r="AS374" i="5" s="1"/>
  <c r="AE500" i="5"/>
  <c r="AF500" i="5" s="1"/>
  <c r="AG500" i="5" s="1"/>
  <c r="AH500" i="5" s="1"/>
  <c r="AI500" i="5" s="1"/>
  <c r="AJ500" i="5" s="1"/>
  <c r="AK500" i="5" s="1"/>
  <c r="AL500" i="5" s="1"/>
  <c r="AM500" i="5" s="1"/>
  <c r="AN500" i="5" s="1"/>
  <c r="AO500" i="5" s="1"/>
  <c r="AS500" i="5" s="1"/>
  <c r="AT651" i="5"/>
  <c r="AU651" i="5" s="1"/>
  <c r="AV651" i="5" s="1"/>
  <c r="AW651" i="5" s="1"/>
  <c r="AX651" i="5" s="1"/>
  <c r="AY651" i="5" s="1"/>
  <c r="AZ651" i="5" s="1"/>
  <c r="BA651" i="5" s="1"/>
  <c r="BB651" i="5" s="1"/>
  <c r="BC651" i="5" s="1"/>
  <c r="BD651" i="5" s="1"/>
  <c r="AT53" i="5"/>
  <c r="AU53" i="5" s="1"/>
  <c r="AV53" i="5" s="1"/>
  <c r="AW53" i="5" s="1"/>
  <c r="AX53" i="5" s="1"/>
  <c r="AY53" i="5" s="1"/>
  <c r="AZ53" i="5" s="1"/>
  <c r="BA53" i="5" s="1"/>
  <c r="BB53" i="5" s="1"/>
  <c r="BC53" i="5" s="1"/>
  <c r="BD53" i="5" s="1"/>
  <c r="P283" i="5"/>
  <c r="Q283" i="5" s="1"/>
  <c r="R283" i="5" s="1"/>
  <c r="S283" i="5" s="1"/>
  <c r="T283" i="5" s="1"/>
  <c r="U283" i="5" s="1"/>
  <c r="V283" i="5" s="1"/>
  <c r="W283" i="5" s="1"/>
  <c r="X283" i="5" s="1"/>
  <c r="Y283" i="5" s="1"/>
  <c r="Z283" i="5" s="1"/>
  <c r="AD283" i="5" s="1"/>
  <c r="AE580" i="5"/>
  <c r="AF580" i="5" s="1"/>
  <c r="AG580" i="5" s="1"/>
  <c r="AH580" i="5" s="1"/>
  <c r="AI580" i="5" s="1"/>
  <c r="AJ580" i="5" s="1"/>
  <c r="AK580" i="5" s="1"/>
  <c r="AL580" i="5" s="1"/>
  <c r="AM580" i="5" s="1"/>
  <c r="AN580" i="5" s="1"/>
  <c r="AO580" i="5" s="1"/>
  <c r="AS580" i="5" s="1"/>
  <c r="AT649" i="5"/>
  <c r="AU649" i="5" s="1"/>
  <c r="AV649" i="5" s="1"/>
  <c r="AW649" i="5" s="1"/>
  <c r="AX649" i="5" s="1"/>
  <c r="AY649" i="5" s="1"/>
  <c r="AZ649" i="5" s="1"/>
  <c r="BA649" i="5" s="1"/>
  <c r="BB649" i="5" s="1"/>
  <c r="BC649" i="5" s="1"/>
  <c r="BD649" i="5" s="1"/>
  <c r="BE635" i="5"/>
  <c r="P578" i="5"/>
  <c r="BE627" i="5"/>
  <c r="AA285" i="5"/>
  <c r="BE419" i="5"/>
  <c r="AT408" i="5"/>
  <c r="AU408" i="5" s="1"/>
  <c r="AV408" i="5" s="1"/>
  <c r="AW408" i="5" s="1"/>
  <c r="AX408" i="5" s="1"/>
  <c r="AY408" i="5" s="1"/>
  <c r="AZ408" i="5" s="1"/>
  <c r="BA408" i="5" s="1"/>
  <c r="BB408" i="5" s="1"/>
  <c r="BC408" i="5" s="1"/>
  <c r="BD408" i="5" s="1"/>
  <c r="AT636" i="5"/>
  <c r="AU636" i="5" s="1"/>
  <c r="AV636" i="5" s="1"/>
  <c r="AW636" i="5" s="1"/>
  <c r="AX636" i="5" s="1"/>
  <c r="AY636" i="5" s="1"/>
  <c r="AZ636" i="5" s="1"/>
  <c r="BA636" i="5" s="1"/>
  <c r="BB636" i="5" s="1"/>
  <c r="BC636" i="5" s="1"/>
  <c r="BD636" i="5" s="1"/>
  <c r="AP626" i="5"/>
  <c r="AE173" i="5"/>
  <c r="AF173" i="5" s="1"/>
  <c r="AG173" i="5" s="1"/>
  <c r="AH173" i="5" s="1"/>
  <c r="AI173" i="5" s="1"/>
  <c r="AJ173" i="5" s="1"/>
  <c r="AK173" i="5" s="1"/>
  <c r="AL173" i="5" s="1"/>
  <c r="AM173" i="5" s="1"/>
  <c r="AN173" i="5" s="1"/>
  <c r="AO173" i="5" s="1"/>
  <c r="AS173" i="5" s="1"/>
  <c r="AP368" i="5"/>
  <c r="AA373" i="5"/>
  <c r="AE393" i="5"/>
  <c r="AF393" i="5" s="1"/>
  <c r="AG393" i="5" s="1"/>
  <c r="AH393" i="5" s="1"/>
  <c r="AI393" i="5" s="1"/>
  <c r="AJ393" i="5" s="1"/>
  <c r="AK393" i="5" s="1"/>
  <c r="AL393" i="5" s="1"/>
  <c r="AM393" i="5" s="1"/>
  <c r="AN393" i="5" s="1"/>
  <c r="AO393" i="5" s="1"/>
  <c r="AS393" i="5" s="1"/>
  <c r="AP499" i="5"/>
  <c r="AE30" i="5"/>
  <c r="AF30" i="5" s="1"/>
  <c r="AG30" i="5" s="1"/>
  <c r="AH30" i="5" s="1"/>
  <c r="AI30" i="5" s="1"/>
  <c r="AJ30" i="5" s="1"/>
  <c r="AK30" i="5" s="1"/>
  <c r="AL30" i="5" s="1"/>
  <c r="AM30" i="5" s="1"/>
  <c r="AN30" i="5" s="1"/>
  <c r="AO30" i="5" s="1"/>
  <c r="AS30" i="5" s="1"/>
  <c r="AA49" i="5"/>
  <c r="AA196" i="5"/>
  <c r="AA374" i="5"/>
  <c r="AE407" i="5"/>
  <c r="AF407" i="5" s="1"/>
  <c r="AG407" i="5" s="1"/>
  <c r="AH407" i="5" s="1"/>
  <c r="AI407" i="5" s="1"/>
  <c r="AJ407" i="5" s="1"/>
  <c r="AK407" i="5" s="1"/>
  <c r="AL407" i="5" s="1"/>
  <c r="AM407" i="5" s="1"/>
  <c r="AN407" i="5" s="1"/>
  <c r="AO407" i="5" s="1"/>
  <c r="AS407" i="5" s="1"/>
  <c r="AA500" i="5"/>
  <c r="X596" i="5"/>
  <c r="AE304" i="5"/>
  <c r="AF304" i="5" s="1"/>
  <c r="AG304" i="5" s="1"/>
  <c r="AH304" i="5" s="1"/>
  <c r="AI304" i="5" s="1"/>
  <c r="AJ304" i="5" s="1"/>
  <c r="AK304" i="5" s="1"/>
  <c r="AL304" i="5" s="1"/>
  <c r="AM304" i="5" s="1"/>
  <c r="AN304" i="5" s="1"/>
  <c r="AO304" i="5" s="1"/>
  <c r="AS304" i="5" s="1"/>
  <c r="P180" i="5"/>
  <c r="Q180" i="5" s="1"/>
  <c r="R180" i="5" s="1"/>
  <c r="S180" i="5" s="1"/>
  <c r="T180" i="5" s="1"/>
  <c r="U180" i="5" s="1"/>
  <c r="V180" i="5" s="1"/>
  <c r="W180" i="5" s="1"/>
  <c r="X180" i="5" s="1"/>
  <c r="Y180" i="5" s="1"/>
  <c r="Z180" i="5" s="1"/>
  <c r="AD180" i="5" s="1"/>
  <c r="AE193" i="5"/>
  <c r="AF193" i="5" s="1"/>
  <c r="AG193" i="5" s="1"/>
  <c r="AH193" i="5" s="1"/>
  <c r="AI193" i="5" s="1"/>
  <c r="AJ193" i="5" s="1"/>
  <c r="AK193" i="5" s="1"/>
  <c r="AL193" i="5" s="1"/>
  <c r="AM193" i="5" s="1"/>
  <c r="AN193" i="5" s="1"/>
  <c r="AO193" i="5" s="1"/>
  <c r="AS193" i="5" s="1"/>
  <c r="AA304" i="5"/>
  <c r="AV21" i="5"/>
  <c r="AE297" i="5"/>
  <c r="AF297" i="5" s="1"/>
  <c r="AG297" i="5" s="1"/>
  <c r="AH297" i="5" s="1"/>
  <c r="AI297" i="5" s="1"/>
  <c r="AJ297" i="5" s="1"/>
  <c r="AK297" i="5" s="1"/>
  <c r="AL297" i="5" s="1"/>
  <c r="AM297" i="5" s="1"/>
  <c r="AN297" i="5" s="1"/>
  <c r="AO297" i="5" s="1"/>
  <c r="AS297" i="5" s="1"/>
  <c r="AE425" i="5"/>
  <c r="AF425" i="5" s="1"/>
  <c r="AG425" i="5" s="1"/>
  <c r="AH425" i="5" s="1"/>
  <c r="AI425" i="5" s="1"/>
  <c r="AJ425" i="5" s="1"/>
  <c r="AK425" i="5" s="1"/>
  <c r="AL425" i="5" s="1"/>
  <c r="AM425" i="5" s="1"/>
  <c r="AN425" i="5" s="1"/>
  <c r="AO425" i="5" s="1"/>
  <c r="AS425" i="5" s="1"/>
  <c r="R577" i="5"/>
  <c r="AA580" i="5"/>
  <c r="BE630" i="5"/>
  <c r="AT647" i="5"/>
  <c r="AU647" i="5" s="1"/>
  <c r="AV647" i="5" s="1"/>
  <c r="AW647" i="5" s="1"/>
  <c r="AX647" i="5" s="1"/>
  <c r="AY647" i="5" s="1"/>
  <c r="AZ647" i="5" s="1"/>
  <c r="BA647" i="5" s="1"/>
  <c r="BB647" i="5" s="1"/>
  <c r="BC647" i="5" s="1"/>
  <c r="BD647" i="5" s="1"/>
  <c r="AT650" i="5"/>
  <c r="AU650" i="5" s="1"/>
  <c r="AV650" i="5" s="1"/>
  <c r="AW650" i="5" s="1"/>
  <c r="AX650" i="5" s="1"/>
  <c r="AY650" i="5" s="1"/>
  <c r="AZ650" i="5" s="1"/>
  <c r="BA650" i="5" s="1"/>
  <c r="BB650" i="5" s="1"/>
  <c r="BC650" i="5" s="1"/>
  <c r="BD650" i="5" s="1"/>
  <c r="BE119" i="5"/>
  <c r="AT194" i="5"/>
  <c r="AU194" i="5" s="1"/>
  <c r="AV194" i="5" s="1"/>
  <c r="AW194" i="5" s="1"/>
  <c r="AX194" i="5" s="1"/>
  <c r="AY194" i="5" s="1"/>
  <c r="AZ194" i="5" s="1"/>
  <c r="BA194" i="5" s="1"/>
  <c r="BB194" i="5" s="1"/>
  <c r="BC194" i="5" s="1"/>
  <c r="BD194" i="5" s="1"/>
  <c r="AE379" i="5"/>
  <c r="AF379" i="5" s="1"/>
  <c r="AG379" i="5" s="1"/>
  <c r="AH379" i="5" s="1"/>
  <c r="AI379" i="5" s="1"/>
  <c r="AJ379" i="5" s="1"/>
  <c r="AK379" i="5" s="1"/>
  <c r="AL379" i="5" s="1"/>
  <c r="AM379" i="5" s="1"/>
  <c r="AN379" i="5" s="1"/>
  <c r="AO379" i="5" s="1"/>
  <c r="AS379" i="5" s="1"/>
  <c r="AE402" i="5"/>
  <c r="AF402" i="5" s="1"/>
  <c r="AG402" i="5" s="1"/>
  <c r="AH402" i="5" s="1"/>
  <c r="AI402" i="5" s="1"/>
  <c r="AJ402" i="5" s="1"/>
  <c r="AK402" i="5" s="1"/>
  <c r="AL402" i="5" s="1"/>
  <c r="AM402" i="5" s="1"/>
  <c r="AN402" i="5" s="1"/>
  <c r="AO402" i="5" s="1"/>
  <c r="AS402" i="5" s="1"/>
  <c r="S588" i="5"/>
  <c r="AT646" i="5"/>
  <c r="AU646" i="5" s="1"/>
  <c r="AV646" i="5" s="1"/>
  <c r="AW646" i="5" s="1"/>
  <c r="AX646" i="5" s="1"/>
  <c r="AY646" i="5" s="1"/>
  <c r="AZ646" i="5" s="1"/>
  <c r="BA646" i="5" s="1"/>
  <c r="BB646" i="5" s="1"/>
  <c r="BC646" i="5" s="1"/>
  <c r="BD646" i="5" s="1"/>
  <c r="AT638" i="5"/>
  <c r="AU638" i="5" s="1"/>
  <c r="AV638" i="5" s="1"/>
  <c r="AW638" i="5" s="1"/>
  <c r="AX638" i="5" s="1"/>
  <c r="AY638" i="5" s="1"/>
  <c r="AZ638" i="5" s="1"/>
  <c r="BA638" i="5" s="1"/>
  <c r="BB638" i="5" s="1"/>
  <c r="BC638" i="5" s="1"/>
  <c r="BD638" i="5" s="1"/>
  <c r="AE45" i="5"/>
  <c r="AF45" i="5" s="1"/>
  <c r="AG45" i="5" s="1"/>
  <c r="AH45" i="5" s="1"/>
  <c r="AI45" i="5" s="1"/>
  <c r="AJ45" i="5" s="1"/>
  <c r="AK45" i="5" s="1"/>
  <c r="AL45" i="5" s="1"/>
  <c r="AM45" i="5" s="1"/>
  <c r="AN45" i="5" s="1"/>
  <c r="AO45" i="5" s="1"/>
  <c r="AS45" i="5" s="1"/>
  <c r="AA173" i="5"/>
  <c r="AT377" i="5"/>
  <c r="AU377" i="5" s="1"/>
  <c r="AV377" i="5" s="1"/>
  <c r="AW377" i="5" s="1"/>
  <c r="AX377" i="5" s="1"/>
  <c r="AY377" i="5" s="1"/>
  <c r="AZ377" i="5" s="1"/>
  <c r="BA377" i="5" s="1"/>
  <c r="BB377" i="5" s="1"/>
  <c r="BC377" i="5" s="1"/>
  <c r="BD377" i="5" s="1"/>
  <c r="AE382" i="5"/>
  <c r="AF382" i="5" s="1"/>
  <c r="AG382" i="5" s="1"/>
  <c r="AH382" i="5" s="1"/>
  <c r="AI382" i="5" s="1"/>
  <c r="AJ382" i="5" s="1"/>
  <c r="AK382" i="5" s="1"/>
  <c r="AL382" i="5" s="1"/>
  <c r="AM382" i="5" s="1"/>
  <c r="AN382" i="5" s="1"/>
  <c r="AO382" i="5" s="1"/>
  <c r="AS382" i="5" s="1"/>
  <c r="AA390" i="5"/>
  <c r="AR564" i="5"/>
  <c r="AA564" i="5"/>
  <c r="W592" i="5"/>
  <c r="AA30" i="5"/>
  <c r="AP198" i="5"/>
  <c r="AE284" i="5"/>
  <c r="AF284" i="5" s="1"/>
  <c r="AG284" i="5" s="1"/>
  <c r="AH284" i="5" s="1"/>
  <c r="AI284" i="5" s="1"/>
  <c r="AJ284" i="5" s="1"/>
  <c r="AK284" i="5" s="1"/>
  <c r="AL284" i="5" s="1"/>
  <c r="AM284" i="5" s="1"/>
  <c r="AN284" i="5" s="1"/>
  <c r="AO284" i="5" s="1"/>
  <c r="AS284" i="5" s="1"/>
  <c r="P306" i="5"/>
  <c r="Q306" i="5" s="1"/>
  <c r="R306" i="5" s="1"/>
  <c r="S306" i="5" s="1"/>
  <c r="T306" i="5" s="1"/>
  <c r="U306" i="5" s="1"/>
  <c r="V306" i="5" s="1"/>
  <c r="W306" i="5" s="1"/>
  <c r="X306" i="5" s="1"/>
  <c r="Y306" i="5" s="1"/>
  <c r="Z306" i="5" s="1"/>
  <c r="AD306" i="5" s="1"/>
  <c r="AT344" i="5"/>
  <c r="AU344" i="5" s="1"/>
  <c r="AV344" i="5" s="1"/>
  <c r="AW344" i="5" s="1"/>
  <c r="AX344" i="5" s="1"/>
  <c r="AY344" i="5" s="1"/>
  <c r="AZ344" i="5" s="1"/>
  <c r="BA344" i="5" s="1"/>
  <c r="BB344" i="5" s="1"/>
  <c r="BC344" i="5" s="1"/>
  <c r="BD344" i="5" s="1"/>
  <c r="AE371" i="5"/>
  <c r="AF371" i="5" s="1"/>
  <c r="AG371" i="5" s="1"/>
  <c r="AH371" i="5" s="1"/>
  <c r="AI371" i="5" s="1"/>
  <c r="AJ371" i="5" s="1"/>
  <c r="AK371" i="5" s="1"/>
  <c r="AL371" i="5" s="1"/>
  <c r="AM371" i="5" s="1"/>
  <c r="AN371" i="5" s="1"/>
  <c r="AO371" i="5" s="1"/>
  <c r="AS371" i="5" s="1"/>
  <c r="AA407" i="5"/>
  <c r="AA579" i="5"/>
  <c r="AR577" i="5"/>
  <c r="P581" i="5"/>
  <c r="Q581" i="5" s="1"/>
  <c r="R581" i="5" s="1"/>
  <c r="S581" i="5" s="1"/>
  <c r="T581" i="5" s="1"/>
  <c r="U581" i="5" s="1"/>
  <c r="V581" i="5" s="1"/>
  <c r="W581" i="5" s="1"/>
  <c r="X581" i="5" s="1"/>
  <c r="Y581" i="5" s="1"/>
  <c r="Z581" i="5" s="1"/>
  <c r="AD581" i="5" s="1"/>
  <c r="AT625" i="5"/>
  <c r="AU625" i="5" s="1"/>
  <c r="AV625" i="5" s="1"/>
  <c r="AW625" i="5" s="1"/>
  <c r="AX625" i="5" s="1"/>
  <c r="AY625" i="5" s="1"/>
  <c r="AZ625" i="5" s="1"/>
  <c r="BA625" i="5" s="1"/>
  <c r="BB625" i="5" s="1"/>
  <c r="BC625" i="5" s="1"/>
  <c r="BD625" i="5" s="1"/>
  <c r="BE648" i="5"/>
  <c r="A438" i="1"/>
  <c r="BK643" i="1" l="1"/>
  <c r="BL643" i="1" s="1"/>
  <c r="BM643" i="1" s="1"/>
  <c r="BN643" i="1" s="1"/>
  <c r="BO643" i="1" s="1"/>
  <c r="BP643" i="1" s="1"/>
  <c r="BQ643" i="1" s="1"/>
  <c r="BR643" i="1" s="1"/>
  <c r="BS643" i="1" s="1"/>
  <c r="BT643" i="1" s="1"/>
  <c r="BU643" i="1" s="1"/>
  <c r="BY643" i="1" s="1"/>
  <c r="BZ643" i="1" s="1"/>
  <c r="CA643" i="1" s="1"/>
  <c r="CB643" i="1" s="1"/>
  <c r="CC643" i="1" s="1"/>
  <c r="CD643" i="1" s="1"/>
  <c r="CE643" i="1" s="1"/>
  <c r="CF643" i="1" s="1"/>
  <c r="CG643" i="1" s="1"/>
  <c r="CH643" i="1" s="1"/>
  <c r="CI643" i="1" s="1"/>
  <c r="CJ643" i="1" s="1"/>
  <c r="BK640" i="1"/>
  <c r="BL640" i="1" s="1"/>
  <c r="BM640" i="1" s="1"/>
  <c r="BN640" i="1" s="1"/>
  <c r="BO640" i="1" s="1"/>
  <c r="BP640" i="1" s="1"/>
  <c r="BQ640" i="1" s="1"/>
  <c r="BR640" i="1" s="1"/>
  <c r="BS640" i="1" s="1"/>
  <c r="BT640" i="1" s="1"/>
  <c r="BG640" i="1"/>
  <c r="BG643" i="1"/>
  <c r="BJ642" i="1"/>
  <c r="BG642" i="1"/>
  <c r="BK641" i="1"/>
  <c r="AA417" i="5"/>
  <c r="AE417" i="5"/>
  <c r="AF417" i="5" s="1"/>
  <c r="AG417" i="5" s="1"/>
  <c r="AH417" i="5" s="1"/>
  <c r="AI417" i="5" s="1"/>
  <c r="AJ417" i="5" s="1"/>
  <c r="AK417" i="5" s="1"/>
  <c r="AL417" i="5" s="1"/>
  <c r="AM417" i="5" s="1"/>
  <c r="AN417" i="5" s="1"/>
  <c r="AO417" i="5" s="1"/>
  <c r="AS417" i="5" s="1"/>
  <c r="BE499" i="5"/>
  <c r="AP500" i="5"/>
  <c r="AE415" i="5"/>
  <c r="AF415" i="5" s="1"/>
  <c r="AG415" i="5" s="1"/>
  <c r="AH415" i="5" s="1"/>
  <c r="AI415" i="5" s="1"/>
  <c r="AJ415" i="5" s="1"/>
  <c r="AK415" i="5" s="1"/>
  <c r="AL415" i="5" s="1"/>
  <c r="AM415" i="5" s="1"/>
  <c r="AN415" i="5" s="1"/>
  <c r="AO415" i="5" s="1"/>
  <c r="AS415" i="5" s="1"/>
  <c r="AA309" i="5"/>
  <c r="AA415" i="5"/>
  <c r="AA394" i="5"/>
  <c r="AP30" i="5"/>
  <c r="AP393" i="5"/>
  <c r="AP173" i="5"/>
  <c r="AP414" i="5"/>
  <c r="BE194" i="5"/>
  <c r="BE650" i="5"/>
  <c r="AP580" i="5"/>
  <c r="AA520" i="5"/>
  <c r="AP373" i="5"/>
  <c r="AP285" i="5"/>
  <c r="AE309" i="5"/>
  <c r="AF309" i="5" s="1"/>
  <c r="AG309" i="5" s="1"/>
  <c r="AH309" i="5" s="1"/>
  <c r="AI309" i="5" s="1"/>
  <c r="AJ309" i="5" s="1"/>
  <c r="AK309" i="5" s="1"/>
  <c r="AL309" i="5" s="1"/>
  <c r="AM309" i="5" s="1"/>
  <c r="AN309" i="5" s="1"/>
  <c r="AO309" i="5" s="1"/>
  <c r="AS309" i="5" s="1"/>
  <c r="BE636" i="5"/>
  <c r="BE629" i="5"/>
  <c r="BE408" i="5"/>
  <c r="AP176" i="5"/>
  <c r="AP29" i="5"/>
  <c r="AP284" i="5"/>
  <c r="AP402" i="5"/>
  <c r="BE625" i="5"/>
  <c r="BE344" i="5"/>
  <c r="BE646" i="5"/>
  <c r="AP297" i="5"/>
  <c r="BE624" i="5"/>
  <c r="AE394" i="5"/>
  <c r="AF394" i="5" s="1"/>
  <c r="AG394" i="5" s="1"/>
  <c r="AH394" i="5" s="1"/>
  <c r="AI394" i="5" s="1"/>
  <c r="AJ394" i="5" s="1"/>
  <c r="AK394" i="5" s="1"/>
  <c r="AL394" i="5" s="1"/>
  <c r="AM394" i="5" s="1"/>
  <c r="AN394" i="5" s="1"/>
  <c r="AO394" i="5" s="1"/>
  <c r="AS394" i="5" s="1"/>
  <c r="AT45" i="5"/>
  <c r="AU45" i="5" s="1"/>
  <c r="AV45" i="5" s="1"/>
  <c r="AW45" i="5" s="1"/>
  <c r="AX45" i="5" s="1"/>
  <c r="AY45" i="5" s="1"/>
  <c r="AZ45" i="5" s="1"/>
  <c r="BA45" i="5" s="1"/>
  <c r="BB45" i="5" s="1"/>
  <c r="BC45" i="5" s="1"/>
  <c r="BD45" i="5" s="1"/>
  <c r="AT425" i="5"/>
  <c r="AU425" i="5" s="1"/>
  <c r="AV425" i="5" s="1"/>
  <c r="AW425" i="5" s="1"/>
  <c r="AX425" i="5" s="1"/>
  <c r="AY425" i="5" s="1"/>
  <c r="AZ425" i="5" s="1"/>
  <c r="BA425" i="5" s="1"/>
  <c r="BB425" i="5" s="1"/>
  <c r="BC425" i="5" s="1"/>
  <c r="BD425" i="5" s="1"/>
  <c r="AW21" i="5"/>
  <c r="AP371" i="5"/>
  <c r="AA306" i="5"/>
  <c r="AT382" i="5"/>
  <c r="AU382" i="5" s="1"/>
  <c r="AV382" i="5" s="1"/>
  <c r="AW382" i="5" s="1"/>
  <c r="AX382" i="5" s="1"/>
  <c r="AY382" i="5" s="1"/>
  <c r="AZ382" i="5" s="1"/>
  <c r="BA382" i="5" s="1"/>
  <c r="BB382" i="5" s="1"/>
  <c r="BC382" i="5" s="1"/>
  <c r="BD382" i="5" s="1"/>
  <c r="BE638" i="5"/>
  <c r="T588" i="5"/>
  <c r="AP379" i="5"/>
  <c r="BE647" i="5"/>
  <c r="S577" i="5"/>
  <c r="AA180" i="5"/>
  <c r="AP407" i="5"/>
  <c r="AE283" i="5"/>
  <c r="AF283" i="5" s="1"/>
  <c r="AG283" i="5" s="1"/>
  <c r="AH283" i="5" s="1"/>
  <c r="AI283" i="5" s="1"/>
  <c r="AJ283" i="5" s="1"/>
  <c r="AK283" i="5" s="1"/>
  <c r="AL283" i="5" s="1"/>
  <c r="AM283" i="5" s="1"/>
  <c r="AN283" i="5" s="1"/>
  <c r="AO283" i="5" s="1"/>
  <c r="AS283" i="5" s="1"/>
  <c r="AT374" i="5"/>
  <c r="AU374" i="5" s="1"/>
  <c r="AV374" i="5" s="1"/>
  <c r="AW374" i="5" s="1"/>
  <c r="AX374" i="5" s="1"/>
  <c r="AY374" i="5" s="1"/>
  <c r="AZ374" i="5" s="1"/>
  <c r="BA374" i="5" s="1"/>
  <c r="BB374" i="5" s="1"/>
  <c r="BC374" i="5" s="1"/>
  <c r="BD374" i="5" s="1"/>
  <c r="AT49" i="5"/>
  <c r="AU49" i="5" s="1"/>
  <c r="AV49" i="5" s="1"/>
  <c r="AW49" i="5" s="1"/>
  <c r="AX49" i="5" s="1"/>
  <c r="AY49" i="5" s="1"/>
  <c r="AZ49" i="5" s="1"/>
  <c r="BA49" i="5" s="1"/>
  <c r="BB49" i="5" s="1"/>
  <c r="BC49" i="5" s="1"/>
  <c r="BD49" i="5" s="1"/>
  <c r="AP579" i="5"/>
  <c r="AP564" i="5"/>
  <c r="AT178" i="5"/>
  <c r="AU178" i="5" s="1"/>
  <c r="AV178" i="5" s="1"/>
  <c r="AW178" i="5" s="1"/>
  <c r="AX178" i="5" s="1"/>
  <c r="AY178" i="5" s="1"/>
  <c r="AZ178" i="5" s="1"/>
  <c r="BA178" i="5" s="1"/>
  <c r="BB178" i="5" s="1"/>
  <c r="BC178" i="5" s="1"/>
  <c r="BD178" i="5" s="1"/>
  <c r="AP582" i="5"/>
  <c r="AA581" i="5"/>
  <c r="AT284" i="5"/>
  <c r="AU284" i="5" s="1"/>
  <c r="AV284" i="5" s="1"/>
  <c r="AW284" i="5" s="1"/>
  <c r="AX284" i="5" s="1"/>
  <c r="AY284" i="5" s="1"/>
  <c r="AZ284" i="5" s="1"/>
  <c r="BA284" i="5" s="1"/>
  <c r="BB284" i="5" s="1"/>
  <c r="BC284" i="5" s="1"/>
  <c r="BD284" i="5" s="1"/>
  <c r="AP382" i="5"/>
  <c r="AP45" i="5"/>
  <c r="AT402" i="5"/>
  <c r="AU402" i="5" s="1"/>
  <c r="AV402" i="5" s="1"/>
  <c r="AW402" i="5" s="1"/>
  <c r="AX402" i="5" s="1"/>
  <c r="AY402" i="5" s="1"/>
  <c r="AZ402" i="5" s="1"/>
  <c r="BA402" i="5" s="1"/>
  <c r="BB402" i="5" s="1"/>
  <c r="BC402" i="5" s="1"/>
  <c r="BD402" i="5" s="1"/>
  <c r="AT297" i="5"/>
  <c r="AU297" i="5" s="1"/>
  <c r="AV297" i="5" s="1"/>
  <c r="AW297" i="5" s="1"/>
  <c r="AX297" i="5" s="1"/>
  <c r="AY297" i="5" s="1"/>
  <c r="AZ297" i="5" s="1"/>
  <c r="BA297" i="5" s="1"/>
  <c r="BB297" i="5" s="1"/>
  <c r="BC297" i="5" s="1"/>
  <c r="BD297" i="5" s="1"/>
  <c r="AP193" i="5"/>
  <c r="AP661" i="5" s="1"/>
  <c r="AP304" i="5"/>
  <c r="Y596" i="5"/>
  <c r="AT393" i="5"/>
  <c r="AU393" i="5" s="1"/>
  <c r="AV393" i="5" s="1"/>
  <c r="AW393" i="5" s="1"/>
  <c r="AX393" i="5" s="1"/>
  <c r="AY393" i="5" s="1"/>
  <c r="AZ393" i="5" s="1"/>
  <c r="BA393" i="5" s="1"/>
  <c r="BB393" i="5" s="1"/>
  <c r="BC393" i="5" s="1"/>
  <c r="BD393" i="5" s="1"/>
  <c r="AT173" i="5"/>
  <c r="AU173" i="5" s="1"/>
  <c r="AV173" i="5" s="1"/>
  <c r="AW173" i="5" s="1"/>
  <c r="AX173" i="5" s="1"/>
  <c r="AY173" i="5" s="1"/>
  <c r="AZ173" i="5" s="1"/>
  <c r="BA173" i="5" s="1"/>
  <c r="BB173" i="5" s="1"/>
  <c r="BC173" i="5" s="1"/>
  <c r="BD173" i="5" s="1"/>
  <c r="Q578" i="5"/>
  <c r="BE649" i="5"/>
  <c r="AA283" i="5"/>
  <c r="BE651" i="5"/>
  <c r="AP374" i="5"/>
  <c r="AP49" i="5"/>
  <c r="AE520" i="5"/>
  <c r="AF520" i="5" s="1"/>
  <c r="AG520" i="5" s="1"/>
  <c r="AH520" i="5" s="1"/>
  <c r="AI520" i="5" s="1"/>
  <c r="AJ520" i="5" s="1"/>
  <c r="AK520" i="5" s="1"/>
  <c r="AL520" i="5" s="1"/>
  <c r="AM520" i="5" s="1"/>
  <c r="AN520" i="5" s="1"/>
  <c r="AO520" i="5" s="1"/>
  <c r="AS520" i="5" s="1"/>
  <c r="BE368" i="5"/>
  <c r="AT285" i="5"/>
  <c r="AU285" i="5" s="1"/>
  <c r="AV285" i="5" s="1"/>
  <c r="AW285" i="5" s="1"/>
  <c r="AX285" i="5" s="1"/>
  <c r="AY285" i="5" s="1"/>
  <c r="AZ285" i="5" s="1"/>
  <c r="BA285" i="5" s="1"/>
  <c r="BB285" i="5" s="1"/>
  <c r="BC285" i="5" s="1"/>
  <c r="BD285" i="5" s="1"/>
  <c r="BE420" i="5"/>
  <c r="BE198" i="5"/>
  <c r="AT176" i="5"/>
  <c r="AU176" i="5" s="1"/>
  <c r="AV176" i="5" s="1"/>
  <c r="AW176" i="5" s="1"/>
  <c r="AX176" i="5" s="1"/>
  <c r="AY176" i="5" s="1"/>
  <c r="AZ176" i="5" s="1"/>
  <c r="BA176" i="5" s="1"/>
  <c r="BB176" i="5" s="1"/>
  <c r="BC176" i="5" s="1"/>
  <c r="BD176" i="5" s="1"/>
  <c r="BE367" i="5"/>
  <c r="AP178" i="5"/>
  <c r="AT582" i="5"/>
  <c r="AU582" i="5" s="1"/>
  <c r="AV582" i="5" s="1"/>
  <c r="AW582" i="5" s="1"/>
  <c r="AX582" i="5" s="1"/>
  <c r="AY582" i="5" s="1"/>
  <c r="AZ582" i="5" s="1"/>
  <c r="BA582" i="5" s="1"/>
  <c r="BB582" i="5" s="1"/>
  <c r="BC582" i="5" s="1"/>
  <c r="BD582" i="5" s="1"/>
  <c r="AT29" i="5"/>
  <c r="AE581" i="5"/>
  <c r="AF581" i="5" s="1"/>
  <c r="AG581" i="5" s="1"/>
  <c r="AH581" i="5" s="1"/>
  <c r="AI581" i="5" s="1"/>
  <c r="AJ581" i="5" s="1"/>
  <c r="AK581" i="5" s="1"/>
  <c r="AL581" i="5" s="1"/>
  <c r="AM581" i="5" s="1"/>
  <c r="AN581" i="5" s="1"/>
  <c r="AO581" i="5" s="1"/>
  <c r="AS581" i="5" s="1"/>
  <c r="AT304" i="5"/>
  <c r="AU304" i="5" s="1"/>
  <c r="AV304" i="5" s="1"/>
  <c r="AW304" i="5" s="1"/>
  <c r="AX304" i="5" s="1"/>
  <c r="AY304" i="5" s="1"/>
  <c r="AZ304" i="5" s="1"/>
  <c r="BA304" i="5" s="1"/>
  <c r="BB304" i="5" s="1"/>
  <c r="BC304" i="5" s="1"/>
  <c r="BD304" i="5" s="1"/>
  <c r="AT196" i="5"/>
  <c r="AU196" i="5" s="1"/>
  <c r="AV196" i="5" s="1"/>
  <c r="AW196" i="5" s="1"/>
  <c r="AX196" i="5" s="1"/>
  <c r="AY196" i="5" s="1"/>
  <c r="AZ196" i="5" s="1"/>
  <c r="BA196" i="5" s="1"/>
  <c r="BB196" i="5" s="1"/>
  <c r="BC196" i="5" s="1"/>
  <c r="BD196" i="5" s="1"/>
  <c r="AW161" i="5"/>
  <c r="AT390" i="5"/>
  <c r="AU390" i="5" s="1"/>
  <c r="AV390" i="5" s="1"/>
  <c r="AW390" i="5" s="1"/>
  <c r="AX390" i="5" s="1"/>
  <c r="AY390" i="5" s="1"/>
  <c r="AZ390" i="5" s="1"/>
  <c r="BA390" i="5" s="1"/>
  <c r="BB390" i="5" s="1"/>
  <c r="BC390" i="5" s="1"/>
  <c r="BD390" i="5" s="1"/>
  <c r="AT122" i="5"/>
  <c r="AU122" i="5" s="1"/>
  <c r="AV122" i="5" s="1"/>
  <c r="AW122" i="5" s="1"/>
  <c r="AX122" i="5" s="1"/>
  <c r="AY122" i="5" s="1"/>
  <c r="AZ122" i="5" s="1"/>
  <c r="BA122" i="5" s="1"/>
  <c r="BB122" i="5" s="1"/>
  <c r="BC122" i="5" s="1"/>
  <c r="BD122" i="5" s="1"/>
  <c r="AT502" i="5"/>
  <c r="AU502" i="5" s="1"/>
  <c r="AV502" i="5" s="1"/>
  <c r="AW502" i="5" s="1"/>
  <c r="AX502" i="5" s="1"/>
  <c r="AY502" i="5" s="1"/>
  <c r="AZ502" i="5" s="1"/>
  <c r="BA502" i="5" s="1"/>
  <c r="BB502" i="5" s="1"/>
  <c r="BC502" i="5" s="1"/>
  <c r="BD502" i="5" s="1"/>
  <c r="AT343" i="5"/>
  <c r="AU343" i="5" s="1"/>
  <c r="AV343" i="5" s="1"/>
  <c r="AW343" i="5" s="1"/>
  <c r="AX343" i="5" s="1"/>
  <c r="AY343" i="5" s="1"/>
  <c r="AZ343" i="5" s="1"/>
  <c r="BA343" i="5" s="1"/>
  <c r="BB343" i="5" s="1"/>
  <c r="BC343" i="5" s="1"/>
  <c r="BD343" i="5" s="1"/>
  <c r="AT148" i="5"/>
  <c r="AU148" i="5" s="1"/>
  <c r="AV148" i="5" s="1"/>
  <c r="AW148" i="5" s="1"/>
  <c r="AX148" i="5" s="1"/>
  <c r="AY148" i="5" s="1"/>
  <c r="AZ148" i="5" s="1"/>
  <c r="BA148" i="5" s="1"/>
  <c r="BB148" i="5" s="1"/>
  <c r="BC148" i="5" s="1"/>
  <c r="BD148" i="5" s="1"/>
  <c r="AT193" i="5"/>
  <c r="AU193" i="5" s="1"/>
  <c r="AV193" i="5" s="1"/>
  <c r="AW193" i="5" s="1"/>
  <c r="AX193" i="5" s="1"/>
  <c r="AY193" i="5" s="1"/>
  <c r="AZ193" i="5" s="1"/>
  <c r="BA193" i="5" s="1"/>
  <c r="BB193" i="5" s="1"/>
  <c r="BC193" i="5" s="1"/>
  <c r="BD193" i="5" s="1"/>
  <c r="AT371" i="5"/>
  <c r="AU371" i="5" s="1"/>
  <c r="AV371" i="5" s="1"/>
  <c r="AW371" i="5" s="1"/>
  <c r="AX371" i="5" s="1"/>
  <c r="AY371" i="5" s="1"/>
  <c r="AZ371" i="5" s="1"/>
  <c r="BA371" i="5" s="1"/>
  <c r="BB371" i="5" s="1"/>
  <c r="BC371" i="5" s="1"/>
  <c r="BD371" i="5" s="1"/>
  <c r="AE306" i="5"/>
  <c r="AF306" i="5" s="1"/>
  <c r="AG306" i="5" s="1"/>
  <c r="AH306" i="5" s="1"/>
  <c r="AI306" i="5" s="1"/>
  <c r="AJ306" i="5" s="1"/>
  <c r="AK306" i="5" s="1"/>
  <c r="AL306" i="5" s="1"/>
  <c r="AM306" i="5" s="1"/>
  <c r="AN306" i="5" s="1"/>
  <c r="AO306" i="5" s="1"/>
  <c r="AS306" i="5" s="1"/>
  <c r="X592" i="5"/>
  <c r="BE377" i="5"/>
  <c r="AT379" i="5"/>
  <c r="AU379" i="5" s="1"/>
  <c r="AV379" i="5" s="1"/>
  <c r="AW379" i="5" s="1"/>
  <c r="AX379" i="5" s="1"/>
  <c r="AY379" i="5" s="1"/>
  <c r="AZ379" i="5" s="1"/>
  <c r="BA379" i="5" s="1"/>
  <c r="BB379" i="5" s="1"/>
  <c r="BC379" i="5" s="1"/>
  <c r="BD379" i="5" s="1"/>
  <c r="AP425" i="5"/>
  <c r="AE180" i="5"/>
  <c r="AF180" i="5" s="1"/>
  <c r="AG180" i="5" s="1"/>
  <c r="AH180" i="5" s="1"/>
  <c r="AI180" i="5" s="1"/>
  <c r="AJ180" i="5" s="1"/>
  <c r="AK180" i="5" s="1"/>
  <c r="AL180" i="5" s="1"/>
  <c r="AM180" i="5" s="1"/>
  <c r="AN180" i="5" s="1"/>
  <c r="AO180" i="5" s="1"/>
  <c r="AS180" i="5" s="1"/>
  <c r="AT407" i="5"/>
  <c r="AU407" i="5" s="1"/>
  <c r="AV407" i="5" s="1"/>
  <c r="AW407" i="5" s="1"/>
  <c r="AX407" i="5" s="1"/>
  <c r="AY407" i="5" s="1"/>
  <c r="AZ407" i="5" s="1"/>
  <c r="BA407" i="5" s="1"/>
  <c r="BB407" i="5" s="1"/>
  <c r="BC407" i="5" s="1"/>
  <c r="BD407" i="5" s="1"/>
  <c r="AT30" i="5"/>
  <c r="AU30" i="5" s="1"/>
  <c r="AV30" i="5" s="1"/>
  <c r="AW30" i="5" s="1"/>
  <c r="AX30" i="5" s="1"/>
  <c r="AY30" i="5" s="1"/>
  <c r="AZ30" i="5" s="1"/>
  <c r="BA30" i="5" s="1"/>
  <c r="BB30" i="5" s="1"/>
  <c r="BC30" i="5" s="1"/>
  <c r="BD30" i="5" s="1"/>
  <c r="AT580" i="5"/>
  <c r="AU580" i="5" s="1"/>
  <c r="AV580" i="5" s="1"/>
  <c r="AW580" i="5" s="1"/>
  <c r="AX580" i="5" s="1"/>
  <c r="AY580" i="5" s="1"/>
  <c r="AZ580" i="5" s="1"/>
  <c r="BA580" i="5" s="1"/>
  <c r="BB580" i="5" s="1"/>
  <c r="BC580" i="5" s="1"/>
  <c r="BD580" i="5" s="1"/>
  <c r="BE53" i="5"/>
  <c r="AT500" i="5"/>
  <c r="AU500" i="5" s="1"/>
  <c r="AV500" i="5" s="1"/>
  <c r="AW500" i="5" s="1"/>
  <c r="AX500" i="5" s="1"/>
  <c r="AY500" i="5" s="1"/>
  <c r="AZ500" i="5" s="1"/>
  <c r="BA500" i="5" s="1"/>
  <c r="BB500" i="5" s="1"/>
  <c r="BC500" i="5" s="1"/>
  <c r="BD500" i="5" s="1"/>
  <c r="AP196" i="5"/>
  <c r="BE626" i="5"/>
  <c r="AT579" i="5"/>
  <c r="AU579" i="5" s="1"/>
  <c r="AV579" i="5" s="1"/>
  <c r="AW579" i="5" s="1"/>
  <c r="AX579" i="5" s="1"/>
  <c r="AY579" i="5" s="1"/>
  <c r="AZ579" i="5" s="1"/>
  <c r="BA579" i="5" s="1"/>
  <c r="BB579" i="5" s="1"/>
  <c r="BC579" i="5" s="1"/>
  <c r="BD579" i="5" s="1"/>
  <c r="AT564" i="5"/>
  <c r="AP390" i="5"/>
  <c r="AV200" i="5"/>
  <c r="AP122" i="5"/>
  <c r="AP502" i="5"/>
  <c r="AP343" i="5"/>
  <c r="AP148" i="5"/>
  <c r="AT414" i="5"/>
  <c r="AU414" i="5" s="1"/>
  <c r="AV414" i="5" s="1"/>
  <c r="AW414" i="5" s="1"/>
  <c r="AX414" i="5" s="1"/>
  <c r="AY414" i="5" s="1"/>
  <c r="AZ414" i="5" s="1"/>
  <c r="BA414" i="5" s="1"/>
  <c r="BB414" i="5" s="1"/>
  <c r="BC414" i="5" s="1"/>
  <c r="BD414" i="5" s="1"/>
  <c r="AZ442" i="4"/>
  <c r="BD1086" i="4"/>
  <c r="AI1086" i="4"/>
  <c r="P1086" i="4"/>
  <c r="O1086" i="4"/>
  <c r="N1086" i="4"/>
  <c r="M1086" i="4"/>
  <c r="L1086" i="4"/>
  <c r="K1086" i="4"/>
  <c r="J1086" i="4"/>
  <c r="I1086" i="4"/>
  <c r="H1086" i="4"/>
  <c r="G1086" i="4"/>
  <c r="BD1085" i="4"/>
  <c r="AI1085" i="4"/>
  <c r="P1085" i="4"/>
  <c r="BE1084" i="4"/>
  <c r="BD1084" i="4"/>
  <c r="AI1084" i="4"/>
  <c r="Q1084" i="4"/>
  <c r="P1084" i="4"/>
  <c r="BD1083" i="4"/>
  <c r="AI1083" i="4"/>
  <c r="P1083" i="4"/>
  <c r="O1083" i="4"/>
  <c r="N1083" i="4"/>
  <c r="M1083" i="4"/>
  <c r="L1083" i="4"/>
  <c r="K1083" i="4"/>
  <c r="J1083" i="4"/>
  <c r="I1083" i="4"/>
  <c r="H1083" i="4"/>
  <c r="G1083" i="4"/>
  <c r="F1083" i="4"/>
  <c r="BD1082" i="4"/>
  <c r="O1082" i="4"/>
  <c r="N1082" i="4"/>
  <c r="M1082" i="4"/>
  <c r="L1082" i="4"/>
  <c r="K1082" i="4"/>
  <c r="J1082" i="4"/>
  <c r="I1082" i="4"/>
  <c r="H1082" i="4"/>
  <c r="G1082" i="4"/>
  <c r="F1082" i="4"/>
  <c r="BD1081" i="4"/>
  <c r="AI1081" i="4"/>
  <c r="P1081" i="4"/>
  <c r="O1080" i="4"/>
  <c r="N1080" i="4"/>
  <c r="M1080" i="4"/>
  <c r="L1080" i="4"/>
  <c r="K1080" i="4"/>
  <c r="J1080" i="4"/>
  <c r="I1080" i="4"/>
  <c r="H1080" i="4"/>
  <c r="G1080" i="4"/>
  <c r="F1080" i="4"/>
  <c r="AJ1079" i="4"/>
  <c r="AI1079" i="4"/>
  <c r="Q1079" i="4"/>
  <c r="P1079" i="4"/>
  <c r="O1079" i="4"/>
  <c r="N1079" i="4"/>
  <c r="M1079" i="4"/>
  <c r="L1079" i="4"/>
  <c r="K1079" i="4"/>
  <c r="J1079" i="4"/>
  <c r="I1079" i="4"/>
  <c r="H1079" i="4"/>
  <c r="G1079" i="4"/>
  <c r="F1079" i="4"/>
  <c r="AI1076" i="4"/>
  <c r="AJ1076" i="4" s="1"/>
  <c r="P1076" i="4"/>
  <c r="Q1076" i="4" s="1"/>
  <c r="AI1075" i="4"/>
  <c r="AJ1075" i="4" s="1"/>
  <c r="P1075" i="4"/>
  <c r="Q1075" i="4" s="1"/>
  <c r="AI1074" i="4"/>
  <c r="P1074" i="4"/>
  <c r="Q1074" i="4" s="1"/>
  <c r="AY1071" i="4"/>
  <c r="AR1071" i="4"/>
  <c r="AF1071" i="4"/>
  <c r="AE1071" i="4"/>
  <c r="R1071" i="4"/>
  <c r="AY1070" i="4"/>
  <c r="AR1070" i="4"/>
  <c r="AF1070" i="4"/>
  <c r="BA1070" i="4" s="1"/>
  <c r="AE1070" i="4"/>
  <c r="R1070" i="4"/>
  <c r="AG1070" i="4" s="1"/>
  <c r="BB1070" i="4" s="1"/>
  <c r="AY1069" i="4"/>
  <c r="AR1069" i="4"/>
  <c r="AF1069" i="4"/>
  <c r="BA1069" i="4" s="1"/>
  <c r="AE1069" i="4"/>
  <c r="R1069" i="4"/>
  <c r="X1069" i="4" s="1"/>
  <c r="AY1068" i="4"/>
  <c r="AR1068" i="4"/>
  <c r="AF1068" i="4"/>
  <c r="BA1068" i="4" s="1"/>
  <c r="AE1068" i="4"/>
  <c r="R1068" i="4"/>
  <c r="AG1068" i="4" s="1"/>
  <c r="BB1068" i="4" s="1"/>
  <c r="AY1067" i="4"/>
  <c r="AR1067" i="4"/>
  <c r="AF1067" i="4"/>
  <c r="AE1067" i="4"/>
  <c r="R1067" i="4"/>
  <c r="AY1066" i="4"/>
  <c r="AR1066" i="4"/>
  <c r="AF1066" i="4"/>
  <c r="BA1066" i="4" s="1"/>
  <c r="AE1066" i="4"/>
  <c r="R1066" i="4"/>
  <c r="AG1066" i="4" s="1"/>
  <c r="BB1066" i="4" s="1"/>
  <c r="AY1065" i="4"/>
  <c r="AR1065" i="4"/>
  <c r="AF1065" i="4"/>
  <c r="BA1065" i="4" s="1"/>
  <c r="AE1065" i="4"/>
  <c r="R1065" i="4"/>
  <c r="AG1065" i="4" s="1"/>
  <c r="BB1065" i="4" s="1"/>
  <c r="AY1064" i="4"/>
  <c r="AR1064" i="4"/>
  <c r="AF1064" i="4"/>
  <c r="AE1064" i="4"/>
  <c r="R1064" i="4"/>
  <c r="X1064" i="4" s="1"/>
  <c r="AY1063" i="4"/>
  <c r="AZ1063" i="4" s="1"/>
  <c r="AJ1063" i="4"/>
  <c r="AF1063" i="4"/>
  <c r="BA1063" i="4" s="1"/>
  <c r="AE1063" i="4"/>
  <c r="R1063" i="4"/>
  <c r="AG1063" i="4" s="1"/>
  <c r="BB1063" i="4" s="1"/>
  <c r="Q1063" i="4"/>
  <c r="AY1062" i="4"/>
  <c r="AR1062" i="4"/>
  <c r="AF1062" i="4"/>
  <c r="BA1062" i="4" s="1"/>
  <c r="AE1062" i="4"/>
  <c r="R1062" i="4"/>
  <c r="AY1061" i="4"/>
  <c r="AR1061" i="4"/>
  <c r="AF1061" i="4"/>
  <c r="BA1061" i="4" s="1"/>
  <c r="AE1061" i="4"/>
  <c r="R1061" i="4"/>
  <c r="AY1060" i="4"/>
  <c r="AR1060" i="4"/>
  <c r="AF1060" i="4"/>
  <c r="AE1060" i="4"/>
  <c r="R1060" i="4"/>
  <c r="X1060" i="4" s="1"/>
  <c r="AY1059" i="4"/>
  <c r="AR1059" i="4"/>
  <c r="AF1059" i="4"/>
  <c r="BA1059" i="4" s="1"/>
  <c r="AE1059" i="4"/>
  <c r="R1059" i="4"/>
  <c r="AG1059" i="4" s="1"/>
  <c r="BB1059" i="4" s="1"/>
  <c r="AY1058" i="4"/>
  <c r="AR1058" i="4"/>
  <c r="AF1058" i="4"/>
  <c r="BA1058" i="4" s="1"/>
  <c r="AE1058" i="4"/>
  <c r="R1058" i="4"/>
  <c r="AG1058" i="4" s="1"/>
  <c r="BB1058" i="4" s="1"/>
  <c r="AY1057" i="4"/>
  <c r="AR1057" i="4"/>
  <c r="AF1057" i="4"/>
  <c r="BA1057" i="4" s="1"/>
  <c r="AE1057" i="4"/>
  <c r="R1057" i="4"/>
  <c r="AY1056" i="4"/>
  <c r="AR1056" i="4"/>
  <c r="AF1056" i="4"/>
  <c r="AE1056" i="4"/>
  <c r="R1056" i="4"/>
  <c r="X1056" i="4" s="1"/>
  <c r="AY1055" i="4"/>
  <c r="AR1055" i="4"/>
  <c r="AF1055" i="4"/>
  <c r="BA1055" i="4" s="1"/>
  <c r="AE1055" i="4"/>
  <c r="R1055" i="4"/>
  <c r="AG1055" i="4" s="1"/>
  <c r="BB1055" i="4" s="1"/>
  <c r="AY1054" i="4"/>
  <c r="AR1054" i="4"/>
  <c r="AF1054" i="4"/>
  <c r="BA1054" i="4" s="1"/>
  <c r="AE1054" i="4"/>
  <c r="R1054" i="4"/>
  <c r="AY1053" i="4"/>
  <c r="AR1053" i="4"/>
  <c r="AF1053" i="4"/>
  <c r="BA1053" i="4" s="1"/>
  <c r="AE1053" i="4"/>
  <c r="R1053" i="4"/>
  <c r="AY1052" i="4"/>
  <c r="AR1052" i="4"/>
  <c r="AF1052" i="4"/>
  <c r="AE1052" i="4"/>
  <c r="R1052" i="4"/>
  <c r="X1052" i="4" s="1"/>
  <c r="BE1051" i="4"/>
  <c r="AY1051" i="4"/>
  <c r="AR1051" i="4"/>
  <c r="AJ1051" i="4"/>
  <c r="AF1051" i="4"/>
  <c r="BA1051" i="4" s="1"/>
  <c r="AE1051" i="4"/>
  <c r="R1051" i="4"/>
  <c r="Q1051" i="4"/>
  <c r="AY1050" i="4"/>
  <c r="AR1050" i="4"/>
  <c r="AF1050" i="4"/>
  <c r="BA1050" i="4" s="1"/>
  <c r="AE1050" i="4"/>
  <c r="R1050" i="4"/>
  <c r="AY1049" i="4"/>
  <c r="AR1049" i="4"/>
  <c r="AF1049" i="4"/>
  <c r="AE1049" i="4"/>
  <c r="R1049" i="4"/>
  <c r="AY1048" i="4"/>
  <c r="AR1048" i="4"/>
  <c r="AF1048" i="4"/>
  <c r="AE1048" i="4"/>
  <c r="R1048" i="4"/>
  <c r="AG1048" i="4" s="1"/>
  <c r="BB1048" i="4" s="1"/>
  <c r="AY1047" i="4"/>
  <c r="AR1047" i="4"/>
  <c r="AF1047" i="4"/>
  <c r="BA1047" i="4" s="1"/>
  <c r="AE1047" i="4"/>
  <c r="R1047" i="4"/>
  <c r="AG1047" i="4" s="1"/>
  <c r="AY1046" i="4"/>
  <c r="AR1046" i="4"/>
  <c r="AF1046" i="4"/>
  <c r="BA1046" i="4" s="1"/>
  <c r="AE1046" i="4"/>
  <c r="R1046" i="4"/>
  <c r="AG1046" i="4" s="1"/>
  <c r="BB1046" i="4" s="1"/>
  <c r="AY1045" i="4"/>
  <c r="AR1045" i="4"/>
  <c r="AF1045" i="4"/>
  <c r="AE1045" i="4"/>
  <c r="R1045" i="4"/>
  <c r="AY1044" i="4"/>
  <c r="AR1044" i="4"/>
  <c r="AF1044" i="4"/>
  <c r="AE1044" i="4"/>
  <c r="R1044" i="4"/>
  <c r="AG1044" i="4" s="1"/>
  <c r="BB1044" i="4" s="1"/>
  <c r="AY1043" i="4"/>
  <c r="AR1043" i="4"/>
  <c r="AF1043" i="4"/>
  <c r="BA1043" i="4" s="1"/>
  <c r="AE1043" i="4"/>
  <c r="R1043" i="4"/>
  <c r="AG1043" i="4" s="1"/>
  <c r="BB1043" i="4" s="1"/>
  <c r="AY1042" i="4"/>
  <c r="AR1042" i="4"/>
  <c r="AF1042" i="4"/>
  <c r="BA1042" i="4" s="1"/>
  <c r="AE1042" i="4"/>
  <c r="R1042" i="4"/>
  <c r="AY1041" i="4"/>
  <c r="AR1041" i="4"/>
  <c r="AF1041" i="4"/>
  <c r="AE1041" i="4"/>
  <c r="R1041" i="4"/>
  <c r="AY1040" i="4"/>
  <c r="AR1040" i="4"/>
  <c r="AF1040" i="4"/>
  <c r="AE1040" i="4"/>
  <c r="R1040" i="4"/>
  <c r="AG1040" i="4" s="1"/>
  <c r="BB1040" i="4" s="1"/>
  <c r="AY1039" i="4"/>
  <c r="AR1039" i="4"/>
  <c r="AF1039" i="4"/>
  <c r="BA1039" i="4" s="1"/>
  <c r="AE1039" i="4"/>
  <c r="R1039" i="4"/>
  <c r="AG1039" i="4" s="1"/>
  <c r="BE1038" i="4"/>
  <c r="AY1038" i="4"/>
  <c r="AR1038" i="4"/>
  <c r="AK1038" i="4"/>
  <c r="AJ1038" i="4"/>
  <c r="AF1038" i="4"/>
  <c r="AE1038" i="4"/>
  <c r="R1038" i="4"/>
  <c r="X1038" i="4" s="1"/>
  <c r="Q1038" i="4"/>
  <c r="BE1037" i="4"/>
  <c r="AY1037" i="4"/>
  <c r="AR1037" i="4"/>
  <c r="AK1037" i="4"/>
  <c r="AJ1037" i="4"/>
  <c r="AF1037" i="4"/>
  <c r="AE1037" i="4"/>
  <c r="R1037" i="4"/>
  <c r="AG1037" i="4" s="1"/>
  <c r="BB1037" i="4" s="1"/>
  <c r="AY1036" i="4"/>
  <c r="AR1036" i="4"/>
  <c r="AF1036" i="4"/>
  <c r="BA1036" i="4" s="1"/>
  <c r="AE1036" i="4"/>
  <c r="R1036" i="4"/>
  <c r="AG1036" i="4" s="1"/>
  <c r="BB1036" i="4" s="1"/>
  <c r="AY1035" i="4"/>
  <c r="AR1035" i="4"/>
  <c r="AF1035" i="4"/>
  <c r="BA1035" i="4" s="1"/>
  <c r="AE1035" i="4"/>
  <c r="R1035" i="4"/>
  <c r="X1035" i="4" s="1"/>
  <c r="AY1034" i="4"/>
  <c r="AR1034" i="4"/>
  <c r="AF1034" i="4"/>
  <c r="AE1034" i="4"/>
  <c r="R1034" i="4"/>
  <c r="AY1033" i="4"/>
  <c r="AR1033" i="4"/>
  <c r="AF1033" i="4"/>
  <c r="AE1033" i="4"/>
  <c r="R1033" i="4"/>
  <c r="AY1032" i="4"/>
  <c r="AR1032" i="4"/>
  <c r="AF1032" i="4"/>
  <c r="BA1032" i="4" s="1"/>
  <c r="AE1032" i="4"/>
  <c r="R1032" i="4"/>
  <c r="AG1032" i="4" s="1"/>
  <c r="BB1032" i="4" s="1"/>
  <c r="AY1031" i="4"/>
  <c r="AR1031" i="4"/>
  <c r="AF1031" i="4"/>
  <c r="BA1031" i="4" s="1"/>
  <c r="AE1031" i="4"/>
  <c r="R1031" i="4"/>
  <c r="AY1030" i="4"/>
  <c r="AR1030" i="4"/>
  <c r="AF1030" i="4"/>
  <c r="BA1030" i="4" s="1"/>
  <c r="AE1030" i="4"/>
  <c r="R1030" i="4"/>
  <c r="AG1030" i="4" s="1"/>
  <c r="BB1030" i="4" s="1"/>
  <c r="AY1029" i="4"/>
  <c r="AR1029" i="4"/>
  <c r="AF1029" i="4"/>
  <c r="AE1029" i="4"/>
  <c r="R1029" i="4"/>
  <c r="AY1028" i="4"/>
  <c r="AR1028" i="4"/>
  <c r="AF1028" i="4"/>
  <c r="AE1028" i="4"/>
  <c r="R1028" i="4"/>
  <c r="AY1027" i="4"/>
  <c r="AR1027" i="4"/>
  <c r="AF1027" i="4"/>
  <c r="BA1027" i="4" s="1"/>
  <c r="AE1027" i="4"/>
  <c r="R1027" i="4"/>
  <c r="AG1027" i="4" s="1"/>
  <c r="AY1026" i="4"/>
  <c r="AR1026" i="4"/>
  <c r="AF1026" i="4"/>
  <c r="BA1026" i="4" s="1"/>
  <c r="AE1026" i="4"/>
  <c r="R1026" i="4"/>
  <c r="AY1025" i="4"/>
  <c r="AR1025" i="4"/>
  <c r="AF1025" i="4"/>
  <c r="AE1025" i="4"/>
  <c r="R1025" i="4"/>
  <c r="AY1024" i="4"/>
  <c r="AR1024" i="4"/>
  <c r="AF1024" i="4"/>
  <c r="BA1024" i="4" s="1"/>
  <c r="AE1024" i="4"/>
  <c r="R1024" i="4"/>
  <c r="AG1024" i="4" s="1"/>
  <c r="BB1024" i="4" s="1"/>
  <c r="AY1023" i="4"/>
  <c r="AR1023" i="4"/>
  <c r="AF1023" i="4"/>
  <c r="BA1023" i="4" s="1"/>
  <c r="AE1023" i="4"/>
  <c r="R1023" i="4"/>
  <c r="AG1023" i="4" s="1"/>
  <c r="AY1022" i="4"/>
  <c r="AR1022" i="4"/>
  <c r="AF1022" i="4"/>
  <c r="BA1022" i="4" s="1"/>
  <c r="AE1022" i="4"/>
  <c r="R1022" i="4"/>
  <c r="AG1022" i="4" s="1"/>
  <c r="BB1022" i="4" s="1"/>
  <c r="AY1021" i="4"/>
  <c r="AR1021" i="4"/>
  <c r="AF1021" i="4"/>
  <c r="AE1021" i="4"/>
  <c r="R1021" i="4"/>
  <c r="X1021" i="4" s="1"/>
  <c r="BE1020" i="4"/>
  <c r="AY1020" i="4"/>
  <c r="AR1020" i="4"/>
  <c r="AJ1020" i="4"/>
  <c r="AF1020" i="4"/>
  <c r="BA1020" i="4" s="1"/>
  <c r="AE1020" i="4"/>
  <c r="R1020" i="4"/>
  <c r="AG1020" i="4" s="1"/>
  <c r="BB1020" i="4" s="1"/>
  <c r="Q1020" i="4"/>
  <c r="AY1019" i="4"/>
  <c r="AR1019" i="4"/>
  <c r="AF1019" i="4"/>
  <c r="BA1019" i="4" s="1"/>
  <c r="AE1019" i="4"/>
  <c r="R1019" i="4"/>
  <c r="AG1019" i="4" s="1"/>
  <c r="BB1019" i="4" s="1"/>
  <c r="AY1018" i="4"/>
  <c r="AR1018" i="4"/>
  <c r="AF1018" i="4"/>
  <c r="AE1018" i="4"/>
  <c r="R1018" i="4"/>
  <c r="X1018" i="4" s="1"/>
  <c r="BE1017" i="4"/>
  <c r="AY1017" i="4"/>
  <c r="AR1017" i="4"/>
  <c r="AJ1017" i="4"/>
  <c r="AF1017" i="4"/>
  <c r="BA1017" i="4" s="1"/>
  <c r="AE1017" i="4"/>
  <c r="R1017" i="4"/>
  <c r="AG1017" i="4" s="1"/>
  <c r="BB1017" i="4" s="1"/>
  <c r="Q1017" i="4"/>
  <c r="BE1016" i="4"/>
  <c r="AY1016" i="4"/>
  <c r="AR1016" i="4"/>
  <c r="AJ1016" i="4"/>
  <c r="AF1016" i="4"/>
  <c r="BA1016" i="4" s="1"/>
  <c r="AE1016" i="4"/>
  <c r="R1016" i="4"/>
  <c r="Q1016" i="4"/>
  <c r="AY1015" i="4"/>
  <c r="AR1015" i="4"/>
  <c r="AF1015" i="4"/>
  <c r="BA1015" i="4" s="1"/>
  <c r="AE1015" i="4"/>
  <c r="R1015" i="4"/>
  <c r="AG1015" i="4" s="1"/>
  <c r="BB1015" i="4" s="1"/>
  <c r="AY1014" i="4"/>
  <c r="AR1014" i="4"/>
  <c r="AF1014" i="4"/>
  <c r="BA1014" i="4" s="1"/>
  <c r="AE1014" i="4"/>
  <c r="R1014" i="4"/>
  <c r="X1014" i="4" s="1"/>
  <c r="AY1013" i="4"/>
  <c r="AR1013" i="4"/>
  <c r="AF1013" i="4"/>
  <c r="BA1013" i="4" s="1"/>
  <c r="AE1013" i="4"/>
  <c r="R1013" i="4"/>
  <c r="AY1012" i="4"/>
  <c r="AR1012" i="4"/>
  <c r="AF1012" i="4"/>
  <c r="AE1012" i="4"/>
  <c r="R1012" i="4"/>
  <c r="X1012" i="4" s="1"/>
  <c r="AY1011" i="4"/>
  <c r="AR1011" i="4"/>
  <c r="AF1011" i="4"/>
  <c r="BA1011" i="4" s="1"/>
  <c r="AE1011" i="4"/>
  <c r="R1011" i="4"/>
  <c r="AY1010" i="4"/>
  <c r="AR1010" i="4"/>
  <c r="AF1010" i="4"/>
  <c r="BA1010" i="4" s="1"/>
  <c r="AE1010" i="4"/>
  <c r="R1010" i="4"/>
  <c r="AY1009" i="4"/>
  <c r="AR1009" i="4"/>
  <c r="AF1009" i="4"/>
  <c r="AE1009" i="4"/>
  <c r="R1009" i="4"/>
  <c r="X1009" i="4" s="1"/>
  <c r="AY1008" i="4"/>
  <c r="AR1008" i="4"/>
  <c r="AF1008" i="4"/>
  <c r="AE1008" i="4"/>
  <c r="R1008" i="4"/>
  <c r="AY1007" i="4"/>
  <c r="AR1007" i="4"/>
  <c r="AF1007" i="4"/>
  <c r="BA1007" i="4" s="1"/>
  <c r="AE1007" i="4"/>
  <c r="R1007" i="4"/>
  <c r="AG1007" i="4" s="1"/>
  <c r="AX1006" i="4"/>
  <c r="AW1006" i="4"/>
  <c r="AV1006" i="4"/>
  <c r="AU1006" i="4"/>
  <c r="AT1006" i="4"/>
  <c r="AS1006" i="4"/>
  <c r="AQ1006" i="4"/>
  <c r="AP1006" i="4"/>
  <c r="AO1006" i="4"/>
  <c r="AN1006" i="4"/>
  <c r="AM1006" i="4"/>
  <c r="AL1006" i="4"/>
  <c r="AD1006" i="4"/>
  <c r="AC1006" i="4"/>
  <c r="AB1006" i="4"/>
  <c r="AA1006" i="4"/>
  <c r="Z1006" i="4"/>
  <c r="Y1006" i="4"/>
  <c r="W1006" i="4"/>
  <c r="V1006" i="4"/>
  <c r="U1006" i="4"/>
  <c r="T1006" i="4"/>
  <c r="S1006" i="4"/>
  <c r="AY1005" i="4"/>
  <c r="AR1005" i="4"/>
  <c r="AF1005" i="4"/>
  <c r="BA1005" i="4" s="1"/>
  <c r="AE1005" i="4"/>
  <c r="R1005" i="4"/>
  <c r="AG1005" i="4" s="1"/>
  <c r="BB1005" i="4" s="1"/>
  <c r="BE1004" i="4"/>
  <c r="AY1004" i="4"/>
  <c r="AR1004" i="4"/>
  <c r="AK1004" i="4"/>
  <c r="AJ1004" i="4"/>
  <c r="AF1004" i="4"/>
  <c r="BA1004" i="4" s="1"/>
  <c r="AE1004" i="4"/>
  <c r="R1004" i="4"/>
  <c r="Q1004" i="4"/>
  <c r="BE1003" i="4"/>
  <c r="AY1003" i="4"/>
  <c r="AR1003" i="4"/>
  <c r="AK1003" i="4"/>
  <c r="AJ1003" i="4"/>
  <c r="AF1003" i="4"/>
  <c r="AE1003" i="4"/>
  <c r="R1003" i="4"/>
  <c r="X1003" i="4" s="1"/>
  <c r="Q1003" i="4"/>
  <c r="BE1002" i="4"/>
  <c r="AY1002" i="4"/>
  <c r="AR1002" i="4"/>
  <c r="AK1002" i="4"/>
  <c r="AJ1002" i="4"/>
  <c r="AF1002" i="4"/>
  <c r="BA1002" i="4" s="1"/>
  <c r="AE1002" i="4"/>
  <c r="R1002" i="4"/>
  <c r="AG1002" i="4" s="1"/>
  <c r="BB1002" i="4" s="1"/>
  <c r="Q1002" i="4"/>
  <c r="BE1001" i="4"/>
  <c r="AY1001" i="4"/>
  <c r="AR1001" i="4"/>
  <c r="AK1001" i="4"/>
  <c r="AJ1001" i="4"/>
  <c r="AF1001" i="4"/>
  <c r="BA1001" i="4" s="1"/>
  <c r="AE1001" i="4"/>
  <c r="R1001" i="4"/>
  <c r="AG1001" i="4" s="1"/>
  <c r="BB1001" i="4" s="1"/>
  <c r="Q1001" i="4"/>
  <c r="BE1000" i="4"/>
  <c r="AY1000" i="4"/>
  <c r="AR1000" i="4"/>
  <c r="AK1000" i="4"/>
  <c r="AJ1000" i="4"/>
  <c r="AF1000" i="4"/>
  <c r="BA1000" i="4" s="1"/>
  <c r="AE1000" i="4"/>
  <c r="R1000" i="4"/>
  <c r="Q1000" i="4"/>
  <c r="BE999" i="4"/>
  <c r="AY999" i="4"/>
  <c r="AR999" i="4"/>
  <c r="AK999" i="4"/>
  <c r="AJ999" i="4"/>
  <c r="AF999" i="4"/>
  <c r="AE999" i="4"/>
  <c r="R999" i="4"/>
  <c r="X999" i="4" s="1"/>
  <c r="Q999" i="4"/>
  <c r="BE998" i="4"/>
  <c r="AY998" i="4"/>
  <c r="AR998" i="4"/>
  <c r="AK998" i="4"/>
  <c r="AJ998" i="4"/>
  <c r="AF998" i="4"/>
  <c r="BA998" i="4" s="1"/>
  <c r="AE998" i="4"/>
  <c r="R998" i="4"/>
  <c r="AG998" i="4" s="1"/>
  <c r="BB998" i="4" s="1"/>
  <c r="Q998" i="4"/>
  <c r="BE997" i="4"/>
  <c r="AY997" i="4"/>
  <c r="AR997" i="4"/>
  <c r="AK997" i="4"/>
  <c r="AJ997" i="4"/>
  <c r="AF997" i="4"/>
  <c r="BA997" i="4" s="1"/>
  <c r="AE997" i="4"/>
  <c r="R997" i="4"/>
  <c r="Q997" i="4"/>
  <c r="BE996" i="4"/>
  <c r="AY996" i="4"/>
  <c r="AR996" i="4"/>
  <c r="AK996" i="4"/>
  <c r="AJ996" i="4"/>
  <c r="AF996" i="4"/>
  <c r="BA996" i="4" s="1"/>
  <c r="AE996" i="4"/>
  <c r="R996" i="4"/>
  <c r="Q996" i="4"/>
  <c r="BE995" i="4"/>
  <c r="AY995" i="4"/>
  <c r="AR995" i="4"/>
  <c r="AK995" i="4"/>
  <c r="AJ995" i="4"/>
  <c r="AF995" i="4"/>
  <c r="AE995" i="4"/>
  <c r="R995" i="4"/>
  <c r="X995" i="4" s="1"/>
  <c r="Q995" i="4"/>
  <c r="BE994" i="4"/>
  <c r="AY994" i="4"/>
  <c r="AR994" i="4"/>
  <c r="AK994" i="4"/>
  <c r="AJ994" i="4"/>
  <c r="AF994" i="4"/>
  <c r="BA994" i="4" s="1"/>
  <c r="AE994" i="4"/>
  <c r="R994" i="4"/>
  <c r="AG994" i="4" s="1"/>
  <c r="BB994" i="4" s="1"/>
  <c r="Q994" i="4"/>
  <c r="BE993" i="4"/>
  <c r="AY993" i="4"/>
  <c r="AR993" i="4"/>
  <c r="AK993" i="4"/>
  <c r="AJ993" i="4"/>
  <c r="AF993" i="4"/>
  <c r="BA993" i="4" s="1"/>
  <c r="AE993" i="4"/>
  <c r="R993" i="4"/>
  <c r="Q993" i="4"/>
  <c r="BE992" i="4"/>
  <c r="AY992" i="4"/>
  <c r="AR992" i="4"/>
  <c r="AK992" i="4"/>
  <c r="AJ992" i="4"/>
  <c r="AF992" i="4"/>
  <c r="BA992" i="4" s="1"/>
  <c r="AE992" i="4"/>
  <c r="R992" i="4"/>
  <c r="Q992" i="4"/>
  <c r="BE991" i="4"/>
  <c r="AY991" i="4"/>
  <c r="AR991" i="4"/>
  <c r="AK991" i="4"/>
  <c r="AJ991" i="4"/>
  <c r="AF991" i="4"/>
  <c r="AE991" i="4"/>
  <c r="R991" i="4"/>
  <c r="X991" i="4" s="1"/>
  <c r="Q991" i="4"/>
  <c r="BE990" i="4"/>
  <c r="AY990" i="4"/>
  <c r="AR990" i="4"/>
  <c r="AK990" i="4"/>
  <c r="AJ990" i="4"/>
  <c r="AF990" i="4"/>
  <c r="BA990" i="4" s="1"/>
  <c r="AE990" i="4"/>
  <c r="R990" i="4"/>
  <c r="AG990" i="4" s="1"/>
  <c r="BB990" i="4" s="1"/>
  <c r="Q990" i="4"/>
  <c r="BE989" i="4"/>
  <c r="AY989" i="4"/>
  <c r="AR989" i="4"/>
  <c r="AK989" i="4"/>
  <c r="AJ989" i="4"/>
  <c r="AF989" i="4"/>
  <c r="BA989" i="4" s="1"/>
  <c r="AE989" i="4"/>
  <c r="R989" i="4"/>
  <c r="Q989" i="4"/>
  <c r="BE988" i="4"/>
  <c r="AY988" i="4"/>
  <c r="AR988" i="4"/>
  <c r="AK988" i="4"/>
  <c r="AJ988" i="4"/>
  <c r="AF988" i="4"/>
  <c r="BA988" i="4" s="1"/>
  <c r="AE988" i="4"/>
  <c r="R988" i="4"/>
  <c r="Q988" i="4"/>
  <c r="BE987" i="4"/>
  <c r="AY987" i="4"/>
  <c r="AR987" i="4"/>
  <c r="AK987" i="4"/>
  <c r="AJ987" i="4"/>
  <c r="AF987" i="4"/>
  <c r="AE987" i="4"/>
  <c r="R987" i="4"/>
  <c r="X987" i="4" s="1"/>
  <c r="Q987" i="4"/>
  <c r="AY986" i="4"/>
  <c r="AR986" i="4"/>
  <c r="AG986" i="4"/>
  <c r="BB986" i="4" s="1"/>
  <c r="AF986" i="4"/>
  <c r="AE986" i="4"/>
  <c r="X986" i="4"/>
  <c r="AY985" i="4"/>
  <c r="AR985" i="4"/>
  <c r="AG985" i="4"/>
  <c r="BB985" i="4" s="1"/>
  <c r="AF985" i="4"/>
  <c r="BA985" i="4" s="1"/>
  <c r="AE985" i="4"/>
  <c r="X985" i="4"/>
  <c r="AY984" i="4"/>
  <c r="AR984" i="4"/>
  <c r="AF984" i="4"/>
  <c r="AE984" i="4"/>
  <c r="R984" i="4"/>
  <c r="X984" i="4" s="1"/>
  <c r="AY983" i="4"/>
  <c r="AR983" i="4"/>
  <c r="AF983" i="4"/>
  <c r="BA983" i="4" s="1"/>
  <c r="AE983" i="4"/>
  <c r="R983" i="4"/>
  <c r="AG983" i="4" s="1"/>
  <c r="BB983" i="4" s="1"/>
  <c r="AY982" i="4"/>
  <c r="AR982" i="4"/>
  <c r="AF982" i="4"/>
  <c r="BA982" i="4" s="1"/>
  <c r="AE982" i="4"/>
  <c r="R982" i="4"/>
  <c r="AG982" i="4" s="1"/>
  <c r="BB982" i="4" s="1"/>
  <c r="AY981" i="4"/>
  <c r="AR981" i="4"/>
  <c r="AF981" i="4"/>
  <c r="BA981" i="4" s="1"/>
  <c r="AE981" i="4"/>
  <c r="R981" i="4"/>
  <c r="X981" i="4" s="1"/>
  <c r="BE980" i="4"/>
  <c r="AY980" i="4"/>
  <c r="AR980" i="4"/>
  <c r="AJ980" i="4"/>
  <c r="AF980" i="4"/>
  <c r="BA980" i="4" s="1"/>
  <c r="AE980" i="4"/>
  <c r="R980" i="4"/>
  <c r="AG980" i="4" s="1"/>
  <c r="BB980" i="4" s="1"/>
  <c r="Q980" i="4"/>
  <c r="AY979" i="4"/>
  <c r="AR979" i="4"/>
  <c r="AF979" i="4"/>
  <c r="BA979" i="4" s="1"/>
  <c r="AE979" i="4"/>
  <c r="R979" i="4"/>
  <c r="AG979" i="4" s="1"/>
  <c r="AY978" i="4"/>
  <c r="AR978" i="4"/>
  <c r="AF978" i="4"/>
  <c r="BA978" i="4" s="1"/>
  <c r="AE978" i="4"/>
  <c r="R978" i="4"/>
  <c r="X978" i="4" s="1"/>
  <c r="AY977" i="4"/>
  <c r="AR977" i="4"/>
  <c r="AF977" i="4"/>
  <c r="AE977" i="4"/>
  <c r="R977" i="4"/>
  <c r="AG977" i="4" s="1"/>
  <c r="BB977" i="4" s="1"/>
  <c r="AY976" i="4"/>
  <c r="AR976" i="4"/>
  <c r="AF976" i="4"/>
  <c r="BA976" i="4" s="1"/>
  <c r="AE976" i="4"/>
  <c r="R976" i="4"/>
  <c r="AG976" i="4" s="1"/>
  <c r="BB976" i="4" s="1"/>
  <c r="AY975" i="4"/>
  <c r="AR975" i="4"/>
  <c r="AF975" i="4"/>
  <c r="BA975" i="4" s="1"/>
  <c r="AE975" i="4"/>
  <c r="R975" i="4"/>
  <c r="AY974" i="4"/>
  <c r="AR974" i="4"/>
  <c r="AF974" i="4"/>
  <c r="AE974" i="4"/>
  <c r="R974" i="4"/>
  <c r="AY973" i="4"/>
  <c r="AR973" i="4"/>
  <c r="AF973" i="4"/>
  <c r="AE973" i="4"/>
  <c r="R973" i="4"/>
  <c r="AG973" i="4" s="1"/>
  <c r="BB973" i="4" s="1"/>
  <c r="AY972" i="4"/>
  <c r="AR972" i="4"/>
  <c r="AF972" i="4"/>
  <c r="BA972" i="4" s="1"/>
  <c r="AE972" i="4"/>
  <c r="R972" i="4"/>
  <c r="AY971" i="4"/>
  <c r="AR971" i="4"/>
  <c r="AF971" i="4"/>
  <c r="BA971" i="4" s="1"/>
  <c r="AE971" i="4"/>
  <c r="R971" i="4"/>
  <c r="BE970" i="4"/>
  <c r="AY970" i="4"/>
  <c r="AR970" i="4"/>
  <c r="AJ970" i="4"/>
  <c r="AF970" i="4"/>
  <c r="BA970" i="4" s="1"/>
  <c r="AE970" i="4"/>
  <c r="R970" i="4"/>
  <c r="Q970" i="4"/>
  <c r="BE969" i="4"/>
  <c r="AY969" i="4"/>
  <c r="AR969" i="4"/>
  <c r="AK969" i="4"/>
  <c r="AJ969" i="4"/>
  <c r="AF969" i="4"/>
  <c r="BA969" i="4" s="1"/>
  <c r="AE969" i="4"/>
  <c r="R969" i="4"/>
  <c r="AG969" i="4" s="1"/>
  <c r="Q969" i="4"/>
  <c r="BE968" i="4"/>
  <c r="AY968" i="4"/>
  <c r="AR968" i="4"/>
  <c r="AK968" i="4"/>
  <c r="AJ968" i="4"/>
  <c r="AF968" i="4"/>
  <c r="BA968" i="4" s="1"/>
  <c r="AE968" i="4"/>
  <c r="R968" i="4"/>
  <c r="Q968" i="4"/>
  <c r="BE967" i="4"/>
  <c r="AY967" i="4"/>
  <c r="AR967" i="4"/>
  <c r="AK967" i="4"/>
  <c r="AJ967" i="4"/>
  <c r="AF967" i="4"/>
  <c r="BA967" i="4" s="1"/>
  <c r="AE967" i="4"/>
  <c r="R967" i="4"/>
  <c r="Q967" i="4"/>
  <c r="BE966" i="4"/>
  <c r="AY966" i="4"/>
  <c r="AR966" i="4"/>
  <c r="AK966" i="4"/>
  <c r="AJ966" i="4"/>
  <c r="AF966" i="4"/>
  <c r="BA966" i="4" s="1"/>
  <c r="AE966" i="4"/>
  <c r="R966" i="4"/>
  <c r="AG966" i="4" s="1"/>
  <c r="Q966" i="4"/>
  <c r="BE965" i="4"/>
  <c r="AY965" i="4"/>
  <c r="AR965" i="4"/>
  <c r="AK965" i="4"/>
  <c r="AJ965" i="4"/>
  <c r="AF965" i="4"/>
  <c r="BA965" i="4" s="1"/>
  <c r="AE965" i="4"/>
  <c r="R965" i="4"/>
  <c r="X965" i="4" s="1"/>
  <c r="Q965" i="4"/>
  <c r="BE964" i="4"/>
  <c r="AY964" i="4"/>
  <c r="AR964" i="4"/>
  <c r="AK964" i="4"/>
  <c r="AJ964" i="4"/>
  <c r="AF964" i="4"/>
  <c r="BA964" i="4" s="1"/>
  <c r="AE964" i="4"/>
  <c r="R964" i="4"/>
  <c r="AG964" i="4" s="1"/>
  <c r="BB964" i="4" s="1"/>
  <c r="Q964" i="4"/>
  <c r="BE963" i="4"/>
  <c r="AY963" i="4"/>
  <c r="AR963" i="4"/>
  <c r="AK963" i="4"/>
  <c r="AJ963" i="4"/>
  <c r="AF963" i="4"/>
  <c r="BA963" i="4" s="1"/>
  <c r="AE963" i="4"/>
  <c r="R963" i="4"/>
  <c r="X963" i="4" s="1"/>
  <c r="Q963" i="4"/>
  <c r="BE962" i="4"/>
  <c r="AY962" i="4"/>
  <c r="AR962" i="4"/>
  <c r="AK962" i="4"/>
  <c r="AJ962" i="4"/>
  <c r="AF962" i="4"/>
  <c r="BA962" i="4" s="1"/>
  <c r="AE962" i="4"/>
  <c r="R962" i="4"/>
  <c r="Q962" i="4"/>
  <c r="BE961" i="4"/>
  <c r="AY961" i="4"/>
  <c r="AR961" i="4"/>
  <c r="AK961" i="4"/>
  <c r="AJ961" i="4"/>
  <c r="AF961" i="4"/>
  <c r="BA961" i="4" s="1"/>
  <c r="AE961" i="4"/>
  <c r="R961" i="4"/>
  <c r="AG961" i="4" s="1"/>
  <c r="Q961" i="4"/>
  <c r="BE960" i="4"/>
  <c r="AY960" i="4"/>
  <c r="AR960" i="4"/>
  <c r="AK960" i="4"/>
  <c r="AJ960" i="4"/>
  <c r="AF960" i="4"/>
  <c r="BA960" i="4" s="1"/>
  <c r="AE960" i="4"/>
  <c r="R960" i="4"/>
  <c r="Q960" i="4"/>
  <c r="AY959" i="4"/>
  <c r="AR959" i="4"/>
  <c r="AF959" i="4"/>
  <c r="AE959" i="4"/>
  <c r="R959" i="4"/>
  <c r="AY958" i="4"/>
  <c r="AR958" i="4"/>
  <c r="AF958" i="4"/>
  <c r="AE958" i="4"/>
  <c r="R958" i="4"/>
  <c r="X958" i="4" s="1"/>
  <c r="AY957" i="4"/>
  <c r="AR957" i="4"/>
  <c r="AF957" i="4"/>
  <c r="BA957" i="4" s="1"/>
  <c r="AE957" i="4"/>
  <c r="R957" i="4"/>
  <c r="AY956" i="4"/>
  <c r="AR956" i="4"/>
  <c r="AF956" i="4"/>
  <c r="BA956" i="4" s="1"/>
  <c r="AE956" i="4"/>
  <c r="R956" i="4"/>
  <c r="AY955" i="4"/>
  <c r="AR955" i="4"/>
  <c r="AF955" i="4"/>
  <c r="BA955" i="4" s="1"/>
  <c r="AE955" i="4"/>
  <c r="R955" i="4"/>
  <c r="AG955" i="4" s="1"/>
  <c r="BB955" i="4" s="1"/>
  <c r="AY954" i="4"/>
  <c r="AR954" i="4"/>
  <c r="AF954" i="4"/>
  <c r="AE954" i="4"/>
  <c r="R954" i="4"/>
  <c r="AY953" i="4"/>
  <c r="AR953" i="4"/>
  <c r="AF953" i="4"/>
  <c r="BA953" i="4" s="1"/>
  <c r="AE953" i="4"/>
  <c r="R953" i="4"/>
  <c r="AG953" i="4" s="1"/>
  <c r="AY952" i="4"/>
  <c r="AR952" i="4"/>
  <c r="AF952" i="4"/>
  <c r="BA952" i="4" s="1"/>
  <c r="AE952" i="4"/>
  <c r="R952" i="4"/>
  <c r="AG952" i="4" s="1"/>
  <c r="BB952" i="4" s="1"/>
  <c r="AY951" i="4"/>
  <c r="AR951" i="4"/>
  <c r="AF951" i="4"/>
  <c r="AE951" i="4"/>
  <c r="R951" i="4"/>
  <c r="AG951" i="4" s="1"/>
  <c r="BB951" i="4" s="1"/>
  <c r="AY950" i="4"/>
  <c r="AR950" i="4"/>
  <c r="AF950" i="4"/>
  <c r="AE950" i="4"/>
  <c r="R950" i="4"/>
  <c r="X950" i="4" s="1"/>
  <c r="AY949" i="4"/>
  <c r="AR949" i="4"/>
  <c r="AF949" i="4"/>
  <c r="BA949" i="4" s="1"/>
  <c r="AE949" i="4"/>
  <c r="R949" i="4"/>
  <c r="AY948" i="4"/>
  <c r="AR948" i="4"/>
  <c r="AF948" i="4"/>
  <c r="BA948" i="4" s="1"/>
  <c r="AE948" i="4"/>
  <c r="R948" i="4"/>
  <c r="AG948" i="4" s="1"/>
  <c r="AY947" i="4"/>
  <c r="AR947" i="4"/>
  <c r="AF947" i="4"/>
  <c r="BA947" i="4" s="1"/>
  <c r="AE947" i="4"/>
  <c r="R947" i="4"/>
  <c r="AY946" i="4"/>
  <c r="AR946" i="4"/>
  <c r="AF946" i="4"/>
  <c r="AE946" i="4"/>
  <c r="R946" i="4"/>
  <c r="AY945" i="4"/>
  <c r="AR945" i="4"/>
  <c r="AF945" i="4"/>
  <c r="BA945" i="4" s="1"/>
  <c r="AE945" i="4"/>
  <c r="R945" i="4"/>
  <c r="AG945" i="4" s="1"/>
  <c r="AY944" i="4"/>
  <c r="AR944" i="4"/>
  <c r="AF944" i="4"/>
  <c r="BA944" i="4" s="1"/>
  <c r="AE944" i="4"/>
  <c r="R944" i="4"/>
  <c r="AY943" i="4"/>
  <c r="AR943" i="4"/>
  <c r="AF943" i="4"/>
  <c r="AE943" i="4"/>
  <c r="R943" i="4"/>
  <c r="AG943" i="4" s="1"/>
  <c r="BB943" i="4" s="1"/>
  <c r="AY942" i="4"/>
  <c r="AR942" i="4"/>
  <c r="AF942" i="4"/>
  <c r="AE942" i="4"/>
  <c r="R942" i="4"/>
  <c r="X942" i="4" s="1"/>
  <c r="AY941" i="4"/>
  <c r="AR941" i="4"/>
  <c r="AF941" i="4"/>
  <c r="BA941" i="4" s="1"/>
  <c r="AE941" i="4"/>
  <c r="R941" i="4"/>
  <c r="AY940" i="4"/>
  <c r="AR940" i="4"/>
  <c r="AF940" i="4"/>
  <c r="BA940" i="4" s="1"/>
  <c r="AE940" i="4"/>
  <c r="R940" i="4"/>
  <c r="AG940" i="4" s="1"/>
  <c r="AY939" i="4"/>
  <c r="AR939" i="4"/>
  <c r="AF939" i="4"/>
  <c r="BA939" i="4" s="1"/>
  <c r="AE939" i="4"/>
  <c r="R939" i="4"/>
  <c r="AG939" i="4" s="1"/>
  <c r="AY938" i="4"/>
  <c r="AR938" i="4"/>
  <c r="AF938" i="4"/>
  <c r="AE938" i="4"/>
  <c r="R938" i="4"/>
  <c r="AY937" i="4"/>
  <c r="AR937" i="4"/>
  <c r="AF937" i="4"/>
  <c r="BA937" i="4" s="1"/>
  <c r="AE937" i="4"/>
  <c r="R937" i="4"/>
  <c r="AG937" i="4" s="1"/>
  <c r="AY936" i="4"/>
  <c r="AR936" i="4"/>
  <c r="AF936" i="4"/>
  <c r="BA936" i="4" s="1"/>
  <c r="AE936" i="4"/>
  <c r="R936" i="4"/>
  <c r="AG936" i="4" s="1"/>
  <c r="BB936" i="4" s="1"/>
  <c r="AY935" i="4"/>
  <c r="AR935" i="4"/>
  <c r="AF935" i="4"/>
  <c r="AE935" i="4"/>
  <c r="R935" i="4"/>
  <c r="AG935" i="4" s="1"/>
  <c r="BB935" i="4" s="1"/>
  <c r="AY934" i="4"/>
  <c r="AR934" i="4"/>
  <c r="AF934" i="4"/>
  <c r="BA934" i="4" s="1"/>
  <c r="AE934" i="4"/>
  <c r="R934" i="4"/>
  <c r="AG934" i="4" s="1"/>
  <c r="BB934" i="4" s="1"/>
  <c r="AY933" i="4"/>
  <c r="AR933" i="4"/>
  <c r="AF933" i="4"/>
  <c r="BA933" i="4" s="1"/>
  <c r="AE933" i="4"/>
  <c r="R933" i="4"/>
  <c r="AG933" i="4" s="1"/>
  <c r="BB933" i="4" s="1"/>
  <c r="AY932" i="4"/>
  <c r="AR932" i="4"/>
  <c r="AF932" i="4"/>
  <c r="BA932" i="4" s="1"/>
  <c r="AE932" i="4"/>
  <c r="R932" i="4"/>
  <c r="AY931" i="4"/>
  <c r="AR931" i="4"/>
  <c r="AF931" i="4"/>
  <c r="AE931" i="4"/>
  <c r="R931" i="4"/>
  <c r="AY930" i="4"/>
  <c r="AR930" i="4"/>
  <c r="AF930" i="4"/>
  <c r="BA930" i="4" s="1"/>
  <c r="AE930" i="4"/>
  <c r="R930" i="4"/>
  <c r="AG930" i="4" s="1"/>
  <c r="BB930" i="4" s="1"/>
  <c r="AY929" i="4"/>
  <c r="AR929" i="4"/>
  <c r="AF929" i="4"/>
  <c r="BA929" i="4" s="1"/>
  <c r="AE929" i="4"/>
  <c r="R929" i="4"/>
  <c r="AY928" i="4"/>
  <c r="AR928" i="4"/>
  <c r="AF928" i="4"/>
  <c r="BA928" i="4" s="1"/>
  <c r="AE928" i="4"/>
  <c r="R928" i="4"/>
  <c r="X928" i="4" s="1"/>
  <c r="AY927" i="4"/>
  <c r="AR927" i="4"/>
  <c r="AF927" i="4"/>
  <c r="AE927" i="4"/>
  <c r="R927" i="4"/>
  <c r="AG927" i="4" s="1"/>
  <c r="BB927" i="4" s="1"/>
  <c r="AY926" i="4"/>
  <c r="AR926" i="4"/>
  <c r="AF926" i="4"/>
  <c r="BA926" i="4" s="1"/>
  <c r="AE926" i="4"/>
  <c r="R926" i="4"/>
  <c r="AG926" i="4" s="1"/>
  <c r="BB926" i="4" s="1"/>
  <c r="AY925" i="4"/>
  <c r="AR925" i="4"/>
  <c r="AF925" i="4"/>
  <c r="BA925" i="4" s="1"/>
  <c r="AE925" i="4"/>
  <c r="R925" i="4"/>
  <c r="AG925" i="4" s="1"/>
  <c r="BB925" i="4" s="1"/>
  <c r="AY924" i="4"/>
  <c r="AR924" i="4"/>
  <c r="AF924" i="4"/>
  <c r="BA924" i="4" s="1"/>
  <c r="AE924" i="4"/>
  <c r="R924" i="4"/>
  <c r="AY923" i="4"/>
  <c r="AR923" i="4"/>
  <c r="AF923" i="4"/>
  <c r="AE923" i="4"/>
  <c r="R923" i="4"/>
  <c r="AG923" i="4" s="1"/>
  <c r="BB923" i="4" s="1"/>
  <c r="AY922" i="4"/>
  <c r="AR922" i="4"/>
  <c r="AF922" i="4"/>
  <c r="BA922" i="4" s="1"/>
  <c r="AE922" i="4"/>
  <c r="R922" i="4"/>
  <c r="AG922" i="4" s="1"/>
  <c r="BB922" i="4" s="1"/>
  <c r="AY921" i="4"/>
  <c r="AR921" i="4"/>
  <c r="AF921" i="4"/>
  <c r="BA921" i="4" s="1"/>
  <c r="AE921" i="4"/>
  <c r="R921" i="4"/>
  <c r="AG921" i="4" s="1"/>
  <c r="BB921" i="4" s="1"/>
  <c r="AY920" i="4"/>
  <c r="AR920" i="4"/>
  <c r="AF920" i="4"/>
  <c r="BA920" i="4" s="1"/>
  <c r="AE920" i="4"/>
  <c r="R920" i="4"/>
  <c r="X920" i="4" s="1"/>
  <c r="AY919" i="4"/>
  <c r="AR919" i="4"/>
  <c r="AF919" i="4"/>
  <c r="AE919" i="4"/>
  <c r="R919" i="4"/>
  <c r="AG919" i="4" s="1"/>
  <c r="BB919" i="4" s="1"/>
  <c r="AY918" i="4"/>
  <c r="AR918" i="4"/>
  <c r="AF918" i="4"/>
  <c r="BA918" i="4" s="1"/>
  <c r="AE918" i="4"/>
  <c r="R918" i="4"/>
  <c r="AG918" i="4" s="1"/>
  <c r="BB918" i="4" s="1"/>
  <c r="AY917" i="4"/>
  <c r="AR917" i="4"/>
  <c r="AF917" i="4"/>
  <c r="BA917" i="4" s="1"/>
  <c r="AE917" i="4"/>
  <c r="R917" i="4"/>
  <c r="AG917" i="4" s="1"/>
  <c r="BB917" i="4" s="1"/>
  <c r="AY916" i="4"/>
  <c r="AR916" i="4"/>
  <c r="AF916" i="4"/>
  <c r="BA916" i="4" s="1"/>
  <c r="AE916" i="4"/>
  <c r="R916" i="4"/>
  <c r="AY915" i="4"/>
  <c r="AR915" i="4"/>
  <c r="AF915" i="4"/>
  <c r="AE915" i="4"/>
  <c r="R915" i="4"/>
  <c r="BE914" i="4"/>
  <c r="AY914" i="4"/>
  <c r="AR914" i="4"/>
  <c r="AK914" i="4"/>
  <c r="AJ914" i="4"/>
  <c r="AF914" i="4"/>
  <c r="BA914" i="4" s="1"/>
  <c r="AE914" i="4"/>
  <c r="R914" i="4"/>
  <c r="AG914" i="4" s="1"/>
  <c r="BB914" i="4" s="1"/>
  <c r="Q914" i="4"/>
  <c r="BE913" i="4"/>
  <c r="AY913" i="4"/>
  <c r="AR913" i="4"/>
  <c r="AK913" i="4"/>
  <c r="AJ913" i="4"/>
  <c r="AF913" i="4"/>
  <c r="BA913" i="4" s="1"/>
  <c r="AE913" i="4"/>
  <c r="R913" i="4"/>
  <c r="Q913" i="4"/>
  <c r="BE912" i="4"/>
  <c r="AY912" i="4"/>
  <c r="AR912" i="4"/>
  <c r="AK912" i="4"/>
  <c r="AJ912" i="4"/>
  <c r="AF912" i="4"/>
  <c r="AE912" i="4"/>
  <c r="R912" i="4"/>
  <c r="AG912" i="4" s="1"/>
  <c r="BB912" i="4" s="1"/>
  <c r="Q912" i="4"/>
  <c r="BE911" i="4"/>
  <c r="AY911" i="4"/>
  <c r="AR911" i="4"/>
  <c r="AK911" i="4"/>
  <c r="AJ911" i="4"/>
  <c r="AF911" i="4"/>
  <c r="BA911" i="4" s="1"/>
  <c r="AE911" i="4"/>
  <c r="R911" i="4"/>
  <c r="AG911" i="4" s="1"/>
  <c r="BB911" i="4" s="1"/>
  <c r="Q911" i="4"/>
  <c r="BE910" i="4"/>
  <c r="AY910" i="4"/>
  <c r="AR910" i="4"/>
  <c r="AK910" i="4"/>
  <c r="AJ910" i="4"/>
  <c r="AF910" i="4"/>
  <c r="BA910" i="4" s="1"/>
  <c r="AE910" i="4"/>
  <c r="R910" i="4"/>
  <c r="AG910" i="4" s="1"/>
  <c r="BB910" i="4" s="1"/>
  <c r="Q910" i="4"/>
  <c r="BE909" i="4"/>
  <c r="AY909" i="4"/>
  <c r="AR909" i="4"/>
  <c r="AK909" i="4"/>
  <c r="AJ909" i="4"/>
  <c r="AF909" i="4"/>
  <c r="BA909" i="4" s="1"/>
  <c r="AE909" i="4"/>
  <c r="R909" i="4"/>
  <c r="X909" i="4" s="1"/>
  <c r="Q909" i="4"/>
  <c r="BE908" i="4"/>
  <c r="AY908" i="4"/>
  <c r="AR908" i="4"/>
  <c r="AK908" i="4"/>
  <c r="AJ908" i="4"/>
  <c r="AF908" i="4"/>
  <c r="AE908" i="4"/>
  <c r="R908" i="4"/>
  <c r="AG908" i="4" s="1"/>
  <c r="BB908" i="4" s="1"/>
  <c r="Q908" i="4"/>
  <c r="BE907" i="4"/>
  <c r="AY907" i="4"/>
  <c r="AR907" i="4"/>
  <c r="AK907" i="4"/>
  <c r="AJ907" i="4"/>
  <c r="AF907" i="4"/>
  <c r="BA907" i="4" s="1"/>
  <c r="AE907" i="4"/>
  <c r="R907" i="4"/>
  <c r="AG907" i="4" s="1"/>
  <c r="BB907" i="4" s="1"/>
  <c r="Q907" i="4"/>
  <c r="BE906" i="4"/>
  <c r="AY906" i="4"/>
  <c r="AR906" i="4"/>
  <c r="AK906" i="4"/>
  <c r="AJ906" i="4"/>
  <c r="AF906" i="4"/>
  <c r="BA906" i="4" s="1"/>
  <c r="AE906" i="4"/>
  <c r="R906" i="4"/>
  <c r="AG906" i="4" s="1"/>
  <c r="BB906" i="4" s="1"/>
  <c r="Q906" i="4"/>
  <c r="BE905" i="4"/>
  <c r="AY905" i="4"/>
  <c r="AR905" i="4"/>
  <c r="AK905" i="4"/>
  <c r="AJ905" i="4"/>
  <c r="AF905" i="4"/>
  <c r="BA905" i="4" s="1"/>
  <c r="AE905" i="4"/>
  <c r="R905" i="4"/>
  <c r="Q905" i="4"/>
  <c r="BE904" i="4"/>
  <c r="AY904" i="4"/>
  <c r="AR904" i="4"/>
  <c r="AK904" i="4"/>
  <c r="AJ904" i="4"/>
  <c r="AF904" i="4"/>
  <c r="AE904" i="4"/>
  <c r="R904" i="4"/>
  <c r="Q904" i="4"/>
  <c r="BE903" i="4"/>
  <c r="AY903" i="4"/>
  <c r="AR903" i="4"/>
  <c r="AK903" i="4"/>
  <c r="AJ903" i="4"/>
  <c r="AF903" i="4"/>
  <c r="BA903" i="4" s="1"/>
  <c r="AE903" i="4"/>
  <c r="R903" i="4"/>
  <c r="AG903" i="4" s="1"/>
  <c r="BB903" i="4" s="1"/>
  <c r="Q903" i="4"/>
  <c r="BE902" i="4"/>
  <c r="AY902" i="4"/>
  <c r="AR902" i="4"/>
  <c r="AK902" i="4"/>
  <c r="AJ902" i="4"/>
  <c r="AF902" i="4"/>
  <c r="BA902" i="4" s="1"/>
  <c r="AE902" i="4"/>
  <c r="R902" i="4"/>
  <c r="Q902" i="4"/>
  <c r="BE901" i="4"/>
  <c r="AY901" i="4"/>
  <c r="AR901" i="4"/>
  <c r="AK901" i="4"/>
  <c r="AJ901" i="4"/>
  <c r="AF901" i="4"/>
  <c r="BA901" i="4" s="1"/>
  <c r="AE901" i="4"/>
  <c r="R901" i="4"/>
  <c r="X901" i="4" s="1"/>
  <c r="Q901" i="4"/>
  <c r="BE900" i="4"/>
  <c r="AY900" i="4"/>
  <c r="AR900" i="4"/>
  <c r="AK900" i="4"/>
  <c r="AJ900" i="4"/>
  <c r="AF900" i="4"/>
  <c r="AE900" i="4"/>
  <c r="R900" i="4"/>
  <c r="AG900" i="4" s="1"/>
  <c r="BB900" i="4" s="1"/>
  <c r="Q900" i="4"/>
  <c r="BE899" i="4"/>
  <c r="AY899" i="4"/>
  <c r="AR899" i="4"/>
  <c r="AK899" i="4"/>
  <c r="AJ899" i="4"/>
  <c r="AF899" i="4"/>
  <c r="BA899" i="4" s="1"/>
  <c r="AE899" i="4"/>
  <c r="R899" i="4"/>
  <c r="AG899" i="4" s="1"/>
  <c r="BB899" i="4" s="1"/>
  <c r="Q899" i="4"/>
  <c r="BE898" i="4"/>
  <c r="AY898" i="4"/>
  <c r="AR898" i="4"/>
  <c r="AK898" i="4"/>
  <c r="AJ898" i="4"/>
  <c r="AF898" i="4"/>
  <c r="BA898" i="4" s="1"/>
  <c r="AE898" i="4"/>
  <c r="R898" i="4"/>
  <c r="AG898" i="4" s="1"/>
  <c r="BB898" i="4" s="1"/>
  <c r="Q898" i="4"/>
  <c r="BE897" i="4"/>
  <c r="AY897" i="4"/>
  <c r="AR897" i="4"/>
  <c r="AK897" i="4"/>
  <c r="AJ897" i="4"/>
  <c r="AF897" i="4"/>
  <c r="BA897" i="4" s="1"/>
  <c r="AE897" i="4"/>
  <c r="R897" i="4"/>
  <c r="Q897" i="4"/>
  <c r="BE896" i="4"/>
  <c r="AY896" i="4"/>
  <c r="AR896" i="4"/>
  <c r="AK896" i="4"/>
  <c r="AJ896" i="4"/>
  <c r="AF896" i="4"/>
  <c r="AE896" i="4"/>
  <c r="R896" i="4"/>
  <c r="AG896" i="4" s="1"/>
  <c r="BB896" i="4" s="1"/>
  <c r="Q896" i="4"/>
  <c r="BE895" i="4"/>
  <c r="AY895" i="4"/>
  <c r="AR895" i="4"/>
  <c r="AK895" i="4"/>
  <c r="AJ895" i="4"/>
  <c r="AF895" i="4"/>
  <c r="BA895" i="4" s="1"/>
  <c r="AE895" i="4"/>
  <c r="R895" i="4"/>
  <c r="AG895" i="4" s="1"/>
  <c r="BB895" i="4" s="1"/>
  <c r="Q895" i="4"/>
  <c r="BE894" i="4"/>
  <c r="AY894" i="4"/>
  <c r="AR894" i="4"/>
  <c r="AK894" i="4"/>
  <c r="AJ894" i="4"/>
  <c r="AF894" i="4"/>
  <c r="BA894" i="4" s="1"/>
  <c r="AE894" i="4"/>
  <c r="R894" i="4"/>
  <c r="AG894" i="4" s="1"/>
  <c r="BB894" i="4" s="1"/>
  <c r="Q894" i="4"/>
  <c r="BE893" i="4"/>
  <c r="AY893" i="4"/>
  <c r="AR893" i="4"/>
  <c r="AK893" i="4"/>
  <c r="AJ893" i="4"/>
  <c r="AF893" i="4"/>
  <c r="BA893" i="4" s="1"/>
  <c r="AE893" i="4"/>
  <c r="R893" i="4"/>
  <c r="X893" i="4" s="1"/>
  <c r="Q893" i="4"/>
  <c r="AY892" i="4"/>
  <c r="AR892" i="4"/>
  <c r="AJ892" i="4"/>
  <c r="AF892" i="4"/>
  <c r="BA892" i="4" s="1"/>
  <c r="AE892" i="4"/>
  <c r="R892" i="4"/>
  <c r="AG892" i="4" s="1"/>
  <c r="BB892" i="4" s="1"/>
  <c r="BE891" i="4"/>
  <c r="AY891" i="4"/>
  <c r="AR891" i="4"/>
  <c r="AK891" i="4"/>
  <c r="AJ891" i="4"/>
  <c r="AF891" i="4"/>
  <c r="AE891" i="4"/>
  <c r="R891" i="4"/>
  <c r="AG891" i="4" s="1"/>
  <c r="BB891" i="4" s="1"/>
  <c r="Q891" i="4"/>
  <c r="BE890" i="4"/>
  <c r="AY890" i="4"/>
  <c r="AR890" i="4"/>
  <c r="AK890" i="4"/>
  <c r="AJ890" i="4"/>
  <c r="AF890" i="4"/>
  <c r="AE890" i="4"/>
  <c r="R890" i="4"/>
  <c r="AG890" i="4" s="1"/>
  <c r="BB890" i="4" s="1"/>
  <c r="Q890" i="4"/>
  <c r="BE889" i="4"/>
  <c r="AY889" i="4"/>
  <c r="AR889" i="4"/>
  <c r="AK889" i="4"/>
  <c r="AJ889" i="4"/>
  <c r="AF889" i="4"/>
  <c r="BA889" i="4" s="1"/>
  <c r="AE889" i="4"/>
  <c r="R889" i="4"/>
  <c r="AG889" i="4" s="1"/>
  <c r="BB889" i="4" s="1"/>
  <c r="Q889" i="4"/>
  <c r="BE888" i="4"/>
  <c r="AY888" i="4"/>
  <c r="AR888" i="4"/>
  <c r="AK888" i="4"/>
  <c r="AJ888" i="4"/>
  <c r="AF888" i="4"/>
  <c r="BA888" i="4" s="1"/>
  <c r="AE888" i="4"/>
  <c r="R888" i="4"/>
  <c r="Q888" i="4"/>
  <c r="AY887" i="4"/>
  <c r="AR887" i="4"/>
  <c r="AJ887" i="4"/>
  <c r="AG887" i="4"/>
  <c r="BB887" i="4" s="1"/>
  <c r="AF887" i="4"/>
  <c r="BA887" i="4" s="1"/>
  <c r="AE887" i="4"/>
  <c r="X887" i="4"/>
  <c r="Q887" i="4"/>
  <c r="BE886" i="4"/>
  <c r="AY886" i="4"/>
  <c r="AR886" i="4"/>
  <c r="AK886" i="4"/>
  <c r="AJ886" i="4"/>
  <c r="AF886" i="4"/>
  <c r="AE886" i="4"/>
  <c r="R886" i="4"/>
  <c r="Q886" i="4"/>
  <c r="BE885" i="4"/>
  <c r="AY885" i="4"/>
  <c r="AR885" i="4"/>
  <c r="AK885" i="4"/>
  <c r="AJ885" i="4"/>
  <c r="AF885" i="4"/>
  <c r="BA885" i="4" s="1"/>
  <c r="AE885" i="4"/>
  <c r="R885" i="4"/>
  <c r="X885" i="4" s="1"/>
  <c r="Q885" i="4"/>
  <c r="BE884" i="4"/>
  <c r="AY884" i="4"/>
  <c r="AR884" i="4"/>
  <c r="AK884" i="4"/>
  <c r="AJ884" i="4"/>
  <c r="AF884" i="4"/>
  <c r="BA884" i="4" s="1"/>
  <c r="AE884" i="4"/>
  <c r="R884" i="4"/>
  <c r="Q884" i="4"/>
  <c r="BE883" i="4"/>
  <c r="AY883" i="4"/>
  <c r="AR883" i="4"/>
  <c r="AK883" i="4"/>
  <c r="AJ883" i="4"/>
  <c r="AF883" i="4"/>
  <c r="BA883" i="4" s="1"/>
  <c r="AE883" i="4"/>
  <c r="R883" i="4"/>
  <c r="Q883" i="4"/>
  <c r="BE882" i="4"/>
  <c r="AY882" i="4"/>
  <c r="AR882" i="4"/>
  <c r="AK882" i="4"/>
  <c r="AJ882" i="4"/>
  <c r="AF882" i="4"/>
  <c r="BA882" i="4" s="1"/>
  <c r="AE882" i="4"/>
  <c r="R882" i="4"/>
  <c r="AG882" i="4" s="1"/>
  <c r="BB882" i="4" s="1"/>
  <c r="Q882" i="4"/>
  <c r="BE881" i="4"/>
  <c r="AY881" i="4"/>
  <c r="AR881" i="4"/>
  <c r="AK881" i="4"/>
  <c r="AJ881" i="4"/>
  <c r="AF881" i="4"/>
  <c r="AE881" i="4"/>
  <c r="R881" i="4"/>
  <c r="Q881" i="4"/>
  <c r="BE880" i="4"/>
  <c r="AY880" i="4"/>
  <c r="AR880" i="4"/>
  <c r="AK880" i="4"/>
  <c r="AJ880" i="4"/>
  <c r="AF880" i="4"/>
  <c r="BA880" i="4" s="1"/>
  <c r="AE880" i="4"/>
  <c r="R880" i="4"/>
  <c r="AG880" i="4" s="1"/>
  <c r="BB880" i="4" s="1"/>
  <c r="Q880" i="4"/>
  <c r="BE879" i="4"/>
  <c r="AY879" i="4"/>
  <c r="AR879" i="4"/>
  <c r="AK879" i="4"/>
  <c r="AJ879" i="4"/>
  <c r="AF879" i="4"/>
  <c r="BA879" i="4" s="1"/>
  <c r="AE879" i="4"/>
  <c r="R879" i="4"/>
  <c r="Q879" i="4"/>
  <c r="AY878" i="4"/>
  <c r="AR878" i="4"/>
  <c r="AF878" i="4"/>
  <c r="BA878" i="4" s="1"/>
  <c r="AE878" i="4"/>
  <c r="R878" i="4"/>
  <c r="BE877" i="4"/>
  <c r="AY877" i="4"/>
  <c r="AR877" i="4"/>
  <c r="AK877" i="4"/>
  <c r="AJ877" i="4"/>
  <c r="AF877" i="4"/>
  <c r="AE877" i="4"/>
  <c r="R877" i="4"/>
  <c r="X877" i="4" s="1"/>
  <c r="Q877" i="4"/>
  <c r="BE876" i="4"/>
  <c r="AY876" i="4"/>
  <c r="AR876" i="4"/>
  <c r="AK876" i="4"/>
  <c r="AJ876" i="4"/>
  <c r="AF876" i="4"/>
  <c r="BA876" i="4" s="1"/>
  <c r="AE876" i="4"/>
  <c r="R876" i="4"/>
  <c r="Q876" i="4"/>
  <c r="BE875" i="4"/>
  <c r="AY875" i="4"/>
  <c r="AR875" i="4"/>
  <c r="AK875" i="4"/>
  <c r="AJ875" i="4"/>
  <c r="AF875" i="4"/>
  <c r="BA875" i="4" s="1"/>
  <c r="AE875" i="4"/>
  <c r="R875" i="4"/>
  <c r="X875" i="4" s="1"/>
  <c r="Q875" i="4"/>
  <c r="AY874" i="4"/>
  <c r="AR874" i="4"/>
  <c r="AF874" i="4"/>
  <c r="BA874" i="4" s="1"/>
  <c r="AE874" i="4"/>
  <c r="R874" i="4"/>
  <c r="X874" i="4" s="1"/>
  <c r="BE873" i="4"/>
  <c r="AY873" i="4"/>
  <c r="AR873" i="4"/>
  <c r="AK873" i="4"/>
  <c r="AJ873" i="4"/>
  <c r="AF873" i="4"/>
  <c r="BA873" i="4" s="1"/>
  <c r="AE873" i="4"/>
  <c r="R873" i="4"/>
  <c r="Q873" i="4"/>
  <c r="BE872" i="4"/>
  <c r="AY872" i="4"/>
  <c r="AR872" i="4"/>
  <c r="AK872" i="4"/>
  <c r="AJ872" i="4"/>
  <c r="AF872" i="4"/>
  <c r="BA872" i="4" s="1"/>
  <c r="AE872" i="4"/>
  <c r="R872" i="4"/>
  <c r="AG872" i="4" s="1"/>
  <c r="BB872" i="4" s="1"/>
  <c r="Q872" i="4"/>
  <c r="BE871" i="4"/>
  <c r="AY871" i="4"/>
  <c r="AR871" i="4"/>
  <c r="AK871" i="4"/>
  <c r="AJ871" i="4"/>
  <c r="AF871" i="4"/>
  <c r="BA871" i="4" s="1"/>
  <c r="AE871" i="4"/>
  <c r="R871" i="4"/>
  <c r="X871" i="4" s="1"/>
  <c r="Q871" i="4"/>
  <c r="AY870" i="4"/>
  <c r="AR870" i="4"/>
  <c r="AJ870" i="4"/>
  <c r="AF870" i="4"/>
  <c r="BA870" i="4" s="1"/>
  <c r="AE870" i="4"/>
  <c r="R870" i="4"/>
  <c r="AG870" i="4" s="1"/>
  <c r="BB870" i="4" s="1"/>
  <c r="BE869" i="4"/>
  <c r="AY869" i="4"/>
  <c r="AR869" i="4"/>
  <c r="AK869" i="4"/>
  <c r="AJ869" i="4"/>
  <c r="AF869" i="4"/>
  <c r="BA869" i="4" s="1"/>
  <c r="AE869" i="4"/>
  <c r="R869" i="4"/>
  <c r="AG869" i="4" s="1"/>
  <c r="BB869" i="4" s="1"/>
  <c r="Q869" i="4"/>
  <c r="BE868" i="4"/>
  <c r="AY868" i="4"/>
  <c r="AR868" i="4"/>
  <c r="AK868" i="4"/>
  <c r="AJ868" i="4"/>
  <c r="AF868" i="4"/>
  <c r="BA868" i="4" s="1"/>
  <c r="AE868" i="4"/>
  <c r="R868" i="4"/>
  <c r="X868" i="4" s="1"/>
  <c r="Q868" i="4"/>
  <c r="BE867" i="4"/>
  <c r="AY867" i="4"/>
  <c r="AR867" i="4"/>
  <c r="AK867" i="4"/>
  <c r="AJ867" i="4"/>
  <c r="AF867" i="4"/>
  <c r="BA867" i="4" s="1"/>
  <c r="AE867" i="4"/>
  <c r="R867" i="4"/>
  <c r="AG867" i="4" s="1"/>
  <c r="BB867" i="4" s="1"/>
  <c r="Q867" i="4"/>
  <c r="BE866" i="4"/>
  <c r="AY866" i="4"/>
  <c r="AR866" i="4"/>
  <c r="AK866" i="4"/>
  <c r="AJ866" i="4"/>
  <c r="AF866" i="4"/>
  <c r="BA866" i="4" s="1"/>
  <c r="AE866" i="4"/>
  <c r="R866" i="4"/>
  <c r="AG866" i="4" s="1"/>
  <c r="Q866" i="4"/>
  <c r="BE865" i="4"/>
  <c r="AY865" i="4"/>
  <c r="AR865" i="4"/>
  <c r="AK865" i="4"/>
  <c r="AJ865" i="4"/>
  <c r="AF865" i="4"/>
  <c r="BA865" i="4" s="1"/>
  <c r="AE865" i="4"/>
  <c r="R865" i="4"/>
  <c r="X865" i="4" s="1"/>
  <c r="Q865" i="4"/>
  <c r="BE864" i="4"/>
  <c r="AY864" i="4"/>
  <c r="AR864" i="4"/>
  <c r="AK864" i="4"/>
  <c r="AJ864" i="4"/>
  <c r="AF864" i="4"/>
  <c r="AE864" i="4"/>
  <c r="R864" i="4"/>
  <c r="X864" i="4" s="1"/>
  <c r="Q864" i="4"/>
  <c r="BE863" i="4"/>
  <c r="AY863" i="4"/>
  <c r="AR863" i="4"/>
  <c r="AK863" i="4"/>
  <c r="AJ863" i="4"/>
  <c r="AF863" i="4"/>
  <c r="AE863" i="4"/>
  <c r="R863" i="4"/>
  <c r="Q863" i="4"/>
  <c r="BE862" i="4"/>
  <c r="AY862" i="4"/>
  <c r="AR862" i="4"/>
  <c r="AK862" i="4"/>
  <c r="AJ862" i="4"/>
  <c r="AF862" i="4"/>
  <c r="BA862" i="4" s="1"/>
  <c r="AE862" i="4"/>
  <c r="R862" i="4"/>
  <c r="X862" i="4" s="1"/>
  <c r="Q862" i="4"/>
  <c r="BE861" i="4"/>
  <c r="AY861" i="4"/>
  <c r="AR861" i="4"/>
  <c r="AK861" i="4"/>
  <c r="AJ861" i="4"/>
  <c r="AF861" i="4"/>
  <c r="BA861" i="4" s="1"/>
  <c r="AE861" i="4"/>
  <c r="R861" i="4"/>
  <c r="AG861" i="4" s="1"/>
  <c r="BB861" i="4" s="1"/>
  <c r="Q861" i="4"/>
  <c r="BE860" i="4"/>
  <c r="AY860" i="4"/>
  <c r="AR860" i="4"/>
  <c r="AK860" i="4"/>
  <c r="AJ860" i="4"/>
  <c r="AF860" i="4"/>
  <c r="BA860" i="4" s="1"/>
  <c r="AE860" i="4"/>
  <c r="R860" i="4"/>
  <c r="X860" i="4" s="1"/>
  <c r="Q860" i="4"/>
  <c r="BE859" i="4"/>
  <c r="AY859" i="4"/>
  <c r="AR859" i="4"/>
  <c r="AK859" i="4"/>
  <c r="AJ859" i="4"/>
  <c r="AF859" i="4"/>
  <c r="AE859" i="4"/>
  <c r="R859" i="4"/>
  <c r="AG859" i="4" s="1"/>
  <c r="BB859" i="4" s="1"/>
  <c r="Q859" i="4"/>
  <c r="BE858" i="4"/>
  <c r="AY858" i="4"/>
  <c r="AR858" i="4"/>
  <c r="AK858" i="4"/>
  <c r="AJ858" i="4"/>
  <c r="AF858" i="4"/>
  <c r="BA858" i="4" s="1"/>
  <c r="AE858" i="4"/>
  <c r="R858" i="4"/>
  <c r="Q858" i="4"/>
  <c r="BE857" i="4"/>
  <c r="AY857" i="4"/>
  <c r="AR857" i="4"/>
  <c r="AK857" i="4"/>
  <c r="AJ857" i="4"/>
  <c r="AF857" i="4"/>
  <c r="BA857" i="4" s="1"/>
  <c r="AE857" i="4"/>
  <c r="R857" i="4"/>
  <c r="Q857" i="4"/>
  <c r="BE856" i="4"/>
  <c r="AY856" i="4"/>
  <c r="AR856" i="4"/>
  <c r="AK856" i="4"/>
  <c r="AJ856" i="4"/>
  <c r="AF856" i="4"/>
  <c r="AE856" i="4"/>
  <c r="R856" i="4"/>
  <c r="X856" i="4" s="1"/>
  <c r="Q856" i="4"/>
  <c r="BE855" i="4"/>
  <c r="AY855" i="4"/>
  <c r="AR855" i="4"/>
  <c r="AK855" i="4"/>
  <c r="AJ855" i="4"/>
  <c r="AF855" i="4"/>
  <c r="AE855" i="4"/>
  <c r="R855" i="4"/>
  <c r="AG855" i="4" s="1"/>
  <c r="BB855" i="4" s="1"/>
  <c r="Q855" i="4"/>
  <c r="BE854" i="4"/>
  <c r="AY854" i="4"/>
  <c r="AR854" i="4"/>
  <c r="AK854" i="4"/>
  <c r="AJ854" i="4"/>
  <c r="AF854" i="4"/>
  <c r="BA854" i="4" s="1"/>
  <c r="AE854" i="4"/>
  <c r="R854" i="4"/>
  <c r="Q854" i="4"/>
  <c r="BE853" i="4"/>
  <c r="AY853" i="4"/>
  <c r="AR853" i="4"/>
  <c r="AK853" i="4"/>
  <c r="AJ853" i="4"/>
  <c r="AF853" i="4"/>
  <c r="BA853" i="4" s="1"/>
  <c r="AE853" i="4"/>
  <c r="R853" i="4"/>
  <c r="Q853" i="4"/>
  <c r="BE852" i="4"/>
  <c r="AY852" i="4"/>
  <c r="AR852" i="4"/>
  <c r="AK852" i="4"/>
  <c r="AJ852" i="4"/>
  <c r="AF852" i="4"/>
  <c r="AE852" i="4"/>
  <c r="R852" i="4"/>
  <c r="X852" i="4" s="1"/>
  <c r="Q852" i="4"/>
  <c r="BE851" i="4"/>
  <c r="AY851" i="4"/>
  <c r="AR851" i="4"/>
  <c r="AK851" i="4"/>
  <c r="AJ851" i="4"/>
  <c r="AF851" i="4"/>
  <c r="BA851" i="4" s="1"/>
  <c r="AE851" i="4"/>
  <c r="R851" i="4"/>
  <c r="AG851" i="4" s="1"/>
  <c r="BB851" i="4" s="1"/>
  <c r="Q851" i="4"/>
  <c r="BE850" i="4"/>
  <c r="AY850" i="4"/>
  <c r="AR850" i="4"/>
  <c r="AK850" i="4"/>
  <c r="AJ850" i="4"/>
  <c r="AF850" i="4"/>
  <c r="BA850" i="4" s="1"/>
  <c r="AE850" i="4"/>
  <c r="R850" i="4"/>
  <c r="AG850" i="4" s="1"/>
  <c r="BB850" i="4" s="1"/>
  <c r="Q850" i="4"/>
  <c r="BE849" i="4"/>
  <c r="AY849" i="4"/>
  <c r="AR849" i="4"/>
  <c r="AK849" i="4"/>
  <c r="AJ849" i="4"/>
  <c r="AF849" i="4"/>
  <c r="BA849" i="4" s="1"/>
  <c r="AE849" i="4"/>
  <c r="R849" i="4"/>
  <c r="X849" i="4" s="1"/>
  <c r="Q849" i="4"/>
  <c r="BE848" i="4"/>
  <c r="AY848" i="4"/>
  <c r="AR848" i="4"/>
  <c r="AK848" i="4"/>
  <c r="AJ848" i="4"/>
  <c r="AF848" i="4"/>
  <c r="AE848" i="4"/>
  <c r="R848" i="4"/>
  <c r="X848" i="4" s="1"/>
  <c r="Q848" i="4"/>
  <c r="BE847" i="4"/>
  <c r="AY847" i="4"/>
  <c r="AR847" i="4"/>
  <c r="AK847" i="4"/>
  <c r="AJ847" i="4"/>
  <c r="AF847" i="4"/>
  <c r="BA847" i="4" s="1"/>
  <c r="AE847" i="4"/>
  <c r="R847" i="4"/>
  <c r="AG847" i="4" s="1"/>
  <c r="BB847" i="4" s="1"/>
  <c r="Q847" i="4"/>
  <c r="BE846" i="4"/>
  <c r="AY846" i="4"/>
  <c r="AR846" i="4"/>
  <c r="AK846" i="4"/>
  <c r="AJ846" i="4"/>
  <c r="AF846" i="4"/>
  <c r="BA846" i="4" s="1"/>
  <c r="AE846" i="4"/>
  <c r="R846" i="4"/>
  <c r="AG846" i="4" s="1"/>
  <c r="BB846" i="4" s="1"/>
  <c r="Q846" i="4"/>
  <c r="BE845" i="4"/>
  <c r="AY845" i="4"/>
  <c r="AR845" i="4"/>
  <c r="AK845" i="4"/>
  <c r="AJ845" i="4"/>
  <c r="AF845" i="4"/>
  <c r="BA845" i="4" s="1"/>
  <c r="AE845" i="4"/>
  <c r="R845" i="4"/>
  <c r="X845" i="4" s="1"/>
  <c r="Q845" i="4"/>
  <c r="BE844" i="4"/>
  <c r="AY844" i="4"/>
  <c r="AR844" i="4"/>
  <c r="AK844" i="4"/>
  <c r="AJ844" i="4"/>
  <c r="AF844" i="4"/>
  <c r="AE844" i="4"/>
  <c r="R844" i="4"/>
  <c r="X844" i="4" s="1"/>
  <c r="Q844" i="4"/>
  <c r="BE843" i="4"/>
  <c r="AY843" i="4"/>
  <c r="AR843" i="4"/>
  <c r="AK843" i="4"/>
  <c r="AJ843" i="4"/>
  <c r="AF843" i="4"/>
  <c r="AE843" i="4"/>
  <c r="R843" i="4"/>
  <c r="AG843" i="4" s="1"/>
  <c r="BB843" i="4" s="1"/>
  <c r="Q843" i="4"/>
  <c r="AY842" i="4"/>
  <c r="AR842" i="4"/>
  <c r="AF842" i="4"/>
  <c r="BA842" i="4" s="1"/>
  <c r="AE842" i="4"/>
  <c r="R842" i="4"/>
  <c r="AG842" i="4" s="1"/>
  <c r="BB842" i="4" s="1"/>
  <c r="AY841" i="4"/>
  <c r="AR841" i="4"/>
  <c r="AF841" i="4"/>
  <c r="BA841" i="4" s="1"/>
  <c r="AE841" i="4"/>
  <c r="R841" i="4"/>
  <c r="AG841" i="4" s="1"/>
  <c r="BB841" i="4" s="1"/>
  <c r="AY840" i="4"/>
  <c r="AR840" i="4"/>
  <c r="AF840" i="4"/>
  <c r="BA840" i="4" s="1"/>
  <c r="AE840" i="4"/>
  <c r="R840" i="4"/>
  <c r="AY839" i="4"/>
  <c r="AR839" i="4"/>
  <c r="AF839" i="4"/>
  <c r="AE839" i="4"/>
  <c r="R839" i="4"/>
  <c r="X839" i="4" s="1"/>
  <c r="AY838" i="4"/>
  <c r="AR838" i="4"/>
  <c r="AF838" i="4"/>
  <c r="BA838" i="4" s="1"/>
  <c r="AE838" i="4"/>
  <c r="R838" i="4"/>
  <c r="AG838" i="4" s="1"/>
  <c r="BB838" i="4" s="1"/>
  <c r="AY837" i="4"/>
  <c r="AR837" i="4"/>
  <c r="AF837" i="4"/>
  <c r="BA837" i="4" s="1"/>
  <c r="AE837" i="4"/>
  <c r="R837" i="4"/>
  <c r="AY836" i="4"/>
  <c r="AR836" i="4"/>
  <c r="AF836" i="4"/>
  <c r="BA836" i="4" s="1"/>
  <c r="AE836" i="4"/>
  <c r="R836" i="4"/>
  <c r="BE835" i="4"/>
  <c r="AY835" i="4"/>
  <c r="AR835" i="4"/>
  <c r="AK835" i="4"/>
  <c r="AJ835" i="4"/>
  <c r="AF835" i="4"/>
  <c r="AE835" i="4"/>
  <c r="R835" i="4"/>
  <c r="AG835" i="4" s="1"/>
  <c r="BB835" i="4" s="1"/>
  <c r="Q835" i="4"/>
  <c r="BE834" i="4"/>
  <c r="AY834" i="4"/>
  <c r="AR834" i="4"/>
  <c r="AK834" i="4"/>
  <c r="AJ834" i="4"/>
  <c r="AF834" i="4"/>
  <c r="BA834" i="4" s="1"/>
  <c r="AE834" i="4"/>
  <c r="R834" i="4"/>
  <c r="Q834" i="4"/>
  <c r="BE833" i="4"/>
  <c r="AY833" i="4"/>
  <c r="AR833" i="4"/>
  <c r="AK833" i="4"/>
  <c r="AJ833" i="4"/>
  <c r="AF833" i="4"/>
  <c r="BA833" i="4" s="1"/>
  <c r="AE833" i="4"/>
  <c r="R833" i="4"/>
  <c r="X833" i="4" s="1"/>
  <c r="Q833" i="4"/>
  <c r="AY832" i="4"/>
  <c r="AR832" i="4"/>
  <c r="AF832" i="4"/>
  <c r="BA832" i="4" s="1"/>
  <c r="AE832" i="4"/>
  <c r="R832" i="4"/>
  <c r="X832" i="4" s="1"/>
  <c r="BE831" i="4"/>
  <c r="AY831" i="4"/>
  <c r="AR831" i="4"/>
  <c r="AJ831" i="4"/>
  <c r="AF831" i="4"/>
  <c r="BA831" i="4" s="1"/>
  <c r="AE831" i="4"/>
  <c r="R831" i="4"/>
  <c r="Q831" i="4"/>
  <c r="AY830" i="4"/>
  <c r="AR830" i="4"/>
  <c r="AF830" i="4"/>
  <c r="BA830" i="4" s="1"/>
  <c r="AE830" i="4"/>
  <c r="R830" i="4"/>
  <c r="BE829" i="4"/>
  <c r="AY829" i="4"/>
  <c r="AR829" i="4"/>
  <c r="AK829" i="4"/>
  <c r="AJ829" i="4"/>
  <c r="AF829" i="4"/>
  <c r="AE829" i="4"/>
  <c r="R829" i="4"/>
  <c r="X829" i="4" s="1"/>
  <c r="Q829" i="4"/>
  <c r="BE828" i="4"/>
  <c r="AY828" i="4"/>
  <c r="AR828" i="4"/>
  <c r="AK828" i="4"/>
  <c r="AJ828" i="4"/>
  <c r="AF828" i="4"/>
  <c r="BA828" i="4" s="1"/>
  <c r="AE828" i="4"/>
  <c r="R828" i="4"/>
  <c r="AG828" i="4" s="1"/>
  <c r="BB828" i="4" s="1"/>
  <c r="Q828" i="4"/>
  <c r="BE827" i="4"/>
  <c r="AY827" i="4"/>
  <c r="AR827" i="4"/>
  <c r="AK827" i="4"/>
  <c r="AJ827" i="4"/>
  <c r="AF827" i="4"/>
  <c r="BA827" i="4" s="1"/>
  <c r="AE827" i="4"/>
  <c r="R827" i="4"/>
  <c r="Q827" i="4"/>
  <c r="BE826" i="4"/>
  <c r="AY826" i="4"/>
  <c r="AR826" i="4"/>
  <c r="AK826" i="4"/>
  <c r="AJ826" i="4"/>
  <c r="AF826" i="4"/>
  <c r="BA826" i="4" s="1"/>
  <c r="AE826" i="4"/>
  <c r="R826" i="4"/>
  <c r="Q826" i="4"/>
  <c r="BE825" i="4"/>
  <c r="AY825" i="4"/>
  <c r="AR825" i="4"/>
  <c r="AK825" i="4"/>
  <c r="AJ825" i="4"/>
  <c r="AF825" i="4"/>
  <c r="AE825" i="4"/>
  <c r="R825" i="4"/>
  <c r="X825" i="4" s="1"/>
  <c r="Q825" i="4"/>
  <c r="BE824" i="4"/>
  <c r="AY824" i="4"/>
  <c r="AR824" i="4"/>
  <c r="AK824" i="4"/>
  <c r="AJ824" i="4"/>
  <c r="AF824" i="4"/>
  <c r="BA824" i="4" s="1"/>
  <c r="AE824" i="4"/>
  <c r="R824" i="4"/>
  <c r="AG824" i="4" s="1"/>
  <c r="BB824" i="4" s="1"/>
  <c r="Q824" i="4"/>
  <c r="AY823" i="4"/>
  <c r="AR823" i="4"/>
  <c r="AF823" i="4"/>
  <c r="BA823" i="4" s="1"/>
  <c r="AE823" i="4"/>
  <c r="R823" i="4"/>
  <c r="AG823" i="4" s="1"/>
  <c r="BB823" i="4" s="1"/>
  <c r="AY822" i="4"/>
  <c r="AR822" i="4"/>
  <c r="AF822" i="4"/>
  <c r="BA822" i="4" s="1"/>
  <c r="AE822" i="4"/>
  <c r="R822" i="4"/>
  <c r="AG822" i="4" s="1"/>
  <c r="BB822" i="4" s="1"/>
  <c r="AY821" i="4"/>
  <c r="AR821" i="4"/>
  <c r="AF821" i="4"/>
  <c r="BA821" i="4" s="1"/>
  <c r="AE821" i="4"/>
  <c r="R821" i="4"/>
  <c r="X821" i="4" s="1"/>
  <c r="BE820" i="4"/>
  <c r="AY820" i="4"/>
  <c r="AR820" i="4"/>
  <c r="AJ820" i="4"/>
  <c r="AF820" i="4"/>
  <c r="BA820" i="4" s="1"/>
  <c r="AE820" i="4"/>
  <c r="R820" i="4"/>
  <c r="AG820" i="4" s="1"/>
  <c r="BB820" i="4" s="1"/>
  <c r="Q820" i="4"/>
  <c r="BE819" i="4"/>
  <c r="AY819" i="4"/>
  <c r="AR819" i="4"/>
  <c r="AJ819" i="4"/>
  <c r="AF819" i="4"/>
  <c r="AE819" i="4"/>
  <c r="R819" i="4"/>
  <c r="X819" i="4" s="1"/>
  <c r="Q819" i="4"/>
  <c r="AY818" i="4"/>
  <c r="AR818" i="4"/>
  <c r="AF818" i="4"/>
  <c r="AE818" i="4"/>
  <c r="R818" i="4"/>
  <c r="X818" i="4" s="1"/>
  <c r="AY817" i="4"/>
  <c r="AR817" i="4"/>
  <c r="AF817" i="4"/>
  <c r="BA817" i="4" s="1"/>
  <c r="AE817" i="4"/>
  <c r="R817" i="4"/>
  <c r="AG817" i="4" s="1"/>
  <c r="BB817" i="4" s="1"/>
  <c r="AY816" i="4"/>
  <c r="AR816" i="4"/>
  <c r="AF816" i="4"/>
  <c r="BA816" i="4" s="1"/>
  <c r="AE816" i="4"/>
  <c r="R816" i="4"/>
  <c r="BE815" i="4"/>
  <c r="AY815" i="4"/>
  <c r="AR815" i="4"/>
  <c r="AK815" i="4"/>
  <c r="AJ815" i="4"/>
  <c r="AF815" i="4"/>
  <c r="AE815" i="4"/>
  <c r="R815" i="4"/>
  <c r="X815" i="4" s="1"/>
  <c r="Q815" i="4"/>
  <c r="BE814" i="4"/>
  <c r="AY814" i="4"/>
  <c r="AR814" i="4"/>
  <c r="AK814" i="4"/>
  <c r="AJ814" i="4"/>
  <c r="AF814" i="4"/>
  <c r="BA814" i="4" s="1"/>
  <c r="AE814" i="4"/>
  <c r="R814" i="4"/>
  <c r="AG814" i="4" s="1"/>
  <c r="BB814" i="4" s="1"/>
  <c r="Q814" i="4"/>
  <c r="BE813" i="4"/>
  <c r="AY813" i="4"/>
  <c r="AR813" i="4"/>
  <c r="AK813" i="4"/>
  <c r="AJ813" i="4"/>
  <c r="AF813" i="4"/>
  <c r="BA813" i="4" s="1"/>
  <c r="AE813" i="4"/>
  <c r="R813" i="4"/>
  <c r="AG813" i="4" s="1"/>
  <c r="BB813" i="4" s="1"/>
  <c r="Q813" i="4"/>
  <c r="BE812" i="4"/>
  <c r="AY812" i="4"/>
  <c r="AR812" i="4"/>
  <c r="AK812" i="4"/>
  <c r="AJ812" i="4"/>
  <c r="AF812" i="4"/>
  <c r="BA812" i="4" s="1"/>
  <c r="AE812" i="4"/>
  <c r="R812" i="4"/>
  <c r="Q812" i="4"/>
  <c r="AY811" i="4"/>
  <c r="AR811" i="4"/>
  <c r="AF811" i="4"/>
  <c r="BA811" i="4" s="1"/>
  <c r="AE811" i="4"/>
  <c r="R811" i="4"/>
  <c r="AY810" i="4"/>
  <c r="AR810" i="4"/>
  <c r="AF810" i="4"/>
  <c r="AE810" i="4"/>
  <c r="R810" i="4"/>
  <c r="X810" i="4" s="1"/>
  <c r="AY809" i="4"/>
  <c r="AR809" i="4"/>
  <c r="AF809" i="4"/>
  <c r="BA809" i="4" s="1"/>
  <c r="AE809" i="4"/>
  <c r="R809" i="4"/>
  <c r="AG809" i="4" s="1"/>
  <c r="BB809" i="4" s="1"/>
  <c r="AY808" i="4"/>
  <c r="AR808" i="4"/>
  <c r="AF808" i="4"/>
  <c r="BA808" i="4" s="1"/>
  <c r="AE808" i="4"/>
  <c r="R808" i="4"/>
  <c r="AY807" i="4"/>
  <c r="AR807" i="4"/>
  <c r="AF807" i="4"/>
  <c r="BA807" i="4" s="1"/>
  <c r="AE807" i="4"/>
  <c r="R807" i="4"/>
  <c r="AY806" i="4"/>
  <c r="AR806" i="4"/>
  <c r="AF806" i="4"/>
  <c r="AE806" i="4"/>
  <c r="R806" i="4"/>
  <c r="X806" i="4" s="1"/>
  <c r="AY805" i="4"/>
  <c r="AR805" i="4"/>
  <c r="AF805" i="4"/>
  <c r="BA805" i="4" s="1"/>
  <c r="AE805" i="4"/>
  <c r="R805" i="4"/>
  <c r="AG805" i="4" s="1"/>
  <c r="BB805" i="4" s="1"/>
  <c r="AY804" i="4"/>
  <c r="AR804" i="4"/>
  <c r="AF804" i="4"/>
  <c r="BA804" i="4" s="1"/>
  <c r="AE804" i="4"/>
  <c r="R804" i="4"/>
  <c r="AY803" i="4"/>
  <c r="AR803" i="4"/>
  <c r="AF803" i="4"/>
  <c r="BA803" i="4" s="1"/>
  <c r="AE803" i="4"/>
  <c r="R803" i="4"/>
  <c r="AY802" i="4"/>
  <c r="AR802" i="4"/>
  <c r="AF802" i="4"/>
  <c r="AE802" i="4"/>
  <c r="R802" i="4"/>
  <c r="X802" i="4" s="1"/>
  <c r="AY801" i="4"/>
  <c r="AR801" i="4"/>
  <c r="AF801" i="4"/>
  <c r="BA801" i="4" s="1"/>
  <c r="AE801" i="4"/>
  <c r="R801" i="4"/>
  <c r="AG801" i="4" s="1"/>
  <c r="BB801" i="4" s="1"/>
  <c r="AY800" i="4"/>
  <c r="AR800" i="4"/>
  <c r="AF800" i="4"/>
  <c r="BA800" i="4" s="1"/>
  <c r="AE800" i="4"/>
  <c r="R800" i="4"/>
  <c r="AG800" i="4" s="1"/>
  <c r="BB800" i="4" s="1"/>
  <c r="AY799" i="4"/>
  <c r="AR799" i="4"/>
  <c r="AF799" i="4"/>
  <c r="BA799" i="4" s="1"/>
  <c r="AE799" i="4"/>
  <c r="R799" i="4"/>
  <c r="AY798" i="4"/>
  <c r="AR798" i="4"/>
  <c r="AF798" i="4"/>
  <c r="AE798" i="4"/>
  <c r="R798" i="4"/>
  <c r="X798" i="4" s="1"/>
  <c r="AY797" i="4"/>
  <c r="AR797" i="4"/>
  <c r="AF797" i="4"/>
  <c r="BA797" i="4" s="1"/>
  <c r="AE797" i="4"/>
  <c r="R797" i="4"/>
  <c r="AG797" i="4" s="1"/>
  <c r="AY796" i="4"/>
  <c r="AR796" i="4"/>
  <c r="AF796" i="4"/>
  <c r="BA796" i="4" s="1"/>
  <c r="AE796" i="4"/>
  <c r="R796" i="4"/>
  <c r="X796" i="4" s="1"/>
  <c r="AY795" i="4"/>
  <c r="AR795" i="4"/>
  <c r="AF795" i="4"/>
  <c r="AE795" i="4"/>
  <c r="R795" i="4"/>
  <c r="X795" i="4" s="1"/>
  <c r="AY794" i="4"/>
  <c r="AR794" i="4"/>
  <c r="AF794" i="4"/>
  <c r="BA794" i="4" s="1"/>
  <c r="AE794" i="4"/>
  <c r="R794" i="4"/>
  <c r="AG794" i="4" s="1"/>
  <c r="BB794" i="4" s="1"/>
  <c r="AY793" i="4"/>
  <c r="AR793" i="4"/>
  <c r="AF793" i="4"/>
  <c r="BA793" i="4" s="1"/>
  <c r="AE793" i="4"/>
  <c r="R793" i="4"/>
  <c r="AY792" i="4"/>
  <c r="AR792" i="4"/>
  <c r="AF792" i="4"/>
  <c r="BA792" i="4" s="1"/>
  <c r="AE792" i="4"/>
  <c r="R792" i="4"/>
  <c r="AY791" i="4"/>
  <c r="AR791" i="4"/>
  <c r="AF791" i="4"/>
  <c r="AE791" i="4"/>
  <c r="R791" i="4"/>
  <c r="X791" i="4" s="1"/>
  <c r="AY790" i="4"/>
  <c r="AR790" i="4"/>
  <c r="AF790" i="4"/>
  <c r="AE790" i="4"/>
  <c r="R790" i="4"/>
  <c r="AG790" i="4" s="1"/>
  <c r="BB790" i="4" s="1"/>
  <c r="AY789" i="4"/>
  <c r="AR789" i="4"/>
  <c r="AF789" i="4"/>
  <c r="BA789" i="4" s="1"/>
  <c r="AE789" i="4"/>
  <c r="R789" i="4"/>
  <c r="AY788" i="4"/>
  <c r="AR788" i="4"/>
  <c r="AF788" i="4"/>
  <c r="BA788" i="4" s="1"/>
  <c r="AE788" i="4"/>
  <c r="R788" i="4"/>
  <c r="AG788" i="4" s="1"/>
  <c r="AY787" i="4"/>
  <c r="AR787" i="4"/>
  <c r="AF787" i="4"/>
  <c r="AE787" i="4"/>
  <c r="R787" i="4"/>
  <c r="AY786" i="4"/>
  <c r="AR786" i="4"/>
  <c r="AF786" i="4"/>
  <c r="AE786" i="4"/>
  <c r="R786" i="4"/>
  <c r="AG786" i="4" s="1"/>
  <c r="BB786" i="4" s="1"/>
  <c r="AY785" i="4"/>
  <c r="AR785" i="4"/>
  <c r="AF785" i="4"/>
  <c r="BA785" i="4" s="1"/>
  <c r="AE785" i="4"/>
  <c r="R785" i="4"/>
  <c r="AY784" i="4"/>
  <c r="AR784" i="4"/>
  <c r="AF784" i="4"/>
  <c r="BA784" i="4" s="1"/>
  <c r="AE784" i="4"/>
  <c r="R784" i="4"/>
  <c r="AG784" i="4" s="1"/>
  <c r="AY783" i="4"/>
  <c r="AR783" i="4"/>
  <c r="AF783" i="4"/>
  <c r="AE783" i="4"/>
  <c r="R783" i="4"/>
  <c r="X783" i="4" s="1"/>
  <c r="AY782" i="4"/>
  <c r="AR782" i="4"/>
  <c r="AF782" i="4"/>
  <c r="AE782" i="4"/>
  <c r="R782" i="4"/>
  <c r="AG782" i="4" s="1"/>
  <c r="BB782" i="4" s="1"/>
  <c r="AY781" i="4"/>
  <c r="AR781" i="4"/>
  <c r="AF781" i="4"/>
  <c r="BA781" i="4" s="1"/>
  <c r="AE781" i="4"/>
  <c r="R781" i="4"/>
  <c r="AY780" i="4"/>
  <c r="AR780" i="4"/>
  <c r="AF780" i="4"/>
  <c r="BA780" i="4" s="1"/>
  <c r="AE780" i="4"/>
  <c r="R780" i="4"/>
  <c r="AG780" i="4" s="1"/>
  <c r="AY779" i="4"/>
  <c r="AR779" i="4"/>
  <c r="AF779" i="4"/>
  <c r="AE779" i="4"/>
  <c r="R779" i="4"/>
  <c r="AG779" i="4" s="1"/>
  <c r="BB779" i="4" s="1"/>
  <c r="AY778" i="4"/>
  <c r="AR778" i="4"/>
  <c r="AF778" i="4"/>
  <c r="AE778" i="4"/>
  <c r="R778" i="4"/>
  <c r="AY777" i="4"/>
  <c r="AR777" i="4"/>
  <c r="AF777" i="4"/>
  <c r="AE777" i="4"/>
  <c r="R777" i="4"/>
  <c r="AG777" i="4" s="1"/>
  <c r="BB777" i="4" s="1"/>
  <c r="AY776" i="4"/>
  <c r="AR776" i="4"/>
  <c r="AF776" i="4"/>
  <c r="BA776" i="4" s="1"/>
  <c r="AE776" i="4"/>
  <c r="R776" i="4"/>
  <c r="AG776" i="4" s="1"/>
  <c r="AY775" i="4"/>
  <c r="AR775" i="4"/>
  <c r="AF775" i="4"/>
  <c r="BA775" i="4" s="1"/>
  <c r="AE775" i="4"/>
  <c r="R775" i="4"/>
  <c r="AY774" i="4"/>
  <c r="AR774" i="4"/>
  <c r="AF774" i="4"/>
  <c r="AE774" i="4"/>
  <c r="R774" i="4"/>
  <c r="AY773" i="4"/>
  <c r="AR773" i="4"/>
  <c r="AF773" i="4"/>
  <c r="BA773" i="4" s="1"/>
  <c r="AE773" i="4"/>
  <c r="R773" i="4"/>
  <c r="AY772" i="4"/>
  <c r="AR772" i="4"/>
  <c r="AF772" i="4"/>
  <c r="BA772" i="4" s="1"/>
  <c r="AE772" i="4"/>
  <c r="R772" i="4"/>
  <c r="X772" i="4" s="1"/>
  <c r="AY771" i="4"/>
  <c r="AR771" i="4"/>
  <c r="AF771" i="4"/>
  <c r="BA771" i="4" s="1"/>
  <c r="AE771" i="4"/>
  <c r="R771" i="4"/>
  <c r="AG771" i="4" s="1"/>
  <c r="BB771" i="4" s="1"/>
  <c r="AY770" i="4"/>
  <c r="AR770" i="4"/>
  <c r="AF770" i="4"/>
  <c r="AE770" i="4"/>
  <c r="R770" i="4"/>
  <c r="X770" i="4" s="1"/>
  <c r="AY769" i="4"/>
  <c r="AR769" i="4"/>
  <c r="AF769" i="4"/>
  <c r="AE769" i="4"/>
  <c r="R769" i="4"/>
  <c r="AY768" i="4"/>
  <c r="AR768" i="4"/>
  <c r="AF768" i="4"/>
  <c r="BA768" i="4" s="1"/>
  <c r="AE768" i="4"/>
  <c r="R768" i="4"/>
  <c r="AG768" i="4" s="1"/>
  <c r="AY767" i="4"/>
  <c r="AR767" i="4"/>
  <c r="AF767" i="4"/>
  <c r="BA767" i="4" s="1"/>
  <c r="AE767" i="4"/>
  <c r="R767" i="4"/>
  <c r="X767" i="4" s="1"/>
  <c r="AY766" i="4"/>
  <c r="AR766" i="4"/>
  <c r="AF766" i="4"/>
  <c r="AE766" i="4"/>
  <c r="R766" i="4"/>
  <c r="AY765" i="4"/>
  <c r="AR765" i="4"/>
  <c r="AF765" i="4"/>
  <c r="BA765" i="4" s="1"/>
  <c r="AE765" i="4"/>
  <c r="R765" i="4"/>
  <c r="AG765" i="4" s="1"/>
  <c r="BB765" i="4" s="1"/>
  <c r="AY764" i="4"/>
  <c r="AR764" i="4"/>
  <c r="AF764" i="4"/>
  <c r="BA764" i="4" s="1"/>
  <c r="AE764" i="4"/>
  <c r="R764" i="4"/>
  <c r="AY763" i="4"/>
  <c r="AR763" i="4"/>
  <c r="AF763" i="4"/>
  <c r="BA763" i="4" s="1"/>
  <c r="AE763" i="4"/>
  <c r="R763" i="4"/>
  <c r="AG763" i="4" s="1"/>
  <c r="BB763" i="4" s="1"/>
  <c r="AY762" i="4"/>
  <c r="AR762" i="4"/>
  <c r="AF762" i="4"/>
  <c r="AE762" i="4"/>
  <c r="R762" i="4"/>
  <c r="X762" i="4" s="1"/>
  <c r="AY761" i="4"/>
  <c r="AR761" i="4"/>
  <c r="AF761" i="4"/>
  <c r="AE761" i="4"/>
  <c r="R761" i="4"/>
  <c r="AY760" i="4"/>
  <c r="AR760" i="4"/>
  <c r="AF760" i="4"/>
  <c r="BA760" i="4" s="1"/>
  <c r="AE760" i="4"/>
  <c r="R760" i="4"/>
  <c r="AG760" i="4" s="1"/>
  <c r="BE759" i="4"/>
  <c r="AY759" i="4"/>
  <c r="AR759" i="4"/>
  <c r="AJ759" i="4"/>
  <c r="AF759" i="4"/>
  <c r="BA759" i="4" s="1"/>
  <c r="AE759" i="4"/>
  <c r="R759" i="4"/>
  <c r="Q759" i="4"/>
  <c r="BE758" i="4"/>
  <c r="AY758" i="4"/>
  <c r="AR758" i="4"/>
  <c r="AJ758" i="4"/>
  <c r="AF758" i="4"/>
  <c r="AE758" i="4"/>
  <c r="R758" i="4"/>
  <c r="X758" i="4" s="1"/>
  <c r="Q758" i="4"/>
  <c r="AY757" i="4"/>
  <c r="AR757" i="4"/>
  <c r="AF757" i="4"/>
  <c r="AE757" i="4"/>
  <c r="R757" i="4"/>
  <c r="X757" i="4" s="1"/>
  <c r="AY756" i="4"/>
  <c r="AR756" i="4"/>
  <c r="AF756" i="4"/>
  <c r="BA756" i="4" s="1"/>
  <c r="AE756" i="4"/>
  <c r="R756" i="4"/>
  <c r="AG756" i="4" s="1"/>
  <c r="BB756" i="4" s="1"/>
  <c r="BE755" i="4"/>
  <c r="AY755" i="4"/>
  <c r="AR755" i="4"/>
  <c r="AK755" i="4"/>
  <c r="AJ755" i="4"/>
  <c r="AF755" i="4"/>
  <c r="BA755" i="4" s="1"/>
  <c r="AE755" i="4"/>
  <c r="R755" i="4"/>
  <c r="X755" i="4" s="1"/>
  <c r="Q755" i="4"/>
  <c r="BE754" i="4"/>
  <c r="AY754" i="4"/>
  <c r="AR754" i="4"/>
  <c r="AK754" i="4"/>
  <c r="AJ754" i="4"/>
  <c r="AF754" i="4"/>
  <c r="AE754" i="4"/>
  <c r="R754" i="4"/>
  <c r="X754" i="4" s="1"/>
  <c r="Q754" i="4"/>
  <c r="BE753" i="4"/>
  <c r="AY753" i="4"/>
  <c r="AR753" i="4"/>
  <c r="AK753" i="4"/>
  <c r="AJ753" i="4"/>
  <c r="AF753" i="4"/>
  <c r="BA753" i="4" s="1"/>
  <c r="AE753" i="4"/>
  <c r="R753" i="4"/>
  <c r="AG753" i="4" s="1"/>
  <c r="BB753" i="4" s="1"/>
  <c r="Q753" i="4"/>
  <c r="BE752" i="4"/>
  <c r="AY752" i="4"/>
  <c r="AR752" i="4"/>
  <c r="AK752" i="4"/>
  <c r="AJ752" i="4"/>
  <c r="AF752" i="4"/>
  <c r="BA752" i="4" s="1"/>
  <c r="AE752" i="4"/>
  <c r="R752" i="4"/>
  <c r="AG752" i="4" s="1"/>
  <c r="BB752" i="4" s="1"/>
  <c r="Q752" i="4"/>
  <c r="BE751" i="4"/>
  <c r="AY751" i="4"/>
  <c r="AR751" i="4"/>
  <c r="AK751" i="4"/>
  <c r="AJ751" i="4"/>
  <c r="AF751" i="4"/>
  <c r="BA751" i="4" s="1"/>
  <c r="AE751" i="4"/>
  <c r="R751" i="4"/>
  <c r="X751" i="4" s="1"/>
  <c r="Q751" i="4"/>
  <c r="BE750" i="4"/>
  <c r="AY750" i="4"/>
  <c r="AR750" i="4"/>
  <c r="AK750" i="4"/>
  <c r="AJ750" i="4"/>
  <c r="AF750" i="4"/>
  <c r="AE750" i="4"/>
  <c r="R750" i="4"/>
  <c r="X750" i="4" s="1"/>
  <c r="Q750" i="4"/>
  <c r="BE749" i="4"/>
  <c r="AY749" i="4"/>
  <c r="AR749" i="4"/>
  <c r="AK749" i="4"/>
  <c r="AJ749" i="4"/>
  <c r="AF749" i="4"/>
  <c r="BA749" i="4" s="1"/>
  <c r="AE749" i="4"/>
  <c r="R749" i="4"/>
  <c r="AG749" i="4" s="1"/>
  <c r="BB749" i="4" s="1"/>
  <c r="Q749" i="4"/>
  <c r="BE748" i="4"/>
  <c r="AY748" i="4"/>
  <c r="AR748" i="4"/>
  <c r="AK748" i="4"/>
  <c r="AJ748" i="4"/>
  <c r="AF748" i="4"/>
  <c r="BA748" i="4" s="1"/>
  <c r="AE748" i="4"/>
  <c r="R748" i="4"/>
  <c r="Q748" i="4"/>
  <c r="BE747" i="4"/>
  <c r="AY747" i="4"/>
  <c r="AR747" i="4"/>
  <c r="AK747" i="4"/>
  <c r="AJ747" i="4"/>
  <c r="AF747" i="4"/>
  <c r="BA747" i="4" s="1"/>
  <c r="AE747" i="4"/>
  <c r="R747" i="4"/>
  <c r="X747" i="4" s="1"/>
  <c r="Q747" i="4"/>
  <c r="BE746" i="4"/>
  <c r="AY746" i="4"/>
  <c r="AR746" i="4"/>
  <c r="AK746" i="4"/>
  <c r="AJ746" i="4"/>
  <c r="AF746" i="4"/>
  <c r="AE746" i="4"/>
  <c r="R746" i="4"/>
  <c r="X746" i="4" s="1"/>
  <c r="Q746" i="4"/>
  <c r="BE745" i="4"/>
  <c r="AY745" i="4"/>
  <c r="AR745" i="4"/>
  <c r="AK745" i="4"/>
  <c r="AJ745" i="4"/>
  <c r="AF745" i="4"/>
  <c r="BA745" i="4" s="1"/>
  <c r="AE745" i="4"/>
  <c r="R745" i="4"/>
  <c r="AG745" i="4" s="1"/>
  <c r="BB745" i="4" s="1"/>
  <c r="Q745" i="4"/>
  <c r="BE744" i="4"/>
  <c r="AY744" i="4"/>
  <c r="AR744" i="4"/>
  <c r="AK744" i="4"/>
  <c r="AJ744" i="4"/>
  <c r="AF744" i="4"/>
  <c r="BA744" i="4" s="1"/>
  <c r="AE744" i="4"/>
  <c r="R744" i="4"/>
  <c r="AG744" i="4" s="1"/>
  <c r="BB744" i="4" s="1"/>
  <c r="Q744" i="4"/>
  <c r="BE743" i="4"/>
  <c r="AY743" i="4"/>
  <c r="AR743" i="4"/>
  <c r="AK743" i="4"/>
  <c r="AJ743" i="4"/>
  <c r="AF743" i="4"/>
  <c r="BA743" i="4" s="1"/>
  <c r="AE743" i="4"/>
  <c r="R743" i="4"/>
  <c r="X743" i="4" s="1"/>
  <c r="Q743" i="4"/>
  <c r="BE742" i="4"/>
  <c r="AY742" i="4"/>
  <c r="AR742" i="4"/>
  <c r="AK742" i="4"/>
  <c r="AJ742" i="4"/>
  <c r="AF742" i="4"/>
  <c r="AE742" i="4"/>
  <c r="R742" i="4"/>
  <c r="X742" i="4" s="1"/>
  <c r="Q742" i="4"/>
  <c r="BE741" i="4"/>
  <c r="AY741" i="4"/>
  <c r="AR741" i="4"/>
  <c r="AK741" i="4"/>
  <c r="AJ741" i="4"/>
  <c r="AF741" i="4"/>
  <c r="BA741" i="4" s="1"/>
  <c r="AE741" i="4"/>
  <c r="R741" i="4"/>
  <c r="AG741" i="4" s="1"/>
  <c r="BB741" i="4" s="1"/>
  <c r="Q741" i="4"/>
  <c r="BE740" i="4"/>
  <c r="AY740" i="4"/>
  <c r="AR740" i="4"/>
  <c r="AK740" i="4"/>
  <c r="AJ740" i="4"/>
  <c r="AF740" i="4"/>
  <c r="BA740" i="4" s="1"/>
  <c r="AE740" i="4"/>
  <c r="R740" i="4"/>
  <c r="Q740" i="4"/>
  <c r="BE739" i="4"/>
  <c r="AY739" i="4"/>
  <c r="AR739" i="4"/>
  <c r="AK739" i="4"/>
  <c r="AJ739" i="4"/>
  <c r="AF739" i="4"/>
  <c r="BA739" i="4" s="1"/>
  <c r="AE739" i="4"/>
  <c r="R739" i="4"/>
  <c r="X739" i="4" s="1"/>
  <c r="Q739" i="4"/>
  <c r="BE738" i="4"/>
  <c r="AY738" i="4"/>
  <c r="AR738" i="4"/>
  <c r="AK738" i="4"/>
  <c r="AJ738" i="4"/>
  <c r="AF738" i="4"/>
  <c r="AE738" i="4"/>
  <c r="R738" i="4"/>
  <c r="X738" i="4" s="1"/>
  <c r="Q738" i="4"/>
  <c r="BE737" i="4"/>
  <c r="AY737" i="4"/>
  <c r="AR737" i="4"/>
  <c r="AK737" i="4"/>
  <c r="AJ737" i="4"/>
  <c r="AF737" i="4"/>
  <c r="BA737" i="4" s="1"/>
  <c r="AE737" i="4"/>
  <c r="R737" i="4"/>
  <c r="AG737" i="4" s="1"/>
  <c r="BB737" i="4" s="1"/>
  <c r="Q737" i="4"/>
  <c r="AY736" i="4"/>
  <c r="AR736" i="4"/>
  <c r="AF736" i="4"/>
  <c r="BA736" i="4" s="1"/>
  <c r="AE736" i="4"/>
  <c r="R736" i="4"/>
  <c r="AG736" i="4" s="1"/>
  <c r="BB736" i="4" s="1"/>
  <c r="BE735" i="4"/>
  <c r="AY735" i="4"/>
  <c r="AR735" i="4"/>
  <c r="AJ735" i="4"/>
  <c r="AF735" i="4"/>
  <c r="AE735" i="4"/>
  <c r="R735" i="4"/>
  <c r="X735" i="4" s="1"/>
  <c r="Q735" i="4"/>
  <c r="AY734" i="4"/>
  <c r="AR734" i="4"/>
  <c r="AF734" i="4"/>
  <c r="AE734" i="4"/>
  <c r="R734" i="4"/>
  <c r="X734" i="4" s="1"/>
  <c r="AY733" i="4"/>
  <c r="AR733" i="4"/>
  <c r="AF733" i="4"/>
  <c r="BA733" i="4" s="1"/>
  <c r="AE733" i="4"/>
  <c r="R733" i="4"/>
  <c r="AG733" i="4" s="1"/>
  <c r="BB733" i="4" s="1"/>
  <c r="AY732" i="4"/>
  <c r="AR732" i="4"/>
  <c r="AF732" i="4"/>
  <c r="BA732" i="4" s="1"/>
  <c r="AE732" i="4"/>
  <c r="R732" i="4"/>
  <c r="AY731" i="4"/>
  <c r="AR731" i="4"/>
  <c r="AF731" i="4"/>
  <c r="BA731" i="4" s="1"/>
  <c r="AE731" i="4"/>
  <c r="R731" i="4"/>
  <c r="X731" i="4" s="1"/>
  <c r="AY730" i="4"/>
  <c r="AR730" i="4"/>
  <c r="AF730" i="4"/>
  <c r="AE730" i="4"/>
  <c r="R730" i="4"/>
  <c r="X730" i="4" s="1"/>
  <c r="AY729" i="4"/>
  <c r="AR729" i="4"/>
  <c r="AF729" i="4"/>
  <c r="BA729" i="4" s="1"/>
  <c r="AE729" i="4"/>
  <c r="R729" i="4"/>
  <c r="AG729" i="4" s="1"/>
  <c r="BB729" i="4" s="1"/>
  <c r="AY728" i="4"/>
  <c r="AR728" i="4"/>
  <c r="AK728" i="4"/>
  <c r="AF728" i="4"/>
  <c r="BA728" i="4" s="1"/>
  <c r="AE728" i="4"/>
  <c r="R728" i="4"/>
  <c r="AG728" i="4" s="1"/>
  <c r="BB728" i="4" s="1"/>
  <c r="BE727" i="4"/>
  <c r="AY727" i="4"/>
  <c r="AR727" i="4"/>
  <c r="AK727" i="4"/>
  <c r="AJ727" i="4"/>
  <c r="AF727" i="4"/>
  <c r="BA727" i="4" s="1"/>
  <c r="AE727" i="4"/>
  <c r="R727" i="4"/>
  <c r="X727" i="4" s="1"/>
  <c r="Q727" i="4"/>
  <c r="BE726" i="4"/>
  <c r="AY726" i="4"/>
  <c r="AR726" i="4"/>
  <c r="AK726" i="4"/>
  <c r="AJ726" i="4"/>
  <c r="AF726" i="4"/>
  <c r="AE726" i="4"/>
  <c r="R726" i="4"/>
  <c r="X726" i="4" s="1"/>
  <c r="Q726" i="4"/>
  <c r="BE725" i="4"/>
  <c r="AY725" i="4"/>
  <c r="AR725" i="4"/>
  <c r="AK725" i="4"/>
  <c r="AJ725" i="4"/>
  <c r="AF725" i="4"/>
  <c r="BA725" i="4" s="1"/>
  <c r="AE725" i="4"/>
  <c r="R725" i="4"/>
  <c r="AG725" i="4" s="1"/>
  <c r="BB725" i="4" s="1"/>
  <c r="Q725" i="4"/>
  <c r="BE724" i="4"/>
  <c r="AY724" i="4"/>
  <c r="AR724" i="4"/>
  <c r="AK724" i="4"/>
  <c r="AJ724" i="4"/>
  <c r="AF724" i="4"/>
  <c r="BA724" i="4" s="1"/>
  <c r="AE724" i="4"/>
  <c r="R724" i="4"/>
  <c r="AG724" i="4" s="1"/>
  <c r="BB724" i="4" s="1"/>
  <c r="Q724" i="4"/>
  <c r="BE723" i="4"/>
  <c r="AY723" i="4"/>
  <c r="AR723" i="4"/>
  <c r="AK723" i="4"/>
  <c r="AJ723" i="4"/>
  <c r="AF723" i="4"/>
  <c r="BA723" i="4" s="1"/>
  <c r="AE723" i="4"/>
  <c r="R723" i="4"/>
  <c r="X723" i="4" s="1"/>
  <c r="Q723" i="4"/>
  <c r="AY722" i="4"/>
  <c r="AR722" i="4"/>
  <c r="AF722" i="4"/>
  <c r="BA722" i="4" s="1"/>
  <c r="AE722" i="4"/>
  <c r="R722" i="4"/>
  <c r="X722" i="4" s="1"/>
  <c r="BE721" i="4"/>
  <c r="AY721" i="4"/>
  <c r="AR721" i="4"/>
  <c r="AJ721" i="4"/>
  <c r="AF721" i="4"/>
  <c r="BA721" i="4" s="1"/>
  <c r="AE721" i="4"/>
  <c r="R721" i="4"/>
  <c r="AG721" i="4" s="1"/>
  <c r="BB721" i="4" s="1"/>
  <c r="Q721" i="4"/>
  <c r="BE720" i="4"/>
  <c r="AY720" i="4"/>
  <c r="AR720" i="4"/>
  <c r="AK720" i="4"/>
  <c r="AJ720" i="4"/>
  <c r="AF720" i="4"/>
  <c r="BA720" i="4" s="1"/>
  <c r="AE720" i="4"/>
  <c r="R720" i="4"/>
  <c r="X720" i="4" s="1"/>
  <c r="Q720" i="4"/>
  <c r="BE719" i="4"/>
  <c r="AY719" i="4"/>
  <c r="AR719" i="4"/>
  <c r="AK719" i="4"/>
  <c r="AF719" i="4"/>
  <c r="BA719" i="4" s="1"/>
  <c r="AE719" i="4"/>
  <c r="R719" i="4"/>
  <c r="AG719" i="4" s="1"/>
  <c r="BB719" i="4" s="1"/>
  <c r="Q719" i="4"/>
  <c r="BE718" i="4"/>
  <c r="AY718" i="4"/>
  <c r="AR718" i="4"/>
  <c r="AK718" i="4"/>
  <c r="AJ718" i="4"/>
  <c r="AF718" i="4"/>
  <c r="BA718" i="4" s="1"/>
  <c r="AE718" i="4"/>
  <c r="R718" i="4"/>
  <c r="Q718" i="4"/>
  <c r="BE717" i="4"/>
  <c r="AY717" i="4"/>
  <c r="AR717" i="4"/>
  <c r="AK717" i="4"/>
  <c r="AJ717" i="4"/>
  <c r="AF717" i="4"/>
  <c r="BA717" i="4" s="1"/>
  <c r="AE717" i="4"/>
  <c r="R717" i="4"/>
  <c r="X717" i="4" s="1"/>
  <c r="Q717" i="4"/>
  <c r="BE716" i="4"/>
  <c r="AY716" i="4"/>
  <c r="AR716" i="4"/>
  <c r="AK716" i="4"/>
  <c r="AJ716" i="4"/>
  <c r="AF716" i="4"/>
  <c r="AE716" i="4"/>
  <c r="R716" i="4"/>
  <c r="X716" i="4" s="1"/>
  <c r="Q716" i="4"/>
  <c r="BE715" i="4"/>
  <c r="AY715" i="4"/>
  <c r="AR715" i="4"/>
  <c r="AK715" i="4"/>
  <c r="AJ715" i="4"/>
  <c r="AF715" i="4"/>
  <c r="BA715" i="4" s="1"/>
  <c r="AE715" i="4"/>
  <c r="R715" i="4"/>
  <c r="AG715" i="4" s="1"/>
  <c r="BB715" i="4" s="1"/>
  <c r="Q715" i="4"/>
  <c r="BE714" i="4"/>
  <c r="AY714" i="4"/>
  <c r="AR714" i="4"/>
  <c r="AK714" i="4"/>
  <c r="AJ714" i="4"/>
  <c r="AF714" i="4"/>
  <c r="BA714" i="4" s="1"/>
  <c r="AE714" i="4"/>
  <c r="R714" i="4"/>
  <c r="Q714" i="4"/>
  <c r="BE713" i="4"/>
  <c r="AY713" i="4"/>
  <c r="AR713" i="4"/>
  <c r="AK713" i="4"/>
  <c r="AJ713" i="4"/>
  <c r="AF713" i="4"/>
  <c r="BA713" i="4" s="1"/>
  <c r="AE713" i="4"/>
  <c r="R713" i="4"/>
  <c r="X713" i="4" s="1"/>
  <c r="Q713" i="4"/>
  <c r="BE712" i="4"/>
  <c r="AY712" i="4"/>
  <c r="AR712" i="4"/>
  <c r="AK712" i="4"/>
  <c r="AJ712" i="4"/>
  <c r="AF712" i="4"/>
  <c r="AE712" i="4"/>
  <c r="R712" i="4"/>
  <c r="X712" i="4" s="1"/>
  <c r="Q712" i="4"/>
  <c r="BE711" i="4"/>
  <c r="AY711" i="4"/>
  <c r="AR711" i="4"/>
  <c r="AK711" i="4"/>
  <c r="AJ711" i="4"/>
  <c r="AF711" i="4"/>
  <c r="BA711" i="4" s="1"/>
  <c r="AE711" i="4"/>
  <c r="R711" i="4"/>
  <c r="AG711" i="4" s="1"/>
  <c r="BB711" i="4" s="1"/>
  <c r="Q711" i="4"/>
  <c r="BE710" i="4"/>
  <c r="AY710" i="4"/>
  <c r="AR710" i="4"/>
  <c r="AK710" i="4"/>
  <c r="AJ710" i="4"/>
  <c r="AF710" i="4"/>
  <c r="BA710" i="4" s="1"/>
  <c r="AE710" i="4"/>
  <c r="R710" i="4"/>
  <c r="Q710" i="4"/>
  <c r="BE709" i="4"/>
  <c r="AY709" i="4"/>
  <c r="AR709" i="4"/>
  <c r="AK709" i="4"/>
  <c r="AJ709" i="4"/>
  <c r="AF709" i="4"/>
  <c r="BA709" i="4" s="1"/>
  <c r="AE709" i="4"/>
  <c r="R709" i="4"/>
  <c r="Q709" i="4"/>
  <c r="BE708" i="4"/>
  <c r="AY708" i="4"/>
  <c r="AR708" i="4"/>
  <c r="AK708" i="4"/>
  <c r="AJ708" i="4"/>
  <c r="AF708" i="4"/>
  <c r="AE708" i="4"/>
  <c r="R708" i="4"/>
  <c r="X708" i="4" s="1"/>
  <c r="Q708" i="4"/>
  <c r="BE707" i="4"/>
  <c r="AY707" i="4"/>
  <c r="AR707" i="4"/>
  <c r="AK707" i="4"/>
  <c r="AJ707" i="4"/>
  <c r="AF707" i="4"/>
  <c r="AE707" i="4"/>
  <c r="R707" i="4"/>
  <c r="AG707" i="4" s="1"/>
  <c r="BB707" i="4" s="1"/>
  <c r="Q707" i="4"/>
  <c r="BE706" i="4"/>
  <c r="AY706" i="4"/>
  <c r="AR706" i="4"/>
  <c r="AK706" i="4"/>
  <c r="AJ706" i="4"/>
  <c r="AF706" i="4"/>
  <c r="BA706" i="4" s="1"/>
  <c r="AE706" i="4"/>
  <c r="R706" i="4"/>
  <c r="Q706" i="4"/>
  <c r="BE705" i="4"/>
  <c r="AY705" i="4"/>
  <c r="AR705" i="4"/>
  <c r="AK705" i="4"/>
  <c r="AJ705" i="4"/>
  <c r="AF705" i="4"/>
  <c r="BA705" i="4" s="1"/>
  <c r="AE705" i="4"/>
  <c r="R705" i="4"/>
  <c r="Q705" i="4"/>
  <c r="BE704" i="4"/>
  <c r="AY704" i="4"/>
  <c r="AR704" i="4"/>
  <c r="AK704" i="4"/>
  <c r="AJ704" i="4"/>
  <c r="AF704" i="4"/>
  <c r="AE704" i="4"/>
  <c r="R704" i="4"/>
  <c r="X704" i="4" s="1"/>
  <c r="Q704" i="4"/>
  <c r="BE703" i="4"/>
  <c r="AY703" i="4"/>
  <c r="AR703" i="4"/>
  <c r="AK703" i="4"/>
  <c r="AJ703" i="4"/>
  <c r="AF703" i="4"/>
  <c r="BA703" i="4" s="1"/>
  <c r="AE703" i="4"/>
  <c r="R703" i="4"/>
  <c r="AG703" i="4" s="1"/>
  <c r="BB703" i="4" s="1"/>
  <c r="Q703" i="4"/>
  <c r="BE702" i="4"/>
  <c r="AY702" i="4"/>
  <c r="AR702" i="4"/>
  <c r="AK702" i="4"/>
  <c r="AJ702" i="4"/>
  <c r="AF702" i="4"/>
  <c r="BA702" i="4" s="1"/>
  <c r="AE702" i="4"/>
  <c r="R702" i="4"/>
  <c r="Q702" i="4"/>
  <c r="BE701" i="4"/>
  <c r="AY701" i="4"/>
  <c r="AR701" i="4"/>
  <c r="AK701" i="4"/>
  <c r="AJ701" i="4"/>
  <c r="AF701" i="4"/>
  <c r="BA701" i="4" s="1"/>
  <c r="AE701" i="4"/>
  <c r="R701" i="4"/>
  <c r="X701" i="4" s="1"/>
  <c r="Q701" i="4"/>
  <c r="BE700" i="4"/>
  <c r="AY700" i="4"/>
  <c r="AR700" i="4"/>
  <c r="AK700" i="4"/>
  <c r="AJ700" i="4"/>
  <c r="AF700" i="4"/>
  <c r="AE700" i="4"/>
  <c r="R700" i="4"/>
  <c r="X700" i="4" s="1"/>
  <c r="Q700" i="4"/>
  <c r="BE699" i="4"/>
  <c r="AY699" i="4"/>
  <c r="AR699" i="4"/>
  <c r="AK699" i="4"/>
  <c r="AJ699" i="4"/>
  <c r="AF699" i="4"/>
  <c r="BA699" i="4" s="1"/>
  <c r="AE699" i="4"/>
  <c r="R699" i="4"/>
  <c r="AG699" i="4" s="1"/>
  <c r="BB699" i="4" s="1"/>
  <c r="Q699" i="4"/>
  <c r="BE698" i="4"/>
  <c r="AY698" i="4"/>
  <c r="AR698" i="4"/>
  <c r="AK698" i="4"/>
  <c r="AJ698" i="4"/>
  <c r="AG698" i="4"/>
  <c r="BB698" i="4" s="1"/>
  <c r="AF698" i="4"/>
  <c r="BA698" i="4" s="1"/>
  <c r="AE698" i="4"/>
  <c r="X698" i="4"/>
  <c r="Q698" i="4"/>
  <c r="BE697" i="4"/>
  <c r="AY697" i="4"/>
  <c r="AR697" i="4"/>
  <c r="AK697" i="4"/>
  <c r="AJ697" i="4"/>
  <c r="AF697" i="4"/>
  <c r="AE697" i="4"/>
  <c r="R697" i="4"/>
  <c r="X697" i="4" s="1"/>
  <c r="Q697" i="4"/>
  <c r="BE696" i="4"/>
  <c r="AY696" i="4"/>
  <c r="AR696" i="4"/>
  <c r="AK696" i="4"/>
  <c r="AJ696" i="4"/>
  <c r="AF696" i="4"/>
  <c r="BA696" i="4" s="1"/>
  <c r="AE696" i="4"/>
  <c r="R696" i="4"/>
  <c r="AG696" i="4" s="1"/>
  <c r="BB696" i="4" s="1"/>
  <c r="Q696" i="4"/>
  <c r="BE695" i="4"/>
  <c r="AY695" i="4"/>
  <c r="AR695" i="4"/>
  <c r="AK695" i="4"/>
  <c r="AJ695" i="4"/>
  <c r="AF695" i="4"/>
  <c r="BA695" i="4" s="1"/>
  <c r="AE695" i="4"/>
  <c r="R695" i="4"/>
  <c r="Q695" i="4"/>
  <c r="BE694" i="4"/>
  <c r="AY694" i="4"/>
  <c r="AR694" i="4"/>
  <c r="AK694" i="4"/>
  <c r="AJ694" i="4"/>
  <c r="AF694" i="4"/>
  <c r="BA694" i="4" s="1"/>
  <c r="AE694" i="4"/>
  <c r="R694" i="4"/>
  <c r="Q694" i="4"/>
  <c r="BE693" i="4"/>
  <c r="AY693" i="4"/>
  <c r="AR693" i="4"/>
  <c r="AK693" i="4"/>
  <c r="AJ693" i="4"/>
  <c r="AF693" i="4"/>
  <c r="AE693" i="4"/>
  <c r="R693" i="4"/>
  <c r="X693" i="4" s="1"/>
  <c r="Q693" i="4"/>
  <c r="BE692" i="4"/>
  <c r="AY692" i="4"/>
  <c r="AR692" i="4"/>
  <c r="AK692" i="4"/>
  <c r="AJ692" i="4"/>
  <c r="AF692" i="4"/>
  <c r="BA692" i="4" s="1"/>
  <c r="AE692" i="4"/>
  <c r="R692" i="4"/>
  <c r="AG692" i="4" s="1"/>
  <c r="BB692" i="4" s="1"/>
  <c r="Q692" i="4"/>
  <c r="BE691" i="4"/>
  <c r="AY691" i="4"/>
  <c r="AR691" i="4"/>
  <c r="AK691" i="4"/>
  <c r="AJ691" i="4"/>
  <c r="AF691" i="4"/>
  <c r="BA691" i="4" s="1"/>
  <c r="AE691" i="4"/>
  <c r="R691" i="4"/>
  <c r="Q691" i="4"/>
  <c r="BE690" i="4"/>
  <c r="AY690" i="4"/>
  <c r="AR690" i="4"/>
  <c r="AK690" i="4"/>
  <c r="AJ690" i="4"/>
  <c r="AF690" i="4"/>
  <c r="BA690" i="4" s="1"/>
  <c r="AE690" i="4"/>
  <c r="R690" i="4"/>
  <c r="Q690" i="4"/>
  <c r="BE689" i="4"/>
  <c r="AY689" i="4"/>
  <c r="AR689" i="4"/>
  <c r="AK689" i="4"/>
  <c r="AJ689" i="4"/>
  <c r="AF689" i="4"/>
  <c r="AE689" i="4"/>
  <c r="R689" i="4"/>
  <c r="X689" i="4" s="1"/>
  <c r="Q689" i="4"/>
  <c r="BE688" i="4"/>
  <c r="AY688" i="4"/>
  <c r="AR688" i="4"/>
  <c r="AK688" i="4"/>
  <c r="AJ688" i="4"/>
  <c r="AF688" i="4"/>
  <c r="BA688" i="4" s="1"/>
  <c r="AE688" i="4"/>
  <c r="R688" i="4"/>
  <c r="AG688" i="4" s="1"/>
  <c r="BB688" i="4" s="1"/>
  <c r="Q688" i="4"/>
  <c r="AY687" i="4"/>
  <c r="AR687" i="4"/>
  <c r="AF687" i="4"/>
  <c r="BA687" i="4" s="1"/>
  <c r="AE687" i="4"/>
  <c r="R687" i="4"/>
  <c r="AG687" i="4" s="1"/>
  <c r="BB687" i="4" s="1"/>
  <c r="AY686" i="4"/>
  <c r="AR686" i="4"/>
  <c r="AF686" i="4"/>
  <c r="BA686" i="4" s="1"/>
  <c r="AE686" i="4"/>
  <c r="R686" i="4"/>
  <c r="AY685" i="4"/>
  <c r="AR685" i="4"/>
  <c r="AF685" i="4"/>
  <c r="BA685" i="4" s="1"/>
  <c r="AE685" i="4"/>
  <c r="R685" i="4"/>
  <c r="AY684" i="4"/>
  <c r="AR684" i="4"/>
  <c r="AF684" i="4"/>
  <c r="AE684" i="4"/>
  <c r="R684" i="4"/>
  <c r="X684" i="4" s="1"/>
  <c r="AY683" i="4"/>
  <c r="AR683" i="4"/>
  <c r="AF683" i="4"/>
  <c r="BA683" i="4" s="1"/>
  <c r="AE683" i="4"/>
  <c r="R683" i="4"/>
  <c r="AG683" i="4" s="1"/>
  <c r="BB683" i="4" s="1"/>
  <c r="AY682" i="4"/>
  <c r="AR682" i="4"/>
  <c r="AF682" i="4"/>
  <c r="BA682" i="4" s="1"/>
  <c r="AE682" i="4"/>
  <c r="R682" i="4"/>
  <c r="AY681" i="4"/>
  <c r="AR681" i="4"/>
  <c r="AF681" i="4"/>
  <c r="BA681" i="4" s="1"/>
  <c r="AE681" i="4"/>
  <c r="R681" i="4"/>
  <c r="AY680" i="4"/>
  <c r="AR680" i="4"/>
  <c r="AG680" i="4"/>
  <c r="BB680" i="4" s="1"/>
  <c r="AE680" i="4"/>
  <c r="X680" i="4"/>
  <c r="AY679" i="4"/>
  <c r="AR679" i="4"/>
  <c r="AF679" i="4"/>
  <c r="BA679" i="4" s="1"/>
  <c r="AE679" i="4"/>
  <c r="R679" i="4"/>
  <c r="AG679" i="4" s="1"/>
  <c r="AY678" i="4"/>
  <c r="AR678" i="4"/>
  <c r="AG678" i="4"/>
  <c r="BB678" i="4" s="1"/>
  <c r="AE678" i="4"/>
  <c r="X678" i="4"/>
  <c r="AY677" i="4"/>
  <c r="AR677" i="4"/>
  <c r="AF677" i="4"/>
  <c r="BA677" i="4" s="1"/>
  <c r="AE677" i="4"/>
  <c r="R677" i="4"/>
  <c r="AG677" i="4" s="1"/>
  <c r="BB677" i="4" s="1"/>
  <c r="AY676" i="4"/>
  <c r="AR676" i="4"/>
  <c r="AF676" i="4"/>
  <c r="BA676" i="4" s="1"/>
  <c r="AE676" i="4"/>
  <c r="R676" i="4"/>
  <c r="AY675" i="4"/>
  <c r="AR675" i="4"/>
  <c r="AF675" i="4"/>
  <c r="BA675" i="4" s="1"/>
  <c r="AE675" i="4"/>
  <c r="R675" i="4"/>
  <c r="AY674" i="4"/>
  <c r="AR674" i="4"/>
  <c r="AF674" i="4"/>
  <c r="AE674" i="4"/>
  <c r="R674" i="4"/>
  <c r="X674" i="4" s="1"/>
  <c r="AY673" i="4"/>
  <c r="AR673" i="4"/>
  <c r="AF673" i="4"/>
  <c r="BA673" i="4" s="1"/>
  <c r="AE673" i="4"/>
  <c r="R673" i="4"/>
  <c r="AG673" i="4" s="1"/>
  <c r="BB673" i="4" s="1"/>
  <c r="AY672" i="4"/>
  <c r="AR672" i="4"/>
  <c r="AF672" i="4"/>
  <c r="BA672" i="4" s="1"/>
  <c r="AE672" i="4"/>
  <c r="R672" i="4"/>
  <c r="AG672" i="4" s="1"/>
  <c r="BB672" i="4" s="1"/>
  <c r="AY671" i="4"/>
  <c r="AR671" i="4"/>
  <c r="AF671" i="4"/>
  <c r="BA671" i="4" s="1"/>
  <c r="AE671" i="4"/>
  <c r="R671" i="4"/>
  <c r="X671" i="4" s="1"/>
  <c r="AY670" i="4"/>
  <c r="AR670" i="4"/>
  <c r="AF670" i="4"/>
  <c r="AE670" i="4"/>
  <c r="R670" i="4"/>
  <c r="X670" i="4" s="1"/>
  <c r="AY669" i="4"/>
  <c r="AR669" i="4"/>
  <c r="AF669" i="4"/>
  <c r="BA669" i="4" s="1"/>
  <c r="AE669" i="4"/>
  <c r="R669" i="4"/>
  <c r="AG669" i="4" s="1"/>
  <c r="BB669" i="4" s="1"/>
  <c r="AY668" i="4"/>
  <c r="AR668" i="4"/>
  <c r="AF668" i="4"/>
  <c r="BA668" i="4" s="1"/>
  <c r="AE668" i="4"/>
  <c r="R668" i="4"/>
  <c r="AY667" i="4"/>
  <c r="AR667" i="4"/>
  <c r="AF667" i="4"/>
  <c r="BA667" i="4" s="1"/>
  <c r="AE667" i="4"/>
  <c r="R667" i="4"/>
  <c r="AY666" i="4"/>
  <c r="AR666" i="4"/>
  <c r="AF666" i="4"/>
  <c r="AE666" i="4"/>
  <c r="R666" i="4"/>
  <c r="X666" i="4" s="1"/>
  <c r="AY665" i="4"/>
  <c r="AR665" i="4"/>
  <c r="AF665" i="4"/>
  <c r="BA665" i="4" s="1"/>
  <c r="AE665" i="4"/>
  <c r="R665" i="4"/>
  <c r="AG665" i="4" s="1"/>
  <c r="BB665" i="4" s="1"/>
  <c r="AY664" i="4"/>
  <c r="AR664" i="4"/>
  <c r="AF664" i="4"/>
  <c r="BA664" i="4" s="1"/>
  <c r="AE664" i="4"/>
  <c r="R664" i="4"/>
  <c r="AY663" i="4"/>
  <c r="AR663" i="4"/>
  <c r="AF663" i="4"/>
  <c r="BA663" i="4" s="1"/>
  <c r="AE663" i="4"/>
  <c r="R663" i="4"/>
  <c r="AY662" i="4"/>
  <c r="AR662" i="4"/>
  <c r="AF662" i="4"/>
  <c r="AE662" i="4"/>
  <c r="R662" i="4"/>
  <c r="X662" i="4" s="1"/>
  <c r="AY661" i="4"/>
  <c r="AR661" i="4"/>
  <c r="AF661" i="4"/>
  <c r="BA661" i="4" s="1"/>
  <c r="AE661" i="4"/>
  <c r="R661" i="4"/>
  <c r="AG661" i="4" s="1"/>
  <c r="BB661" i="4" s="1"/>
  <c r="AY660" i="4"/>
  <c r="AR660" i="4"/>
  <c r="AF660" i="4"/>
  <c r="BA660" i="4" s="1"/>
  <c r="AE660" i="4"/>
  <c r="R660" i="4"/>
  <c r="AY659" i="4"/>
  <c r="AR659" i="4"/>
  <c r="AF659" i="4"/>
  <c r="BA659" i="4" s="1"/>
  <c r="AE659" i="4"/>
  <c r="R659" i="4"/>
  <c r="AY658" i="4"/>
  <c r="AR658" i="4"/>
  <c r="AF658" i="4"/>
  <c r="AE658" i="4"/>
  <c r="R658" i="4"/>
  <c r="X658" i="4" s="1"/>
  <c r="AY657" i="4"/>
  <c r="AR657" i="4"/>
  <c r="AF657" i="4"/>
  <c r="BA657" i="4" s="1"/>
  <c r="AE657" i="4"/>
  <c r="R657" i="4"/>
  <c r="AG657" i="4" s="1"/>
  <c r="BB657" i="4" s="1"/>
  <c r="AY656" i="4"/>
  <c r="AR656" i="4"/>
  <c r="AF656" i="4"/>
  <c r="BA656" i="4" s="1"/>
  <c r="AE656" i="4"/>
  <c r="R656" i="4"/>
  <c r="AY655" i="4"/>
  <c r="AR655" i="4"/>
  <c r="AF655" i="4"/>
  <c r="BA655" i="4" s="1"/>
  <c r="AE655" i="4"/>
  <c r="R655" i="4"/>
  <c r="BE654" i="4"/>
  <c r="AY654" i="4"/>
  <c r="AR654" i="4"/>
  <c r="AJ654" i="4"/>
  <c r="AF654" i="4"/>
  <c r="BA654" i="4" s="1"/>
  <c r="AE654" i="4"/>
  <c r="R654" i="4"/>
  <c r="Q654" i="4"/>
  <c r="BE653" i="4"/>
  <c r="AY653" i="4"/>
  <c r="AR653" i="4"/>
  <c r="AK653" i="4"/>
  <c r="AJ653" i="4"/>
  <c r="AF653" i="4"/>
  <c r="BA653" i="4" s="1"/>
  <c r="AE653" i="4"/>
  <c r="R653" i="4"/>
  <c r="Q653" i="4"/>
  <c r="BE652" i="4"/>
  <c r="AY652" i="4"/>
  <c r="AR652" i="4"/>
  <c r="AK652" i="4"/>
  <c r="AJ652" i="4"/>
  <c r="AF652" i="4"/>
  <c r="AE652" i="4"/>
  <c r="R652" i="4"/>
  <c r="X652" i="4" s="1"/>
  <c r="Q652" i="4"/>
  <c r="BE651" i="4"/>
  <c r="AY651" i="4"/>
  <c r="AR651" i="4"/>
  <c r="AK651" i="4"/>
  <c r="AJ651" i="4"/>
  <c r="AF651" i="4"/>
  <c r="BA651" i="4" s="1"/>
  <c r="AE651" i="4"/>
  <c r="R651" i="4"/>
  <c r="AG651" i="4" s="1"/>
  <c r="BB651" i="4" s="1"/>
  <c r="Q651" i="4"/>
  <c r="BE650" i="4"/>
  <c r="AY650" i="4"/>
  <c r="AR650" i="4"/>
  <c r="AK650" i="4"/>
  <c r="AJ650" i="4"/>
  <c r="AF650" i="4"/>
  <c r="BA650" i="4" s="1"/>
  <c r="AE650" i="4"/>
  <c r="R650" i="4"/>
  <c r="Q650" i="4"/>
  <c r="BE649" i="4"/>
  <c r="AY649" i="4"/>
  <c r="AR649" i="4"/>
  <c r="AK649" i="4"/>
  <c r="AJ649" i="4"/>
  <c r="AF649" i="4"/>
  <c r="BA649" i="4" s="1"/>
  <c r="AE649" i="4"/>
  <c r="R649" i="4"/>
  <c r="Q649" i="4"/>
  <c r="BE648" i="4"/>
  <c r="AY648" i="4"/>
  <c r="AR648" i="4"/>
  <c r="AK648" i="4"/>
  <c r="AJ648" i="4"/>
  <c r="AF648" i="4"/>
  <c r="AE648" i="4"/>
  <c r="R648" i="4"/>
  <c r="X648" i="4" s="1"/>
  <c r="Q648" i="4"/>
  <c r="BE647" i="4"/>
  <c r="AY647" i="4"/>
  <c r="AR647" i="4"/>
  <c r="AK647" i="4"/>
  <c r="AJ647" i="4"/>
  <c r="AF647" i="4"/>
  <c r="BA647" i="4" s="1"/>
  <c r="AE647" i="4"/>
  <c r="R647" i="4"/>
  <c r="AG647" i="4" s="1"/>
  <c r="BB647" i="4" s="1"/>
  <c r="Q647" i="4"/>
  <c r="BE646" i="4"/>
  <c r="AY646" i="4"/>
  <c r="AR646" i="4"/>
  <c r="AK646" i="4"/>
  <c r="AJ646" i="4"/>
  <c r="AF646" i="4"/>
  <c r="BA646" i="4" s="1"/>
  <c r="AE646" i="4"/>
  <c r="R646" i="4"/>
  <c r="Q646" i="4"/>
  <c r="BE645" i="4"/>
  <c r="AY645" i="4"/>
  <c r="AR645" i="4"/>
  <c r="AK645" i="4"/>
  <c r="AJ645" i="4"/>
  <c r="AF645" i="4"/>
  <c r="BA645" i="4" s="1"/>
  <c r="AE645" i="4"/>
  <c r="R645" i="4"/>
  <c r="Q645" i="4"/>
  <c r="BE644" i="4"/>
  <c r="AY644" i="4"/>
  <c r="AR644" i="4"/>
  <c r="AK644" i="4"/>
  <c r="AJ644" i="4"/>
  <c r="AF644" i="4"/>
  <c r="AE644" i="4"/>
  <c r="R644" i="4"/>
  <c r="X644" i="4" s="1"/>
  <c r="Q644" i="4"/>
  <c r="BE643" i="4"/>
  <c r="AY643" i="4"/>
  <c r="AR643" i="4"/>
  <c r="AK643" i="4"/>
  <c r="AJ643" i="4"/>
  <c r="AF643" i="4"/>
  <c r="BA643" i="4" s="1"/>
  <c r="AE643" i="4"/>
  <c r="R643" i="4"/>
  <c r="AG643" i="4" s="1"/>
  <c r="BB643" i="4" s="1"/>
  <c r="Q643" i="4"/>
  <c r="BE642" i="4"/>
  <c r="AY642" i="4"/>
  <c r="AR642" i="4"/>
  <c r="AK642" i="4"/>
  <c r="AJ642" i="4"/>
  <c r="AF642" i="4"/>
  <c r="BA642" i="4" s="1"/>
  <c r="AE642" i="4"/>
  <c r="R642" i="4"/>
  <c r="Q642" i="4"/>
  <c r="BE641" i="4"/>
  <c r="AY641" i="4"/>
  <c r="AR641" i="4"/>
  <c r="AK641" i="4"/>
  <c r="AJ641" i="4"/>
  <c r="AF641" i="4"/>
  <c r="BA641" i="4" s="1"/>
  <c r="AE641" i="4"/>
  <c r="R641" i="4"/>
  <c r="Q641" i="4"/>
  <c r="BE640" i="4"/>
  <c r="AY640" i="4"/>
  <c r="AR640" i="4"/>
  <c r="AK640" i="4"/>
  <c r="AJ640" i="4"/>
  <c r="AF640" i="4"/>
  <c r="AE640" i="4"/>
  <c r="R640" i="4"/>
  <c r="X640" i="4" s="1"/>
  <c r="Q640" i="4"/>
  <c r="BE639" i="4"/>
  <c r="AY639" i="4"/>
  <c r="AR639" i="4"/>
  <c r="AK639" i="4"/>
  <c r="AJ639" i="4"/>
  <c r="AF639" i="4"/>
  <c r="BA639" i="4" s="1"/>
  <c r="AE639" i="4"/>
  <c r="R639" i="4"/>
  <c r="AG639" i="4" s="1"/>
  <c r="BB639" i="4" s="1"/>
  <c r="Q639" i="4"/>
  <c r="BE638" i="4"/>
  <c r="AY638" i="4"/>
  <c r="AR638" i="4"/>
  <c r="AK638" i="4"/>
  <c r="AJ638" i="4"/>
  <c r="AF638" i="4"/>
  <c r="BA638" i="4" s="1"/>
  <c r="AE638" i="4"/>
  <c r="R638" i="4"/>
  <c r="Q638" i="4"/>
  <c r="BE637" i="4"/>
  <c r="AY637" i="4"/>
  <c r="AR637" i="4"/>
  <c r="AK637" i="4"/>
  <c r="AJ637" i="4"/>
  <c r="AF637" i="4"/>
  <c r="BA637" i="4" s="1"/>
  <c r="AE637" i="4"/>
  <c r="R637" i="4"/>
  <c r="Q637" i="4"/>
  <c r="BE636" i="4"/>
  <c r="AY636" i="4"/>
  <c r="AR636" i="4"/>
  <c r="AK636" i="4"/>
  <c r="AJ636" i="4"/>
  <c r="AF636" i="4"/>
  <c r="AE636" i="4"/>
  <c r="R636" i="4"/>
  <c r="X636" i="4" s="1"/>
  <c r="Q636" i="4"/>
  <c r="BE635" i="4"/>
  <c r="AY635" i="4"/>
  <c r="AR635" i="4"/>
  <c r="AK635" i="4"/>
  <c r="AJ635" i="4"/>
  <c r="AF635" i="4"/>
  <c r="BA635" i="4" s="1"/>
  <c r="AE635" i="4"/>
  <c r="R635" i="4"/>
  <c r="AG635" i="4" s="1"/>
  <c r="BB635" i="4" s="1"/>
  <c r="Q635" i="4"/>
  <c r="BE634" i="4"/>
  <c r="AY634" i="4"/>
  <c r="AR634" i="4"/>
  <c r="AK634" i="4"/>
  <c r="AJ634" i="4"/>
  <c r="AF634" i="4"/>
  <c r="BA634" i="4" s="1"/>
  <c r="AE634" i="4"/>
  <c r="R634" i="4"/>
  <c r="Q634" i="4"/>
  <c r="BE633" i="4"/>
  <c r="AY633" i="4"/>
  <c r="AR633" i="4"/>
  <c r="AJ633" i="4"/>
  <c r="AF633" i="4"/>
  <c r="AE633" i="4"/>
  <c r="R633" i="4"/>
  <c r="X633" i="4" s="1"/>
  <c r="Q633" i="4"/>
  <c r="BE632" i="4"/>
  <c r="AY632" i="4"/>
  <c r="AR632" i="4"/>
  <c r="AJ632" i="4"/>
  <c r="AF632" i="4"/>
  <c r="BA632" i="4" s="1"/>
  <c r="AE632" i="4"/>
  <c r="R632" i="4"/>
  <c r="AG632" i="4" s="1"/>
  <c r="BB632" i="4" s="1"/>
  <c r="Q632" i="4"/>
  <c r="AY631" i="4"/>
  <c r="AR631" i="4"/>
  <c r="AF631" i="4"/>
  <c r="BA631" i="4" s="1"/>
  <c r="AE631" i="4"/>
  <c r="R631" i="4"/>
  <c r="BE630" i="4"/>
  <c r="AY630" i="4"/>
  <c r="AR630" i="4"/>
  <c r="AJ630" i="4"/>
  <c r="AF630" i="4"/>
  <c r="BA630" i="4" s="1"/>
  <c r="AE630" i="4"/>
  <c r="R630" i="4"/>
  <c r="AG630" i="4" s="1"/>
  <c r="BB630" i="4" s="1"/>
  <c r="Q630" i="4"/>
  <c r="AY629" i="4"/>
  <c r="AR629" i="4"/>
  <c r="AF629" i="4"/>
  <c r="BA629" i="4" s="1"/>
  <c r="AE629" i="4"/>
  <c r="R629" i="4"/>
  <c r="AG629" i="4" s="1"/>
  <c r="BB629" i="4" s="1"/>
  <c r="BE628" i="4"/>
  <c r="AY628" i="4"/>
  <c r="AR628" i="4"/>
  <c r="AJ628" i="4"/>
  <c r="AF628" i="4"/>
  <c r="AE628" i="4"/>
  <c r="R628" i="4"/>
  <c r="X628" i="4" s="1"/>
  <c r="Q628" i="4"/>
  <c r="AY627" i="4"/>
  <c r="AR627" i="4"/>
  <c r="AF627" i="4"/>
  <c r="AE627" i="4"/>
  <c r="R627" i="4"/>
  <c r="X627" i="4" s="1"/>
  <c r="BE626" i="4"/>
  <c r="AY626" i="4"/>
  <c r="AR626" i="4"/>
  <c r="AJ626" i="4"/>
  <c r="AF626" i="4"/>
  <c r="BA626" i="4" s="1"/>
  <c r="AE626" i="4"/>
  <c r="R626" i="4"/>
  <c r="Q626" i="4"/>
  <c r="AY625" i="4"/>
  <c r="AR625" i="4"/>
  <c r="AF625" i="4"/>
  <c r="BA625" i="4" s="1"/>
  <c r="AE625" i="4"/>
  <c r="R625" i="4"/>
  <c r="AY624" i="4"/>
  <c r="AR624" i="4"/>
  <c r="AF624" i="4"/>
  <c r="AE624" i="4"/>
  <c r="R624" i="4"/>
  <c r="X624" i="4" s="1"/>
  <c r="AY623" i="4"/>
  <c r="AR623" i="4"/>
  <c r="AF623" i="4"/>
  <c r="BA623" i="4" s="1"/>
  <c r="AE623" i="4"/>
  <c r="R623" i="4"/>
  <c r="AG623" i="4" s="1"/>
  <c r="BB623" i="4" s="1"/>
  <c r="AY622" i="4"/>
  <c r="AR622" i="4"/>
  <c r="AF622" i="4"/>
  <c r="BA622" i="4" s="1"/>
  <c r="AE622" i="4"/>
  <c r="R622" i="4"/>
  <c r="BE621" i="4"/>
  <c r="AY621" i="4"/>
  <c r="AR621" i="4"/>
  <c r="AK621" i="4"/>
  <c r="AJ621" i="4"/>
  <c r="AF621" i="4"/>
  <c r="AE621" i="4"/>
  <c r="R621" i="4"/>
  <c r="X621" i="4" s="1"/>
  <c r="Q621" i="4"/>
  <c r="BE620" i="4"/>
  <c r="AY620" i="4"/>
  <c r="AR620" i="4"/>
  <c r="AK620" i="4"/>
  <c r="AJ620" i="4"/>
  <c r="AF620" i="4"/>
  <c r="BA620" i="4" s="1"/>
  <c r="AE620" i="4"/>
  <c r="R620" i="4"/>
  <c r="AG620" i="4" s="1"/>
  <c r="BB620" i="4" s="1"/>
  <c r="Q620" i="4"/>
  <c r="BE619" i="4"/>
  <c r="AY619" i="4"/>
  <c r="AR619" i="4"/>
  <c r="AK619" i="4"/>
  <c r="AJ619" i="4"/>
  <c r="AF619" i="4"/>
  <c r="BA619" i="4" s="1"/>
  <c r="AE619" i="4"/>
  <c r="R619" i="4"/>
  <c r="Q619" i="4"/>
  <c r="BE618" i="4"/>
  <c r="AY618" i="4"/>
  <c r="AR618" i="4"/>
  <c r="AK618" i="4"/>
  <c r="AJ618" i="4"/>
  <c r="AF618" i="4"/>
  <c r="BA618" i="4" s="1"/>
  <c r="AE618" i="4"/>
  <c r="R618" i="4"/>
  <c r="X618" i="4" s="1"/>
  <c r="Q618" i="4"/>
  <c r="BE617" i="4"/>
  <c r="AY617" i="4"/>
  <c r="AR617" i="4"/>
  <c r="AK617" i="4"/>
  <c r="AJ617" i="4"/>
  <c r="AF617" i="4"/>
  <c r="AE617" i="4"/>
  <c r="R617" i="4"/>
  <c r="X617" i="4" s="1"/>
  <c r="Q617" i="4"/>
  <c r="BE616" i="4"/>
  <c r="AY616" i="4"/>
  <c r="AR616" i="4"/>
  <c r="AK616" i="4"/>
  <c r="AJ616" i="4"/>
  <c r="AF616" i="4"/>
  <c r="BA616" i="4" s="1"/>
  <c r="AE616" i="4"/>
  <c r="R616" i="4"/>
  <c r="AG616" i="4" s="1"/>
  <c r="BB616" i="4" s="1"/>
  <c r="Q616" i="4"/>
  <c r="BE615" i="4"/>
  <c r="AY615" i="4"/>
  <c r="AR615" i="4"/>
  <c r="AK615" i="4"/>
  <c r="AJ615" i="4"/>
  <c r="AF615" i="4"/>
  <c r="BA615" i="4" s="1"/>
  <c r="AE615" i="4"/>
  <c r="R615" i="4"/>
  <c r="AG615" i="4" s="1"/>
  <c r="BB615" i="4" s="1"/>
  <c r="Q615" i="4"/>
  <c r="BE614" i="4"/>
  <c r="AY614" i="4"/>
  <c r="AR614" i="4"/>
  <c r="AK614" i="4"/>
  <c r="AJ614" i="4"/>
  <c r="AF614" i="4"/>
  <c r="BA614" i="4" s="1"/>
  <c r="AE614" i="4"/>
  <c r="R614" i="4"/>
  <c r="X614" i="4" s="1"/>
  <c r="Q614" i="4"/>
  <c r="BE613" i="4"/>
  <c r="AY613" i="4"/>
  <c r="AR613" i="4"/>
  <c r="AK613" i="4"/>
  <c r="AJ613" i="4"/>
  <c r="AF613" i="4"/>
  <c r="AE613" i="4"/>
  <c r="R613" i="4"/>
  <c r="X613" i="4" s="1"/>
  <c r="Q613" i="4"/>
  <c r="BE612" i="4"/>
  <c r="AY612" i="4"/>
  <c r="AR612" i="4"/>
  <c r="AK612" i="4"/>
  <c r="AJ612" i="4"/>
  <c r="AF612" i="4"/>
  <c r="BA612" i="4" s="1"/>
  <c r="AE612" i="4"/>
  <c r="R612" i="4"/>
  <c r="AG612" i="4" s="1"/>
  <c r="BB612" i="4" s="1"/>
  <c r="Q612" i="4"/>
  <c r="BE611" i="4"/>
  <c r="AY611" i="4"/>
  <c r="AR611" i="4"/>
  <c r="AK611" i="4"/>
  <c r="AJ611" i="4"/>
  <c r="AF611" i="4"/>
  <c r="BA611" i="4" s="1"/>
  <c r="AE611" i="4"/>
  <c r="R611" i="4"/>
  <c r="AG611" i="4" s="1"/>
  <c r="BB611" i="4" s="1"/>
  <c r="Q611" i="4"/>
  <c r="BE610" i="4"/>
  <c r="AY610" i="4"/>
  <c r="AR610" i="4"/>
  <c r="AK610" i="4"/>
  <c r="AJ610" i="4"/>
  <c r="AF610" i="4"/>
  <c r="BA610" i="4" s="1"/>
  <c r="AE610" i="4"/>
  <c r="R610" i="4"/>
  <c r="X610" i="4" s="1"/>
  <c r="Q610" i="4"/>
  <c r="BE609" i="4"/>
  <c r="AY609" i="4"/>
  <c r="AR609" i="4"/>
  <c r="AK609" i="4"/>
  <c r="AJ609" i="4"/>
  <c r="AF609" i="4"/>
  <c r="AE609" i="4"/>
  <c r="R609" i="4"/>
  <c r="X609" i="4" s="1"/>
  <c r="Q609" i="4"/>
  <c r="BE608" i="4"/>
  <c r="AY608" i="4"/>
  <c r="AR608" i="4"/>
  <c r="AK608" i="4"/>
  <c r="AJ608" i="4"/>
  <c r="AF608" i="4"/>
  <c r="BA608" i="4" s="1"/>
  <c r="AE608" i="4"/>
  <c r="R608" i="4"/>
  <c r="AG608" i="4" s="1"/>
  <c r="BB608" i="4" s="1"/>
  <c r="Q608" i="4"/>
  <c r="BE607" i="4"/>
  <c r="AY607" i="4"/>
  <c r="AR607" i="4"/>
  <c r="AK607" i="4"/>
  <c r="AJ607" i="4"/>
  <c r="AF607" i="4"/>
  <c r="BA607" i="4" s="1"/>
  <c r="AE607" i="4"/>
  <c r="R607" i="4"/>
  <c r="AG607" i="4" s="1"/>
  <c r="BB607" i="4" s="1"/>
  <c r="Q607" i="4"/>
  <c r="BE606" i="4"/>
  <c r="AY606" i="4"/>
  <c r="AR606" i="4"/>
  <c r="AK606" i="4"/>
  <c r="AJ606" i="4"/>
  <c r="AF606" i="4"/>
  <c r="BA606" i="4" s="1"/>
  <c r="AE606" i="4"/>
  <c r="R606" i="4"/>
  <c r="X606" i="4" s="1"/>
  <c r="Q606" i="4"/>
  <c r="BE605" i="4"/>
  <c r="AY605" i="4"/>
  <c r="AR605" i="4"/>
  <c r="AK605" i="4"/>
  <c r="AJ605" i="4"/>
  <c r="AF605" i="4"/>
  <c r="AE605" i="4"/>
  <c r="R605" i="4"/>
  <c r="X605" i="4" s="1"/>
  <c r="Q605" i="4"/>
  <c r="BE604" i="4"/>
  <c r="AY604" i="4"/>
  <c r="AR604" i="4"/>
  <c r="AK604" i="4"/>
  <c r="AJ604" i="4"/>
  <c r="AF604" i="4"/>
  <c r="BA604" i="4" s="1"/>
  <c r="AE604" i="4"/>
  <c r="R604" i="4"/>
  <c r="AG604" i="4" s="1"/>
  <c r="BB604" i="4" s="1"/>
  <c r="Q604" i="4"/>
  <c r="BE603" i="4"/>
  <c r="AY603" i="4"/>
  <c r="AR603" i="4"/>
  <c r="AK603" i="4"/>
  <c r="AJ603" i="4"/>
  <c r="AF603" i="4"/>
  <c r="BA603" i="4" s="1"/>
  <c r="AE603" i="4"/>
  <c r="R603" i="4"/>
  <c r="Q603" i="4"/>
  <c r="BE602" i="4"/>
  <c r="AY602" i="4"/>
  <c r="AR602" i="4"/>
  <c r="AK602" i="4"/>
  <c r="AJ602" i="4"/>
  <c r="AF602" i="4"/>
  <c r="BA602" i="4" s="1"/>
  <c r="AE602" i="4"/>
  <c r="R602" i="4"/>
  <c r="X602" i="4" s="1"/>
  <c r="Q602" i="4"/>
  <c r="BE601" i="4"/>
  <c r="AY601" i="4"/>
  <c r="AR601" i="4"/>
  <c r="AK601" i="4"/>
  <c r="AJ601" i="4"/>
  <c r="AF601" i="4"/>
  <c r="AE601" i="4"/>
  <c r="R601" i="4"/>
  <c r="Q601" i="4"/>
  <c r="BE600" i="4"/>
  <c r="AY600" i="4"/>
  <c r="AR600" i="4"/>
  <c r="AK600" i="4"/>
  <c r="AJ600" i="4"/>
  <c r="AF600" i="4"/>
  <c r="BA600" i="4" s="1"/>
  <c r="AE600" i="4"/>
  <c r="R600" i="4"/>
  <c r="AG600" i="4" s="1"/>
  <c r="BB600" i="4" s="1"/>
  <c r="Q600" i="4"/>
  <c r="BE599" i="4"/>
  <c r="AY599" i="4"/>
  <c r="AR599" i="4"/>
  <c r="AK599" i="4"/>
  <c r="AJ599" i="4"/>
  <c r="AF599" i="4"/>
  <c r="BA599" i="4" s="1"/>
  <c r="AE599" i="4"/>
  <c r="R599" i="4"/>
  <c r="AG599" i="4" s="1"/>
  <c r="BB599" i="4" s="1"/>
  <c r="Q599" i="4"/>
  <c r="BE598" i="4"/>
  <c r="AY598" i="4"/>
  <c r="AR598" i="4"/>
  <c r="AK598" i="4"/>
  <c r="AJ598" i="4"/>
  <c r="AF598" i="4"/>
  <c r="BA598" i="4" s="1"/>
  <c r="AE598" i="4"/>
  <c r="R598" i="4"/>
  <c r="Q598" i="4"/>
  <c r="BE597" i="4"/>
  <c r="AY597" i="4"/>
  <c r="AR597" i="4"/>
  <c r="AK597" i="4"/>
  <c r="AJ597" i="4"/>
  <c r="AF597" i="4"/>
  <c r="AE597" i="4"/>
  <c r="R597" i="4"/>
  <c r="X597" i="4" s="1"/>
  <c r="Q597" i="4"/>
  <c r="BE596" i="4"/>
  <c r="AY596" i="4"/>
  <c r="AR596" i="4"/>
  <c r="AK596" i="4"/>
  <c r="AJ596" i="4"/>
  <c r="AF596" i="4"/>
  <c r="BA596" i="4" s="1"/>
  <c r="AE596" i="4"/>
  <c r="R596" i="4"/>
  <c r="AG596" i="4" s="1"/>
  <c r="BB596" i="4" s="1"/>
  <c r="Q596" i="4"/>
  <c r="BE595" i="4"/>
  <c r="AY595" i="4"/>
  <c r="AR595" i="4"/>
  <c r="AK595" i="4"/>
  <c r="AJ595" i="4"/>
  <c r="AF595" i="4"/>
  <c r="BA595" i="4" s="1"/>
  <c r="AE595" i="4"/>
  <c r="R595" i="4"/>
  <c r="AG595" i="4" s="1"/>
  <c r="BB595" i="4" s="1"/>
  <c r="Q595" i="4"/>
  <c r="BE594" i="4"/>
  <c r="AY594" i="4"/>
  <c r="AR594" i="4"/>
  <c r="AK594" i="4"/>
  <c r="AJ594" i="4"/>
  <c r="AF594" i="4"/>
  <c r="BA594" i="4" s="1"/>
  <c r="AE594" i="4"/>
  <c r="R594" i="4"/>
  <c r="AG594" i="4" s="1"/>
  <c r="Q594" i="4"/>
  <c r="BE593" i="4"/>
  <c r="AY593" i="4"/>
  <c r="AR593" i="4"/>
  <c r="AK593" i="4"/>
  <c r="AJ593" i="4"/>
  <c r="AF593" i="4"/>
  <c r="AE593" i="4"/>
  <c r="R593" i="4"/>
  <c r="Q593" i="4"/>
  <c r="BE592" i="4"/>
  <c r="AY592" i="4"/>
  <c r="AR592" i="4"/>
  <c r="AK592" i="4"/>
  <c r="AJ592" i="4"/>
  <c r="AF592" i="4"/>
  <c r="BA592" i="4" s="1"/>
  <c r="AE592" i="4"/>
  <c r="R592" i="4"/>
  <c r="AG592" i="4" s="1"/>
  <c r="BB592" i="4" s="1"/>
  <c r="Q592" i="4"/>
  <c r="BE591" i="4"/>
  <c r="AY591" i="4"/>
  <c r="AR591" i="4"/>
  <c r="AK591" i="4"/>
  <c r="AJ591" i="4"/>
  <c r="AF591" i="4"/>
  <c r="BA591" i="4" s="1"/>
  <c r="AE591" i="4"/>
  <c r="R591" i="4"/>
  <c r="Q591" i="4"/>
  <c r="BE590" i="4"/>
  <c r="AY590" i="4"/>
  <c r="AR590" i="4"/>
  <c r="AK590" i="4"/>
  <c r="AJ590" i="4"/>
  <c r="AF590" i="4"/>
  <c r="BA590" i="4" s="1"/>
  <c r="AE590" i="4"/>
  <c r="R590" i="4"/>
  <c r="AG590" i="4" s="1"/>
  <c r="Q590" i="4"/>
  <c r="BE589" i="4"/>
  <c r="AY589" i="4"/>
  <c r="AR589" i="4"/>
  <c r="AK589" i="4"/>
  <c r="AJ589" i="4"/>
  <c r="AF589" i="4"/>
  <c r="BA589" i="4" s="1"/>
  <c r="AE589" i="4"/>
  <c r="R589" i="4"/>
  <c r="Q589" i="4"/>
  <c r="BE588" i="4"/>
  <c r="AY588" i="4"/>
  <c r="AR588" i="4"/>
  <c r="AK588" i="4"/>
  <c r="AJ588" i="4"/>
  <c r="AF588" i="4"/>
  <c r="AE588" i="4"/>
  <c r="R588" i="4"/>
  <c r="X588" i="4" s="1"/>
  <c r="Q588" i="4"/>
  <c r="BE587" i="4"/>
  <c r="AY587" i="4"/>
  <c r="AR587" i="4"/>
  <c r="AK587" i="4"/>
  <c r="AJ587" i="4"/>
  <c r="AF587" i="4"/>
  <c r="AE587" i="4"/>
  <c r="R587" i="4"/>
  <c r="Q587" i="4"/>
  <c r="BE586" i="4"/>
  <c r="AY586" i="4"/>
  <c r="AR586" i="4"/>
  <c r="AK586" i="4"/>
  <c r="AJ586" i="4"/>
  <c r="AF586" i="4"/>
  <c r="BA586" i="4" s="1"/>
  <c r="AE586" i="4"/>
  <c r="R586" i="4"/>
  <c r="AG586" i="4" s="1"/>
  <c r="BB586" i="4" s="1"/>
  <c r="Q586" i="4"/>
  <c r="BE585" i="4"/>
  <c r="AY585" i="4"/>
  <c r="AR585" i="4"/>
  <c r="AK585" i="4"/>
  <c r="AJ585" i="4"/>
  <c r="AF585" i="4"/>
  <c r="AE585" i="4"/>
  <c r="R585" i="4"/>
  <c r="AG585" i="4" s="1"/>
  <c r="BB585" i="4" s="1"/>
  <c r="Q585" i="4"/>
  <c r="BE584" i="4"/>
  <c r="AY584" i="4"/>
  <c r="AR584" i="4"/>
  <c r="AK584" i="4"/>
  <c r="AJ584" i="4"/>
  <c r="AF584" i="4"/>
  <c r="BA584" i="4" s="1"/>
  <c r="AE584" i="4"/>
  <c r="R584" i="4"/>
  <c r="Q584" i="4"/>
  <c r="BE583" i="4"/>
  <c r="AY583" i="4"/>
  <c r="AR583" i="4"/>
  <c r="AK583" i="4"/>
  <c r="AJ583" i="4"/>
  <c r="AF583" i="4"/>
  <c r="BA583" i="4" s="1"/>
  <c r="AE583" i="4"/>
  <c r="R583" i="4"/>
  <c r="Q583" i="4"/>
  <c r="BE582" i="4"/>
  <c r="AY582" i="4"/>
  <c r="AR582" i="4"/>
  <c r="AK582" i="4"/>
  <c r="AJ582" i="4"/>
  <c r="AF582" i="4"/>
  <c r="BA582" i="4" s="1"/>
  <c r="AE582" i="4"/>
  <c r="R582" i="4"/>
  <c r="AG582" i="4" s="1"/>
  <c r="Q582" i="4"/>
  <c r="BE581" i="4"/>
  <c r="AY581" i="4"/>
  <c r="AR581" i="4"/>
  <c r="AK581" i="4"/>
  <c r="AJ581" i="4"/>
  <c r="AF581" i="4"/>
  <c r="BA581" i="4" s="1"/>
  <c r="AE581" i="4"/>
  <c r="R581" i="4"/>
  <c r="AG581" i="4" s="1"/>
  <c r="BB581" i="4" s="1"/>
  <c r="Q581" i="4"/>
  <c r="BE580" i="4"/>
  <c r="AY580" i="4"/>
  <c r="AR580" i="4"/>
  <c r="AK580" i="4"/>
  <c r="AJ580" i="4"/>
  <c r="AF580" i="4"/>
  <c r="AE580" i="4"/>
  <c r="R580" i="4"/>
  <c r="AG580" i="4" s="1"/>
  <c r="BB580" i="4" s="1"/>
  <c r="Q580" i="4"/>
  <c r="BE579" i="4"/>
  <c r="AY579" i="4"/>
  <c r="AR579" i="4"/>
  <c r="AK579" i="4"/>
  <c r="AJ579" i="4"/>
  <c r="AF579" i="4"/>
  <c r="BA579" i="4" s="1"/>
  <c r="AE579" i="4"/>
  <c r="R579" i="4"/>
  <c r="AG579" i="4" s="1"/>
  <c r="Q579" i="4"/>
  <c r="BE578" i="4"/>
  <c r="AY578" i="4"/>
  <c r="AR578" i="4"/>
  <c r="AK578" i="4"/>
  <c r="AJ578" i="4"/>
  <c r="AF578" i="4"/>
  <c r="BA578" i="4" s="1"/>
  <c r="AE578" i="4"/>
  <c r="R578" i="4"/>
  <c r="AG578" i="4" s="1"/>
  <c r="BB578" i="4" s="1"/>
  <c r="Q578" i="4"/>
  <c r="BE577" i="4"/>
  <c r="AY577" i="4"/>
  <c r="AR577" i="4"/>
  <c r="AK577" i="4"/>
  <c r="AJ577" i="4"/>
  <c r="AF577" i="4"/>
  <c r="AE577" i="4"/>
  <c r="R577" i="4"/>
  <c r="Q577" i="4"/>
  <c r="BE576" i="4"/>
  <c r="AY576" i="4"/>
  <c r="AR576" i="4"/>
  <c r="AK576" i="4"/>
  <c r="AJ576" i="4"/>
  <c r="AF576" i="4"/>
  <c r="AE576" i="4"/>
  <c r="R576" i="4"/>
  <c r="AG576" i="4" s="1"/>
  <c r="BB576" i="4" s="1"/>
  <c r="Q576" i="4"/>
  <c r="BE575" i="4"/>
  <c r="AY575" i="4"/>
  <c r="AR575" i="4"/>
  <c r="AK575" i="4"/>
  <c r="AJ575" i="4"/>
  <c r="AF575" i="4"/>
  <c r="BA575" i="4" s="1"/>
  <c r="AE575" i="4"/>
  <c r="R575" i="4"/>
  <c r="AG575" i="4" s="1"/>
  <c r="Q575" i="4"/>
  <c r="BE574" i="4"/>
  <c r="AY574" i="4"/>
  <c r="AR574" i="4"/>
  <c r="AK574" i="4"/>
  <c r="AJ574" i="4"/>
  <c r="AF574" i="4"/>
  <c r="BA574" i="4" s="1"/>
  <c r="AE574" i="4"/>
  <c r="R574" i="4"/>
  <c r="Q574" i="4"/>
  <c r="BE573" i="4"/>
  <c r="AY573" i="4"/>
  <c r="AR573" i="4"/>
  <c r="AK573" i="4"/>
  <c r="AJ573" i="4"/>
  <c r="AF573" i="4"/>
  <c r="AE573" i="4"/>
  <c r="R573" i="4"/>
  <c r="X573" i="4" s="1"/>
  <c r="Q573" i="4"/>
  <c r="BE572" i="4"/>
  <c r="AY572" i="4"/>
  <c r="AR572" i="4"/>
  <c r="AK572" i="4"/>
  <c r="AJ572" i="4"/>
  <c r="AF572" i="4"/>
  <c r="AE572" i="4"/>
  <c r="R572" i="4"/>
  <c r="AG572" i="4" s="1"/>
  <c r="BB572" i="4" s="1"/>
  <c r="Q572" i="4"/>
  <c r="BE571" i="4"/>
  <c r="AY571" i="4"/>
  <c r="AR571" i="4"/>
  <c r="AK571" i="4"/>
  <c r="AJ571" i="4"/>
  <c r="AF571" i="4"/>
  <c r="BA571" i="4" s="1"/>
  <c r="AE571" i="4"/>
  <c r="R571" i="4"/>
  <c r="AG571" i="4" s="1"/>
  <c r="Q571" i="4"/>
  <c r="BE570" i="4"/>
  <c r="AY570" i="4"/>
  <c r="AR570" i="4"/>
  <c r="AK570" i="4"/>
  <c r="AJ570" i="4"/>
  <c r="AF570" i="4"/>
  <c r="BA570" i="4" s="1"/>
  <c r="AE570" i="4"/>
  <c r="R570" i="4"/>
  <c r="Q570" i="4"/>
  <c r="AY569" i="4"/>
  <c r="AR569" i="4"/>
  <c r="AF569" i="4"/>
  <c r="BA569" i="4" s="1"/>
  <c r="AE569" i="4"/>
  <c r="R569" i="4"/>
  <c r="AY568" i="4"/>
  <c r="AR568" i="4"/>
  <c r="AF568" i="4"/>
  <c r="AE568" i="4"/>
  <c r="R568" i="4"/>
  <c r="X568" i="4" s="1"/>
  <c r="AY567" i="4"/>
  <c r="AR567" i="4"/>
  <c r="AF567" i="4"/>
  <c r="AE567" i="4"/>
  <c r="R567" i="4"/>
  <c r="AG567" i="4" s="1"/>
  <c r="BB567" i="4" s="1"/>
  <c r="BE566" i="4"/>
  <c r="AY566" i="4"/>
  <c r="AR566" i="4"/>
  <c r="AK566" i="4"/>
  <c r="AJ566" i="4"/>
  <c r="AF566" i="4"/>
  <c r="BA566" i="4" s="1"/>
  <c r="AE566" i="4"/>
  <c r="R566" i="4"/>
  <c r="Q566" i="4"/>
  <c r="BE565" i="4"/>
  <c r="AY565" i="4"/>
  <c r="AR565" i="4"/>
  <c r="AK565" i="4"/>
  <c r="AJ565" i="4"/>
  <c r="AF565" i="4"/>
  <c r="AE565" i="4"/>
  <c r="R565" i="4"/>
  <c r="X565" i="4" s="1"/>
  <c r="Q565" i="4"/>
  <c r="BE564" i="4"/>
  <c r="AY564" i="4"/>
  <c r="AR564" i="4"/>
  <c r="AK564" i="4"/>
  <c r="AJ564" i="4"/>
  <c r="AF564" i="4"/>
  <c r="AE564" i="4"/>
  <c r="R564" i="4"/>
  <c r="AG564" i="4" s="1"/>
  <c r="BB564" i="4" s="1"/>
  <c r="Q564" i="4"/>
  <c r="BE563" i="4"/>
  <c r="AY563" i="4"/>
  <c r="AR563" i="4"/>
  <c r="AK563" i="4"/>
  <c r="AJ563" i="4"/>
  <c r="AF563" i="4"/>
  <c r="BA563" i="4" s="1"/>
  <c r="AE563" i="4"/>
  <c r="R563" i="4"/>
  <c r="Q563" i="4"/>
  <c r="BE562" i="4"/>
  <c r="AY562" i="4"/>
  <c r="AR562" i="4"/>
  <c r="AK562" i="4"/>
  <c r="AJ562" i="4"/>
  <c r="AF562" i="4"/>
  <c r="BA562" i="4" s="1"/>
  <c r="AE562" i="4"/>
  <c r="R562" i="4"/>
  <c r="X562" i="4" s="1"/>
  <c r="Q562" i="4"/>
  <c r="BE561" i="4"/>
  <c r="AY561" i="4"/>
  <c r="AR561" i="4"/>
  <c r="AK561" i="4"/>
  <c r="AJ561" i="4"/>
  <c r="AF561" i="4"/>
  <c r="AE561" i="4"/>
  <c r="R561" i="4"/>
  <c r="X561" i="4" s="1"/>
  <c r="Q561" i="4"/>
  <c r="BE560" i="4"/>
  <c r="AY560" i="4"/>
  <c r="AR560" i="4"/>
  <c r="AK560" i="4"/>
  <c r="AJ560" i="4"/>
  <c r="AF560" i="4"/>
  <c r="BA560" i="4" s="1"/>
  <c r="AE560" i="4"/>
  <c r="R560" i="4"/>
  <c r="AG560" i="4" s="1"/>
  <c r="BB560" i="4" s="1"/>
  <c r="Q560" i="4"/>
  <c r="BE559" i="4"/>
  <c r="AY559" i="4"/>
  <c r="AR559" i="4"/>
  <c r="AK559" i="4"/>
  <c r="AJ559" i="4"/>
  <c r="AF559" i="4"/>
  <c r="BA559" i="4" s="1"/>
  <c r="AE559" i="4"/>
  <c r="R559" i="4"/>
  <c r="Q559" i="4"/>
  <c r="BE558" i="4"/>
  <c r="AY558" i="4"/>
  <c r="AR558" i="4"/>
  <c r="AK558" i="4"/>
  <c r="AJ558" i="4"/>
  <c r="AF558" i="4"/>
  <c r="BA558" i="4" s="1"/>
  <c r="AE558" i="4"/>
  <c r="R558" i="4"/>
  <c r="AG558" i="4" s="1"/>
  <c r="Q558" i="4"/>
  <c r="BE557" i="4"/>
  <c r="AY557" i="4"/>
  <c r="AR557" i="4"/>
  <c r="AK557" i="4"/>
  <c r="AJ557" i="4"/>
  <c r="AF557" i="4"/>
  <c r="AE557" i="4"/>
  <c r="R557" i="4"/>
  <c r="X557" i="4" s="1"/>
  <c r="Q557" i="4"/>
  <c r="BE556" i="4"/>
  <c r="AY556" i="4"/>
  <c r="AR556" i="4"/>
  <c r="AK556" i="4"/>
  <c r="AJ556" i="4"/>
  <c r="AF556" i="4"/>
  <c r="AE556" i="4"/>
  <c r="R556" i="4"/>
  <c r="AG556" i="4" s="1"/>
  <c r="BB556" i="4" s="1"/>
  <c r="Q556" i="4"/>
  <c r="BE555" i="4"/>
  <c r="AY555" i="4"/>
  <c r="AR555" i="4"/>
  <c r="AK555" i="4"/>
  <c r="AJ555" i="4"/>
  <c r="AF555" i="4"/>
  <c r="BA555" i="4" s="1"/>
  <c r="AE555" i="4"/>
  <c r="R555" i="4"/>
  <c r="AG555" i="4" s="1"/>
  <c r="BB555" i="4" s="1"/>
  <c r="Q555" i="4"/>
  <c r="BE554" i="4"/>
  <c r="AY554" i="4"/>
  <c r="AR554" i="4"/>
  <c r="AK554" i="4"/>
  <c r="AJ554" i="4"/>
  <c r="AF554" i="4"/>
  <c r="BA554" i="4" s="1"/>
  <c r="AE554" i="4"/>
  <c r="R554" i="4"/>
  <c r="Q554" i="4"/>
  <c r="AY553" i="4"/>
  <c r="AR553" i="4"/>
  <c r="AF553" i="4"/>
  <c r="BA553" i="4" s="1"/>
  <c r="AE553" i="4"/>
  <c r="R553" i="4"/>
  <c r="AY552" i="4"/>
  <c r="AR552" i="4"/>
  <c r="AF552" i="4"/>
  <c r="AE552" i="4"/>
  <c r="R552" i="4"/>
  <c r="X552" i="4" s="1"/>
  <c r="AY551" i="4"/>
  <c r="AR551" i="4"/>
  <c r="AF551" i="4"/>
  <c r="AE551" i="4"/>
  <c r="R551" i="4"/>
  <c r="AG551" i="4" s="1"/>
  <c r="BB551" i="4" s="1"/>
  <c r="AY550" i="4"/>
  <c r="AR550" i="4"/>
  <c r="AF550" i="4"/>
  <c r="BA550" i="4" s="1"/>
  <c r="AE550" i="4"/>
  <c r="R550" i="4"/>
  <c r="AY549" i="4"/>
  <c r="AR549" i="4"/>
  <c r="AF549" i="4"/>
  <c r="BA549" i="4" s="1"/>
  <c r="AE549" i="4"/>
  <c r="R549" i="4"/>
  <c r="AY548" i="4"/>
  <c r="AR548" i="4"/>
  <c r="AF548" i="4"/>
  <c r="BA548" i="4" s="1"/>
  <c r="AE548" i="4"/>
  <c r="R548" i="4"/>
  <c r="X548" i="4" s="1"/>
  <c r="AY547" i="4"/>
  <c r="AR547" i="4"/>
  <c r="AF547" i="4"/>
  <c r="AE547" i="4"/>
  <c r="R547" i="4"/>
  <c r="AG547" i="4" s="1"/>
  <c r="BB547" i="4" s="1"/>
  <c r="AY546" i="4"/>
  <c r="AR546" i="4"/>
  <c r="AF546" i="4"/>
  <c r="BA546" i="4" s="1"/>
  <c r="AE546" i="4"/>
  <c r="R546" i="4"/>
  <c r="AG546" i="4" s="1"/>
  <c r="AY545" i="4"/>
  <c r="AR545" i="4"/>
  <c r="AF545" i="4"/>
  <c r="BA545" i="4" s="1"/>
  <c r="AE545" i="4"/>
  <c r="R545" i="4"/>
  <c r="BE544" i="4"/>
  <c r="AY544" i="4"/>
  <c r="AR544" i="4"/>
  <c r="AJ544" i="4"/>
  <c r="AF544" i="4"/>
  <c r="BA544" i="4" s="1"/>
  <c r="AE544" i="4"/>
  <c r="R544" i="4"/>
  <c r="AG544" i="4" s="1"/>
  <c r="BB544" i="4" s="1"/>
  <c r="BE543" i="4"/>
  <c r="AY543" i="4"/>
  <c r="AR543" i="4"/>
  <c r="AJ543" i="4"/>
  <c r="AF543" i="4"/>
  <c r="AE543" i="4"/>
  <c r="R543" i="4"/>
  <c r="AG543" i="4" s="1"/>
  <c r="BB543" i="4" s="1"/>
  <c r="AY542" i="4"/>
  <c r="AR542" i="4"/>
  <c r="AG542" i="4"/>
  <c r="BB542" i="4" s="1"/>
  <c r="AE542" i="4"/>
  <c r="X542" i="4"/>
  <c r="BE541" i="4"/>
  <c r="AY541" i="4"/>
  <c r="AR541" i="4"/>
  <c r="AJ541" i="4"/>
  <c r="AF541" i="4"/>
  <c r="BA541" i="4" s="1"/>
  <c r="AE541" i="4"/>
  <c r="R541" i="4"/>
  <c r="Q541" i="4"/>
  <c r="BE540" i="4"/>
  <c r="AY540" i="4"/>
  <c r="AR540" i="4"/>
  <c r="AJ540" i="4"/>
  <c r="AF540" i="4"/>
  <c r="BA540" i="4" s="1"/>
  <c r="AE540" i="4"/>
  <c r="R540" i="4"/>
  <c r="Q540" i="4"/>
  <c r="AY539" i="4"/>
  <c r="AR539" i="4"/>
  <c r="AF539" i="4"/>
  <c r="BA539" i="4" s="1"/>
  <c r="AE539" i="4"/>
  <c r="R539" i="4"/>
  <c r="AG539" i="4" s="1"/>
  <c r="AX538" i="4"/>
  <c r="AX1086" i="4" s="1"/>
  <c r="AW538" i="4"/>
  <c r="AW1086" i="4" s="1"/>
  <c r="AV538" i="4"/>
  <c r="AV1086" i="4" s="1"/>
  <c r="AU538" i="4"/>
  <c r="AU1086" i="4" s="1"/>
  <c r="AT538" i="4"/>
  <c r="AT1086" i="4" s="1"/>
  <c r="AS538" i="4"/>
  <c r="AS1086" i="4" s="1"/>
  <c r="AQ538" i="4"/>
  <c r="AQ1086" i="4" s="1"/>
  <c r="AP538" i="4"/>
  <c r="AP1086" i="4" s="1"/>
  <c r="AO538" i="4"/>
  <c r="AO1086" i="4" s="1"/>
  <c r="AN538" i="4"/>
  <c r="AN1086" i="4" s="1"/>
  <c r="AM538" i="4"/>
  <c r="AM1086" i="4" s="1"/>
  <c r="AL538" i="4"/>
  <c r="AL1086" i="4" s="1"/>
  <c r="AD538" i="4"/>
  <c r="AD1086" i="4" s="1"/>
  <c r="AC538" i="4"/>
  <c r="AC1086" i="4" s="1"/>
  <c r="AB538" i="4"/>
  <c r="AB1086" i="4" s="1"/>
  <c r="AA538" i="4"/>
  <c r="AA1086" i="4" s="1"/>
  <c r="Z538" i="4"/>
  <c r="Z1086" i="4" s="1"/>
  <c r="Y538" i="4"/>
  <c r="Y1086" i="4" s="1"/>
  <c r="W538" i="4"/>
  <c r="W1086" i="4" s="1"/>
  <c r="V538" i="4"/>
  <c r="V1086" i="4" s="1"/>
  <c r="U538" i="4"/>
  <c r="U1086" i="4" s="1"/>
  <c r="T538" i="4"/>
  <c r="T1086" i="4" s="1"/>
  <c r="S538" i="4"/>
  <c r="S1086" i="4" s="1"/>
  <c r="F538" i="4"/>
  <c r="F1086" i="4" s="1"/>
  <c r="AY537" i="4"/>
  <c r="AR537" i="4"/>
  <c r="AF537" i="4"/>
  <c r="BA537" i="4" s="1"/>
  <c r="AE537" i="4"/>
  <c r="R537" i="4"/>
  <c r="X537" i="4" s="1"/>
  <c r="BE536" i="4"/>
  <c r="AY536" i="4"/>
  <c r="AR536" i="4"/>
  <c r="AJ536" i="4"/>
  <c r="AF536" i="4"/>
  <c r="AE536" i="4"/>
  <c r="R536" i="4"/>
  <c r="Q536" i="4"/>
  <c r="BE535" i="4"/>
  <c r="AY535" i="4"/>
  <c r="AR535" i="4"/>
  <c r="AJ535" i="4"/>
  <c r="AF535" i="4"/>
  <c r="BA535" i="4" s="1"/>
  <c r="AE535" i="4"/>
  <c r="R535" i="4"/>
  <c r="Q535" i="4"/>
  <c r="BE534" i="4"/>
  <c r="AY534" i="4"/>
  <c r="AR534" i="4"/>
  <c r="AJ534" i="4"/>
  <c r="AF534" i="4"/>
  <c r="AE534" i="4"/>
  <c r="R534" i="4"/>
  <c r="AG534" i="4" s="1"/>
  <c r="BB534" i="4" s="1"/>
  <c r="Q534" i="4"/>
  <c r="AY533" i="4"/>
  <c r="AR533" i="4"/>
  <c r="AF533" i="4"/>
  <c r="AE533" i="4"/>
  <c r="R533" i="4"/>
  <c r="BE532" i="4"/>
  <c r="AY532" i="4"/>
  <c r="AR532" i="4"/>
  <c r="AJ532" i="4"/>
  <c r="AG532" i="4"/>
  <c r="AF532" i="4"/>
  <c r="BA532" i="4" s="1"/>
  <c r="AE532" i="4"/>
  <c r="X532" i="4"/>
  <c r="Q532" i="4"/>
  <c r="AY531" i="4"/>
  <c r="AR531" i="4"/>
  <c r="AF531" i="4"/>
  <c r="AE531" i="4"/>
  <c r="R531" i="4"/>
  <c r="BE530" i="4"/>
  <c r="AY530" i="4"/>
  <c r="AR530" i="4"/>
  <c r="AJ530" i="4"/>
  <c r="AF530" i="4"/>
  <c r="BA530" i="4" s="1"/>
  <c r="R530" i="4"/>
  <c r="X530" i="4" s="1"/>
  <c r="Q530" i="4"/>
  <c r="AY529" i="4"/>
  <c r="AR529" i="4"/>
  <c r="AF529" i="4"/>
  <c r="BA529" i="4" s="1"/>
  <c r="AE529" i="4"/>
  <c r="R529" i="4"/>
  <c r="X529" i="4" s="1"/>
  <c r="AY528" i="4"/>
  <c r="AR528" i="4"/>
  <c r="AF528" i="4"/>
  <c r="AE528" i="4"/>
  <c r="R528" i="4"/>
  <c r="AY527" i="4"/>
  <c r="AR527" i="4"/>
  <c r="AF527" i="4"/>
  <c r="BA527" i="4" s="1"/>
  <c r="AE527" i="4"/>
  <c r="R527" i="4"/>
  <c r="X527" i="4" s="1"/>
  <c r="BE526" i="4"/>
  <c r="AY526" i="4"/>
  <c r="AR526" i="4"/>
  <c r="AJ526" i="4"/>
  <c r="AF526" i="4"/>
  <c r="AE526" i="4"/>
  <c r="R526" i="4"/>
  <c r="X526" i="4" s="1"/>
  <c r="Q526" i="4"/>
  <c r="AX525" i="4"/>
  <c r="AX1085" i="4" s="1"/>
  <c r="AW525" i="4"/>
  <c r="AW1085" i="4" s="1"/>
  <c r="AV525" i="4"/>
  <c r="AV1085" i="4" s="1"/>
  <c r="AU525" i="4"/>
  <c r="AU1085" i="4" s="1"/>
  <c r="AT525" i="4"/>
  <c r="AT1085" i="4" s="1"/>
  <c r="AS525" i="4"/>
  <c r="AS1085" i="4" s="1"/>
  <c r="AQ525" i="4"/>
  <c r="AQ1085" i="4" s="1"/>
  <c r="AP525" i="4"/>
  <c r="AP1085" i="4" s="1"/>
  <c r="AO525" i="4"/>
  <c r="AO1085" i="4" s="1"/>
  <c r="AN525" i="4"/>
  <c r="AN1085" i="4" s="1"/>
  <c r="AM525" i="4"/>
  <c r="AM1085" i="4" s="1"/>
  <c r="AL525" i="4"/>
  <c r="AL1085" i="4" s="1"/>
  <c r="AD525" i="4"/>
  <c r="AD1085" i="4" s="1"/>
  <c r="AC525" i="4"/>
  <c r="AC1085" i="4" s="1"/>
  <c r="AB525" i="4"/>
  <c r="AB1085" i="4" s="1"/>
  <c r="AA525" i="4"/>
  <c r="AA1085" i="4" s="1"/>
  <c r="Z525" i="4"/>
  <c r="Z1085" i="4" s="1"/>
  <c r="Y525" i="4"/>
  <c r="Y1085" i="4" s="1"/>
  <c r="W525" i="4"/>
  <c r="W1085" i="4" s="1"/>
  <c r="V525" i="4"/>
  <c r="V1085" i="4" s="1"/>
  <c r="U525" i="4"/>
  <c r="U1085" i="4" s="1"/>
  <c r="T525" i="4"/>
  <c r="T1085" i="4" s="1"/>
  <c r="S525" i="4"/>
  <c r="S1085" i="4" s="1"/>
  <c r="O525" i="4"/>
  <c r="O1085" i="4" s="1"/>
  <c r="N525" i="4"/>
  <c r="N1085" i="4" s="1"/>
  <c r="M525" i="4"/>
  <c r="M1085" i="4" s="1"/>
  <c r="L525" i="4"/>
  <c r="L1085" i="4" s="1"/>
  <c r="K525" i="4"/>
  <c r="K1085" i="4" s="1"/>
  <c r="J525" i="4"/>
  <c r="J1085" i="4" s="1"/>
  <c r="I525" i="4"/>
  <c r="I1085" i="4" s="1"/>
  <c r="H525" i="4"/>
  <c r="H1085" i="4" s="1"/>
  <c r="G525" i="4"/>
  <c r="G1085" i="4" s="1"/>
  <c r="F525" i="4"/>
  <c r="F1085" i="4" s="1"/>
  <c r="AY524" i="4"/>
  <c r="AR524" i="4"/>
  <c r="AY523" i="4"/>
  <c r="AR523" i="4"/>
  <c r="AF523" i="4"/>
  <c r="BA523" i="4" s="1"/>
  <c r="AE523" i="4"/>
  <c r="R523" i="4"/>
  <c r="X523" i="4" s="1"/>
  <c r="BE522" i="4"/>
  <c r="AY522" i="4"/>
  <c r="AR522" i="4"/>
  <c r="AJ522" i="4"/>
  <c r="AF522" i="4"/>
  <c r="AE522" i="4"/>
  <c r="R522" i="4"/>
  <c r="Q522" i="4"/>
  <c r="AY521" i="4"/>
  <c r="AR521" i="4"/>
  <c r="AF521" i="4"/>
  <c r="AE521" i="4"/>
  <c r="R521" i="4"/>
  <c r="AG521" i="4" s="1"/>
  <c r="BB521" i="4" s="1"/>
  <c r="AY520" i="4"/>
  <c r="AR520" i="4"/>
  <c r="AF520" i="4"/>
  <c r="BA520" i="4" s="1"/>
  <c r="AE520" i="4"/>
  <c r="R520" i="4"/>
  <c r="AY519" i="4"/>
  <c r="AR519" i="4"/>
  <c r="AF519" i="4"/>
  <c r="AE519" i="4"/>
  <c r="R519" i="4"/>
  <c r="BE518" i="4"/>
  <c r="AY518" i="4"/>
  <c r="AR518" i="4"/>
  <c r="AJ518" i="4"/>
  <c r="AF518" i="4"/>
  <c r="BA518" i="4" s="1"/>
  <c r="AE518" i="4"/>
  <c r="R518" i="4"/>
  <c r="Q518" i="4"/>
  <c r="BE517" i="4"/>
  <c r="AY517" i="4"/>
  <c r="AR517" i="4"/>
  <c r="AK517" i="4"/>
  <c r="AJ517" i="4"/>
  <c r="AF517" i="4"/>
  <c r="BA517" i="4" s="1"/>
  <c r="AE517" i="4"/>
  <c r="R517" i="4"/>
  <c r="AG517" i="4" s="1"/>
  <c r="BB517" i="4" s="1"/>
  <c r="Q517" i="4"/>
  <c r="BE516" i="4"/>
  <c r="AY516" i="4"/>
  <c r="AR516" i="4"/>
  <c r="AK516" i="4"/>
  <c r="AJ516" i="4"/>
  <c r="AF516" i="4"/>
  <c r="BA516" i="4" s="1"/>
  <c r="AE516" i="4"/>
  <c r="R516" i="4"/>
  <c r="Q516" i="4"/>
  <c r="AY515" i="4"/>
  <c r="AR515" i="4"/>
  <c r="AF515" i="4"/>
  <c r="BA515" i="4" s="1"/>
  <c r="AE515" i="4"/>
  <c r="R515" i="4"/>
  <c r="X515" i="4" s="1"/>
  <c r="BE514" i="4"/>
  <c r="AY514" i="4"/>
  <c r="AR514" i="4"/>
  <c r="AJ514" i="4"/>
  <c r="AF514" i="4"/>
  <c r="BA514" i="4" s="1"/>
  <c r="AE514" i="4"/>
  <c r="R514" i="4"/>
  <c r="Q514" i="4"/>
  <c r="AY513" i="4"/>
  <c r="AR513" i="4"/>
  <c r="AF513" i="4"/>
  <c r="BA513" i="4" s="1"/>
  <c r="AE513" i="4"/>
  <c r="R513" i="4"/>
  <c r="AY512" i="4"/>
  <c r="AR512" i="4"/>
  <c r="AF512" i="4"/>
  <c r="BA512" i="4" s="1"/>
  <c r="AE512" i="4"/>
  <c r="R512" i="4"/>
  <c r="AY511" i="4"/>
  <c r="AR511" i="4"/>
  <c r="AF511" i="4"/>
  <c r="BA511" i="4" s="1"/>
  <c r="AE511" i="4"/>
  <c r="R511" i="4"/>
  <c r="AG511" i="4" s="1"/>
  <c r="BB511" i="4" s="1"/>
  <c r="AY510" i="4"/>
  <c r="AR510" i="4"/>
  <c r="AF510" i="4"/>
  <c r="BA510" i="4" s="1"/>
  <c r="AE510" i="4"/>
  <c r="R510" i="4"/>
  <c r="AY509" i="4"/>
  <c r="AR509" i="4"/>
  <c r="AF509" i="4"/>
  <c r="BA509" i="4" s="1"/>
  <c r="AE509" i="4"/>
  <c r="R509" i="4"/>
  <c r="AY508" i="4"/>
  <c r="AR508" i="4"/>
  <c r="AF508" i="4"/>
  <c r="BA508" i="4" s="1"/>
  <c r="AE508" i="4"/>
  <c r="R508" i="4"/>
  <c r="X508" i="4" s="1"/>
  <c r="AY507" i="4"/>
  <c r="AR507" i="4"/>
  <c r="AF507" i="4"/>
  <c r="BA507" i="4" s="1"/>
  <c r="AE507" i="4"/>
  <c r="R507" i="4"/>
  <c r="BE506" i="4"/>
  <c r="AY506" i="4"/>
  <c r="AR506" i="4"/>
  <c r="AJ506" i="4"/>
  <c r="AF506" i="4"/>
  <c r="BA506" i="4" s="1"/>
  <c r="AE506" i="4"/>
  <c r="R506" i="4"/>
  <c r="X506" i="4" s="1"/>
  <c r="Q506" i="4"/>
  <c r="AY505" i="4"/>
  <c r="AR505" i="4"/>
  <c r="AF505" i="4"/>
  <c r="BA505" i="4" s="1"/>
  <c r="AE505" i="4"/>
  <c r="R505" i="4"/>
  <c r="AY504" i="4"/>
  <c r="AR504" i="4"/>
  <c r="AF504" i="4"/>
  <c r="AE504" i="4"/>
  <c r="R504" i="4"/>
  <c r="AY503" i="4"/>
  <c r="AR503" i="4"/>
  <c r="AF503" i="4"/>
  <c r="BA503" i="4" s="1"/>
  <c r="AE503" i="4"/>
  <c r="R503" i="4"/>
  <c r="AY502" i="4"/>
  <c r="AR502" i="4"/>
  <c r="AF502" i="4"/>
  <c r="AE502" i="4"/>
  <c r="R502" i="4"/>
  <c r="BE501" i="4"/>
  <c r="AY501" i="4"/>
  <c r="AR501" i="4"/>
  <c r="AJ501" i="4"/>
  <c r="AF501" i="4"/>
  <c r="BA501" i="4" s="1"/>
  <c r="AE501" i="4"/>
  <c r="R501" i="4"/>
  <c r="Q501" i="4"/>
  <c r="BE500" i="4"/>
  <c r="AY500" i="4"/>
  <c r="AR500" i="4"/>
  <c r="AJ500" i="4"/>
  <c r="AF500" i="4"/>
  <c r="BA500" i="4" s="1"/>
  <c r="AE500" i="4"/>
  <c r="R500" i="4"/>
  <c r="X500" i="4" s="1"/>
  <c r="Q500" i="4"/>
  <c r="BE499" i="4"/>
  <c r="AY499" i="4"/>
  <c r="AR499" i="4"/>
  <c r="AJ499" i="4"/>
  <c r="AF499" i="4"/>
  <c r="BA499" i="4" s="1"/>
  <c r="AE499" i="4"/>
  <c r="R499" i="4"/>
  <c r="Q499" i="4"/>
  <c r="BE498" i="4"/>
  <c r="AY498" i="4"/>
  <c r="AR498" i="4"/>
  <c r="AJ498" i="4"/>
  <c r="AF498" i="4"/>
  <c r="BA498" i="4" s="1"/>
  <c r="AE498" i="4"/>
  <c r="R498" i="4"/>
  <c r="X498" i="4" s="1"/>
  <c r="Q498" i="4"/>
  <c r="AY497" i="4"/>
  <c r="AR497" i="4"/>
  <c r="AF497" i="4"/>
  <c r="BA497" i="4" s="1"/>
  <c r="AE497" i="4"/>
  <c r="R497" i="4"/>
  <c r="BE496" i="4"/>
  <c r="AY496" i="4"/>
  <c r="AR496" i="4"/>
  <c r="AJ496" i="4"/>
  <c r="AF496" i="4"/>
  <c r="BA496" i="4" s="1"/>
  <c r="AE496" i="4"/>
  <c r="R496" i="4"/>
  <c r="AG496" i="4" s="1"/>
  <c r="BB496" i="4" s="1"/>
  <c r="Q496" i="4"/>
  <c r="AY495" i="4"/>
  <c r="AR495" i="4"/>
  <c r="AF495" i="4"/>
  <c r="AE495" i="4"/>
  <c r="R495" i="4"/>
  <c r="AY494" i="4"/>
  <c r="AR494" i="4"/>
  <c r="AF494" i="4"/>
  <c r="BA494" i="4" s="1"/>
  <c r="AE494" i="4"/>
  <c r="R494" i="4"/>
  <c r="AY493" i="4"/>
  <c r="AR493" i="4"/>
  <c r="AF493" i="4"/>
  <c r="AE493" i="4"/>
  <c r="R493" i="4"/>
  <c r="AY492" i="4"/>
  <c r="AR492" i="4"/>
  <c r="AF492" i="4"/>
  <c r="BA492" i="4" s="1"/>
  <c r="AE492" i="4"/>
  <c r="R492" i="4"/>
  <c r="BE491" i="4"/>
  <c r="AY491" i="4"/>
  <c r="AR491" i="4"/>
  <c r="AJ491" i="4"/>
  <c r="AF491" i="4"/>
  <c r="BA491" i="4" s="1"/>
  <c r="AE491" i="4"/>
  <c r="R491" i="4"/>
  <c r="Q491" i="4"/>
  <c r="AY490" i="4"/>
  <c r="AR490" i="4"/>
  <c r="AF490" i="4"/>
  <c r="AE490" i="4"/>
  <c r="R490" i="4"/>
  <c r="AY489" i="4"/>
  <c r="AR489" i="4"/>
  <c r="AF489" i="4"/>
  <c r="BA489" i="4" s="1"/>
  <c r="AE489" i="4"/>
  <c r="R489" i="4"/>
  <c r="X489" i="4" s="1"/>
  <c r="AY488" i="4"/>
  <c r="AR488" i="4"/>
  <c r="AF488" i="4"/>
  <c r="AE488" i="4"/>
  <c r="R488" i="4"/>
  <c r="AY487" i="4"/>
  <c r="AR487" i="4"/>
  <c r="AF487" i="4"/>
  <c r="BA487" i="4" s="1"/>
  <c r="AE487" i="4"/>
  <c r="R487" i="4"/>
  <c r="AY486" i="4"/>
  <c r="AR486" i="4"/>
  <c r="AF486" i="4"/>
  <c r="AE486" i="4"/>
  <c r="R486" i="4"/>
  <c r="AY485" i="4"/>
  <c r="AR485" i="4"/>
  <c r="AF485" i="4"/>
  <c r="BA485" i="4" s="1"/>
  <c r="AE485" i="4"/>
  <c r="R485" i="4"/>
  <c r="AY484" i="4"/>
  <c r="AR484" i="4"/>
  <c r="AF484" i="4"/>
  <c r="AE484" i="4"/>
  <c r="R484" i="4"/>
  <c r="AG484" i="4" s="1"/>
  <c r="BB484" i="4" s="1"/>
  <c r="AY483" i="4"/>
  <c r="AR483" i="4"/>
  <c r="AF483" i="4"/>
  <c r="BA483" i="4" s="1"/>
  <c r="AE483" i="4"/>
  <c r="R483" i="4"/>
  <c r="AY482" i="4"/>
  <c r="AR482" i="4"/>
  <c r="AF482" i="4"/>
  <c r="AE482" i="4"/>
  <c r="R482" i="4"/>
  <c r="AY481" i="4"/>
  <c r="AR481" i="4"/>
  <c r="AF481" i="4"/>
  <c r="BA481" i="4" s="1"/>
  <c r="AE481" i="4"/>
  <c r="R481" i="4"/>
  <c r="X481" i="4" s="1"/>
  <c r="AY480" i="4"/>
  <c r="AR480" i="4"/>
  <c r="AF480" i="4"/>
  <c r="AE480" i="4"/>
  <c r="R480" i="4"/>
  <c r="AY479" i="4"/>
  <c r="AR479" i="4"/>
  <c r="AF479" i="4"/>
  <c r="BA479" i="4" s="1"/>
  <c r="AE479" i="4"/>
  <c r="R479" i="4"/>
  <c r="AY478" i="4"/>
  <c r="AR478" i="4"/>
  <c r="AF478" i="4"/>
  <c r="AE478" i="4"/>
  <c r="R478" i="4"/>
  <c r="BE477" i="4"/>
  <c r="AY477" i="4"/>
  <c r="AR477" i="4"/>
  <c r="AJ477" i="4"/>
  <c r="AF477" i="4"/>
  <c r="BA477" i="4" s="1"/>
  <c r="AE477" i="4"/>
  <c r="R477" i="4"/>
  <c r="Q477" i="4"/>
  <c r="AY476" i="4"/>
  <c r="AR476" i="4"/>
  <c r="AF476" i="4"/>
  <c r="BA476" i="4" s="1"/>
  <c r="AE476" i="4"/>
  <c r="R476" i="4"/>
  <c r="BE475" i="4"/>
  <c r="AY475" i="4"/>
  <c r="AR475" i="4"/>
  <c r="AJ475" i="4"/>
  <c r="AF475" i="4"/>
  <c r="BA475" i="4" s="1"/>
  <c r="AE475" i="4"/>
  <c r="R475" i="4"/>
  <c r="Q475" i="4"/>
  <c r="BE474" i="4"/>
  <c r="AY474" i="4"/>
  <c r="AR474" i="4"/>
  <c r="AJ474" i="4"/>
  <c r="AF474" i="4"/>
  <c r="BA474" i="4" s="1"/>
  <c r="AE474" i="4"/>
  <c r="R474" i="4"/>
  <c r="AG474" i="4" s="1"/>
  <c r="BB474" i="4" s="1"/>
  <c r="Q474" i="4"/>
  <c r="AY473" i="4"/>
  <c r="AR473" i="4"/>
  <c r="AF473" i="4"/>
  <c r="BA473" i="4" s="1"/>
  <c r="AE473" i="4"/>
  <c r="R473" i="4"/>
  <c r="AY472" i="4"/>
  <c r="AR472" i="4"/>
  <c r="AF472" i="4"/>
  <c r="BA472" i="4" s="1"/>
  <c r="AE472" i="4"/>
  <c r="R472" i="4"/>
  <c r="AY471" i="4"/>
  <c r="AR471" i="4"/>
  <c r="AF471" i="4"/>
  <c r="BA471" i="4" s="1"/>
  <c r="AE471" i="4"/>
  <c r="R471" i="4"/>
  <c r="AY470" i="4"/>
  <c r="AR470" i="4"/>
  <c r="AF470" i="4"/>
  <c r="BA470" i="4" s="1"/>
  <c r="AE470" i="4"/>
  <c r="R470" i="4"/>
  <c r="AY469" i="4"/>
  <c r="AR469" i="4"/>
  <c r="AF469" i="4"/>
  <c r="BA469" i="4" s="1"/>
  <c r="AE469" i="4"/>
  <c r="R469" i="4"/>
  <c r="AY468" i="4"/>
  <c r="AR468" i="4"/>
  <c r="AF468" i="4"/>
  <c r="BA468" i="4" s="1"/>
  <c r="AE468" i="4"/>
  <c r="R468" i="4"/>
  <c r="AY467" i="4"/>
  <c r="AR467" i="4"/>
  <c r="AF467" i="4"/>
  <c r="BA467" i="4" s="1"/>
  <c r="AE467" i="4"/>
  <c r="R467" i="4"/>
  <c r="AY466" i="4"/>
  <c r="AR466" i="4"/>
  <c r="AG466" i="4"/>
  <c r="BB466" i="4" s="1"/>
  <c r="AF466" i="4"/>
  <c r="BA466" i="4" s="1"/>
  <c r="AE466" i="4"/>
  <c r="X466" i="4"/>
  <c r="BE465" i="4"/>
  <c r="AY465" i="4"/>
  <c r="AR465" i="4"/>
  <c r="AJ465" i="4"/>
  <c r="AF465" i="4"/>
  <c r="BA465" i="4" s="1"/>
  <c r="AE465" i="4"/>
  <c r="R465" i="4"/>
  <c r="X465" i="4" s="1"/>
  <c r="Q465" i="4"/>
  <c r="BE464" i="4"/>
  <c r="AY464" i="4"/>
  <c r="AR464" i="4"/>
  <c r="AJ464" i="4"/>
  <c r="AF464" i="4"/>
  <c r="BA464" i="4" s="1"/>
  <c r="AE464" i="4"/>
  <c r="R464" i="4"/>
  <c r="Q464" i="4"/>
  <c r="BE463" i="4"/>
  <c r="AY463" i="4"/>
  <c r="AR463" i="4"/>
  <c r="AJ463" i="4"/>
  <c r="AF463" i="4"/>
  <c r="BA463" i="4" s="1"/>
  <c r="AE463" i="4"/>
  <c r="R463" i="4"/>
  <c r="Q463" i="4"/>
  <c r="AY462" i="4"/>
  <c r="AR462" i="4"/>
  <c r="AF462" i="4"/>
  <c r="AE462" i="4"/>
  <c r="R462" i="4"/>
  <c r="AY461" i="4"/>
  <c r="AR461" i="4"/>
  <c r="AF461" i="4"/>
  <c r="BA461" i="4" s="1"/>
  <c r="AE461" i="4"/>
  <c r="R461" i="4"/>
  <c r="AG461" i="4" s="1"/>
  <c r="BE460" i="4"/>
  <c r="AY460" i="4"/>
  <c r="AR460" i="4"/>
  <c r="AJ460" i="4"/>
  <c r="AF460" i="4"/>
  <c r="BA460" i="4" s="1"/>
  <c r="AE460" i="4"/>
  <c r="R460" i="4"/>
  <c r="Q460" i="4"/>
  <c r="AY459" i="4"/>
  <c r="AR459" i="4"/>
  <c r="AF459" i="4"/>
  <c r="AE459" i="4"/>
  <c r="R459" i="4"/>
  <c r="AX458" i="4"/>
  <c r="AW458" i="4"/>
  <c r="AV458" i="4"/>
  <c r="AU458" i="4"/>
  <c r="AT458" i="4"/>
  <c r="AS458" i="4"/>
  <c r="AQ458" i="4"/>
  <c r="AP458" i="4"/>
  <c r="AO458" i="4"/>
  <c r="AN458" i="4"/>
  <c r="AM458" i="4"/>
  <c r="AL458" i="4"/>
  <c r="AD458" i="4"/>
  <c r="AC458" i="4"/>
  <c r="AB458" i="4"/>
  <c r="AA458" i="4"/>
  <c r="Z458" i="4"/>
  <c r="Y458" i="4"/>
  <c r="W458" i="4"/>
  <c r="V458" i="4"/>
  <c r="U458" i="4"/>
  <c r="T458" i="4"/>
  <c r="S458" i="4"/>
  <c r="O458" i="4"/>
  <c r="N458" i="4"/>
  <c r="M458" i="4"/>
  <c r="L458" i="4"/>
  <c r="K458" i="4"/>
  <c r="J458" i="4"/>
  <c r="I458" i="4"/>
  <c r="H458" i="4"/>
  <c r="G458" i="4"/>
  <c r="F458" i="4"/>
  <c r="AY457" i="4"/>
  <c r="AR457" i="4"/>
  <c r="AF457" i="4"/>
  <c r="BA457" i="4" s="1"/>
  <c r="AE457" i="4"/>
  <c r="R457" i="4"/>
  <c r="AG457" i="4" s="1"/>
  <c r="BB457" i="4" s="1"/>
  <c r="AY456" i="4"/>
  <c r="AR456" i="4"/>
  <c r="AF456" i="4"/>
  <c r="AE456" i="4"/>
  <c r="R456" i="4"/>
  <c r="X456" i="4" s="1"/>
  <c r="AY455" i="4"/>
  <c r="AR455" i="4"/>
  <c r="AF455" i="4"/>
  <c r="BA455" i="4" s="1"/>
  <c r="AE455" i="4"/>
  <c r="R455" i="4"/>
  <c r="AG455" i="4" s="1"/>
  <c r="BB455" i="4" s="1"/>
  <c r="AY454" i="4"/>
  <c r="AR454" i="4"/>
  <c r="AF454" i="4"/>
  <c r="BA454" i="4" s="1"/>
  <c r="AE454" i="4"/>
  <c r="R454" i="4"/>
  <c r="X454" i="4" s="1"/>
  <c r="AY453" i="4"/>
  <c r="AR453" i="4"/>
  <c r="AF453" i="4"/>
  <c r="BA453" i="4" s="1"/>
  <c r="AE453" i="4"/>
  <c r="R453" i="4"/>
  <c r="AG453" i="4" s="1"/>
  <c r="BB453" i="4" s="1"/>
  <c r="AY452" i="4"/>
  <c r="AR452" i="4"/>
  <c r="AF452" i="4"/>
  <c r="AE452" i="4"/>
  <c r="R452" i="4"/>
  <c r="AY451" i="4"/>
  <c r="AR451" i="4"/>
  <c r="AF451" i="4"/>
  <c r="BA451" i="4" s="1"/>
  <c r="AE451" i="4"/>
  <c r="R451" i="4"/>
  <c r="AY450" i="4"/>
  <c r="AR450" i="4"/>
  <c r="AF450" i="4"/>
  <c r="BA450" i="4" s="1"/>
  <c r="AE450" i="4"/>
  <c r="R450" i="4"/>
  <c r="AY449" i="4"/>
  <c r="AR449" i="4"/>
  <c r="AF449" i="4"/>
  <c r="BA449" i="4" s="1"/>
  <c r="AE449" i="4"/>
  <c r="R449" i="4"/>
  <c r="AG449" i="4" s="1"/>
  <c r="BB449" i="4" s="1"/>
  <c r="AY448" i="4"/>
  <c r="AR448" i="4"/>
  <c r="AF448" i="4"/>
  <c r="AE448" i="4"/>
  <c r="R448" i="4"/>
  <c r="AY447" i="4"/>
  <c r="AR447" i="4"/>
  <c r="AF447" i="4"/>
  <c r="BA447" i="4" s="1"/>
  <c r="AE447" i="4"/>
  <c r="R447" i="4"/>
  <c r="AG447" i="4" s="1"/>
  <c r="BB447" i="4" s="1"/>
  <c r="AY446" i="4"/>
  <c r="AR446" i="4"/>
  <c r="AF446" i="4"/>
  <c r="BA446" i="4" s="1"/>
  <c r="AE446" i="4"/>
  <c r="R446" i="4"/>
  <c r="X446" i="4" s="1"/>
  <c r="BE445" i="4"/>
  <c r="AX445" i="4"/>
  <c r="AW445" i="4"/>
  <c r="AV445" i="4"/>
  <c r="AU445" i="4"/>
  <c r="AT445" i="4"/>
  <c r="AS445" i="4"/>
  <c r="AQ445" i="4"/>
  <c r="AP445" i="4"/>
  <c r="AO445" i="4"/>
  <c r="AN445" i="4"/>
  <c r="AM445" i="4"/>
  <c r="AL445" i="4"/>
  <c r="AJ445" i="4"/>
  <c r="AD445" i="4"/>
  <c r="AC445" i="4"/>
  <c r="AB445" i="4"/>
  <c r="AA445" i="4"/>
  <c r="Z445" i="4"/>
  <c r="Y445" i="4"/>
  <c r="W445" i="4"/>
  <c r="V445" i="4"/>
  <c r="U445" i="4"/>
  <c r="T445" i="4"/>
  <c r="S445" i="4"/>
  <c r="AY444" i="4"/>
  <c r="AR444" i="4"/>
  <c r="AF444" i="4"/>
  <c r="BA444" i="4" s="1"/>
  <c r="AE444" i="4"/>
  <c r="R444" i="4"/>
  <c r="AG444" i="4" s="1"/>
  <c r="BB444" i="4" s="1"/>
  <c r="AY443" i="4"/>
  <c r="AR443" i="4"/>
  <c r="AF443" i="4"/>
  <c r="AE443" i="4"/>
  <c r="R443" i="4"/>
  <c r="AY441" i="4"/>
  <c r="AR441" i="4"/>
  <c r="AF441" i="4"/>
  <c r="BA441" i="4" s="1"/>
  <c r="AE441" i="4"/>
  <c r="R441" i="4"/>
  <c r="AG441" i="4" s="1"/>
  <c r="BB441" i="4" s="1"/>
  <c r="AY440" i="4"/>
  <c r="AR440" i="4"/>
  <c r="AF440" i="4"/>
  <c r="BA440" i="4" s="1"/>
  <c r="AE440" i="4"/>
  <c r="R440" i="4"/>
  <c r="X440" i="4" s="1"/>
  <c r="AY439" i="4"/>
  <c r="AR439" i="4"/>
  <c r="AF439" i="4"/>
  <c r="BA439" i="4" s="1"/>
  <c r="AE439" i="4"/>
  <c r="R439" i="4"/>
  <c r="AG439" i="4" s="1"/>
  <c r="BB439" i="4" s="1"/>
  <c r="AY438" i="4"/>
  <c r="AR438" i="4"/>
  <c r="AF438" i="4"/>
  <c r="AE438" i="4"/>
  <c r="R438" i="4"/>
  <c r="X438" i="4" s="1"/>
  <c r="AY437" i="4"/>
  <c r="AR437" i="4"/>
  <c r="AF437" i="4"/>
  <c r="BA437" i="4" s="1"/>
  <c r="AE437" i="4"/>
  <c r="R437" i="4"/>
  <c r="AG437" i="4" s="1"/>
  <c r="BB437" i="4" s="1"/>
  <c r="AY436" i="4"/>
  <c r="AR436" i="4"/>
  <c r="AF436" i="4"/>
  <c r="BA436" i="4" s="1"/>
  <c r="AE436" i="4"/>
  <c r="R436" i="4"/>
  <c r="X436" i="4" s="1"/>
  <c r="AY435" i="4"/>
  <c r="AR435" i="4"/>
  <c r="AF435" i="4"/>
  <c r="BA435" i="4" s="1"/>
  <c r="AE435" i="4"/>
  <c r="R435" i="4"/>
  <c r="AG435" i="4" s="1"/>
  <c r="BB435" i="4" s="1"/>
  <c r="AY434" i="4"/>
  <c r="AR434" i="4"/>
  <c r="AF434" i="4"/>
  <c r="AE434" i="4"/>
  <c r="R434" i="4"/>
  <c r="X434" i="4" s="1"/>
  <c r="AY433" i="4"/>
  <c r="AR433" i="4"/>
  <c r="AF433" i="4"/>
  <c r="BA433" i="4" s="1"/>
  <c r="AE433" i="4"/>
  <c r="R433" i="4"/>
  <c r="AG433" i="4" s="1"/>
  <c r="BB433" i="4" s="1"/>
  <c r="AY432" i="4"/>
  <c r="AR432" i="4"/>
  <c r="AF432" i="4"/>
  <c r="BA432" i="4" s="1"/>
  <c r="AE432" i="4"/>
  <c r="R432" i="4"/>
  <c r="X432" i="4" s="1"/>
  <c r="AY431" i="4"/>
  <c r="AR431" i="4"/>
  <c r="AF431" i="4"/>
  <c r="BA431" i="4" s="1"/>
  <c r="AE431" i="4"/>
  <c r="R431" i="4"/>
  <c r="AG431" i="4" s="1"/>
  <c r="BB431" i="4" s="1"/>
  <c r="AY430" i="4"/>
  <c r="AR430" i="4"/>
  <c r="AF430" i="4"/>
  <c r="AE430" i="4"/>
  <c r="R430" i="4"/>
  <c r="AY429" i="4"/>
  <c r="AR429" i="4"/>
  <c r="AF429" i="4"/>
  <c r="BA429" i="4" s="1"/>
  <c r="AE429" i="4"/>
  <c r="R429" i="4"/>
  <c r="AG429" i="4" s="1"/>
  <c r="BB429" i="4" s="1"/>
  <c r="AY428" i="4"/>
  <c r="AR428" i="4"/>
  <c r="AF428" i="4"/>
  <c r="BA428" i="4" s="1"/>
  <c r="AE428" i="4"/>
  <c r="R428" i="4"/>
  <c r="AY427" i="4"/>
  <c r="AR427" i="4"/>
  <c r="AF427" i="4"/>
  <c r="BA427" i="4" s="1"/>
  <c r="AE427" i="4"/>
  <c r="R427" i="4"/>
  <c r="AG427" i="4" s="1"/>
  <c r="BB427" i="4" s="1"/>
  <c r="AY426" i="4"/>
  <c r="AR426" i="4"/>
  <c r="AF426" i="4"/>
  <c r="AE426" i="4"/>
  <c r="R426" i="4"/>
  <c r="AY425" i="4"/>
  <c r="AR425" i="4"/>
  <c r="AF425" i="4"/>
  <c r="BA425" i="4" s="1"/>
  <c r="AE425" i="4"/>
  <c r="R425" i="4"/>
  <c r="AG425" i="4" s="1"/>
  <c r="BB425" i="4" s="1"/>
  <c r="AY424" i="4"/>
  <c r="AR424" i="4"/>
  <c r="AF424" i="4"/>
  <c r="BA424" i="4" s="1"/>
  <c r="AE424" i="4"/>
  <c r="R424" i="4"/>
  <c r="X424" i="4" s="1"/>
  <c r="AY423" i="4"/>
  <c r="AR423" i="4"/>
  <c r="AF423" i="4"/>
  <c r="BA423" i="4" s="1"/>
  <c r="AE423" i="4"/>
  <c r="R423" i="4"/>
  <c r="AG423" i="4" s="1"/>
  <c r="BB423" i="4" s="1"/>
  <c r="AY422" i="4"/>
  <c r="AR422" i="4"/>
  <c r="AF422" i="4"/>
  <c r="AE422" i="4"/>
  <c r="R422" i="4"/>
  <c r="X422" i="4" s="1"/>
  <c r="AY421" i="4"/>
  <c r="AR421" i="4"/>
  <c r="AF421" i="4"/>
  <c r="BA421" i="4" s="1"/>
  <c r="AE421" i="4"/>
  <c r="R421" i="4"/>
  <c r="AG421" i="4" s="1"/>
  <c r="BB421" i="4" s="1"/>
  <c r="AY420" i="4"/>
  <c r="AR420" i="4"/>
  <c r="AF420" i="4"/>
  <c r="BA420" i="4" s="1"/>
  <c r="AE420" i="4"/>
  <c r="R420" i="4"/>
  <c r="X420" i="4" s="1"/>
  <c r="AY419" i="4"/>
  <c r="AR419" i="4"/>
  <c r="AF419" i="4"/>
  <c r="BA419" i="4" s="1"/>
  <c r="AE419" i="4"/>
  <c r="R419" i="4"/>
  <c r="AG419" i="4" s="1"/>
  <c r="BB419" i="4" s="1"/>
  <c r="AY418" i="4"/>
  <c r="AR418" i="4"/>
  <c r="AF418" i="4"/>
  <c r="AE418" i="4"/>
  <c r="R418" i="4"/>
  <c r="X418" i="4" s="1"/>
  <c r="AY417" i="4"/>
  <c r="AR417" i="4"/>
  <c r="AF417" i="4"/>
  <c r="BA417" i="4" s="1"/>
  <c r="AE417" i="4"/>
  <c r="R417" i="4"/>
  <c r="AG417" i="4" s="1"/>
  <c r="BB417" i="4" s="1"/>
  <c r="AY416" i="4"/>
  <c r="AR416" i="4"/>
  <c r="AF416" i="4"/>
  <c r="BA416" i="4" s="1"/>
  <c r="AE416" i="4"/>
  <c r="R416" i="4"/>
  <c r="X416" i="4" s="1"/>
  <c r="AY415" i="4"/>
  <c r="AR415" i="4"/>
  <c r="AF415" i="4"/>
  <c r="BA415" i="4" s="1"/>
  <c r="AE415" i="4"/>
  <c r="R415" i="4"/>
  <c r="AG415" i="4" s="1"/>
  <c r="BB415" i="4" s="1"/>
  <c r="AY414" i="4"/>
  <c r="AR414" i="4"/>
  <c r="AF414" i="4"/>
  <c r="AE414" i="4"/>
  <c r="R414" i="4"/>
  <c r="AY413" i="4"/>
  <c r="AR413" i="4"/>
  <c r="AF413" i="4"/>
  <c r="BA413" i="4" s="1"/>
  <c r="AE413" i="4"/>
  <c r="R413" i="4"/>
  <c r="AG413" i="4" s="1"/>
  <c r="BB413" i="4" s="1"/>
  <c r="AY412" i="4"/>
  <c r="AR412" i="4"/>
  <c r="AF412" i="4"/>
  <c r="BA412" i="4" s="1"/>
  <c r="AE412" i="4"/>
  <c r="R412" i="4"/>
  <c r="AY411" i="4"/>
  <c r="AR411" i="4"/>
  <c r="AF411" i="4"/>
  <c r="BA411" i="4" s="1"/>
  <c r="AE411" i="4"/>
  <c r="R411" i="4"/>
  <c r="AG411" i="4" s="1"/>
  <c r="BB411" i="4" s="1"/>
  <c r="AY410" i="4"/>
  <c r="AR410" i="4"/>
  <c r="AF410" i="4"/>
  <c r="AE410" i="4"/>
  <c r="R410" i="4"/>
  <c r="AY409" i="4"/>
  <c r="AR409" i="4"/>
  <c r="AF409" i="4"/>
  <c r="BA409" i="4" s="1"/>
  <c r="AE409" i="4"/>
  <c r="R409" i="4"/>
  <c r="AG409" i="4" s="1"/>
  <c r="BB409" i="4" s="1"/>
  <c r="AY408" i="4"/>
  <c r="AR408" i="4"/>
  <c r="AF408" i="4"/>
  <c r="BA408" i="4" s="1"/>
  <c r="AE408" i="4"/>
  <c r="R408" i="4"/>
  <c r="X408" i="4" s="1"/>
  <c r="AY407" i="4"/>
  <c r="AR407" i="4"/>
  <c r="AF407" i="4"/>
  <c r="BA407" i="4" s="1"/>
  <c r="AE407" i="4"/>
  <c r="R407" i="4"/>
  <c r="AG407" i="4" s="1"/>
  <c r="BB407" i="4" s="1"/>
  <c r="AY406" i="4"/>
  <c r="AR406" i="4"/>
  <c r="AF406" i="4"/>
  <c r="AE406" i="4"/>
  <c r="R406" i="4"/>
  <c r="X406" i="4" s="1"/>
  <c r="AY405" i="4"/>
  <c r="AR405" i="4"/>
  <c r="AF405" i="4"/>
  <c r="BA405" i="4" s="1"/>
  <c r="AE405" i="4"/>
  <c r="R405" i="4"/>
  <c r="AG405" i="4" s="1"/>
  <c r="BB405" i="4" s="1"/>
  <c r="AY404" i="4"/>
  <c r="AR404" i="4"/>
  <c r="AF404" i="4"/>
  <c r="BA404" i="4" s="1"/>
  <c r="AE404" i="4"/>
  <c r="R404" i="4"/>
  <c r="X404" i="4" s="1"/>
  <c r="AY403" i="4"/>
  <c r="AR403" i="4"/>
  <c r="AF403" i="4"/>
  <c r="BA403" i="4" s="1"/>
  <c r="AE403" i="4"/>
  <c r="R403" i="4"/>
  <c r="AG403" i="4" s="1"/>
  <c r="BB403" i="4" s="1"/>
  <c r="AY402" i="4"/>
  <c r="AR402" i="4"/>
  <c r="AF402" i="4"/>
  <c r="AE402" i="4"/>
  <c r="R402" i="4"/>
  <c r="X402" i="4" s="1"/>
  <c r="AY401" i="4"/>
  <c r="AR401" i="4"/>
  <c r="AF401" i="4"/>
  <c r="BA401" i="4" s="1"/>
  <c r="AE401" i="4"/>
  <c r="R401" i="4"/>
  <c r="AG401" i="4" s="1"/>
  <c r="BB401" i="4" s="1"/>
  <c r="AY400" i="4"/>
  <c r="AR400" i="4"/>
  <c r="AF400" i="4"/>
  <c r="BA400" i="4" s="1"/>
  <c r="AE400" i="4"/>
  <c r="R400" i="4"/>
  <c r="X400" i="4" s="1"/>
  <c r="AY399" i="4"/>
  <c r="AR399" i="4"/>
  <c r="AF399" i="4"/>
  <c r="BA399" i="4" s="1"/>
  <c r="AE399" i="4"/>
  <c r="R399" i="4"/>
  <c r="AG399" i="4" s="1"/>
  <c r="BB399" i="4" s="1"/>
  <c r="AY398" i="4"/>
  <c r="AR398" i="4"/>
  <c r="AF398" i="4"/>
  <c r="AE398" i="4"/>
  <c r="R398" i="4"/>
  <c r="AY397" i="4"/>
  <c r="AR397" i="4"/>
  <c r="AF397" i="4"/>
  <c r="BA397" i="4" s="1"/>
  <c r="AE397" i="4"/>
  <c r="R397" i="4"/>
  <c r="AG397" i="4" s="1"/>
  <c r="BB397" i="4" s="1"/>
  <c r="AY396" i="4"/>
  <c r="AR396" i="4"/>
  <c r="AF396" i="4"/>
  <c r="BA396" i="4" s="1"/>
  <c r="AE396" i="4"/>
  <c r="R396" i="4"/>
  <c r="AY395" i="4"/>
  <c r="AR395" i="4"/>
  <c r="AF395" i="4"/>
  <c r="BA395" i="4" s="1"/>
  <c r="AE395" i="4"/>
  <c r="R395" i="4"/>
  <c r="AG395" i="4" s="1"/>
  <c r="BB395" i="4" s="1"/>
  <c r="AY394" i="4"/>
  <c r="AR394" i="4"/>
  <c r="AF394" i="4"/>
  <c r="AE394" i="4"/>
  <c r="R394" i="4"/>
  <c r="AY393" i="4"/>
  <c r="AR393" i="4"/>
  <c r="AF393" i="4"/>
  <c r="BA393" i="4" s="1"/>
  <c r="AE393" i="4"/>
  <c r="R393" i="4"/>
  <c r="AG393" i="4" s="1"/>
  <c r="BB393" i="4" s="1"/>
  <c r="AY392" i="4"/>
  <c r="AR392" i="4"/>
  <c r="AF392" i="4"/>
  <c r="BA392" i="4" s="1"/>
  <c r="AE392" i="4"/>
  <c r="R392" i="4"/>
  <c r="X392" i="4" s="1"/>
  <c r="AY391" i="4"/>
  <c r="AR391" i="4"/>
  <c r="AF391" i="4"/>
  <c r="BA391" i="4" s="1"/>
  <c r="AE391" i="4"/>
  <c r="R391" i="4"/>
  <c r="AG391" i="4" s="1"/>
  <c r="BB391" i="4" s="1"/>
  <c r="AY390" i="4"/>
  <c r="AR390" i="4"/>
  <c r="AF390" i="4"/>
  <c r="AE390" i="4"/>
  <c r="R390" i="4"/>
  <c r="X390" i="4" s="1"/>
  <c r="AY389" i="4"/>
  <c r="AR389" i="4"/>
  <c r="AF389" i="4"/>
  <c r="BA389" i="4" s="1"/>
  <c r="AE389" i="4"/>
  <c r="R389" i="4"/>
  <c r="AG389" i="4" s="1"/>
  <c r="BB389" i="4" s="1"/>
  <c r="AY388" i="4"/>
  <c r="AR388" i="4"/>
  <c r="AF388" i="4"/>
  <c r="BA388" i="4" s="1"/>
  <c r="AE388" i="4"/>
  <c r="R388" i="4"/>
  <c r="X388" i="4" s="1"/>
  <c r="AY387" i="4"/>
  <c r="AR387" i="4"/>
  <c r="AF387" i="4"/>
  <c r="BA387" i="4" s="1"/>
  <c r="AE387" i="4"/>
  <c r="R387" i="4"/>
  <c r="AG387" i="4" s="1"/>
  <c r="BB387" i="4" s="1"/>
  <c r="AY386" i="4"/>
  <c r="AR386" i="4"/>
  <c r="AF386" i="4"/>
  <c r="AE386" i="4"/>
  <c r="R386" i="4"/>
  <c r="X386" i="4" s="1"/>
  <c r="AY385" i="4"/>
  <c r="AR385" i="4"/>
  <c r="AF385" i="4"/>
  <c r="BA385" i="4" s="1"/>
  <c r="AE385" i="4"/>
  <c r="R385" i="4"/>
  <c r="AG385" i="4" s="1"/>
  <c r="BB385" i="4" s="1"/>
  <c r="AY384" i="4"/>
  <c r="AR384" i="4"/>
  <c r="AF384" i="4"/>
  <c r="BA384" i="4" s="1"/>
  <c r="AE384" i="4"/>
  <c r="R384" i="4"/>
  <c r="X384" i="4" s="1"/>
  <c r="AY383" i="4"/>
  <c r="AR383" i="4"/>
  <c r="AF383" i="4"/>
  <c r="BA383" i="4" s="1"/>
  <c r="AE383" i="4"/>
  <c r="R383" i="4"/>
  <c r="AG383" i="4" s="1"/>
  <c r="BB383" i="4" s="1"/>
  <c r="AY382" i="4"/>
  <c r="AR382" i="4"/>
  <c r="AF382" i="4"/>
  <c r="AE382" i="4"/>
  <c r="R382" i="4"/>
  <c r="AY381" i="4"/>
  <c r="AR381" i="4"/>
  <c r="AF381" i="4"/>
  <c r="BA381" i="4" s="1"/>
  <c r="AE381" i="4"/>
  <c r="R381" i="4"/>
  <c r="AG381" i="4" s="1"/>
  <c r="BB381" i="4" s="1"/>
  <c r="AY380" i="4"/>
  <c r="AR380" i="4"/>
  <c r="AF380" i="4"/>
  <c r="BA380" i="4" s="1"/>
  <c r="AE380" i="4"/>
  <c r="R380" i="4"/>
  <c r="AY379" i="4"/>
  <c r="AR379" i="4"/>
  <c r="AF379" i="4"/>
  <c r="BA379" i="4" s="1"/>
  <c r="AE379" i="4"/>
  <c r="R379" i="4"/>
  <c r="AG379" i="4" s="1"/>
  <c r="BB379" i="4" s="1"/>
  <c r="AY378" i="4"/>
  <c r="AR378" i="4"/>
  <c r="AF378" i="4"/>
  <c r="AE378" i="4"/>
  <c r="R378" i="4"/>
  <c r="AY377" i="4"/>
  <c r="AR377" i="4"/>
  <c r="AF377" i="4"/>
  <c r="BA377" i="4" s="1"/>
  <c r="AE377" i="4"/>
  <c r="R377" i="4"/>
  <c r="AG377" i="4" s="1"/>
  <c r="BB377" i="4" s="1"/>
  <c r="AY376" i="4"/>
  <c r="AR376" i="4"/>
  <c r="AF376" i="4"/>
  <c r="BA376" i="4" s="1"/>
  <c r="AE376" i="4"/>
  <c r="R376" i="4"/>
  <c r="X376" i="4" s="1"/>
  <c r="AY375" i="4"/>
  <c r="AR375" i="4"/>
  <c r="AF375" i="4"/>
  <c r="BA375" i="4" s="1"/>
  <c r="AE375" i="4"/>
  <c r="R375" i="4"/>
  <c r="AG375" i="4" s="1"/>
  <c r="BB375" i="4" s="1"/>
  <c r="AY374" i="4"/>
  <c r="AR374" i="4"/>
  <c r="AF374" i="4"/>
  <c r="AE374" i="4"/>
  <c r="R374" i="4"/>
  <c r="X374" i="4" s="1"/>
  <c r="AY373" i="4"/>
  <c r="AR373" i="4"/>
  <c r="AF373" i="4"/>
  <c r="BA373" i="4" s="1"/>
  <c r="AE373" i="4"/>
  <c r="R373" i="4"/>
  <c r="AG373" i="4" s="1"/>
  <c r="BB373" i="4" s="1"/>
  <c r="AY372" i="4"/>
  <c r="AR372" i="4"/>
  <c r="AF372" i="4"/>
  <c r="BA372" i="4" s="1"/>
  <c r="AE372" i="4"/>
  <c r="R372" i="4"/>
  <c r="X372" i="4" s="1"/>
  <c r="AY371" i="4"/>
  <c r="AR371" i="4"/>
  <c r="AF371" i="4"/>
  <c r="BA371" i="4" s="1"/>
  <c r="AE371" i="4"/>
  <c r="R371" i="4"/>
  <c r="AG371" i="4" s="1"/>
  <c r="BB371" i="4" s="1"/>
  <c r="AY370" i="4"/>
  <c r="AR370" i="4"/>
  <c r="AF370" i="4"/>
  <c r="AE370" i="4"/>
  <c r="R370" i="4"/>
  <c r="X370" i="4" s="1"/>
  <c r="AY369" i="4"/>
  <c r="AR369" i="4"/>
  <c r="AF369" i="4"/>
  <c r="BA369" i="4" s="1"/>
  <c r="AE369" i="4"/>
  <c r="R369" i="4"/>
  <c r="AG369" i="4" s="1"/>
  <c r="BB369" i="4" s="1"/>
  <c r="AY368" i="4"/>
  <c r="AR368" i="4"/>
  <c r="AF368" i="4"/>
  <c r="BA368" i="4" s="1"/>
  <c r="AE368" i="4"/>
  <c r="R368" i="4"/>
  <c r="X368" i="4" s="1"/>
  <c r="AY367" i="4"/>
  <c r="AR367" i="4"/>
  <c r="AF367" i="4"/>
  <c r="BA367" i="4" s="1"/>
  <c r="AE367" i="4"/>
  <c r="R367" i="4"/>
  <c r="AG367" i="4" s="1"/>
  <c r="BB367" i="4" s="1"/>
  <c r="AY366" i="4"/>
  <c r="AR366" i="4"/>
  <c r="AF366" i="4"/>
  <c r="AE366" i="4"/>
  <c r="R366" i="4"/>
  <c r="AY365" i="4"/>
  <c r="AR365" i="4"/>
  <c r="AF365" i="4"/>
  <c r="BA365" i="4" s="1"/>
  <c r="AE365" i="4"/>
  <c r="R365" i="4"/>
  <c r="AG365" i="4" s="1"/>
  <c r="BB365" i="4" s="1"/>
  <c r="AY364" i="4"/>
  <c r="AR364" i="4"/>
  <c r="AF364" i="4"/>
  <c r="BA364" i="4" s="1"/>
  <c r="AE364" i="4"/>
  <c r="R364" i="4"/>
  <c r="AY363" i="4"/>
  <c r="AR363" i="4"/>
  <c r="AF363" i="4"/>
  <c r="BA363" i="4" s="1"/>
  <c r="AE363" i="4"/>
  <c r="R363" i="4"/>
  <c r="AG363" i="4" s="1"/>
  <c r="BB363" i="4" s="1"/>
  <c r="AY362" i="4"/>
  <c r="AR362" i="4"/>
  <c r="AF362" i="4"/>
  <c r="AE362" i="4"/>
  <c r="R362" i="4"/>
  <c r="AY361" i="4"/>
  <c r="AR361" i="4"/>
  <c r="AF361" i="4"/>
  <c r="BA361" i="4" s="1"/>
  <c r="AE361" i="4"/>
  <c r="R361" i="4"/>
  <c r="AG361" i="4" s="1"/>
  <c r="BB361" i="4" s="1"/>
  <c r="AY360" i="4"/>
  <c r="AR360" i="4"/>
  <c r="AF360" i="4"/>
  <c r="BA360" i="4" s="1"/>
  <c r="AE360" i="4"/>
  <c r="R360" i="4"/>
  <c r="X360" i="4" s="1"/>
  <c r="AY359" i="4"/>
  <c r="AR359" i="4"/>
  <c r="AF359" i="4"/>
  <c r="BA359" i="4" s="1"/>
  <c r="AE359" i="4"/>
  <c r="R359" i="4"/>
  <c r="AG359" i="4" s="1"/>
  <c r="BB359" i="4" s="1"/>
  <c r="AY358" i="4"/>
  <c r="AR358" i="4"/>
  <c r="AF358" i="4"/>
  <c r="AE358" i="4"/>
  <c r="R358" i="4"/>
  <c r="X358" i="4" s="1"/>
  <c r="AY357" i="4"/>
  <c r="AR357" i="4"/>
  <c r="AF357" i="4"/>
  <c r="BA357" i="4" s="1"/>
  <c r="AE357" i="4"/>
  <c r="R357" i="4"/>
  <c r="AG357" i="4" s="1"/>
  <c r="BB357" i="4" s="1"/>
  <c r="AY356" i="4"/>
  <c r="AR356" i="4"/>
  <c r="AF356" i="4"/>
  <c r="BA356" i="4" s="1"/>
  <c r="AE356" i="4"/>
  <c r="R356" i="4"/>
  <c r="X356" i="4" s="1"/>
  <c r="AY355" i="4"/>
  <c r="AR355" i="4"/>
  <c r="AF355" i="4"/>
  <c r="BA355" i="4" s="1"/>
  <c r="AE355" i="4"/>
  <c r="R355" i="4"/>
  <c r="AG355" i="4" s="1"/>
  <c r="BB355" i="4" s="1"/>
  <c r="AY354" i="4"/>
  <c r="AR354" i="4"/>
  <c r="AF354" i="4"/>
  <c r="AE354" i="4"/>
  <c r="R354" i="4"/>
  <c r="X354" i="4" s="1"/>
  <c r="AY353" i="4"/>
  <c r="AR353" i="4"/>
  <c r="AF353" i="4"/>
  <c r="BA353" i="4" s="1"/>
  <c r="AE353" i="4"/>
  <c r="R353" i="4"/>
  <c r="AG353" i="4" s="1"/>
  <c r="BB353" i="4" s="1"/>
  <c r="AY352" i="4"/>
  <c r="AR352" i="4"/>
  <c r="AF352" i="4"/>
  <c r="BA352" i="4" s="1"/>
  <c r="AE352" i="4"/>
  <c r="R352" i="4"/>
  <c r="X352" i="4" s="1"/>
  <c r="AY351" i="4"/>
  <c r="AR351" i="4"/>
  <c r="AF351" i="4"/>
  <c r="BA351" i="4" s="1"/>
  <c r="AE351" i="4"/>
  <c r="R351" i="4"/>
  <c r="AY350" i="4"/>
  <c r="AR350" i="4"/>
  <c r="AF350" i="4"/>
  <c r="AE350" i="4"/>
  <c r="R350" i="4"/>
  <c r="X350" i="4" s="1"/>
  <c r="AY349" i="4"/>
  <c r="AR349" i="4"/>
  <c r="AF349" i="4"/>
  <c r="BA349" i="4" s="1"/>
  <c r="AE349" i="4"/>
  <c r="R349" i="4"/>
  <c r="AG349" i="4" s="1"/>
  <c r="BB349" i="4" s="1"/>
  <c r="AY348" i="4"/>
  <c r="AR348" i="4"/>
  <c r="AF348" i="4"/>
  <c r="BA348" i="4" s="1"/>
  <c r="AE348" i="4"/>
  <c r="R348" i="4"/>
  <c r="X348" i="4" s="1"/>
  <c r="AY347" i="4"/>
  <c r="AR347" i="4"/>
  <c r="AF347" i="4"/>
  <c r="BA347" i="4" s="1"/>
  <c r="AE347" i="4"/>
  <c r="R347" i="4"/>
  <c r="AY346" i="4"/>
  <c r="AR346" i="4"/>
  <c r="AF346" i="4"/>
  <c r="AE346" i="4"/>
  <c r="R346" i="4"/>
  <c r="X346" i="4" s="1"/>
  <c r="AY345" i="4"/>
  <c r="AR345" i="4"/>
  <c r="AF345" i="4"/>
  <c r="BA345" i="4" s="1"/>
  <c r="AE345" i="4"/>
  <c r="R345" i="4"/>
  <c r="AY344" i="4"/>
  <c r="AR344" i="4"/>
  <c r="AF344" i="4"/>
  <c r="BA344" i="4" s="1"/>
  <c r="AE344" i="4"/>
  <c r="R344" i="4"/>
  <c r="X344" i="4" s="1"/>
  <c r="AY343" i="4"/>
  <c r="AR343" i="4"/>
  <c r="AF343" i="4"/>
  <c r="BA343" i="4" s="1"/>
  <c r="AE343" i="4"/>
  <c r="R343" i="4"/>
  <c r="AY342" i="4"/>
  <c r="AR342" i="4"/>
  <c r="AF342" i="4"/>
  <c r="AE342" i="4"/>
  <c r="R342" i="4"/>
  <c r="AY341" i="4"/>
  <c r="AR341" i="4"/>
  <c r="AF341" i="4"/>
  <c r="BA341" i="4" s="1"/>
  <c r="AE341" i="4"/>
  <c r="R341" i="4"/>
  <c r="AY340" i="4"/>
  <c r="AR340" i="4"/>
  <c r="AF340" i="4"/>
  <c r="BA340" i="4" s="1"/>
  <c r="AE340" i="4"/>
  <c r="R340" i="4"/>
  <c r="X340" i="4" s="1"/>
  <c r="AY339" i="4"/>
  <c r="AR339" i="4"/>
  <c r="AF339" i="4"/>
  <c r="BA339" i="4" s="1"/>
  <c r="AE339" i="4"/>
  <c r="R339" i="4"/>
  <c r="AY338" i="4"/>
  <c r="AR338" i="4"/>
  <c r="AF338" i="4"/>
  <c r="AE338" i="4"/>
  <c r="R338" i="4"/>
  <c r="AY337" i="4"/>
  <c r="AR337" i="4"/>
  <c r="AF337" i="4"/>
  <c r="BA337" i="4" s="1"/>
  <c r="AE337" i="4"/>
  <c r="R337" i="4"/>
  <c r="AG337" i="4" s="1"/>
  <c r="BB337" i="4" s="1"/>
  <c r="AY336" i="4"/>
  <c r="AR336" i="4"/>
  <c r="AF336" i="4"/>
  <c r="BA336" i="4" s="1"/>
  <c r="AE336" i="4"/>
  <c r="R336" i="4"/>
  <c r="AY335" i="4"/>
  <c r="AR335" i="4"/>
  <c r="AF335" i="4"/>
  <c r="BA335" i="4" s="1"/>
  <c r="AE335" i="4"/>
  <c r="R335" i="4"/>
  <c r="AY334" i="4"/>
  <c r="AR334" i="4"/>
  <c r="AF334" i="4"/>
  <c r="AE334" i="4"/>
  <c r="R334" i="4"/>
  <c r="X334" i="4" s="1"/>
  <c r="AY333" i="4"/>
  <c r="AR333" i="4"/>
  <c r="AF333" i="4"/>
  <c r="BA333" i="4" s="1"/>
  <c r="AE333" i="4"/>
  <c r="R333" i="4"/>
  <c r="AG333" i="4" s="1"/>
  <c r="BB333" i="4" s="1"/>
  <c r="AY332" i="4"/>
  <c r="AR332" i="4"/>
  <c r="AF332" i="4"/>
  <c r="BA332" i="4" s="1"/>
  <c r="AE332" i="4"/>
  <c r="R332" i="4"/>
  <c r="AY331" i="4"/>
  <c r="AR331" i="4"/>
  <c r="AF331" i="4"/>
  <c r="BA331" i="4" s="1"/>
  <c r="AE331" i="4"/>
  <c r="R331" i="4"/>
  <c r="AY330" i="4"/>
  <c r="AR330" i="4"/>
  <c r="AF330" i="4"/>
  <c r="AE330" i="4"/>
  <c r="R330" i="4"/>
  <c r="X330" i="4" s="1"/>
  <c r="AY329" i="4"/>
  <c r="AR329" i="4"/>
  <c r="AF329" i="4"/>
  <c r="BA329" i="4" s="1"/>
  <c r="AE329" i="4"/>
  <c r="R329" i="4"/>
  <c r="AG329" i="4" s="1"/>
  <c r="BB329" i="4" s="1"/>
  <c r="AY328" i="4"/>
  <c r="AR328" i="4"/>
  <c r="AF328" i="4"/>
  <c r="BA328" i="4" s="1"/>
  <c r="AE328" i="4"/>
  <c r="R328" i="4"/>
  <c r="X328" i="4" s="1"/>
  <c r="AY327" i="4"/>
  <c r="AR327" i="4"/>
  <c r="AF327" i="4"/>
  <c r="BA327" i="4" s="1"/>
  <c r="AE327" i="4"/>
  <c r="R327" i="4"/>
  <c r="AY326" i="4"/>
  <c r="AR326" i="4"/>
  <c r="AF326" i="4"/>
  <c r="AE326" i="4"/>
  <c r="R326" i="4"/>
  <c r="X326" i="4" s="1"/>
  <c r="AY325" i="4"/>
  <c r="AR325" i="4"/>
  <c r="AF325" i="4"/>
  <c r="BA325" i="4" s="1"/>
  <c r="AE325" i="4"/>
  <c r="R325" i="4"/>
  <c r="AG325" i="4" s="1"/>
  <c r="BB325" i="4" s="1"/>
  <c r="AY324" i="4"/>
  <c r="AR324" i="4"/>
  <c r="AF324" i="4"/>
  <c r="BA324" i="4" s="1"/>
  <c r="AE324" i="4"/>
  <c r="R324" i="4"/>
  <c r="X324" i="4" s="1"/>
  <c r="AY323" i="4"/>
  <c r="AR323" i="4"/>
  <c r="AF323" i="4"/>
  <c r="BA323" i="4" s="1"/>
  <c r="AE323" i="4"/>
  <c r="R323" i="4"/>
  <c r="AY322" i="4"/>
  <c r="AR322" i="4"/>
  <c r="AF322" i="4"/>
  <c r="AE322" i="4"/>
  <c r="R322" i="4"/>
  <c r="X322" i="4" s="1"/>
  <c r="AY321" i="4"/>
  <c r="AR321" i="4"/>
  <c r="AF321" i="4"/>
  <c r="BA321" i="4" s="1"/>
  <c r="AE321" i="4"/>
  <c r="R321" i="4"/>
  <c r="AG321" i="4" s="1"/>
  <c r="BB321" i="4" s="1"/>
  <c r="AY320" i="4"/>
  <c r="AR320" i="4"/>
  <c r="AF320" i="4"/>
  <c r="BA320" i="4" s="1"/>
  <c r="AE320" i="4"/>
  <c r="R320" i="4"/>
  <c r="X320" i="4" s="1"/>
  <c r="AY319" i="4"/>
  <c r="AR319" i="4"/>
  <c r="AF319" i="4"/>
  <c r="BA319" i="4" s="1"/>
  <c r="AE319" i="4"/>
  <c r="R319" i="4"/>
  <c r="AY318" i="4"/>
  <c r="AR318" i="4"/>
  <c r="AF318" i="4"/>
  <c r="AE318" i="4"/>
  <c r="R318" i="4"/>
  <c r="X318" i="4" s="1"/>
  <c r="AY317" i="4"/>
  <c r="AR317" i="4"/>
  <c r="AF317" i="4"/>
  <c r="BA317" i="4" s="1"/>
  <c r="AE317" i="4"/>
  <c r="R317" i="4"/>
  <c r="AG317" i="4" s="1"/>
  <c r="BB317" i="4" s="1"/>
  <c r="AY316" i="4"/>
  <c r="AR316" i="4"/>
  <c r="AF316" i="4"/>
  <c r="BA316" i="4" s="1"/>
  <c r="AE316" i="4"/>
  <c r="R316" i="4"/>
  <c r="X316" i="4" s="1"/>
  <c r="AY315" i="4"/>
  <c r="AR315" i="4"/>
  <c r="AF315" i="4"/>
  <c r="BA315" i="4" s="1"/>
  <c r="AE315" i="4"/>
  <c r="R315" i="4"/>
  <c r="AY314" i="4"/>
  <c r="AR314" i="4"/>
  <c r="AF314" i="4"/>
  <c r="AE314" i="4"/>
  <c r="R314" i="4"/>
  <c r="X314" i="4" s="1"/>
  <c r="AY313" i="4"/>
  <c r="AR313" i="4"/>
  <c r="AF313" i="4"/>
  <c r="BA313" i="4" s="1"/>
  <c r="AE313" i="4"/>
  <c r="R313" i="4"/>
  <c r="AY312" i="4"/>
  <c r="AR312" i="4"/>
  <c r="AF312" i="4"/>
  <c r="BA312" i="4" s="1"/>
  <c r="AE312" i="4"/>
  <c r="R312" i="4"/>
  <c r="X312" i="4" s="1"/>
  <c r="AY311" i="4"/>
  <c r="AR311" i="4"/>
  <c r="AF311" i="4"/>
  <c r="BA311" i="4" s="1"/>
  <c r="AE311" i="4"/>
  <c r="R311" i="4"/>
  <c r="AY310" i="4"/>
  <c r="AR310" i="4"/>
  <c r="AF310" i="4"/>
  <c r="AE310" i="4"/>
  <c r="R310" i="4"/>
  <c r="AY309" i="4"/>
  <c r="AR309" i="4"/>
  <c r="AF309" i="4"/>
  <c r="BA309" i="4" s="1"/>
  <c r="AE309" i="4"/>
  <c r="R309" i="4"/>
  <c r="AY308" i="4"/>
  <c r="AR308" i="4"/>
  <c r="AF308" i="4"/>
  <c r="BA308" i="4" s="1"/>
  <c r="AE308" i="4"/>
  <c r="R308" i="4"/>
  <c r="AY307" i="4"/>
  <c r="AR307" i="4"/>
  <c r="AF307" i="4"/>
  <c r="BA307" i="4" s="1"/>
  <c r="AE307" i="4"/>
  <c r="R307" i="4"/>
  <c r="AY306" i="4"/>
  <c r="AR306" i="4"/>
  <c r="AF306" i="4"/>
  <c r="AE306" i="4"/>
  <c r="R306" i="4"/>
  <c r="X306" i="4" s="1"/>
  <c r="AY305" i="4"/>
  <c r="AR305" i="4"/>
  <c r="AF305" i="4"/>
  <c r="BA305" i="4" s="1"/>
  <c r="AE305" i="4"/>
  <c r="R305" i="4"/>
  <c r="AG305" i="4" s="1"/>
  <c r="BB305" i="4" s="1"/>
  <c r="AY304" i="4"/>
  <c r="AR304" i="4"/>
  <c r="AF304" i="4"/>
  <c r="BA304" i="4" s="1"/>
  <c r="AE304" i="4"/>
  <c r="R304" i="4"/>
  <c r="X304" i="4" s="1"/>
  <c r="AY303" i="4"/>
  <c r="AR303" i="4"/>
  <c r="AF303" i="4"/>
  <c r="BA303" i="4" s="1"/>
  <c r="AE303" i="4"/>
  <c r="R303" i="4"/>
  <c r="AG303" i="4" s="1"/>
  <c r="BB303" i="4" s="1"/>
  <c r="AY302" i="4"/>
  <c r="AR302" i="4"/>
  <c r="AF302" i="4"/>
  <c r="AE302" i="4"/>
  <c r="R302" i="4"/>
  <c r="X302" i="4" s="1"/>
  <c r="AY301" i="4"/>
  <c r="AR301" i="4"/>
  <c r="AF301" i="4"/>
  <c r="BA301" i="4" s="1"/>
  <c r="AE301" i="4"/>
  <c r="R301" i="4"/>
  <c r="AG301" i="4" s="1"/>
  <c r="BB301" i="4" s="1"/>
  <c r="AY300" i="4"/>
  <c r="AR300" i="4"/>
  <c r="AF300" i="4"/>
  <c r="BA300" i="4" s="1"/>
  <c r="AE300" i="4"/>
  <c r="R300" i="4"/>
  <c r="X300" i="4" s="1"/>
  <c r="AY299" i="4"/>
  <c r="AR299" i="4"/>
  <c r="AF299" i="4"/>
  <c r="BA299" i="4" s="1"/>
  <c r="AE299" i="4"/>
  <c r="R299" i="4"/>
  <c r="AG299" i="4" s="1"/>
  <c r="BB299" i="4" s="1"/>
  <c r="AY298" i="4"/>
  <c r="AR298" i="4"/>
  <c r="AF298" i="4"/>
  <c r="AE298" i="4"/>
  <c r="R298" i="4"/>
  <c r="X298" i="4" s="1"/>
  <c r="AY297" i="4"/>
  <c r="AR297" i="4"/>
  <c r="AF297" i="4"/>
  <c r="BA297" i="4" s="1"/>
  <c r="AE297" i="4"/>
  <c r="R297" i="4"/>
  <c r="AG297" i="4" s="1"/>
  <c r="BB297" i="4" s="1"/>
  <c r="AY296" i="4"/>
  <c r="AR296" i="4"/>
  <c r="AF296" i="4"/>
  <c r="BA296" i="4" s="1"/>
  <c r="AE296" i="4"/>
  <c r="R296" i="4"/>
  <c r="X296" i="4" s="1"/>
  <c r="AY295" i="4"/>
  <c r="AR295" i="4"/>
  <c r="AF295" i="4"/>
  <c r="BA295" i="4" s="1"/>
  <c r="AE295" i="4"/>
  <c r="R295" i="4"/>
  <c r="AG295" i="4" s="1"/>
  <c r="BB295" i="4" s="1"/>
  <c r="AY294" i="4"/>
  <c r="AR294" i="4"/>
  <c r="AF294" i="4"/>
  <c r="AE294" i="4"/>
  <c r="R294" i="4"/>
  <c r="X294" i="4" s="1"/>
  <c r="AY293" i="4"/>
  <c r="AR293" i="4"/>
  <c r="AF293" i="4"/>
  <c r="BA293" i="4" s="1"/>
  <c r="AE293" i="4"/>
  <c r="R293" i="4"/>
  <c r="AG293" i="4" s="1"/>
  <c r="BB293" i="4" s="1"/>
  <c r="AY292" i="4"/>
  <c r="AR292" i="4"/>
  <c r="AF292" i="4"/>
  <c r="BA292" i="4" s="1"/>
  <c r="AE292" i="4"/>
  <c r="R292" i="4"/>
  <c r="X292" i="4" s="1"/>
  <c r="AY291" i="4"/>
  <c r="AR291" i="4"/>
  <c r="AF291" i="4"/>
  <c r="BA291" i="4" s="1"/>
  <c r="AE291" i="4"/>
  <c r="R291" i="4"/>
  <c r="AG291" i="4" s="1"/>
  <c r="BB291" i="4" s="1"/>
  <c r="AY290" i="4"/>
  <c r="AR290" i="4"/>
  <c r="AF290" i="4"/>
  <c r="AE290" i="4"/>
  <c r="R290" i="4"/>
  <c r="X290" i="4" s="1"/>
  <c r="AY289" i="4"/>
  <c r="AR289" i="4"/>
  <c r="AF289" i="4"/>
  <c r="AE289" i="4"/>
  <c r="R289" i="4"/>
  <c r="AG289" i="4" s="1"/>
  <c r="BB289" i="4" s="1"/>
  <c r="AY288" i="4"/>
  <c r="AR288" i="4"/>
  <c r="AF288" i="4"/>
  <c r="BA288" i="4" s="1"/>
  <c r="AE288" i="4"/>
  <c r="R288" i="4"/>
  <c r="AG288" i="4" s="1"/>
  <c r="AX287" i="4"/>
  <c r="AX1084" i="4" s="1"/>
  <c r="AW287" i="4"/>
  <c r="AW1084" i="4" s="1"/>
  <c r="AV287" i="4"/>
  <c r="AV1084" i="4" s="1"/>
  <c r="AU287" i="4"/>
  <c r="AU1084" i="4" s="1"/>
  <c r="AT287" i="4"/>
  <c r="AT1084" i="4" s="1"/>
  <c r="AS287" i="4"/>
  <c r="AS1084" i="4" s="1"/>
  <c r="AQ287" i="4"/>
  <c r="AQ1084" i="4" s="1"/>
  <c r="AP287" i="4"/>
  <c r="AP1084" i="4" s="1"/>
  <c r="AO287" i="4"/>
  <c r="AO1084" i="4" s="1"/>
  <c r="AN287" i="4"/>
  <c r="AN1084" i="4" s="1"/>
  <c r="AM287" i="4"/>
  <c r="AM1084" i="4" s="1"/>
  <c r="AL287" i="4"/>
  <c r="AL1084" i="4" s="1"/>
  <c r="AJ287" i="4"/>
  <c r="AJ1084" i="4" s="1"/>
  <c r="AD287" i="4"/>
  <c r="AD1084" i="4" s="1"/>
  <c r="AC287" i="4"/>
  <c r="AC1084" i="4" s="1"/>
  <c r="AB287" i="4"/>
  <c r="AB1084" i="4" s="1"/>
  <c r="AA287" i="4"/>
  <c r="AA1084" i="4" s="1"/>
  <c r="Z287" i="4"/>
  <c r="Z1084" i="4" s="1"/>
  <c r="Y287" i="4"/>
  <c r="Y1084" i="4" s="1"/>
  <c r="W287" i="4"/>
  <c r="W1084" i="4" s="1"/>
  <c r="V287" i="4"/>
  <c r="V1084" i="4" s="1"/>
  <c r="U287" i="4"/>
  <c r="U1084" i="4" s="1"/>
  <c r="T287" i="4"/>
  <c r="T1084" i="4" s="1"/>
  <c r="S287" i="4"/>
  <c r="S1084" i="4" s="1"/>
  <c r="O287" i="4"/>
  <c r="O1084" i="4" s="1"/>
  <c r="N287" i="4"/>
  <c r="N1084" i="4" s="1"/>
  <c r="M287" i="4"/>
  <c r="M1084" i="4" s="1"/>
  <c r="L287" i="4"/>
  <c r="L1084" i="4" s="1"/>
  <c r="K287" i="4"/>
  <c r="K1084" i="4" s="1"/>
  <c r="J287" i="4"/>
  <c r="J1084" i="4" s="1"/>
  <c r="I287" i="4"/>
  <c r="I1084" i="4" s="1"/>
  <c r="H287" i="4"/>
  <c r="H1084" i="4" s="1"/>
  <c r="G287" i="4"/>
  <c r="G1084" i="4" s="1"/>
  <c r="F287" i="4"/>
  <c r="F1084" i="4" s="1"/>
  <c r="AY286" i="4"/>
  <c r="AR286" i="4"/>
  <c r="AF286" i="4"/>
  <c r="BA286" i="4" s="1"/>
  <c r="AE286" i="4"/>
  <c r="R286" i="4"/>
  <c r="AY285" i="4"/>
  <c r="AR285" i="4"/>
  <c r="AF285" i="4"/>
  <c r="BA285" i="4" s="1"/>
  <c r="AE285" i="4"/>
  <c r="R285" i="4"/>
  <c r="AG285" i="4" s="1"/>
  <c r="BB285" i="4" s="1"/>
  <c r="AY284" i="4"/>
  <c r="AR284" i="4"/>
  <c r="AF284" i="4"/>
  <c r="BA284" i="4" s="1"/>
  <c r="AE284" i="4"/>
  <c r="R284" i="4"/>
  <c r="AY283" i="4"/>
  <c r="AR283" i="4"/>
  <c r="AF283" i="4"/>
  <c r="BA283" i="4" s="1"/>
  <c r="AE283" i="4"/>
  <c r="R283" i="4"/>
  <c r="AG283" i="4" s="1"/>
  <c r="BB283" i="4" s="1"/>
  <c r="AY282" i="4"/>
  <c r="AR282" i="4"/>
  <c r="AF282" i="4"/>
  <c r="BA282" i="4" s="1"/>
  <c r="AE282" i="4"/>
  <c r="R282" i="4"/>
  <c r="AY281" i="4"/>
  <c r="AR281" i="4"/>
  <c r="AF281" i="4"/>
  <c r="BA281" i="4" s="1"/>
  <c r="AE281" i="4"/>
  <c r="R281" i="4"/>
  <c r="AG281" i="4" s="1"/>
  <c r="BB281" i="4" s="1"/>
  <c r="AY280" i="4"/>
  <c r="AR280" i="4"/>
  <c r="AF280" i="4"/>
  <c r="BA280" i="4" s="1"/>
  <c r="AE280" i="4"/>
  <c r="R280" i="4"/>
  <c r="AY279" i="4"/>
  <c r="AR279" i="4"/>
  <c r="AF279" i="4"/>
  <c r="BA279" i="4" s="1"/>
  <c r="AE279" i="4"/>
  <c r="R279" i="4"/>
  <c r="AG279" i="4" s="1"/>
  <c r="BB279" i="4" s="1"/>
  <c r="AY278" i="4"/>
  <c r="AR278" i="4"/>
  <c r="AF278" i="4"/>
  <c r="BA278" i="4" s="1"/>
  <c r="AE278" i="4"/>
  <c r="R278" i="4"/>
  <c r="AY277" i="4"/>
  <c r="AR277" i="4"/>
  <c r="AF277" i="4"/>
  <c r="BA277" i="4" s="1"/>
  <c r="AE277" i="4"/>
  <c r="R277" i="4"/>
  <c r="AG277" i="4" s="1"/>
  <c r="BB277" i="4" s="1"/>
  <c r="BE276" i="4"/>
  <c r="AY276" i="4"/>
  <c r="AR276" i="4"/>
  <c r="AJ276" i="4"/>
  <c r="AF276" i="4"/>
  <c r="BA276" i="4" s="1"/>
  <c r="AE276" i="4"/>
  <c r="R276" i="4"/>
  <c r="X276" i="4" s="1"/>
  <c r="Q276" i="4"/>
  <c r="AY275" i="4"/>
  <c r="AR275" i="4"/>
  <c r="AF275" i="4"/>
  <c r="BA275" i="4" s="1"/>
  <c r="AE275" i="4"/>
  <c r="R275" i="4"/>
  <c r="X275" i="4" s="1"/>
  <c r="AY274" i="4"/>
  <c r="AR274" i="4"/>
  <c r="AF274" i="4"/>
  <c r="AE274" i="4"/>
  <c r="R274" i="4"/>
  <c r="AG274" i="4" s="1"/>
  <c r="BB274" i="4" s="1"/>
  <c r="AY273" i="4"/>
  <c r="AR273" i="4"/>
  <c r="AF273" i="4"/>
  <c r="AE273" i="4"/>
  <c r="R273" i="4"/>
  <c r="X273" i="4" s="1"/>
  <c r="AY272" i="4"/>
  <c r="AR272" i="4"/>
  <c r="AF272" i="4"/>
  <c r="BA272" i="4" s="1"/>
  <c r="AE272" i="4"/>
  <c r="R272" i="4"/>
  <c r="AG272" i="4" s="1"/>
  <c r="BB272" i="4" s="1"/>
  <c r="AY271" i="4"/>
  <c r="AR271" i="4"/>
  <c r="AF271" i="4"/>
  <c r="BA271" i="4" s="1"/>
  <c r="AE271" i="4"/>
  <c r="R271" i="4"/>
  <c r="X271" i="4" s="1"/>
  <c r="AY270" i="4"/>
  <c r="AR270" i="4"/>
  <c r="AF270" i="4"/>
  <c r="BA270" i="4" s="1"/>
  <c r="AE270" i="4"/>
  <c r="R270" i="4"/>
  <c r="AG270" i="4" s="1"/>
  <c r="BB270" i="4" s="1"/>
  <c r="BE269" i="4"/>
  <c r="AY269" i="4"/>
  <c r="AR269" i="4"/>
  <c r="AJ269" i="4"/>
  <c r="AF269" i="4"/>
  <c r="BA269" i="4" s="1"/>
  <c r="AE269" i="4"/>
  <c r="R269" i="4"/>
  <c r="AG269" i="4" s="1"/>
  <c r="BB269" i="4" s="1"/>
  <c r="Q269" i="4"/>
  <c r="BE268" i="4"/>
  <c r="AY268" i="4"/>
  <c r="AR268" i="4"/>
  <c r="AJ268" i="4"/>
  <c r="AF268" i="4"/>
  <c r="AE268" i="4"/>
  <c r="R268" i="4"/>
  <c r="Q268" i="4"/>
  <c r="BE267" i="4"/>
  <c r="AY267" i="4"/>
  <c r="AR267" i="4"/>
  <c r="AJ267" i="4"/>
  <c r="AF267" i="4"/>
  <c r="BA267" i="4" s="1"/>
  <c r="R267" i="4"/>
  <c r="AG267" i="4" s="1"/>
  <c r="BB267" i="4" s="1"/>
  <c r="Q267" i="4"/>
  <c r="AY266" i="4"/>
  <c r="AR266" i="4"/>
  <c r="AJ266" i="4"/>
  <c r="AF266" i="4"/>
  <c r="BA266" i="4" s="1"/>
  <c r="AE266" i="4"/>
  <c r="R266" i="4"/>
  <c r="AG266" i="4" s="1"/>
  <c r="BB266" i="4" s="1"/>
  <c r="BE265" i="4"/>
  <c r="AY265" i="4"/>
  <c r="AR265" i="4"/>
  <c r="AK265" i="4"/>
  <c r="AJ265" i="4"/>
  <c r="AF265" i="4"/>
  <c r="BA265" i="4" s="1"/>
  <c r="AE265" i="4"/>
  <c r="R265" i="4"/>
  <c r="X265" i="4" s="1"/>
  <c r="Q265" i="4"/>
  <c r="BE264" i="4"/>
  <c r="AY264" i="4"/>
  <c r="AR264" i="4"/>
  <c r="AK264" i="4"/>
  <c r="AJ264" i="4"/>
  <c r="AF264" i="4"/>
  <c r="AE264" i="4"/>
  <c r="R264" i="4"/>
  <c r="X264" i="4" s="1"/>
  <c r="Q264" i="4"/>
  <c r="BE263" i="4"/>
  <c r="AY263" i="4"/>
  <c r="AR263" i="4"/>
  <c r="AK263" i="4"/>
  <c r="AJ263" i="4"/>
  <c r="AF263" i="4"/>
  <c r="BA263" i="4" s="1"/>
  <c r="AE263" i="4"/>
  <c r="R263" i="4"/>
  <c r="AG263" i="4" s="1"/>
  <c r="BB263" i="4" s="1"/>
  <c r="Q263" i="4"/>
  <c r="AY262" i="4"/>
  <c r="AR262" i="4"/>
  <c r="AF262" i="4"/>
  <c r="BA262" i="4" s="1"/>
  <c r="AE262" i="4"/>
  <c r="R262" i="4"/>
  <c r="AG262" i="4" s="1"/>
  <c r="BB262" i="4" s="1"/>
  <c r="AY261" i="4"/>
  <c r="AR261" i="4"/>
  <c r="AF261" i="4"/>
  <c r="BA261" i="4" s="1"/>
  <c r="AE261" i="4"/>
  <c r="R261" i="4"/>
  <c r="AG261" i="4" s="1"/>
  <c r="BB261" i="4" s="1"/>
  <c r="AX260" i="4"/>
  <c r="AX1083" i="4" s="1"/>
  <c r="AW260" i="4"/>
  <c r="AW1083" i="4" s="1"/>
  <c r="AV260" i="4"/>
  <c r="AV1083" i="4" s="1"/>
  <c r="AU260" i="4"/>
  <c r="AU1083" i="4" s="1"/>
  <c r="AT260" i="4"/>
  <c r="AT1083" i="4" s="1"/>
  <c r="AS260" i="4"/>
  <c r="AS1083" i="4" s="1"/>
  <c r="AQ260" i="4"/>
  <c r="AQ1083" i="4" s="1"/>
  <c r="AP260" i="4"/>
  <c r="AP1083" i="4" s="1"/>
  <c r="AO260" i="4"/>
  <c r="AO1083" i="4" s="1"/>
  <c r="AN260" i="4"/>
  <c r="AN1083" i="4" s="1"/>
  <c r="AM260" i="4"/>
  <c r="AM1083" i="4" s="1"/>
  <c r="AL260" i="4"/>
  <c r="AL1083" i="4" s="1"/>
  <c r="AD260" i="4"/>
  <c r="AD1083" i="4" s="1"/>
  <c r="AC260" i="4"/>
  <c r="AC1083" i="4" s="1"/>
  <c r="AB260" i="4"/>
  <c r="AB1083" i="4" s="1"/>
  <c r="AA260" i="4"/>
  <c r="AA1083" i="4" s="1"/>
  <c r="Z260" i="4"/>
  <c r="Z1083" i="4" s="1"/>
  <c r="Y260" i="4"/>
  <c r="Y1083" i="4" s="1"/>
  <c r="W260" i="4"/>
  <c r="W1083" i="4" s="1"/>
  <c r="V260" i="4"/>
  <c r="V1083" i="4" s="1"/>
  <c r="U260" i="4"/>
  <c r="U1083" i="4" s="1"/>
  <c r="T260" i="4"/>
  <c r="T1083" i="4" s="1"/>
  <c r="S260" i="4"/>
  <c r="S1083" i="4" s="1"/>
  <c r="AY259" i="4"/>
  <c r="AR259" i="4"/>
  <c r="AF259" i="4"/>
  <c r="BA259" i="4" s="1"/>
  <c r="AE259" i="4"/>
  <c r="R259" i="4"/>
  <c r="AG259" i="4" s="1"/>
  <c r="BB259" i="4" s="1"/>
  <c r="BE258" i="4"/>
  <c r="AY258" i="4"/>
  <c r="AR258" i="4"/>
  <c r="AJ258" i="4"/>
  <c r="AF258" i="4"/>
  <c r="BA258" i="4" s="1"/>
  <c r="AE258" i="4"/>
  <c r="R258" i="4"/>
  <c r="AG258" i="4" s="1"/>
  <c r="BB258" i="4" s="1"/>
  <c r="Q258" i="4"/>
  <c r="AY257" i="4"/>
  <c r="AR257" i="4"/>
  <c r="AF257" i="4"/>
  <c r="BA257" i="4" s="1"/>
  <c r="AE257" i="4"/>
  <c r="R257" i="4"/>
  <c r="X257" i="4" s="1"/>
  <c r="AY256" i="4"/>
  <c r="AR256" i="4"/>
  <c r="AF256" i="4"/>
  <c r="BA256" i="4" s="1"/>
  <c r="AE256" i="4"/>
  <c r="R256" i="4"/>
  <c r="AG256" i="4" s="1"/>
  <c r="BB256" i="4" s="1"/>
  <c r="AY255" i="4"/>
  <c r="AR255" i="4"/>
  <c r="AF255" i="4"/>
  <c r="BA255" i="4" s="1"/>
  <c r="AE255" i="4"/>
  <c r="R255" i="4"/>
  <c r="AG255" i="4" s="1"/>
  <c r="AY254" i="4"/>
  <c r="AR254" i="4"/>
  <c r="AF254" i="4"/>
  <c r="BA254" i="4" s="1"/>
  <c r="AE254" i="4"/>
  <c r="R254" i="4"/>
  <c r="X254" i="4" s="1"/>
  <c r="AY253" i="4"/>
  <c r="AR253" i="4"/>
  <c r="AF253" i="4"/>
  <c r="AE253" i="4"/>
  <c r="R253" i="4"/>
  <c r="X253" i="4" s="1"/>
  <c r="AY252" i="4"/>
  <c r="AR252" i="4"/>
  <c r="AF252" i="4"/>
  <c r="BA252" i="4" s="1"/>
  <c r="AE252" i="4"/>
  <c r="R252" i="4"/>
  <c r="AG252" i="4" s="1"/>
  <c r="BB252" i="4" s="1"/>
  <c r="AY251" i="4"/>
  <c r="AR251" i="4"/>
  <c r="AF251" i="4"/>
  <c r="BA251" i="4" s="1"/>
  <c r="AE251" i="4"/>
  <c r="R251" i="4"/>
  <c r="AG251" i="4" s="1"/>
  <c r="AY250" i="4"/>
  <c r="AR250" i="4"/>
  <c r="AF250" i="4"/>
  <c r="BA250" i="4" s="1"/>
  <c r="AE250" i="4"/>
  <c r="R250" i="4"/>
  <c r="X250" i="4" s="1"/>
  <c r="AY249" i="4"/>
  <c r="AR249" i="4"/>
  <c r="AF249" i="4"/>
  <c r="AE249" i="4"/>
  <c r="R249" i="4"/>
  <c r="X249" i="4" s="1"/>
  <c r="AY248" i="4"/>
  <c r="AR248" i="4"/>
  <c r="AF248" i="4"/>
  <c r="BA248" i="4" s="1"/>
  <c r="AE248" i="4"/>
  <c r="R248" i="4"/>
  <c r="AG248" i="4" s="1"/>
  <c r="BB248" i="4" s="1"/>
  <c r="AY247" i="4"/>
  <c r="AR247" i="4"/>
  <c r="AF247" i="4"/>
  <c r="BA247" i="4" s="1"/>
  <c r="AE247" i="4"/>
  <c r="R247" i="4"/>
  <c r="AG247" i="4" s="1"/>
  <c r="AY246" i="4"/>
  <c r="AR246" i="4"/>
  <c r="AF246" i="4"/>
  <c r="BA246" i="4" s="1"/>
  <c r="AE246" i="4"/>
  <c r="R246" i="4"/>
  <c r="X246" i="4" s="1"/>
  <c r="AY245" i="4"/>
  <c r="AR245" i="4"/>
  <c r="AF245" i="4"/>
  <c r="AE245" i="4"/>
  <c r="R245" i="4"/>
  <c r="X245" i="4" s="1"/>
  <c r="AY244" i="4"/>
  <c r="AR244" i="4"/>
  <c r="AF244" i="4"/>
  <c r="BA244" i="4" s="1"/>
  <c r="AE244" i="4"/>
  <c r="R244" i="4"/>
  <c r="AG244" i="4" s="1"/>
  <c r="BB244" i="4" s="1"/>
  <c r="AY243" i="4"/>
  <c r="AR243" i="4"/>
  <c r="AF243" i="4"/>
  <c r="BA243" i="4" s="1"/>
  <c r="AE243" i="4"/>
  <c r="R243" i="4"/>
  <c r="AG243" i="4" s="1"/>
  <c r="AY242" i="4"/>
  <c r="AR242" i="4"/>
  <c r="AF242" i="4"/>
  <c r="BA242" i="4" s="1"/>
  <c r="AE242" i="4"/>
  <c r="R242" i="4"/>
  <c r="X242" i="4" s="1"/>
  <c r="AY241" i="4"/>
  <c r="AR241" i="4"/>
  <c r="AF241" i="4"/>
  <c r="AE241" i="4"/>
  <c r="R241" i="4"/>
  <c r="X241" i="4" s="1"/>
  <c r="AY240" i="4"/>
  <c r="AR240" i="4"/>
  <c r="AF240" i="4"/>
  <c r="BA240" i="4" s="1"/>
  <c r="AE240" i="4"/>
  <c r="R240" i="4"/>
  <c r="AG240" i="4" s="1"/>
  <c r="BB240" i="4" s="1"/>
  <c r="AY239" i="4"/>
  <c r="AR239" i="4"/>
  <c r="AF239" i="4"/>
  <c r="BA239" i="4" s="1"/>
  <c r="AE239" i="4"/>
  <c r="R239" i="4"/>
  <c r="AG239" i="4" s="1"/>
  <c r="AY238" i="4"/>
  <c r="AR238" i="4"/>
  <c r="AF238" i="4"/>
  <c r="BA238" i="4" s="1"/>
  <c r="AE238" i="4"/>
  <c r="R238" i="4"/>
  <c r="X238" i="4" s="1"/>
  <c r="AY237" i="4"/>
  <c r="AR237" i="4"/>
  <c r="AF237" i="4"/>
  <c r="AE237" i="4"/>
  <c r="R237" i="4"/>
  <c r="X237" i="4" s="1"/>
  <c r="AY236" i="4"/>
  <c r="AR236" i="4"/>
  <c r="AF236" i="4"/>
  <c r="BA236" i="4" s="1"/>
  <c r="AE236" i="4"/>
  <c r="R236" i="4"/>
  <c r="AG236" i="4" s="1"/>
  <c r="BB236" i="4" s="1"/>
  <c r="AY235" i="4"/>
  <c r="AR235" i="4"/>
  <c r="AF235" i="4"/>
  <c r="BA235" i="4" s="1"/>
  <c r="AE235" i="4"/>
  <c r="R235" i="4"/>
  <c r="AG235" i="4" s="1"/>
  <c r="BB235" i="4" s="1"/>
  <c r="AY234" i="4"/>
  <c r="AR234" i="4"/>
  <c r="AF234" i="4"/>
  <c r="BA234" i="4" s="1"/>
  <c r="AE234" i="4"/>
  <c r="R234" i="4"/>
  <c r="X234" i="4" s="1"/>
  <c r="AY233" i="4"/>
  <c r="AR233" i="4"/>
  <c r="AF233" i="4"/>
  <c r="AE233" i="4"/>
  <c r="R233" i="4"/>
  <c r="X233" i="4" s="1"/>
  <c r="AY232" i="4"/>
  <c r="AR232" i="4"/>
  <c r="AF232" i="4"/>
  <c r="BA232" i="4" s="1"/>
  <c r="AE232" i="4"/>
  <c r="R232" i="4"/>
  <c r="AG232" i="4" s="1"/>
  <c r="BB232" i="4" s="1"/>
  <c r="AY231" i="4"/>
  <c r="AR231" i="4"/>
  <c r="AF231" i="4"/>
  <c r="BA231" i="4" s="1"/>
  <c r="AE231" i="4"/>
  <c r="R231" i="4"/>
  <c r="AG231" i="4" s="1"/>
  <c r="AY230" i="4"/>
  <c r="AR230" i="4"/>
  <c r="AF230" i="4"/>
  <c r="BA230" i="4" s="1"/>
  <c r="AE230" i="4"/>
  <c r="R230" i="4"/>
  <c r="X230" i="4" s="1"/>
  <c r="AY229" i="4"/>
  <c r="AR229" i="4"/>
  <c r="AF229" i="4"/>
  <c r="AE229" i="4"/>
  <c r="R229" i="4"/>
  <c r="X229" i="4" s="1"/>
  <c r="AY228" i="4"/>
  <c r="AR228" i="4"/>
  <c r="AF228" i="4"/>
  <c r="BA228" i="4" s="1"/>
  <c r="AE228" i="4"/>
  <c r="R228" i="4"/>
  <c r="AG228" i="4" s="1"/>
  <c r="BB228" i="4" s="1"/>
  <c r="AY227" i="4"/>
  <c r="AR227" i="4"/>
  <c r="AF227" i="4"/>
  <c r="BA227" i="4" s="1"/>
  <c r="AE227" i="4"/>
  <c r="R227" i="4"/>
  <c r="AY226" i="4"/>
  <c r="AR226" i="4"/>
  <c r="AF226" i="4"/>
  <c r="BA226" i="4" s="1"/>
  <c r="AE226" i="4"/>
  <c r="R226" i="4"/>
  <c r="X226" i="4" s="1"/>
  <c r="AY225" i="4"/>
  <c r="AR225" i="4"/>
  <c r="AF225" i="4"/>
  <c r="AE225" i="4"/>
  <c r="R225" i="4"/>
  <c r="X225" i="4" s="1"/>
  <c r="AY224" i="4"/>
  <c r="AR224" i="4"/>
  <c r="AF224" i="4"/>
  <c r="BA224" i="4" s="1"/>
  <c r="AE224" i="4"/>
  <c r="R224" i="4"/>
  <c r="AG224" i="4" s="1"/>
  <c r="BB224" i="4" s="1"/>
  <c r="AY223" i="4"/>
  <c r="AR223" i="4"/>
  <c r="AF223" i="4"/>
  <c r="BA223" i="4" s="1"/>
  <c r="AE223" i="4"/>
  <c r="R223" i="4"/>
  <c r="AG223" i="4" s="1"/>
  <c r="AY222" i="4"/>
  <c r="AR222" i="4"/>
  <c r="AF222" i="4"/>
  <c r="BA222" i="4" s="1"/>
  <c r="AE222" i="4"/>
  <c r="R222" i="4"/>
  <c r="X222" i="4" s="1"/>
  <c r="AY221" i="4"/>
  <c r="AR221" i="4"/>
  <c r="AF221" i="4"/>
  <c r="AE221" i="4"/>
  <c r="R221" i="4"/>
  <c r="X221" i="4" s="1"/>
  <c r="AY220" i="4"/>
  <c r="AR220" i="4"/>
  <c r="AF220" i="4"/>
  <c r="BA220" i="4" s="1"/>
  <c r="AE220" i="4"/>
  <c r="R220" i="4"/>
  <c r="AG220" i="4" s="1"/>
  <c r="BB220" i="4" s="1"/>
  <c r="AY219" i="4"/>
  <c r="AR219" i="4"/>
  <c r="AF219" i="4"/>
  <c r="BA219" i="4" s="1"/>
  <c r="AE219" i="4"/>
  <c r="R219" i="4"/>
  <c r="AG219" i="4" s="1"/>
  <c r="BB219" i="4" s="1"/>
  <c r="AY218" i="4"/>
  <c r="AR218" i="4"/>
  <c r="AF218" i="4"/>
  <c r="BA218" i="4" s="1"/>
  <c r="AE218" i="4"/>
  <c r="R218" i="4"/>
  <c r="X218" i="4" s="1"/>
  <c r="AY217" i="4"/>
  <c r="AR217" i="4"/>
  <c r="AF217" i="4"/>
  <c r="AE217" i="4"/>
  <c r="R217" i="4"/>
  <c r="X217" i="4" s="1"/>
  <c r="AY216" i="4"/>
  <c r="AR216" i="4"/>
  <c r="AF216" i="4"/>
  <c r="BA216" i="4" s="1"/>
  <c r="AE216" i="4"/>
  <c r="R216" i="4"/>
  <c r="AG216" i="4" s="1"/>
  <c r="BB216" i="4" s="1"/>
  <c r="AY215" i="4"/>
  <c r="AR215" i="4"/>
  <c r="AF215" i="4"/>
  <c r="BA215" i="4" s="1"/>
  <c r="AE215" i="4"/>
  <c r="R215" i="4"/>
  <c r="AY214" i="4"/>
  <c r="AR214" i="4"/>
  <c r="AF214" i="4"/>
  <c r="BA214" i="4" s="1"/>
  <c r="AE214" i="4"/>
  <c r="R214" i="4"/>
  <c r="X214" i="4" s="1"/>
  <c r="AY213" i="4"/>
  <c r="AR213" i="4"/>
  <c r="AF213" i="4"/>
  <c r="AE213" i="4"/>
  <c r="R213" i="4"/>
  <c r="X213" i="4" s="1"/>
  <c r="AY212" i="4"/>
  <c r="AR212" i="4"/>
  <c r="AF212" i="4"/>
  <c r="BA212" i="4" s="1"/>
  <c r="AE212" i="4"/>
  <c r="R212" i="4"/>
  <c r="AG212" i="4" s="1"/>
  <c r="BB212" i="4" s="1"/>
  <c r="AY211" i="4"/>
  <c r="AR211" i="4"/>
  <c r="AF211" i="4"/>
  <c r="BA211" i="4" s="1"/>
  <c r="AE211" i="4"/>
  <c r="R211" i="4"/>
  <c r="AY210" i="4"/>
  <c r="AR210" i="4"/>
  <c r="AF210" i="4"/>
  <c r="BA210" i="4" s="1"/>
  <c r="AE210" i="4"/>
  <c r="R210" i="4"/>
  <c r="X210" i="4" s="1"/>
  <c r="AY209" i="4"/>
  <c r="AR209" i="4"/>
  <c r="AF209" i="4"/>
  <c r="AE209" i="4"/>
  <c r="R209" i="4"/>
  <c r="X209" i="4" s="1"/>
  <c r="AY208" i="4"/>
  <c r="AR208" i="4"/>
  <c r="AF208" i="4"/>
  <c r="BA208" i="4" s="1"/>
  <c r="AE208" i="4"/>
  <c r="R208" i="4"/>
  <c r="AG208" i="4" s="1"/>
  <c r="BB208" i="4" s="1"/>
  <c r="BE207" i="4"/>
  <c r="AY207" i="4"/>
  <c r="AR207" i="4"/>
  <c r="AJ207" i="4"/>
  <c r="AF207" i="4"/>
  <c r="AE207" i="4"/>
  <c r="R207" i="4"/>
  <c r="X207" i="4" s="1"/>
  <c r="Q207" i="4"/>
  <c r="AY206" i="4"/>
  <c r="AR206" i="4"/>
  <c r="AF206" i="4"/>
  <c r="AE206" i="4"/>
  <c r="R206" i="4"/>
  <c r="X206" i="4" s="1"/>
  <c r="AY205" i="4"/>
  <c r="AR205" i="4"/>
  <c r="AF205" i="4"/>
  <c r="BA205" i="4" s="1"/>
  <c r="AE205" i="4"/>
  <c r="R205" i="4"/>
  <c r="AG205" i="4" s="1"/>
  <c r="BB205" i="4" s="1"/>
  <c r="AY204" i="4"/>
  <c r="AR204" i="4"/>
  <c r="AF204" i="4"/>
  <c r="BA204" i="4" s="1"/>
  <c r="AE204" i="4"/>
  <c r="R204" i="4"/>
  <c r="AY203" i="4"/>
  <c r="AR203" i="4"/>
  <c r="AF203" i="4"/>
  <c r="BA203" i="4" s="1"/>
  <c r="AE203" i="4"/>
  <c r="R203" i="4"/>
  <c r="X203" i="4" s="1"/>
  <c r="AY202" i="4"/>
  <c r="AR202" i="4"/>
  <c r="AF202" i="4"/>
  <c r="AE202" i="4"/>
  <c r="R202" i="4"/>
  <c r="X202" i="4" s="1"/>
  <c r="AY201" i="4"/>
  <c r="AR201" i="4"/>
  <c r="AF201" i="4"/>
  <c r="BA201" i="4" s="1"/>
  <c r="AE201" i="4"/>
  <c r="R201" i="4"/>
  <c r="AG201" i="4" s="1"/>
  <c r="BB201" i="4" s="1"/>
  <c r="AY200" i="4"/>
  <c r="AR200" i="4"/>
  <c r="AF200" i="4"/>
  <c r="BA200" i="4" s="1"/>
  <c r="AE200" i="4"/>
  <c r="R200" i="4"/>
  <c r="AY199" i="4"/>
  <c r="AR199" i="4"/>
  <c r="AF199" i="4"/>
  <c r="BA199" i="4" s="1"/>
  <c r="AE199" i="4"/>
  <c r="R199" i="4"/>
  <c r="X199" i="4" s="1"/>
  <c r="AY198" i="4"/>
  <c r="AR198" i="4"/>
  <c r="AF198" i="4"/>
  <c r="AE198" i="4"/>
  <c r="R198" i="4"/>
  <c r="X198" i="4" s="1"/>
  <c r="AY197" i="4"/>
  <c r="AR197" i="4"/>
  <c r="AF197" i="4"/>
  <c r="BA197" i="4" s="1"/>
  <c r="AE197" i="4"/>
  <c r="R197" i="4"/>
  <c r="AG197" i="4" s="1"/>
  <c r="BB197" i="4" s="1"/>
  <c r="AY196" i="4"/>
  <c r="AR196" i="4"/>
  <c r="AF196" i="4"/>
  <c r="BA196" i="4" s="1"/>
  <c r="AE196" i="4"/>
  <c r="R196" i="4"/>
  <c r="AG196" i="4" s="1"/>
  <c r="AY195" i="4"/>
  <c r="AR195" i="4"/>
  <c r="AF195" i="4"/>
  <c r="BA195" i="4" s="1"/>
  <c r="AE195" i="4"/>
  <c r="R195" i="4"/>
  <c r="X195" i="4" s="1"/>
  <c r="AY194" i="4"/>
  <c r="AR194" i="4"/>
  <c r="AF194" i="4"/>
  <c r="AE194" i="4"/>
  <c r="R194" i="4"/>
  <c r="X194" i="4" s="1"/>
  <c r="AY193" i="4"/>
  <c r="AR193" i="4"/>
  <c r="AF193" i="4"/>
  <c r="BA193" i="4" s="1"/>
  <c r="AE193" i="4"/>
  <c r="R193" i="4"/>
  <c r="AG193" i="4" s="1"/>
  <c r="BB193" i="4" s="1"/>
  <c r="AY192" i="4"/>
  <c r="AR192" i="4"/>
  <c r="AF192" i="4"/>
  <c r="BA192" i="4" s="1"/>
  <c r="AE192" i="4"/>
  <c r="R192" i="4"/>
  <c r="AG192" i="4" s="1"/>
  <c r="AY191" i="4"/>
  <c r="AR191" i="4"/>
  <c r="AF191" i="4"/>
  <c r="BA191" i="4" s="1"/>
  <c r="AE191" i="4"/>
  <c r="R191" i="4"/>
  <c r="X191" i="4" s="1"/>
  <c r="AY190" i="4"/>
  <c r="AR190" i="4"/>
  <c r="AF190" i="4"/>
  <c r="AE190" i="4"/>
  <c r="R190" i="4"/>
  <c r="X190" i="4" s="1"/>
  <c r="AY189" i="4"/>
  <c r="AR189" i="4"/>
  <c r="AF189" i="4"/>
  <c r="BA189" i="4" s="1"/>
  <c r="AE189" i="4"/>
  <c r="R189" i="4"/>
  <c r="AG189" i="4" s="1"/>
  <c r="BB189" i="4" s="1"/>
  <c r="AY188" i="4"/>
  <c r="AR188" i="4"/>
  <c r="AF188" i="4"/>
  <c r="BA188" i="4" s="1"/>
  <c r="AE188" i="4"/>
  <c r="R188" i="4"/>
  <c r="AY187" i="4"/>
  <c r="AR187" i="4"/>
  <c r="AF187" i="4"/>
  <c r="BA187" i="4" s="1"/>
  <c r="AE187" i="4"/>
  <c r="R187" i="4"/>
  <c r="X187" i="4" s="1"/>
  <c r="AY186" i="4"/>
  <c r="AR186" i="4"/>
  <c r="AF186" i="4"/>
  <c r="AE186" i="4"/>
  <c r="R186" i="4"/>
  <c r="X186" i="4" s="1"/>
  <c r="AY185" i="4"/>
  <c r="AR185" i="4"/>
  <c r="AF185" i="4"/>
  <c r="BA185" i="4" s="1"/>
  <c r="AE185" i="4"/>
  <c r="R185" i="4"/>
  <c r="AG185" i="4" s="1"/>
  <c r="BB185" i="4" s="1"/>
  <c r="AY184" i="4"/>
  <c r="AR184" i="4"/>
  <c r="AF184" i="4"/>
  <c r="BA184" i="4" s="1"/>
  <c r="AE184" i="4"/>
  <c r="R184" i="4"/>
  <c r="AY183" i="4"/>
  <c r="AR183" i="4"/>
  <c r="AF183" i="4"/>
  <c r="BA183" i="4" s="1"/>
  <c r="AE183" i="4"/>
  <c r="R183" i="4"/>
  <c r="X183" i="4" s="1"/>
  <c r="BE182" i="4"/>
  <c r="AY182" i="4"/>
  <c r="AR182" i="4"/>
  <c r="AJ182" i="4"/>
  <c r="AG182" i="4"/>
  <c r="BB182" i="4" s="1"/>
  <c r="AE182" i="4"/>
  <c r="X182" i="4"/>
  <c r="Q182" i="4"/>
  <c r="BE181" i="4"/>
  <c r="AY181" i="4"/>
  <c r="AR181" i="4"/>
  <c r="AJ181" i="4"/>
  <c r="AF181" i="4"/>
  <c r="BA181" i="4" s="1"/>
  <c r="AE181" i="4"/>
  <c r="R181" i="4"/>
  <c r="AG181" i="4" s="1"/>
  <c r="BB181" i="4" s="1"/>
  <c r="Q181" i="4"/>
  <c r="AY180" i="4"/>
  <c r="AR180" i="4"/>
  <c r="AF180" i="4"/>
  <c r="BA180" i="4" s="1"/>
  <c r="AE180" i="4"/>
  <c r="R180" i="4"/>
  <c r="AG180" i="4" s="1"/>
  <c r="BB180" i="4" s="1"/>
  <c r="Q180" i="4"/>
  <c r="BE179" i="4"/>
  <c r="AY179" i="4"/>
  <c r="AR179" i="4"/>
  <c r="AJ179" i="4"/>
  <c r="AF179" i="4"/>
  <c r="BA179" i="4" s="1"/>
  <c r="AE179" i="4"/>
  <c r="R179" i="4"/>
  <c r="X179" i="4" s="1"/>
  <c r="Q179" i="4"/>
  <c r="AY178" i="4"/>
  <c r="AR178" i="4"/>
  <c r="AF178" i="4"/>
  <c r="BA178" i="4" s="1"/>
  <c r="AE178" i="4"/>
  <c r="R178" i="4"/>
  <c r="X178" i="4" s="1"/>
  <c r="AX177" i="4"/>
  <c r="AX1082" i="4" s="1"/>
  <c r="AW177" i="4"/>
  <c r="AW1082" i="4" s="1"/>
  <c r="AV177" i="4"/>
  <c r="AV1082" i="4" s="1"/>
  <c r="AU177" i="4"/>
  <c r="AU1082" i="4" s="1"/>
  <c r="AT177" i="4"/>
  <c r="AT1082" i="4" s="1"/>
  <c r="AS177" i="4"/>
  <c r="AS1082" i="4" s="1"/>
  <c r="AQ177" i="4"/>
  <c r="AQ1082" i="4" s="1"/>
  <c r="AP177" i="4"/>
  <c r="AP1082" i="4" s="1"/>
  <c r="AO177" i="4"/>
  <c r="AO1082" i="4" s="1"/>
  <c r="AN177" i="4"/>
  <c r="AN1082" i="4" s="1"/>
  <c r="AM177" i="4"/>
  <c r="AM1082" i="4" s="1"/>
  <c r="AL177" i="4"/>
  <c r="AL1082" i="4" s="1"/>
  <c r="AD177" i="4"/>
  <c r="AD1082" i="4" s="1"/>
  <c r="AC177" i="4"/>
  <c r="AC1082" i="4" s="1"/>
  <c r="AB177" i="4"/>
  <c r="AB1082" i="4" s="1"/>
  <c r="AA177" i="4"/>
  <c r="AA1082" i="4" s="1"/>
  <c r="Z177" i="4"/>
  <c r="Z1082" i="4" s="1"/>
  <c r="Y177" i="4"/>
  <c r="Y1082" i="4" s="1"/>
  <c r="W177" i="4"/>
  <c r="W1082" i="4" s="1"/>
  <c r="V177" i="4"/>
  <c r="V1082" i="4" s="1"/>
  <c r="U177" i="4"/>
  <c r="U1082" i="4" s="1"/>
  <c r="T177" i="4"/>
  <c r="T1082" i="4" s="1"/>
  <c r="S177" i="4"/>
  <c r="S1082" i="4" s="1"/>
  <c r="BE176" i="4"/>
  <c r="AY176" i="4"/>
  <c r="AR176" i="4"/>
  <c r="AJ176" i="4"/>
  <c r="AF176" i="4"/>
  <c r="BA176" i="4" s="1"/>
  <c r="AE176" i="4"/>
  <c r="R176" i="4"/>
  <c r="AG176" i="4" s="1"/>
  <c r="BB176" i="4" s="1"/>
  <c r="BE175" i="4"/>
  <c r="AY175" i="4"/>
  <c r="AR175" i="4"/>
  <c r="AJ175" i="4"/>
  <c r="AF175" i="4"/>
  <c r="AE175" i="4"/>
  <c r="R175" i="4"/>
  <c r="X175" i="4" s="1"/>
  <c r="Q175" i="4"/>
  <c r="BE174" i="4"/>
  <c r="AY174" i="4"/>
  <c r="AR174" i="4"/>
  <c r="AJ174" i="4"/>
  <c r="AF174" i="4"/>
  <c r="BA174" i="4" s="1"/>
  <c r="AE174" i="4"/>
  <c r="R174" i="4"/>
  <c r="AG174" i="4" s="1"/>
  <c r="BB174" i="4" s="1"/>
  <c r="Q174" i="4"/>
  <c r="BE173" i="4"/>
  <c r="AY173" i="4"/>
  <c r="AR173" i="4"/>
  <c r="AJ173" i="4"/>
  <c r="AF173" i="4"/>
  <c r="AE173" i="4"/>
  <c r="R173" i="4"/>
  <c r="X173" i="4" s="1"/>
  <c r="BE172" i="4"/>
  <c r="AY172" i="4"/>
  <c r="AR172" i="4"/>
  <c r="AJ172" i="4"/>
  <c r="AF172" i="4"/>
  <c r="BA172" i="4" s="1"/>
  <c r="AE172" i="4"/>
  <c r="R172" i="4"/>
  <c r="X172" i="4" s="1"/>
  <c r="Q172" i="4"/>
  <c r="BE171" i="4"/>
  <c r="AY171" i="4"/>
  <c r="AR171" i="4"/>
  <c r="AJ171" i="4"/>
  <c r="AF171" i="4"/>
  <c r="BA171" i="4" s="1"/>
  <c r="AE171" i="4"/>
  <c r="R171" i="4"/>
  <c r="AG171" i="4" s="1"/>
  <c r="BB171" i="4" s="1"/>
  <c r="Q171" i="4"/>
  <c r="BE170" i="4"/>
  <c r="AY170" i="4"/>
  <c r="AR170" i="4"/>
  <c r="AJ170" i="4"/>
  <c r="AF170" i="4"/>
  <c r="BA170" i="4" s="1"/>
  <c r="AE170" i="4"/>
  <c r="R170" i="4"/>
  <c r="X170" i="4" s="1"/>
  <c r="Q170" i="4"/>
  <c r="BE169" i="4"/>
  <c r="AY169" i="4"/>
  <c r="AR169" i="4"/>
  <c r="AK169" i="4"/>
  <c r="AJ169" i="4"/>
  <c r="AF169" i="4"/>
  <c r="AE169" i="4"/>
  <c r="R169" i="4"/>
  <c r="X169" i="4" s="1"/>
  <c r="Q169" i="4"/>
  <c r="BE168" i="4"/>
  <c r="AY168" i="4"/>
  <c r="AR168" i="4"/>
  <c r="AK168" i="4"/>
  <c r="AJ168" i="4"/>
  <c r="AF168" i="4"/>
  <c r="BA168" i="4" s="1"/>
  <c r="AE168" i="4"/>
  <c r="R168" i="4"/>
  <c r="AG168" i="4" s="1"/>
  <c r="BB168" i="4" s="1"/>
  <c r="Q168" i="4"/>
  <c r="BE167" i="4"/>
  <c r="AY167" i="4"/>
  <c r="AR167" i="4"/>
  <c r="AK167" i="4"/>
  <c r="AJ167" i="4"/>
  <c r="AF167" i="4"/>
  <c r="BA167" i="4" s="1"/>
  <c r="AE167" i="4"/>
  <c r="R167" i="4"/>
  <c r="AG167" i="4" s="1"/>
  <c r="BB167" i="4" s="1"/>
  <c r="Q167" i="4"/>
  <c r="BE166" i="4"/>
  <c r="AY166" i="4"/>
  <c r="AR166" i="4"/>
  <c r="AK166" i="4"/>
  <c r="AJ166" i="4"/>
  <c r="AF166" i="4"/>
  <c r="BA166" i="4" s="1"/>
  <c r="AE166" i="4"/>
  <c r="R166" i="4"/>
  <c r="X166" i="4" s="1"/>
  <c r="Q166" i="4"/>
  <c r="BE165" i="4"/>
  <c r="AY165" i="4"/>
  <c r="AR165" i="4"/>
  <c r="AK165" i="4"/>
  <c r="AJ165" i="4"/>
  <c r="AF165" i="4"/>
  <c r="AE165" i="4"/>
  <c r="R165" i="4"/>
  <c r="X165" i="4" s="1"/>
  <c r="Q165" i="4"/>
  <c r="BE164" i="4"/>
  <c r="AY164" i="4"/>
  <c r="AR164" i="4"/>
  <c r="AK164" i="4"/>
  <c r="AJ164" i="4"/>
  <c r="AF164" i="4"/>
  <c r="BA164" i="4" s="1"/>
  <c r="AE164" i="4"/>
  <c r="R164" i="4"/>
  <c r="AG164" i="4" s="1"/>
  <c r="BB164" i="4" s="1"/>
  <c r="Q164" i="4"/>
  <c r="BE163" i="4"/>
  <c r="AY163" i="4"/>
  <c r="AR163" i="4"/>
  <c r="AJ163" i="4"/>
  <c r="AF163" i="4"/>
  <c r="BA163" i="4" s="1"/>
  <c r="AE163" i="4"/>
  <c r="R163" i="4"/>
  <c r="Q163" i="4"/>
  <c r="BE162" i="4"/>
  <c r="AY162" i="4"/>
  <c r="AR162" i="4"/>
  <c r="AJ162" i="4"/>
  <c r="AF162" i="4"/>
  <c r="BA162" i="4" s="1"/>
  <c r="AE162" i="4"/>
  <c r="R162" i="4"/>
  <c r="AG162" i="4" s="1"/>
  <c r="BB162" i="4" s="1"/>
  <c r="Q162" i="4"/>
  <c r="BE161" i="4"/>
  <c r="AY161" i="4"/>
  <c r="AR161" i="4"/>
  <c r="AJ161" i="4"/>
  <c r="AF161" i="4"/>
  <c r="BA161" i="4" s="1"/>
  <c r="AE161" i="4"/>
  <c r="R161" i="4"/>
  <c r="X161" i="4" s="1"/>
  <c r="Q161" i="4"/>
  <c r="BE160" i="4"/>
  <c r="AY160" i="4"/>
  <c r="AR160" i="4"/>
  <c r="AJ160" i="4"/>
  <c r="AF160" i="4"/>
  <c r="BA160" i="4" s="1"/>
  <c r="AE160" i="4"/>
  <c r="R160" i="4"/>
  <c r="AG160" i="4" s="1"/>
  <c r="BB160" i="4" s="1"/>
  <c r="AY159" i="4"/>
  <c r="AR159" i="4"/>
  <c r="AF159" i="4"/>
  <c r="BA159" i="4" s="1"/>
  <c r="AE159" i="4"/>
  <c r="R159" i="4"/>
  <c r="AG159" i="4" s="1"/>
  <c r="BE158" i="4"/>
  <c r="AY158" i="4"/>
  <c r="AR158" i="4"/>
  <c r="AJ158" i="4"/>
  <c r="AF158" i="4"/>
  <c r="BA158" i="4" s="1"/>
  <c r="AE158" i="4"/>
  <c r="R158" i="4"/>
  <c r="AG158" i="4" s="1"/>
  <c r="BB158" i="4" s="1"/>
  <c r="Q158" i="4"/>
  <c r="BE157" i="4"/>
  <c r="AY157" i="4"/>
  <c r="AR157" i="4"/>
  <c r="AJ157" i="4"/>
  <c r="AF157" i="4"/>
  <c r="BA157" i="4" s="1"/>
  <c r="AE157" i="4"/>
  <c r="R157" i="4"/>
  <c r="Q157" i="4"/>
  <c r="AX156" i="4"/>
  <c r="AW156" i="4"/>
  <c r="AV156" i="4"/>
  <c r="AU156" i="4"/>
  <c r="AT156" i="4"/>
  <c r="AS156" i="4"/>
  <c r="AQ156" i="4"/>
  <c r="AP156" i="4"/>
  <c r="AO156" i="4"/>
  <c r="AN156" i="4"/>
  <c r="AM156" i="4"/>
  <c r="AL156" i="4"/>
  <c r="AD156" i="4"/>
  <c r="AC156" i="4"/>
  <c r="AB156" i="4"/>
  <c r="AA156" i="4"/>
  <c r="Z156" i="4"/>
  <c r="Y156" i="4"/>
  <c r="W156" i="4"/>
  <c r="V156" i="4"/>
  <c r="U156" i="4"/>
  <c r="T156" i="4"/>
  <c r="S156" i="4"/>
  <c r="AY155" i="4"/>
  <c r="AR155" i="4"/>
  <c r="AF155" i="4"/>
  <c r="BA155" i="4" s="1"/>
  <c r="AE155" i="4"/>
  <c r="R155" i="4"/>
  <c r="AG155" i="4" s="1"/>
  <c r="AY154" i="4"/>
  <c r="AR154" i="4"/>
  <c r="AF154" i="4"/>
  <c r="BA154" i="4" s="1"/>
  <c r="AE154" i="4"/>
  <c r="R154" i="4"/>
  <c r="AY153" i="4"/>
  <c r="AR153" i="4"/>
  <c r="AF153" i="4"/>
  <c r="AE153" i="4"/>
  <c r="R153" i="4"/>
  <c r="X153" i="4" s="1"/>
  <c r="AY152" i="4"/>
  <c r="AR152" i="4"/>
  <c r="AF152" i="4"/>
  <c r="BA152" i="4" s="1"/>
  <c r="AE152" i="4"/>
  <c r="R152" i="4"/>
  <c r="AG152" i="4" s="1"/>
  <c r="BB152" i="4" s="1"/>
  <c r="AY151" i="4"/>
  <c r="AR151" i="4"/>
  <c r="AF151" i="4"/>
  <c r="BA151" i="4" s="1"/>
  <c r="AE151" i="4"/>
  <c r="R151" i="4"/>
  <c r="AY150" i="4"/>
  <c r="AR150" i="4"/>
  <c r="AF150" i="4"/>
  <c r="BA150" i="4" s="1"/>
  <c r="AE150" i="4"/>
  <c r="R150" i="4"/>
  <c r="X150" i="4" s="1"/>
  <c r="AY149" i="4"/>
  <c r="AR149" i="4"/>
  <c r="AF149" i="4"/>
  <c r="AE149" i="4"/>
  <c r="R149" i="4"/>
  <c r="X149" i="4" s="1"/>
  <c r="AY148" i="4"/>
  <c r="AR148" i="4"/>
  <c r="AF148" i="4"/>
  <c r="BA148" i="4" s="1"/>
  <c r="AE148" i="4"/>
  <c r="R148" i="4"/>
  <c r="AG148" i="4" s="1"/>
  <c r="BB148" i="4" s="1"/>
  <c r="AY147" i="4"/>
  <c r="AR147" i="4"/>
  <c r="AF147" i="4"/>
  <c r="BA147" i="4" s="1"/>
  <c r="AE147" i="4"/>
  <c r="R147" i="4"/>
  <c r="AG147" i="4" s="1"/>
  <c r="AY146" i="4"/>
  <c r="AR146" i="4"/>
  <c r="AF146" i="4"/>
  <c r="BA146" i="4" s="1"/>
  <c r="AE146" i="4"/>
  <c r="R146" i="4"/>
  <c r="X146" i="4" s="1"/>
  <c r="AY145" i="4"/>
  <c r="AR145" i="4"/>
  <c r="AF145" i="4"/>
  <c r="AE145" i="4"/>
  <c r="R145" i="4"/>
  <c r="X145" i="4" s="1"/>
  <c r="AY144" i="4"/>
  <c r="AR144" i="4"/>
  <c r="AF144" i="4"/>
  <c r="BA144" i="4" s="1"/>
  <c r="AE144" i="4"/>
  <c r="R144" i="4"/>
  <c r="AG144" i="4" s="1"/>
  <c r="BB144" i="4" s="1"/>
  <c r="AY143" i="4"/>
  <c r="AR143" i="4"/>
  <c r="AF143" i="4"/>
  <c r="BA143" i="4" s="1"/>
  <c r="AE143" i="4"/>
  <c r="R143" i="4"/>
  <c r="AG143" i="4" s="1"/>
  <c r="AY142" i="4"/>
  <c r="AR142" i="4"/>
  <c r="AF142" i="4"/>
  <c r="BA142" i="4" s="1"/>
  <c r="AE142" i="4"/>
  <c r="R142" i="4"/>
  <c r="X142" i="4" s="1"/>
  <c r="AY141" i="4"/>
  <c r="AR141" i="4"/>
  <c r="AF141" i="4"/>
  <c r="AE141" i="4"/>
  <c r="R141" i="4"/>
  <c r="X141" i="4" s="1"/>
  <c r="AY140" i="4"/>
  <c r="AR140" i="4"/>
  <c r="AF140" i="4"/>
  <c r="BA140" i="4" s="1"/>
  <c r="AE140" i="4"/>
  <c r="R140" i="4"/>
  <c r="AG140" i="4" s="1"/>
  <c r="BB140" i="4" s="1"/>
  <c r="AY139" i="4"/>
  <c r="AR139" i="4"/>
  <c r="AF139" i="4"/>
  <c r="BA139" i="4" s="1"/>
  <c r="AE139" i="4"/>
  <c r="R139" i="4"/>
  <c r="AG139" i="4" s="1"/>
  <c r="AY138" i="4"/>
  <c r="AR138" i="4"/>
  <c r="AF138" i="4"/>
  <c r="BA138" i="4" s="1"/>
  <c r="AE138" i="4"/>
  <c r="R138" i="4"/>
  <c r="X138" i="4" s="1"/>
  <c r="AY137" i="4"/>
  <c r="AR137" i="4"/>
  <c r="AF137" i="4"/>
  <c r="AE137" i="4"/>
  <c r="R137" i="4"/>
  <c r="X137" i="4" s="1"/>
  <c r="AY136" i="4"/>
  <c r="AR136" i="4"/>
  <c r="AF136" i="4"/>
  <c r="BA136" i="4" s="1"/>
  <c r="AE136" i="4"/>
  <c r="R136" i="4"/>
  <c r="AG136" i="4" s="1"/>
  <c r="BB136" i="4" s="1"/>
  <c r="AY135" i="4"/>
  <c r="AR135" i="4"/>
  <c r="AF135" i="4"/>
  <c r="BA135" i="4" s="1"/>
  <c r="AE135" i="4"/>
  <c r="R135" i="4"/>
  <c r="AG135" i="4" s="1"/>
  <c r="AY134" i="4"/>
  <c r="AR134" i="4"/>
  <c r="AF134" i="4"/>
  <c r="BA134" i="4" s="1"/>
  <c r="AE134" i="4"/>
  <c r="R134" i="4"/>
  <c r="X134" i="4" s="1"/>
  <c r="AY133" i="4"/>
  <c r="AR133" i="4"/>
  <c r="AF133" i="4"/>
  <c r="AE133" i="4"/>
  <c r="R133" i="4"/>
  <c r="X133" i="4" s="1"/>
  <c r="AY132" i="4"/>
  <c r="AR132" i="4"/>
  <c r="AF132" i="4"/>
  <c r="BA132" i="4" s="1"/>
  <c r="AE132" i="4"/>
  <c r="R132" i="4"/>
  <c r="AG132" i="4" s="1"/>
  <c r="BB132" i="4" s="1"/>
  <c r="AY131" i="4"/>
  <c r="AR131" i="4"/>
  <c r="AF131" i="4"/>
  <c r="BA131" i="4" s="1"/>
  <c r="AE131" i="4"/>
  <c r="R131" i="4"/>
  <c r="AY130" i="4"/>
  <c r="AR130" i="4"/>
  <c r="AF130" i="4"/>
  <c r="BA130" i="4" s="1"/>
  <c r="AE130" i="4"/>
  <c r="R130" i="4"/>
  <c r="X130" i="4" s="1"/>
  <c r="AY129" i="4"/>
  <c r="AR129" i="4"/>
  <c r="AF129" i="4"/>
  <c r="AE129" i="4"/>
  <c r="R129" i="4"/>
  <c r="X129" i="4" s="1"/>
  <c r="AY128" i="4"/>
  <c r="AR128" i="4"/>
  <c r="AF128" i="4"/>
  <c r="BA128" i="4" s="1"/>
  <c r="AE128" i="4"/>
  <c r="R128" i="4"/>
  <c r="AG128" i="4" s="1"/>
  <c r="BB128" i="4" s="1"/>
  <c r="AY127" i="4"/>
  <c r="AR127" i="4"/>
  <c r="AF127" i="4"/>
  <c r="BA127" i="4" s="1"/>
  <c r="AE127" i="4"/>
  <c r="R127" i="4"/>
  <c r="AG127" i="4" s="1"/>
  <c r="AY126" i="4"/>
  <c r="AR126" i="4"/>
  <c r="AF126" i="4"/>
  <c r="BA126" i="4" s="1"/>
  <c r="AE126" i="4"/>
  <c r="R126" i="4"/>
  <c r="X126" i="4" s="1"/>
  <c r="BE125" i="4"/>
  <c r="AY125" i="4"/>
  <c r="AR125" i="4"/>
  <c r="AJ125" i="4"/>
  <c r="AF125" i="4"/>
  <c r="BA125" i="4" s="1"/>
  <c r="AE125" i="4"/>
  <c r="R125" i="4"/>
  <c r="AG125" i="4" s="1"/>
  <c r="BB125" i="4" s="1"/>
  <c r="Q125" i="4"/>
  <c r="AY124" i="4"/>
  <c r="AR124" i="4"/>
  <c r="AF124" i="4"/>
  <c r="BA124" i="4" s="1"/>
  <c r="AE124" i="4"/>
  <c r="R124" i="4"/>
  <c r="AG124" i="4" s="1"/>
  <c r="BE123" i="4"/>
  <c r="AY123" i="4"/>
  <c r="AR123" i="4"/>
  <c r="AJ123" i="4"/>
  <c r="AF123" i="4"/>
  <c r="BA123" i="4" s="1"/>
  <c r="AE123" i="4"/>
  <c r="R123" i="4"/>
  <c r="AG123" i="4" s="1"/>
  <c r="BB123" i="4" s="1"/>
  <c r="Q123" i="4"/>
  <c r="AY122" i="4"/>
  <c r="AR122" i="4"/>
  <c r="AF122" i="4"/>
  <c r="BA122" i="4" s="1"/>
  <c r="AE122" i="4"/>
  <c r="R122" i="4"/>
  <c r="AG122" i="4" s="1"/>
  <c r="BB122" i="4" s="1"/>
  <c r="AY121" i="4"/>
  <c r="AR121" i="4"/>
  <c r="AF121" i="4"/>
  <c r="BA121" i="4" s="1"/>
  <c r="AE121" i="4"/>
  <c r="R121" i="4"/>
  <c r="AG121" i="4" s="1"/>
  <c r="AY120" i="4"/>
  <c r="AR120" i="4"/>
  <c r="AF120" i="4"/>
  <c r="BA120" i="4" s="1"/>
  <c r="AE120" i="4"/>
  <c r="R120" i="4"/>
  <c r="X120" i="4" s="1"/>
  <c r="AY119" i="4"/>
  <c r="AR119" i="4"/>
  <c r="AF119" i="4"/>
  <c r="AE119" i="4"/>
  <c r="R119" i="4"/>
  <c r="X119" i="4" s="1"/>
  <c r="AY118" i="4"/>
  <c r="AR118" i="4"/>
  <c r="AF118" i="4"/>
  <c r="BA118" i="4" s="1"/>
  <c r="AE118" i="4"/>
  <c r="R118" i="4"/>
  <c r="AG118" i="4" s="1"/>
  <c r="BB118" i="4" s="1"/>
  <c r="AY117" i="4"/>
  <c r="AR117" i="4"/>
  <c r="AF117" i="4"/>
  <c r="BA117" i="4" s="1"/>
  <c r="AE117" i="4"/>
  <c r="R117" i="4"/>
  <c r="AY116" i="4"/>
  <c r="AR116" i="4"/>
  <c r="AF116" i="4"/>
  <c r="BA116" i="4" s="1"/>
  <c r="AE116" i="4"/>
  <c r="R116" i="4"/>
  <c r="X116" i="4" s="1"/>
  <c r="AY115" i="4"/>
  <c r="AR115" i="4"/>
  <c r="AF115" i="4"/>
  <c r="AE115" i="4"/>
  <c r="R115" i="4"/>
  <c r="X115" i="4" s="1"/>
  <c r="AY114" i="4"/>
  <c r="AR114" i="4"/>
  <c r="AF114" i="4"/>
  <c r="BA114" i="4" s="1"/>
  <c r="AE114" i="4"/>
  <c r="R114" i="4"/>
  <c r="AG114" i="4" s="1"/>
  <c r="BB114" i="4" s="1"/>
  <c r="AY113" i="4"/>
  <c r="AR113" i="4"/>
  <c r="AF113" i="4"/>
  <c r="BA113" i="4" s="1"/>
  <c r="AE113" i="4"/>
  <c r="R113" i="4"/>
  <c r="AY112" i="4"/>
  <c r="AR112" i="4"/>
  <c r="AF112" i="4"/>
  <c r="BA112" i="4" s="1"/>
  <c r="AE112" i="4"/>
  <c r="R112" i="4"/>
  <c r="X112" i="4" s="1"/>
  <c r="AY111" i="4"/>
  <c r="AR111" i="4"/>
  <c r="AF111" i="4"/>
  <c r="AE111" i="4"/>
  <c r="R111" i="4"/>
  <c r="X111" i="4" s="1"/>
  <c r="BE110" i="4"/>
  <c r="AY110" i="4"/>
  <c r="AR110" i="4"/>
  <c r="AJ110" i="4"/>
  <c r="AF110" i="4"/>
  <c r="BA110" i="4" s="1"/>
  <c r="AE110" i="4"/>
  <c r="R110" i="4"/>
  <c r="X110" i="4" s="1"/>
  <c r="Q110" i="4"/>
  <c r="AY109" i="4"/>
  <c r="AR109" i="4"/>
  <c r="AF109" i="4"/>
  <c r="BA109" i="4" s="1"/>
  <c r="AE109" i="4"/>
  <c r="R109" i="4"/>
  <c r="AG109" i="4" s="1"/>
  <c r="AY108" i="4"/>
  <c r="AR108" i="4"/>
  <c r="AF108" i="4"/>
  <c r="AE108" i="4"/>
  <c r="R108" i="4"/>
  <c r="X108" i="4" s="1"/>
  <c r="BE107" i="4"/>
  <c r="AY107" i="4"/>
  <c r="AR107" i="4"/>
  <c r="AJ107" i="4"/>
  <c r="AF107" i="4"/>
  <c r="BA107" i="4" s="1"/>
  <c r="AE107" i="4"/>
  <c r="R107" i="4"/>
  <c r="Q107" i="4"/>
  <c r="AY106" i="4"/>
  <c r="AR106" i="4"/>
  <c r="AF106" i="4"/>
  <c r="BA106" i="4" s="1"/>
  <c r="AE106" i="4"/>
  <c r="R106" i="4"/>
  <c r="X106" i="4" s="1"/>
  <c r="AY105" i="4"/>
  <c r="AR105" i="4"/>
  <c r="AF105" i="4"/>
  <c r="AE105" i="4"/>
  <c r="R105" i="4"/>
  <c r="AY104" i="4"/>
  <c r="AR104" i="4"/>
  <c r="AF104" i="4"/>
  <c r="AE104" i="4"/>
  <c r="R104" i="4"/>
  <c r="AG104" i="4" s="1"/>
  <c r="BB104" i="4" s="1"/>
  <c r="AY103" i="4"/>
  <c r="AR103" i="4"/>
  <c r="AF103" i="4"/>
  <c r="BA103" i="4" s="1"/>
  <c r="AE103" i="4"/>
  <c r="R103" i="4"/>
  <c r="AY102" i="4"/>
  <c r="AR102" i="4"/>
  <c r="AF102" i="4"/>
  <c r="BA102" i="4" s="1"/>
  <c r="AE102" i="4"/>
  <c r="R102" i="4"/>
  <c r="X102" i="4" s="1"/>
  <c r="AY101" i="4"/>
  <c r="AR101" i="4"/>
  <c r="AF101" i="4"/>
  <c r="AE101" i="4"/>
  <c r="R101" i="4"/>
  <c r="X101" i="4" s="1"/>
  <c r="AY100" i="4"/>
  <c r="AR100" i="4"/>
  <c r="AF100" i="4"/>
  <c r="AE100" i="4"/>
  <c r="R100" i="4"/>
  <c r="AG100" i="4" s="1"/>
  <c r="BB100" i="4" s="1"/>
  <c r="AY99" i="4"/>
  <c r="AR99" i="4"/>
  <c r="AF99" i="4"/>
  <c r="BA99" i="4" s="1"/>
  <c r="AE99" i="4"/>
  <c r="R99" i="4"/>
  <c r="AG99" i="4" s="1"/>
  <c r="BE98" i="4"/>
  <c r="AY98" i="4"/>
  <c r="AR98" i="4"/>
  <c r="AJ98" i="4"/>
  <c r="AF98" i="4"/>
  <c r="AE98" i="4"/>
  <c r="R98" i="4"/>
  <c r="AG98" i="4" s="1"/>
  <c r="BB98" i="4" s="1"/>
  <c r="Q98" i="4"/>
  <c r="AY97" i="4"/>
  <c r="AR97" i="4"/>
  <c r="AF97" i="4"/>
  <c r="AE97" i="4"/>
  <c r="R97" i="4"/>
  <c r="AG97" i="4" s="1"/>
  <c r="BB97" i="4" s="1"/>
  <c r="AY96" i="4"/>
  <c r="AR96" i="4"/>
  <c r="AF96" i="4"/>
  <c r="BA96" i="4" s="1"/>
  <c r="AE96" i="4"/>
  <c r="R96" i="4"/>
  <c r="AY95" i="4"/>
  <c r="AR95" i="4"/>
  <c r="AF95" i="4"/>
  <c r="BA95" i="4" s="1"/>
  <c r="AE95" i="4"/>
  <c r="R95" i="4"/>
  <c r="AG95" i="4" s="1"/>
  <c r="AY94" i="4"/>
  <c r="AR94" i="4"/>
  <c r="AF94" i="4"/>
  <c r="AE94" i="4"/>
  <c r="R94" i="4"/>
  <c r="X94" i="4" s="1"/>
  <c r="AY93" i="4"/>
  <c r="AR93" i="4"/>
  <c r="AF93" i="4"/>
  <c r="AE93" i="4"/>
  <c r="R93" i="4"/>
  <c r="AG93" i="4" s="1"/>
  <c r="BB93" i="4" s="1"/>
  <c r="AY92" i="4"/>
  <c r="AR92" i="4"/>
  <c r="AF92" i="4"/>
  <c r="BA92" i="4" s="1"/>
  <c r="AE92" i="4"/>
  <c r="R92" i="4"/>
  <c r="AY91" i="4"/>
  <c r="AR91" i="4"/>
  <c r="AF91" i="4"/>
  <c r="BA91" i="4" s="1"/>
  <c r="AE91" i="4"/>
  <c r="R91" i="4"/>
  <c r="AG91" i="4" s="1"/>
  <c r="AY90" i="4"/>
  <c r="AR90" i="4"/>
  <c r="AF90" i="4"/>
  <c r="AE90" i="4"/>
  <c r="R90" i="4"/>
  <c r="X90" i="4" s="1"/>
  <c r="AY89" i="4"/>
  <c r="AR89" i="4"/>
  <c r="AF89" i="4"/>
  <c r="AE89" i="4"/>
  <c r="R89" i="4"/>
  <c r="AG89" i="4" s="1"/>
  <c r="BB89" i="4" s="1"/>
  <c r="AY88" i="4"/>
  <c r="AR88" i="4"/>
  <c r="AF88" i="4"/>
  <c r="BA88" i="4" s="1"/>
  <c r="AE88" i="4"/>
  <c r="R88" i="4"/>
  <c r="AY87" i="4"/>
  <c r="AR87" i="4"/>
  <c r="AF87" i="4"/>
  <c r="BA87" i="4" s="1"/>
  <c r="AE87" i="4"/>
  <c r="R87" i="4"/>
  <c r="AG87" i="4" s="1"/>
  <c r="BE86" i="4"/>
  <c r="AY86" i="4"/>
  <c r="AR86" i="4"/>
  <c r="AJ86" i="4"/>
  <c r="AF86" i="4"/>
  <c r="BA86" i="4" s="1"/>
  <c r="AE86" i="4"/>
  <c r="R86" i="4"/>
  <c r="AY85" i="4"/>
  <c r="AR85" i="4"/>
  <c r="AF85" i="4"/>
  <c r="BA85" i="4" s="1"/>
  <c r="AE85" i="4"/>
  <c r="R85" i="4"/>
  <c r="AG85" i="4" s="1"/>
  <c r="AY84" i="4"/>
  <c r="AR84" i="4"/>
  <c r="AF84" i="4"/>
  <c r="AE84" i="4"/>
  <c r="R84" i="4"/>
  <c r="X84" i="4" s="1"/>
  <c r="AY83" i="4"/>
  <c r="AR83" i="4"/>
  <c r="AF83" i="4"/>
  <c r="AE83" i="4"/>
  <c r="R83" i="4"/>
  <c r="AG83" i="4" s="1"/>
  <c r="BB83" i="4" s="1"/>
  <c r="AY82" i="4"/>
  <c r="AR82" i="4"/>
  <c r="AF82" i="4"/>
  <c r="BA82" i="4" s="1"/>
  <c r="AE82" i="4"/>
  <c r="R82" i="4"/>
  <c r="AG82" i="4" s="1"/>
  <c r="AY81" i="4"/>
  <c r="AR81" i="4"/>
  <c r="AF81" i="4"/>
  <c r="BA81" i="4" s="1"/>
  <c r="AE81" i="4"/>
  <c r="R81" i="4"/>
  <c r="AY80" i="4"/>
  <c r="AR80" i="4"/>
  <c r="AF80" i="4"/>
  <c r="AE80" i="4"/>
  <c r="R80" i="4"/>
  <c r="X80" i="4" s="1"/>
  <c r="AY79" i="4"/>
  <c r="AR79" i="4"/>
  <c r="AF79" i="4"/>
  <c r="AE79" i="4"/>
  <c r="R79" i="4"/>
  <c r="AG79" i="4" s="1"/>
  <c r="BB79" i="4" s="1"/>
  <c r="AY78" i="4"/>
  <c r="AR78" i="4"/>
  <c r="AF78" i="4"/>
  <c r="BA78" i="4" s="1"/>
  <c r="AE78" i="4"/>
  <c r="R78" i="4"/>
  <c r="AY77" i="4"/>
  <c r="AR77" i="4"/>
  <c r="AF77" i="4"/>
  <c r="BA77" i="4" s="1"/>
  <c r="AE77" i="4"/>
  <c r="R77" i="4"/>
  <c r="AG77" i="4" s="1"/>
  <c r="AY76" i="4"/>
  <c r="AR76" i="4"/>
  <c r="AF76" i="4"/>
  <c r="AE76" i="4"/>
  <c r="R76" i="4"/>
  <c r="X76" i="4" s="1"/>
  <c r="AY75" i="4"/>
  <c r="AR75" i="4"/>
  <c r="AF75" i="4"/>
  <c r="AE75" i="4"/>
  <c r="R75" i="4"/>
  <c r="AG75" i="4" s="1"/>
  <c r="BB75" i="4" s="1"/>
  <c r="AY74" i="4"/>
  <c r="AR74" i="4"/>
  <c r="AF74" i="4"/>
  <c r="BA74" i="4" s="1"/>
  <c r="AE74" i="4"/>
  <c r="R74" i="4"/>
  <c r="AG74" i="4" s="1"/>
  <c r="BB74" i="4" s="1"/>
  <c r="BE73" i="4"/>
  <c r="AY73" i="4"/>
  <c r="AR73" i="4"/>
  <c r="AJ73" i="4"/>
  <c r="AF73" i="4"/>
  <c r="AE73" i="4"/>
  <c r="R73" i="4"/>
  <c r="AG73" i="4" s="1"/>
  <c r="BB73" i="4" s="1"/>
  <c r="Q73" i="4"/>
  <c r="AY72" i="4"/>
  <c r="AR72" i="4"/>
  <c r="AF72" i="4"/>
  <c r="AE72" i="4"/>
  <c r="R72" i="4"/>
  <c r="AG72" i="4" s="1"/>
  <c r="BB72" i="4" s="1"/>
  <c r="AY71" i="4"/>
  <c r="AR71" i="4"/>
  <c r="AF71" i="4"/>
  <c r="BA71" i="4" s="1"/>
  <c r="AE71" i="4"/>
  <c r="R71" i="4"/>
  <c r="AY70" i="4"/>
  <c r="AR70" i="4"/>
  <c r="AF70" i="4"/>
  <c r="BA70" i="4" s="1"/>
  <c r="AE70" i="4"/>
  <c r="R70" i="4"/>
  <c r="AG70" i="4" s="1"/>
  <c r="AY69" i="4"/>
  <c r="AR69" i="4"/>
  <c r="AF69" i="4"/>
  <c r="BA69" i="4" s="1"/>
  <c r="AE69" i="4"/>
  <c r="R69" i="4"/>
  <c r="X69" i="4" s="1"/>
  <c r="AY68" i="4"/>
  <c r="AR68" i="4"/>
  <c r="AF68" i="4"/>
  <c r="AE68" i="4"/>
  <c r="R68" i="4"/>
  <c r="AG68" i="4" s="1"/>
  <c r="BB68" i="4" s="1"/>
  <c r="AY67" i="4"/>
  <c r="AR67" i="4"/>
  <c r="AF67" i="4"/>
  <c r="BA67" i="4" s="1"/>
  <c r="AE67" i="4"/>
  <c r="R67" i="4"/>
  <c r="AG67" i="4" s="1"/>
  <c r="BB67" i="4" s="1"/>
  <c r="BE66" i="4"/>
  <c r="AY66" i="4"/>
  <c r="AR66" i="4"/>
  <c r="AJ66" i="4"/>
  <c r="AF66" i="4"/>
  <c r="AE66" i="4"/>
  <c r="R66" i="4"/>
  <c r="AG66" i="4" s="1"/>
  <c r="BB66" i="4" s="1"/>
  <c r="Q66" i="4"/>
  <c r="BE65" i="4"/>
  <c r="AY65" i="4"/>
  <c r="AR65" i="4"/>
  <c r="AJ65" i="4"/>
  <c r="AF65" i="4"/>
  <c r="BA65" i="4" s="1"/>
  <c r="AE65" i="4"/>
  <c r="R65" i="4"/>
  <c r="AG65" i="4" s="1"/>
  <c r="Q65" i="4"/>
  <c r="AY64" i="4"/>
  <c r="AR64" i="4"/>
  <c r="AF64" i="4"/>
  <c r="BA64" i="4" s="1"/>
  <c r="AE64" i="4"/>
  <c r="R64" i="4"/>
  <c r="AG64" i="4" s="1"/>
  <c r="BE63" i="4"/>
  <c r="AY63" i="4"/>
  <c r="AR63" i="4"/>
  <c r="AJ63" i="4"/>
  <c r="AF63" i="4"/>
  <c r="BA63" i="4" s="1"/>
  <c r="AE63" i="4"/>
  <c r="R63" i="4"/>
  <c r="AG63" i="4" s="1"/>
  <c r="BB63" i="4" s="1"/>
  <c r="Q63" i="4"/>
  <c r="AY62" i="4"/>
  <c r="AR62" i="4"/>
  <c r="AF62" i="4"/>
  <c r="BA62" i="4" s="1"/>
  <c r="AE62" i="4"/>
  <c r="R62" i="4"/>
  <c r="AG62" i="4" s="1"/>
  <c r="AY61" i="4"/>
  <c r="AR61" i="4"/>
  <c r="AF61" i="4"/>
  <c r="BA61" i="4" s="1"/>
  <c r="AE61" i="4"/>
  <c r="R61" i="4"/>
  <c r="X61" i="4" s="1"/>
  <c r="AY60" i="4"/>
  <c r="AR60" i="4"/>
  <c r="AF60" i="4"/>
  <c r="AE60" i="4"/>
  <c r="R60" i="4"/>
  <c r="X60" i="4" s="1"/>
  <c r="AY59" i="4"/>
  <c r="AR59" i="4"/>
  <c r="AF59" i="4"/>
  <c r="AE59" i="4"/>
  <c r="R59" i="4"/>
  <c r="AG59" i="4" s="1"/>
  <c r="BB59" i="4" s="1"/>
  <c r="AY58" i="4"/>
  <c r="AR58" i="4"/>
  <c r="AF58" i="4"/>
  <c r="BA58" i="4" s="1"/>
  <c r="AE58" i="4"/>
  <c r="R58" i="4"/>
  <c r="AY57" i="4"/>
  <c r="AR57" i="4"/>
  <c r="AF57" i="4"/>
  <c r="BA57" i="4" s="1"/>
  <c r="AE57" i="4"/>
  <c r="R57" i="4"/>
  <c r="X57" i="4" s="1"/>
  <c r="AY56" i="4"/>
  <c r="AR56" i="4"/>
  <c r="AF56" i="4"/>
  <c r="AE56" i="4"/>
  <c r="R56" i="4"/>
  <c r="X56" i="4" s="1"/>
  <c r="AY55" i="4"/>
  <c r="AR55" i="4"/>
  <c r="AF55" i="4"/>
  <c r="AE55" i="4"/>
  <c r="R55" i="4"/>
  <c r="AG55" i="4" s="1"/>
  <c r="BB55" i="4" s="1"/>
  <c r="AY54" i="4"/>
  <c r="AR54" i="4"/>
  <c r="AF54" i="4"/>
  <c r="BA54" i="4" s="1"/>
  <c r="AE54" i="4"/>
  <c r="R54" i="4"/>
  <c r="AG54" i="4" s="1"/>
  <c r="AY53" i="4"/>
  <c r="AR53" i="4"/>
  <c r="AF53" i="4"/>
  <c r="BA53" i="4" s="1"/>
  <c r="AE53" i="4"/>
  <c r="R53" i="4"/>
  <c r="BE52" i="4"/>
  <c r="AY52" i="4"/>
  <c r="AR52" i="4"/>
  <c r="AJ52" i="4"/>
  <c r="AF52" i="4"/>
  <c r="BA52" i="4" s="1"/>
  <c r="AE52" i="4"/>
  <c r="R52" i="4"/>
  <c r="AG52" i="4" s="1"/>
  <c r="Q52" i="4"/>
  <c r="AX51" i="4"/>
  <c r="AW51" i="4"/>
  <c r="AV51" i="4"/>
  <c r="AU51" i="4"/>
  <c r="AT51" i="4"/>
  <c r="AS51" i="4"/>
  <c r="AQ51" i="4"/>
  <c r="AP51" i="4"/>
  <c r="AO51" i="4"/>
  <c r="AN51" i="4"/>
  <c r="AM51" i="4"/>
  <c r="AL51" i="4"/>
  <c r="AD51" i="4"/>
  <c r="AC51" i="4"/>
  <c r="AB51" i="4"/>
  <c r="AA51" i="4"/>
  <c r="Z51" i="4"/>
  <c r="Y51" i="4"/>
  <c r="W51" i="4"/>
  <c r="V51" i="4"/>
  <c r="U51" i="4"/>
  <c r="T51" i="4"/>
  <c r="S51" i="4"/>
  <c r="O51" i="4"/>
  <c r="N51" i="4"/>
  <c r="M51" i="4"/>
  <c r="L51" i="4"/>
  <c r="K51" i="4"/>
  <c r="J51" i="4"/>
  <c r="I51" i="4"/>
  <c r="H51" i="4"/>
  <c r="G51" i="4"/>
  <c r="F51" i="4"/>
  <c r="AY50" i="4"/>
  <c r="AR50" i="4"/>
  <c r="AF50" i="4"/>
  <c r="BA50" i="4" s="1"/>
  <c r="AE50" i="4"/>
  <c r="R50" i="4"/>
  <c r="AG50" i="4" s="1"/>
  <c r="AY49" i="4"/>
  <c r="AR49" i="4"/>
  <c r="AF49" i="4"/>
  <c r="AE49" i="4"/>
  <c r="R49" i="4"/>
  <c r="X49" i="4" s="1"/>
  <c r="AY48" i="4"/>
  <c r="AR48" i="4"/>
  <c r="AF48" i="4"/>
  <c r="AE48" i="4"/>
  <c r="R48" i="4"/>
  <c r="AG48" i="4" s="1"/>
  <c r="BB48" i="4" s="1"/>
  <c r="AY47" i="4"/>
  <c r="AR47" i="4"/>
  <c r="AF47" i="4"/>
  <c r="BA47" i="4" s="1"/>
  <c r="AE47" i="4"/>
  <c r="R47" i="4"/>
  <c r="AG47" i="4" s="1"/>
  <c r="BB47" i="4" s="1"/>
  <c r="AY46" i="4"/>
  <c r="AR46" i="4"/>
  <c r="AF46" i="4"/>
  <c r="BA46" i="4" s="1"/>
  <c r="AE46" i="4"/>
  <c r="R46" i="4"/>
  <c r="AG46" i="4" s="1"/>
  <c r="AY45" i="4"/>
  <c r="AR45" i="4"/>
  <c r="AF45" i="4"/>
  <c r="AE45" i="4"/>
  <c r="R45" i="4"/>
  <c r="X45" i="4" s="1"/>
  <c r="AY44" i="4"/>
  <c r="AR44" i="4"/>
  <c r="AF44" i="4"/>
  <c r="AE44" i="4"/>
  <c r="R44" i="4"/>
  <c r="AG44" i="4" s="1"/>
  <c r="BB44" i="4" s="1"/>
  <c r="AY43" i="4"/>
  <c r="AR43" i="4"/>
  <c r="AF43" i="4"/>
  <c r="BA43" i="4" s="1"/>
  <c r="AE43" i="4"/>
  <c r="R43" i="4"/>
  <c r="AG43" i="4" s="1"/>
  <c r="BB43" i="4" s="1"/>
  <c r="AY42" i="4"/>
  <c r="AR42" i="4"/>
  <c r="AF42" i="4"/>
  <c r="BA42" i="4" s="1"/>
  <c r="AE42" i="4"/>
  <c r="R42" i="4"/>
  <c r="AG42" i="4" s="1"/>
  <c r="AY41" i="4"/>
  <c r="AR41" i="4"/>
  <c r="AF41" i="4"/>
  <c r="AE41" i="4"/>
  <c r="R41" i="4"/>
  <c r="X41" i="4" s="1"/>
  <c r="BE40" i="4"/>
  <c r="AY40" i="4"/>
  <c r="AR40" i="4"/>
  <c r="AJ40" i="4"/>
  <c r="AF40" i="4"/>
  <c r="BA40" i="4" s="1"/>
  <c r="AE40" i="4"/>
  <c r="R40" i="4"/>
  <c r="X40" i="4" s="1"/>
  <c r="Q40" i="4"/>
  <c r="AY39" i="4"/>
  <c r="AR39" i="4"/>
  <c r="AF39" i="4"/>
  <c r="BA39" i="4" s="1"/>
  <c r="AE39" i="4"/>
  <c r="R39" i="4"/>
  <c r="X39" i="4" s="1"/>
  <c r="AY38" i="4"/>
  <c r="AR38" i="4"/>
  <c r="AF38" i="4"/>
  <c r="AE38" i="4"/>
  <c r="R38" i="4"/>
  <c r="X38" i="4" s="1"/>
  <c r="AY37" i="4"/>
  <c r="AR37" i="4"/>
  <c r="AF37" i="4"/>
  <c r="AE37" i="4"/>
  <c r="R37" i="4"/>
  <c r="AG37" i="4" s="1"/>
  <c r="BB37" i="4" s="1"/>
  <c r="AY36" i="4"/>
  <c r="AR36" i="4"/>
  <c r="AF36" i="4"/>
  <c r="BA36" i="4" s="1"/>
  <c r="AE36" i="4"/>
  <c r="R36" i="4"/>
  <c r="AG36" i="4" s="1"/>
  <c r="BB36" i="4" s="1"/>
  <c r="AY35" i="4"/>
  <c r="AR35" i="4"/>
  <c r="AF35" i="4"/>
  <c r="BA35" i="4" s="1"/>
  <c r="AE35" i="4"/>
  <c r="R35" i="4"/>
  <c r="AG35" i="4" s="1"/>
  <c r="BE34" i="4"/>
  <c r="AY34" i="4"/>
  <c r="AR34" i="4"/>
  <c r="AJ34" i="4"/>
  <c r="AF34" i="4"/>
  <c r="BA34" i="4" s="1"/>
  <c r="AE34" i="4"/>
  <c r="R34" i="4"/>
  <c r="Q34" i="4"/>
  <c r="AY33" i="4"/>
  <c r="AR33" i="4"/>
  <c r="AF33" i="4"/>
  <c r="BA33" i="4" s="1"/>
  <c r="AE33" i="4"/>
  <c r="R33" i="4"/>
  <c r="AG33" i="4" s="1"/>
  <c r="BB33" i="4" s="1"/>
  <c r="AY32" i="4"/>
  <c r="AR32" i="4"/>
  <c r="AF32" i="4"/>
  <c r="BA32" i="4" s="1"/>
  <c r="AE32" i="4"/>
  <c r="R32" i="4"/>
  <c r="AG32" i="4" s="1"/>
  <c r="BE31" i="4"/>
  <c r="AY31" i="4"/>
  <c r="AR31" i="4"/>
  <c r="AJ31" i="4"/>
  <c r="AF31" i="4"/>
  <c r="BA31" i="4" s="1"/>
  <c r="AE31" i="4"/>
  <c r="R31" i="4"/>
  <c r="AG31" i="4" s="1"/>
  <c r="BB31" i="4" s="1"/>
  <c r="Q31" i="4"/>
  <c r="BE30" i="4"/>
  <c r="AY30" i="4"/>
  <c r="AR30" i="4"/>
  <c r="AJ30" i="4"/>
  <c r="AF30" i="4"/>
  <c r="AE30" i="4"/>
  <c r="R30" i="4"/>
  <c r="X30" i="4" s="1"/>
  <c r="Q30" i="4"/>
  <c r="BE29" i="4"/>
  <c r="AY29" i="4"/>
  <c r="AR29" i="4"/>
  <c r="AJ29" i="4"/>
  <c r="AF29" i="4"/>
  <c r="BA29" i="4" s="1"/>
  <c r="AE29" i="4"/>
  <c r="R29" i="4"/>
  <c r="Q29" i="4"/>
  <c r="AY28" i="4"/>
  <c r="AR28" i="4"/>
  <c r="AF28" i="4"/>
  <c r="BA28" i="4" s="1"/>
  <c r="AE28" i="4"/>
  <c r="R28" i="4"/>
  <c r="AG28" i="4" s="1"/>
  <c r="AY27" i="4"/>
  <c r="AR27" i="4"/>
  <c r="AF27" i="4"/>
  <c r="BA27" i="4" s="1"/>
  <c r="AE27" i="4"/>
  <c r="R27" i="4"/>
  <c r="AG27" i="4" s="1"/>
  <c r="AY26" i="4"/>
  <c r="AR26" i="4"/>
  <c r="AF26" i="4"/>
  <c r="AE26" i="4"/>
  <c r="R26" i="4"/>
  <c r="X26" i="4" s="1"/>
  <c r="AY25" i="4"/>
  <c r="AR25" i="4"/>
  <c r="AF25" i="4"/>
  <c r="AE25" i="4"/>
  <c r="R25" i="4"/>
  <c r="AG25" i="4" s="1"/>
  <c r="BB25" i="4" s="1"/>
  <c r="AY24" i="4"/>
  <c r="AR24" i="4"/>
  <c r="AF24" i="4"/>
  <c r="BA24" i="4" s="1"/>
  <c r="AE24" i="4"/>
  <c r="R24" i="4"/>
  <c r="AG24" i="4" s="1"/>
  <c r="AY23" i="4"/>
  <c r="AR23" i="4"/>
  <c r="AF23" i="4"/>
  <c r="BA23" i="4" s="1"/>
  <c r="AE23" i="4"/>
  <c r="R23" i="4"/>
  <c r="AG23" i="4" s="1"/>
  <c r="AY22" i="4"/>
  <c r="AR22" i="4"/>
  <c r="AF22" i="4"/>
  <c r="AE22" i="4"/>
  <c r="R22" i="4"/>
  <c r="X22" i="4" s="1"/>
  <c r="AY21" i="4"/>
  <c r="AR21" i="4"/>
  <c r="AF21" i="4"/>
  <c r="AE21" i="4"/>
  <c r="R21" i="4"/>
  <c r="AG21" i="4" s="1"/>
  <c r="BD20" i="4"/>
  <c r="BD1080" i="4" s="1"/>
  <c r="AX20" i="4"/>
  <c r="AX1080" i="4" s="1"/>
  <c r="AW20" i="4"/>
  <c r="AW1080" i="4" s="1"/>
  <c r="AV20" i="4"/>
  <c r="AV1080" i="4" s="1"/>
  <c r="AU20" i="4"/>
  <c r="AU1080" i="4" s="1"/>
  <c r="AT20" i="4"/>
  <c r="AT1080" i="4" s="1"/>
  <c r="AS20" i="4"/>
  <c r="AS1080" i="4" s="1"/>
  <c r="AQ20" i="4"/>
  <c r="AQ1080" i="4" s="1"/>
  <c r="AP20" i="4"/>
  <c r="AP1080" i="4" s="1"/>
  <c r="AO20" i="4"/>
  <c r="AO1080" i="4" s="1"/>
  <c r="AN20" i="4"/>
  <c r="AN1080" i="4" s="1"/>
  <c r="AM20" i="4"/>
  <c r="AM1080" i="4" s="1"/>
  <c r="AL20" i="4"/>
  <c r="AL1080" i="4" s="1"/>
  <c r="AI20" i="4"/>
  <c r="AD20" i="4"/>
  <c r="AD1080" i="4" s="1"/>
  <c r="AC20" i="4"/>
  <c r="AC1080" i="4" s="1"/>
  <c r="AB20" i="4"/>
  <c r="AB1080" i="4" s="1"/>
  <c r="AA20" i="4"/>
  <c r="AA1080" i="4" s="1"/>
  <c r="Z20" i="4"/>
  <c r="Z1080" i="4" s="1"/>
  <c r="Y20" i="4"/>
  <c r="Y1080" i="4" s="1"/>
  <c r="W20" i="4"/>
  <c r="W1080" i="4" s="1"/>
  <c r="V20" i="4"/>
  <c r="V1080" i="4" s="1"/>
  <c r="U20" i="4"/>
  <c r="U1080" i="4" s="1"/>
  <c r="T20" i="4"/>
  <c r="T1080" i="4" s="1"/>
  <c r="S20" i="4"/>
  <c r="S1080" i="4" s="1"/>
  <c r="P20" i="4"/>
  <c r="AY19" i="4"/>
  <c r="AR19" i="4"/>
  <c r="AF19" i="4"/>
  <c r="BA19" i="4" s="1"/>
  <c r="AE19" i="4"/>
  <c r="R19" i="4"/>
  <c r="AG19" i="4" s="1"/>
  <c r="BB19" i="4" s="1"/>
  <c r="AY18" i="4"/>
  <c r="AR18" i="4"/>
  <c r="AF18" i="4"/>
  <c r="BA18" i="4" s="1"/>
  <c r="AE18" i="4"/>
  <c r="R18" i="4"/>
  <c r="X18" i="4" s="1"/>
  <c r="AY17" i="4"/>
  <c r="AR17" i="4"/>
  <c r="AF17" i="4"/>
  <c r="AE17" i="4"/>
  <c r="R17" i="4"/>
  <c r="X17" i="4" s="1"/>
  <c r="AY16" i="4"/>
  <c r="AR16" i="4"/>
  <c r="AF16" i="4"/>
  <c r="AE16" i="4"/>
  <c r="R16" i="4"/>
  <c r="AG16" i="4" s="1"/>
  <c r="BB16" i="4" s="1"/>
  <c r="AY15" i="4"/>
  <c r="AR15" i="4"/>
  <c r="AF15" i="4"/>
  <c r="BA15" i="4" s="1"/>
  <c r="AE15" i="4"/>
  <c r="R15" i="4"/>
  <c r="AG15" i="4" s="1"/>
  <c r="AY14" i="4"/>
  <c r="AR14" i="4"/>
  <c r="AF14" i="4"/>
  <c r="BA14" i="4" s="1"/>
  <c r="AE14" i="4"/>
  <c r="R14" i="4"/>
  <c r="X14" i="4" s="1"/>
  <c r="AY13" i="4"/>
  <c r="AR13" i="4"/>
  <c r="AE13" i="4"/>
  <c r="R13" i="4"/>
  <c r="X13" i="4" s="1"/>
  <c r="AY12" i="4"/>
  <c r="AR12" i="4"/>
  <c r="AF12" i="4"/>
  <c r="AE12" i="4"/>
  <c r="R12" i="4"/>
  <c r="AG12" i="4" s="1"/>
  <c r="BB12" i="4" s="1"/>
  <c r="AY11" i="4"/>
  <c r="AR11" i="4"/>
  <c r="AE11" i="4"/>
  <c r="R11" i="4"/>
  <c r="X11" i="4" s="1"/>
  <c r="AY10" i="4"/>
  <c r="AR10" i="4"/>
  <c r="AF10" i="4"/>
  <c r="AE10" i="4"/>
  <c r="R10" i="4"/>
  <c r="AG10" i="4" s="1"/>
  <c r="BB10" i="4" s="1"/>
  <c r="BE9" i="4"/>
  <c r="BD9" i="4"/>
  <c r="AX9" i="4"/>
  <c r="AW9" i="4"/>
  <c r="AV9" i="4"/>
  <c r="AU9" i="4"/>
  <c r="AT9" i="4"/>
  <c r="AS9" i="4"/>
  <c r="AQ9" i="4"/>
  <c r="AP9" i="4"/>
  <c r="AO9" i="4"/>
  <c r="AN9" i="4"/>
  <c r="AM9" i="4"/>
  <c r="AL9" i="4"/>
  <c r="AD9" i="4"/>
  <c r="AC9" i="4"/>
  <c r="AB9" i="4"/>
  <c r="AA9" i="4"/>
  <c r="Z9" i="4"/>
  <c r="Y9" i="4"/>
  <c r="W9" i="4"/>
  <c r="V9" i="4"/>
  <c r="U9" i="4"/>
  <c r="T9" i="4"/>
  <c r="S9" i="4"/>
  <c r="CN643" i="1" l="1"/>
  <c r="BK642" i="1"/>
  <c r="BL642" i="1" s="1"/>
  <c r="BM642" i="1" s="1"/>
  <c r="BN642" i="1" s="1"/>
  <c r="BO642" i="1" s="1"/>
  <c r="BV643" i="1"/>
  <c r="BU640" i="1"/>
  <c r="BY640" i="1" s="1"/>
  <c r="BZ640" i="1" s="1"/>
  <c r="CA640" i="1" s="1"/>
  <c r="CB640" i="1" s="1"/>
  <c r="CC640" i="1" s="1"/>
  <c r="CD640" i="1" s="1"/>
  <c r="CE640" i="1" s="1"/>
  <c r="CF640" i="1" s="1"/>
  <c r="CG640" i="1" s="1"/>
  <c r="CH640" i="1" s="1"/>
  <c r="CI640" i="1" s="1"/>
  <c r="CJ640" i="1" s="1"/>
  <c r="BL641" i="1"/>
  <c r="BM641" i="1" s="1"/>
  <c r="BN641" i="1" s="1"/>
  <c r="CK643" i="1"/>
  <c r="CO643" i="1"/>
  <c r="CP643" i="1" s="1"/>
  <c r="CQ643" i="1" s="1"/>
  <c r="CR643" i="1" s="1"/>
  <c r="CS643" i="1" s="1"/>
  <c r="CT643" i="1" s="1"/>
  <c r="CU643" i="1" s="1"/>
  <c r="CV643" i="1" s="1"/>
  <c r="CW643" i="1" s="1"/>
  <c r="CX643" i="1" s="1"/>
  <c r="CY643" i="1" s="1"/>
  <c r="AZ880" i="4"/>
  <c r="AP417" i="5"/>
  <c r="AT417" i="5"/>
  <c r="AU417" i="5" s="1"/>
  <c r="AV417" i="5" s="1"/>
  <c r="AW417" i="5" s="1"/>
  <c r="AX417" i="5" s="1"/>
  <c r="AY417" i="5" s="1"/>
  <c r="AZ417" i="5" s="1"/>
  <c r="BA417" i="5" s="1"/>
  <c r="BB417" i="5" s="1"/>
  <c r="BC417" i="5" s="1"/>
  <c r="BD417" i="5" s="1"/>
  <c r="BE122" i="5"/>
  <c r="AP415" i="5"/>
  <c r="BE414" i="5"/>
  <c r="AT415" i="5"/>
  <c r="AU415" i="5" s="1"/>
  <c r="AV415" i="5" s="1"/>
  <c r="AW415" i="5" s="1"/>
  <c r="AX415" i="5" s="1"/>
  <c r="AY415" i="5" s="1"/>
  <c r="AZ415" i="5" s="1"/>
  <c r="BA415" i="5" s="1"/>
  <c r="BB415" i="5" s="1"/>
  <c r="BC415" i="5" s="1"/>
  <c r="BD415" i="5" s="1"/>
  <c r="AT309" i="5"/>
  <c r="AU309" i="5" s="1"/>
  <c r="AV309" i="5" s="1"/>
  <c r="AW309" i="5" s="1"/>
  <c r="AX309" i="5" s="1"/>
  <c r="AY309" i="5" s="1"/>
  <c r="AZ309" i="5" s="1"/>
  <c r="BA309" i="5" s="1"/>
  <c r="BB309" i="5" s="1"/>
  <c r="BC309" i="5" s="1"/>
  <c r="BD309" i="5" s="1"/>
  <c r="BE379" i="5"/>
  <c r="AP520" i="5"/>
  <c r="AP394" i="5"/>
  <c r="BE582" i="5"/>
  <c r="BE176" i="5"/>
  <c r="BE285" i="5"/>
  <c r="BE393" i="5"/>
  <c r="AP309" i="5"/>
  <c r="BE390" i="5"/>
  <c r="BE284" i="5"/>
  <c r="BE343" i="5"/>
  <c r="BE173" i="5"/>
  <c r="BE382" i="5"/>
  <c r="BE425" i="5"/>
  <c r="AT394" i="5"/>
  <c r="AU394" i="5" s="1"/>
  <c r="AV394" i="5" s="1"/>
  <c r="AW394" i="5" s="1"/>
  <c r="AX394" i="5" s="1"/>
  <c r="AY394" i="5" s="1"/>
  <c r="AZ394" i="5" s="1"/>
  <c r="BA394" i="5" s="1"/>
  <c r="BB394" i="5" s="1"/>
  <c r="BC394" i="5" s="1"/>
  <c r="BD394" i="5" s="1"/>
  <c r="AW200" i="5"/>
  <c r="AU564" i="5"/>
  <c r="BE30" i="5"/>
  <c r="AP180" i="5"/>
  <c r="AP306" i="5"/>
  <c r="BE193" i="5"/>
  <c r="BE661" i="5" s="1"/>
  <c r="BE148" i="5"/>
  <c r="BE502" i="5"/>
  <c r="BE196" i="5"/>
  <c r="AP581" i="5"/>
  <c r="AT520" i="5"/>
  <c r="AU520" i="5" s="1"/>
  <c r="AV520" i="5" s="1"/>
  <c r="AW520" i="5" s="1"/>
  <c r="AX520" i="5" s="1"/>
  <c r="AY520" i="5" s="1"/>
  <c r="AZ520" i="5" s="1"/>
  <c r="BA520" i="5" s="1"/>
  <c r="BB520" i="5" s="1"/>
  <c r="BC520" i="5" s="1"/>
  <c r="BD520" i="5" s="1"/>
  <c r="BE402" i="5"/>
  <c r="BE374" i="5"/>
  <c r="AX161" i="5"/>
  <c r="AT283" i="5"/>
  <c r="AU283" i="5" s="1"/>
  <c r="AV283" i="5" s="1"/>
  <c r="AW283" i="5" s="1"/>
  <c r="AX283" i="5" s="1"/>
  <c r="AY283" i="5" s="1"/>
  <c r="AZ283" i="5" s="1"/>
  <c r="BA283" i="5" s="1"/>
  <c r="BB283" i="5" s="1"/>
  <c r="BC283" i="5" s="1"/>
  <c r="BD283" i="5" s="1"/>
  <c r="T577" i="5"/>
  <c r="AX21" i="5"/>
  <c r="BE579" i="5"/>
  <c r="BE500" i="5"/>
  <c r="BE580" i="5"/>
  <c r="BE407" i="5"/>
  <c r="Y592" i="5"/>
  <c r="BE371" i="5"/>
  <c r="BE304" i="5"/>
  <c r="Z596" i="5"/>
  <c r="BE297" i="5"/>
  <c r="BE178" i="5"/>
  <c r="BE49" i="5"/>
  <c r="AP283" i="5"/>
  <c r="U588" i="5"/>
  <c r="BE45" i="5"/>
  <c r="AT180" i="5"/>
  <c r="AU180" i="5" s="1"/>
  <c r="AV180" i="5" s="1"/>
  <c r="AW180" i="5" s="1"/>
  <c r="AX180" i="5" s="1"/>
  <c r="AY180" i="5" s="1"/>
  <c r="AZ180" i="5" s="1"/>
  <c r="BA180" i="5" s="1"/>
  <c r="BB180" i="5" s="1"/>
  <c r="BC180" i="5" s="1"/>
  <c r="BD180" i="5" s="1"/>
  <c r="AT306" i="5"/>
  <c r="AU306" i="5" s="1"/>
  <c r="AV306" i="5" s="1"/>
  <c r="AW306" i="5" s="1"/>
  <c r="AX306" i="5" s="1"/>
  <c r="AY306" i="5" s="1"/>
  <c r="AZ306" i="5" s="1"/>
  <c r="BA306" i="5" s="1"/>
  <c r="BB306" i="5" s="1"/>
  <c r="BC306" i="5" s="1"/>
  <c r="BD306" i="5" s="1"/>
  <c r="AT581" i="5"/>
  <c r="AU581" i="5" s="1"/>
  <c r="AV581" i="5" s="1"/>
  <c r="AW581" i="5" s="1"/>
  <c r="AX581" i="5" s="1"/>
  <c r="AY581" i="5" s="1"/>
  <c r="AZ581" i="5" s="1"/>
  <c r="BA581" i="5" s="1"/>
  <c r="BB581" i="5" s="1"/>
  <c r="BC581" i="5" s="1"/>
  <c r="BD581" i="5" s="1"/>
  <c r="AU29" i="5"/>
  <c r="R578" i="5"/>
  <c r="AG868" i="4"/>
  <c r="BB868" i="4" s="1"/>
  <c r="BC868" i="4" s="1"/>
  <c r="AZ869" i="4"/>
  <c r="AZ876" i="4"/>
  <c r="AZ896" i="4"/>
  <c r="AZ900" i="4"/>
  <c r="AZ912" i="4"/>
  <c r="AZ22" i="4"/>
  <c r="AZ123" i="4"/>
  <c r="X124" i="4"/>
  <c r="AG386" i="4"/>
  <c r="BB386" i="4" s="1"/>
  <c r="AZ428" i="4"/>
  <c r="AG515" i="4"/>
  <c r="BB515" i="4" s="1"/>
  <c r="BC515" i="4" s="1"/>
  <c r="AZ519" i="4"/>
  <c r="X299" i="4"/>
  <c r="AG352" i="4"/>
  <c r="BB352" i="4" s="1"/>
  <c r="BC352" i="4" s="1"/>
  <c r="AZ383" i="4"/>
  <c r="AZ601" i="4"/>
  <c r="AZ967" i="4"/>
  <c r="AZ991" i="4"/>
  <c r="AZ999" i="4"/>
  <c r="AG1012" i="4"/>
  <c r="BB1012" i="4" s="1"/>
  <c r="AZ1015" i="4"/>
  <c r="BC1070" i="4"/>
  <c r="X1070" i="4"/>
  <c r="AZ1071" i="4"/>
  <c r="AQ1081" i="4"/>
  <c r="AZ1005" i="4"/>
  <c r="AZ1021" i="4"/>
  <c r="X1024" i="4"/>
  <c r="AB1081" i="4"/>
  <c r="AV1081" i="4"/>
  <c r="X91" i="4"/>
  <c r="X599" i="4"/>
  <c r="X672" i="4"/>
  <c r="BC846" i="4"/>
  <c r="AH979" i="4"/>
  <c r="AZ1069" i="4"/>
  <c r="AM1081" i="4"/>
  <c r="AZ29" i="4"/>
  <c r="X147" i="4"/>
  <c r="AH155" i="4"/>
  <c r="AZ307" i="4"/>
  <c r="AZ311" i="4"/>
  <c r="AZ315" i="4"/>
  <c r="AZ399" i="4"/>
  <c r="AG402" i="4"/>
  <c r="BB402" i="4" s="1"/>
  <c r="AG404" i="4"/>
  <c r="BB404" i="4" s="1"/>
  <c r="BC404" i="4" s="1"/>
  <c r="X405" i="4"/>
  <c r="AG406" i="4"/>
  <c r="BB406" i="4" s="1"/>
  <c r="AZ408" i="4"/>
  <c r="X496" i="4"/>
  <c r="AZ496" i="4"/>
  <c r="AZ864" i="4"/>
  <c r="AZ882" i="4"/>
  <c r="AZ894" i="4"/>
  <c r="AZ898" i="4"/>
  <c r="AZ910" i="4"/>
  <c r="AZ914" i="4"/>
  <c r="AZ929" i="4"/>
  <c r="X966" i="4"/>
  <c r="AZ989" i="4"/>
  <c r="AZ993" i="4"/>
  <c r="AZ1001" i="4"/>
  <c r="AZ1019" i="4"/>
  <c r="AZ79" i="4"/>
  <c r="X85" i="4"/>
  <c r="X279" i="4"/>
  <c r="AZ280" i="4"/>
  <c r="AZ431" i="4"/>
  <c r="AZ444" i="4"/>
  <c r="X575" i="4"/>
  <c r="X578" i="4"/>
  <c r="AZ614" i="4"/>
  <c r="BC615" i="4"/>
  <c r="AZ619" i="4"/>
  <c r="AH223" i="4"/>
  <c r="BC661" i="4"/>
  <c r="BC665" i="4"/>
  <c r="BC842" i="4"/>
  <c r="AH843" i="4"/>
  <c r="BC851" i="4"/>
  <c r="AZ24" i="4"/>
  <c r="AZ28" i="4"/>
  <c r="X135" i="4"/>
  <c r="BC240" i="4"/>
  <c r="X301" i="4"/>
  <c r="AZ360" i="4"/>
  <c r="X421" i="4"/>
  <c r="AZ449" i="4"/>
  <c r="X484" i="4"/>
  <c r="X555" i="4"/>
  <c r="AZ570" i="4"/>
  <c r="X615" i="4"/>
  <c r="X632" i="4"/>
  <c r="AZ633" i="4"/>
  <c r="AZ737" i="4"/>
  <c r="AH953" i="4"/>
  <c r="AZ1045" i="4"/>
  <c r="AZ1058" i="4"/>
  <c r="AG34" i="4"/>
  <c r="AH34" i="4" s="1"/>
  <c r="X34" i="4"/>
  <c r="AG78" i="4"/>
  <c r="BB78" i="4" s="1"/>
  <c r="BC78" i="4" s="1"/>
  <c r="X78" i="4"/>
  <c r="AG113" i="4"/>
  <c r="BB113" i="4" s="1"/>
  <c r="BC113" i="4" s="1"/>
  <c r="X113" i="4"/>
  <c r="AG29" i="4"/>
  <c r="BB29" i="4" s="1"/>
  <c r="BC29" i="4" s="1"/>
  <c r="X29" i="4"/>
  <c r="AG81" i="4"/>
  <c r="BB81" i="4" s="1"/>
  <c r="BC81" i="4" s="1"/>
  <c r="X81" i="4"/>
  <c r="BC160" i="4"/>
  <c r="AZ39" i="4"/>
  <c r="X42" i="4"/>
  <c r="X54" i="4"/>
  <c r="X67" i="4"/>
  <c r="X70" i="4"/>
  <c r="X74" i="4"/>
  <c r="X77" i="4"/>
  <c r="X82" i="4"/>
  <c r="AZ231" i="4"/>
  <c r="AZ235" i="4"/>
  <c r="AG238" i="4"/>
  <c r="BB238" i="4" s="1"/>
  <c r="BC238" i="4" s="1"/>
  <c r="AZ241" i="4"/>
  <c r="BC256" i="4"/>
  <c r="X258" i="4"/>
  <c r="AZ268" i="4"/>
  <c r="X270" i="4"/>
  <c r="X291" i="4"/>
  <c r="X293" i="4"/>
  <c r="X325" i="4"/>
  <c r="X337" i="4"/>
  <c r="AG346" i="4"/>
  <c r="BB346" i="4" s="1"/>
  <c r="AG356" i="4"/>
  <c r="AH356" i="4" s="1"/>
  <c r="AZ367" i="4"/>
  <c r="AZ379" i="4"/>
  <c r="AZ395" i="4"/>
  <c r="X413" i="4"/>
  <c r="X429" i="4"/>
  <c r="AZ453" i="4"/>
  <c r="AG456" i="4"/>
  <c r="BB456" i="4" s="1"/>
  <c r="X474" i="4"/>
  <c r="BC581" i="4"/>
  <c r="X594" i="4"/>
  <c r="AZ611" i="4"/>
  <c r="AZ647" i="4"/>
  <c r="AZ659" i="4"/>
  <c r="AZ689" i="4"/>
  <c r="AZ695" i="4"/>
  <c r="AZ697" i="4"/>
  <c r="X721" i="4"/>
  <c r="X724" i="4"/>
  <c r="X752" i="4"/>
  <c r="X777" i="4"/>
  <c r="AZ807" i="4"/>
  <c r="AG821" i="4"/>
  <c r="AH821" i="4" s="1"/>
  <c r="AG832" i="4"/>
  <c r="AH832" i="4" s="1"/>
  <c r="X841" i="4"/>
  <c r="AZ842" i="4"/>
  <c r="AZ843" i="4"/>
  <c r="AG845" i="4"/>
  <c r="BB845" i="4" s="1"/>
  <c r="BC845" i="4" s="1"/>
  <c r="X850" i="4"/>
  <c r="AZ852" i="4"/>
  <c r="AZ856" i="4"/>
  <c r="AZ859" i="4"/>
  <c r="X880" i="4"/>
  <c r="AZ919" i="4"/>
  <c r="X925" i="4"/>
  <c r="AZ926" i="4"/>
  <c r="X935" i="4"/>
  <c r="X952" i="4"/>
  <c r="X955" i="4"/>
  <c r="X982" i="4"/>
  <c r="AZ983" i="4"/>
  <c r="AZ1037" i="4"/>
  <c r="X1039" i="4"/>
  <c r="V1081" i="4"/>
  <c r="AL1081" i="4"/>
  <c r="AP1081" i="4"/>
  <c r="AU1081" i="4"/>
  <c r="X159" i="4"/>
  <c r="BC193" i="4"/>
  <c r="X283" i="4"/>
  <c r="AZ284" i="4"/>
  <c r="BC291" i="4"/>
  <c r="AG320" i="4"/>
  <c r="AH320" i="4" s="1"/>
  <c r="X321" i="4"/>
  <c r="AG322" i="4"/>
  <c r="BB322" i="4" s="1"/>
  <c r="X333" i="4"/>
  <c r="AG390" i="4"/>
  <c r="BB390" i="4" s="1"/>
  <c r="AZ509" i="4"/>
  <c r="X511" i="4"/>
  <c r="X534" i="4"/>
  <c r="AZ557" i="4"/>
  <c r="AZ560" i="4"/>
  <c r="AH600" i="4"/>
  <c r="X607" i="4"/>
  <c r="AZ609" i="4"/>
  <c r="AZ691" i="4"/>
  <c r="AZ693" i="4"/>
  <c r="BC698" i="4"/>
  <c r="AZ751" i="4"/>
  <c r="AZ796" i="4"/>
  <c r="X797" i="4"/>
  <c r="X800" i="4"/>
  <c r="AZ805" i="4"/>
  <c r="AZ814" i="4"/>
  <c r="AZ851" i="4"/>
  <c r="AZ854" i="4"/>
  <c r="AZ878" i="4"/>
  <c r="AZ907" i="4"/>
  <c r="AZ921" i="4"/>
  <c r="X940" i="4"/>
  <c r="X943" i="4"/>
  <c r="AZ977" i="4"/>
  <c r="AZ1034" i="4"/>
  <c r="AZ1042" i="4"/>
  <c r="X1066" i="4"/>
  <c r="AZ1067" i="4"/>
  <c r="X33" i="4"/>
  <c r="AZ115" i="4"/>
  <c r="AZ154" i="4"/>
  <c r="AH192" i="4"/>
  <c r="BC623" i="4"/>
  <c r="AH887" i="4"/>
  <c r="BC1005" i="4"/>
  <c r="AG569" i="4"/>
  <c r="BB569" i="4" s="1"/>
  <c r="BC569" i="4" s="1"/>
  <c r="X569" i="4"/>
  <c r="AG664" i="4"/>
  <c r="AH664" i="4" s="1"/>
  <c r="X664" i="4"/>
  <c r="X10" i="4"/>
  <c r="AZ12" i="4"/>
  <c r="AZ13" i="4"/>
  <c r="AZ15" i="4"/>
  <c r="X23" i="4"/>
  <c r="AZ32" i="4"/>
  <c r="X36" i="4"/>
  <c r="U1081" i="4"/>
  <c r="Z1081" i="4"/>
  <c r="AD1081" i="4"/>
  <c r="AZ56" i="4"/>
  <c r="AZ60" i="4"/>
  <c r="X95" i="4"/>
  <c r="X99" i="4"/>
  <c r="AH121" i="4"/>
  <c r="AZ137" i="4"/>
  <c r="X139" i="4"/>
  <c r="AH143" i="4"/>
  <c r="AZ176" i="4"/>
  <c r="AZ179" i="4"/>
  <c r="AG203" i="4"/>
  <c r="AH203" i="4" s="1"/>
  <c r="AZ206" i="4"/>
  <c r="AZ211" i="4"/>
  <c r="AH239" i="4"/>
  <c r="AH243" i="4"/>
  <c r="AH247" i="4"/>
  <c r="AH251" i="4"/>
  <c r="X277" i="4"/>
  <c r="AZ278" i="4"/>
  <c r="X285" i="4"/>
  <c r="AZ286" i="4"/>
  <c r="X303" i="4"/>
  <c r="X305" i="4"/>
  <c r="X329" i="4"/>
  <c r="AZ339" i="4"/>
  <c r="AZ343" i="4"/>
  <c r="AZ351" i="4"/>
  <c r="AG354" i="4"/>
  <c r="BB354" i="4" s="1"/>
  <c r="AZ356" i="4"/>
  <c r="AZ363" i="4"/>
  <c r="X365" i="4"/>
  <c r="BC367" i="4"/>
  <c r="AG370" i="4"/>
  <c r="BB370" i="4" s="1"/>
  <c r="AG372" i="4"/>
  <c r="AH372" i="4" s="1"/>
  <c r="X373" i="4"/>
  <c r="AG374" i="4"/>
  <c r="BB374" i="4" s="1"/>
  <c r="AZ376" i="4"/>
  <c r="X381" i="4"/>
  <c r="BC383" i="4"/>
  <c r="AZ385" i="4"/>
  <c r="AG388" i="4"/>
  <c r="BB388" i="4" s="1"/>
  <c r="BC388" i="4" s="1"/>
  <c r="AZ415" i="4"/>
  <c r="AG418" i="4"/>
  <c r="BB418" i="4" s="1"/>
  <c r="AG420" i="4"/>
  <c r="AH420" i="4" s="1"/>
  <c r="AG422" i="4"/>
  <c r="BB422" i="4" s="1"/>
  <c r="AZ424" i="4"/>
  <c r="BC431" i="4"/>
  <c r="AG434" i="4"/>
  <c r="BB434" i="4" s="1"/>
  <c r="AG436" i="4"/>
  <c r="BB436" i="4" s="1"/>
  <c r="BC436" i="4" s="1"/>
  <c r="X437" i="4"/>
  <c r="AG438" i="4"/>
  <c r="BB438" i="4" s="1"/>
  <c r="AG451" i="4"/>
  <c r="BB451" i="4" s="1"/>
  <c r="BC451" i="4" s="1"/>
  <c r="X451" i="4"/>
  <c r="AG480" i="4"/>
  <c r="BB480" i="4" s="1"/>
  <c r="X480" i="4"/>
  <c r="AG507" i="4"/>
  <c r="BB507" i="4" s="1"/>
  <c r="BC507" i="4" s="1"/>
  <c r="X507" i="4"/>
  <c r="AG714" i="4"/>
  <c r="BB714" i="4" s="1"/>
  <c r="BC714" i="4" s="1"/>
  <c r="X714" i="4"/>
  <c r="AG854" i="4"/>
  <c r="BB854" i="4" s="1"/>
  <c r="BC854" i="4" s="1"/>
  <c r="X854" i="4"/>
  <c r="X916" i="4"/>
  <c r="AG916" i="4"/>
  <c r="BB916" i="4" s="1"/>
  <c r="BC916" i="4" s="1"/>
  <c r="AG970" i="4"/>
  <c r="BB970" i="4" s="1"/>
  <c r="BC970" i="4" s="1"/>
  <c r="X970" i="4"/>
  <c r="AG1011" i="4"/>
  <c r="BB1011" i="4" s="1"/>
  <c r="BC1011" i="4" s="1"/>
  <c r="X1011" i="4"/>
  <c r="AG495" i="4"/>
  <c r="BB495" i="4" s="1"/>
  <c r="X495" i="4"/>
  <c r="AG876" i="4"/>
  <c r="BB876" i="4" s="1"/>
  <c r="BC876" i="4" s="1"/>
  <c r="X876" i="4"/>
  <c r="X960" i="4"/>
  <c r="AG960" i="4"/>
  <c r="AH960" i="4" s="1"/>
  <c r="AG993" i="4"/>
  <c r="BB993" i="4" s="1"/>
  <c r="BC993" i="4" s="1"/>
  <c r="X993" i="4"/>
  <c r="X1008" i="4"/>
  <c r="AG1008" i="4"/>
  <c r="BB1008" i="4" s="1"/>
  <c r="X19" i="4"/>
  <c r="X31" i="4"/>
  <c r="X37" i="4"/>
  <c r="AZ50" i="4"/>
  <c r="X63" i="4"/>
  <c r="X64" i="4"/>
  <c r="AZ84" i="4"/>
  <c r="AZ106" i="4"/>
  <c r="X109" i="4"/>
  <c r="AH124" i="4"/>
  <c r="X125" i="4"/>
  <c r="AH135" i="4"/>
  <c r="X155" i="4"/>
  <c r="AH159" i="4"/>
  <c r="X167" i="4"/>
  <c r="BE177" i="4"/>
  <c r="BE1082" i="4" s="1"/>
  <c r="AZ228" i="4"/>
  <c r="X281" i="4"/>
  <c r="AZ282" i="4"/>
  <c r="X289" i="4"/>
  <c r="X297" i="4"/>
  <c r="AZ298" i="4"/>
  <c r="AZ300" i="4"/>
  <c r="BC303" i="4"/>
  <c r="AG316" i="4"/>
  <c r="BB316" i="4" s="1"/>
  <c r="BC316" i="4" s="1"/>
  <c r="AG326" i="4"/>
  <c r="BB326" i="4" s="1"/>
  <c r="AG348" i="4"/>
  <c r="AH348" i="4" s="1"/>
  <c r="X349" i="4"/>
  <c r="AG350" i="4"/>
  <c r="BB350" i="4" s="1"/>
  <c r="AG358" i="4"/>
  <c r="BB358" i="4" s="1"/>
  <c r="AZ361" i="4"/>
  <c r="AZ392" i="4"/>
  <c r="X397" i="4"/>
  <c r="BC399" i="4"/>
  <c r="AZ411" i="4"/>
  <c r="AG460" i="4"/>
  <c r="BB460" i="4" s="1"/>
  <c r="BC460" i="4" s="1"/>
  <c r="X460" i="4"/>
  <c r="AG488" i="4"/>
  <c r="BB488" i="4" s="1"/>
  <c r="X488" i="4"/>
  <c r="AG566" i="4"/>
  <c r="BB566" i="4" s="1"/>
  <c r="BC566" i="4" s="1"/>
  <c r="X566" i="4"/>
  <c r="X905" i="4"/>
  <c r="AG905" i="4"/>
  <c r="AH905" i="4" s="1"/>
  <c r="X932" i="4"/>
  <c r="AG932" i="4"/>
  <c r="BB932" i="4" s="1"/>
  <c r="BC932" i="4" s="1"/>
  <c r="X968" i="4"/>
  <c r="AG968" i="4"/>
  <c r="AH968" i="4" s="1"/>
  <c r="AG1062" i="4"/>
  <c r="AH1062" i="4" s="1"/>
  <c r="X1062" i="4"/>
  <c r="AG553" i="4"/>
  <c r="BB553" i="4" s="1"/>
  <c r="BC553" i="4" s="1"/>
  <c r="X553" i="4"/>
  <c r="AH62" i="4"/>
  <c r="BC118" i="4"/>
  <c r="BC122" i="4"/>
  <c r="BC144" i="4"/>
  <c r="BC197" i="4"/>
  <c r="BC252" i="4"/>
  <c r="BC272" i="4"/>
  <c r="BC415" i="4"/>
  <c r="AG459" i="4"/>
  <c r="BB459" i="4" s="1"/>
  <c r="X459" i="4"/>
  <c r="AG473" i="4"/>
  <c r="BB473" i="4" s="1"/>
  <c r="BC473" i="4" s="1"/>
  <c r="X473" i="4"/>
  <c r="X485" i="4"/>
  <c r="AG485" i="4"/>
  <c r="BB485" i="4" s="1"/>
  <c r="BC485" i="4" s="1"/>
  <c r="X512" i="4"/>
  <c r="AG512" i="4"/>
  <c r="AH512" i="4" s="1"/>
  <c r="BC703" i="4"/>
  <c r="X709" i="4"/>
  <c r="AG709" i="4"/>
  <c r="AH709" i="4" s="1"/>
  <c r="BC729" i="4"/>
  <c r="AG962" i="4"/>
  <c r="BB962" i="4" s="1"/>
  <c r="BC962" i="4" s="1"/>
  <c r="X962" i="4"/>
  <c r="AZ440" i="4"/>
  <c r="AZ471" i="4"/>
  <c r="AZ483" i="4"/>
  <c r="AZ510" i="4"/>
  <c r="AZ515" i="4"/>
  <c r="AZ578" i="4"/>
  <c r="AZ582" i="4"/>
  <c r="X586" i="4"/>
  <c r="X611" i="4"/>
  <c r="AZ652" i="4"/>
  <c r="X679" i="4"/>
  <c r="AZ680" i="4"/>
  <c r="AZ702" i="4"/>
  <c r="AZ704" i="4"/>
  <c r="AZ718" i="4"/>
  <c r="X744" i="4"/>
  <c r="X765" i="4"/>
  <c r="AZ765" i="4"/>
  <c r="AZ787" i="4"/>
  <c r="AZ829" i="4"/>
  <c r="AZ832" i="4"/>
  <c r="AZ850" i="4"/>
  <c r="AZ861" i="4"/>
  <c r="X882" i="4"/>
  <c r="AZ885" i="4"/>
  <c r="X894" i="4"/>
  <c r="X896" i="4"/>
  <c r="X898" i="4"/>
  <c r="X900" i="4"/>
  <c r="X910" i="4"/>
  <c r="X912" i="4"/>
  <c r="X914" i="4"/>
  <c r="X927" i="4"/>
  <c r="AZ928" i="4"/>
  <c r="AZ934" i="4"/>
  <c r="AZ937" i="4"/>
  <c r="AZ947" i="4"/>
  <c r="AZ951" i="4"/>
  <c r="AZ954" i="4"/>
  <c r="AZ957" i="4"/>
  <c r="AZ961" i="4"/>
  <c r="AZ963" i="4"/>
  <c r="AZ969" i="4"/>
  <c r="AZ971" i="4"/>
  <c r="X976" i="4"/>
  <c r="AZ978" i="4"/>
  <c r="X980" i="4"/>
  <c r="AZ992" i="4"/>
  <c r="X1001" i="4"/>
  <c r="X1007" i="4"/>
  <c r="X1046" i="4"/>
  <c r="AZ1047" i="4"/>
  <c r="X1058" i="4"/>
  <c r="X1068" i="4"/>
  <c r="AZ427" i="4"/>
  <c r="BC453" i="4"/>
  <c r="AZ478" i="4"/>
  <c r="AZ493" i="4"/>
  <c r="AZ504" i="4"/>
  <c r="AZ544" i="4"/>
  <c r="AZ547" i="4"/>
  <c r="AG565" i="4"/>
  <c r="BB565" i="4" s="1"/>
  <c r="AZ567" i="4"/>
  <c r="AZ594" i="4"/>
  <c r="AZ639" i="4"/>
  <c r="AZ682" i="4"/>
  <c r="AZ700" i="4"/>
  <c r="AZ711" i="4"/>
  <c r="AZ730" i="4"/>
  <c r="AZ743" i="4"/>
  <c r="AZ758" i="4"/>
  <c r="AG762" i="4"/>
  <c r="BB762" i="4" s="1"/>
  <c r="AG783" i="4"/>
  <c r="BB783" i="4" s="1"/>
  <c r="AZ785" i="4"/>
  <c r="AZ789" i="4"/>
  <c r="AZ793" i="4"/>
  <c r="AZ835" i="4"/>
  <c r="AG871" i="4"/>
  <c r="BB871" i="4" s="1"/>
  <c r="BC871" i="4" s="1"/>
  <c r="AG877" i="4"/>
  <c r="BB877" i="4" s="1"/>
  <c r="AZ890" i="4"/>
  <c r="AZ893" i="4"/>
  <c r="BC894" i="4"/>
  <c r="AZ895" i="4"/>
  <c r="AZ899" i="4"/>
  <c r="AZ924" i="4"/>
  <c r="AZ939" i="4"/>
  <c r="AZ949" i="4"/>
  <c r="AZ973" i="4"/>
  <c r="AG978" i="4"/>
  <c r="AH978" i="4" s="1"/>
  <c r="AZ981" i="4"/>
  <c r="AZ1000" i="4"/>
  <c r="AZ1002" i="4"/>
  <c r="BC1015" i="4"/>
  <c r="AH1039" i="4"/>
  <c r="AZ1065" i="4"/>
  <c r="BC673" i="4"/>
  <c r="BC677" i="4"/>
  <c r="AZ27" i="4"/>
  <c r="Q20" i="4"/>
  <c r="Q1080" i="4" s="1"/>
  <c r="AG30" i="4"/>
  <c r="BB30" i="4" s="1"/>
  <c r="AZ34" i="4"/>
  <c r="AZ38" i="4"/>
  <c r="AZ40" i="4"/>
  <c r="AG45" i="4"/>
  <c r="BB45" i="4" s="1"/>
  <c r="AZ53" i="4"/>
  <c r="AZ55" i="4"/>
  <c r="AZ93" i="4"/>
  <c r="AZ96" i="4"/>
  <c r="AZ114" i="4"/>
  <c r="AZ117" i="4"/>
  <c r="AG130" i="4"/>
  <c r="BB130" i="4" s="1"/>
  <c r="BC130" i="4" s="1"/>
  <c r="AZ149" i="4"/>
  <c r="AJ156" i="4"/>
  <c r="AZ185" i="4"/>
  <c r="AZ188" i="4"/>
  <c r="AZ192" i="4"/>
  <c r="AG195" i="4"/>
  <c r="AH195" i="4" s="1"/>
  <c r="AZ198" i="4"/>
  <c r="AG214" i="4"/>
  <c r="AH214" i="4" s="1"/>
  <c r="AZ217" i="4"/>
  <c r="AZ220" i="4"/>
  <c r="AZ223" i="4"/>
  <c r="AZ227" i="4"/>
  <c r="AZ244" i="4"/>
  <c r="AZ247" i="4"/>
  <c r="AZ251" i="4"/>
  <c r="AG254" i="4"/>
  <c r="BB254" i="4" s="1"/>
  <c r="BC254" i="4" s="1"/>
  <c r="AZ257" i="4"/>
  <c r="AZ258" i="4"/>
  <c r="AZ262" i="4"/>
  <c r="AZ263" i="4"/>
  <c r="AZ273" i="4"/>
  <c r="AY287" i="4"/>
  <c r="AY1084" i="4" s="1"/>
  <c r="AZ290" i="4"/>
  <c r="AZ292" i="4"/>
  <c r="BC295" i="4"/>
  <c r="AZ302" i="4"/>
  <c r="AZ304" i="4"/>
  <c r="AE287" i="4"/>
  <c r="AG309" i="4"/>
  <c r="BB309" i="4" s="1"/>
  <c r="BC309" i="4" s="1"/>
  <c r="X309" i="4"/>
  <c r="AG313" i="4"/>
  <c r="BB313" i="4" s="1"/>
  <c r="BC313" i="4" s="1"/>
  <c r="X313" i="4"/>
  <c r="AG341" i="4"/>
  <c r="BB341" i="4" s="1"/>
  <c r="BC341" i="4" s="1"/>
  <c r="X341" i="4"/>
  <c r="AG345" i="4"/>
  <c r="BB345" i="4" s="1"/>
  <c r="BC345" i="4" s="1"/>
  <c r="X345" i="4"/>
  <c r="AZ369" i="4"/>
  <c r="X378" i="4"/>
  <c r="AG378" i="4"/>
  <c r="BB378" i="4" s="1"/>
  <c r="X396" i="4"/>
  <c r="AG396" i="4"/>
  <c r="AH396" i="4" s="1"/>
  <c r="AZ412" i="4"/>
  <c r="X414" i="4"/>
  <c r="AG414" i="4"/>
  <c r="BB414" i="4" s="1"/>
  <c r="AZ433" i="4"/>
  <c r="X443" i="4"/>
  <c r="AG443" i="4"/>
  <c r="BB443" i="4" s="1"/>
  <c r="AZ450" i="4"/>
  <c r="X452" i="4"/>
  <c r="AG452" i="4"/>
  <c r="BB452" i="4" s="1"/>
  <c r="AE458" i="4"/>
  <c r="AG469" i="4"/>
  <c r="BB469" i="4" s="1"/>
  <c r="BC469" i="4" s="1"/>
  <c r="X469" i="4"/>
  <c r="AZ482" i="4"/>
  <c r="AZ487" i="4"/>
  <c r="AG489" i="4"/>
  <c r="AH489" i="4" s="1"/>
  <c r="X492" i="4"/>
  <c r="AG492" i="4"/>
  <c r="BB492" i="4" s="1"/>
  <c r="BC492" i="4" s="1"/>
  <c r="X503" i="4"/>
  <c r="AG503" i="4"/>
  <c r="BB503" i="4" s="1"/>
  <c r="BC503" i="4" s="1"/>
  <c r="AZ523" i="4"/>
  <c r="AG528" i="4"/>
  <c r="BB528" i="4" s="1"/>
  <c r="X528" i="4"/>
  <c r="AG583" i="4"/>
  <c r="BB583" i="4" s="1"/>
  <c r="BC583" i="4" s="1"/>
  <c r="X583" i="4"/>
  <c r="AG702" i="4"/>
  <c r="BB702" i="4" s="1"/>
  <c r="BC702" i="4" s="1"/>
  <c r="X702" i="4"/>
  <c r="AG718" i="4"/>
  <c r="BB718" i="4" s="1"/>
  <c r="BC718" i="4" s="1"/>
  <c r="X718" i="4"/>
  <c r="X310" i="4"/>
  <c r="AG310" i="4"/>
  <c r="BB310" i="4" s="1"/>
  <c r="X338" i="4"/>
  <c r="AG338" i="4"/>
  <c r="BB338" i="4" s="1"/>
  <c r="X342" i="4"/>
  <c r="AG342" i="4"/>
  <c r="BB342" i="4" s="1"/>
  <c r="X362" i="4"/>
  <c r="AG362" i="4"/>
  <c r="BB362" i="4" s="1"/>
  <c r="X394" i="4"/>
  <c r="AG394" i="4"/>
  <c r="BB394" i="4" s="1"/>
  <c r="X412" i="4"/>
  <c r="AG412" i="4"/>
  <c r="BB412" i="4" s="1"/>
  <c r="BC412" i="4" s="1"/>
  <c r="X430" i="4"/>
  <c r="AG430" i="4"/>
  <c r="BB430" i="4" s="1"/>
  <c r="X450" i="4"/>
  <c r="AG450" i="4"/>
  <c r="AH450" i="4" s="1"/>
  <c r="X470" i="4"/>
  <c r="AG470" i="4"/>
  <c r="BB470" i="4" s="1"/>
  <c r="BC470" i="4" s="1"/>
  <c r="AG535" i="4"/>
  <c r="BB535" i="4" s="1"/>
  <c r="BC535" i="4" s="1"/>
  <c r="X535" i="4"/>
  <c r="AG549" i="4"/>
  <c r="BB549" i="4" s="1"/>
  <c r="BC549" i="4" s="1"/>
  <c r="X549" i="4"/>
  <c r="AG587" i="4"/>
  <c r="BB587" i="4" s="1"/>
  <c r="X587" i="4"/>
  <c r="AG631" i="4"/>
  <c r="AH631" i="4" s="1"/>
  <c r="X631" i="4"/>
  <c r="X655" i="4"/>
  <c r="AG655" i="4"/>
  <c r="AH655" i="4" s="1"/>
  <c r="AG676" i="4"/>
  <c r="AH676" i="4" s="1"/>
  <c r="X676" i="4"/>
  <c r="AG695" i="4"/>
  <c r="BB695" i="4" s="1"/>
  <c r="BC695" i="4" s="1"/>
  <c r="X695" i="4"/>
  <c r="AZ16" i="4"/>
  <c r="AY9" i="4"/>
  <c r="AY1079" i="4" s="1"/>
  <c r="AH28" i="4"/>
  <c r="AZ35" i="4"/>
  <c r="AZ41" i="4"/>
  <c r="AZ43" i="4"/>
  <c r="X47" i="4"/>
  <c r="X52" i="4"/>
  <c r="X1094" i="4" s="1"/>
  <c r="AZ61" i="4"/>
  <c r="X65" i="4"/>
  <c r="AZ65" i="4"/>
  <c r="AZ80" i="4"/>
  <c r="X87" i="4"/>
  <c r="AZ88" i="4"/>
  <c r="AG101" i="4"/>
  <c r="BB101" i="4" s="1"/>
  <c r="AZ103" i="4"/>
  <c r="AZ108" i="4"/>
  <c r="X121" i="4"/>
  <c r="X127" i="4"/>
  <c r="AZ131" i="4"/>
  <c r="BC132" i="4"/>
  <c r="X143" i="4"/>
  <c r="AZ144" i="4"/>
  <c r="AH147" i="4"/>
  <c r="AZ151" i="4"/>
  <c r="BC152" i="4"/>
  <c r="X174" i="4"/>
  <c r="AZ174" i="4"/>
  <c r="AG187" i="4"/>
  <c r="BB187" i="4" s="1"/>
  <c r="BC187" i="4" s="1"/>
  <c r="AZ190" i="4"/>
  <c r="BB192" i="4"/>
  <c r="BC192" i="4" s="1"/>
  <c r="AZ193" i="4"/>
  <c r="AZ196" i="4"/>
  <c r="AZ200" i="4"/>
  <c r="AZ212" i="4"/>
  <c r="AZ215" i="4"/>
  <c r="AZ219" i="4"/>
  <c r="AG222" i="4"/>
  <c r="BB222" i="4" s="1"/>
  <c r="BC222" i="4" s="1"/>
  <c r="BC224" i="4"/>
  <c r="AZ225" i="4"/>
  <c r="AH231" i="4"/>
  <c r="AH235" i="4"/>
  <c r="BC236" i="4"/>
  <c r="AG246" i="4"/>
  <c r="BB246" i="4" s="1"/>
  <c r="BC246" i="4" s="1"/>
  <c r="AZ249" i="4"/>
  <c r="BB251" i="4"/>
  <c r="BC251" i="4" s="1"/>
  <c r="AZ252" i="4"/>
  <c r="AZ255" i="4"/>
  <c r="AZ259" i="4"/>
  <c r="AZ261" i="4"/>
  <c r="AJ260" i="4"/>
  <c r="AJ1083" i="4" s="1"/>
  <c r="AZ264" i="4"/>
  <c r="AZ275" i="4"/>
  <c r="X295" i="4"/>
  <c r="X317" i="4"/>
  <c r="AG334" i="4"/>
  <c r="BB334" i="4" s="1"/>
  <c r="X336" i="4"/>
  <c r="AG336" i="4"/>
  <c r="BB336" i="4" s="1"/>
  <c r="BC336" i="4" s="1"/>
  <c r="AZ347" i="4"/>
  <c r="X353" i="4"/>
  <c r="X357" i="4"/>
  <c r="AZ364" i="4"/>
  <c r="X366" i="4"/>
  <c r="AG366" i="4"/>
  <c r="BB366" i="4" s="1"/>
  <c r="AZ380" i="4"/>
  <c r="X382" i="4"/>
  <c r="AG382" i="4"/>
  <c r="BB382" i="4" s="1"/>
  <c r="X389" i="4"/>
  <c r="AZ401" i="4"/>
  <c r="X410" i="4"/>
  <c r="AG410" i="4"/>
  <c r="BB410" i="4" s="1"/>
  <c r="X428" i="4"/>
  <c r="AG428" i="4"/>
  <c r="AH428" i="4" s="1"/>
  <c r="X448" i="4"/>
  <c r="AG448" i="4"/>
  <c r="BB448" i="4" s="1"/>
  <c r="AG533" i="4"/>
  <c r="BB533" i="4" s="1"/>
  <c r="X533" i="4"/>
  <c r="AG598" i="4"/>
  <c r="BB598" i="4" s="1"/>
  <c r="BC598" i="4" s="1"/>
  <c r="X598" i="4"/>
  <c r="AF9" i="4"/>
  <c r="AF1079" i="4" s="1"/>
  <c r="AG17" i="4"/>
  <c r="BB17" i="4" s="1"/>
  <c r="BE20" i="4"/>
  <c r="BE1080" i="4" s="1"/>
  <c r="AZ31" i="4"/>
  <c r="AZ44" i="4"/>
  <c r="AZ48" i="4"/>
  <c r="AZ58" i="4"/>
  <c r="AZ62" i="4"/>
  <c r="AZ63" i="4"/>
  <c r="AZ71" i="4"/>
  <c r="AZ73" i="4"/>
  <c r="AZ75" i="4"/>
  <c r="AZ92" i="4"/>
  <c r="AZ101" i="4"/>
  <c r="AZ120" i="4"/>
  <c r="AZ142" i="4"/>
  <c r="AZ162" i="4"/>
  <c r="BC171" i="4"/>
  <c r="AZ184" i="4"/>
  <c r="AH196" i="4"/>
  <c r="AZ201" i="4"/>
  <c r="AZ204" i="4"/>
  <c r="BC208" i="4"/>
  <c r="AZ209" i="4"/>
  <c r="AH219" i="4"/>
  <c r="BC220" i="4"/>
  <c r="AG230" i="4"/>
  <c r="AH230" i="4" s="1"/>
  <c r="AZ233" i="4"/>
  <c r="AZ236" i="4"/>
  <c r="AZ239" i="4"/>
  <c r="AZ243" i="4"/>
  <c r="AH255" i="4"/>
  <c r="BC262" i="4"/>
  <c r="BC270" i="4"/>
  <c r="AZ272" i="4"/>
  <c r="AG306" i="4"/>
  <c r="BB306" i="4" s="1"/>
  <c r="X308" i="4"/>
  <c r="AG308" i="4"/>
  <c r="AH308" i="4" s="1"/>
  <c r="AZ319" i="4"/>
  <c r="AG324" i="4"/>
  <c r="AH324" i="4" s="1"/>
  <c r="AG328" i="4"/>
  <c r="BB328" i="4" s="1"/>
  <c r="BC328" i="4" s="1"/>
  <c r="AG330" i="4"/>
  <c r="BB330" i="4" s="1"/>
  <c r="X332" i="4"/>
  <c r="AG332" i="4"/>
  <c r="AH332" i="4" s="1"/>
  <c r="X364" i="4"/>
  <c r="AG364" i="4"/>
  <c r="AH364" i="4" s="1"/>
  <c r="X380" i="4"/>
  <c r="AG380" i="4"/>
  <c r="BB380" i="4" s="1"/>
  <c r="BC380" i="4" s="1"/>
  <c r="AZ396" i="4"/>
  <c r="X398" i="4"/>
  <c r="AG398" i="4"/>
  <c r="BB398" i="4" s="1"/>
  <c r="AZ417" i="4"/>
  <c r="X426" i="4"/>
  <c r="AG426" i="4"/>
  <c r="BB426" i="4" s="1"/>
  <c r="AZ446" i="4"/>
  <c r="AR445" i="4"/>
  <c r="AZ455" i="4"/>
  <c r="Q458" i="4"/>
  <c r="X476" i="4"/>
  <c r="AG476" i="4"/>
  <c r="BB476" i="4" s="1"/>
  <c r="BC476" i="4" s="1"/>
  <c r="AG502" i="4"/>
  <c r="BB502" i="4" s="1"/>
  <c r="X502" i="4"/>
  <c r="AZ503" i="4"/>
  <c r="AZ526" i="4"/>
  <c r="AE525" i="4"/>
  <c r="AG531" i="4"/>
  <c r="BB531" i="4" s="1"/>
  <c r="X531" i="4"/>
  <c r="AZ537" i="4"/>
  <c r="AG540" i="4"/>
  <c r="BB540" i="4" s="1"/>
  <c r="BC540" i="4" s="1"/>
  <c r="X540" i="4"/>
  <c r="AG740" i="4"/>
  <c r="BB740" i="4" s="1"/>
  <c r="BC740" i="4" s="1"/>
  <c r="X740" i="4"/>
  <c r="AG761" i="4"/>
  <c r="BB761" i="4" s="1"/>
  <c r="X761" i="4"/>
  <c r="AZ542" i="4"/>
  <c r="AZ546" i="4"/>
  <c r="AZ573" i="4"/>
  <c r="AZ575" i="4"/>
  <c r="AZ586" i="4"/>
  <c r="AZ603" i="4"/>
  <c r="AZ613" i="4"/>
  <c r="AZ615" i="4"/>
  <c r="AZ618" i="4"/>
  <c r="AG619" i="4"/>
  <c r="BB619" i="4" s="1"/>
  <c r="BC619" i="4" s="1"/>
  <c r="X619" i="4"/>
  <c r="AZ625" i="4"/>
  <c r="AG748" i="4"/>
  <c r="BB748" i="4" s="1"/>
  <c r="BC748" i="4" s="1"/>
  <c r="X748" i="4"/>
  <c r="AG773" i="4"/>
  <c r="BB773" i="4" s="1"/>
  <c r="BC773" i="4" s="1"/>
  <c r="X773" i="4"/>
  <c r="X881" i="4"/>
  <c r="AG881" i="4"/>
  <c r="BB881" i="4" s="1"/>
  <c r="AG972" i="4"/>
  <c r="BB972" i="4" s="1"/>
  <c r="BC972" i="4" s="1"/>
  <c r="X972" i="4"/>
  <c r="AG997" i="4"/>
  <c r="BB997" i="4" s="1"/>
  <c r="BC997" i="4" s="1"/>
  <c r="X997" i="4"/>
  <c r="AZ294" i="4"/>
  <c r="AZ296" i="4"/>
  <c r="BC299" i="4"/>
  <c r="AZ303" i="4"/>
  <c r="AG312" i="4"/>
  <c r="AH312" i="4" s="1"/>
  <c r="AG314" i="4"/>
  <c r="BB314" i="4" s="1"/>
  <c r="AG318" i="4"/>
  <c r="BB318" i="4" s="1"/>
  <c r="AZ331" i="4"/>
  <c r="AZ335" i="4"/>
  <c r="AG340" i="4"/>
  <c r="AH340" i="4" s="1"/>
  <c r="AG344" i="4"/>
  <c r="BB344" i="4" s="1"/>
  <c r="BC344" i="4" s="1"/>
  <c r="BC359" i="4"/>
  <c r="AZ372" i="4"/>
  <c r="BC375" i="4"/>
  <c r="AZ377" i="4"/>
  <c r="AZ388" i="4"/>
  <c r="BC391" i="4"/>
  <c r="AZ393" i="4"/>
  <c r="AZ404" i="4"/>
  <c r="BC407" i="4"/>
  <c r="AZ409" i="4"/>
  <c r="AZ420" i="4"/>
  <c r="BC423" i="4"/>
  <c r="AZ425" i="4"/>
  <c r="AZ436" i="4"/>
  <c r="BC439" i="4"/>
  <c r="AZ441" i="4"/>
  <c r="AZ447" i="4"/>
  <c r="AZ461" i="4"/>
  <c r="AZ467" i="4"/>
  <c r="AZ472" i="4"/>
  <c r="AZ479" i="4"/>
  <c r="AG481" i="4"/>
  <c r="BB481" i="4" s="1"/>
  <c r="BC481" i="4" s="1"/>
  <c r="AZ490" i="4"/>
  <c r="AZ505" i="4"/>
  <c r="AG508" i="4"/>
  <c r="BB508" i="4" s="1"/>
  <c r="BC508" i="4" s="1"/>
  <c r="AZ512" i="4"/>
  <c r="AZ514" i="4"/>
  <c r="AZ517" i="4"/>
  <c r="AZ518" i="4"/>
  <c r="AZ522" i="4"/>
  <c r="AZ536" i="4"/>
  <c r="AZ540" i="4"/>
  <c r="AZ543" i="4"/>
  <c r="AZ564" i="4"/>
  <c r="AZ566" i="4"/>
  <c r="AZ568" i="4"/>
  <c r="AG588" i="4"/>
  <c r="BB588" i="4" s="1"/>
  <c r="AZ592" i="4"/>
  <c r="AZ595" i="4"/>
  <c r="AZ599" i="4"/>
  <c r="AZ602" i="4"/>
  <c r="AG622" i="4"/>
  <c r="AH622" i="4" s="1"/>
  <c r="X622" i="4"/>
  <c r="AG660" i="4"/>
  <c r="AH660" i="4" s="1"/>
  <c r="X660" i="4"/>
  <c r="AH698" i="4"/>
  <c r="AG781" i="4"/>
  <c r="BB781" i="4" s="1"/>
  <c r="BC781" i="4" s="1"/>
  <c r="X781" i="4"/>
  <c r="AG804" i="4"/>
  <c r="BB804" i="4" s="1"/>
  <c r="BC804" i="4" s="1"/>
  <c r="X804" i="4"/>
  <c r="AG827" i="4"/>
  <c r="BB827" i="4" s="1"/>
  <c r="BC827" i="4" s="1"/>
  <c r="X827" i="4"/>
  <c r="AG886" i="4"/>
  <c r="BB886" i="4" s="1"/>
  <c r="X886" i="4"/>
  <c r="AG989" i="4"/>
  <c r="BB989" i="4" s="1"/>
  <c r="BC989" i="4" s="1"/>
  <c r="X989" i="4"/>
  <c r="AG1050" i="4"/>
  <c r="BB1050" i="4" s="1"/>
  <c r="BC1050" i="4" s="1"/>
  <c r="X1050" i="4"/>
  <c r="X1071" i="4"/>
  <c r="AG1071" i="4"/>
  <c r="BB1071" i="4" s="1"/>
  <c r="AZ323" i="4"/>
  <c r="AZ327" i="4"/>
  <c r="AZ355" i="4"/>
  <c r="AZ359" i="4"/>
  <c r="AZ368" i="4"/>
  <c r="AZ371" i="4"/>
  <c r="AZ375" i="4"/>
  <c r="AZ384" i="4"/>
  <c r="AZ387" i="4"/>
  <c r="AZ391" i="4"/>
  <c r="AZ400" i="4"/>
  <c r="AZ403" i="4"/>
  <c r="AZ407" i="4"/>
  <c r="AZ416" i="4"/>
  <c r="AZ419" i="4"/>
  <c r="AZ423" i="4"/>
  <c r="AZ432" i="4"/>
  <c r="AZ435" i="4"/>
  <c r="AZ439" i="4"/>
  <c r="AZ454" i="4"/>
  <c r="AZ457" i="4"/>
  <c r="AZ468" i="4"/>
  <c r="AZ486" i="4"/>
  <c r="BC496" i="4"/>
  <c r="AZ497" i="4"/>
  <c r="AZ508" i="4"/>
  <c r="AZ513" i="4"/>
  <c r="AZ521" i="4"/>
  <c r="AZ545" i="4"/>
  <c r="AZ550" i="4"/>
  <c r="AZ580" i="4"/>
  <c r="AZ587" i="4"/>
  <c r="AZ596" i="4"/>
  <c r="AZ598" i="4"/>
  <c r="AG603" i="4"/>
  <c r="BB603" i="4" s="1"/>
  <c r="BC603" i="4" s="1"/>
  <c r="X603" i="4"/>
  <c r="AZ606" i="4"/>
  <c r="BC607" i="4"/>
  <c r="AZ617" i="4"/>
  <c r="AZ626" i="4"/>
  <c r="AZ629" i="4"/>
  <c r="AG668" i="4"/>
  <c r="AH668" i="4" s="1"/>
  <c r="X668" i="4"/>
  <c r="BC683" i="4"/>
  <c r="X685" i="4"/>
  <c r="AG685" i="4"/>
  <c r="BB685" i="4" s="1"/>
  <c r="BC685" i="4" s="1"/>
  <c r="AG691" i="4"/>
  <c r="BB691" i="4" s="1"/>
  <c r="BC691" i="4" s="1"/>
  <c r="X691" i="4"/>
  <c r="AG706" i="4"/>
  <c r="BB706" i="4" s="1"/>
  <c r="BC706" i="4" s="1"/>
  <c r="X706" i="4"/>
  <c r="AG732" i="4"/>
  <c r="BB732" i="4" s="1"/>
  <c r="BC732" i="4" s="1"/>
  <c r="X732" i="4"/>
  <c r="X775" i="4"/>
  <c r="AG775" i="4"/>
  <c r="AH775" i="4" s="1"/>
  <c r="X778" i="4"/>
  <c r="AG778" i="4"/>
  <c r="BB778" i="4" s="1"/>
  <c r="BC794" i="4"/>
  <c r="AG808" i="4"/>
  <c r="X808" i="4"/>
  <c r="AG816" i="4"/>
  <c r="BB816" i="4" s="1"/>
  <c r="BC816" i="4" s="1"/>
  <c r="X816" i="4"/>
  <c r="X883" i="4"/>
  <c r="AG883" i="4"/>
  <c r="AH883" i="4" s="1"/>
  <c r="AZ605" i="4"/>
  <c r="AZ607" i="4"/>
  <c r="AZ610" i="4"/>
  <c r="BC611" i="4"/>
  <c r="AZ621" i="4"/>
  <c r="AZ623" i="4"/>
  <c r="AZ627" i="4"/>
  <c r="AZ630" i="4"/>
  <c r="AZ643" i="4"/>
  <c r="AZ654" i="4"/>
  <c r="AZ656" i="4"/>
  <c r="AZ663" i="4"/>
  <c r="AH672" i="4"/>
  <c r="AH679" i="4"/>
  <c r="AZ686" i="4"/>
  <c r="AH699" i="4"/>
  <c r="AH703" i="4"/>
  <c r="AZ708" i="4"/>
  <c r="AZ713" i="4"/>
  <c r="BC719" i="4"/>
  <c r="AZ720" i="4"/>
  <c r="AZ723" i="4"/>
  <c r="BC733" i="4"/>
  <c r="AZ734" i="4"/>
  <c r="AZ739" i="4"/>
  <c r="AZ755" i="4"/>
  <c r="AZ764" i="4"/>
  <c r="AZ771" i="4"/>
  <c r="AZ794" i="4"/>
  <c r="AZ799" i="4"/>
  <c r="AZ801" i="4"/>
  <c r="AZ809" i="4"/>
  <c r="AG837" i="4"/>
  <c r="AH837" i="4" s="1"/>
  <c r="X837" i="4"/>
  <c r="AZ849" i="4"/>
  <c r="AH851" i="4"/>
  <c r="AH859" i="4"/>
  <c r="X867" i="4"/>
  <c r="AZ875" i="4"/>
  <c r="X892" i="4"/>
  <c r="BC906" i="4"/>
  <c r="X921" i="4"/>
  <c r="X923" i="4"/>
  <c r="X936" i="4"/>
  <c r="X939" i="4"/>
  <c r="X948" i="4"/>
  <c r="X951" i="4"/>
  <c r="AG957" i="4"/>
  <c r="BB957" i="4" s="1"/>
  <c r="BC957" i="4" s="1"/>
  <c r="X957" i="4"/>
  <c r="AG1028" i="4"/>
  <c r="BB1028" i="4" s="1"/>
  <c r="X1028" i="4"/>
  <c r="AG1054" i="4"/>
  <c r="AH1054" i="4" s="1"/>
  <c r="X1054" i="4"/>
  <c r="AZ635" i="4"/>
  <c r="AZ651" i="4"/>
  <c r="AZ661" i="4"/>
  <c r="AZ673" i="4"/>
  <c r="AZ678" i="4"/>
  <c r="AZ747" i="4"/>
  <c r="AZ769" i="4"/>
  <c r="AZ795" i="4"/>
  <c r="AH800" i="4"/>
  <c r="AZ817" i="4"/>
  <c r="AZ819" i="4"/>
  <c r="AZ822" i="4"/>
  <c r="AZ830" i="4"/>
  <c r="AG833" i="4"/>
  <c r="AH833" i="4" s="1"/>
  <c r="AZ836" i="4"/>
  <c r="AZ840" i="4"/>
  <c r="AZ847" i="4"/>
  <c r="AG860" i="4"/>
  <c r="BB860" i="4" s="1"/>
  <c r="BC860" i="4" s="1"/>
  <c r="AG862" i="4"/>
  <c r="BB862" i="4" s="1"/>
  <c r="BC862" i="4" s="1"/>
  <c r="AG865" i="4"/>
  <c r="BB865" i="4" s="1"/>
  <c r="BC865" i="4" s="1"/>
  <c r="AZ866" i="4"/>
  <c r="AZ873" i="4"/>
  <c r="AZ886" i="4"/>
  <c r="AG901" i="4"/>
  <c r="BB901" i="4" s="1"/>
  <c r="BC901" i="4" s="1"/>
  <c r="AZ905" i="4"/>
  <c r="AZ909" i="4"/>
  <c r="AZ915" i="4"/>
  <c r="AG928" i="4"/>
  <c r="BB928" i="4" s="1"/>
  <c r="BC928" i="4" s="1"/>
  <c r="AZ941" i="4"/>
  <c r="AG947" i="4"/>
  <c r="X947" i="4"/>
  <c r="AZ960" i="4"/>
  <c r="AZ962" i="4"/>
  <c r="AJ1006" i="4"/>
  <c r="AH1047" i="4"/>
  <c r="BB1047" i="4"/>
  <c r="BC1047" i="4" s="1"/>
  <c r="BC838" i="4"/>
  <c r="X857" i="4"/>
  <c r="AG857" i="4"/>
  <c r="AH857" i="4" s="1"/>
  <c r="AH939" i="4"/>
  <c r="BB939" i="4"/>
  <c r="BC939" i="4" s="1"/>
  <c r="AG944" i="4"/>
  <c r="BB944" i="4" s="1"/>
  <c r="BC944" i="4" s="1"/>
  <c r="X944" i="4"/>
  <c r="AG1016" i="4"/>
  <c r="BB1016" i="4" s="1"/>
  <c r="BC1016" i="4" s="1"/>
  <c r="X1016" i="4"/>
  <c r="X1031" i="4"/>
  <c r="AG1031" i="4"/>
  <c r="BB1031" i="4" s="1"/>
  <c r="BC1031" i="4" s="1"/>
  <c r="AG1042" i="4"/>
  <c r="BB1042" i="4" s="1"/>
  <c r="BC1042" i="4" s="1"/>
  <c r="X1042" i="4"/>
  <c r="AZ1010" i="4"/>
  <c r="AZ1014" i="4"/>
  <c r="AZ1020" i="4"/>
  <c r="AZ1023" i="4"/>
  <c r="AZ1026" i="4"/>
  <c r="AZ1033" i="4"/>
  <c r="AZ1036" i="4"/>
  <c r="AZ1039" i="4"/>
  <c r="AZ1044" i="4"/>
  <c r="AZ1051" i="4"/>
  <c r="AZ1057" i="4"/>
  <c r="AZ1059" i="4"/>
  <c r="AZ1062" i="4"/>
  <c r="AZ1064" i="4"/>
  <c r="AZ1066" i="4"/>
  <c r="AZ812" i="4"/>
  <c r="BC817" i="4"/>
  <c r="BC823" i="4"/>
  <c r="AZ825" i="4"/>
  <c r="AZ827" i="4"/>
  <c r="AZ831" i="4"/>
  <c r="AZ838" i="4"/>
  <c r="AZ845" i="4"/>
  <c r="BC850" i="4"/>
  <c r="AZ865" i="4"/>
  <c r="AZ867" i="4"/>
  <c r="BC870" i="4"/>
  <c r="AZ871" i="4"/>
  <c r="AZ881" i="4"/>
  <c r="AZ888" i="4"/>
  <c r="BC910" i="4"/>
  <c r="AZ911" i="4"/>
  <c r="AZ917" i="4"/>
  <c r="BC922" i="4"/>
  <c r="AZ930" i="4"/>
  <c r="AZ933" i="4"/>
  <c r="AH937" i="4"/>
  <c r="AZ938" i="4"/>
  <c r="AZ945" i="4"/>
  <c r="AZ950" i="4"/>
  <c r="AZ955" i="4"/>
  <c r="AZ958" i="4"/>
  <c r="AZ964" i="4"/>
  <c r="AZ974" i="4"/>
  <c r="AH985" i="4"/>
  <c r="AZ986" i="4"/>
  <c r="AZ987" i="4"/>
  <c r="AZ994" i="4"/>
  <c r="AZ995" i="4"/>
  <c r="AZ997" i="4"/>
  <c r="AZ1003" i="4"/>
  <c r="AZ1008" i="4"/>
  <c r="AZ1012" i="4"/>
  <c r="AZ1016" i="4"/>
  <c r="AZ1027" i="4"/>
  <c r="AZ1029" i="4"/>
  <c r="AZ1031" i="4"/>
  <c r="AZ1032" i="4"/>
  <c r="AZ1035" i="4"/>
  <c r="Q1006" i="4"/>
  <c r="AG1038" i="4"/>
  <c r="BB1038" i="4" s="1"/>
  <c r="BB1039" i="4"/>
  <c r="BC1039" i="4" s="1"/>
  <c r="AZ1040" i="4"/>
  <c r="AZ1043" i="4"/>
  <c r="AZ1048" i="4"/>
  <c r="AZ1052" i="4"/>
  <c r="AZ1055" i="4"/>
  <c r="AH1058" i="4"/>
  <c r="AZ1061" i="4"/>
  <c r="AZ1070" i="4"/>
  <c r="AZ931" i="4"/>
  <c r="AZ943" i="4"/>
  <c r="AH945" i="4"/>
  <c r="AZ946" i="4"/>
  <c r="AZ953" i="4"/>
  <c r="AZ956" i="4"/>
  <c r="AZ959" i="4"/>
  <c r="AZ965" i="4"/>
  <c r="AZ970" i="4"/>
  <c r="AZ975" i="4"/>
  <c r="AZ979" i="4"/>
  <c r="AZ980" i="4"/>
  <c r="AZ982" i="4"/>
  <c r="AZ985" i="4"/>
  <c r="AZ988" i="4"/>
  <c r="AZ990" i="4"/>
  <c r="AZ996" i="4"/>
  <c r="AZ1004" i="4"/>
  <c r="AZ1009" i="4"/>
  <c r="AZ1011" i="4"/>
  <c r="AZ1013" i="4"/>
  <c r="AZ1022" i="4"/>
  <c r="AZ1030" i="4"/>
  <c r="AZ1041" i="4"/>
  <c r="AH1043" i="4"/>
  <c r="AZ1049" i="4"/>
  <c r="AZ1053" i="4"/>
  <c r="AZ1056" i="4"/>
  <c r="BC1059" i="4"/>
  <c r="AZ11" i="4"/>
  <c r="AZ18" i="4"/>
  <c r="AR20" i="4"/>
  <c r="AZ21" i="4"/>
  <c r="AZ26" i="4"/>
  <c r="AZ30" i="4"/>
  <c r="BC33" i="4"/>
  <c r="AZ33" i="4"/>
  <c r="BC36" i="4"/>
  <c r="AZ36" i="4"/>
  <c r="AG38" i="4"/>
  <c r="BB38" i="4" s="1"/>
  <c r="AZ46" i="4"/>
  <c r="AG58" i="4"/>
  <c r="AH58" i="4" s="1"/>
  <c r="X58" i="4"/>
  <c r="BE51" i="4"/>
  <c r="AF51" i="4"/>
  <c r="AZ69" i="4"/>
  <c r="AZ90" i="4"/>
  <c r="AG96" i="4"/>
  <c r="X96" i="4"/>
  <c r="AZ105" i="4"/>
  <c r="AG107" i="4"/>
  <c r="BB107" i="4" s="1"/>
  <c r="BC107" i="4" s="1"/>
  <c r="X107" i="4"/>
  <c r="AG211" i="4"/>
  <c r="X211" i="4"/>
  <c r="AG60" i="4"/>
  <c r="BB60" i="4" s="1"/>
  <c r="AZ64" i="4"/>
  <c r="AG71" i="4"/>
  <c r="BB71" i="4" s="1"/>
  <c r="BC71" i="4" s="1"/>
  <c r="X71" i="4"/>
  <c r="AZ78" i="4"/>
  <c r="AZ81" i="4"/>
  <c r="AZ83" i="4"/>
  <c r="AG92" i="4"/>
  <c r="X92" i="4"/>
  <c r="AZ97" i="4"/>
  <c r="AZ100" i="4"/>
  <c r="X105" i="4"/>
  <c r="AG105" i="4"/>
  <c r="BB105" i="4" s="1"/>
  <c r="X163" i="4"/>
  <c r="AG163" i="4"/>
  <c r="AH163" i="4" s="1"/>
  <c r="AG200" i="4"/>
  <c r="X200" i="4"/>
  <c r="AG215" i="4"/>
  <c r="AH215" i="4" s="1"/>
  <c r="X215" i="4"/>
  <c r="AH15" i="4"/>
  <c r="X16" i="4"/>
  <c r="AY20" i="4"/>
  <c r="AY1080" i="4" s="1"/>
  <c r="AH24" i="4"/>
  <c r="X28" i="4"/>
  <c r="AE20" i="4"/>
  <c r="X32" i="4"/>
  <c r="X35" i="4"/>
  <c r="BC43" i="4"/>
  <c r="X44" i="4"/>
  <c r="X50" i="4"/>
  <c r="AG88" i="4"/>
  <c r="X88" i="4"/>
  <c r="AG131" i="4"/>
  <c r="AH131" i="4" s="1"/>
  <c r="X131" i="4"/>
  <c r="X154" i="4"/>
  <c r="AG154" i="4"/>
  <c r="BB154" i="4" s="1"/>
  <c r="BC154" i="4" s="1"/>
  <c r="AG184" i="4"/>
  <c r="X184" i="4"/>
  <c r="R177" i="4"/>
  <c r="R1082" i="4" s="1"/>
  <c r="X1082" i="4" s="1"/>
  <c r="AG204" i="4"/>
  <c r="AH204" i="4" s="1"/>
  <c r="X204" i="4"/>
  <c r="AR9" i="4"/>
  <c r="AZ10" i="4"/>
  <c r="AG11" i="4"/>
  <c r="AH11" i="4" s="1"/>
  <c r="AZ14" i="4"/>
  <c r="X15" i="4"/>
  <c r="AZ17" i="4"/>
  <c r="BC19" i="4"/>
  <c r="AZ19" i="4"/>
  <c r="AZ23" i="4"/>
  <c r="X24" i="4"/>
  <c r="AZ25" i="4"/>
  <c r="X27" i="4"/>
  <c r="AZ37" i="4"/>
  <c r="AZ42" i="4"/>
  <c r="X43" i="4"/>
  <c r="AZ45" i="4"/>
  <c r="BC47" i="4"/>
  <c r="AZ47" i="4"/>
  <c r="X48" i="4"/>
  <c r="AZ49" i="4"/>
  <c r="AZ52" i="4"/>
  <c r="R51" i="4"/>
  <c r="AY51" i="4"/>
  <c r="AG56" i="4"/>
  <c r="BB56" i="4" s="1"/>
  <c r="X62" i="4"/>
  <c r="AZ68" i="4"/>
  <c r="BC74" i="4"/>
  <c r="AZ74" i="4"/>
  <c r="AZ77" i="4"/>
  <c r="AG86" i="4"/>
  <c r="AH86" i="4" s="1"/>
  <c r="X86" i="4"/>
  <c r="AZ89" i="4"/>
  <c r="AZ94" i="4"/>
  <c r="Q51" i="4"/>
  <c r="AG103" i="4"/>
  <c r="AH103" i="4" s="1"/>
  <c r="X103" i="4"/>
  <c r="AG117" i="4"/>
  <c r="BB117" i="4" s="1"/>
  <c r="BC117" i="4" s="1"/>
  <c r="X117" i="4"/>
  <c r="AG151" i="4"/>
  <c r="AH151" i="4" s="1"/>
  <c r="X151" i="4"/>
  <c r="AR177" i="4"/>
  <c r="AZ180" i="4"/>
  <c r="AG188" i="4"/>
  <c r="AH188" i="4" s="1"/>
  <c r="X188" i="4"/>
  <c r="AG227" i="4"/>
  <c r="X227" i="4"/>
  <c r="AZ119" i="4"/>
  <c r="AZ121" i="4"/>
  <c r="AZ124" i="4"/>
  <c r="AZ125" i="4"/>
  <c r="AZ129" i="4"/>
  <c r="AZ134" i="4"/>
  <c r="AZ136" i="4"/>
  <c r="AZ141" i="4"/>
  <c r="AZ143" i="4"/>
  <c r="AZ146" i="4"/>
  <c r="AZ148" i="4"/>
  <c r="AZ155" i="4"/>
  <c r="AZ158" i="4"/>
  <c r="AZ159" i="4"/>
  <c r="AZ161" i="4"/>
  <c r="AE156" i="4"/>
  <c r="AZ164" i="4"/>
  <c r="BC167" i="4"/>
  <c r="AZ168" i="4"/>
  <c r="AZ172" i="4"/>
  <c r="AZ173" i="4"/>
  <c r="AZ178" i="4"/>
  <c r="AZ181" i="4"/>
  <c r="AZ182" i="4"/>
  <c r="AZ186" i="4"/>
  <c r="AZ191" i="4"/>
  <c r="X192" i="4"/>
  <c r="AZ195" i="4"/>
  <c r="X196" i="4"/>
  <c r="AZ197" i="4"/>
  <c r="AZ202" i="4"/>
  <c r="AZ208" i="4"/>
  <c r="AZ213" i="4"/>
  <c r="AZ218" i="4"/>
  <c r="X219" i="4"/>
  <c r="AZ222" i="4"/>
  <c r="X223" i="4"/>
  <c r="AZ224" i="4"/>
  <c r="AZ229" i="4"/>
  <c r="AZ234" i="4"/>
  <c r="X235" i="4"/>
  <c r="AZ238" i="4"/>
  <c r="X239" i="4"/>
  <c r="AZ240" i="4"/>
  <c r="AZ245" i="4"/>
  <c r="AZ250" i="4"/>
  <c r="X251" i="4"/>
  <c r="AZ254" i="4"/>
  <c r="X255" i="4"/>
  <c r="AZ256" i="4"/>
  <c r="X261" i="4"/>
  <c r="AZ265" i="4"/>
  <c r="AZ266" i="4"/>
  <c r="X267" i="4"/>
  <c r="AZ267" i="4"/>
  <c r="AZ271" i="4"/>
  <c r="X272" i="4"/>
  <c r="AG273" i="4"/>
  <c r="BB273" i="4" s="1"/>
  <c r="AG275" i="4"/>
  <c r="AH275" i="4" s="1"/>
  <c r="AG276" i="4"/>
  <c r="AH276" i="4" s="1"/>
  <c r="AZ289" i="4"/>
  <c r="AG292" i="4"/>
  <c r="BB292" i="4" s="1"/>
  <c r="BC292" i="4" s="1"/>
  <c r="AZ293" i="4"/>
  <c r="AG296" i="4"/>
  <c r="AH296" i="4" s="1"/>
  <c r="AZ297" i="4"/>
  <c r="AG300" i="4"/>
  <c r="BB300" i="4" s="1"/>
  <c r="BC300" i="4" s="1"/>
  <c r="AZ301" i="4"/>
  <c r="AG304" i="4"/>
  <c r="AH304" i="4" s="1"/>
  <c r="AZ305" i="4"/>
  <c r="AZ308" i="4"/>
  <c r="AG311" i="4"/>
  <c r="BB311" i="4" s="1"/>
  <c r="BC311" i="4" s="1"/>
  <c r="X311" i="4"/>
  <c r="AZ313" i="4"/>
  <c r="AZ316" i="4"/>
  <c r="AG319" i="4"/>
  <c r="BB319" i="4" s="1"/>
  <c r="BC319" i="4" s="1"/>
  <c r="X319" i="4"/>
  <c r="AZ321" i="4"/>
  <c r="AZ324" i="4"/>
  <c r="AG327" i="4"/>
  <c r="BB327" i="4" s="1"/>
  <c r="BC327" i="4" s="1"/>
  <c r="X327" i="4"/>
  <c r="AZ329" i="4"/>
  <c r="AZ332" i="4"/>
  <c r="AG335" i="4"/>
  <c r="BB335" i="4" s="1"/>
  <c r="BC335" i="4" s="1"/>
  <c r="X335" i="4"/>
  <c r="AZ337" i="4"/>
  <c r="AZ340" i="4"/>
  <c r="AG343" i="4"/>
  <c r="BB343" i="4" s="1"/>
  <c r="BC343" i="4" s="1"/>
  <c r="X343" i="4"/>
  <c r="AZ345" i="4"/>
  <c r="AZ348" i="4"/>
  <c r="AG351" i="4"/>
  <c r="BB351" i="4" s="1"/>
  <c r="BC351" i="4" s="1"/>
  <c r="X351" i="4"/>
  <c r="AZ353" i="4"/>
  <c r="BC355" i="4"/>
  <c r="AG360" i="4"/>
  <c r="BB360" i="4" s="1"/>
  <c r="BC360" i="4" s="1"/>
  <c r="X361" i="4"/>
  <c r="AZ365" i="4"/>
  <c r="BA366" i="4"/>
  <c r="BC371" i="4"/>
  <c r="AG376" i="4"/>
  <c r="BB376" i="4" s="1"/>
  <c r="BC376" i="4" s="1"/>
  <c r="X377" i="4"/>
  <c r="AZ381" i="4"/>
  <c r="BA382" i="4"/>
  <c r="BC387" i="4"/>
  <c r="AG392" i="4"/>
  <c r="AH392" i="4" s="1"/>
  <c r="X393" i="4"/>
  <c r="AZ397" i="4"/>
  <c r="BA398" i="4"/>
  <c r="BC403" i="4"/>
  <c r="AG408" i="4"/>
  <c r="AH408" i="4" s="1"/>
  <c r="X409" i="4"/>
  <c r="AZ413" i="4"/>
  <c r="BA414" i="4"/>
  <c r="BC419" i="4"/>
  <c r="AG424" i="4"/>
  <c r="BB424" i="4" s="1"/>
  <c r="BC424" i="4" s="1"/>
  <c r="X425" i="4"/>
  <c r="AZ429" i="4"/>
  <c r="BA430" i="4"/>
  <c r="BC435" i="4"/>
  <c r="AG440" i="4"/>
  <c r="AH440" i="4" s="1"/>
  <c r="X441" i="4"/>
  <c r="AG446" i="4"/>
  <c r="AH446" i="4" s="1"/>
  <c r="X447" i="4"/>
  <c r="AZ451" i="4"/>
  <c r="BA452" i="4"/>
  <c r="BC457" i="4"/>
  <c r="X468" i="4"/>
  <c r="AG468" i="4"/>
  <c r="BB468" i="4" s="1"/>
  <c r="BC468" i="4" s="1"/>
  <c r="X472" i="4"/>
  <c r="AG472" i="4"/>
  <c r="BB472" i="4" s="1"/>
  <c r="BC472" i="4" s="1"/>
  <c r="X497" i="4"/>
  <c r="AG497" i="4"/>
  <c r="BB497" i="4" s="1"/>
  <c r="BC497" i="4" s="1"/>
  <c r="X505" i="4"/>
  <c r="AG505" i="4"/>
  <c r="BB505" i="4" s="1"/>
  <c r="BC505" i="4" s="1"/>
  <c r="X510" i="4"/>
  <c r="AG510" i="4"/>
  <c r="BB510" i="4" s="1"/>
  <c r="BC510" i="4" s="1"/>
  <c r="X517" i="4"/>
  <c r="AG519" i="4"/>
  <c r="BB519" i="4" s="1"/>
  <c r="X519" i="4"/>
  <c r="X546" i="4"/>
  <c r="AZ552" i="4"/>
  <c r="AG574" i="4"/>
  <c r="BB574" i="4" s="1"/>
  <c r="BC574" i="4" s="1"/>
  <c r="X574" i="4"/>
  <c r="AG638" i="4"/>
  <c r="BB638" i="4" s="1"/>
  <c r="BC638" i="4" s="1"/>
  <c r="X638" i="4"/>
  <c r="AG654" i="4"/>
  <c r="BB654" i="4" s="1"/>
  <c r="BC654" i="4" s="1"/>
  <c r="X654" i="4"/>
  <c r="AG682" i="4"/>
  <c r="AH682" i="4" s="1"/>
  <c r="X682" i="4"/>
  <c r="AH707" i="4"/>
  <c r="BA707" i="4"/>
  <c r="BC707" i="4" s="1"/>
  <c r="AG759" i="4"/>
  <c r="BB759" i="4" s="1"/>
  <c r="BC759" i="4" s="1"/>
  <c r="X759" i="4"/>
  <c r="AG769" i="4"/>
  <c r="BB769" i="4" s="1"/>
  <c r="X769" i="4"/>
  <c r="X787" i="4"/>
  <c r="AG787" i="4"/>
  <c r="BB787" i="4" s="1"/>
  <c r="AG830" i="4"/>
  <c r="X830" i="4"/>
  <c r="X836" i="4"/>
  <c r="AG836" i="4"/>
  <c r="AH836" i="4" s="1"/>
  <c r="X853" i="4"/>
  <c r="AG853" i="4"/>
  <c r="AH853" i="4" s="1"/>
  <c r="X946" i="4"/>
  <c r="AG946" i="4"/>
  <c r="BB946" i="4" s="1"/>
  <c r="AG956" i="4"/>
  <c r="AH956" i="4" s="1"/>
  <c r="X956" i="4"/>
  <c r="AG959" i="4"/>
  <c r="BB959" i="4" s="1"/>
  <c r="X959" i="4"/>
  <c r="AE260" i="4"/>
  <c r="AR287" i="4"/>
  <c r="AZ288" i="4"/>
  <c r="BA290" i="4"/>
  <c r="BA294" i="4"/>
  <c r="BA298" i="4"/>
  <c r="BA302" i="4"/>
  <c r="BA306" i="4"/>
  <c r="BA314" i="4"/>
  <c r="BA322" i="4"/>
  <c r="BA330" i="4"/>
  <c r="BA338" i="4"/>
  <c r="BA346" i="4"/>
  <c r="BA354" i="4"/>
  <c r="BC354" i="4" s="1"/>
  <c r="BA370" i="4"/>
  <c r="BA386" i="4"/>
  <c r="BA402" i="4"/>
  <c r="BA418" i="4"/>
  <c r="BA434" i="4"/>
  <c r="BA456" i="4"/>
  <c r="AG478" i="4"/>
  <c r="BB478" i="4" s="1"/>
  <c r="X478" i="4"/>
  <c r="AG482" i="4"/>
  <c r="BB482" i="4" s="1"/>
  <c r="X482" i="4"/>
  <c r="AG486" i="4"/>
  <c r="BB486" i="4" s="1"/>
  <c r="X486" i="4"/>
  <c r="AG490" i="4"/>
  <c r="BB490" i="4" s="1"/>
  <c r="X490" i="4"/>
  <c r="AG514" i="4"/>
  <c r="BB514" i="4" s="1"/>
  <c r="BC514" i="4" s="1"/>
  <c r="X514" i="4"/>
  <c r="AG522" i="4"/>
  <c r="BB522" i="4" s="1"/>
  <c r="X522" i="4"/>
  <c r="AG589" i="4"/>
  <c r="BB589" i="4" s="1"/>
  <c r="BC589" i="4" s="1"/>
  <c r="X589" i="4"/>
  <c r="X626" i="4"/>
  <c r="AG626" i="4"/>
  <c r="AH626" i="4" s="1"/>
  <c r="AG642" i="4"/>
  <c r="BB642" i="4" s="1"/>
  <c r="BC642" i="4" s="1"/>
  <c r="X642" i="4"/>
  <c r="AG656" i="4"/>
  <c r="X656" i="4"/>
  <c r="X663" i="4"/>
  <c r="AG663" i="4"/>
  <c r="BB663" i="4" s="1"/>
  <c r="BC663" i="4" s="1"/>
  <c r="AG686" i="4"/>
  <c r="X686" i="4"/>
  <c r="X705" i="4"/>
  <c r="AG705" i="4"/>
  <c r="AH705" i="4" s="1"/>
  <c r="AH52" i="4"/>
  <c r="BB52" i="4"/>
  <c r="AH54" i="4"/>
  <c r="AZ54" i="4"/>
  <c r="AZ57" i="4"/>
  <c r="AZ59" i="4"/>
  <c r="AZ66" i="4"/>
  <c r="BC67" i="4"/>
  <c r="AZ67" i="4"/>
  <c r="AZ70" i="4"/>
  <c r="AZ72" i="4"/>
  <c r="AZ76" i="4"/>
  <c r="AH82" i="4"/>
  <c r="AZ82" i="4"/>
  <c r="AZ85" i="4"/>
  <c r="AZ86" i="4"/>
  <c r="AZ87" i="4"/>
  <c r="AZ91" i="4"/>
  <c r="AZ95" i="4"/>
  <c r="AZ98" i="4"/>
  <c r="AH99" i="4"/>
  <c r="AZ99" i="4"/>
  <c r="AZ102" i="4"/>
  <c r="AZ104" i="4"/>
  <c r="AZ107" i="4"/>
  <c r="AZ111" i="4"/>
  <c r="AZ113" i="4"/>
  <c r="AZ116" i="4"/>
  <c r="AZ118" i="4"/>
  <c r="BB121" i="4"/>
  <c r="BC121" i="4" s="1"/>
  <c r="AZ122" i="4"/>
  <c r="AH127" i="4"/>
  <c r="AZ127" i="4"/>
  <c r="BC128" i="4"/>
  <c r="AZ130" i="4"/>
  <c r="AZ132" i="4"/>
  <c r="AG138" i="4"/>
  <c r="AH138" i="4" s="1"/>
  <c r="AH139" i="4"/>
  <c r="AZ139" i="4"/>
  <c r="BC140" i="4"/>
  <c r="AZ145" i="4"/>
  <c r="AZ150" i="4"/>
  <c r="AZ152" i="4"/>
  <c r="BE156" i="4"/>
  <c r="BC158" i="4"/>
  <c r="BB159" i="4"/>
  <c r="BC159" i="4" s="1"/>
  <c r="AZ163" i="4"/>
  <c r="AZ165" i="4"/>
  <c r="AZ167" i="4"/>
  <c r="AZ169" i="4"/>
  <c r="AZ170" i="4"/>
  <c r="AZ175" i="4"/>
  <c r="AY177" i="4"/>
  <c r="AY1082" i="4" s="1"/>
  <c r="BC180" i="4"/>
  <c r="AZ183" i="4"/>
  <c r="BC185" i="4"/>
  <c r="AZ187" i="4"/>
  <c r="AZ189" i="4"/>
  <c r="AZ194" i="4"/>
  <c r="AZ199" i="4"/>
  <c r="BC201" i="4"/>
  <c r="AZ203" i="4"/>
  <c r="AZ205" i="4"/>
  <c r="AZ207" i="4"/>
  <c r="AZ210" i="4"/>
  <c r="BC212" i="4"/>
  <c r="AZ214" i="4"/>
  <c r="AZ216" i="4"/>
  <c r="BC219" i="4"/>
  <c r="AZ221" i="4"/>
  <c r="AZ226" i="4"/>
  <c r="BC228" i="4"/>
  <c r="AZ230" i="4"/>
  <c r="X231" i="4"/>
  <c r="AZ232" i="4"/>
  <c r="BC235" i="4"/>
  <c r="AZ237" i="4"/>
  <c r="AZ242" i="4"/>
  <c r="X243" i="4"/>
  <c r="BC244" i="4"/>
  <c r="AZ246" i="4"/>
  <c r="X247" i="4"/>
  <c r="AZ248" i="4"/>
  <c r="AZ253" i="4"/>
  <c r="X259" i="4"/>
  <c r="X269" i="4"/>
  <c r="AZ269" i="4"/>
  <c r="AH270" i="4"/>
  <c r="AZ270" i="4"/>
  <c r="AZ274" i="4"/>
  <c r="AZ276" i="4"/>
  <c r="AZ277" i="4"/>
  <c r="AZ279" i="4"/>
  <c r="AZ281" i="4"/>
  <c r="AZ283" i="4"/>
  <c r="AZ285" i="4"/>
  <c r="AG290" i="4"/>
  <c r="BB290" i="4" s="1"/>
  <c r="AZ291" i="4"/>
  <c r="AG294" i="4"/>
  <c r="BB294" i="4" s="1"/>
  <c r="AZ295" i="4"/>
  <c r="AG298" i="4"/>
  <c r="BB298" i="4" s="1"/>
  <c r="AZ299" i="4"/>
  <c r="AG302" i="4"/>
  <c r="BB302" i="4" s="1"/>
  <c r="AG307" i="4"/>
  <c r="BB307" i="4" s="1"/>
  <c r="BC307" i="4" s="1"/>
  <c r="X307" i="4"/>
  <c r="AZ309" i="4"/>
  <c r="AZ312" i="4"/>
  <c r="AG315" i="4"/>
  <c r="BB315" i="4" s="1"/>
  <c r="BC315" i="4" s="1"/>
  <c r="X315" i="4"/>
  <c r="AZ317" i="4"/>
  <c r="AZ320" i="4"/>
  <c r="AG323" i="4"/>
  <c r="BB323" i="4" s="1"/>
  <c r="BC323" i="4" s="1"/>
  <c r="X323" i="4"/>
  <c r="AZ325" i="4"/>
  <c r="AZ328" i="4"/>
  <c r="AG331" i="4"/>
  <c r="BB331" i="4" s="1"/>
  <c r="BC331" i="4" s="1"/>
  <c r="X331" i="4"/>
  <c r="AZ333" i="4"/>
  <c r="AZ336" i="4"/>
  <c r="AG339" i="4"/>
  <c r="BB339" i="4" s="1"/>
  <c r="BC339" i="4" s="1"/>
  <c r="X339" i="4"/>
  <c r="AZ341" i="4"/>
  <c r="AZ344" i="4"/>
  <c r="AG347" i="4"/>
  <c r="BB347" i="4" s="1"/>
  <c r="BC347" i="4" s="1"/>
  <c r="X347" i="4"/>
  <c r="AZ349" i="4"/>
  <c r="AZ352" i="4"/>
  <c r="AZ357" i="4"/>
  <c r="BA358" i="4"/>
  <c r="BC363" i="4"/>
  <c r="AG368" i="4"/>
  <c r="AH368" i="4" s="1"/>
  <c r="X369" i="4"/>
  <c r="AZ373" i="4"/>
  <c r="BA374" i="4"/>
  <c r="BC379" i="4"/>
  <c r="AG384" i="4"/>
  <c r="AH384" i="4" s="1"/>
  <c r="X385" i="4"/>
  <c r="AZ389" i="4"/>
  <c r="BA390" i="4"/>
  <c r="BC395" i="4"/>
  <c r="AG400" i="4"/>
  <c r="BB400" i="4" s="1"/>
  <c r="BC400" i="4" s="1"/>
  <c r="X401" i="4"/>
  <c r="AZ405" i="4"/>
  <c r="BA406" i="4"/>
  <c r="BC411" i="4"/>
  <c r="AG416" i="4"/>
  <c r="AH416" i="4" s="1"/>
  <c r="X417" i="4"/>
  <c r="AZ421" i="4"/>
  <c r="BA422" i="4"/>
  <c r="BC427" i="4"/>
  <c r="AG432" i="4"/>
  <c r="AH432" i="4" s="1"/>
  <c r="X433" i="4"/>
  <c r="AZ437" i="4"/>
  <c r="BA438" i="4"/>
  <c r="BC444" i="4"/>
  <c r="R445" i="4"/>
  <c r="BC449" i="4"/>
  <c r="AG454" i="4"/>
  <c r="BB454" i="4" s="1"/>
  <c r="BC454" i="4" s="1"/>
  <c r="X455" i="4"/>
  <c r="AY458" i="4"/>
  <c r="AZ460" i="4"/>
  <c r="AZ462" i="4"/>
  <c r="AZ474" i="4"/>
  <c r="AG475" i="4"/>
  <c r="BB475" i="4" s="1"/>
  <c r="BC475" i="4" s="1"/>
  <c r="X475" i="4"/>
  <c r="X479" i="4"/>
  <c r="AG479" i="4"/>
  <c r="BB479" i="4" s="1"/>
  <c r="BC479" i="4" s="1"/>
  <c r="X483" i="4"/>
  <c r="AG483" i="4"/>
  <c r="BB483" i="4" s="1"/>
  <c r="BC483" i="4" s="1"/>
  <c r="X487" i="4"/>
  <c r="AG487" i="4"/>
  <c r="BB487" i="4" s="1"/>
  <c r="BC487" i="4" s="1"/>
  <c r="AG493" i="4"/>
  <c r="BB493" i="4" s="1"/>
  <c r="X493" i="4"/>
  <c r="AZ494" i="4"/>
  <c r="AZ498" i="4"/>
  <c r="AZ499" i="4"/>
  <c r="AZ500" i="4"/>
  <c r="AZ501" i="4"/>
  <c r="AZ506" i="4"/>
  <c r="AG526" i="4"/>
  <c r="BB526" i="4" s="1"/>
  <c r="R525" i="4"/>
  <c r="R1085" i="4" s="1"/>
  <c r="X1085" i="4" s="1"/>
  <c r="AZ535" i="4"/>
  <c r="AG536" i="4"/>
  <c r="BB536" i="4" s="1"/>
  <c r="X536" i="4"/>
  <c r="AG541" i="4"/>
  <c r="BB541" i="4" s="1"/>
  <c r="BC541" i="4" s="1"/>
  <c r="X541" i="4"/>
  <c r="AG545" i="4"/>
  <c r="BB545" i="4" s="1"/>
  <c r="BC545" i="4" s="1"/>
  <c r="X545" i="4"/>
  <c r="AG559" i="4"/>
  <c r="BB559" i="4" s="1"/>
  <c r="BC559" i="4" s="1"/>
  <c r="X559" i="4"/>
  <c r="X577" i="4"/>
  <c r="AG577" i="4"/>
  <c r="BB577" i="4" s="1"/>
  <c r="X593" i="4"/>
  <c r="AG593" i="4"/>
  <c r="BB593" i="4" s="1"/>
  <c r="AG646" i="4"/>
  <c r="BB646" i="4" s="1"/>
  <c r="BC646" i="4" s="1"/>
  <c r="X646" i="4"/>
  <c r="AG710" i="4"/>
  <c r="BB710" i="4" s="1"/>
  <c r="BC710" i="4" s="1"/>
  <c r="X710" i="4"/>
  <c r="X764" i="4"/>
  <c r="AG764" i="4"/>
  <c r="BB764" i="4" s="1"/>
  <c r="BC764" i="4" s="1"/>
  <c r="AG789" i="4"/>
  <c r="BB789" i="4" s="1"/>
  <c r="BC789" i="4" s="1"/>
  <c r="X789" i="4"/>
  <c r="AG793" i="4"/>
  <c r="X793" i="4"/>
  <c r="AG902" i="4"/>
  <c r="BB902" i="4" s="1"/>
  <c r="BC902" i="4" s="1"/>
  <c r="X902" i="4"/>
  <c r="AZ109" i="4"/>
  <c r="AZ110" i="4"/>
  <c r="AZ112" i="4"/>
  <c r="BC114" i="4"/>
  <c r="AZ126" i="4"/>
  <c r="AZ128" i="4"/>
  <c r="AZ133" i="4"/>
  <c r="AZ135" i="4"/>
  <c r="BC136" i="4"/>
  <c r="AZ138" i="4"/>
  <c r="AZ140" i="4"/>
  <c r="AG146" i="4"/>
  <c r="BB146" i="4" s="1"/>
  <c r="BC146" i="4" s="1"/>
  <c r="AZ147" i="4"/>
  <c r="BC148" i="4"/>
  <c r="AZ153" i="4"/>
  <c r="AZ157" i="4"/>
  <c r="Q156" i="4"/>
  <c r="AZ160" i="4"/>
  <c r="AZ166" i="4"/>
  <c r="AZ171" i="4"/>
  <c r="AG178" i="4"/>
  <c r="BB178" i="4" s="1"/>
  <c r="BC178" i="4" s="1"/>
  <c r="AG179" i="4"/>
  <c r="AH179" i="4" s="1"/>
  <c r="AJ177" i="4"/>
  <c r="BC189" i="4"/>
  <c r="BC205" i="4"/>
  <c r="BC216" i="4"/>
  <c r="BC232" i="4"/>
  <c r="BB243" i="4"/>
  <c r="BC243" i="4" s="1"/>
  <c r="BC248" i="4"/>
  <c r="Q260" i="4"/>
  <c r="Q1083" i="4" s="1"/>
  <c r="BE260" i="4"/>
  <c r="BE1083" i="4" s="1"/>
  <c r="BC293" i="4"/>
  <c r="BC297" i="4"/>
  <c r="BC301" i="4"/>
  <c r="BA310" i="4"/>
  <c r="BA318" i="4"/>
  <c r="BA326" i="4"/>
  <c r="BA334" i="4"/>
  <c r="BA342" i="4"/>
  <c r="BA350" i="4"/>
  <c r="BA362" i="4"/>
  <c r="BA378" i="4"/>
  <c r="BA394" i="4"/>
  <c r="BA410" i="4"/>
  <c r="BA426" i="4"/>
  <c r="BA443" i="4"/>
  <c r="BA448" i="4"/>
  <c r="X462" i="4"/>
  <c r="AG462" i="4"/>
  <c r="BB462" i="4" s="1"/>
  <c r="BE458" i="4"/>
  <c r="BC466" i="4"/>
  <c r="AG467" i="4"/>
  <c r="BB467" i="4" s="1"/>
  <c r="BC467" i="4" s="1"/>
  <c r="X467" i="4"/>
  <c r="AG471" i="4"/>
  <c r="BB471" i="4" s="1"/>
  <c r="BC471" i="4" s="1"/>
  <c r="X471" i="4"/>
  <c r="AG491" i="4"/>
  <c r="BB491" i="4" s="1"/>
  <c r="BC491" i="4" s="1"/>
  <c r="X491" i="4"/>
  <c r="X494" i="4"/>
  <c r="AG494" i="4"/>
  <c r="BB494" i="4" s="1"/>
  <c r="BC494" i="4" s="1"/>
  <c r="AG504" i="4"/>
  <c r="BB504" i="4" s="1"/>
  <c r="X504" i="4"/>
  <c r="AG509" i="4"/>
  <c r="BB509" i="4" s="1"/>
  <c r="BC509" i="4" s="1"/>
  <c r="X509" i="4"/>
  <c r="AG513" i="4"/>
  <c r="BB513" i="4" s="1"/>
  <c r="BC513" i="4" s="1"/>
  <c r="X513" i="4"/>
  <c r="X544" i="4"/>
  <c r="AH546" i="4"/>
  <c r="BB546" i="4"/>
  <c r="BC546" i="4" s="1"/>
  <c r="AG550" i="4"/>
  <c r="X550" i="4"/>
  <c r="AG563" i="4"/>
  <c r="BB563" i="4" s="1"/>
  <c r="BC563" i="4" s="1"/>
  <c r="X563" i="4"/>
  <c r="AG591" i="4"/>
  <c r="BB591" i="4" s="1"/>
  <c r="BC591" i="4" s="1"/>
  <c r="X591" i="4"/>
  <c r="X625" i="4"/>
  <c r="AG625" i="4"/>
  <c r="AH625" i="4" s="1"/>
  <c r="AG634" i="4"/>
  <c r="BB634" i="4" s="1"/>
  <c r="BC634" i="4" s="1"/>
  <c r="X634" i="4"/>
  <c r="AG650" i="4"/>
  <c r="BB650" i="4" s="1"/>
  <c r="BC650" i="4" s="1"/>
  <c r="X650" i="4"/>
  <c r="BC669" i="4"/>
  <c r="BC756" i="4"/>
  <c r="X799" i="4"/>
  <c r="AG799" i="4"/>
  <c r="BB799" i="4" s="1"/>
  <c r="BC799" i="4" s="1"/>
  <c r="X873" i="4"/>
  <c r="AG873" i="4"/>
  <c r="BB873" i="4" s="1"/>
  <c r="BC873" i="4" s="1"/>
  <c r="X1067" i="4"/>
  <c r="AG1067" i="4"/>
  <c r="BB1067" i="4" s="1"/>
  <c r="AZ556" i="4"/>
  <c r="AZ558" i="4"/>
  <c r="AZ562" i="4"/>
  <c r="AZ565" i="4"/>
  <c r="AZ569" i="4"/>
  <c r="AZ571" i="4"/>
  <c r="AZ576" i="4"/>
  <c r="AZ579" i="4"/>
  <c r="AZ581" i="4"/>
  <c r="AZ583" i="4"/>
  <c r="AZ585" i="4"/>
  <c r="AZ588" i="4"/>
  <c r="AZ590" i="4"/>
  <c r="AZ597" i="4"/>
  <c r="AZ622" i="4"/>
  <c r="AZ628" i="4"/>
  <c r="AZ631" i="4"/>
  <c r="AZ632" i="4"/>
  <c r="AZ637" i="4"/>
  <c r="AZ641" i="4"/>
  <c r="AZ645" i="4"/>
  <c r="AZ649" i="4"/>
  <c r="AZ653" i="4"/>
  <c r="AZ658" i="4"/>
  <c r="AZ660" i="4"/>
  <c r="AZ664" i="4"/>
  <c r="AZ667" i="4"/>
  <c r="AZ669" i="4"/>
  <c r="AZ671" i="4"/>
  <c r="AZ679" i="4"/>
  <c r="AZ684" i="4"/>
  <c r="AZ698" i="4"/>
  <c r="AZ707" i="4"/>
  <c r="AZ709" i="4"/>
  <c r="AZ714" i="4"/>
  <c r="BC715" i="4"/>
  <c r="AZ716" i="4"/>
  <c r="AZ724" i="4"/>
  <c r="BC725" i="4"/>
  <c r="AZ726" i="4"/>
  <c r="AZ733" i="4"/>
  <c r="AZ735" i="4"/>
  <c r="AZ738" i="4"/>
  <c r="AZ740" i="4"/>
  <c r="AZ742" i="4"/>
  <c r="AZ744" i="4"/>
  <c r="AZ746" i="4"/>
  <c r="AZ748" i="4"/>
  <c r="AZ750" i="4"/>
  <c r="AZ752" i="4"/>
  <c r="AZ754" i="4"/>
  <c r="AZ756" i="4"/>
  <c r="AZ760" i="4"/>
  <c r="AZ767" i="4"/>
  <c r="AZ770" i="4"/>
  <c r="AZ774" i="4"/>
  <c r="AZ776" i="4"/>
  <c r="AZ780" i="4"/>
  <c r="AZ782" i="4"/>
  <c r="AZ846" i="4"/>
  <c r="AH855" i="4"/>
  <c r="BA855" i="4"/>
  <c r="BC855" i="4" s="1"/>
  <c r="X878" i="4"/>
  <c r="AG878" i="4"/>
  <c r="AH878" i="4" s="1"/>
  <c r="BA881" i="4"/>
  <c r="AZ883" i="4"/>
  <c r="AG884" i="4"/>
  <c r="BB884" i="4" s="1"/>
  <c r="BC884" i="4" s="1"/>
  <c r="X884" i="4"/>
  <c r="X913" i="4"/>
  <c r="AG913" i="4"/>
  <c r="AH913" i="4" s="1"/>
  <c r="AG931" i="4"/>
  <c r="BB931" i="4" s="1"/>
  <c r="X931" i="4"/>
  <c r="X938" i="4"/>
  <c r="AG938" i="4"/>
  <c r="BB938" i="4" s="1"/>
  <c r="AG971" i="4"/>
  <c r="BB971" i="4" s="1"/>
  <c r="BC971" i="4" s="1"/>
  <c r="X971" i="4"/>
  <c r="AF1006" i="4"/>
  <c r="AZ1017" i="4"/>
  <c r="BC1024" i="4"/>
  <c r="AZ1038" i="4"/>
  <c r="AZ1050" i="4"/>
  <c r="AZ1054" i="4"/>
  <c r="AE445" i="4"/>
  <c r="AJ458" i="4"/>
  <c r="AZ466" i="4"/>
  <c r="AZ470" i="4"/>
  <c r="AZ475" i="4"/>
  <c r="AZ476" i="4"/>
  <c r="AZ477" i="4"/>
  <c r="AZ481" i="4"/>
  <c r="AZ485" i="4"/>
  <c r="AZ489" i="4"/>
  <c r="AZ491" i="4"/>
  <c r="AZ492" i="4"/>
  <c r="BC511" i="4"/>
  <c r="AZ528" i="4"/>
  <c r="AJ525" i="4"/>
  <c r="AJ1085" i="4" s="1"/>
  <c r="BE525" i="4"/>
  <c r="BE1085" i="4" s="1"/>
  <c r="AZ541" i="4"/>
  <c r="AZ549" i="4"/>
  <c r="AZ553" i="4"/>
  <c r="AZ555" i="4"/>
  <c r="AZ572" i="4"/>
  <c r="AG573" i="4"/>
  <c r="BB573" i="4" s="1"/>
  <c r="AZ584" i="4"/>
  <c r="AZ655" i="4"/>
  <c r="BC657" i="4"/>
  <c r="AZ665" i="4"/>
  <c r="AZ670" i="4"/>
  <c r="BC672" i="4"/>
  <c r="AZ674" i="4"/>
  <c r="AZ676" i="4"/>
  <c r="AZ681" i="4"/>
  <c r="AZ683" i="4"/>
  <c r="AZ685" i="4"/>
  <c r="BC687" i="4"/>
  <c r="AZ690" i="4"/>
  <c r="AZ694" i="4"/>
  <c r="AZ701" i="4"/>
  <c r="AZ706" i="4"/>
  <c r="AH711" i="4"/>
  <c r="AG713" i="4"/>
  <c r="BB713" i="4" s="1"/>
  <c r="BC713" i="4" s="1"/>
  <c r="AZ715" i="4"/>
  <c r="AZ717" i="4"/>
  <c r="AZ719" i="4"/>
  <c r="AG720" i="4"/>
  <c r="AH720" i="4" s="1"/>
  <c r="AG722" i="4"/>
  <c r="AH722" i="4" s="1"/>
  <c r="AG723" i="4"/>
  <c r="AH723" i="4" s="1"/>
  <c r="AZ725" i="4"/>
  <c r="AZ727" i="4"/>
  <c r="AZ728" i="4"/>
  <c r="AG731" i="4"/>
  <c r="AH731" i="4" s="1"/>
  <c r="AZ732" i="4"/>
  <c r="AZ736" i="4"/>
  <c r="AZ741" i="4"/>
  <c r="AZ745" i="4"/>
  <c r="AZ749" i="4"/>
  <c r="AZ753" i="4"/>
  <c r="AZ757" i="4"/>
  <c r="AZ759" i="4"/>
  <c r="AZ762" i="4"/>
  <c r="AZ766" i="4"/>
  <c r="AZ768" i="4"/>
  <c r="AG772" i="4"/>
  <c r="BB772" i="4" s="1"/>
  <c r="BC772" i="4" s="1"/>
  <c r="AZ773" i="4"/>
  <c r="AZ775" i="4"/>
  <c r="AZ778" i="4"/>
  <c r="AZ783" i="4"/>
  <c r="AG785" i="4"/>
  <c r="BB785" i="4" s="1"/>
  <c r="BC785" i="4" s="1"/>
  <c r="X785" i="4"/>
  <c r="AZ791" i="4"/>
  <c r="AG796" i="4"/>
  <c r="AH796" i="4" s="1"/>
  <c r="AH797" i="4"/>
  <c r="BB797" i="4"/>
  <c r="AZ797" i="4"/>
  <c r="X840" i="4"/>
  <c r="AG840" i="4"/>
  <c r="BB840" i="4" s="1"/>
  <c r="BC840" i="4" s="1"/>
  <c r="AZ857" i="4"/>
  <c r="AG858" i="4"/>
  <c r="BB858" i="4" s="1"/>
  <c r="BC858" i="4" s="1"/>
  <c r="X858" i="4"/>
  <c r="X879" i="4"/>
  <c r="AG879" i="4"/>
  <c r="AH879" i="4" s="1"/>
  <c r="BC887" i="4"/>
  <c r="AZ889" i="4"/>
  <c r="X924" i="4"/>
  <c r="AG924" i="4"/>
  <c r="BB924" i="4" s="1"/>
  <c r="BC924" i="4" s="1"/>
  <c r="AG929" i="4"/>
  <c r="BB929" i="4" s="1"/>
  <c r="BC929" i="4" s="1"/>
  <c r="X929" i="4"/>
  <c r="AG941" i="4"/>
  <c r="BB941" i="4" s="1"/>
  <c r="BC941" i="4" s="1"/>
  <c r="X941" i="4"/>
  <c r="AZ942" i="4"/>
  <c r="X954" i="4"/>
  <c r="AG954" i="4"/>
  <c r="BB954" i="4" s="1"/>
  <c r="AZ966" i="4"/>
  <c r="X967" i="4"/>
  <c r="AG967" i="4"/>
  <c r="BB967" i="4" s="1"/>
  <c r="BC967" i="4" s="1"/>
  <c r="AG975" i="4"/>
  <c r="BB975" i="4" s="1"/>
  <c r="BC975" i="4" s="1"/>
  <c r="X975" i="4"/>
  <c r="AZ1007" i="4"/>
  <c r="AG1013" i="4"/>
  <c r="X1013" i="4"/>
  <c r="AZ1018" i="4"/>
  <c r="AZ1025" i="4"/>
  <c r="X1029" i="4"/>
  <c r="AG1029" i="4"/>
  <c r="BB1029" i="4" s="1"/>
  <c r="BC1036" i="4"/>
  <c r="AZ1046" i="4"/>
  <c r="X1061" i="4"/>
  <c r="AG1061" i="4"/>
  <c r="BB1061" i="4" s="1"/>
  <c r="BC1061" i="4" s="1"/>
  <c r="BC1066" i="4"/>
  <c r="BC305" i="4"/>
  <c r="AZ306" i="4"/>
  <c r="AZ310" i="4"/>
  <c r="AZ314" i="4"/>
  <c r="BC317" i="4"/>
  <c r="AZ318" i="4"/>
  <c r="BC321" i="4"/>
  <c r="AZ322" i="4"/>
  <c r="BC325" i="4"/>
  <c r="AZ326" i="4"/>
  <c r="BC329" i="4"/>
  <c r="AZ330" i="4"/>
  <c r="BC333" i="4"/>
  <c r="AZ334" i="4"/>
  <c r="BC337" i="4"/>
  <c r="AZ338" i="4"/>
  <c r="AZ342" i="4"/>
  <c r="AZ346" i="4"/>
  <c r="BC349" i="4"/>
  <c r="AZ350" i="4"/>
  <c r="BC353" i="4"/>
  <c r="AZ354" i="4"/>
  <c r="X355" i="4"/>
  <c r="BC357" i="4"/>
  <c r="AZ358" i="4"/>
  <c r="X359" i="4"/>
  <c r="BC361" i="4"/>
  <c r="AZ362" i="4"/>
  <c r="X363" i="4"/>
  <c r="BC365" i="4"/>
  <c r="AZ366" i="4"/>
  <c r="X367" i="4"/>
  <c r="BC369" i="4"/>
  <c r="AZ370" i="4"/>
  <c r="X371" i="4"/>
  <c r="BC373" i="4"/>
  <c r="AZ374" i="4"/>
  <c r="X375" i="4"/>
  <c r="BC377" i="4"/>
  <c r="AZ378" i="4"/>
  <c r="X379" i="4"/>
  <c r="BC381" i="4"/>
  <c r="AZ382" i="4"/>
  <c r="X383" i="4"/>
  <c r="BC385" i="4"/>
  <c r="AZ386" i="4"/>
  <c r="X387" i="4"/>
  <c r="BC389" i="4"/>
  <c r="AZ390" i="4"/>
  <c r="X391" i="4"/>
  <c r="BC393" i="4"/>
  <c r="AZ394" i="4"/>
  <c r="X395" i="4"/>
  <c r="BC397" i="4"/>
  <c r="AZ398" i="4"/>
  <c r="X399" i="4"/>
  <c r="BC401" i="4"/>
  <c r="AZ402" i="4"/>
  <c r="X403" i="4"/>
  <c r="BC405" i="4"/>
  <c r="AZ406" i="4"/>
  <c r="X407" i="4"/>
  <c r="BC409" i="4"/>
  <c r="AZ410" i="4"/>
  <c r="X411" i="4"/>
  <c r="BC413" i="4"/>
  <c r="AZ414" i="4"/>
  <c r="X415" i="4"/>
  <c r="BC417" i="4"/>
  <c r="AZ418" i="4"/>
  <c r="X419" i="4"/>
  <c r="BC421" i="4"/>
  <c r="AZ422" i="4"/>
  <c r="X423" i="4"/>
  <c r="BC425" i="4"/>
  <c r="AZ426" i="4"/>
  <c r="X427" i="4"/>
  <c r="BC429" i="4"/>
  <c r="AZ430" i="4"/>
  <c r="X431" i="4"/>
  <c r="BC433" i="4"/>
  <c r="AZ434" i="4"/>
  <c r="X435" i="4"/>
  <c r="BC437" i="4"/>
  <c r="AZ438" i="4"/>
  <c r="X439" i="4"/>
  <c r="BC441" i="4"/>
  <c r="AZ443" i="4"/>
  <c r="X444" i="4"/>
  <c r="BC447" i="4"/>
  <c r="AZ448" i="4"/>
  <c r="X449" i="4"/>
  <c r="AZ452" i="4"/>
  <c r="X453" i="4"/>
  <c r="BC455" i="4"/>
  <c r="AZ456" i="4"/>
  <c r="X457" i="4"/>
  <c r="AZ459" i="4"/>
  <c r="AZ463" i="4"/>
  <c r="AZ464" i="4"/>
  <c r="AZ465" i="4"/>
  <c r="AZ469" i="4"/>
  <c r="AZ473" i="4"/>
  <c r="AZ480" i="4"/>
  <c r="AZ484" i="4"/>
  <c r="AZ488" i="4"/>
  <c r="AZ495" i="4"/>
  <c r="AZ502" i="4"/>
  <c r="AZ507" i="4"/>
  <c r="AZ511" i="4"/>
  <c r="AZ516" i="4"/>
  <c r="AZ520" i="4"/>
  <c r="X521" i="4"/>
  <c r="BB524" i="4"/>
  <c r="BC524" i="4" s="1"/>
  <c r="AZ524" i="4"/>
  <c r="AR525" i="4"/>
  <c r="AZ527" i="4"/>
  <c r="AZ529" i="4"/>
  <c r="AZ530" i="4"/>
  <c r="AZ531" i="4"/>
  <c r="AZ532" i="4"/>
  <c r="AZ533" i="4"/>
  <c r="AZ534" i="4"/>
  <c r="AZ539" i="4"/>
  <c r="AE538" i="4"/>
  <c r="AJ538" i="4"/>
  <c r="AJ1086" i="4" s="1"/>
  <c r="AY538" i="4"/>
  <c r="AY1086" i="4" s="1"/>
  <c r="AZ548" i="4"/>
  <c r="AZ551" i="4"/>
  <c r="AZ554" i="4"/>
  <c r="Q538" i="4"/>
  <c r="Q1086" i="4" s="1"/>
  <c r="AG557" i="4"/>
  <c r="BB557" i="4" s="1"/>
  <c r="X558" i="4"/>
  <c r="AZ559" i="4"/>
  <c r="AZ561" i="4"/>
  <c r="AZ563" i="4"/>
  <c r="X571" i="4"/>
  <c r="AZ574" i="4"/>
  <c r="AZ577" i="4"/>
  <c r="BC578" i="4"/>
  <c r="X579" i="4"/>
  <c r="X581" i="4"/>
  <c r="AZ589" i="4"/>
  <c r="AZ591" i="4"/>
  <c r="AZ593" i="4"/>
  <c r="X595" i="4"/>
  <c r="AZ600" i="4"/>
  <c r="AZ604" i="4"/>
  <c r="AZ608" i="4"/>
  <c r="AZ612" i="4"/>
  <c r="AZ616" i="4"/>
  <c r="AZ620" i="4"/>
  <c r="AZ624" i="4"/>
  <c r="BC629" i="4"/>
  <c r="AZ634" i="4"/>
  <c r="AZ636" i="4"/>
  <c r="AZ638" i="4"/>
  <c r="AZ640" i="4"/>
  <c r="AZ642" i="4"/>
  <c r="AZ644" i="4"/>
  <c r="AZ646" i="4"/>
  <c r="AZ648" i="4"/>
  <c r="AZ650" i="4"/>
  <c r="AZ657" i="4"/>
  <c r="AZ662" i="4"/>
  <c r="AZ666" i="4"/>
  <c r="AZ668" i="4"/>
  <c r="AG671" i="4"/>
  <c r="BB671" i="4" s="1"/>
  <c r="BC671" i="4" s="1"/>
  <c r="AZ672" i="4"/>
  <c r="AZ675" i="4"/>
  <c r="AZ677" i="4"/>
  <c r="AZ687" i="4"/>
  <c r="AZ688" i="4"/>
  <c r="AZ692" i="4"/>
  <c r="AZ696" i="4"/>
  <c r="AZ699" i="4"/>
  <c r="AZ703" i="4"/>
  <c r="AZ705" i="4"/>
  <c r="AZ710" i="4"/>
  <c r="BC711" i="4"/>
  <c r="AZ712" i="4"/>
  <c r="AH715" i="4"/>
  <c r="AG717" i="4"/>
  <c r="AH717" i="4" s="1"/>
  <c r="AZ721" i="4"/>
  <c r="AZ722" i="4"/>
  <c r="AG727" i="4"/>
  <c r="AH727" i="4" s="1"/>
  <c r="AZ729" i="4"/>
  <c r="AZ731" i="4"/>
  <c r="BC736" i="4"/>
  <c r="AZ761" i="4"/>
  <c r="AZ763" i="4"/>
  <c r="BC765" i="4"/>
  <c r="AG767" i="4"/>
  <c r="AH767" i="4" s="1"/>
  <c r="AG770" i="4"/>
  <c r="BB770" i="4" s="1"/>
  <c r="AZ772" i="4"/>
  <c r="AZ777" i="4"/>
  <c r="AZ779" i="4"/>
  <c r="AZ781" i="4"/>
  <c r="AZ784" i="4"/>
  <c r="AZ786" i="4"/>
  <c r="AZ792" i="4"/>
  <c r="AZ798" i="4"/>
  <c r="AZ800" i="4"/>
  <c r="AZ803" i="4"/>
  <c r="BC805" i="4"/>
  <c r="X807" i="4"/>
  <c r="AG807" i="4"/>
  <c r="BB807" i="4" s="1"/>
  <c r="BC807" i="4" s="1"/>
  <c r="AG831" i="4"/>
  <c r="BB831" i="4" s="1"/>
  <c r="BC831" i="4" s="1"/>
  <c r="X831" i="4"/>
  <c r="AG834" i="4"/>
  <c r="BB834" i="4" s="1"/>
  <c r="BC834" i="4" s="1"/>
  <c r="X834" i="4"/>
  <c r="AZ841" i="4"/>
  <c r="AZ862" i="4"/>
  <c r="AG863" i="4"/>
  <c r="BB863" i="4" s="1"/>
  <c r="X863" i="4"/>
  <c r="X897" i="4"/>
  <c r="AG897" i="4"/>
  <c r="BB897" i="4" s="1"/>
  <c r="BC897" i="4" s="1"/>
  <c r="AG904" i="4"/>
  <c r="BB904" i="4" s="1"/>
  <c r="X904" i="4"/>
  <c r="AG915" i="4"/>
  <c r="BB915" i="4" s="1"/>
  <c r="X915" i="4"/>
  <c r="AG949" i="4"/>
  <c r="BB949" i="4" s="1"/>
  <c r="BC949" i="4" s="1"/>
  <c r="X949" i="4"/>
  <c r="AZ998" i="4"/>
  <c r="AY1006" i="4"/>
  <c r="AG1010" i="4"/>
  <c r="BB1010" i="4" s="1"/>
  <c r="BC1010" i="4" s="1"/>
  <c r="X1010" i="4"/>
  <c r="X1053" i="4"/>
  <c r="AG1053" i="4"/>
  <c r="AH1053" i="4" s="1"/>
  <c r="AZ808" i="4"/>
  <c r="AZ811" i="4"/>
  <c r="AZ813" i="4"/>
  <c r="AZ815" i="4"/>
  <c r="AZ823" i="4"/>
  <c r="AZ824" i="4"/>
  <c r="AZ828" i="4"/>
  <c r="AZ833" i="4"/>
  <c r="AZ837" i="4"/>
  <c r="BC847" i="4"/>
  <c r="AZ848" i="4"/>
  <c r="AZ855" i="4"/>
  <c r="AZ860" i="4"/>
  <c r="AZ868" i="4"/>
  <c r="AZ872" i="4"/>
  <c r="AZ874" i="4"/>
  <c r="AZ877" i="4"/>
  <c r="AZ891" i="4"/>
  <c r="AZ892" i="4"/>
  <c r="AZ901" i="4"/>
  <c r="AZ903" i="4"/>
  <c r="AZ906" i="4"/>
  <c r="AZ908" i="4"/>
  <c r="BC918" i="4"/>
  <c r="AZ920" i="4"/>
  <c r="AZ922" i="4"/>
  <c r="AZ925" i="4"/>
  <c r="AZ927" i="4"/>
  <c r="BC934" i="4"/>
  <c r="BC936" i="4"/>
  <c r="AZ936" i="4"/>
  <c r="X937" i="4"/>
  <c r="AZ944" i="4"/>
  <c r="X945" i="4"/>
  <c r="BC952" i="4"/>
  <c r="AZ952" i="4"/>
  <c r="X953" i="4"/>
  <c r="AZ972" i="4"/>
  <c r="AH976" i="4"/>
  <c r="AZ976" i="4"/>
  <c r="X979" i="4"/>
  <c r="AZ984" i="4"/>
  <c r="X1017" i="4"/>
  <c r="X1032" i="4"/>
  <c r="X1043" i="4"/>
  <c r="X1047" i="4"/>
  <c r="X1065" i="4"/>
  <c r="AH822" i="4"/>
  <c r="AH835" i="4"/>
  <c r="BA877" i="4"/>
  <c r="AH890" i="4"/>
  <c r="BC926" i="4"/>
  <c r="AZ935" i="4"/>
  <c r="AZ940" i="4"/>
  <c r="AZ948" i="4"/>
  <c r="AG958" i="4"/>
  <c r="BB958" i="4" s="1"/>
  <c r="AG963" i="4"/>
  <c r="BB963" i="4" s="1"/>
  <c r="BC963" i="4" s="1"/>
  <c r="AG965" i="4"/>
  <c r="BB965" i="4" s="1"/>
  <c r="BC965" i="4" s="1"/>
  <c r="AH966" i="4"/>
  <c r="BB966" i="4"/>
  <c r="BC966" i="4" s="1"/>
  <c r="AZ968" i="4"/>
  <c r="AG981" i="4"/>
  <c r="BB981" i="4" s="1"/>
  <c r="BC981" i="4" s="1"/>
  <c r="AZ1024" i="4"/>
  <c r="AZ1028" i="4"/>
  <c r="BC1032" i="4"/>
  <c r="AH1036" i="4"/>
  <c r="BC1058" i="4"/>
  <c r="BC1063" i="4"/>
  <c r="AZ788" i="4"/>
  <c r="AZ790" i="4"/>
  <c r="BC801" i="4"/>
  <c r="AZ802" i="4"/>
  <c r="AZ804" i="4"/>
  <c r="AZ806" i="4"/>
  <c r="BC809" i="4"/>
  <c r="AZ810" i="4"/>
  <c r="X813" i="4"/>
  <c r="AZ816" i="4"/>
  <c r="AZ818" i="4"/>
  <c r="X820" i="4"/>
  <c r="AZ820" i="4"/>
  <c r="AZ821" i="4"/>
  <c r="X822" i="4"/>
  <c r="AZ826" i="4"/>
  <c r="AZ834" i="4"/>
  <c r="BA835" i="4"/>
  <c r="BC835" i="4" s="1"/>
  <c r="AZ839" i="4"/>
  <c r="BA843" i="4"/>
  <c r="BC843" i="4" s="1"/>
  <c r="AZ844" i="4"/>
  <c r="X846" i="4"/>
  <c r="AH847" i="4"/>
  <c r="AG849" i="4"/>
  <c r="AH849" i="4" s="1"/>
  <c r="AZ853" i="4"/>
  <c r="AZ858" i="4"/>
  <c r="BA859" i="4"/>
  <c r="BC859" i="4" s="1"/>
  <c r="AZ863" i="4"/>
  <c r="AG864" i="4"/>
  <c r="BB864" i="4" s="1"/>
  <c r="BC869" i="4"/>
  <c r="X870" i="4"/>
  <c r="AZ870" i="4"/>
  <c r="X872" i="4"/>
  <c r="AG874" i="4"/>
  <c r="BB874" i="4" s="1"/>
  <c r="BC874" i="4" s="1"/>
  <c r="AG875" i="4"/>
  <c r="AH875" i="4" s="1"/>
  <c r="AZ879" i="4"/>
  <c r="AZ884" i="4"/>
  <c r="AG885" i="4"/>
  <c r="BB885" i="4" s="1"/>
  <c r="BC885" i="4" s="1"/>
  <c r="AZ887" i="4"/>
  <c r="X889" i="4"/>
  <c r="BA890" i="4"/>
  <c r="BC890" i="4" s="1"/>
  <c r="X891" i="4"/>
  <c r="AG893" i="4"/>
  <c r="BB893" i="4" s="1"/>
  <c r="BC893" i="4" s="1"/>
  <c r="AZ897" i="4"/>
  <c r="BC898" i="4"/>
  <c r="AZ902" i="4"/>
  <c r="AZ904" i="4"/>
  <c r="X906" i="4"/>
  <c r="X908" i="4"/>
  <c r="AG909" i="4"/>
  <c r="AH909" i="4" s="1"/>
  <c r="AZ913" i="4"/>
  <c r="BC914" i="4"/>
  <c r="AZ916" i="4"/>
  <c r="X917" i="4"/>
  <c r="AZ918" i="4"/>
  <c r="X919" i="4"/>
  <c r="AG920" i="4"/>
  <c r="AH920" i="4" s="1"/>
  <c r="AZ923" i="4"/>
  <c r="BC930" i="4"/>
  <c r="AZ932" i="4"/>
  <c r="X933" i="4"/>
  <c r="AG942" i="4"/>
  <c r="BB942" i="4" s="1"/>
  <c r="AG950" i="4"/>
  <c r="BB950" i="4" s="1"/>
  <c r="X1015" i="4"/>
  <c r="BE1006" i="4"/>
  <c r="AG1018" i="4"/>
  <c r="BB1018" i="4" s="1"/>
  <c r="X1019" i="4"/>
  <c r="BC1020" i="4"/>
  <c r="AG1021" i="4"/>
  <c r="BB1021" i="4" s="1"/>
  <c r="X1036" i="4"/>
  <c r="AH1037" i="4"/>
  <c r="BC1055" i="4"/>
  <c r="AZ1060" i="4"/>
  <c r="BC1065" i="4"/>
  <c r="AZ1068" i="4"/>
  <c r="AT1081" i="4"/>
  <c r="AX1081" i="4"/>
  <c r="P1082" i="4"/>
  <c r="AI1082" i="4"/>
  <c r="T1081" i="4"/>
  <c r="Y1081" i="4"/>
  <c r="AC1081" i="4"/>
  <c r="AN1081" i="4"/>
  <c r="AH64" i="4"/>
  <c r="BB64" i="4"/>
  <c r="BC64" i="4" s="1"/>
  <c r="BB65" i="4"/>
  <c r="BC65" i="4" s="1"/>
  <c r="AH65" i="4"/>
  <c r="BB77" i="4"/>
  <c r="BC77" i="4" s="1"/>
  <c r="AH77" i="4"/>
  <c r="BB46" i="4"/>
  <c r="BC46" i="4" s="1"/>
  <c r="AH46" i="4"/>
  <c r="AH35" i="4"/>
  <c r="BB35" i="4"/>
  <c r="BC35" i="4" s="1"/>
  <c r="BB50" i="4"/>
  <c r="BC50" i="4" s="1"/>
  <c r="AH50" i="4"/>
  <c r="BB27" i="4"/>
  <c r="BC27" i="4" s="1"/>
  <c r="AH27" i="4"/>
  <c r="BB70" i="4"/>
  <c r="BC70" i="4" s="1"/>
  <c r="AH70" i="4"/>
  <c r="BB85" i="4"/>
  <c r="BC85" i="4" s="1"/>
  <c r="AH85" i="4"/>
  <c r="BB87" i="4"/>
  <c r="BC87" i="4" s="1"/>
  <c r="AH87" i="4"/>
  <c r="BB91" i="4"/>
  <c r="BC91" i="4" s="1"/>
  <c r="AH91" i="4"/>
  <c r="BB95" i="4"/>
  <c r="BC95" i="4" s="1"/>
  <c r="AH95" i="4"/>
  <c r="BB32" i="4"/>
  <c r="BC32" i="4" s="1"/>
  <c r="AH32" i="4"/>
  <c r="BB23" i="4"/>
  <c r="BC23" i="4" s="1"/>
  <c r="AH23" i="4"/>
  <c r="BB42" i="4"/>
  <c r="BC42" i="4" s="1"/>
  <c r="AH42" i="4"/>
  <c r="BB109" i="4"/>
  <c r="BC109" i="4" s="1"/>
  <c r="AH109" i="4"/>
  <c r="AM1079" i="4"/>
  <c r="AM1072" i="4"/>
  <c r="AG18" i="4"/>
  <c r="AH31" i="4"/>
  <c r="BA38" i="4"/>
  <c r="AG40" i="4"/>
  <c r="AH43" i="4"/>
  <c r="AH74" i="4"/>
  <c r="U1079" i="4"/>
  <c r="U1072" i="4"/>
  <c r="Y1079" i="4"/>
  <c r="Y1072" i="4"/>
  <c r="AC1072" i="4"/>
  <c r="AC1079" i="4"/>
  <c r="BE1079" i="4"/>
  <c r="BA10" i="4"/>
  <c r="AH10" i="4"/>
  <c r="AG13" i="4"/>
  <c r="BB13" i="4" s="1"/>
  <c r="BA17" i="4"/>
  <c r="AI1080" i="4"/>
  <c r="AI1072" i="4"/>
  <c r="BA21" i="4"/>
  <c r="AF20" i="4"/>
  <c r="AF1080" i="4" s="1"/>
  <c r="AH21" i="4"/>
  <c r="BB24" i="4"/>
  <c r="BC24" i="4" s="1"/>
  <c r="BA25" i="4"/>
  <c r="BC25" i="4" s="1"/>
  <c r="AH25" i="4"/>
  <c r="BB28" i="4"/>
  <c r="BC28" i="4" s="1"/>
  <c r="AJ20" i="4"/>
  <c r="BA45" i="4"/>
  <c r="BA48" i="4"/>
  <c r="BC48" i="4" s="1"/>
  <c r="AH48" i="4"/>
  <c r="AE51" i="4"/>
  <c r="AR51" i="4"/>
  <c r="BA56" i="4"/>
  <c r="BA60" i="4"/>
  <c r="AH67" i="4"/>
  <c r="BA75" i="4"/>
  <c r="BC75" i="4" s="1"/>
  <c r="AH75" i="4"/>
  <c r="BA79" i="4"/>
  <c r="BC79" i="4" s="1"/>
  <c r="AH79" i="4"/>
  <c r="BB82" i="4"/>
  <c r="BC82" i="4" s="1"/>
  <c r="BA83" i="4"/>
  <c r="BC83" i="4" s="1"/>
  <c r="AH83" i="4"/>
  <c r="AG90" i="4"/>
  <c r="BB90" i="4" s="1"/>
  <c r="AG94" i="4"/>
  <c r="BB94" i="4" s="1"/>
  <c r="BA98" i="4"/>
  <c r="BC98" i="4" s="1"/>
  <c r="AH98" i="4"/>
  <c r="BA101" i="4"/>
  <c r="BA105" i="4"/>
  <c r="AG116" i="4"/>
  <c r="BA119" i="4"/>
  <c r="BB124" i="4"/>
  <c r="BC124" i="4" s="1"/>
  <c r="BB139" i="4"/>
  <c r="BC139" i="4" s="1"/>
  <c r="BB147" i="4"/>
  <c r="BC147" i="4" s="1"/>
  <c r="BB155" i="4"/>
  <c r="BC155" i="4" s="1"/>
  <c r="X157" i="4"/>
  <c r="R156" i="4"/>
  <c r="AF156" i="4"/>
  <c r="BA165" i="4"/>
  <c r="AH167" i="4"/>
  <c r="BA169" i="4"/>
  <c r="BB196" i="4"/>
  <c r="BC196" i="4" s="1"/>
  <c r="BB223" i="4"/>
  <c r="BC223" i="4" s="1"/>
  <c r="BB231" i="4"/>
  <c r="BC231" i="4" s="1"/>
  <c r="BB239" i="4"/>
  <c r="BC239" i="4" s="1"/>
  <c r="BB247" i="4"/>
  <c r="BC247" i="4" s="1"/>
  <c r="BB255" i="4"/>
  <c r="BC255" i="4" s="1"/>
  <c r="AH259" i="4"/>
  <c r="BC263" i="4"/>
  <c r="AG265" i="4"/>
  <c r="AH267" i="4"/>
  <c r="BC267" i="4"/>
  <c r="AH269" i="4"/>
  <c r="BC269" i="4"/>
  <c r="AH272" i="4"/>
  <c r="AH279" i="4"/>
  <c r="X282" i="4"/>
  <c r="AG282" i="4"/>
  <c r="BA488" i="4"/>
  <c r="AU1079" i="4"/>
  <c r="AU1072" i="4"/>
  <c r="BB15" i="4"/>
  <c r="BC15" i="4" s="1"/>
  <c r="BA30" i="4"/>
  <c r="BA89" i="4"/>
  <c r="BC89" i="4" s="1"/>
  <c r="AH89" i="4"/>
  <c r="BA93" i="4"/>
  <c r="BC93" i="4" s="1"/>
  <c r="AH93" i="4"/>
  <c r="AG102" i="4"/>
  <c r="AG106" i="4"/>
  <c r="BA108" i="4"/>
  <c r="AG110" i="4"/>
  <c r="BA133" i="4"/>
  <c r="BA141" i="4"/>
  <c r="BA149" i="4"/>
  <c r="AH174" i="4"/>
  <c r="BC174" i="4"/>
  <c r="BA190" i="4"/>
  <c r="BA198" i="4"/>
  <c r="BA206" i="4"/>
  <c r="BA209" i="4"/>
  <c r="BA217" i="4"/>
  <c r="BA225" i="4"/>
  <c r="BA233" i="4"/>
  <c r="BA241" i="4"/>
  <c r="BA249" i="4"/>
  <c r="BC261" i="4"/>
  <c r="AF260" i="4"/>
  <c r="AF1083" i="4" s="1"/>
  <c r="BA264" i="4"/>
  <c r="BA274" i="4"/>
  <c r="BC274" i="4" s="1"/>
  <c r="AH274" i="4"/>
  <c r="AH281" i="4"/>
  <c r="X284" i="4"/>
  <c r="AG284" i="4"/>
  <c r="BB284" i="4" s="1"/>
  <c r="BC284" i="4" s="1"/>
  <c r="AG53" i="4"/>
  <c r="AG57" i="4"/>
  <c r="AG61" i="4"/>
  <c r="AH63" i="4"/>
  <c r="BA97" i="4"/>
  <c r="BC97" i="4" s="1"/>
  <c r="AH97" i="4"/>
  <c r="AV1079" i="4"/>
  <c r="AV1072" i="4"/>
  <c r="BA12" i="4"/>
  <c r="BC12" i="4" s="1"/>
  <c r="AH12" i="4"/>
  <c r="R20" i="4"/>
  <c r="R1080" i="4" s="1"/>
  <c r="BB21" i="4"/>
  <c r="BA22" i="4"/>
  <c r="BA26" i="4"/>
  <c r="AH33" i="4"/>
  <c r="AH36" i="4"/>
  <c r="AG39" i="4"/>
  <c r="BA41" i="4"/>
  <c r="BA44" i="4"/>
  <c r="BC44" i="4" s="1"/>
  <c r="AH44" i="4"/>
  <c r="X46" i="4"/>
  <c r="BA49" i="4"/>
  <c r="G1081" i="4"/>
  <c r="G1087" i="4" s="1"/>
  <c r="G1072" i="4"/>
  <c r="K1081" i="4"/>
  <c r="K1087" i="4" s="1"/>
  <c r="K1072" i="4"/>
  <c r="O1081" i="4"/>
  <c r="O1087" i="4" s="1"/>
  <c r="O1072" i="4"/>
  <c r="X53" i="4"/>
  <c r="BB54" i="4"/>
  <c r="BC54" i="4" s="1"/>
  <c r="BA55" i="4"/>
  <c r="BC55" i="4" s="1"/>
  <c r="AH55" i="4"/>
  <c r="BA59" i="4"/>
  <c r="BC59" i="4" s="1"/>
  <c r="AH59" i="4"/>
  <c r="BB62" i="4"/>
  <c r="BC62" i="4" s="1"/>
  <c r="AG69" i="4"/>
  <c r="BB69" i="4" s="1"/>
  <c r="BC69" i="4" s="1"/>
  <c r="BA73" i="4"/>
  <c r="BC73" i="4" s="1"/>
  <c r="AH73" i="4"/>
  <c r="BA76" i="4"/>
  <c r="BA80" i="4"/>
  <c r="BA84" i="4"/>
  <c r="BB99" i="4"/>
  <c r="BC99" i="4" s="1"/>
  <c r="BA100" i="4"/>
  <c r="BC100" i="4" s="1"/>
  <c r="AH100" i="4"/>
  <c r="BA104" i="4"/>
  <c r="BC104" i="4" s="1"/>
  <c r="AH104" i="4"/>
  <c r="AG108" i="4"/>
  <c r="BB108" i="4" s="1"/>
  <c r="BA111" i="4"/>
  <c r="AG112" i="4"/>
  <c r="BA115" i="4"/>
  <c r="AG120" i="4"/>
  <c r="AH125" i="4"/>
  <c r="BC125" i="4"/>
  <c r="BB127" i="4"/>
  <c r="BC127" i="4" s="1"/>
  <c r="BB135" i="4"/>
  <c r="BC135" i="4" s="1"/>
  <c r="BB143" i="4"/>
  <c r="BC143" i="4" s="1"/>
  <c r="AY156" i="4"/>
  <c r="AR156" i="4"/>
  <c r="AG161" i="4"/>
  <c r="AH164" i="4"/>
  <c r="AH168" i="4"/>
  <c r="AG172" i="4"/>
  <c r="BA173" i="4"/>
  <c r="BA175" i="4"/>
  <c r="BC176" i="4"/>
  <c r="AE177" i="4"/>
  <c r="BC181" i="4"/>
  <c r="AH258" i="4"/>
  <c r="AH261" i="4"/>
  <c r="AY260" i="4"/>
  <c r="AY1083" i="4" s="1"/>
  <c r="BC266" i="4"/>
  <c r="X278" i="4"/>
  <c r="AG278" i="4"/>
  <c r="AH283" i="4"/>
  <c r="X286" i="4"/>
  <c r="AG286" i="4"/>
  <c r="AY445" i="4"/>
  <c r="BA502" i="4"/>
  <c r="X518" i="4"/>
  <c r="AG518" i="4"/>
  <c r="BB518" i="4" s="1"/>
  <c r="BC518" i="4" s="1"/>
  <c r="X554" i="4"/>
  <c r="AG554" i="4"/>
  <c r="AQ1072" i="4"/>
  <c r="AQ1079" i="4"/>
  <c r="BC31" i="4"/>
  <c r="BC63" i="4"/>
  <c r="BA66" i="4"/>
  <c r="BC66" i="4" s="1"/>
  <c r="AH66" i="4"/>
  <c r="AN1079" i="4"/>
  <c r="AN1072" i="4"/>
  <c r="BA16" i="4"/>
  <c r="BC16" i="4" s="1"/>
  <c r="AH16" i="4"/>
  <c r="T1079" i="4"/>
  <c r="T1072" i="4"/>
  <c r="AB1079" i="4"/>
  <c r="AB1072" i="4"/>
  <c r="BD1079" i="4"/>
  <c r="BD1087" i="4" s="1"/>
  <c r="BD1072" i="4"/>
  <c r="BD1077" i="4" s="1"/>
  <c r="AE9" i="4"/>
  <c r="R9" i="4"/>
  <c r="AG14" i="4"/>
  <c r="AH19" i="4"/>
  <c r="AG22" i="4"/>
  <c r="BB22" i="4" s="1"/>
  <c r="AG26" i="4"/>
  <c r="BB26" i="4" s="1"/>
  <c r="BA37" i="4"/>
  <c r="BC37" i="4" s="1"/>
  <c r="AH37" i="4"/>
  <c r="AG41" i="4"/>
  <c r="BB41" i="4" s="1"/>
  <c r="AH47" i="4"/>
  <c r="AG49" i="4"/>
  <c r="BB49" i="4" s="1"/>
  <c r="H1081" i="4"/>
  <c r="H1087" i="4" s="1"/>
  <c r="H1072" i="4"/>
  <c r="L1081" i="4"/>
  <c r="L1087" i="4" s="1"/>
  <c r="L1072" i="4"/>
  <c r="AJ51" i="4"/>
  <c r="BA68" i="4"/>
  <c r="BC68" i="4" s="1"/>
  <c r="AH68" i="4"/>
  <c r="BA72" i="4"/>
  <c r="BC72" i="4" s="1"/>
  <c r="AH72" i="4"/>
  <c r="AG76" i="4"/>
  <c r="BB76" i="4" s="1"/>
  <c r="AG80" i="4"/>
  <c r="BB80" i="4" s="1"/>
  <c r="AG84" i="4"/>
  <c r="BB84" i="4" s="1"/>
  <c r="BA90" i="4"/>
  <c r="BA94" i="4"/>
  <c r="AG111" i="4"/>
  <c r="BB111" i="4" s="1"/>
  <c r="BC123" i="4"/>
  <c r="AG126" i="4"/>
  <c r="BA129" i="4"/>
  <c r="AG134" i="4"/>
  <c r="BA137" i="4"/>
  <c r="AG142" i="4"/>
  <c r="BA145" i="4"/>
  <c r="AG150" i="4"/>
  <c r="BA153" i="4"/>
  <c r="AG157" i="4"/>
  <c r="BC162" i="4"/>
  <c r="BC164" i="4"/>
  <c r="AG166" i="4"/>
  <c r="BC168" i="4"/>
  <c r="AG170" i="4"/>
  <c r="Q177" i="4"/>
  <c r="Q1082" i="4" s="1"/>
  <c r="AG183" i="4"/>
  <c r="BA186" i="4"/>
  <c r="AG191" i="4"/>
  <c r="BA194" i="4"/>
  <c r="AG199" i="4"/>
  <c r="BA202" i="4"/>
  <c r="BA207" i="4"/>
  <c r="AG210" i="4"/>
  <c r="BA213" i="4"/>
  <c r="AG218" i="4"/>
  <c r="BA221" i="4"/>
  <c r="AG226" i="4"/>
  <c r="BA229" i="4"/>
  <c r="AG234" i="4"/>
  <c r="BA237" i="4"/>
  <c r="AG242" i="4"/>
  <c r="BA245" i="4"/>
  <c r="AG250" i="4"/>
  <c r="BA253" i="4"/>
  <c r="BC259" i="4"/>
  <c r="AR260" i="4"/>
  <c r="AH263" i="4"/>
  <c r="X268" i="4"/>
  <c r="AG268" i="4"/>
  <c r="BB268" i="4" s="1"/>
  <c r="AH277" i="4"/>
  <c r="X280" i="4"/>
  <c r="AG280" i="4"/>
  <c r="BB280" i="4" s="1"/>
  <c r="BC280" i="4" s="1"/>
  <c r="AH285" i="4"/>
  <c r="BA480" i="4"/>
  <c r="BA493" i="4"/>
  <c r="S1079" i="4"/>
  <c r="S1072" i="4"/>
  <c r="W1079" i="4"/>
  <c r="W1072" i="4"/>
  <c r="AA1079" i="4"/>
  <c r="AA1072" i="4"/>
  <c r="AL1079" i="4"/>
  <c r="AL1072" i="4"/>
  <c r="AP1079" i="4"/>
  <c r="AP1072" i="4"/>
  <c r="AT1072" i="4"/>
  <c r="AT1079" i="4"/>
  <c r="AX1072" i="4"/>
  <c r="AX1079" i="4"/>
  <c r="X12" i="4"/>
  <c r="AE1080" i="4"/>
  <c r="X21" i="4"/>
  <c r="X25" i="4"/>
  <c r="F1081" i="4"/>
  <c r="F1087" i="4" s="1"/>
  <c r="F1072" i="4"/>
  <c r="J1081" i="4"/>
  <c r="J1087" i="4" s="1"/>
  <c r="J1072" i="4"/>
  <c r="N1081" i="4"/>
  <c r="N1087" i="4" s="1"/>
  <c r="N1072" i="4"/>
  <c r="S1081" i="4"/>
  <c r="W1081" i="4"/>
  <c r="AA1081" i="4"/>
  <c r="AO1081" i="4"/>
  <c r="AS1081" i="4"/>
  <c r="AW1081" i="4"/>
  <c r="X55" i="4"/>
  <c r="X59" i="4"/>
  <c r="X66" i="4"/>
  <c r="X68" i="4"/>
  <c r="X72" i="4"/>
  <c r="X73" i="4"/>
  <c r="X75" i="4"/>
  <c r="X79" i="4"/>
  <c r="X83" i="4"/>
  <c r="X89" i="4"/>
  <c r="X93" i="4"/>
  <c r="X97" i="4"/>
  <c r="X98" i="4"/>
  <c r="X100" i="4"/>
  <c r="X104" i="4"/>
  <c r="X114" i="4"/>
  <c r="AH114" i="4"/>
  <c r="X118" i="4"/>
  <c r="AH118" i="4"/>
  <c r="X122" i="4"/>
  <c r="AH122" i="4"/>
  <c r="X123" i="4"/>
  <c r="AH123" i="4"/>
  <c r="X128" i="4"/>
  <c r="AH128" i="4"/>
  <c r="X132" i="4"/>
  <c r="AH132" i="4"/>
  <c r="X136" i="4"/>
  <c r="AH136" i="4"/>
  <c r="X140" i="4"/>
  <c r="AH140" i="4"/>
  <c r="X144" i="4"/>
  <c r="AH144" i="4"/>
  <c r="X148" i="4"/>
  <c r="AH148" i="4"/>
  <c r="X152" i="4"/>
  <c r="AH152" i="4"/>
  <c r="X158" i="4"/>
  <c r="AH158" i="4"/>
  <c r="X160" i="4"/>
  <c r="AH160" i="4"/>
  <c r="X162" i="4"/>
  <c r="AH162" i="4"/>
  <c r="X164" i="4"/>
  <c r="X168" i="4"/>
  <c r="X171" i="4"/>
  <c r="AH171" i="4"/>
  <c r="X176" i="4"/>
  <c r="AH176" i="4"/>
  <c r="AE1082" i="4"/>
  <c r="X180" i="4"/>
  <c r="AH180" i="4"/>
  <c r="X181" i="4"/>
  <c r="AH181" i="4"/>
  <c r="X185" i="4"/>
  <c r="AH185" i="4"/>
  <c r="X189" i="4"/>
  <c r="AH189" i="4"/>
  <c r="X193" i="4"/>
  <c r="AH193" i="4"/>
  <c r="X197" i="4"/>
  <c r="AH197" i="4"/>
  <c r="X201" i="4"/>
  <c r="AH201" i="4"/>
  <c r="X205" i="4"/>
  <c r="AH205" i="4"/>
  <c r="X208" i="4"/>
  <c r="AH208" i="4"/>
  <c r="X212" i="4"/>
  <c r="AH212" i="4"/>
  <c r="X216" i="4"/>
  <c r="AH216" i="4"/>
  <c r="X220" i="4"/>
  <c r="AH220" i="4"/>
  <c r="X224" i="4"/>
  <c r="AH224" i="4"/>
  <c r="X228" i="4"/>
  <c r="AH228" i="4"/>
  <c r="X232" i="4"/>
  <c r="AH232" i="4"/>
  <c r="X236" i="4"/>
  <c r="AH236" i="4"/>
  <c r="X240" i="4"/>
  <c r="AH240" i="4"/>
  <c r="X244" i="4"/>
  <c r="AH244" i="4"/>
  <c r="X248" i="4"/>
  <c r="AH248" i="4"/>
  <c r="X252" i="4"/>
  <c r="AH252" i="4"/>
  <c r="X256" i="4"/>
  <c r="AH256" i="4"/>
  <c r="R260" i="4"/>
  <c r="R1083" i="4" s="1"/>
  <c r="X1083" i="4" s="1"/>
  <c r="X262" i="4"/>
  <c r="AH262" i="4"/>
  <c r="X263" i="4"/>
  <c r="X266" i="4"/>
  <c r="AH266" i="4"/>
  <c r="BA273" i="4"/>
  <c r="BC277" i="4"/>
  <c r="BC279" i="4"/>
  <c r="BC281" i="4"/>
  <c r="BC283" i="4"/>
  <c r="BC285" i="4"/>
  <c r="AE1084" i="4"/>
  <c r="AF445" i="4"/>
  <c r="AR458" i="4"/>
  <c r="X477" i="4"/>
  <c r="AG477" i="4"/>
  <c r="BB477" i="4" s="1"/>
  <c r="BC477" i="4" s="1"/>
  <c r="BA482" i="4"/>
  <c r="BA490" i="4"/>
  <c r="BA495" i="4"/>
  <c r="BA504" i="4"/>
  <c r="X516" i="4"/>
  <c r="AG516" i="4"/>
  <c r="BB539" i="4"/>
  <c r="BC539" i="4" s="1"/>
  <c r="AH556" i="4"/>
  <c r="BA556" i="4"/>
  <c r="BC556" i="4" s="1"/>
  <c r="BA568" i="4"/>
  <c r="BA648" i="4"/>
  <c r="AG115" i="4"/>
  <c r="BB115" i="4" s="1"/>
  <c r="AG119" i="4"/>
  <c r="BB119" i="4" s="1"/>
  <c r="AG129" i="4"/>
  <c r="BB129" i="4" s="1"/>
  <c r="AG133" i="4"/>
  <c r="BB133" i="4" s="1"/>
  <c r="AG137" i="4"/>
  <c r="BB137" i="4" s="1"/>
  <c r="AG141" i="4"/>
  <c r="BB141" i="4" s="1"/>
  <c r="AG145" i="4"/>
  <c r="BB145" i="4" s="1"/>
  <c r="AG149" i="4"/>
  <c r="BB149" i="4" s="1"/>
  <c r="AG153" i="4"/>
  <c r="BB153" i="4" s="1"/>
  <c r="AG165" i="4"/>
  <c r="BB165" i="4" s="1"/>
  <c r="AG169" i="4"/>
  <c r="BB169" i="4" s="1"/>
  <c r="AG173" i="4"/>
  <c r="BB173" i="4" s="1"/>
  <c r="AG175" i="4"/>
  <c r="BB175" i="4" s="1"/>
  <c r="AG186" i="4"/>
  <c r="BB186" i="4" s="1"/>
  <c r="AG190" i="4"/>
  <c r="BB190" i="4" s="1"/>
  <c r="AG194" i="4"/>
  <c r="BB194" i="4" s="1"/>
  <c r="AG198" i="4"/>
  <c r="BB198" i="4" s="1"/>
  <c r="AG202" i="4"/>
  <c r="BB202" i="4" s="1"/>
  <c r="AG206" i="4"/>
  <c r="BB206" i="4" s="1"/>
  <c r="AG207" i="4"/>
  <c r="BB207" i="4" s="1"/>
  <c r="AG209" i="4"/>
  <c r="BB209" i="4" s="1"/>
  <c r="AG213" i="4"/>
  <c r="BB213" i="4" s="1"/>
  <c r="AG217" i="4"/>
  <c r="BB217" i="4" s="1"/>
  <c r="AG221" i="4"/>
  <c r="BB221" i="4" s="1"/>
  <c r="AG225" i="4"/>
  <c r="BB225" i="4" s="1"/>
  <c r="AG229" i="4"/>
  <c r="BB229" i="4" s="1"/>
  <c r="AG233" i="4"/>
  <c r="BB233" i="4" s="1"/>
  <c r="AG237" i="4"/>
  <c r="BB237" i="4" s="1"/>
  <c r="AG241" i="4"/>
  <c r="BB241" i="4" s="1"/>
  <c r="AG245" i="4"/>
  <c r="BB245" i="4" s="1"/>
  <c r="AG249" i="4"/>
  <c r="BB249" i="4" s="1"/>
  <c r="AG253" i="4"/>
  <c r="BB253" i="4" s="1"/>
  <c r="AG257" i="4"/>
  <c r="BB257" i="4" s="1"/>
  <c r="AG264" i="4"/>
  <c r="BB264" i="4" s="1"/>
  <c r="AG271" i="4"/>
  <c r="BB288" i="4"/>
  <c r="BC288" i="4" s="1"/>
  <c r="AH288" i="4"/>
  <c r="BA289" i="4"/>
  <c r="BC289" i="4" s="1"/>
  <c r="AF287" i="4"/>
  <c r="AF1084" i="4" s="1"/>
  <c r="AF458" i="4"/>
  <c r="BA459" i="4"/>
  <c r="BB461" i="4"/>
  <c r="AH461" i="4"/>
  <c r="BA478" i="4"/>
  <c r="BA486" i="4"/>
  <c r="AH517" i="4"/>
  <c r="BA552" i="4"/>
  <c r="V1072" i="4"/>
  <c r="V1079" i="4"/>
  <c r="Z1079" i="4"/>
  <c r="Z1072" i="4"/>
  <c r="AD1072" i="4"/>
  <c r="AD1079" i="4"/>
  <c r="AO1079" i="4"/>
  <c r="AO1072" i="4"/>
  <c r="AS1079" i="4"/>
  <c r="AS1072" i="4"/>
  <c r="AW1079" i="4"/>
  <c r="AW1072" i="4"/>
  <c r="P1072" i="4"/>
  <c r="P1077" i="4" s="1"/>
  <c r="P1080" i="4"/>
  <c r="I1081" i="4"/>
  <c r="I1087" i="4" s="1"/>
  <c r="I1072" i="4"/>
  <c r="M1072" i="4"/>
  <c r="M1081" i="4"/>
  <c r="M1087" i="4" s="1"/>
  <c r="AF177" i="4"/>
  <c r="AF1082" i="4" s="1"/>
  <c r="AE1083" i="4"/>
  <c r="BA268" i="4"/>
  <c r="X274" i="4"/>
  <c r="X288" i="4"/>
  <c r="R287" i="4"/>
  <c r="R1084" i="4" s="1"/>
  <c r="X1084" i="4" s="1"/>
  <c r="AH289" i="4"/>
  <c r="AH291" i="4"/>
  <c r="AH293" i="4"/>
  <c r="AH295" i="4"/>
  <c r="AH297" i="4"/>
  <c r="AH299" i="4"/>
  <c r="AH301" i="4"/>
  <c r="AH303" i="4"/>
  <c r="AH305" i="4"/>
  <c r="AH317" i="4"/>
  <c r="AH321" i="4"/>
  <c r="AH325" i="4"/>
  <c r="AH329" i="4"/>
  <c r="AH333" i="4"/>
  <c r="AH337" i="4"/>
  <c r="AH349" i="4"/>
  <c r="AH353" i="4"/>
  <c r="AH355" i="4"/>
  <c r="AH357" i="4"/>
  <c r="AH359" i="4"/>
  <c r="AH361" i="4"/>
  <c r="AH363" i="4"/>
  <c r="AH365" i="4"/>
  <c r="AH367" i="4"/>
  <c r="AH369" i="4"/>
  <c r="AH371" i="4"/>
  <c r="AH373" i="4"/>
  <c r="AH375" i="4"/>
  <c r="AH377" i="4"/>
  <c r="AH379" i="4"/>
  <c r="AH381" i="4"/>
  <c r="AH383" i="4"/>
  <c r="AH385" i="4"/>
  <c r="AH387" i="4"/>
  <c r="AH389" i="4"/>
  <c r="AH391" i="4"/>
  <c r="AH393" i="4"/>
  <c r="AH395" i="4"/>
  <c r="AH397" i="4"/>
  <c r="AH399" i="4"/>
  <c r="AH401" i="4"/>
  <c r="AH403" i="4"/>
  <c r="AH405" i="4"/>
  <c r="AH407" i="4"/>
  <c r="AH409" i="4"/>
  <c r="AH411" i="4"/>
  <c r="AH413" i="4"/>
  <c r="AH415" i="4"/>
  <c r="AH417" i="4"/>
  <c r="AH419" i="4"/>
  <c r="AH421" i="4"/>
  <c r="AH423" i="4"/>
  <c r="AH425" i="4"/>
  <c r="AH427" i="4"/>
  <c r="AH429" i="4"/>
  <c r="AH431" i="4"/>
  <c r="AH433" i="4"/>
  <c r="AH435" i="4"/>
  <c r="AH437" i="4"/>
  <c r="AH439" i="4"/>
  <c r="AH441" i="4"/>
  <c r="AH444" i="4"/>
  <c r="AH447" i="4"/>
  <c r="AH449" i="4"/>
  <c r="AH453" i="4"/>
  <c r="AH455" i="4"/>
  <c r="AH457" i="4"/>
  <c r="X461" i="4"/>
  <c r="R458" i="4"/>
  <c r="X463" i="4"/>
  <c r="AG463" i="4"/>
  <c r="AH463" i="4" s="1"/>
  <c r="X464" i="4"/>
  <c r="AG464" i="4"/>
  <c r="AH474" i="4"/>
  <c r="BC474" i="4"/>
  <c r="BA484" i="4"/>
  <c r="BC484" i="4" s="1"/>
  <c r="AH484" i="4"/>
  <c r="X499" i="4"/>
  <c r="AG499" i="4"/>
  <c r="BB499" i="4" s="1"/>
  <c r="BC499" i="4" s="1"/>
  <c r="X501" i="4"/>
  <c r="AG501" i="4"/>
  <c r="BB501" i="4" s="1"/>
  <c r="BC501" i="4" s="1"/>
  <c r="BA519" i="4"/>
  <c r="BA561" i="4"/>
  <c r="X570" i="4"/>
  <c r="AG570" i="4"/>
  <c r="AG465" i="4"/>
  <c r="BB465" i="4" s="1"/>
  <c r="BC465" i="4" s="1"/>
  <c r="AH466" i="4"/>
  <c r="AG498" i="4"/>
  <c r="BB498" i="4" s="1"/>
  <c r="BC498" i="4" s="1"/>
  <c r="AG500" i="4"/>
  <c r="BB500" i="4" s="1"/>
  <c r="BC500" i="4" s="1"/>
  <c r="AG506" i="4"/>
  <c r="BB506" i="4" s="1"/>
  <c r="BC506" i="4" s="1"/>
  <c r="X520" i="4"/>
  <c r="AG520" i="4"/>
  <c r="BB520" i="4" s="1"/>
  <c r="BC520" i="4" s="1"/>
  <c r="AY525" i="4"/>
  <c r="AY1085" i="4" s="1"/>
  <c r="AG529" i="4"/>
  <c r="BB529" i="4" s="1"/>
  <c r="BC529" i="4" s="1"/>
  <c r="AG530" i="4"/>
  <c r="BB532" i="4"/>
  <c r="BC532" i="4" s="1"/>
  <c r="AH532" i="4"/>
  <c r="BA534" i="4"/>
  <c r="BC534" i="4" s="1"/>
  <c r="AH534" i="4"/>
  <c r="R538" i="4"/>
  <c r="R1086" i="4" s="1"/>
  <c r="X1086" i="4" s="1"/>
  <c r="X539" i="4"/>
  <c r="BB558" i="4"/>
  <c r="BC558" i="4" s="1"/>
  <c r="AH558" i="4"/>
  <c r="X601" i="4"/>
  <c r="AG601" i="4"/>
  <c r="BB601" i="4" s="1"/>
  <c r="X694" i="4"/>
  <c r="AG694" i="4"/>
  <c r="AH496" i="4"/>
  <c r="BA522" i="4"/>
  <c r="BA531" i="4"/>
  <c r="BA533" i="4"/>
  <c r="BA536" i="4"/>
  <c r="BE538" i="4"/>
  <c r="BE1086" i="4" s="1"/>
  <c r="AH586" i="4"/>
  <c r="X637" i="4"/>
  <c r="AG637" i="4"/>
  <c r="X659" i="4"/>
  <c r="AG659" i="4"/>
  <c r="BA689" i="4"/>
  <c r="BA462" i="4"/>
  <c r="AH511" i="4"/>
  <c r="BC517" i="4"/>
  <c r="AH521" i="4"/>
  <c r="BA521" i="4"/>
  <c r="BC521" i="4" s="1"/>
  <c r="Q525" i="4"/>
  <c r="Q1085" i="4" s="1"/>
  <c r="BA526" i="4"/>
  <c r="AF525" i="4"/>
  <c r="AF1085" i="4" s="1"/>
  <c r="BA528" i="4"/>
  <c r="AH539" i="4"/>
  <c r="AR538" i="4"/>
  <c r="X584" i="4"/>
  <c r="AG584" i="4"/>
  <c r="BB584" i="4" s="1"/>
  <c r="BC584" i="4" s="1"/>
  <c r="BA585" i="4"/>
  <c r="BC585" i="4" s="1"/>
  <c r="AH585" i="4"/>
  <c r="X653" i="4"/>
  <c r="AG653" i="4"/>
  <c r="AE1086" i="4"/>
  <c r="AG548" i="4"/>
  <c r="BB548" i="4" s="1"/>
  <c r="BC548" i="4" s="1"/>
  <c r="AG552" i="4"/>
  <c r="BB552" i="4" s="1"/>
  <c r="AH560" i="4"/>
  <c r="AG561" i="4"/>
  <c r="BB561" i="4" s="1"/>
  <c r="BA565" i="4"/>
  <c r="AG568" i="4"/>
  <c r="BB568" i="4" s="1"/>
  <c r="BC586" i="4"/>
  <c r="BA588" i="4"/>
  <c r="BC600" i="4"/>
  <c r="BA636" i="4"/>
  <c r="X641" i="4"/>
  <c r="AG641" i="4"/>
  <c r="BA652" i="4"/>
  <c r="X681" i="4"/>
  <c r="AG681" i="4"/>
  <c r="BA693" i="4"/>
  <c r="AG523" i="4"/>
  <c r="BB523" i="4" s="1"/>
  <c r="BC523" i="4" s="1"/>
  <c r="AG527" i="4"/>
  <c r="BB527" i="4" s="1"/>
  <c r="BC527" i="4" s="1"/>
  <c r="AG537" i="4"/>
  <c r="BB537" i="4" s="1"/>
  <c r="BC537" i="4" s="1"/>
  <c r="AH544" i="4"/>
  <c r="BC544" i="4"/>
  <c r="BA547" i="4"/>
  <c r="BC547" i="4" s="1"/>
  <c r="AH547" i="4"/>
  <c r="BA551" i="4"/>
  <c r="BC551" i="4" s="1"/>
  <c r="AH551" i="4"/>
  <c r="AH555" i="4"/>
  <c r="BC560" i="4"/>
  <c r="AG562" i="4"/>
  <c r="AH564" i="4"/>
  <c r="BA567" i="4"/>
  <c r="BC567" i="4" s="1"/>
  <c r="AH567" i="4"/>
  <c r="BB571" i="4"/>
  <c r="BC571" i="4" s="1"/>
  <c r="AH571" i="4"/>
  <c r="BB575" i="4"/>
  <c r="BC575" i="4" s="1"/>
  <c r="AH575" i="4"/>
  <c r="AH578" i="4"/>
  <c r="BB579" i="4"/>
  <c r="BC579" i="4" s="1"/>
  <c r="AH579" i="4"/>
  <c r="BB582" i="4"/>
  <c r="BC582" i="4" s="1"/>
  <c r="AH582" i="4"/>
  <c r="BB590" i="4"/>
  <c r="BC590" i="4" s="1"/>
  <c r="AH590" i="4"/>
  <c r="BC592" i="4"/>
  <c r="AH595" i="4"/>
  <c r="AH632" i="4"/>
  <c r="BC632" i="4"/>
  <c r="BA640" i="4"/>
  <c r="X645" i="4"/>
  <c r="AG645" i="4"/>
  <c r="X675" i="4"/>
  <c r="AG675" i="4"/>
  <c r="AE1085" i="4"/>
  <c r="AF538" i="4"/>
  <c r="AF1086" i="4" s="1"/>
  <c r="BA543" i="4"/>
  <c r="BC543" i="4" s="1"/>
  <c r="AH543" i="4"/>
  <c r="BC555" i="4"/>
  <c r="BA557" i="4"/>
  <c r="BA564" i="4"/>
  <c r="BC564" i="4" s="1"/>
  <c r="BA572" i="4"/>
  <c r="BC572" i="4" s="1"/>
  <c r="AH572" i="4"/>
  <c r="BA576" i="4"/>
  <c r="BC576" i="4" s="1"/>
  <c r="AH576" i="4"/>
  <c r="AH580" i="4"/>
  <c r="BA580" i="4"/>
  <c r="BC580" i="4" s="1"/>
  <c r="AH581" i="4"/>
  <c r="BA587" i="4"/>
  <c r="BA593" i="4"/>
  <c r="BB594" i="4"/>
  <c r="BC594" i="4" s="1"/>
  <c r="AH594" i="4"/>
  <c r="BA627" i="4"/>
  <c r="BA644" i="4"/>
  <c r="X649" i="4"/>
  <c r="AG649" i="4"/>
  <c r="X667" i="4"/>
  <c r="AG667" i="4"/>
  <c r="X690" i="4"/>
  <c r="AG690" i="4"/>
  <c r="X543" i="4"/>
  <c r="X547" i="4"/>
  <c r="X551" i="4"/>
  <c r="X556" i="4"/>
  <c r="X560" i="4"/>
  <c r="X564" i="4"/>
  <c r="X567" i="4"/>
  <c r="X572" i="4"/>
  <c r="BA573" i="4"/>
  <c r="X576" i="4"/>
  <c r="BA577" i="4"/>
  <c r="X580" i="4"/>
  <c r="X582" i="4"/>
  <c r="X585" i="4"/>
  <c r="X590" i="4"/>
  <c r="AH596" i="4"/>
  <c r="AG597" i="4"/>
  <c r="BB597" i="4" s="1"/>
  <c r="BC599" i="4"/>
  <c r="BA601" i="4"/>
  <c r="AG602" i="4"/>
  <c r="BC604" i="4"/>
  <c r="AG606" i="4"/>
  <c r="BC608" i="4"/>
  <c r="AG610" i="4"/>
  <c r="BC612" i="4"/>
  <c r="AG614" i="4"/>
  <c r="BC616" i="4"/>
  <c r="AG618" i="4"/>
  <c r="BC620" i="4"/>
  <c r="BA624" i="4"/>
  <c r="BA628" i="4"/>
  <c r="AH635" i="4"/>
  <c r="AH639" i="4"/>
  <c r="AH643" i="4"/>
  <c r="AH647" i="4"/>
  <c r="AH651" i="4"/>
  <c r="BB679" i="4"/>
  <c r="BC679" i="4" s="1"/>
  <c r="AH688" i="4"/>
  <c r="AH692" i="4"/>
  <c r="AH696" i="4"/>
  <c r="AH721" i="4"/>
  <c r="BC721" i="4"/>
  <c r="AH725" i="4"/>
  <c r="BA730" i="4"/>
  <c r="BA735" i="4"/>
  <c r="BC737" i="4"/>
  <c r="AG739" i="4"/>
  <c r="BC741" i="4"/>
  <c r="AG743" i="4"/>
  <c r="BC745" i="4"/>
  <c r="AG747" i="4"/>
  <c r="BC749" i="4"/>
  <c r="AG751" i="4"/>
  <c r="BC753" i="4"/>
  <c r="AG755" i="4"/>
  <c r="BA757" i="4"/>
  <c r="BC763" i="4"/>
  <c r="BC771" i="4"/>
  <c r="BB784" i="4"/>
  <c r="BC784" i="4" s="1"/>
  <c r="AH784" i="4"/>
  <c r="X803" i="4"/>
  <c r="AG803" i="4"/>
  <c r="X811" i="4"/>
  <c r="AG811" i="4"/>
  <c r="BA825" i="4"/>
  <c r="AH933" i="4"/>
  <c r="BC596" i="4"/>
  <c r="BA605" i="4"/>
  <c r="AH607" i="4"/>
  <c r="BA609" i="4"/>
  <c r="AH611" i="4"/>
  <c r="BA613" i="4"/>
  <c r="AH615" i="4"/>
  <c r="BA617" i="4"/>
  <c r="BA621" i="4"/>
  <c r="BC635" i="4"/>
  <c r="BC639" i="4"/>
  <c r="BC643" i="4"/>
  <c r="BC647" i="4"/>
  <c r="BC651" i="4"/>
  <c r="BA662" i="4"/>
  <c r="BA670" i="4"/>
  <c r="BA684" i="4"/>
  <c r="BC688" i="4"/>
  <c r="BC692" i="4"/>
  <c r="BC696" i="4"/>
  <c r="BA738" i="4"/>
  <c r="BA742" i="4"/>
  <c r="AH744" i="4"/>
  <c r="BA746" i="4"/>
  <c r="BA750" i="4"/>
  <c r="AH752" i="4"/>
  <c r="BA754" i="4"/>
  <c r="BB760" i="4"/>
  <c r="BC760" i="4" s="1"/>
  <c r="AH760" i="4"/>
  <c r="BA762" i="4"/>
  <c r="X766" i="4"/>
  <c r="AG766" i="4"/>
  <c r="BB766" i="4" s="1"/>
  <c r="BB768" i="4"/>
  <c r="BC768" i="4" s="1"/>
  <c r="AH768" i="4"/>
  <c r="BA770" i="4"/>
  <c r="X774" i="4"/>
  <c r="AG774" i="4"/>
  <c r="BB774" i="4" s="1"/>
  <c r="BB776" i="4"/>
  <c r="BC776" i="4" s="1"/>
  <c r="AH776" i="4"/>
  <c r="BA778" i="4"/>
  <c r="BB788" i="4"/>
  <c r="BC788" i="4" s="1"/>
  <c r="AH788" i="4"/>
  <c r="X792" i="4"/>
  <c r="AG792" i="4"/>
  <c r="AH813" i="4"/>
  <c r="BA815" i="4"/>
  <c r="BA829" i="4"/>
  <c r="AH925" i="4"/>
  <c r="BA697" i="4"/>
  <c r="BC699" i="4"/>
  <c r="AG701" i="4"/>
  <c r="AH724" i="4"/>
  <c r="BA726" i="4"/>
  <c r="BA734" i="4"/>
  <c r="BC744" i="4"/>
  <c r="BC752" i="4"/>
  <c r="BA758" i="4"/>
  <c r="BC800" i="4"/>
  <c r="AH820" i="4"/>
  <c r="BC820" i="4"/>
  <c r="BC822" i="4"/>
  <c r="AH917" i="4"/>
  <c r="BA984" i="4"/>
  <c r="BA987" i="4"/>
  <c r="AH592" i="4"/>
  <c r="BC595" i="4"/>
  <c r="BA597" i="4"/>
  <c r="AH599" i="4"/>
  <c r="AH604" i="4"/>
  <c r="AH608" i="4"/>
  <c r="AH612" i="4"/>
  <c r="AH616" i="4"/>
  <c r="AH620" i="4"/>
  <c r="BC630" i="4"/>
  <c r="BA633" i="4"/>
  <c r="BA658" i="4"/>
  <c r="BA666" i="4"/>
  <c r="BA674" i="4"/>
  <c r="BA700" i="4"/>
  <c r="BA704" i="4"/>
  <c r="BA708" i="4"/>
  <c r="BA712" i="4"/>
  <c r="BA716" i="4"/>
  <c r="BC724" i="4"/>
  <c r="BC728" i="4"/>
  <c r="AH737" i="4"/>
  <c r="AH741" i="4"/>
  <c r="AH745" i="4"/>
  <c r="AH749" i="4"/>
  <c r="AH753" i="4"/>
  <c r="BA761" i="4"/>
  <c r="BA769" i="4"/>
  <c r="BA777" i="4"/>
  <c r="BC777" i="4" s="1"/>
  <c r="AH777" i="4"/>
  <c r="BB780" i="4"/>
  <c r="BC780" i="4" s="1"/>
  <c r="AH780" i="4"/>
  <c r="X812" i="4"/>
  <c r="AG812" i="4"/>
  <c r="X826" i="4"/>
  <c r="AG826" i="4"/>
  <c r="AH841" i="4"/>
  <c r="X592" i="4"/>
  <c r="X596" i="4"/>
  <c r="X600" i="4"/>
  <c r="X604" i="4"/>
  <c r="X608" i="4"/>
  <c r="X612" i="4"/>
  <c r="X616" i="4"/>
  <c r="X620" i="4"/>
  <c r="X623" i="4"/>
  <c r="AH623" i="4"/>
  <c r="X629" i="4"/>
  <c r="AH629" i="4"/>
  <c r="X630" i="4"/>
  <c r="AH630" i="4"/>
  <c r="X635" i="4"/>
  <c r="X639" i="4"/>
  <c r="X643" i="4"/>
  <c r="X647" i="4"/>
  <c r="X651" i="4"/>
  <c r="X657" i="4"/>
  <c r="AH657" i="4"/>
  <c r="X661" i="4"/>
  <c r="AH661" i="4"/>
  <c r="X665" i="4"/>
  <c r="AH665" i="4"/>
  <c r="X669" i="4"/>
  <c r="AH669" i="4"/>
  <c r="X673" i="4"/>
  <c r="AH673" i="4"/>
  <c r="X677" i="4"/>
  <c r="AH677" i="4"/>
  <c r="X683" i="4"/>
  <c r="AH683" i="4"/>
  <c r="X687" i="4"/>
  <c r="AH687" i="4"/>
  <c r="X688" i="4"/>
  <c r="X692" i="4"/>
  <c r="X696" i="4"/>
  <c r="X699" i="4"/>
  <c r="X703" i="4"/>
  <c r="X707" i="4"/>
  <c r="X711" i="4"/>
  <c r="X715" i="4"/>
  <c r="X719" i="4"/>
  <c r="AH719" i="4"/>
  <c r="X725" i="4"/>
  <c r="X728" i="4"/>
  <c r="AH728" i="4"/>
  <c r="X729" i="4"/>
  <c r="AH729" i="4"/>
  <c r="X733" i="4"/>
  <c r="AH733" i="4"/>
  <c r="X736" i="4"/>
  <c r="AH736" i="4"/>
  <c r="X737" i="4"/>
  <c r="X741" i="4"/>
  <c r="X745" i="4"/>
  <c r="X749" i="4"/>
  <c r="X753" i="4"/>
  <c r="X756" i="4"/>
  <c r="AH756" i="4"/>
  <c r="X760" i="4"/>
  <c r="X763" i="4"/>
  <c r="AH763" i="4"/>
  <c r="AH765" i="4"/>
  <c r="X768" i="4"/>
  <c r="X771" i="4"/>
  <c r="AH771" i="4"/>
  <c r="X776" i="4"/>
  <c r="X779" i="4"/>
  <c r="X780" i="4"/>
  <c r="BA782" i="4"/>
  <c r="BC782" i="4" s="1"/>
  <c r="AH782" i="4"/>
  <c r="X784" i="4"/>
  <c r="BA786" i="4"/>
  <c r="BC786" i="4" s="1"/>
  <c r="AH786" i="4"/>
  <c r="X788" i="4"/>
  <c r="BA790" i="4"/>
  <c r="BC790" i="4" s="1"/>
  <c r="AH790" i="4"/>
  <c r="BA795" i="4"/>
  <c r="BA798" i="4"/>
  <c r="BA806" i="4"/>
  <c r="BC814" i="4"/>
  <c r="BA818" i="4"/>
  <c r="BC824" i="4"/>
  <c r="BC828" i="4"/>
  <c r="BC841" i="4"/>
  <c r="BA844" i="4"/>
  <c r="AH846" i="4"/>
  <c r="BA848" i="4"/>
  <c r="AH850" i="4"/>
  <c r="BA852" i="4"/>
  <c r="BA856" i="4"/>
  <c r="AH867" i="4"/>
  <c r="AH889" i="4"/>
  <c r="AH891" i="4"/>
  <c r="BA891" i="4"/>
  <c r="BC891" i="4" s="1"/>
  <c r="AH955" i="4"/>
  <c r="X992" i="4"/>
  <c r="AG992" i="4"/>
  <c r="AG605" i="4"/>
  <c r="BB605" i="4" s="1"/>
  <c r="AG609" i="4"/>
  <c r="BB609" i="4" s="1"/>
  <c r="AG613" i="4"/>
  <c r="BB613" i="4" s="1"/>
  <c r="AG617" i="4"/>
  <c r="BB617" i="4" s="1"/>
  <c r="AG621" i="4"/>
  <c r="BB621" i="4" s="1"/>
  <c r="AG624" i="4"/>
  <c r="BB624" i="4" s="1"/>
  <c r="AG627" i="4"/>
  <c r="BB627" i="4" s="1"/>
  <c r="AG628" i="4"/>
  <c r="BB628" i="4" s="1"/>
  <c r="AG633" i="4"/>
  <c r="BB633" i="4" s="1"/>
  <c r="AG636" i="4"/>
  <c r="BB636" i="4" s="1"/>
  <c r="AG640" i="4"/>
  <c r="BB640" i="4" s="1"/>
  <c r="AG644" i="4"/>
  <c r="BB644" i="4" s="1"/>
  <c r="AG648" i="4"/>
  <c r="BB648" i="4" s="1"/>
  <c r="AG652" i="4"/>
  <c r="BB652" i="4" s="1"/>
  <c r="AG658" i="4"/>
  <c r="BB658" i="4" s="1"/>
  <c r="AG662" i="4"/>
  <c r="BB662" i="4" s="1"/>
  <c r="AG666" i="4"/>
  <c r="BB666" i="4" s="1"/>
  <c r="AG670" i="4"/>
  <c r="BB670" i="4" s="1"/>
  <c r="AG674" i="4"/>
  <c r="BB674" i="4" s="1"/>
  <c r="AG684" i="4"/>
  <c r="BB684" i="4" s="1"/>
  <c r="AG689" i="4"/>
  <c r="BB689" i="4" s="1"/>
  <c r="AG693" i="4"/>
  <c r="BB693" i="4" s="1"/>
  <c r="AG697" i="4"/>
  <c r="BB697" i="4" s="1"/>
  <c r="AG700" i="4"/>
  <c r="BB700" i="4" s="1"/>
  <c r="AG704" i="4"/>
  <c r="BB704" i="4" s="1"/>
  <c r="AG708" i="4"/>
  <c r="BB708" i="4" s="1"/>
  <c r="AG712" i="4"/>
  <c r="BB712" i="4" s="1"/>
  <c r="AG716" i="4"/>
  <c r="BB716" i="4" s="1"/>
  <c r="AG726" i="4"/>
  <c r="BB726" i="4" s="1"/>
  <c r="AG730" i="4"/>
  <c r="BB730" i="4" s="1"/>
  <c r="AG734" i="4"/>
  <c r="BB734" i="4" s="1"/>
  <c r="AG735" i="4"/>
  <c r="BB735" i="4" s="1"/>
  <c r="AG738" i="4"/>
  <c r="BB738" i="4" s="1"/>
  <c r="AG742" i="4"/>
  <c r="BB742" i="4" s="1"/>
  <c r="AG746" i="4"/>
  <c r="BB746" i="4" s="1"/>
  <c r="AG750" i="4"/>
  <c r="BB750" i="4" s="1"/>
  <c r="AG754" i="4"/>
  <c r="BB754" i="4" s="1"/>
  <c r="AG757" i="4"/>
  <c r="BB757" i="4" s="1"/>
  <c r="AG758" i="4"/>
  <c r="BB758" i="4" s="1"/>
  <c r="AH779" i="4"/>
  <c r="BA779" i="4"/>
  <c r="BC779" i="4" s="1"/>
  <c r="BA783" i="4"/>
  <c r="BA787" i="4"/>
  <c r="BA791" i="4"/>
  <c r="BA802" i="4"/>
  <c r="BA810" i="4"/>
  <c r="BC813" i="4"/>
  <c r="BA819" i="4"/>
  <c r="BB866" i="4"/>
  <c r="BC866" i="4" s="1"/>
  <c r="AH866" i="4"/>
  <c r="X888" i="4"/>
  <c r="AG888" i="4"/>
  <c r="AH951" i="4"/>
  <c r="BA951" i="4"/>
  <c r="BC951" i="4" s="1"/>
  <c r="AH1001" i="4"/>
  <c r="BA1003" i="4"/>
  <c r="BA766" i="4"/>
  <c r="BA774" i="4"/>
  <c r="AH814" i="4"/>
  <c r="AH824" i="4"/>
  <c r="AH828" i="4"/>
  <c r="BA839" i="4"/>
  <c r="BC861" i="4"/>
  <c r="AH921" i="4"/>
  <c r="X782" i="4"/>
  <c r="X786" i="4"/>
  <c r="X790" i="4"/>
  <c r="X794" i="4"/>
  <c r="AH794" i="4"/>
  <c r="X801" i="4"/>
  <c r="AH801" i="4"/>
  <c r="X805" i="4"/>
  <c r="AH805" i="4"/>
  <c r="X809" i="4"/>
  <c r="AH809" i="4"/>
  <c r="X814" i="4"/>
  <c r="X817" i="4"/>
  <c r="AH817" i="4"/>
  <c r="X823" i="4"/>
  <c r="AH823" i="4"/>
  <c r="X824" i="4"/>
  <c r="X828" i="4"/>
  <c r="X835" i="4"/>
  <c r="X838" i="4"/>
  <c r="AH838" i="4"/>
  <c r="X842" i="4"/>
  <c r="AH842" i="4"/>
  <c r="X843" i="4"/>
  <c r="X847" i="4"/>
  <c r="X851" i="4"/>
  <c r="X855" i="4"/>
  <c r="X859" i="4"/>
  <c r="X861" i="4"/>
  <c r="AH861" i="4"/>
  <c r="BA863" i="4"/>
  <c r="BA864" i="4"/>
  <c r="X866" i="4"/>
  <c r="X869" i="4"/>
  <c r="AH869" i="4"/>
  <c r="AH870" i="4"/>
  <c r="AH872" i="4"/>
  <c r="AH880" i="4"/>
  <c r="AH882" i="4"/>
  <c r="BC889" i="4"/>
  <c r="AH892" i="4"/>
  <c r="BC892" i="4"/>
  <c r="BC895" i="4"/>
  <c r="BC899" i="4"/>
  <c r="BC903" i="4"/>
  <c r="BC907" i="4"/>
  <c r="BC911" i="4"/>
  <c r="BC917" i="4"/>
  <c r="BC921" i="4"/>
  <c r="BC925" i="4"/>
  <c r="BC933" i="4"/>
  <c r="AH943" i="4"/>
  <c r="BA943" i="4"/>
  <c r="BC943" i="4" s="1"/>
  <c r="BB948" i="4"/>
  <c r="BC948" i="4" s="1"/>
  <c r="AH948" i="4"/>
  <c r="AH952" i="4"/>
  <c r="BC955" i="4"/>
  <c r="BB961" i="4"/>
  <c r="BC961" i="4" s="1"/>
  <c r="AH961" i="4"/>
  <c r="BA973" i="4"/>
  <c r="BC973" i="4" s="1"/>
  <c r="AH973" i="4"/>
  <c r="BC976" i="4"/>
  <c r="BC983" i="4"/>
  <c r="X988" i="4"/>
  <c r="AG988" i="4"/>
  <c r="BA999" i="4"/>
  <c r="X1004" i="4"/>
  <c r="AG1004" i="4"/>
  <c r="X1034" i="4"/>
  <c r="AG1034" i="4"/>
  <c r="BB1034" i="4" s="1"/>
  <c r="X1045" i="4"/>
  <c r="AG1045" i="4"/>
  <c r="BB1045" i="4" s="1"/>
  <c r="AG791" i="4"/>
  <c r="BB791" i="4" s="1"/>
  <c r="AG795" i="4"/>
  <c r="BB795" i="4" s="1"/>
  <c r="AG798" i="4"/>
  <c r="BB798" i="4" s="1"/>
  <c r="AG802" i="4"/>
  <c r="BB802" i="4" s="1"/>
  <c r="AG806" i="4"/>
  <c r="BB806" i="4" s="1"/>
  <c r="AG810" i="4"/>
  <c r="BB810" i="4" s="1"/>
  <c r="AG815" i="4"/>
  <c r="BB815" i="4" s="1"/>
  <c r="AG818" i="4"/>
  <c r="BB818" i="4" s="1"/>
  <c r="AG819" i="4"/>
  <c r="BB819" i="4" s="1"/>
  <c r="AG825" i="4"/>
  <c r="BB825" i="4" s="1"/>
  <c r="AG829" i="4"/>
  <c r="BB829" i="4" s="1"/>
  <c r="AG839" i="4"/>
  <c r="BB839" i="4" s="1"/>
  <c r="AG844" i="4"/>
  <c r="BB844" i="4" s="1"/>
  <c r="AG848" i="4"/>
  <c r="BB848" i="4" s="1"/>
  <c r="AG852" i="4"/>
  <c r="BB852" i="4" s="1"/>
  <c r="AG856" i="4"/>
  <c r="BB856" i="4" s="1"/>
  <c r="BC867" i="4"/>
  <c r="BA886" i="4"/>
  <c r="AH894" i="4"/>
  <c r="AH896" i="4"/>
  <c r="BA896" i="4"/>
  <c r="BC896" i="4" s="1"/>
  <c r="AH898" i="4"/>
  <c r="AH900" i="4"/>
  <c r="BA900" i="4"/>
  <c r="BC900" i="4" s="1"/>
  <c r="BA904" i="4"/>
  <c r="AH906" i="4"/>
  <c r="AH908" i="4"/>
  <c r="BA908" i="4"/>
  <c r="BC908" i="4" s="1"/>
  <c r="AH910" i="4"/>
  <c r="AH912" i="4"/>
  <c r="BA912" i="4"/>
  <c r="BC912" i="4" s="1"/>
  <c r="AH914" i="4"/>
  <c r="AH936" i="4"/>
  <c r="BA959" i="4"/>
  <c r="BB969" i="4"/>
  <c r="BC969" i="4" s="1"/>
  <c r="AH969" i="4"/>
  <c r="BA977" i="4"/>
  <c r="AH977" i="4"/>
  <c r="BA991" i="4"/>
  <c r="X996" i="4"/>
  <c r="AG996" i="4"/>
  <c r="AH1017" i="4"/>
  <c r="BC1017" i="4"/>
  <c r="AH1019" i="4"/>
  <c r="X1057" i="4"/>
  <c r="AG1057" i="4"/>
  <c r="BC872" i="4"/>
  <c r="BC880" i="4"/>
  <c r="BC882" i="4"/>
  <c r="AH895" i="4"/>
  <c r="AH899" i="4"/>
  <c r="AH903" i="4"/>
  <c r="AH907" i="4"/>
  <c r="AH911" i="4"/>
  <c r="BA915" i="4"/>
  <c r="AH918" i="4"/>
  <c r="AH919" i="4"/>
  <c r="BA919" i="4"/>
  <c r="BC919" i="4" s="1"/>
  <c r="AH922" i="4"/>
  <c r="AH923" i="4"/>
  <c r="BA923" i="4"/>
  <c r="BC923" i="4" s="1"/>
  <c r="AH926" i="4"/>
  <c r="AH927" i="4"/>
  <c r="BA927" i="4"/>
  <c r="BC927" i="4" s="1"/>
  <c r="AH930" i="4"/>
  <c r="BA931" i="4"/>
  <c r="AH934" i="4"/>
  <c r="AH935" i="4"/>
  <c r="BA935" i="4"/>
  <c r="BC935" i="4" s="1"/>
  <c r="BB940" i="4"/>
  <c r="BC940" i="4" s="1"/>
  <c r="AH940" i="4"/>
  <c r="BC964" i="4"/>
  <c r="X974" i="4"/>
  <c r="AG974" i="4"/>
  <c r="BB974" i="4" s="1"/>
  <c r="AH982" i="4"/>
  <c r="BA995" i="4"/>
  <c r="X1000" i="4"/>
  <c r="AG1000" i="4"/>
  <c r="BB1023" i="4"/>
  <c r="BC1023" i="4" s="1"/>
  <c r="AH1023" i="4"/>
  <c r="X1026" i="4"/>
  <c r="AG1026" i="4"/>
  <c r="X890" i="4"/>
  <c r="X895" i="4"/>
  <c r="X899" i="4"/>
  <c r="X903" i="4"/>
  <c r="X907" i="4"/>
  <c r="X911" i="4"/>
  <c r="X918" i="4"/>
  <c r="X922" i="4"/>
  <c r="X926" i="4"/>
  <c r="X930" i="4"/>
  <c r="X934" i="4"/>
  <c r="BA942" i="4"/>
  <c r="BA950" i="4"/>
  <c r="BA958" i="4"/>
  <c r="X961" i="4"/>
  <c r="X964" i="4"/>
  <c r="AH964" i="4"/>
  <c r="X969" i="4"/>
  <c r="AH980" i="4"/>
  <c r="BC980" i="4"/>
  <c r="BC982" i="4"/>
  <c r="BC990" i="4"/>
  <c r="BC994" i="4"/>
  <c r="BC998" i="4"/>
  <c r="BC1002" i="4"/>
  <c r="AE1006" i="4"/>
  <c r="BC1019" i="4"/>
  <c r="BA1021" i="4"/>
  <c r="X1025" i="4"/>
  <c r="AG1025" i="4"/>
  <c r="BB1025" i="4" s="1"/>
  <c r="BB1027" i="4"/>
  <c r="BC1027" i="4" s="1"/>
  <c r="AH1027" i="4"/>
  <c r="BA1029" i="4"/>
  <c r="X1033" i="4"/>
  <c r="AG1033" i="4"/>
  <c r="BB1033" i="4" s="1"/>
  <c r="BA1038" i="4"/>
  <c r="BA1040" i="4"/>
  <c r="BC1040" i="4" s="1"/>
  <c r="AH1040" i="4"/>
  <c r="BC1043" i="4"/>
  <c r="BA1048" i="4"/>
  <c r="BC1048" i="4" s="1"/>
  <c r="AH1048" i="4"/>
  <c r="X1051" i="4"/>
  <c r="AG1051" i="4"/>
  <c r="AH1068" i="4"/>
  <c r="BB937" i="4"/>
  <c r="BC937" i="4" s="1"/>
  <c r="BA938" i="4"/>
  <c r="BB945" i="4"/>
  <c r="BC945" i="4" s="1"/>
  <c r="BA946" i="4"/>
  <c r="BB953" i="4"/>
  <c r="BC953" i="4" s="1"/>
  <c r="BA954" i="4"/>
  <c r="BB979" i="4"/>
  <c r="BC979" i="4" s="1"/>
  <c r="BC985" i="4"/>
  <c r="AH986" i="4"/>
  <c r="BA986" i="4"/>
  <c r="BC986" i="4" s="1"/>
  <c r="BC1001" i="4"/>
  <c r="BB1007" i="4"/>
  <c r="AH1007" i="4"/>
  <c r="AH1015" i="4"/>
  <c r="R1006" i="4"/>
  <c r="X1023" i="4"/>
  <c r="BA1028" i="4"/>
  <c r="AG1035" i="4"/>
  <c r="BA1044" i="4"/>
  <c r="BC1044" i="4" s="1"/>
  <c r="AH1044" i="4"/>
  <c r="AH1046" i="4"/>
  <c r="BA974" i="4"/>
  <c r="AH990" i="4"/>
  <c r="AH994" i="4"/>
  <c r="AH998" i="4"/>
  <c r="AH1002" i="4"/>
  <c r="BA1009" i="4"/>
  <c r="BC1022" i="4"/>
  <c r="BC1030" i="4"/>
  <c r="X1041" i="4"/>
  <c r="AG1041" i="4"/>
  <c r="BB1041" i="4" s="1"/>
  <c r="X1049" i="4"/>
  <c r="AG1049" i="4"/>
  <c r="BB1049" i="4" s="1"/>
  <c r="X973" i="4"/>
  <c r="X977" i="4"/>
  <c r="X983" i="4"/>
  <c r="AH983" i="4"/>
  <c r="X990" i="4"/>
  <c r="X994" i="4"/>
  <c r="X998" i="4"/>
  <c r="X1002" i="4"/>
  <c r="X1005" i="4"/>
  <c r="AH1005" i="4"/>
  <c r="BA1008" i="4"/>
  <c r="X1020" i="4"/>
  <c r="AH1020" i="4"/>
  <c r="X1022" i="4"/>
  <c r="AH1022" i="4"/>
  <c r="AH1024" i="4"/>
  <c r="X1027" i="4"/>
  <c r="X1030" i="4"/>
  <c r="AH1030" i="4"/>
  <c r="AH1032" i="4"/>
  <c r="BA1034" i="4"/>
  <c r="BC1046" i="4"/>
  <c r="BA1052" i="4"/>
  <c r="BA1060" i="4"/>
  <c r="BA1064" i="4"/>
  <c r="BC1068" i="4"/>
  <c r="AG984" i="4"/>
  <c r="BB984" i="4" s="1"/>
  <c r="AG987" i="4"/>
  <c r="BB987" i="4" s="1"/>
  <c r="AG991" i="4"/>
  <c r="BB991" i="4" s="1"/>
  <c r="AG995" i="4"/>
  <c r="BB995" i="4" s="1"/>
  <c r="AG999" i="4"/>
  <c r="BB999" i="4" s="1"/>
  <c r="AG1003" i="4"/>
  <c r="BB1003" i="4" s="1"/>
  <c r="AR1006" i="4"/>
  <c r="AG1009" i="4"/>
  <c r="BB1009" i="4" s="1"/>
  <c r="BA1012" i="4"/>
  <c r="AG1014" i="4"/>
  <c r="BA1018" i="4"/>
  <c r="BA1056" i="4"/>
  <c r="BA1025" i="4"/>
  <c r="BA1033" i="4"/>
  <c r="BA1037" i="4"/>
  <c r="BC1037" i="4" s="1"/>
  <c r="BA1041" i="4"/>
  <c r="BA1045" i="4"/>
  <c r="BA1049" i="4"/>
  <c r="AH1065" i="4"/>
  <c r="AH1070" i="4"/>
  <c r="X1037" i="4"/>
  <c r="X1040" i="4"/>
  <c r="X1044" i="4"/>
  <c r="X1048" i="4"/>
  <c r="X1055" i="4"/>
  <c r="AH1055" i="4"/>
  <c r="X1059" i="4"/>
  <c r="AH1059" i="4"/>
  <c r="X1063" i="4"/>
  <c r="AH1063" i="4"/>
  <c r="BA1071" i="4"/>
  <c r="AG1052" i="4"/>
  <c r="BB1052" i="4" s="1"/>
  <c r="AG1056" i="4"/>
  <c r="BB1056" i="4" s="1"/>
  <c r="AG1060" i="4"/>
  <c r="BB1060" i="4" s="1"/>
  <c r="AG1064" i="4"/>
  <c r="BB1064" i="4" s="1"/>
  <c r="BA1067" i="4"/>
  <c r="AG1069" i="4"/>
  <c r="AH1066" i="4"/>
  <c r="AJ1074" i="4"/>
  <c r="CN640" i="1" l="1"/>
  <c r="CO640" i="1" s="1"/>
  <c r="CP640" i="1" s="1"/>
  <c r="CQ640" i="1" s="1"/>
  <c r="CR640" i="1" s="1"/>
  <c r="CS640" i="1" s="1"/>
  <c r="CT640" i="1" s="1"/>
  <c r="CU640" i="1" s="1"/>
  <c r="CV640" i="1" s="1"/>
  <c r="CW640" i="1" s="1"/>
  <c r="CX640" i="1" s="1"/>
  <c r="CY640" i="1" s="1"/>
  <c r="BV640" i="1"/>
  <c r="CZ643" i="1"/>
  <c r="BO641" i="1"/>
  <c r="CK640" i="1"/>
  <c r="BP642" i="1"/>
  <c r="BC370" i="4"/>
  <c r="BB372" i="4"/>
  <c r="BC372" i="4" s="1"/>
  <c r="BC350" i="4"/>
  <c r="BC326" i="4"/>
  <c r="AH1011" i="4"/>
  <c r="BC1012" i="4"/>
  <c r="AH868" i="4"/>
  <c r="AH587" i="4"/>
  <c r="AH718" i="4"/>
  <c r="AH485" i="4"/>
  <c r="AH858" i="4"/>
  <c r="AH503" i="4"/>
  <c r="AZ445" i="4"/>
  <c r="AH238" i="4"/>
  <c r="AH154" i="4"/>
  <c r="AZ51" i="4"/>
  <c r="AH1028" i="4"/>
  <c r="AH993" i="4"/>
  <c r="AH876" i="4"/>
  <c r="AH799" i="4"/>
  <c r="AH583" i="4"/>
  <c r="BB626" i="4"/>
  <c r="BC626" i="4" s="1"/>
  <c r="BC587" i="4"/>
  <c r="AH695" i="4"/>
  <c r="BB489" i="4"/>
  <c r="BC489" i="4" s="1"/>
  <c r="AP1087" i="4"/>
  <c r="AP1089" i="4" s="1"/>
  <c r="AH254" i="4"/>
  <c r="BB214" i="4"/>
  <c r="BC214" i="4" s="1"/>
  <c r="AH101" i="4"/>
  <c r="U1087" i="4"/>
  <c r="U1089" i="4" s="1"/>
  <c r="AH1050" i="4"/>
  <c r="BB836" i="4"/>
  <c r="BC836" i="4" s="1"/>
  <c r="AH706" i="4"/>
  <c r="BC762" i="4"/>
  <c r="AH932" i="4"/>
  <c r="AH469" i="4"/>
  <c r="AH316" i="4"/>
  <c r="AH480" i="4"/>
  <c r="BE417" i="5"/>
  <c r="BC886" i="4"/>
  <c r="AH714" i="4"/>
  <c r="AH467" i="4"/>
  <c r="AH535" i="4"/>
  <c r="BC480" i="4"/>
  <c r="BC101" i="4"/>
  <c r="BE415" i="5"/>
  <c r="BE394" i="5"/>
  <c r="BE309" i="5"/>
  <c r="BE306" i="5"/>
  <c r="BE520" i="5"/>
  <c r="BB668" i="4"/>
  <c r="BC668" i="4" s="1"/>
  <c r="S578" i="5"/>
  <c r="BE581" i="5"/>
  <c r="BE180" i="5"/>
  <c r="BE283" i="5"/>
  <c r="AX200" i="5"/>
  <c r="AD596" i="5"/>
  <c r="Z592" i="5"/>
  <c r="U577" i="5"/>
  <c r="AV29" i="5"/>
  <c r="AY21" i="5"/>
  <c r="AY161" i="5"/>
  <c r="AV564" i="5"/>
  <c r="V588" i="5"/>
  <c r="BC946" i="4"/>
  <c r="BB11" i="4"/>
  <c r="BC11" i="4" s="1"/>
  <c r="BB204" i="4"/>
  <c r="BC204" i="4" s="1"/>
  <c r="BC52" i="4"/>
  <c r="BB408" i="4"/>
  <c r="BC408" i="4" s="1"/>
  <c r="AH642" i="4"/>
  <c r="BC1038" i="4"/>
  <c r="BC761" i="4"/>
  <c r="AH481" i="4"/>
  <c r="AB1087" i="4"/>
  <c r="AB1089" i="4" s="1"/>
  <c r="AQ1087" i="4"/>
  <c r="AQ1089" i="4" s="1"/>
  <c r="AH553" i="4"/>
  <c r="BB203" i="4"/>
  <c r="BC203" i="4" s="1"/>
  <c r="AH769" i="4"/>
  <c r="AH916" i="4"/>
  <c r="AH341" i="4"/>
  <c r="AH486" i="4"/>
  <c r="AH478" i="4"/>
  <c r="BB956" i="4"/>
  <c r="BC956" i="4" s="1"/>
  <c r="AH45" i="4"/>
  <c r="AH1038" i="4"/>
  <c r="BB833" i="4"/>
  <c r="BC833" i="4" s="1"/>
  <c r="BB709" i="4"/>
  <c r="BC709" i="4" s="1"/>
  <c r="AH309" i="4"/>
  <c r="AH300" i="4"/>
  <c r="BB446" i="4"/>
  <c r="BC446" i="4" s="1"/>
  <c r="BC273" i="4"/>
  <c r="AH502" i="4"/>
  <c r="BC488" i="4"/>
  <c r="BC45" i="4"/>
  <c r="BB821" i="4"/>
  <c r="BC821" i="4" s="1"/>
  <c r="BC783" i="4"/>
  <c r="AH685" i="4"/>
  <c r="AH473" i="4"/>
  <c r="AH569" i="4"/>
  <c r="BC915" i="4"/>
  <c r="BB775" i="4"/>
  <c r="BC775" i="4" s="1"/>
  <c r="AH574" i="4"/>
  <c r="AH472" i="4"/>
  <c r="Z1087" i="4"/>
  <c r="Z1089" i="4" s="1"/>
  <c r="BB396" i="4"/>
  <c r="BC396" i="4" s="1"/>
  <c r="BC30" i="4"/>
  <c r="AH488" i="4"/>
  <c r="AH78" i="4"/>
  <c r="AM1087" i="4"/>
  <c r="AM1089" i="4" s="1"/>
  <c r="BC358" i="4"/>
  <c r="AH761" i="4"/>
  <c r="BC519" i="4"/>
  <c r="AH328" i="4"/>
  <c r="AH292" i="4"/>
  <c r="AH30" i="4"/>
  <c r="AU1087" i="4"/>
  <c r="AU1089" i="4" s="1"/>
  <c r="BB320" i="4"/>
  <c r="BC320" i="4" s="1"/>
  <c r="BB364" i="4"/>
  <c r="BC364" i="4" s="1"/>
  <c r="AH1031" i="4"/>
  <c r="BB832" i="4"/>
  <c r="BC832" i="4" s="1"/>
  <c r="AH531" i="4"/>
  <c r="AH451" i="4"/>
  <c r="AH17" i="4"/>
  <c r="BB428" i="4"/>
  <c r="BC428" i="4" s="1"/>
  <c r="AH352" i="4"/>
  <c r="AH970" i="4"/>
  <c r="BB857" i="4"/>
  <c r="BC857" i="4" s="1"/>
  <c r="BB420" i="4"/>
  <c r="BC420" i="4" s="1"/>
  <c r="BB308" i="4"/>
  <c r="BC308" i="4" s="1"/>
  <c r="BC1008" i="4"/>
  <c r="BB960" i="4"/>
  <c r="BC960" i="4" s="1"/>
  <c r="AH559" i="4"/>
  <c r="AJ1082" i="4"/>
  <c r="AH222" i="4"/>
  <c r="BB968" i="4"/>
  <c r="BC968" i="4" s="1"/>
  <c r="AH871" i="4"/>
  <c r="AH862" i="4"/>
  <c r="AH691" i="4"/>
  <c r="AH515" i="4"/>
  <c r="AD1087" i="4"/>
  <c r="AD1089" i="4" s="1"/>
  <c r="V1087" i="4"/>
  <c r="V1089" i="4" s="1"/>
  <c r="BB340" i="4"/>
  <c r="BC340" i="4" s="1"/>
  <c r="AV1087" i="4"/>
  <c r="AV1089" i="4" s="1"/>
  <c r="AH1008" i="4"/>
  <c r="BB34" i="4"/>
  <c r="BC34" i="4" s="1"/>
  <c r="BB978" i="4"/>
  <c r="BC978" i="4" s="1"/>
  <c r="AH565" i="4"/>
  <c r="AH549" i="4"/>
  <c r="BC531" i="4"/>
  <c r="BB230" i="4"/>
  <c r="BC230" i="4" s="1"/>
  <c r="BC17" i="4"/>
  <c r="BB731" i="4"/>
  <c r="BC731" i="4" s="1"/>
  <c r="AH307" i="4"/>
  <c r="AH893" i="4"/>
  <c r="BB796" i="4"/>
  <c r="BC796" i="4" s="1"/>
  <c r="BB723" i="4"/>
  <c r="BC723" i="4" s="1"/>
  <c r="AH915" i="4"/>
  <c r="AH773" i="4"/>
  <c r="BC769" i="4"/>
  <c r="BB676" i="4"/>
  <c r="BC676" i="4" s="1"/>
  <c r="AH589" i="4"/>
  <c r="BC528" i="4"/>
  <c r="AH505" i="4"/>
  <c r="AH540" i="4"/>
  <c r="AH519" i="4"/>
  <c r="BC486" i="4"/>
  <c r="BC478" i="4"/>
  <c r="BB432" i="4"/>
  <c r="BC432" i="4" s="1"/>
  <c r="BB356" i="4"/>
  <c r="BC356" i="4" s="1"/>
  <c r="BB312" i="4"/>
  <c r="BC312" i="4" s="1"/>
  <c r="BC502" i="4"/>
  <c r="BC105" i="4"/>
  <c r="AH783" i="4"/>
  <c r="BC438" i="4"/>
  <c r="BC386" i="4"/>
  <c r="AH438" i="4"/>
  <c r="AH671" i="4"/>
  <c r="AH654" i="4"/>
  <c r="AH650" i="4"/>
  <c r="AH634" i="4"/>
  <c r="AH514" i="4"/>
  <c r="AH273" i="4"/>
  <c r="AH877" i="4"/>
  <c r="BC418" i="4"/>
  <c r="BC322" i="4"/>
  <c r="AH402" i="4"/>
  <c r="AI1087" i="4"/>
  <c r="BC1028" i="4"/>
  <c r="AH962" i="4"/>
  <c r="AH902" i="4"/>
  <c r="AH886" i="4"/>
  <c r="AH831" i="4"/>
  <c r="AH619" i="4"/>
  <c r="BC557" i="4"/>
  <c r="AH528" i="4"/>
  <c r="AH566" i="4"/>
  <c r="AH459" i="4"/>
  <c r="BB276" i="4"/>
  <c r="BC276" i="4" s="1"/>
  <c r="AH436" i="4"/>
  <c r="AH400" i="4"/>
  <c r="AH388" i="4"/>
  <c r="AH460" i="4"/>
  <c r="AL1087" i="4"/>
  <c r="AL1089" i="4" s="1"/>
  <c r="AH492" i="4"/>
  <c r="BB103" i="4"/>
  <c r="BC103" i="4" s="1"/>
  <c r="BC877" i="4"/>
  <c r="AH881" i="4"/>
  <c r="BC406" i="4"/>
  <c r="AH789" i="4"/>
  <c r="AH710" i="4"/>
  <c r="AH702" i="4"/>
  <c r="AH557" i="4"/>
  <c r="BC588" i="4"/>
  <c r="AH494" i="4"/>
  <c r="AH508" i="4"/>
  <c r="AH476" i="4"/>
  <c r="AH541" i="4"/>
  <c r="BB324" i="4"/>
  <c r="BC324" i="4" s="1"/>
  <c r="BB304" i="4"/>
  <c r="BC304" i="4" s="1"/>
  <c r="BB58" i="4"/>
  <c r="BC58" i="4" s="1"/>
  <c r="AH146" i="4"/>
  <c r="AH81" i="4"/>
  <c r="AH972" i="4"/>
  <c r="AH1012" i="4"/>
  <c r="AH406" i="4"/>
  <c r="AH959" i="4"/>
  <c r="BB631" i="4"/>
  <c r="BC631" i="4" s="1"/>
  <c r="AH588" i="4"/>
  <c r="AH468" i="4"/>
  <c r="AH345" i="4"/>
  <c r="AH313" i="4"/>
  <c r="BB332" i="4"/>
  <c r="BC332" i="4" s="1"/>
  <c r="BB1062" i="4"/>
  <c r="BC1062" i="4" s="1"/>
  <c r="AH483" i="4"/>
  <c r="BB440" i="4"/>
  <c r="BC440" i="4" s="1"/>
  <c r="BB138" i="4"/>
  <c r="BC138" i="4" s="1"/>
  <c r="AH1042" i="4"/>
  <c r="AH928" i="4"/>
  <c r="AH339" i="4"/>
  <c r="AH816" i="4"/>
  <c r="AH965" i="4"/>
  <c r="AH865" i="4"/>
  <c r="BB660" i="4"/>
  <c r="BC660" i="4" s="1"/>
  <c r="AH344" i="4"/>
  <c r="AH347" i="4"/>
  <c r="AH315" i="4"/>
  <c r="BC390" i="4"/>
  <c r="BB1053" i="4"/>
  <c r="BC1053" i="4" s="1"/>
  <c r="BB875" i="4"/>
  <c r="BC875" i="4" s="1"/>
  <c r="AH323" i="4"/>
  <c r="BB163" i="4"/>
  <c r="BC163" i="4" s="1"/>
  <c r="BB664" i="4"/>
  <c r="BC664" i="4" s="1"/>
  <c r="AH113" i="4"/>
  <c r="AH331" i="4"/>
  <c r="BB384" i="4"/>
  <c r="BC384" i="4" s="1"/>
  <c r="BB296" i="4"/>
  <c r="BC296" i="4" s="1"/>
  <c r="AG445" i="4"/>
  <c r="BB913" i="4"/>
  <c r="BC913" i="4" s="1"/>
  <c r="AH845" i="4"/>
  <c r="AH901" i="4"/>
  <c r="AH854" i="4"/>
  <c r="BB655" i="4"/>
  <c r="BC655" i="4" s="1"/>
  <c r="AH591" i="4"/>
  <c r="BC565" i="4"/>
  <c r="BC536" i="4"/>
  <c r="BB512" i="4"/>
  <c r="BC512" i="4" s="1"/>
  <c r="BB348" i="4"/>
  <c r="BC348" i="4" s="1"/>
  <c r="BB195" i="4"/>
  <c r="BC195" i="4" s="1"/>
  <c r="AH778" i="4"/>
  <c r="BC334" i="4"/>
  <c r="BC434" i="4"/>
  <c r="BC1071" i="4"/>
  <c r="AH1016" i="4"/>
  <c r="BB853" i="4"/>
  <c r="BC853" i="4" s="1"/>
  <c r="BB905" i="4"/>
  <c r="BC905" i="4" s="1"/>
  <c r="AH598" i="4"/>
  <c r="AH507" i="4"/>
  <c r="AH462" i="4"/>
  <c r="AH545" i="4"/>
  <c r="AH351" i="4"/>
  <c r="AH343" i="4"/>
  <c r="AH335" i="4"/>
  <c r="AH327" i="4"/>
  <c r="AH319" i="4"/>
  <c r="AH311" i="4"/>
  <c r="BB450" i="4"/>
  <c r="BC450" i="4" s="1"/>
  <c r="AH412" i="4"/>
  <c r="AH404" i="4"/>
  <c r="AH495" i="4"/>
  <c r="AH246" i="4"/>
  <c r="BC374" i="4"/>
  <c r="BC346" i="4"/>
  <c r="AH1071" i="4"/>
  <c r="BC938" i="4"/>
  <c r="BB705" i="4"/>
  <c r="BC705" i="4" s="1"/>
  <c r="BC778" i="4"/>
  <c r="BC495" i="4"/>
  <c r="BB215" i="4"/>
  <c r="BC215" i="4" s="1"/>
  <c r="BB837" i="4"/>
  <c r="BC837" i="4" s="1"/>
  <c r="BC958" i="4"/>
  <c r="AH929" i="4"/>
  <c r="AH759" i="4"/>
  <c r="BC577" i="4"/>
  <c r="AH577" i="4"/>
  <c r="AH497" i="4"/>
  <c r="AH510" i="4"/>
  <c r="AH475" i="4"/>
  <c r="AH376" i="4"/>
  <c r="BB682" i="4"/>
  <c r="BC682" i="4" s="1"/>
  <c r="AH638" i="4"/>
  <c r="AH509" i="4"/>
  <c r="BC493" i="4"/>
  <c r="AH958" i="4"/>
  <c r="AH764" i="4"/>
  <c r="BC959" i="4"/>
  <c r="AH526" i="4"/>
  <c r="BB179" i="4"/>
  <c r="BC179" i="4" s="1"/>
  <c r="X525" i="4"/>
  <c r="BC1018" i="4"/>
  <c r="AZ1006" i="4"/>
  <c r="AH981" i="4"/>
  <c r="AH944" i="4"/>
  <c r="BB883" i="4"/>
  <c r="BC883" i="4" s="1"/>
  <c r="BB879" i="4"/>
  <c r="BC879" i="4" s="1"/>
  <c r="AH989" i="4"/>
  <c r="AH957" i="4"/>
  <c r="AH663" i="4"/>
  <c r="BB767" i="4"/>
  <c r="BC767" i="4" s="1"/>
  <c r="BC533" i="4"/>
  <c r="AH563" i="4"/>
  <c r="AH454" i="4"/>
  <c r="AH380" i="4"/>
  <c r="AH360" i="4"/>
  <c r="AH336" i="4"/>
  <c r="AZ458" i="4"/>
  <c r="AH762" i="4"/>
  <c r="BC394" i="4"/>
  <c r="BC342" i="4"/>
  <c r="BC310" i="4"/>
  <c r="BC422" i="4"/>
  <c r="BC402" i="4"/>
  <c r="BC314" i="4"/>
  <c r="BC430" i="4"/>
  <c r="AH322" i="4"/>
  <c r="AH29" i="4"/>
  <c r="AH781" i="4"/>
  <c r="AH748" i="4"/>
  <c r="BC593" i="4"/>
  <c r="AH533" i="4"/>
  <c r="AH424" i="4"/>
  <c r="BB416" i="4"/>
  <c r="BC416" i="4" s="1"/>
  <c r="BB86" i="4"/>
  <c r="BC86" i="4" s="1"/>
  <c r="AH130" i="4"/>
  <c r="BB275" i="4"/>
  <c r="BC275" i="4" s="1"/>
  <c r="AH117" i="4"/>
  <c r="AH71" i="4"/>
  <c r="AH732" i="4"/>
  <c r="BC443" i="4"/>
  <c r="BC414" i="4"/>
  <c r="AH414" i="4"/>
  <c r="AH394" i="4"/>
  <c r="AH310" i="4"/>
  <c r="BC950" i="4"/>
  <c r="AH997" i="4"/>
  <c r="AH860" i="4"/>
  <c r="AH897" i="4"/>
  <c r="AH740" i="4"/>
  <c r="AH603" i="4"/>
  <c r="AH950" i="4"/>
  <c r="AH827" i="4"/>
  <c r="AH593" i="4"/>
  <c r="AH470" i="4"/>
  <c r="AH493" i="4"/>
  <c r="BB1054" i="4"/>
  <c r="BC1054" i="4" s="1"/>
  <c r="BC362" i="4"/>
  <c r="AH443" i="4"/>
  <c r="AH342" i="4"/>
  <c r="AH422" i="4"/>
  <c r="AH386" i="4"/>
  <c r="AH938" i="4"/>
  <c r="BC942" i="4"/>
  <c r="AH874" i="4"/>
  <c r="BB909" i="4"/>
  <c r="BC909" i="4" s="1"/>
  <c r="AH772" i="4"/>
  <c r="BC378" i="4"/>
  <c r="AH967" i="4"/>
  <c r="BB727" i="4"/>
  <c r="BC727" i="4" s="1"/>
  <c r="BC38" i="4"/>
  <c r="BC426" i="4"/>
  <c r="AH430" i="4"/>
  <c r="BC881" i="4"/>
  <c r="AH942" i="4"/>
  <c r="AH807" i="4"/>
  <c r="BB717" i="4"/>
  <c r="BC717" i="4" s="1"/>
  <c r="BB722" i="4"/>
  <c r="BC722" i="4" s="1"/>
  <c r="AJ1081" i="4"/>
  <c r="BC1021" i="4"/>
  <c r="BC766" i="4"/>
  <c r="AH924" i="4"/>
  <c r="BC864" i="4"/>
  <c r="BB920" i="4"/>
  <c r="BC920" i="4" s="1"/>
  <c r="BC1034" i="4"/>
  <c r="AH904" i="4"/>
  <c r="AH1010" i="4"/>
  <c r="BB720" i="4"/>
  <c r="BC720" i="4" s="1"/>
  <c r="AH840" i="4"/>
  <c r="BC904" i="4"/>
  <c r="BB878" i="4"/>
  <c r="BC878" i="4" s="1"/>
  <c r="BB849" i="4"/>
  <c r="BC849" i="4" s="1"/>
  <c r="AH713" i="4"/>
  <c r="BB625" i="4"/>
  <c r="BC625" i="4" s="1"/>
  <c r="AH479" i="4"/>
  <c r="BC462" i="4"/>
  <c r="AH536" i="4"/>
  <c r="AH491" i="4"/>
  <c r="BB392" i="4"/>
  <c r="BC392" i="4" s="1"/>
  <c r="BB368" i="4"/>
  <c r="BC368" i="4" s="1"/>
  <c r="BC490" i="4"/>
  <c r="X9" i="4"/>
  <c r="BB131" i="4"/>
  <c r="BC131" i="4" s="1"/>
  <c r="BC954" i="4"/>
  <c r="AH946" i="4"/>
  <c r="BC931" i="4"/>
  <c r="AH971" i="4"/>
  <c r="AH975" i="4"/>
  <c r="AH884" i="4"/>
  <c r="AH834" i="4"/>
  <c r="BC787" i="4"/>
  <c r="AH573" i="4"/>
  <c r="AH487" i="4"/>
  <c r="AH522" i="4"/>
  <c r="AH284" i="4"/>
  <c r="BB151" i="4"/>
  <c r="BC151" i="4" s="1"/>
  <c r="AH187" i="4"/>
  <c r="AH105" i="4"/>
  <c r="BC60" i="4"/>
  <c r="AH107" i="4"/>
  <c r="AH804" i="4"/>
  <c r="AH1061" i="4"/>
  <c r="BC1067" i="4"/>
  <c r="AH954" i="4"/>
  <c r="BC1029" i="4"/>
  <c r="AH963" i="4"/>
  <c r="AH949" i="4"/>
  <c r="AH931" i="4"/>
  <c r="AH941" i="4"/>
  <c r="AH785" i="4"/>
  <c r="BC573" i="4"/>
  <c r="AH513" i="4"/>
  <c r="AH646" i="4"/>
  <c r="BC482" i="4"/>
  <c r="AH60" i="4"/>
  <c r="AH268" i="4"/>
  <c r="BC770" i="4"/>
  <c r="X287" i="4"/>
  <c r="P1087" i="4"/>
  <c r="BC504" i="4"/>
  <c r="BC56" i="4"/>
  <c r="AH178" i="4"/>
  <c r="BB188" i="4"/>
  <c r="BC188" i="4" s="1"/>
  <c r="AH504" i="4"/>
  <c r="AC1087" i="4"/>
  <c r="AC1089" i="4" s="1"/>
  <c r="BC94" i="4"/>
  <c r="BC456" i="4"/>
  <c r="BC338" i="4"/>
  <c r="AH418" i="4"/>
  <c r="AH346" i="4"/>
  <c r="BC268" i="4"/>
  <c r="BB622" i="4"/>
  <c r="BC622" i="4" s="1"/>
  <c r="BC330" i="4"/>
  <c r="AH456" i="4"/>
  <c r="BC410" i="4"/>
  <c r="BC306" i="4"/>
  <c r="BC452" i="4"/>
  <c r="AH398" i="4"/>
  <c r="AH465" i="4"/>
  <c r="BC448" i="4"/>
  <c r="BC398" i="4"/>
  <c r="AH452" i="4"/>
  <c r="AH448" i="4"/>
  <c r="AH306" i="4"/>
  <c r="AH1029" i="4"/>
  <c r="AH330" i="4"/>
  <c r="AH501" i="4"/>
  <c r="AH471" i="4"/>
  <c r="AH280" i="4"/>
  <c r="AH56" i="4"/>
  <c r="AH326" i="4"/>
  <c r="AH434" i="4"/>
  <c r="BE1081" i="4"/>
  <c r="BE1087" i="4" s="1"/>
  <c r="AH787" i="4"/>
  <c r="AH370" i="4"/>
  <c r="BC863" i="4"/>
  <c r="AH766" i="4"/>
  <c r="BC522" i="4"/>
  <c r="AG287" i="4"/>
  <c r="AG1084" i="4" s="1"/>
  <c r="AW1087" i="4"/>
  <c r="AW1089" i="4" s="1"/>
  <c r="AH490" i="4"/>
  <c r="AH482" i="4"/>
  <c r="AH378" i="4"/>
  <c r="BC366" i="4"/>
  <c r="AH366" i="4"/>
  <c r="AT1087" i="4"/>
  <c r="AT1089" i="4" s="1"/>
  <c r="AN1087" i="4"/>
  <c r="AN1089" i="4" s="1"/>
  <c r="Y1087" i="4"/>
  <c r="Y1089" i="4" s="1"/>
  <c r="AH873" i="4"/>
  <c r="AH362" i="4"/>
  <c r="AH518" i="4"/>
  <c r="AS1087" i="4"/>
  <c r="AS1089" i="4" s="1"/>
  <c r="BA445" i="4"/>
  <c r="AO1087" i="4"/>
  <c r="AO1089" i="4" s="1"/>
  <c r="AH354" i="4"/>
  <c r="AH390" i="4"/>
  <c r="AH334" i="4"/>
  <c r="AH338" i="4"/>
  <c r="AH374" i="4"/>
  <c r="BC774" i="4"/>
  <c r="AH38" i="4"/>
  <c r="AH426" i="4"/>
  <c r="AH774" i="4"/>
  <c r="AH94" i="4"/>
  <c r="BC318" i="4"/>
  <c r="AH410" i="4"/>
  <c r="AX1087" i="4"/>
  <c r="AX1089" i="4" s="1"/>
  <c r="BC90" i="4"/>
  <c r="AG9" i="4"/>
  <c r="AG1079" i="4" s="1"/>
  <c r="AY1081" i="4"/>
  <c r="AY1087" i="4" s="1"/>
  <c r="AH382" i="4"/>
  <c r="AH477" i="4"/>
  <c r="AH90" i="4"/>
  <c r="BA156" i="4"/>
  <c r="AH1067" i="4"/>
  <c r="BC382" i="4"/>
  <c r="AA1087" i="4"/>
  <c r="AA1089" i="4" s="1"/>
  <c r="BC601" i="4"/>
  <c r="AH500" i="4"/>
  <c r="AZ156" i="4"/>
  <c r="AH506" i="4"/>
  <c r="AH499" i="4"/>
  <c r="W1087" i="4"/>
  <c r="W1089" i="4" s="1"/>
  <c r="AH1021" i="4"/>
  <c r="AH358" i="4"/>
  <c r="AH350" i="4"/>
  <c r="BC1041" i="4"/>
  <c r="AH1025" i="4"/>
  <c r="AH1060" i="4"/>
  <c r="X177" i="4"/>
  <c r="AH1009" i="4"/>
  <c r="AH974" i="4"/>
  <c r="AH808" i="4"/>
  <c r="BB808" i="4"/>
  <c r="BC808" i="4" s="1"/>
  <c r="AH318" i="4"/>
  <c r="BC1025" i="4"/>
  <c r="BC819" i="4"/>
  <c r="AH863" i="4"/>
  <c r="X445" i="4"/>
  <c r="AH947" i="4"/>
  <c r="BB947" i="4"/>
  <c r="BC947" i="4" s="1"/>
  <c r="AH314" i="4"/>
  <c r="BC1009" i="4"/>
  <c r="BC844" i="4"/>
  <c r="AR1086" i="4"/>
  <c r="AZ538" i="4"/>
  <c r="AZ1086" i="4" s="1"/>
  <c r="BA260" i="4"/>
  <c r="BA1083" i="4" s="1"/>
  <c r="AH302" i="4"/>
  <c r="AH294" i="4"/>
  <c r="AR1084" i="4"/>
  <c r="AZ287" i="4"/>
  <c r="AZ1084" i="4" s="1"/>
  <c r="BC609" i="4"/>
  <c r="AH757" i="4"/>
  <c r="R1081" i="4"/>
  <c r="X1081" i="4" s="1"/>
  <c r="BA177" i="4"/>
  <c r="BA1082" i="4" s="1"/>
  <c r="AH864" i="4"/>
  <c r="BC298" i="4"/>
  <c r="BC290" i="4"/>
  <c r="AR1079" i="4"/>
  <c r="AZ9" i="4"/>
  <c r="AZ1079" i="4" s="1"/>
  <c r="AH200" i="4"/>
  <c r="BB200" i="4"/>
  <c r="BC200" i="4" s="1"/>
  <c r="AH92" i="4"/>
  <c r="BB92" i="4"/>
  <c r="BC92" i="4" s="1"/>
  <c r="AR1080" i="4"/>
  <c r="AZ20" i="4"/>
  <c r="AZ1080" i="4" s="1"/>
  <c r="BC1045" i="4"/>
  <c r="BC597" i="4"/>
  <c r="X458" i="4"/>
  <c r="AR1083" i="4"/>
  <c r="AZ260" i="4"/>
  <c r="T1087" i="4"/>
  <c r="T1089" i="4" s="1"/>
  <c r="AH1013" i="4"/>
  <c r="BB1013" i="4"/>
  <c r="BC1013" i="4" s="1"/>
  <c r="AH793" i="4"/>
  <c r="BB793" i="4"/>
  <c r="BC793" i="4" s="1"/>
  <c r="AH686" i="4"/>
  <c r="BB686" i="4"/>
  <c r="BC686" i="4" s="1"/>
  <c r="AH656" i="4"/>
  <c r="BB656" i="4"/>
  <c r="BC656" i="4" s="1"/>
  <c r="AH298" i="4"/>
  <c r="AH290" i="4"/>
  <c r="AH227" i="4"/>
  <c r="BB227" i="4"/>
  <c r="BC227" i="4" s="1"/>
  <c r="AR1082" i="4"/>
  <c r="AZ177" i="4"/>
  <c r="Q1081" i="4"/>
  <c r="Q1087" i="4" s="1"/>
  <c r="AH88" i="4"/>
  <c r="BB88" i="4"/>
  <c r="BC88" i="4" s="1"/>
  <c r="AH211" i="4"/>
  <c r="BB211" i="4"/>
  <c r="BC211" i="4" s="1"/>
  <c r="AH1045" i="4"/>
  <c r="AH1033" i="4"/>
  <c r="AH1052" i="4"/>
  <c r="X1006" i="4"/>
  <c r="BC995" i="4"/>
  <c r="BC791" i="4"/>
  <c r="BC708" i="4"/>
  <c r="AH597" i="4"/>
  <c r="AH670" i="4"/>
  <c r="AH498" i="4"/>
  <c r="AH548" i="4"/>
  <c r="AH520" i="4"/>
  <c r="X260" i="4"/>
  <c r="X20" i="4"/>
  <c r="AH69" i="4"/>
  <c r="AH1018" i="4"/>
  <c r="AH885" i="4"/>
  <c r="AR1085" i="4"/>
  <c r="AZ525" i="4"/>
  <c r="AH770" i="4"/>
  <c r="AH550" i="4"/>
  <c r="BB550" i="4"/>
  <c r="BC550" i="4" s="1"/>
  <c r="BC302" i="4"/>
  <c r="BC294" i="4"/>
  <c r="AH830" i="4"/>
  <c r="BB830" i="4"/>
  <c r="BC830" i="4" s="1"/>
  <c r="AH184" i="4"/>
  <c r="BB184" i="4"/>
  <c r="BC184" i="4" s="1"/>
  <c r="AH96" i="4"/>
  <c r="BB96" i="4"/>
  <c r="BC96" i="4" s="1"/>
  <c r="AR1072" i="4"/>
  <c r="S1087" i="4"/>
  <c r="S1089" i="4" s="1"/>
  <c r="AF1081" i="4"/>
  <c r="AF1087" i="4" s="1"/>
  <c r="BC1033" i="4"/>
  <c r="BC1064" i="4"/>
  <c r="BC1052" i="4"/>
  <c r="AH991" i="4"/>
  <c r="AH1004" i="4"/>
  <c r="BB1004" i="4"/>
  <c r="BC1004" i="4" s="1"/>
  <c r="BC839" i="4"/>
  <c r="AH1003" i="4"/>
  <c r="AH888" i="4"/>
  <c r="BB888" i="4"/>
  <c r="BC888" i="4" s="1"/>
  <c r="AH819" i="4"/>
  <c r="AH810" i="4"/>
  <c r="AH802" i="4"/>
  <c r="BC848" i="4"/>
  <c r="AH844" i="4"/>
  <c r="AH798" i="4"/>
  <c r="BC712" i="4"/>
  <c r="AH708" i="4"/>
  <c r="AH674" i="4"/>
  <c r="AH666" i="4"/>
  <c r="AH658" i="4"/>
  <c r="AH633" i="4"/>
  <c r="AH984" i="4"/>
  <c r="BC734" i="4"/>
  <c r="BC726" i="4"/>
  <c r="BB792" i="4"/>
  <c r="BC792" i="4" s="1"/>
  <c r="AH792" i="4"/>
  <c r="BC754" i="4"/>
  <c r="AH750" i="4"/>
  <c r="BC738" i="4"/>
  <c r="BC684" i="4"/>
  <c r="BC662" i="4"/>
  <c r="BC621" i="4"/>
  <c r="AH617" i="4"/>
  <c r="BC605" i="4"/>
  <c r="BB811" i="4"/>
  <c r="BC811" i="4" s="1"/>
  <c r="AH811" i="4"/>
  <c r="AH755" i="4"/>
  <c r="BB755" i="4"/>
  <c r="BC755" i="4" s="1"/>
  <c r="AH747" i="4"/>
  <c r="BB747" i="4"/>
  <c r="BC747" i="4" s="1"/>
  <c r="AH739" i="4"/>
  <c r="BB739" i="4"/>
  <c r="BC739" i="4" s="1"/>
  <c r="BC730" i="4"/>
  <c r="BC628" i="4"/>
  <c r="AH618" i="4"/>
  <c r="BB618" i="4"/>
  <c r="BC618" i="4" s="1"/>
  <c r="AH610" i="4"/>
  <c r="BB610" i="4"/>
  <c r="BC610" i="4" s="1"/>
  <c r="AH602" i="4"/>
  <c r="BB602" i="4"/>
  <c r="BC602" i="4" s="1"/>
  <c r="AH584" i="4"/>
  <c r="BB667" i="4"/>
  <c r="BC667" i="4" s="1"/>
  <c r="AH667" i="4"/>
  <c r="BC644" i="4"/>
  <c r="AH627" i="4"/>
  <c r="BB675" i="4"/>
  <c r="BC675" i="4" s="1"/>
  <c r="AH675" i="4"/>
  <c r="AH640" i="4"/>
  <c r="BB562" i="4"/>
  <c r="BC562" i="4" s="1"/>
  <c r="AH562" i="4"/>
  <c r="BC693" i="4"/>
  <c r="AH652" i="4"/>
  <c r="BC636" i="4"/>
  <c r="AH527" i="4"/>
  <c r="BB659" i="4"/>
  <c r="BC659" i="4" s="1"/>
  <c r="AH659" i="4"/>
  <c r="BB570" i="4"/>
  <c r="BC570" i="4" s="1"/>
  <c r="AH570" i="4"/>
  <c r="BC561" i="4"/>
  <c r="BB463" i="4"/>
  <c r="BC463" i="4" s="1"/>
  <c r="AG458" i="4"/>
  <c r="AH552" i="4"/>
  <c r="BC648" i="4"/>
  <c r="AH568" i="4"/>
  <c r="J1089" i="4"/>
  <c r="BC253" i="4"/>
  <c r="AH245" i="4"/>
  <c r="BB234" i="4"/>
  <c r="BC234" i="4" s="1"/>
  <c r="AH234" i="4"/>
  <c r="BC221" i="4"/>
  <c r="AH213" i="4"/>
  <c r="BC202" i="4"/>
  <c r="AH194" i="4"/>
  <c r="BB183" i="4"/>
  <c r="BC183" i="4" s="1"/>
  <c r="AH183" i="4"/>
  <c r="BC153" i="4"/>
  <c r="AH145" i="4"/>
  <c r="BB134" i="4"/>
  <c r="BC134" i="4" s="1"/>
  <c r="AH134" i="4"/>
  <c r="R1079" i="4"/>
  <c r="X1079" i="4" s="1"/>
  <c r="R1072" i="4"/>
  <c r="BB554" i="4"/>
  <c r="BC554" i="4" s="1"/>
  <c r="AH554" i="4"/>
  <c r="BB286" i="4"/>
  <c r="BC286" i="4" s="1"/>
  <c r="AH286" i="4"/>
  <c r="BB278" i="4"/>
  <c r="BC278" i="4" s="1"/>
  <c r="AH278" i="4"/>
  <c r="AH173" i="4"/>
  <c r="BB120" i="4"/>
  <c r="BC120" i="4" s="1"/>
  <c r="AH120" i="4"/>
  <c r="BC111" i="4"/>
  <c r="BC84" i="4"/>
  <c r="BC76" i="4"/>
  <c r="AE1081" i="4"/>
  <c r="AH49" i="4"/>
  <c r="BC41" i="4"/>
  <c r="BB39" i="4"/>
  <c r="BC39" i="4" s="1"/>
  <c r="AH39" i="4"/>
  <c r="Q1072" i="4"/>
  <c r="Q1077" i="4" s="1"/>
  <c r="BC22" i="4"/>
  <c r="BC249" i="4"/>
  <c r="BC241" i="4"/>
  <c r="BC233" i="4"/>
  <c r="BC225" i="4"/>
  <c r="BC217" i="4"/>
  <c r="BC209" i="4"/>
  <c r="BB110" i="4"/>
  <c r="BC110" i="4" s="1"/>
  <c r="AH110" i="4"/>
  <c r="AH169" i="4"/>
  <c r="AH165" i="4"/>
  <c r="BB116" i="4"/>
  <c r="BC116" i="4" s="1"/>
  <c r="AH116" i="4"/>
  <c r="BB1069" i="4"/>
  <c r="BC1069" i="4" s="1"/>
  <c r="AH1069" i="4"/>
  <c r="BC1049" i="4"/>
  <c r="BC1056" i="4"/>
  <c r="AH1064" i="4"/>
  <c r="BB1035" i="4"/>
  <c r="BC1035" i="4" s="1"/>
  <c r="AH1035" i="4"/>
  <c r="BC1007" i="4"/>
  <c r="AH996" i="4"/>
  <c r="BB996" i="4"/>
  <c r="BC996" i="4" s="1"/>
  <c r="AH988" i="4"/>
  <c r="BB988" i="4"/>
  <c r="BC988" i="4" s="1"/>
  <c r="AH839" i="4"/>
  <c r="BC852" i="4"/>
  <c r="AH848" i="4"/>
  <c r="BC806" i="4"/>
  <c r="BC795" i="4"/>
  <c r="AH826" i="4"/>
  <c r="BB826" i="4"/>
  <c r="BC826" i="4" s="1"/>
  <c r="BC716" i="4"/>
  <c r="AH712" i="4"/>
  <c r="BC700" i="4"/>
  <c r="BC633" i="4"/>
  <c r="BC987" i="4"/>
  <c r="AH734" i="4"/>
  <c r="AH726" i="4"/>
  <c r="BC697" i="4"/>
  <c r="BC815" i="4"/>
  <c r="AH754" i="4"/>
  <c r="BC742" i="4"/>
  <c r="AH738" i="4"/>
  <c r="AH684" i="4"/>
  <c r="AH662" i="4"/>
  <c r="AH621" i="4"/>
  <c r="AH605" i="4"/>
  <c r="AH730" i="4"/>
  <c r="BC624" i="4"/>
  <c r="AH644" i="4"/>
  <c r="AH645" i="4"/>
  <c r="BB645" i="4"/>
  <c r="BC645" i="4" s="1"/>
  <c r="AH693" i="4"/>
  <c r="AH636" i="4"/>
  <c r="AH653" i="4"/>
  <c r="BB653" i="4"/>
  <c r="BC653" i="4" s="1"/>
  <c r="BC689" i="4"/>
  <c r="AH523" i="4"/>
  <c r="AH694" i="4"/>
  <c r="BB694" i="4"/>
  <c r="BC694" i="4" s="1"/>
  <c r="AH561" i="4"/>
  <c r="M1089" i="4"/>
  <c r="AH529" i="4"/>
  <c r="BB271" i="4"/>
  <c r="BC271" i="4" s="1"/>
  <c r="AH271" i="4"/>
  <c r="AH648" i="4"/>
  <c r="AG525" i="4"/>
  <c r="AG1085" i="4" s="1"/>
  <c r="AH253" i="4"/>
  <c r="BB242" i="4"/>
  <c r="BC242" i="4" s="1"/>
  <c r="AH242" i="4"/>
  <c r="BC229" i="4"/>
  <c r="AH221" i="4"/>
  <c r="BB210" i="4"/>
  <c r="BC210" i="4" s="1"/>
  <c r="AH210" i="4"/>
  <c r="AH202" i="4"/>
  <c r="BB191" i="4"/>
  <c r="BC191" i="4" s="1"/>
  <c r="AH191" i="4"/>
  <c r="BB170" i="4"/>
  <c r="BC170" i="4" s="1"/>
  <c r="AH170" i="4"/>
  <c r="AH153" i="4"/>
  <c r="BB142" i="4"/>
  <c r="BC142" i="4" s="1"/>
  <c r="AH142" i="4"/>
  <c r="BC129" i="4"/>
  <c r="L1089" i="4"/>
  <c r="AE1072" i="4"/>
  <c r="AG260" i="4"/>
  <c r="AG1083" i="4" s="1"/>
  <c r="AG177" i="4"/>
  <c r="AG1082" i="4" s="1"/>
  <c r="BC173" i="4"/>
  <c r="BC115" i="4"/>
  <c r="AH111" i="4"/>
  <c r="AH84" i="4"/>
  <c r="AH76" i="4"/>
  <c r="X51" i="4"/>
  <c r="O1089" i="4"/>
  <c r="G1089" i="4"/>
  <c r="AH41" i="4"/>
  <c r="AH22" i="4"/>
  <c r="BB53" i="4"/>
  <c r="AH53" i="4"/>
  <c r="AG51" i="4"/>
  <c r="BC264" i="4"/>
  <c r="AH249" i="4"/>
  <c r="AH241" i="4"/>
  <c r="AH233" i="4"/>
  <c r="AH225" i="4"/>
  <c r="AH217" i="4"/>
  <c r="AH209" i="4"/>
  <c r="BC108" i="4"/>
  <c r="BB106" i="4"/>
  <c r="BC106" i="4" s="1"/>
  <c r="AH106" i="4"/>
  <c r="AH265" i="4"/>
  <c r="BB265" i="4"/>
  <c r="BC265" i="4" s="1"/>
  <c r="BC119" i="4"/>
  <c r="BC10" i="4"/>
  <c r="BA9" i="4"/>
  <c r="AY1072" i="4"/>
  <c r="AH1049" i="4"/>
  <c r="AH1041" i="4"/>
  <c r="AH1056" i="4"/>
  <c r="BB1014" i="4"/>
  <c r="BC1014" i="4" s="1"/>
  <c r="AH1014" i="4"/>
  <c r="BC1060" i="4"/>
  <c r="AH1034" i="4"/>
  <c r="BA1006" i="4"/>
  <c r="BC974" i="4"/>
  <c r="AG1006" i="4"/>
  <c r="BB1051" i="4"/>
  <c r="BC1051" i="4" s="1"/>
  <c r="AH1051" i="4"/>
  <c r="BB1026" i="4"/>
  <c r="BC1026" i="4" s="1"/>
  <c r="AH1026" i="4"/>
  <c r="AH995" i="4"/>
  <c r="BC999" i="4"/>
  <c r="AH791" i="4"/>
  <c r="AH992" i="4"/>
  <c r="BB992" i="4"/>
  <c r="BC992" i="4" s="1"/>
  <c r="BC856" i="4"/>
  <c r="AH852" i="4"/>
  <c r="BC818" i="4"/>
  <c r="AH806" i="4"/>
  <c r="AH795" i="4"/>
  <c r="AH716" i="4"/>
  <c r="BC704" i="4"/>
  <c r="AH700" i="4"/>
  <c r="AH987" i="4"/>
  <c r="AH758" i="4"/>
  <c r="AH697" i="4"/>
  <c r="BC829" i="4"/>
  <c r="AH815" i="4"/>
  <c r="BC746" i="4"/>
  <c r="AH742" i="4"/>
  <c r="BC670" i="4"/>
  <c r="BC613" i="4"/>
  <c r="AH609" i="4"/>
  <c r="BC825" i="4"/>
  <c r="BB803" i="4"/>
  <c r="BC803" i="4" s="1"/>
  <c r="AH803" i="4"/>
  <c r="BC757" i="4"/>
  <c r="AH751" i="4"/>
  <c r="BB751" i="4"/>
  <c r="BC751" i="4" s="1"/>
  <c r="AH743" i="4"/>
  <c r="BB743" i="4"/>
  <c r="BC743" i="4" s="1"/>
  <c r="AH735" i="4"/>
  <c r="AH624" i="4"/>
  <c r="AH614" i="4"/>
  <c r="BB614" i="4"/>
  <c r="BC614" i="4" s="1"/>
  <c r="AH606" i="4"/>
  <c r="BB606" i="4"/>
  <c r="BC606" i="4" s="1"/>
  <c r="AH601" i="4"/>
  <c r="AH690" i="4"/>
  <c r="BB690" i="4"/>
  <c r="BC690" i="4" s="1"/>
  <c r="AH649" i="4"/>
  <c r="BB649" i="4"/>
  <c r="BC649" i="4" s="1"/>
  <c r="AH641" i="4"/>
  <c r="BB641" i="4"/>
  <c r="BC641" i="4" s="1"/>
  <c r="AH689" i="4"/>
  <c r="AH637" i="4"/>
  <c r="BB637" i="4"/>
  <c r="BC637" i="4" s="1"/>
  <c r="AH537" i="4"/>
  <c r="X538" i="4"/>
  <c r="BB530" i="4"/>
  <c r="BC530" i="4" s="1"/>
  <c r="AH530" i="4"/>
  <c r="AH464" i="4"/>
  <c r="BB464" i="4"/>
  <c r="BC464" i="4" s="1"/>
  <c r="I1089" i="4"/>
  <c r="N1089" i="4"/>
  <c r="F1089" i="4"/>
  <c r="BB250" i="4"/>
  <c r="BC250" i="4" s="1"/>
  <c r="AH250" i="4"/>
  <c r="BC237" i="4"/>
  <c r="AH229" i="4"/>
  <c r="BB218" i="4"/>
  <c r="BC218" i="4" s="1"/>
  <c r="AH218" i="4"/>
  <c r="AH207" i="4"/>
  <c r="BB199" i="4"/>
  <c r="BC199" i="4" s="1"/>
  <c r="AH199" i="4"/>
  <c r="BC186" i="4"/>
  <c r="BB150" i="4"/>
  <c r="BC150" i="4" s="1"/>
  <c r="AH150" i="4"/>
  <c r="BC137" i="4"/>
  <c r="AH129" i="4"/>
  <c r="BC461" i="4"/>
  <c r="AH175" i="4"/>
  <c r="AH115" i="4"/>
  <c r="BC80" i="4"/>
  <c r="BA51" i="4"/>
  <c r="BC26" i="4"/>
  <c r="AG20" i="4"/>
  <c r="AG1080" i="4" s="1"/>
  <c r="X1080" i="4"/>
  <c r="BB61" i="4"/>
  <c r="BC61" i="4" s="1"/>
  <c r="AH61" i="4"/>
  <c r="BC206" i="4"/>
  <c r="BC198" i="4"/>
  <c r="BC190" i="4"/>
  <c r="BC149" i="4"/>
  <c r="BC141" i="4"/>
  <c r="BC133" i="4"/>
  <c r="AH108" i="4"/>
  <c r="BB282" i="4"/>
  <c r="BC282" i="4" s="1"/>
  <c r="AH282" i="4"/>
  <c r="BC165" i="4"/>
  <c r="X156" i="4"/>
  <c r="AH119" i="4"/>
  <c r="BC21" i="4"/>
  <c r="BA20" i="4"/>
  <c r="BA1080" i="4" s="1"/>
  <c r="BE1072" i="4"/>
  <c r="BE1077" i="4" s="1"/>
  <c r="BB40" i="4"/>
  <c r="BC40" i="4" s="1"/>
  <c r="AH40" i="4"/>
  <c r="AH1000" i="4"/>
  <c r="BB1000" i="4"/>
  <c r="BC1000" i="4" s="1"/>
  <c r="BB1057" i="4"/>
  <c r="BC1057" i="4" s="1"/>
  <c r="AH1057" i="4"/>
  <c r="BC991" i="4"/>
  <c r="AH999" i="4"/>
  <c r="BC1003" i="4"/>
  <c r="BC810" i="4"/>
  <c r="BC802" i="4"/>
  <c r="AH856" i="4"/>
  <c r="AH818" i="4"/>
  <c r="BC798" i="4"/>
  <c r="AH812" i="4"/>
  <c r="BB812" i="4"/>
  <c r="BC812" i="4" s="1"/>
  <c r="AH704" i="4"/>
  <c r="BC674" i="4"/>
  <c r="BC666" i="4"/>
  <c r="BC658" i="4"/>
  <c r="BC984" i="4"/>
  <c r="BC758" i="4"/>
  <c r="AH701" i="4"/>
  <c r="BB701" i="4"/>
  <c r="BC701" i="4" s="1"/>
  <c r="AH829" i="4"/>
  <c r="BC750" i="4"/>
  <c r="AH746" i="4"/>
  <c r="BC617" i="4"/>
  <c r="AH613" i="4"/>
  <c r="AH825" i="4"/>
  <c r="BC735" i="4"/>
  <c r="AH628" i="4"/>
  <c r="BC627" i="4"/>
  <c r="BC640" i="4"/>
  <c r="BB681" i="4"/>
  <c r="BC681" i="4" s="1"/>
  <c r="AH681" i="4"/>
  <c r="BC652" i="4"/>
  <c r="BA538" i="4"/>
  <c r="BA1086" i="4" s="1"/>
  <c r="BC526" i="4"/>
  <c r="BA525" i="4"/>
  <c r="BA1085" i="4" s="1"/>
  <c r="BC552" i="4"/>
  <c r="BC459" i="4"/>
  <c r="BA458" i="4"/>
  <c r="BC568" i="4"/>
  <c r="AG538" i="4"/>
  <c r="AG1086" i="4" s="1"/>
  <c r="BB516" i="4"/>
  <c r="BC516" i="4" s="1"/>
  <c r="AH516" i="4"/>
  <c r="BC245" i="4"/>
  <c r="AH237" i="4"/>
  <c r="BB226" i="4"/>
  <c r="BC226" i="4" s="1"/>
  <c r="AH226" i="4"/>
  <c r="BC213" i="4"/>
  <c r="BC207" i="4"/>
  <c r="BC194" i="4"/>
  <c r="AH186" i="4"/>
  <c r="AH166" i="4"/>
  <c r="BB166" i="4"/>
  <c r="BC166" i="4" s="1"/>
  <c r="BB157" i="4"/>
  <c r="AG156" i="4"/>
  <c r="AH157" i="4"/>
  <c r="BC145" i="4"/>
  <c r="AH137" i="4"/>
  <c r="BB126" i="4"/>
  <c r="BC126" i="4" s="1"/>
  <c r="AH126" i="4"/>
  <c r="H1089" i="4"/>
  <c r="BB14" i="4"/>
  <c r="AH14" i="4"/>
  <c r="BA287" i="4"/>
  <c r="BA1084" i="4" s="1"/>
  <c r="BC175" i="4"/>
  <c r="BB172" i="4"/>
  <c r="BC172" i="4" s="1"/>
  <c r="AH172" i="4"/>
  <c r="BB161" i="4"/>
  <c r="BC161" i="4" s="1"/>
  <c r="AH161" i="4"/>
  <c r="AH112" i="4"/>
  <c r="BB112" i="4"/>
  <c r="BC112" i="4" s="1"/>
  <c r="AH80" i="4"/>
  <c r="K1089" i="4"/>
  <c r="BC49" i="4"/>
  <c r="AH26" i="4"/>
  <c r="BB57" i="4"/>
  <c r="BC57" i="4" s="1"/>
  <c r="AH57" i="4"/>
  <c r="AH264" i="4"/>
  <c r="AH206" i="4"/>
  <c r="AH198" i="4"/>
  <c r="AH190" i="4"/>
  <c r="AH149" i="4"/>
  <c r="AH141" i="4"/>
  <c r="AH133" i="4"/>
  <c r="BB102" i="4"/>
  <c r="BC102" i="4" s="1"/>
  <c r="AH102" i="4"/>
  <c r="BC169" i="4"/>
  <c r="AR1081" i="4"/>
  <c r="AJ1072" i="4"/>
  <c r="AJ1080" i="4"/>
  <c r="AI1088" i="4"/>
  <c r="AI1077" i="4"/>
  <c r="AE1079" i="4"/>
  <c r="AF1072" i="4"/>
  <c r="BB18" i="4"/>
  <c r="BC18" i="4" s="1"/>
  <c r="AH18" i="4"/>
  <c r="BP641" i="1" l="1"/>
  <c r="BQ641" i="1" s="1"/>
  <c r="BR641" i="1" s="1"/>
  <c r="BS641" i="1" s="1"/>
  <c r="BT641" i="1" s="1"/>
  <c r="BQ642" i="1"/>
  <c r="BR642" i="1" s="1"/>
  <c r="BS642" i="1" s="1"/>
  <c r="BT642" i="1" s="1"/>
  <c r="CZ640" i="1"/>
  <c r="W588" i="5"/>
  <c r="AW29" i="5"/>
  <c r="AD592" i="5"/>
  <c r="AE592" i="5" s="1"/>
  <c r="AF592" i="5" s="1"/>
  <c r="AG592" i="5" s="1"/>
  <c r="AH592" i="5" s="1"/>
  <c r="AI592" i="5" s="1"/>
  <c r="AJ592" i="5" s="1"/>
  <c r="AK592" i="5" s="1"/>
  <c r="AL592" i="5" s="1"/>
  <c r="AM592" i="5" s="1"/>
  <c r="AN592" i="5" s="1"/>
  <c r="AO592" i="5" s="1"/>
  <c r="AS592" i="5" s="1"/>
  <c r="AY200" i="5"/>
  <c r="AZ21" i="5"/>
  <c r="V577" i="5"/>
  <c r="AE596" i="5"/>
  <c r="T578" i="5"/>
  <c r="AW564" i="5"/>
  <c r="AZ161" i="5"/>
  <c r="AZ1083" i="4"/>
  <c r="AZ1085" i="4"/>
  <c r="AZ1082" i="4"/>
  <c r="AJ1087" i="4"/>
  <c r="BB445" i="4"/>
  <c r="AZ1081" i="4"/>
  <c r="AZ1090" i="4" s="1"/>
  <c r="AE1087" i="4"/>
  <c r="AE1089" i="4" s="1"/>
  <c r="BB287" i="4"/>
  <c r="BB1084" i="4" s="1"/>
  <c r="AH445" i="4"/>
  <c r="BC445" i="4"/>
  <c r="AF1089" i="4"/>
  <c r="R1087" i="4"/>
  <c r="R1089" i="4" s="1"/>
  <c r="AH287" i="4"/>
  <c r="AH1084" i="4" s="1"/>
  <c r="AR1087" i="4"/>
  <c r="AR1089" i="4" s="1"/>
  <c r="X1087" i="4"/>
  <c r="BC525" i="4"/>
  <c r="BC1085" i="4" s="1"/>
  <c r="BB177" i="4"/>
  <c r="BB1082" i="4" s="1"/>
  <c r="BB525" i="4"/>
  <c r="BB1085" i="4" s="1"/>
  <c r="BC287" i="4"/>
  <c r="BC1084" i="4" s="1"/>
  <c r="BB20" i="4"/>
  <c r="BB1080" i="4" s="1"/>
  <c r="BC538" i="4"/>
  <c r="BC1086" i="4" s="1"/>
  <c r="BB458" i="4"/>
  <c r="AZ1072" i="4"/>
  <c r="AH260" i="4"/>
  <c r="AH1083" i="4" s="1"/>
  <c r="AH458" i="4"/>
  <c r="BC260" i="4"/>
  <c r="BC1083" i="4" s="1"/>
  <c r="BC177" i="4"/>
  <c r="BC1082" i="4" s="1"/>
  <c r="AH525" i="4"/>
  <c r="AH1085" i="4" s="1"/>
  <c r="AH1006" i="4"/>
  <c r="AH20" i="4"/>
  <c r="AH1080" i="4" s="1"/>
  <c r="AH9" i="4"/>
  <c r="AH1079" i="4" s="1"/>
  <c r="AH177" i="4"/>
  <c r="AH1082" i="4" s="1"/>
  <c r="BC458" i="4"/>
  <c r="AH538" i="4"/>
  <c r="AH1086" i="4" s="1"/>
  <c r="AY1089" i="4"/>
  <c r="X1072" i="4"/>
  <c r="BC20" i="4"/>
  <c r="BC1080" i="4" s="1"/>
  <c r="BA1081" i="4"/>
  <c r="BB538" i="4"/>
  <c r="BB1086" i="4" s="1"/>
  <c r="BB9" i="4"/>
  <c r="BC14" i="4"/>
  <c r="BC9" i="4" s="1"/>
  <c r="BB156" i="4"/>
  <c r="BC157" i="4"/>
  <c r="BC156" i="4" s="1"/>
  <c r="AG1081" i="4"/>
  <c r="AG1087" i="4" s="1"/>
  <c r="AJ1088" i="4"/>
  <c r="AJ1077" i="4"/>
  <c r="BB260" i="4"/>
  <c r="BB1083" i="4" s="1"/>
  <c r="AH51" i="4"/>
  <c r="BC1006" i="4"/>
  <c r="AG1072" i="4"/>
  <c r="AH156" i="4"/>
  <c r="BA1079" i="4"/>
  <c r="BA1072" i="4"/>
  <c r="BB51" i="4"/>
  <c r="BC53" i="4"/>
  <c r="BC51" i="4" s="1"/>
  <c r="BB1006" i="4"/>
  <c r="BU642" i="1" l="1"/>
  <c r="BY642" i="1" s="1"/>
  <c r="BZ642" i="1" s="1"/>
  <c r="CA642" i="1" s="1"/>
  <c r="CB642" i="1" s="1"/>
  <c r="CC642" i="1" s="1"/>
  <c r="CD642" i="1" s="1"/>
  <c r="CE642" i="1" s="1"/>
  <c r="CF642" i="1" s="1"/>
  <c r="CG642" i="1" s="1"/>
  <c r="CH642" i="1" s="1"/>
  <c r="CI642" i="1" s="1"/>
  <c r="CJ642" i="1" s="1"/>
  <c r="BU641" i="1"/>
  <c r="BY641" i="1" s="1"/>
  <c r="BZ641" i="1" s="1"/>
  <c r="CA641" i="1" s="1"/>
  <c r="CB641" i="1" s="1"/>
  <c r="CC641" i="1" s="1"/>
  <c r="CD641" i="1" s="1"/>
  <c r="CE641" i="1" s="1"/>
  <c r="CF641" i="1" s="1"/>
  <c r="CG641" i="1" s="1"/>
  <c r="CH641" i="1" s="1"/>
  <c r="CI641" i="1" s="1"/>
  <c r="CJ641" i="1" s="1"/>
  <c r="W577" i="5"/>
  <c r="AZ200" i="5"/>
  <c r="AX564" i="5"/>
  <c r="U578" i="5"/>
  <c r="AX29" i="5"/>
  <c r="BA21" i="5"/>
  <c r="AT592" i="5"/>
  <c r="BA161" i="5"/>
  <c r="AF596" i="5"/>
  <c r="X588" i="5"/>
  <c r="AZ1087" i="4"/>
  <c r="X1089" i="4"/>
  <c r="AH1072" i="4"/>
  <c r="BB1081" i="4"/>
  <c r="BA1087" i="4"/>
  <c r="BA1089" i="4" s="1"/>
  <c r="BC1081" i="4"/>
  <c r="BC1079" i="4"/>
  <c r="BC1072" i="4"/>
  <c r="AG1089" i="4"/>
  <c r="AH1081" i="4"/>
  <c r="AH1087" i="4" s="1"/>
  <c r="BB1079" i="4"/>
  <c r="BB1072" i="4"/>
  <c r="CN641" i="1" l="1"/>
  <c r="CN642" i="1"/>
  <c r="BV642" i="1"/>
  <c r="BV641" i="1"/>
  <c r="CK641" i="1"/>
  <c r="CK642" i="1"/>
  <c r="CO641" i="1"/>
  <c r="CP641" i="1" s="1"/>
  <c r="CQ641" i="1" s="1"/>
  <c r="CR641" i="1" s="1"/>
  <c r="CS641" i="1" s="1"/>
  <c r="CT641" i="1" s="1"/>
  <c r="CU641" i="1" s="1"/>
  <c r="CV641" i="1" s="1"/>
  <c r="CW641" i="1" s="1"/>
  <c r="CX641" i="1" s="1"/>
  <c r="CY641" i="1" s="1"/>
  <c r="BB161" i="5"/>
  <c r="AY564" i="5"/>
  <c r="Y588" i="5"/>
  <c r="AG596" i="5"/>
  <c r="AU592" i="5"/>
  <c r="BB21" i="5"/>
  <c r="AY29" i="5"/>
  <c r="X577" i="5"/>
  <c r="V578" i="5"/>
  <c r="BA200" i="5"/>
  <c r="BB1087" i="4"/>
  <c r="BB1089" i="4" s="1"/>
  <c r="AH1089" i="4"/>
  <c r="BC1087" i="4"/>
  <c r="BC1089" i="4" s="1"/>
  <c r="CO642" i="1" l="1"/>
  <c r="CP642" i="1" s="1"/>
  <c r="CQ642" i="1" s="1"/>
  <c r="CR642" i="1" s="1"/>
  <c r="CS642" i="1" s="1"/>
  <c r="CT642" i="1" s="1"/>
  <c r="CU642" i="1" s="1"/>
  <c r="CV642" i="1" s="1"/>
  <c r="CW642" i="1" s="1"/>
  <c r="CX642" i="1" s="1"/>
  <c r="CY642" i="1" s="1"/>
  <c r="CZ641" i="1"/>
  <c r="AH596" i="5"/>
  <c r="W578" i="5"/>
  <c r="AZ29" i="5"/>
  <c r="BC161" i="5"/>
  <c r="BB200" i="5"/>
  <c r="BC21" i="5"/>
  <c r="Z588" i="5"/>
  <c r="Y577" i="5"/>
  <c r="AZ564" i="5"/>
  <c r="AV592" i="5"/>
  <c r="CZ642" i="1" l="1"/>
  <c r="BD21" i="5"/>
  <c r="BD161" i="5"/>
  <c r="AW592" i="5"/>
  <c r="Z577" i="5"/>
  <c r="X578" i="5"/>
  <c r="BA564" i="5"/>
  <c r="BC200" i="5"/>
  <c r="AD588" i="5"/>
  <c r="BA29" i="5"/>
  <c r="AI596" i="5"/>
  <c r="BD200" i="5" l="1"/>
  <c r="BB29" i="5"/>
  <c r="AJ596" i="5"/>
  <c r="AE588" i="5"/>
  <c r="BB564" i="5"/>
  <c r="AD577" i="5"/>
  <c r="AA577" i="5"/>
  <c r="Y578" i="5"/>
  <c r="AX592" i="5"/>
  <c r="Z614" i="1"/>
  <c r="Z615" i="1"/>
  <c r="Z616" i="1"/>
  <c r="Z617" i="1"/>
  <c r="Z618" i="1"/>
  <c r="Z613" i="1"/>
  <c r="Z612" i="1"/>
  <c r="AC615" i="1"/>
  <c r="AC616" i="1"/>
  <c r="AC617" i="1"/>
  <c r="AA617" i="1" l="1"/>
  <c r="AA612" i="1"/>
  <c r="AA618" i="1"/>
  <c r="AA614" i="1"/>
  <c r="AA616" i="1"/>
  <c r="AA615" i="1"/>
  <c r="AC619" i="1"/>
  <c r="AC613" i="1"/>
  <c r="AD614" i="1"/>
  <c r="AY592" i="5"/>
  <c r="BC564" i="5"/>
  <c r="Z578" i="5"/>
  <c r="AE577" i="5"/>
  <c r="AF588" i="5"/>
  <c r="BC29" i="5"/>
  <c r="AK596" i="5"/>
  <c r="AD618" i="1"/>
  <c r="AD613" i="1"/>
  <c r="AE613" i="1" s="1"/>
  <c r="AF613" i="1" s="1"/>
  <c r="AG613" i="1" s="1"/>
  <c r="AH613" i="1" s="1"/>
  <c r="AI613" i="1" s="1"/>
  <c r="AJ613" i="1" s="1"/>
  <c r="AK613" i="1" s="1"/>
  <c r="AL613" i="1" s="1"/>
  <c r="AM613" i="1" s="1"/>
  <c r="AN613" i="1" s="1"/>
  <c r="AD612" i="1"/>
  <c r="AD619" i="1"/>
  <c r="AD615" i="1"/>
  <c r="AC612" i="1"/>
  <c r="AD616" i="1"/>
  <c r="AD617" i="1"/>
  <c r="AC618" i="1"/>
  <c r="AC614" i="1"/>
  <c r="AO613" i="1" l="1"/>
  <c r="AR613" i="1" s="1"/>
  <c r="AS613" i="1" s="1"/>
  <c r="AE618" i="1"/>
  <c r="AF618" i="1" s="1"/>
  <c r="AG618" i="1" s="1"/>
  <c r="AH618" i="1" s="1"/>
  <c r="AI618" i="1" s="1"/>
  <c r="AJ618" i="1" s="1"/>
  <c r="AK618" i="1" s="1"/>
  <c r="AL618" i="1" s="1"/>
  <c r="AM618" i="1" s="1"/>
  <c r="AN618" i="1" s="1"/>
  <c r="AE614" i="1"/>
  <c r="AF614" i="1" s="1"/>
  <c r="AG614" i="1" s="1"/>
  <c r="AH614" i="1" s="1"/>
  <c r="AI614" i="1" s="1"/>
  <c r="AJ614" i="1" s="1"/>
  <c r="AK614" i="1" s="1"/>
  <c r="AL614" i="1" s="1"/>
  <c r="AM614" i="1" s="1"/>
  <c r="AN614" i="1" s="1"/>
  <c r="BD29" i="5"/>
  <c r="AF577" i="5"/>
  <c r="BD564" i="5"/>
  <c r="AG588" i="5"/>
  <c r="AZ592" i="5"/>
  <c r="AL596" i="5"/>
  <c r="AD578" i="5"/>
  <c r="AA578" i="5"/>
  <c r="AT623" i="1"/>
  <c r="AT637" i="1"/>
  <c r="AT630" i="1"/>
  <c r="AT633" i="1"/>
  <c r="AT628" i="1"/>
  <c r="AT632" i="1"/>
  <c r="AT629" i="1"/>
  <c r="AT631" i="1"/>
  <c r="AT627" i="1"/>
  <c r="AT626" i="1"/>
  <c r="AE616" i="1"/>
  <c r="AF616" i="1" s="1"/>
  <c r="AG616" i="1" s="1"/>
  <c r="AH616" i="1" s="1"/>
  <c r="AI616" i="1" s="1"/>
  <c r="AJ616" i="1" s="1"/>
  <c r="AK616" i="1" s="1"/>
  <c r="AL616" i="1" s="1"/>
  <c r="AM616" i="1" s="1"/>
  <c r="AN616" i="1" s="1"/>
  <c r="AE615" i="1"/>
  <c r="AF615" i="1" s="1"/>
  <c r="AG615" i="1" s="1"/>
  <c r="AH615" i="1" s="1"/>
  <c r="AI615" i="1" s="1"/>
  <c r="AJ615" i="1" s="1"/>
  <c r="AK615" i="1" s="1"/>
  <c r="AL615" i="1" s="1"/>
  <c r="AM615" i="1" s="1"/>
  <c r="AN615" i="1" s="1"/>
  <c r="AE617" i="1"/>
  <c r="AF617" i="1" s="1"/>
  <c r="AG617" i="1" s="1"/>
  <c r="AH617" i="1" s="1"/>
  <c r="AI617" i="1" s="1"/>
  <c r="AJ617" i="1" s="1"/>
  <c r="AK617" i="1" s="1"/>
  <c r="AL617" i="1" s="1"/>
  <c r="AM617" i="1" s="1"/>
  <c r="AN617" i="1" s="1"/>
  <c r="AE619" i="1"/>
  <c r="AF619" i="1" s="1"/>
  <c r="AG619" i="1" s="1"/>
  <c r="AH619" i="1" s="1"/>
  <c r="AI619" i="1" s="1"/>
  <c r="AJ619" i="1" s="1"/>
  <c r="AK619" i="1" s="1"/>
  <c r="AL619" i="1" s="1"/>
  <c r="AM619" i="1" s="1"/>
  <c r="AN619" i="1" s="1"/>
  <c r="AE612" i="1"/>
  <c r="AF612" i="1" s="1"/>
  <c r="AG612" i="1" s="1"/>
  <c r="AH612" i="1" s="1"/>
  <c r="AI612" i="1" s="1"/>
  <c r="AJ612" i="1" s="1"/>
  <c r="AK612" i="1" s="1"/>
  <c r="AL612" i="1" s="1"/>
  <c r="AM612" i="1" s="1"/>
  <c r="AN612" i="1" s="1"/>
  <c r="AO614" i="1" l="1"/>
  <c r="AR614" i="1" s="1"/>
  <c r="AS614" i="1" s="1"/>
  <c r="AO618" i="1"/>
  <c r="AP618" i="1" s="1"/>
  <c r="AO615" i="1"/>
  <c r="AR615" i="1" s="1"/>
  <c r="AS615" i="1" s="1"/>
  <c r="AO619" i="1"/>
  <c r="AR619" i="1" s="1"/>
  <c r="AS619" i="1" s="1"/>
  <c r="AO616" i="1"/>
  <c r="AP616" i="1" s="1"/>
  <c r="AO612" i="1"/>
  <c r="AP612" i="1" s="1"/>
  <c r="AO617" i="1"/>
  <c r="AR617" i="1" s="1"/>
  <c r="AS617" i="1" s="1"/>
  <c r="AT613" i="1"/>
  <c r="AT614" i="1"/>
  <c r="AT618" i="1"/>
  <c r="AU637" i="1"/>
  <c r="AT636" i="1"/>
  <c r="AU636" i="1"/>
  <c r="AT635" i="1"/>
  <c r="AU635" i="1"/>
  <c r="AV623" i="1"/>
  <c r="AW634" i="1"/>
  <c r="AU631" i="1"/>
  <c r="AU613" i="1"/>
  <c r="AV624" i="1"/>
  <c r="AU627" i="1"/>
  <c r="AX621" i="1"/>
  <c r="AY621" i="1" s="1"/>
  <c r="AZ621" i="1" s="1"/>
  <c r="BA621" i="1" s="1"/>
  <c r="BB621" i="1" s="1"/>
  <c r="BC621" i="1" s="1"/>
  <c r="BD621" i="1" s="1"/>
  <c r="BE621" i="1" s="1"/>
  <c r="AU633" i="1"/>
  <c r="AV629" i="1"/>
  <c r="AU628" i="1"/>
  <c r="AU632" i="1"/>
  <c r="AV625" i="1"/>
  <c r="AU626" i="1"/>
  <c r="AU630" i="1"/>
  <c r="AG577" i="5"/>
  <c r="AM596" i="5"/>
  <c r="AH588" i="5"/>
  <c r="AA576" i="5"/>
  <c r="AA665" i="5"/>
  <c r="BE564" i="5"/>
  <c r="AE578" i="5"/>
  <c r="BA592" i="5"/>
  <c r="BE29" i="5"/>
  <c r="AV632" i="1" l="1"/>
  <c r="AW632" i="1" s="1"/>
  <c r="AX632" i="1" s="1"/>
  <c r="AY632" i="1" s="1"/>
  <c r="AZ632" i="1" s="1"/>
  <c r="BA632" i="1" s="1"/>
  <c r="BB632" i="1" s="1"/>
  <c r="BC632" i="1" s="1"/>
  <c r="BD632" i="1" s="1"/>
  <c r="BE632" i="1" s="1"/>
  <c r="BF632" i="1" s="1"/>
  <c r="BJ632" i="1" s="1"/>
  <c r="AV631" i="1"/>
  <c r="AW631" i="1" s="1"/>
  <c r="AX631" i="1" s="1"/>
  <c r="AY631" i="1" s="1"/>
  <c r="AZ631" i="1" s="1"/>
  <c r="BA631" i="1" s="1"/>
  <c r="BB631" i="1" s="1"/>
  <c r="BC631" i="1" s="1"/>
  <c r="BD631" i="1" s="1"/>
  <c r="BE631" i="1" s="1"/>
  <c r="BF631" i="1" s="1"/>
  <c r="BJ631" i="1" s="1"/>
  <c r="AV630" i="1"/>
  <c r="AW630" i="1" s="1"/>
  <c r="AV633" i="1"/>
  <c r="AW633" i="1" s="1"/>
  <c r="AX633" i="1" s="1"/>
  <c r="AY633" i="1" s="1"/>
  <c r="AZ633" i="1" s="1"/>
  <c r="BA633" i="1" s="1"/>
  <c r="BB633" i="1" s="1"/>
  <c r="BC633" i="1" s="1"/>
  <c r="BD633" i="1" s="1"/>
  <c r="BE633" i="1" s="1"/>
  <c r="BF633" i="1" s="1"/>
  <c r="BJ633" i="1" s="1"/>
  <c r="BK633" i="1" s="1"/>
  <c r="BL633" i="1" s="1"/>
  <c r="BM633" i="1" s="1"/>
  <c r="BN633" i="1" s="1"/>
  <c r="BO633" i="1" s="1"/>
  <c r="BP633" i="1" s="1"/>
  <c r="BQ633" i="1" s="1"/>
  <c r="BR633" i="1" s="1"/>
  <c r="BS633" i="1" s="1"/>
  <c r="BT633" i="1" s="1"/>
  <c r="AV613" i="1"/>
  <c r="AW613" i="1" s="1"/>
  <c r="AX613" i="1" s="1"/>
  <c r="AY613" i="1" s="1"/>
  <c r="AZ613" i="1" s="1"/>
  <c r="BA613" i="1" s="1"/>
  <c r="BB613" i="1" s="1"/>
  <c r="BC613" i="1" s="1"/>
  <c r="BD613" i="1" s="1"/>
  <c r="BE613" i="1" s="1"/>
  <c r="BF613" i="1" s="1"/>
  <c r="BJ613" i="1" s="1"/>
  <c r="AP614" i="1"/>
  <c r="AU614" i="1"/>
  <c r="AR616" i="1"/>
  <c r="AS616" i="1" s="1"/>
  <c r="AR612" i="1"/>
  <c r="AS612" i="1" s="1"/>
  <c r="AR618" i="1"/>
  <c r="AS618" i="1" s="1"/>
  <c r="AU618" i="1"/>
  <c r="BF621" i="1"/>
  <c r="BJ621" i="1" s="1"/>
  <c r="AP615" i="1"/>
  <c r="AP617" i="1"/>
  <c r="AX630" i="1"/>
  <c r="AY630" i="1" s="1"/>
  <c r="AZ630" i="1" s="1"/>
  <c r="BA630" i="1" s="1"/>
  <c r="BB630" i="1" s="1"/>
  <c r="BC630" i="1" s="1"/>
  <c r="BD630" i="1" s="1"/>
  <c r="BE630" i="1" s="1"/>
  <c r="CK630" i="1"/>
  <c r="BI613" i="1"/>
  <c r="AT616" i="1"/>
  <c r="AT615" i="1"/>
  <c r="AT619" i="1"/>
  <c r="AT617" i="1"/>
  <c r="AT612" i="1"/>
  <c r="AV637" i="1"/>
  <c r="AW637" i="1" s="1"/>
  <c r="AW624" i="1"/>
  <c r="AV628" i="1"/>
  <c r="AW628" i="1" s="1"/>
  <c r="AW629" i="1"/>
  <c r="AX634" i="1"/>
  <c r="AW623" i="1"/>
  <c r="AV635" i="1"/>
  <c r="AW635" i="1" s="1"/>
  <c r="AV626" i="1"/>
  <c r="AW626" i="1" s="1"/>
  <c r="AV627" i="1"/>
  <c r="AW627" i="1" s="1"/>
  <c r="AV636" i="1"/>
  <c r="AW636" i="1" s="1"/>
  <c r="AW625" i="1"/>
  <c r="AU617" i="1"/>
  <c r="AX622" i="1"/>
  <c r="AU619" i="1"/>
  <c r="AU612" i="1"/>
  <c r="AU616" i="1"/>
  <c r="AU615" i="1"/>
  <c r="AF578" i="5"/>
  <c r="AN596" i="5"/>
  <c r="AI588" i="5"/>
  <c r="AH577" i="5"/>
  <c r="BB592" i="5"/>
  <c r="Y608" i="1"/>
  <c r="Y609" i="1"/>
  <c r="Y610" i="1"/>
  <c r="Y611" i="1"/>
  <c r="Y607" i="1"/>
  <c r="Y606" i="1"/>
  <c r="X605" i="1"/>
  <c r="X604" i="1"/>
  <c r="X603" i="1"/>
  <c r="V596" i="1"/>
  <c r="N604" i="1"/>
  <c r="N605" i="1"/>
  <c r="N606" i="1"/>
  <c r="N607" i="1"/>
  <c r="N609" i="1"/>
  <c r="N610" i="1"/>
  <c r="N611" i="1"/>
  <c r="BK631" i="1" l="1"/>
  <c r="BL631" i="1" s="1"/>
  <c r="BM631" i="1" s="1"/>
  <c r="BN631" i="1" s="1"/>
  <c r="BO631" i="1" s="1"/>
  <c r="BP631" i="1" s="1"/>
  <c r="BQ631" i="1" s="1"/>
  <c r="BR631" i="1" s="1"/>
  <c r="BS631" i="1" s="1"/>
  <c r="BT631" i="1" s="1"/>
  <c r="BU631" i="1" s="1"/>
  <c r="BY631" i="1" s="1"/>
  <c r="BZ631" i="1" s="1"/>
  <c r="CA631" i="1" s="1"/>
  <c r="BK632" i="1"/>
  <c r="BL632" i="1" s="1"/>
  <c r="BM632" i="1" s="1"/>
  <c r="BN632" i="1" s="1"/>
  <c r="BO632" i="1" s="1"/>
  <c r="BP632" i="1" s="1"/>
  <c r="BQ632" i="1" s="1"/>
  <c r="BR632" i="1" s="1"/>
  <c r="BS632" i="1" s="1"/>
  <c r="BT632" i="1" s="1"/>
  <c r="BU632" i="1" s="1"/>
  <c r="BY632" i="1" s="1"/>
  <c r="BZ632" i="1" s="1"/>
  <c r="CA632" i="1" s="1"/>
  <c r="AV614" i="1"/>
  <c r="AW614" i="1" s="1"/>
  <c r="AX614" i="1" s="1"/>
  <c r="AY614" i="1" s="1"/>
  <c r="AZ614" i="1" s="1"/>
  <c r="BA614" i="1" s="1"/>
  <c r="BB614" i="1" s="1"/>
  <c r="BC614" i="1" s="1"/>
  <c r="BD614" i="1" s="1"/>
  <c r="BE614" i="1" s="1"/>
  <c r="BF614" i="1" s="1"/>
  <c r="BG614" i="1" s="1"/>
  <c r="AV618" i="1"/>
  <c r="AW618" i="1" s="1"/>
  <c r="AX618" i="1" s="1"/>
  <c r="AY618" i="1" s="1"/>
  <c r="AZ618" i="1" s="1"/>
  <c r="BA618" i="1" s="1"/>
  <c r="BB618" i="1" s="1"/>
  <c r="BC618" i="1" s="1"/>
  <c r="BD618" i="1" s="1"/>
  <c r="BE618" i="1" s="1"/>
  <c r="BF618" i="1" s="1"/>
  <c r="BG618" i="1" s="1"/>
  <c r="AV619" i="1"/>
  <c r="AW619" i="1" s="1"/>
  <c r="AX619" i="1" s="1"/>
  <c r="AY619" i="1" s="1"/>
  <c r="AZ619" i="1" s="1"/>
  <c r="BA619" i="1" s="1"/>
  <c r="BB619" i="1" s="1"/>
  <c r="BC619" i="1" s="1"/>
  <c r="BD619" i="1" s="1"/>
  <c r="BE619" i="1" s="1"/>
  <c r="BF619" i="1" s="1"/>
  <c r="BK621" i="1"/>
  <c r="BL621" i="1" s="1"/>
  <c r="BM621" i="1" s="1"/>
  <c r="BN621" i="1" s="1"/>
  <c r="BO621" i="1" s="1"/>
  <c r="BP621" i="1" s="1"/>
  <c r="BQ621" i="1" s="1"/>
  <c r="BR621" i="1" s="1"/>
  <c r="BS621" i="1" s="1"/>
  <c r="BT621" i="1" s="1"/>
  <c r="BU621" i="1" s="1"/>
  <c r="BY621" i="1" s="1"/>
  <c r="BZ621" i="1" s="1"/>
  <c r="CA621" i="1" s="1"/>
  <c r="CB621" i="1" s="1"/>
  <c r="CC621" i="1" s="1"/>
  <c r="CD621" i="1" s="1"/>
  <c r="CE621" i="1" s="1"/>
  <c r="CF621" i="1" s="1"/>
  <c r="CG621" i="1" s="1"/>
  <c r="CH621" i="1" s="1"/>
  <c r="CI621" i="1" s="1"/>
  <c r="CJ621" i="1" s="1"/>
  <c r="BU633" i="1"/>
  <c r="BY633" i="1" s="1"/>
  <c r="BZ633" i="1" s="1"/>
  <c r="CA633" i="1" s="1"/>
  <c r="BF630" i="1"/>
  <c r="BJ630" i="1" s="1"/>
  <c r="AY634" i="1"/>
  <c r="AZ634" i="1" s="1"/>
  <c r="BA634" i="1" s="1"/>
  <c r="BB634" i="1" s="1"/>
  <c r="BC634" i="1" s="1"/>
  <c r="BD634" i="1" s="1"/>
  <c r="BE634" i="1" s="1"/>
  <c r="BI619" i="1"/>
  <c r="BK613" i="1"/>
  <c r="BL613" i="1" s="1"/>
  <c r="BM613" i="1" s="1"/>
  <c r="BN613" i="1" s="1"/>
  <c r="BO613" i="1" s="1"/>
  <c r="BP613" i="1" s="1"/>
  <c r="BQ613" i="1" s="1"/>
  <c r="BR613" i="1" s="1"/>
  <c r="BS613" i="1" s="1"/>
  <c r="BT613" i="1" s="1"/>
  <c r="BI614" i="1"/>
  <c r="AX628" i="1"/>
  <c r="AY628" i="1" s="1"/>
  <c r="AZ628" i="1" s="1"/>
  <c r="BA628" i="1" s="1"/>
  <c r="BB628" i="1" s="1"/>
  <c r="BC628" i="1" s="1"/>
  <c r="BD628" i="1" s="1"/>
  <c r="BE628" i="1" s="1"/>
  <c r="AX626" i="1"/>
  <c r="AY626" i="1" s="1"/>
  <c r="AZ626" i="1" s="1"/>
  <c r="BA626" i="1" s="1"/>
  <c r="BB626" i="1" s="1"/>
  <c r="BC626" i="1" s="1"/>
  <c r="BD626" i="1" s="1"/>
  <c r="BE626" i="1" s="1"/>
  <c r="AX624" i="1"/>
  <c r="AY624" i="1" s="1"/>
  <c r="AZ624" i="1" s="1"/>
  <c r="BA624" i="1" s="1"/>
  <c r="BB624" i="1" s="1"/>
  <c r="BC624" i="1" s="1"/>
  <c r="BD624" i="1" s="1"/>
  <c r="BE624" i="1" s="1"/>
  <c r="AX637" i="1"/>
  <c r="AY637" i="1" s="1"/>
  <c r="AX635" i="1"/>
  <c r="AX636" i="1"/>
  <c r="AX623" i="1"/>
  <c r="AY623" i="1" s="1"/>
  <c r="AZ623" i="1" s="1"/>
  <c r="BA623" i="1" s="1"/>
  <c r="BB623" i="1" s="1"/>
  <c r="BC623" i="1" s="1"/>
  <c r="BD623" i="1" s="1"/>
  <c r="BE623" i="1" s="1"/>
  <c r="AX627" i="1"/>
  <c r="AY627" i="1" s="1"/>
  <c r="AZ627" i="1" s="1"/>
  <c r="BA627" i="1" s="1"/>
  <c r="BB627" i="1" s="1"/>
  <c r="BC627" i="1" s="1"/>
  <c r="BD627" i="1" s="1"/>
  <c r="BE627" i="1" s="1"/>
  <c r="AX629" i="1"/>
  <c r="AY629" i="1" s="1"/>
  <c r="AZ629" i="1" s="1"/>
  <c r="BA629" i="1" s="1"/>
  <c r="BB629" i="1" s="1"/>
  <c r="BC629" i="1" s="1"/>
  <c r="BD629" i="1" s="1"/>
  <c r="BE629" i="1" s="1"/>
  <c r="AX625" i="1"/>
  <c r="AY625" i="1" s="1"/>
  <c r="AZ625" i="1" s="1"/>
  <c r="BA625" i="1" s="1"/>
  <c r="BB625" i="1" s="1"/>
  <c r="BC625" i="1" s="1"/>
  <c r="BD625" i="1" s="1"/>
  <c r="BE625" i="1" s="1"/>
  <c r="AV615" i="1"/>
  <c r="AW615" i="1" s="1"/>
  <c r="AX615" i="1" s="1"/>
  <c r="AY615" i="1" s="1"/>
  <c r="AZ615" i="1" s="1"/>
  <c r="BA615" i="1" s="1"/>
  <c r="BB615" i="1" s="1"/>
  <c r="BC615" i="1" s="1"/>
  <c r="BD615" i="1" s="1"/>
  <c r="BE615" i="1" s="1"/>
  <c r="AV616" i="1"/>
  <c r="AW616" i="1" s="1"/>
  <c r="AX616" i="1" s="1"/>
  <c r="AY616" i="1" s="1"/>
  <c r="AZ616" i="1" s="1"/>
  <c r="BA616" i="1" s="1"/>
  <c r="BB616" i="1" s="1"/>
  <c r="BC616" i="1" s="1"/>
  <c r="BD616" i="1" s="1"/>
  <c r="BE616" i="1" s="1"/>
  <c r="AV612" i="1"/>
  <c r="AW612" i="1" s="1"/>
  <c r="AX612" i="1" s="1"/>
  <c r="AY612" i="1" s="1"/>
  <c r="AZ612" i="1" s="1"/>
  <c r="BA612" i="1" s="1"/>
  <c r="BB612" i="1" s="1"/>
  <c r="BC612" i="1" s="1"/>
  <c r="BD612" i="1" s="1"/>
  <c r="BE612" i="1" s="1"/>
  <c r="AY622" i="1"/>
  <c r="AZ622" i="1" s="1"/>
  <c r="BA622" i="1" s="1"/>
  <c r="BB622" i="1" s="1"/>
  <c r="BC622" i="1" s="1"/>
  <c r="BD622" i="1" s="1"/>
  <c r="BE622" i="1" s="1"/>
  <c r="AV617" i="1"/>
  <c r="AW617" i="1" s="1"/>
  <c r="AX617" i="1" s="1"/>
  <c r="AY617" i="1" s="1"/>
  <c r="AZ617" i="1" s="1"/>
  <c r="BA617" i="1" s="1"/>
  <c r="BB617" i="1" s="1"/>
  <c r="BC617" i="1" s="1"/>
  <c r="BD617" i="1" s="1"/>
  <c r="BE617" i="1" s="1"/>
  <c r="AI577" i="5"/>
  <c r="AO596" i="5"/>
  <c r="BC592" i="5"/>
  <c r="AJ588" i="5"/>
  <c r="AG578" i="5"/>
  <c r="Z610" i="1"/>
  <c r="Z611" i="1"/>
  <c r="Z609" i="1"/>
  <c r="Z607" i="1"/>
  <c r="Z606" i="1"/>
  <c r="AC605" i="1"/>
  <c r="Y605" i="1"/>
  <c r="Z605" i="1" s="1"/>
  <c r="Y604" i="1"/>
  <c r="Z604" i="1" s="1"/>
  <c r="AC604" i="1"/>
  <c r="AC603" i="1"/>
  <c r="Y603" i="1"/>
  <c r="N603" i="1"/>
  <c r="CN621" i="1" l="1"/>
  <c r="CO621" i="1" s="1"/>
  <c r="CP621" i="1" s="1"/>
  <c r="CQ621" i="1" s="1"/>
  <c r="CR621" i="1" s="1"/>
  <c r="CS621" i="1" s="1"/>
  <c r="CT621" i="1" s="1"/>
  <c r="CU621" i="1" s="1"/>
  <c r="CV621" i="1" s="1"/>
  <c r="CW621" i="1" s="1"/>
  <c r="CX621" i="1" s="1"/>
  <c r="CY621" i="1" s="1"/>
  <c r="BK630" i="1"/>
  <c r="BL630" i="1" s="1"/>
  <c r="BJ614" i="1"/>
  <c r="BU613" i="1"/>
  <c r="BY613" i="1" s="1"/>
  <c r="BZ613" i="1" s="1"/>
  <c r="CA613" i="1" s="1"/>
  <c r="CB613" i="1" s="1"/>
  <c r="CC613" i="1" s="1"/>
  <c r="CD613" i="1" s="1"/>
  <c r="CE613" i="1" s="1"/>
  <c r="CF613" i="1" s="1"/>
  <c r="CG613" i="1" s="1"/>
  <c r="CH613" i="1" s="1"/>
  <c r="CI613" i="1" s="1"/>
  <c r="CJ613" i="1" s="1"/>
  <c r="BJ618" i="1"/>
  <c r="BF629" i="1"/>
  <c r="BJ629" i="1" s="1"/>
  <c r="BF612" i="1"/>
  <c r="BJ612" i="1" s="1"/>
  <c r="BF628" i="1"/>
  <c r="BJ628" i="1" s="1"/>
  <c r="BJ619" i="1"/>
  <c r="BF634" i="1"/>
  <c r="BJ634" i="1" s="1"/>
  <c r="BF626" i="1"/>
  <c r="BJ626" i="1" s="1"/>
  <c r="BF615" i="1"/>
  <c r="BF624" i="1"/>
  <c r="BJ624" i="1" s="1"/>
  <c r="BF616" i="1"/>
  <c r="BJ616" i="1" s="1"/>
  <c r="BF622" i="1"/>
  <c r="BJ622" i="1" s="1"/>
  <c r="BF627" i="1"/>
  <c r="BJ627" i="1" s="1"/>
  <c r="BF623" i="1"/>
  <c r="BG623" i="1" s="1"/>
  <c r="BF617" i="1"/>
  <c r="BF625" i="1"/>
  <c r="BJ625" i="1" s="1"/>
  <c r="AY635" i="1"/>
  <c r="AZ635" i="1" s="1"/>
  <c r="BA635" i="1" s="1"/>
  <c r="BB635" i="1" s="1"/>
  <c r="BC635" i="1" s="1"/>
  <c r="BD635" i="1" s="1"/>
  <c r="BE635" i="1" s="1"/>
  <c r="AZ637" i="1"/>
  <c r="BA637" i="1" s="1"/>
  <c r="BB637" i="1" s="1"/>
  <c r="BC637" i="1" s="1"/>
  <c r="BD637" i="1" s="1"/>
  <c r="BE637" i="1" s="1"/>
  <c r="AY636" i="1"/>
  <c r="AZ636" i="1" s="1"/>
  <c r="BA636" i="1" s="1"/>
  <c r="BB636" i="1" s="1"/>
  <c r="BC636" i="1" s="1"/>
  <c r="BD636" i="1" s="1"/>
  <c r="BE636" i="1" s="1"/>
  <c r="AD607" i="1"/>
  <c r="AE607" i="1" s="1"/>
  <c r="AF607" i="1" s="1"/>
  <c r="AG607" i="1" s="1"/>
  <c r="AH607" i="1" s="1"/>
  <c r="AI607" i="1" s="1"/>
  <c r="AJ607" i="1" s="1"/>
  <c r="AK607" i="1" s="1"/>
  <c r="AL607" i="1" s="1"/>
  <c r="AM607" i="1" s="1"/>
  <c r="AN607" i="1" s="1"/>
  <c r="AD609" i="1"/>
  <c r="AE609" i="1" s="1"/>
  <c r="AF609" i="1" s="1"/>
  <c r="AG609" i="1" s="1"/>
  <c r="AH609" i="1" s="1"/>
  <c r="AI609" i="1" s="1"/>
  <c r="AJ609" i="1" s="1"/>
  <c r="AK609" i="1" s="1"/>
  <c r="AL609" i="1" s="1"/>
  <c r="AM609" i="1" s="1"/>
  <c r="AN609" i="1" s="1"/>
  <c r="AA611" i="1"/>
  <c r="AD610" i="1"/>
  <c r="AE610" i="1" s="1"/>
  <c r="AF610" i="1" s="1"/>
  <c r="AG610" i="1" s="1"/>
  <c r="AH610" i="1" s="1"/>
  <c r="AI610" i="1" s="1"/>
  <c r="AJ610" i="1" s="1"/>
  <c r="AK610" i="1" s="1"/>
  <c r="AL610" i="1" s="1"/>
  <c r="AM610" i="1" s="1"/>
  <c r="AN610" i="1" s="1"/>
  <c r="AD606" i="1"/>
  <c r="AE606" i="1" s="1"/>
  <c r="AF606" i="1" s="1"/>
  <c r="AG606" i="1" s="1"/>
  <c r="AH606" i="1" s="1"/>
  <c r="AI606" i="1" s="1"/>
  <c r="AJ606" i="1" s="1"/>
  <c r="AK606" i="1" s="1"/>
  <c r="AL606" i="1" s="1"/>
  <c r="AM606" i="1" s="1"/>
  <c r="AN606" i="1" s="1"/>
  <c r="AD604" i="1"/>
  <c r="AE604" i="1" s="1"/>
  <c r="AF604" i="1" s="1"/>
  <c r="AG604" i="1" s="1"/>
  <c r="AH604" i="1" s="1"/>
  <c r="AI604" i="1" s="1"/>
  <c r="AJ604" i="1" s="1"/>
  <c r="AK604" i="1" s="1"/>
  <c r="AL604" i="1" s="1"/>
  <c r="AM604" i="1" s="1"/>
  <c r="AN604" i="1" s="1"/>
  <c r="AD605" i="1"/>
  <c r="AE605" i="1" s="1"/>
  <c r="AF605" i="1" s="1"/>
  <c r="AG605" i="1" s="1"/>
  <c r="AH605" i="1" s="1"/>
  <c r="AI605" i="1" s="1"/>
  <c r="AJ605" i="1" s="1"/>
  <c r="AK605" i="1" s="1"/>
  <c r="AL605" i="1" s="1"/>
  <c r="AM605" i="1" s="1"/>
  <c r="AN605" i="1" s="1"/>
  <c r="BI629" i="1"/>
  <c r="BI628" i="1"/>
  <c r="BI626" i="1"/>
  <c r="N608" i="1"/>
  <c r="BI623" i="1"/>
  <c r="BI618" i="1"/>
  <c r="AH578" i="5"/>
  <c r="AK588" i="5"/>
  <c r="AS596" i="5"/>
  <c r="BD592" i="5"/>
  <c r="AJ577" i="5"/>
  <c r="Z608" i="1"/>
  <c r="AA604" i="1"/>
  <c r="AA607" i="1"/>
  <c r="AA609" i="1"/>
  <c r="AA610" i="1"/>
  <c r="AD611" i="1"/>
  <c r="AA606" i="1"/>
  <c r="AA605" i="1"/>
  <c r="Z603" i="1"/>
  <c r="T602" i="1"/>
  <c r="Q601" i="1"/>
  <c r="P600" i="1"/>
  <c r="V599" i="1"/>
  <c r="S598" i="1"/>
  <c r="V597" i="1"/>
  <c r="V595" i="1"/>
  <c r="U594" i="1"/>
  <c r="U593" i="1"/>
  <c r="U592" i="1"/>
  <c r="U591" i="1"/>
  <c r="R590" i="1"/>
  <c r="U589" i="1"/>
  <c r="T588" i="1"/>
  <c r="T587" i="1"/>
  <c r="T586" i="1"/>
  <c r="BI585" i="1"/>
  <c r="I585" i="1"/>
  <c r="F585" i="1"/>
  <c r="E585" i="1"/>
  <c r="C585" i="1"/>
  <c r="B585" i="1"/>
  <c r="A585" i="1"/>
  <c r="J584" i="1"/>
  <c r="I584" i="1"/>
  <c r="H584" i="1"/>
  <c r="F584" i="1"/>
  <c r="E584" i="1"/>
  <c r="C584" i="1"/>
  <c r="B584" i="1"/>
  <c r="A584" i="1"/>
  <c r="J583" i="1"/>
  <c r="I583" i="1"/>
  <c r="H583" i="1"/>
  <c r="F583" i="1"/>
  <c r="E583" i="1"/>
  <c r="C583" i="1"/>
  <c r="B583" i="1"/>
  <c r="A583" i="1"/>
  <c r="J582" i="1"/>
  <c r="I582" i="1"/>
  <c r="H582" i="1"/>
  <c r="F582" i="1"/>
  <c r="E582" i="1"/>
  <c r="C582" i="1"/>
  <c r="B582" i="1"/>
  <c r="A582" i="1"/>
  <c r="J581" i="1"/>
  <c r="I581" i="1"/>
  <c r="H581" i="1"/>
  <c r="F581" i="1"/>
  <c r="E581" i="1"/>
  <c r="C581" i="1"/>
  <c r="B581" i="1"/>
  <c r="A581" i="1"/>
  <c r="J580" i="1"/>
  <c r="I580" i="1"/>
  <c r="H580" i="1"/>
  <c r="G580" i="1"/>
  <c r="F580" i="1"/>
  <c r="E580" i="1"/>
  <c r="C580" i="1"/>
  <c r="B580" i="1"/>
  <c r="A580" i="1"/>
  <c r="H579" i="1"/>
  <c r="F579" i="1"/>
  <c r="E579" i="1"/>
  <c r="C579" i="1"/>
  <c r="B579" i="1"/>
  <c r="A579" i="1"/>
  <c r="J578" i="1"/>
  <c r="O578" i="1" s="1"/>
  <c r="I578" i="1"/>
  <c r="H578" i="1"/>
  <c r="G578" i="1"/>
  <c r="F578" i="1"/>
  <c r="E578" i="1"/>
  <c r="C578" i="1"/>
  <c r="B578" i="1"/>
  <c r="A578" i="1"/>
  <c r="J577" i="1"/>
  <c r="I577" i="1"/>
  <c r="H577" i="1"/>
  <c r="G577" i="1"/>
  <c r="F577" i="1"/>
  <c r="E577" i="1"/>
  <c r="C577" i="1"/>
  <c r="B577" i="1"/>
  <c r="A577" i="1"/>
  <c r="J576" i="1"/>
  <c r="I576" i="1"/>
  <c r="H576" i="1"/>
  <c r="G576" i="1"/>
  <c r="F576" i="1"/>
  <c r="E576" i="1"/>
  <c r="C576" i="1"/>
  <c r="B576" i="1"/>
  <c r="A576" i="1"/>
  <c r="J575" i="1"/>
  <c r="I575" i="1"/>
  <c r="H575" i="1"/>
  <c r="G575" i="1"/>
  <c r="F575" i="1"/>
  <c r="E575" i="1"/>
  <c r="C575" i="1"/>
  <c r="B575" i="1"/>
  <c r="A575" i="1"/>
  <c r="A574" i="1"/>
  <c r="J573" i="1"/>
  <c r="I573" i="1"/>
  <c r="H573" i="1"/>
  <c r="F573" i="1"/>
  <c r="E573" i="1"/>
  <c r="C573" i="1"/>
  <c r="B573" i="1"/>
  <c r="A573" i="1"/>
  <c r="J572" i="1"/>
  <c r="I572" i="1"/>
  <c r="H572" i="1"/>
  <c r="F572" i="1"/>
  <c r="E572" i="1"/>
  <c r="C572" i="1"/>
  <c r="B572" i="1"/>
  <c r="A572" i="1"/>
  <c r="J571" i="1"/>
  <c r="I571" i="1"/>
  <c r="H571" i="1"/>
  <c r="F571" i="1"/>
  <c r="E571" i="1"/>
  <c r="C571" i="1"/>
  <c r="B571" i="1"/>
  <c r="A571" i="1"/>
  <c r="J570" i="1"/>
  <c r="I570" i="1"/>
  <c r="H570" i="1"/>
  <c r="F570" i="1"/>
  <c r="E570" i="1"/>
  <c r="C570" i="1"/>
  <c r="B570" i="1"/>
  <c r="A570" i="1"/>
  <c r="J569" i="1"/>
  <c r="I569" i="1"/>
  <c r="H569" i="1"/>
  <c r="F569" i="1"/>
  <c r="E569" i="1"/>
  <c r="C569" i="1"/>
  <c r="B569" i="1"/>
  <c r="A569" i="1"/>
  <c r="J568" i="1"/>
  <c r="I568" i="1"/>
  <c r="H568" i="1"/>
  <c r="F568" i="1"/>
  <c r="E568" i="1"/>
  <c r="C568" i="1"/>
  <c r="B568" i="1"/>
  <c r="A568" i="1"/>
  <c r="J567" i="1"/>
  <c r="I567" i="1"/>
  <c r="H567" i="1"/>
  <c r="F567" i="1"/>
  <c r="E567" i="1"/>
  <c r="C567" i="1"/>
  <c r="B567" i="1"/>
  <c r="A567" i="1"/>
  <c r="J566" i="1"/>
  <c r="I566" i="1"/>
  <c r="H566" i="1"/>
  <c r="F566" i="1"/>
  <c r="E566" i="1"/>
  <c r="C566" i="1"/>
  <c r="B566" i="1"/>
  <c r="A566" i="1"/>
  <c r="J565" i="1"/>
  <c r="I565" i="1"/>
  <c r="H565" i="1"/>
  <c r="N565" i="1" s="1"/>
  <c r="F565" i="1"/>
  <c r="E565" i="1"/>
  <c r="C565" i="1"/>
  <c r="B565" i="1"/>
  <c r="A565" i="1"/>
  <c r="F564" i="1"/>
  <c r="E564" i="1"/>
  <c r="C564" i="1"/>
  <c r="B564" i="1"/>
  <c r="J563" i="1"/>
  <c r="I563" i="1"/>
  <c r="H563" i="1"/>
  <c r="E563" i="1"/>
  <c r="C563" i="1"/>
  <c r="B563" i="1"/>
  <c r="A563" i="1"/>
  <c r="J562" i="1"/>
  <c r="I562" i="1"/>
  <c r="H562" i="1"/>
  <c r="G562" i="1"/>
  <c r="F562" i="1"/>
  <c r="E562" i="1"/>
  <c r="C562" i="1"/>
  <c r="B562" i="1"/>
  <c r="A562" i="1"/>
  <c r="I561" i="1"/>
  <c r="F561" i="1"/>
  <c r="E561" i="1"/>
  <c r="C561" i="1"/>
  <c r="B561" i="1"/>
  <c r="A561" i="1"/>
  <c r="J560" i="1"/>
  <c r="I560" i="1"/>
  <c r="H560" i="1"/>
  <c r="F560" i="1"/>
  <c r="E560" i="1"/>
  <c r="C560" i="1"/>
  <c r="B560" i="1"/>
  <c r="A560" i="1"/>
  <c r="J559" i="1"/>
  <c r="I559" i="1"/>
  <c r="H559" i="1"/>
  <c r="F559" i="1"/>
  <c r="E559" i="1"/>
  <c r="C559" i="1"/>
  <c r="B559" i="1"/>
  <c r="A559" i="1"/>
  <c r="J558" i="1"/>
  <c r="I558" i="1"/>
  <c r="H558" i="1"/>
  <c r="F558" i="1"/>
  <c r="E558" i="1"/>
  <c r="C558" i="1"/>
  <c r="B558" i="1"/>
  <c r="A558" i="1"/>
  <c r="J557" i="1"/>
  <c r="O557" i="1" s="1"/>
  <c r="I557" i="1"/>
  <c r="H557" i="1"/>
  <c r="F557" i="1"/>
  <c r="E557" i="1"/>
  <c r="C557" i="1"/>
  <c r="B557" i="1"/>
  <c r="A557" i="1"/>
  <c r="J556" i="1"/>
  <c r="O556" i="1" s="1"/>
  <c r="I556" i="1"/>
  <c r="H556" i="1"/>
  <c r="F556" i="1"/>
  <c r="E556" i="1"/>
  <c r="C556" i="1"/>
  <c r="B556" i="1"/>
  <c r="A556" i="1"/>
  <c r="J555" i="1"/>
  <c r="O555" i="1" s="1"/>
  <c r="I555" i="1"/>
  <c r="H555" i="1"/>
  <c r="F555" i="1"/>
  <c r="E555" i="1"/>
  <c r="C555" i="1"/>
  <c r="B555" i="1"/>
  <c r="A555" i="1"/>
  <c r="J554" i="1"/>
  <c r="O554" i="1" s="1"/>
  <c r="I554" i="1"/>
  <c r="H554" i="1"/>
  <c r="F554" i="1"/>
  <c r="E554" i="1"/>
  <c r="C554" i="1"/>
  <c r="B554" i="1"/>
  <c r="A554" i="1"/>
  <c r="J553" i="1"/>
  <c r="O553" i="1" s="1"/>
  <c r="I553" i="1"/>
  <c r="H553" i="1"/>
  <c r="F553" i="1"/>
  <c r="E553" i="1"/>
  <c r="C553" i="1"/>
  <c r="B553" i="1"/>
  <c r="A553" i="1"/>
  <c r="J552" i="1"/>
  <c r="O552" i="1" s="1"/>
  <c r="I552" i="1"/>
  <c r="H552" i="1"/>
  <c r="F552" i="1"/>
  <c r="E552" i="1"/>
  <c r="C552" i="1"/>
  <c r="B552" i="1"/>
  <c r="A552" i="1"/>
  <c r="J551" i="1"/>
  <c r="I551" i="1"/>
  <c r="H551" i="1"/>
  <c r="F551" i="1"/>
  <c r="E551" i="1"/>
  <c r="C551" i="1"/>
  <c r="B551" i="1"/>
  <c r="A551" i="1"/>
  <c r="J550" i="1"/>
  <c r="I550" i="1"/>
  <c r="H550" i="1"/>
  <c r="F550" i="1"/>
  <c r="E550" i="1"/>
  <c r="C550" i="1"/>
  <c r="B550" i="1"/>
  <c r="A550" i="1"/>
  <c r="J549" i="1"/>
  <c r="I549" i="1"/>
  <c r="H549" i="1"/>
  <c r="F549" i="1"/>
  <c r="E549" i="1"/>
  <c r="C549" i="1"/>
  <c r="B549" i="1"/>
  <c r="A549" i="1"/>
  <c r="J548" i="1"/>
  <c r="I548" i="1"/>
  <c r="H548" i="1"/>
  <c r="F548" i="1"/>
  <c r="E548" i="1"/>
  <c r="C548" i="1"/>
  <c r="B548" i="1"/>
  <c r="A548" i="1"/>
  <c r="J547" i="1"/>
  <c r="I547" i="1"/>
  <c r="H547" i="1"/>
  <c r="F547" i="1"/>
  <c r="E547" i="1"/>
  <c r="C547" i="1"/>
  <c r="B547" i="1"/>
  <c r="A547" i="1"/>
  <c r="J546" i="1"/>
  <c r="I546" i="1"/>
  <c r="H546" i="1"/>
  <c r="F546" i="1"/>
  <c r="E546" i="1"/>
  <c r="C546" i="1"/>
  <c r="B546" i="1"/>
  <c r="A546" i="1"/>
  <c r="J545" i="1"/>
  <c r="I545" i="1"/>
  <c r="H545" i="1"/>
  <c r="F545" i="1"/>
  <c r="E545" i="1"/>
  <c r="C545" i="1"/>
  <c r="B545" i="1"/>
  <c r="A545" i="1"/>
  <c r="J544" i="1"/>
  <c r="I544" i="1"/>
  <c r="H544" i="1"/>
  <c r="F544" i="1"/>
  <c r="E544" i="1"/>
  <c r="C544" i="1"/>
  <c r="B544" i="1"/>
  <c r="A544" i="1"/>
  <c r="J543" i="1"/>
  <c r="I543" i="1"/>
  <c r="H543" i="1"/>
  <c r="F543" i="1"/>
  <c r="E543" i="1"/>
  <c r="C543" i="1"/>
  <c r="B543" i="1"/>
  <c r="A543" i="1"/>
  <c r="J542" i="1"/>
  <c r="I542" i="1"/>
  <c r="H542" i="1"/>
  <c r="F542" i="1"/>
  <c r="E542" i="1"/>
  <c r="C542" i="1"/>
  <c r="B542" i="1"/>
  <c r="A542" i="1"/>
  <c r="J541" i="1"/>
  <c r="I541" i="1"/>
  <c r="H541" i="1"/>
  <c r="F541" i="1"/>
  <c r="E541" i="1"/>
  <c r="C541" i="1"/>
  <c r="B541" i="1"/>
  <c r="A541" i="1"/>
  <c r="J540" i="1"/>
  <c r="I540" i="1"/>
  <c r="H540" i="1"/>
  <c r="F540" i="1"/>
  <c r="E540" i="1"/>
  <c r="C540" i="1"/>
  <c r="B540" i="1"/>
  <c r="A540" i="1"/>
  <c r="J539" i="1"/>
  <c r="I539" i="1"/>
  <c r="H539" i="1"/>
  <c r="F539" i="1"/>
  <c r="E539" i="1"/>
  <c r="C539" i="1"/>
  <c r="B539" i="1"/>
  <c r="A539" i="1"/>
  <c r="J538" i="1"/>
  <c r="I538" i="1"/>
  <c r="H538" i="1"/>
  <c r="F538" i="1"/>
  <c r="E538" i="1"/>
  <c r="C538" i="1"/>
  <c r="B538" i="1"/>
  <c r="A538" i="1"/>
  <c r="J537" i="1"/>
  <c r="I537" i="1"/>
  <c r="H537" i="1"/>
  <c r="F537" i="1"/>
  <c r="E537" i="1"/>
  <c r="C537" i="1"/>
  <c r="B537" i="1"/>
  <c r="A537" i="1"/>
  <c r="J536" i="1"/>
  <c r="I536" i="1"/>
  <c r="H536" i="1"/>
  <c r="F536" i="1"/>
  <c r="E536" i="1"/>
  <c r="C536" i="1"/>
  <c r="B536" i="1"/>
  <c r="A536" i="1"/>
  <c r="J535" i="1"/>
  <c r="I535" i="1"/>
  <c r="H535" i="1"/>
  <c r="F535" i="1"/>
  <c r="E535" i="1"/>
  <c r="C535" i="1"/>
  <c r="B535" i="1"/>
  <c r="A535" i="1"/>
  <c r="J534" i="1"/>
  <c r="I534" i="1"/>
  <c r="H534" i="1"/>
  <c r="F534" i="1"/>
  <c r="E534" i="1"/>
  <c r="C534" i="1"/>
  <c r="B534" i="1"/>
  <c r="A534" i="1"/>
  <c r="J533" i="1"/>
  <c r="I533" i="1"/>
  <c r="H533" i="1"/>
  <c r="F533" i="1"/>
  <c r="E533" i="1"/>
  <c r="C533" i="1"/>
  <c r="B533" i="1"/>
  <c r="A533" i="1"/>
  <c r="J532" i="1"/>
  <c r="I532" i="1"/>
  <c r="H532" i="1"/>
  <c r="F532" i="1"/>
  <c r="E532" i="1"/>
  <c r="C532" i="1"/>
  <c r="B532" i="1"/>
  <c r="A532" i="1"/>
  <c r="J531" i="1"/>
  <c r="I531" i="1"/>
  <c r="H531" i="1"/>
  <c r="F531" i="1"/>
  <c r="E531" i="1"/>
  <c r="C531" i="1"/>
  <c r="B531" i="1"/>
  <c r="A531" i="1"/>
  <c r="J530" i="1"/>
  <c r="I530" i="1"/>
  <c r="H530" i="1"/>
  <c r="F530" i="1"/>
  <c r="E530" i="1"/>
  <c r="C530" i="1"/>
  <c r="B530" i="1"/>
  <c r="A530" i="1"/>
  <c r="J529" i="1"/>
  <c r="I529" i="1"/>
  <c r="H529" i="1"/>
  <c r="F529" i="1"/>
  <c r="E529" i="1"/>
  <c r="C529" i="1"/>
  <c r="B529" i="1"/>
  <c r="A529" i="1"/>
  <c r="J528" i="1"/>
  <c r="I528" i="1"/>
  <c r="H528" i="1"/>
  <c r="F528" i="1"/>
  <c r="E528" i="1"/>
  <c r="C528" i="1"/>
  <c r="B528" i="1"/>
  <c r="A528" i="1"/>
  <c r="C530" i="5" s="1"/>
  <c r="J527" i="1"/>
  <c r="I527" i="1"/>
  <c r="H527" i="1"/>
  <c r="F527" i="1"/>
  <c r="E527" i="1"/>
  <c r="C527" i="1"/>
  <c r="B527" i="1"/>
  <c r="A527" i="1"/>
  <c r="J526" i="1"/>
  <c r="I526" i="1"/>
  <c r="H526" i="1"/>
  <c r="F526" i="1"/>
  <c r="E526" i="1"/>
  <c r="C526" i="1"/>
  <c r="B526" i="1"/>
  <c r="A526" i="1"/>
  <c r="J525" i="1"/>
  <c r="I525" i="1"/>
  <c r="H525" i="1"/>
  <c r="F525" i="1"/>
  <c r="E525" i="1"/>
  <c r="C525" i="1"/>
  <c r="B525" i="1"/>
  <c r="A525" i="1"/>
  <c r="J524" i="1"/>
  <c r="I524" i="1"/>
  <c r="H524" i="1"/>
  <c r="F524" i="1"/>
  <c r="E524" i="1"/>
  <c r="C524" i="1"/>
  <c r="B524" i="1"/>
  <c r="A524" i="1"/>
  <c r="J523" i="1"/>
  <c r="I523" i="1"/>
  <c r="H523" i="1"/>
  <c r="F523" i="1"/>
  <c r="E523" i="1"/>
  <c r="C523" i="1"/>
  <c r="B523" i="1"/>
  <c r="A523" i="1"/>
  <c r="J522" i="1"/>
  <c r="I522" i="1"/>
  <c r="H522" i="1"/>
  <c r="F522" i="1"/>
  <c r="E522" i="1"/>
  <c r="C522" i="1"/>
  <c r="B522" i="1"/>
  <c r="A522" i="1"/>
  <c r="J521" i="1"/>
  <c r="I521" i="1"/>
  <c r="H521" i="1"/>
  <c r="F521" i="1"/>
  <c r="E521" i="1"/>
  <c r="C521" i="1"/>
  <c r="B521" i="1"/>
  <c r="A521" i="1"/>
  <c r="J520" i="1"/>
  <c r="I520" i="1"/>
  <c r="H520" i="1"/>
  <c r="F520" i="1"/>
  <c r="E520" i="1"/>
  <c r="C520" i="1"/>
  <c r="B520" i="1"/>
  <c r="A520" i="1"/>
  <c r="J519" i="1"/>
  <c r="I519" i="1"/>
  <c r="H519" i="1"/>
  <c r="F519" i="1"/>
  <c r="E519" i="1"/>
  <c r="C519" i="1"/>
  <c r="B519" i="1"/>
  <c r="A519" i="1"/>
  <c r="J518" i="1"/>
  <c r="I518" i="1"/>
  <c r="H518" i="1"/>
  <c r="G518" i="1"/>
  <c r="F518" i="1"/>
  <c r="E518" i="1"/>
  <c r="C518" i="1"/>
  <c r="B518" i="1"/>
  <c r="A518" i="1"/>
  <c r="J517" i="1"/>
  <c r="I517" i="1"/>
  <c r="H517" i="1"/>
  <c r="F517" i="1"/>
  <c r="E517" i="1"/>
  <c r="C517" i="1"/>
  <c r="B517" i="1"/>
  <c r="A517" i="1"/>
  <c r="G516" i="1"/>
  <c r="F516" i="1"/>
  <c r="E516" i="1"/>
  <c r="D516" i="1"/>
  <c r="C516" i="1"/>
  <c r="B516" i="1"/>
  <c r="A516" i="1"/>
  <c r="J515" i="1"/>
  <c r="I515" i="1"/>
  <c r="H515" i="1"/>
  <c r="E515" i="1"/>
  <c r="C515" i="1"/>
  <c r="B515" i="1"/>
  <c r="A515" i="1"/>
  <c r="J514" i="1"/>
  <c r="I514" i="1"/>
  <c r="H514" i="1"/>
  <c r="E514" i="1"/>
  <c r="C514" i="1"/>
  <c r="B514" i="1"/>
  <c r="A514" i="1"/>
  <c r="J513" i="1"/>
  <c r="I513" i="1"/>
  <c r="H513" i="1"/>
  <c r="E513" i="1"/>
  <c r="C513" i="1"/>
  <c r="B513" i="1"/>
  <c r="A513" i="1"/>
  <c r="J512" i="1"/>
  <c r="I512" i="1"/>
  <c r="H512" i="1"/>
  <c r="E512" i="1"/>
  <c r="C512" i="1"/>
  <c r="B512" i="1"/>
  <c r="A512" i="1"/>
  <c r="J511" i="1"/>
  <c r="I511" i="1"/>
  <c r="H511" i="1"/>
  <c r="E511" i="1"/>
  <c r="C511" i="1"/>
  <c r="B511" i="1"/>
  <c r="A511" i="1"/>
  <c r="N510" i="1"/>
  <c r="J510" i="1"/>
  <c r="O510" i="1" s="1"/>
  <c r="P510" i="1" s="1"/>
  <c r="Q510" i="1" s="1"/>
  <c r="R510" i="1" s="1"/>
  <c r="S510" i="1" s="1"/>
  <c r="I510" i="1"/>
  <c r="H510" i="1"/>
  <c r="E510" i="1"/>
  <c r="C510" i="1"/>
  <c r="B510" i="1"/>
  <c r="A510" i="1"/>
  <c r="G509" i="1"/>
  <c r="F509" i="1"/>
  <c r="E509" i="1"/>
  <c r="D509" i="1"/>
  <c r="C509" i="1"/>
  <c r="B509" i="1"/>
  <c r="A509" i="1"/>
  <c r="J508" i="1"/>
  <c r="I508" i="1"/>
  <c r="H508" i="1"/>
  <c r="F508" i="1"/>
  <c r="E508" i="1"/>
  <c r="C508" i="1"/>
  <c r="B508" i="1"/>
  <c r="A508" i="1"/>
  <c r="J507" i="1"/>
  <c r="I507" i="1"/>
  <c r="H507" i="1"/>
  <c r="F507" i="1"/>
  <c r="E507" i="1"/>
  <c r="C507" i="1"/>
  <c r="B507" i="1"/>
  <c r="A507" i="1"/>
  <c r="G506" i="1"/>
  <c r="F506" i="1"/>
  <c r="E506" i="1"/>
  <c r="D506" i="1"/>
  <c r="C506" i="1"/>
  <c r="B506" i="1"/>
  <c r="A506" i="1"/>
  <c r="J505" i="1"/>
  <c r="I505" i="1"/>
  <c r="H505" i="1"/>
  <c r="F505" i="1"/>
  <c r="E505" i="1"/>
  <c r="C505" i="1"/>
  <c r="B505" i="1"/>
  <c r="A505" i="1"/>
  <c r="J504" i="1"/>
  <c r="I504" i="1"/>
  <c r="H504" i="1"/>
  <c r="F504" i="1"/>
  <c r="E504" i="1"/>
  <c r="C504" i="1"/>
  <c r="B504" i="1"/>
  <c r="A504" i="1"/>
  <c r="J503" i="1"/>
  <c r="I503" i="1"/>
  <c r="H503" i="1"/>
  <c r="F503" i="1"/>
  <c r="E503" i="1"/>
  <c r="C503" i="1"/>
  <c r="B503" i="1"/>
  <c r="A503" i="1"/>
  <c r="J502" i="1"/>
  <c r="I502" i="1"/>
  <c r="H502" i="1"/>
  <c r="F502" i="1"/>
  <c r="E502" i="1"/>
  <c r="C502" i="1"/>
  <c r="B502" i="1"/>
  <c r="A502" i="1"/>
  <c r="J501" i="1"/>
  <c r="I501" i="1"/>
  <c r="H501" i="1"/>
  <c r="G501" i="1"/>
  <c r="F501" i="1"/>
  <c r="E501" i="1"/>
  <c r="C501" i="1"/>
  <c r="B501" i="1"/>
  <c r="A501" i="1"/>
  <c r="J500" i="1"/>
  <c r="I500" i="1"/>
  <c r="H500" i="1"/>
  <c r="G500" i="1"/>
  <c r="F500" i="1"/>
  <c r="E500" i="1"/>
  <c r="C500" i="1"/>
  <c r="B500" i="1"/>
  <c r="A500" i="1"/>
  <c r="J499" i="1"/>
  <c r="I499" i="1"/>
  <c r="H499" i="1"/>
  <c r="G499" i="1"/>
  <c r="F499" i="1"/>
  <c r="E499" i="1"/>
  <c r="C499" i="1"/>
  <c r="B499" i="1"/>
  <c r="A499" i="1"/>
  <c r="J498" i="1"/>
  <c r="I498" i="1"/>
  <c r="H498" i="1"/>
  <c r="G498" i="1"/>
  <c r="F498" i="1"/>
  <c r="E498" i="1"/>
  <c r="C498" i="1"/>
  <c r="B498" i="1"/>
  <c r="A498" i="1"/>
  <c r="J497" i="1"/>
  <c r="I497" i="1"/>
  <c r="H497" i="1"/>
  <c r="F497" i="1"/>
  <c r="E497" i="1"/>
  <c r="C497" i="1"/>
  <c r="B497" i="1"/>
  <c r="A497" i="1"/>
  <c r="J496" i="1"/>
  <c r="I496" i="1"/>
  <c r="H496" i="1"/>
  <c r="F496" i="1"/>
  <c r="E496" i="1"/>
  <c r="C496" i="1"/>
  <c r="B496" i="1"/>
  <c r="A496" i="1"/>
  <c r="J495" i="1"/>
  <c r="I495" i="1"/>
  <c r="H495" i="1"/>
  <c r="F495" i="1"/>
  <c r="E495" i="1"/>
  <c r="C495" i="1"/>
  <c r="B495" i="1"/>
  <c r="A495" i="1"/>
  <c r="J494" i="1"/>
  <c r="I494" i="1"/>
  <c r="H494" i="1"/>
  <c r="F494" i="1"/>
  <c r="E494" i="1"/>
  <c r="C494" i="1"/>
  <c r="B494" i="1"/>
  <c r="A494" i="1"/>
  <c r="J493" i="1"/>
  <c r="I493" i="1"/>
  <c r="H493" i="1"/>
  <c r="F493" i="1"/>
  <c r="E493" i="1"/>
  <c r="C493" i="1"/>
  <c r="B493" i="1"/>
  <c r="A493" i="1"/>
  <c r="J492" i="1"/>
  <c r="I492" i="1"/>
  <c r="H492" i="1"/>
  <c r="F492" i="1"/>
  <c r="E492" i="1"/>
  <c r="C492" i="1"/>
  <c r="B492" i="1"/>
  <c r="A492" i="1"/>
  <c r="J491" i="1"/>
  <c r="I491" i="1"/>
  <c r="H491" i="1"/>
  <c r="F491" i="1"/>
  <c r="E491" i="1"/>
  <c r="C491" i="1"/>
  <c r="B491" i="1"/>
  <c r="A491" i="1"/>
  <c r="J490" i="1"/>
  <c r="I490" i="1"/>
  <c r="H490" i="1"/>
  <c r="F490" i="1"/>
  <c r="E490" i="1"/>
  <c r="C490" i="1"/>
  <c r="B490" i="1"/>
  <c r="A490" i="1"/>
  <c r="J489" i="1"/>
  <c r="I489" i="1"/>
  <c r="H489" i="1"/>
  <c r="F489" i="1"/>
  <c r="E489" i="1"/>
  <c r="C489" i="1"/>
  <c r="B489" i="1"/>
  <c r="A489" i="1"/>
  <c r="J488" i="1"/>
  <c r="I488" i="1"/>
  <c r="H488" i="1"/>
  <c r="F488" i="1"/>
  <c r="E488" i="1"/>
  <c r="C488" i="1"/>
  <c r="B488" i="1"/>
  <c r="A488" i="1"/>
  <c r="J487" i="1"/>
  <c r="I487" i="1"/>
  <c r="H487" i="1"/>
  <c r="F487" i="1"/>
  <c r="E487" i="1"/>
  <c r="C487" i="1"/>
  <c r="B487" i="1"/>
  <c r="A487" i="1"/>
  <c r="J486" i="1"/>
  <c r="I486" i="1"/>
  <c r="H486" i="1"/>
  <c r="F486" i="1"/>
  <c r="E486" i="1"/>
  <c r="C486" i="1"/>
  <c r="B486" i="1"/>
  <c r="A486" i="1"/>
  <c r="J485" i="1"/>
  <c r="I485" i="1"/>
  <c r="H485" i="1"/>
  <c r="F485" i="1"/>
  <c r="E485" i="1"/>
  <c r="C485" i="1"/>
  <c r="B485" i="1"/>
  <c r="A485" i="1"/>
  <c r="J484" i="1"/>
  <c r="I484" i="1"/>
  <c r="H484" i="1"/>
  <c r="F484" i="1"/>
  <c r="E484" i="1"/>
  <c r="C484" i="1"/>
  <c r="B484" i="1"/>
  <c r="A484" i="1"/>
  <c r="J483" i="1"/>
  <c r="I483" i="1"/>
  <c r="H483" i="1"/>
  <c r="F483" i="1"/>
  <c r="E483" i="1"/>
  <c r="C483" i="1"/>
  <c r="B483" i="1"/>
  <c r="A483" i="1"/>
  <c r="J482" i="1"/>
  <c r="I482" i="1"/>
  <c r="H482" i="1"/>
  <c r="F482" i="1"/>
  <c r="E482" i="1"/>
  <c r="C482" i="1"/>
  <c r="B482" i="1"/>
  <c r="A482" i="1"/>
  <c r="J481" i="1"/>
  <c r="I481" i="1"/>
  <c r="H481" i="1"/>
  <c r="F481" i="1"/>
  <c r="E481" i="1"/>
  <c r="C481" i="1"/>
  <c r="B481" i="1"/>
  <c r="A481" i="1"/>
  <c r="J480" i="1"/>
  <c r="I480" i="1"/>
  <c r="H480" i="1"/>
  <c r="F480" i="1"/>
  <c r="E480" i="1"/>
  <c r="C480" i="1"/>
  <c r="B480" i="1"/>
  <c r="A480" i="1"/>
  <c r="J479" i="1"/>
  <c r="I479" i="1"/>
  <c r="H479" i="1"/>
  <c r="F479" i="1"/>
  <c r="E479" i="1"/>
  <c r="C479" i="1"/>
  <c r="B479" i="1"/>
  <c r="A479" i="1"/>
  <c r="J478" i="1"/>
  <c r="I478" i="1"/>
  <c r="H478" i="1"/>
  <c r="F478" i="1"/>
  <c r="E478" i="1"/>
  <c r="C478" i="1"/>
  <c r="B478" i="1"/>
  <c r="A478" i="1"/>
  <c r="J477" i="1"/>
  <c r="I477" i="1"/>
  <c r="H477" i="1"/>
  <c r="F477" i="1"/>
  <c r="E477" i="1"/>
  <c r="C477" i="1"/>
  <c r="B477" i="1"/>
  <c r="A477" i="1"/>
  <c r="J476" i="1"/>
  <c r="I476" i="1"/>
  <c r="H476" i="1"/>
  <c r="F476" i="1"/>
  <c r="E476" i="1"/>
  <c r="C476" i="1"/>
  <c r="B476" i="1"/>
  <c r="A476" i="1"/>
  <c r="J475" i="1"/>
  <c r="I475" i="1"/>
  <c r="H475" i="1"/>
  <c r="F475" i="1"/>
  <c r="E475" i="1"/>
  <c r="C475" i="1"/>
  <c r="B475" i="1"/>
  <c r="A475" i="1"/>
  <c r="J474" i="1"/>
  <c r="I474" i="1"/>
  <c r="H474" i="1"/>
  <c r="F474" i="1"/>
  <c r="E474" i="1"/>
  <c r="C474" i="1"/>
  <c r="B474" i="1"/>
  <c r="A474" i="1"/>
  <c r="J473" i="1"/>
  <c r="I473" i="1"/>
  <c r="H473" i="1"/>
  <c r="F473" i="1"/>
  <c r="E473" i="1"/>
  <c r="C473" i="1"/>
  <c r="B473" i="1"/>
  <c r="A473" i="1"/>
  <c r="J472" i="1"/>
  <c r="I472" i="1"/>
  <c r="H472" i="1"/>
  <c r="F472" i="1"/>
  <c r="E472" i="1"/>
  <c r="C472" i="1"/>
  <c r="B472" i="1"/>
  <c r="A472" i="1"/>
  <c r="J471" i="1"/>
  <c r="I471" i="1"/>
  <c r="H471" i="1"/>
  <c r="F471" i="1"/>
  <c r="E471" i="1"/>
  <c r="C471" i="1"/>
  <c r="B471" i="1"/>
  <c r="A471" i="1"/>
  <c r="J470" i="1"/>
  <c r="I470" i="1"/>
  <c r="H470" i="1"/>
  <c r="F470" i="1"/>
  <c r="E470" i="1"/>
  <c r="C470" i="1"/>
  <c r="B470" i="1"/>
  <c r="A470" i="1"/>
  <c r="J469" i="1"/>
  <c r="I469" i="1"/>
  <c r="H469" i="1"/>
  <c r="F469" i="1"/>
  <c r="E469" i="1"/>
  <c r="C469" i="1"/>
  <c r="B469" i="1"/>
  <c r="A469" i="1"/>
  <c r="J468" i="1"/>
  <c r="I468" i="1"/>
  <c r="H468" i="1"/>
  <c r="F468" i="1"/>
  <c r="E468" i="1"/>
  <c r="C468" i="1"/>
  <c r="B468" i="1"/>
  <c r="A468" i="1"/>
  <c r="J467" i="1"/>
  <c r="I467" i="1"/>
  <c r="H467" i="1"/>
  <c r="F467" i="1"/>
  <c r="E467" i="1"/>
  <c r="C467" i="1"/>
  <c r="B467" i="1"/>
  <c r="A467" i="1"/>
  <c r="J466" i="1"/>
  <c r="I466" i="1"/>
  <c r="H466" i="1"/>
  <c r="F466" i="1"/>
  <c r="E466" i="1"/>
  <c r="C466" i="1"/>
  <c r="B466" i="1"/>
  <c r="A466" i="1"/>
  <c r="J465" i="1"/>
  <c r="I465" i="1"/>
  <c r="H465" i="1"/>
  <c r="F465" i="1"/>
  <c r="E465" i="1"/>
  <c r="C465" i="1"/>
  <c r="B465" i="1"/>
  <c r="A465" i="1"/>
  <c r="J464" i="1"/>
  <c r="O464" i="1" s="1"/>
  <c r="I464" i="1"/>
  <c r="H464" i="1"/>
  <c r="F464" i="1"/>
  <c r="E464" i="1"/>
  <c r="C464" i="1"/>
  <c r="B464" i="1"/>
  <c r="A464" i="1"/>
  <c r="J463" i="1"/>
  <c r="I463" i="1"/>
  <c r="H463" i="1"/>
  <c r="F463" i="1"/>
  <c r="E463" i="1"/>
  <c r="C463" i="1"/>
  <c r="B463" i="1"/>
  <c r="A463" i="1"/>
  <c r="J462" i="1"/>
  <c r="I462" i="1"/>
  <c r="H462" i="1"/>
  <c r="F462" i="1"/>
  <c r="E462" i="1"/>
  <c r="C462" i="1"/>
  <c r="B462" i="1"/>
  <c r="A462" i="1"/>
  <c r="J461" i="1"/>
  <c r="I461" i="1"/>
  <c r="H461" i="1"/>
  <c r="F461" i="1"/>
  <c r="E461" i="1"/>
  <c r="C461" i="1"/>
  <c r="B461" i="1"/>
  <c r="A461" i="1"/>
  <c r="J460" i="1"/>
  <c r="I460" i="1"/>
  <c r="H460" i="1"/>
  <c r="F460" i="1"/>
  <c r="E460" i="1"/>
  <c r="C460" i="1"/>
  <c r="B460" i="1"/>
  <c r="A460" i="1"/>
  <c r="J459" i="1"/>
  <c r="I459" i="1"/>
  <c r="H459" i="1"/>
  <c r="F459" i="1"/>
  <c r="E459" i="1"/>
  <c r="C459" i="1"/>
  <c r="B459" i="1"/>
  <c r="A459" i="1"/>
  <c r="J458" i="1"/>
  <c r="I458" i="1"/>
  <c r="H458" i="1"/>
  <c r="F458" i="1"/>
  <c r="E458" i="1"/>
  <c r="C458" i="1"/>
  <c r="B458" i="1"/>
  <c r="A458" i="1"/>
  <c r="J457" i="1"/>
  <c r="I457" i="1"/>
  <c r="H457" i="1"/>
  <c r="F457" i="1"/>
  <c r="E457" i="1"/>
  <c r="C457" i="1"/>
  <c r="B457" i="1"/>
  <c r="A457" i="1"/>
  <c r="J456" i="1"/>
  <c r="I456" i="1"/>
  <c r="H456" i="1"/>
  <c r="F456" i="1"/>
  <c r="E456" i="1"/>
  <c r="C456" i="1"/>
  <c r="B456" i="1"/>
  <c r="A456" i="1"/>
  <c r="J455" i="1"/>
  <c r="I455" i="1"/>
  <c r="H455" i="1"/>
  <c r="F455" i="1"/>
  <c r="E455" i="1"/>
  <c r="C455" i="1"/>
  <c r="B455" i="1"/>
  <c r="A455" i="1"/>
  <c r="J454" i="1"/>
  <c r="I454" i="1"/>
  <c r="H454" i="1"/>
  <c r="F454" i="1"/>
  <c r="E454" i="1"/>
  <c r="C454" i="1"/>
  <c r="B454" i="1"/>
  <c r="A454" i="1"/>
  <c r="J453" i="1"/>
  <c r="I453" i="1"/>
  <c r="H453" i="1"/>
  <c r="F453" i="1"/>
  <c r="E453" i="1"/>
  <c r="C453" i="1"/>
  <c r="B453" i="1"/>
  <c r="A453" i="1"/>
  <c r="J452" i="1"/>
  <c r="I452" i="1"/>
  <c r="H452" i="1"/>
  <c r="F452" i="1"/>
  <c r="E452" i="1"/>
  <c r="C452" i="1"/>
  <c r="B452" i="1"/>
  <c r="A452" i="1"/>
  <c r="J451" i="1"/>
  <c r="I451" i="1"/>
  <c r="H451" i="1"/>
  <c r="F451" i="1"/>
  <c r="E451" i="1"/>
  <c r="C451" i="1"/>
  <c r="B451" i="1"/>
  <c r="A451" i="1"/>
  <c r="J450" i="1"/>
  <c r="I450" i="1"/>
  <c r="H450" i="1"/>
  <c r="F450" i="1"/>
  <c r="E450" i="1"/>
  <c r="C450" i="1"/>
  <c r="B450" i="1"/>
  <c r="A450" i="1"/>
  <c r="J449" i="1"/>
  <c r="I449" i="1"/>
  <c r="H449" i="1"/>
  <c r="F449" i="1"/>
  <c r="E449" i="1"/>
  <c r="C449" i="1"/>
  <c r="B449" i="1"/>
  <c r="A449" i="1"/>
  <c r="J448" i="1"/>
  <c r="I448" i="1"/>
  <c r="H448" i="1"/>
  <c r="F448" i="1"/>
  <c r="E448" i="1"/>
  <c r="C448" i="1"/>
  <c r="B448" i="1"/>
  <c r="A448" i="1"/>
  <c r="J447" i="1"/>
  <c r="I447" i="1"/>
  <c r="H447" i="1"/>
  <c r="F447" i="1"/>
  <c r="E447" i="1"/>
  <c r="C447" i="1"/>
  <c r="B447" i="1"/>
  <c r="A447" i="1"/>
  <c r="J446" i="1"/>
  <c r="I446" i="1"/>
  <c r="H446" i="1"/>
  <c r="F446" i="1"/>
  <c r="E446" i="1"/>
  <c r="C446" i="1"/>
  <c r="B446" i="1"/>
  <c r="A446" i="1"/>
  <c r="J445" i="1"/>
  <c r="I445" i="1"/>
  <c r="H445" i="1"/>
  <c r="F445" i="1"/>
  <c r="E445" i="1"/>
  <c r="C445" i="1"/>
  <c r="B445" i="1"/>
  <c r="A445" i="1"/>
  <c r="J444" i="1"/>
  <c r="I444" i="1"/>
  <c r="H444" i="1"/>
  <c r="F444" i="1"/>
  <c r="E444" i="1"/>
  <c r="C444" i="1"/>
  <c r="B444" i="1"/>
  <c r="A444" i="1"/>
  <c r="J443" i="1"/>
  <c r="I443" i="1"/>
  <c r="H443" i="1"/>
  <c r="F443" i="1"/>
  <c r="E443" i="1"/>
  <c r="C443" i="1"/>
  <c r="B443" i="1"/>
  <c r="A443" i="1"/>
  <c r="J442" i="1"/>
  <c r="I442" i="1"/>
  <c r="H442" i="1"/>
  <c r="F442" i="1"/>
  <c r="E442" i="1"/>
  <c r="C442" i="1"/>
  <c r="B442" i="1"/>
  <c r="A442" i="1"/>
  <c r="J441" i="1"/>
  <c r="I441" i="1"/>
  <c r="H441" i="1"/>
  <c r="F441" i="1"/>
  <c r="E441" i="1"/>
  <c r="C441" i="1"/>
  <c r="B441" i="1"/>
  <c r="A441" i="1"/>
  <c r="J440" i="1"/>
  <c r="I440" i="1"/>
  <c r="H440" i="1"/>
  <c r="F440" i="1"/>
  <c r="E440" i="1"/>
  <c r="C440" i="1"/>
  <c r="B440" i="1"/>
  <c r="A440" i="1"/>
  <c r="J439" i="1"/>
  <c r="I439" i="1"/>
  <c r="H439" i="1"/>
  <c r="F439" i="1"/>
  <c r="E439" i="1"/>
  <c r="C439" i="1"/>
  <c r="B439" i="1"/>
  <c r="A439" i="1"/>
  <c r="J438" i="1"/>
  <c r="I438" i="1"/>
  <c r="H438" i="1"/>
  <c r="F438" i="1"/>
  <c r="E438" i="1"/>
  <c r="C438" i="1"/>
  <c r="B438" i="1"/>
  <c r="J437" i="1"/>
  <c r="I437" i="1"/>
  <c r="H437" i="1"/>
  <c r="F437" i="1"/>
  <c r="E437" i="1"/>
  <c r="C437" i="1"/>
  <c r="B437" i="1"/>
  <c r="A437" i="1"/>
  <c r="J436" i="1"/>
  <c r="I436" i="1"/>
  <c r="H436" i="1"/>
  <c r="F436" i="1"/>
  <c r="E436" i="1"/>
  <c r="C436" i="1"/>
  <c r="B436" i="1"/>
  <c r="A436" i="1"/>
  <c r="J435" i="1"/>
  <c r="I435" i="1"/>
  <c r="H435" i="1"/>
  <c r="F435" i="1"/>
  <c r="E435" i="1"/>
  <c r="C435" i="1"/>
  <c r="B435" i="1"/>
  <c r="A435" i="1"/>
  <c r="J434" i="1"/>
  <c r="I434" i="1"/>
  <c r="H434" i="1"/>
  <c r="F434" i="1"/>
  <c r="E434" i="1"/>
  <c r="C434" i="1"/>
  <c r="B434" i="1"/>
  <c r="A434" i="1"/>
  <c r="J433" i="1"/>
  <c r="I433" i="1"/>
  <c r="H433" i="1"/>
  <c r="F433" i="1"/>
  <c r="E433" i="1"/>
  <c r="C433" i="1"/>
  <c r="B433" i="1"/>
  <c r="A433" i="1"/>
  <c r="J432" i="1"/>
  <c r="I432" i="1"/>
  <c r="H432" i="1"/>
  <c r="F432" i="1"/>
  <c r="E432" i="1"/>
  <c r="C432" i="1"/>
  <c r="B432" i="1"/>
  <c r="A432" i="1"/>
  <c r="J431" i="1"/>
  <c r="I431" i="1"/>
  <c r="H431" i="1"/>
  <c r="B431" i="1"/>
  <c r="A431" i="1"/>
  <c r="J430" i="1"/>
  <c r="I430" i="1"/>
  <c r="H430" i="1"/>
  <c r="F430" i="1"/>
  <c r="E430" i="1"/>
  <c r="C430" i="1"/>
  <c r="B430" i="1"/>
  <c r="A430" i="1"/>
  <c r="J429" i="1"/>
  <c r="I429" i="1"/>
  <c r="H429" i="1"/>
  <c r="F429" i="1"/>
  <c r="E429" i="1"/>
  <c r="C429" i="1"/>
  <c r="B429" i="1"/>
  <c r="A429" i="1"/>
  <c r="J428" i="1"/>
  <c r="I428" i="1"/>
  <c r="H428" i="1"/>
  <c r="F428" i="1"/>
  <c r="E428" i="1"/>
  <c r="C428" i="1"/>
  <c r="B428" i="1"/>
  <c r="A428" i="1"/>
  <c r="J427" i="1"/>
  <c r="I427" i="1"/>
  <c r="H427" i="1"/>
  <c r="F427" i="1"/>
  <c r="E427" i="1"/>
  <c r="C427" i="1"/>
  <c r="B427" i="1"/>
  <c r="A427" i="1"/>
  <c r="J426" i="1"/>
  <c r="I426" i="1"/>
  <c r="H426" i="1"/>
  <c r="F426" i="1"/>
  <c r="E426" i="1"/>
  <c r="C426" i="1"/>
  <c r="B426" i="1"/>
  <c r="A426" i="1"/>
  <c r="J425" i="1"/>
  <c r="I425" i="1"/>
  <c r="H425" i="1"/>
  <c r="F425" i="1"/>
  <c r="E425" i="1"/>
  <c r="C425" i="1"/>
  <c r="B425" i="1"/>
  <c r="A425" i="1"/>
  <c r="J424" i="1"/>
  <c r="I424" i="1"/>
  <c r="H424" i="1"/>
  <c r="G424" i="1"/>
  <c r="F424" i="1"/>
  <c r="E424" i="1"/>
  <c r="C424" i="1"/>
  <c r="B424" i="1"/>
  <c r="A424" i="1"/>
  <c r="J423" i="1"/>
  <c r="I423" i="1"/>
  <c r="H423" i="1"/>
  <c r="F423" i="1"/>
  <c r="E423" i="1"/>
  <c r="C423" i="1"/>
  <c r="B423" i="1"/>
  <c r="A423" i="1"/>
  <c r="J422" i="1"/>
  <c r="I422" i="1"/>
  <c r="H422" i="1"/>
  <c r="F422" i="1"/>
  <c r="E422" i="1"/>
  <c r="C422" i="1"/>
  <c r="B422" i="1"/>
  <c r="A422" i="1"/>
  <c r="J421" i="1"/>
  <c r="I421" i="1"/>
  <c r="H421" i="1"/>
  <c r="F421" i="1"/>
  <c r="E421" i="1"/>
  <c r="C421" i="1"/>
  <c r="B421" i="1"/>
  <c r="A421" i="1"/>
  <c r="J420" i="1"/>
  <c r="I420" i="1"/>
  <c r="H420" i="1"/>
  <c r="F420" i="1"/>
  <c r="E420" i="1"/>
  <c r="C420" i="1"/>
  <c r="B420" i="1"/>
  <c r="A420" i="1"/>
  <c r="N419" i="1"/>
  <c r="J419" i="1"/>
  <c r="O419" i="1" s="1"/>
  <c r="P419" i="1" s="1"/>
  <c r="Q419" i="1" s="1"/>
  <c r="I419" i="1"/>
  <c r="H419" i="1"/>
  <c r="F419" i="1"/>
  <c r="E419" i="1"/>
  <c r="C419" i="1"/>
  <c r="B419" i="1"/>
  <c r="A419" i="1"/>
  <c r="N418" i="1"/>
  <c r="J418" i="1"/>
  <c r="O418" i="1" s="1"/>
  <c r="P418" i="1" s="1"/>
  <c r="Q418" i="1" s="1"/>
  <c r="R418" i="1" s="1"/>
  <c r="S418" i="1" s="1"/>
  <c r="I418" i="1"/>
  <c r="H418" i="1"/>
  <c r="F418" i="1"/>
  <c r="E418" i="1"/>
  <c r="C418" i="1"/>
  <c r="B418" i="1"/>
  <c r="A418" i="1"/>
  <c r="J417" i="1"/>
  <c r="I417" i="1"/>
  <c r="H417" i="1"/>
  <c r="F417" i="1"/>
  <c r="E417" i="1"/>
  <c r="C417" i="1"/>
  <c r="B417" i="1"/>
  <c r="A417" i="1"/>
  <c r="J416" i="1"/>
  <c r="I416" i="1"/>
  <c r="H416" i="1"/>
  <c r="G416" i="1"/>
  <c r="F416" i="1"/>
  <c r="E416" i="1"/>
  <c r="C416" i="1"/>
  <c r="B416" i="1"/>
  <c r="A416" i="1"/>
  <c r="J415" i="1"/>
  <c r="I415" i="1"/>
  <c r="H415" i="1"/>
  <c r="F415" i="1"/>
  <c r="E415" i="1"/>
  <c r="C415" i="1"/>
  <c r="B415" i="1"/>
  <c r="A415" i="1"/>
  <c r="J414" i="1"/>
  <c r="I414" i="1"/>
  <c r="H414" i="1"/>
  <c r="G414" i="1"/>
  <c r="F414" i="1"/>
  <c r="E414" i="1"/>
  <c r="C414" i="1"/>
  <c r="B414" i="1"/>
  <c r="A414" i="1"/>
  <c r="J413" i="1"/>
  <c r="I413" i="1"/>
  <c r="H413" i="1"/>
  <c r="G413" i="1"/>
  <c r="F413" i="1"/>
  <c r="E413" i="1"/>
  <c r="C413" i="1"/>
  <c r="B413" i="1"/>
  <c r="A413" i="1"/>
  <c r="J412" i="1"/>
  <c r="I412" i="1"/>
  <c r="H412" i="1"/>
  <c r="F412" i="1"/>
  <c r="E412" i="1"/>
  <c r="C412" i="1"/>
  <c r="B412" i="1"/>
  <c r="A412" i="1"/>
  <c r="J411" i="1"/>
  <c r="I411" i="1"/>
  <c r="H411" i="1"/>
  <c r="F411" i="1"/>
  <c r="E411" i="1"/>
  <c r="C411" i="1"/>
  <c r="B411" i="1"/>
  <c r="A411" i="1"/>
  <c r="J410" i="1"/>
  <c r="I410" i="1"/>
  <c r="H410" i="1"/>
  <c r="F410" i="1"/>
  <c r="E410" i="1"/>
  <c r="C410" i="1"/>
  <c r="B410" i="1"/>
  <c r="A410" i="1"/>
  <c r="J409" i="1"/>
  <c r="I409" i="1"/>
  <c r="H409" i="1"/>
  <c r="G409" i="1"/>
  <c r="F409" i="1"/>
  <c r="E409" i="1"/>
  <c r="C409" i="1"/>
  <c r="B409" i="1"/>
  <c r="A409" i="1"/>
  <c r="J408" i="1"/>
  <c r="I408" i="1"/>
  <c r="H408" i="1"/>
  <c r="F408" i="1"/>
  <c r="E408" i="1"/>
  <c r="C408" i="1"/>
  <c r="B408" i="1"/>
  <c r="A408" i="1"/>
  <c r="N407" i="1"/>
  <c r="J407" i="1"/>
  <c r="O407" i="1" s="1"/>
  <c r="P407" i="1" s="1"/>
  <c r="Q407" i="1" s="1"/>
  <c r="R407" i="1" s="1"/>
  <c r="S407" i="1" s="1"/>
  <c r="I407" i="1"/>
  <c r="H407" i="1"/>
  <c r="G407" i="1"/>
  <c r="F407" i="1"/>
  <c r="E407" i="1"/>
  <c r="C407" i="1"/>
  <c r="B407" i="1"/>
  <c r="A407" i="1"/>
  <c r="J406" i="1"/>
  <c r="I406" i="1"/>
  <c r="H406" i="1"/>
  <c r="G406" i="1"/>
  <c r="F406" i="1"/>
  <c r="E406" i="1"/>
  <c r="C406" i="1"/>
  <c r="B406" i="1"/>
  <c r="A406" i="1"/>
  <c r="J405" i="1"/>
  <c r="I405" i="1"/>
  <c r="H405" i="1"/>
  <c r="F405" i="1"/>
  <c r="E405" i="1"/>
  <c r="C405" i="1"/>
  <c r="B405" i="1"/>
  <c r="A405" i="1"/>
  <c r="J404" i="1"/>
  <c r="I404" i="1"/>
  <c r="H404" i="1"/>
  <c r="F404" i="1"/>
  <c r="E404" i="1"/>
  <c r="C404" i="1"/>
  <c r="B404" i="1"/>
  <c r="A404" i="1"/>
  <c r="H403" i="1"/>
  <c r="N403" i="1" s="1"/>
  <c r="F403" i="1"/>
  <c r="E403" i="1"/>
  <c r="C403" i="1"/>
  <c r="B403" i="1"/>
  <c r="A403" i="1"/>
  <c r="J402" i="1"/>
  <c r="I402" i="1"/>
  <c r="H402" i="1"/>
  <c r="F402" i="1"/>
  <c r="E402" i="1"/>
  <c r="C402" i="1"/>
  <c r="B402" i="1"/>
  <c r="A402" i="1"/>
  <c r="J401" i="1"/>
  <c r="I401" i="1"/>
  <c r="H401" i="1"/>
  <c r="G401" i="1"/>
  <c r="F401" i="1"/>
  <c r="E401" i="1"/>
  <c r="C401" i="1"/>
  <c r="B401" i="1"/>
  <c r="A401" i="1"/>
  <c r="J400" i="1"/>
  <c r="I400" i="1"/>
  <c r="H400" i="1"/>
  <c r="F400" i="1"/>
  <c r="E400" i="1"/>
  <c r="C400" i="1"/>
  <c r="B400" i="1"/>
  <c r="A400" i="1"/>
  <c r="J399" i="1"/>
  <c r="I399" i="1"/>
  <c r="H399" i="1"/>
  <c r="F399" i="1"/>
  <c r="E399" i="1"/>
  <c r="C399" i="1"/>
  <c r="B399" i="1"/>
  <c r="A399" i="1"/>
  <c r="J398" i="1"/>
  <c r="I398" i="1"/>
  <c r="H398" i="1"/>
  <c r="F398" i="1"/>
  <c r="E398" i="1"/>
  <c r="C398" i="1"/>
  <c r="B398" i="1"/>
  <c r="A398" i="1"/>
  <c r="J397" i="1"/>
  <c r="I397" i="1"/>
  <c r="H397" i="1"/>
  <c r="G397" i="1"/>
  <c r="F397" i="1"/>
  <c r="E397" i="1"/>
  <c r="C397" i="1"/>
  <c r="B397" i="1"/>
  <c r="A397" i="1"/>
  <c r="J396" i="1"/>
  <c r="I396" i="1"/>
  <c r="H396" i="1"/>
  <c r="F396" i="1"/>
  <c r="E396" i="1"/>
  <c r="C396" i="1"/>
  <c r="B396" i="1"/>
  <c r="A396" i="1"/>
  <c r="J395" i="1"/>
  <c r="I395" i="1"/>
  <c r="H395" i="1"/>
  <c r="F395" i="1"/>
  <c r="E395" i="1"/>
  <c r="C395" i="1"/>
  <c r="B395" i="1"/>
  <c r="A395" i="1"/>
  <c r="J394" i="1"/>
  <c r="I394" i="1"/>
  <c r="H394" i="1"/>
  <c r="G394" i="1"/>
  <c r="F394" i="1"/>
  <c r="E394" i="1"/>
  <c r="C394" i="1"/>
  <c r="B394" i="1"/>
  <c r="A394" i="1"/>
  <c r="J393" i="1"/>
  <c r="I393" i="1"/>
  <c r="H393" i="1"/>
  <c r="G393" i="1"/>
  <c r="F393" i="1"/>
  <c r="E393" i="1"/>
  <c r="C393" i="1"/>
  <c r="B393" i="1"/>
  <c r="A393" i="1"/>
  <c r="J392" i="1"/>
  <c r="I392" i="1"/>
  <c r="H392" i="1"/>
  <c r="G392" i="1"/>
  <c r="F392" i="1"/>
  <c r="E392" i="1"/>
  <c r="C392" i="1"/>
  <c r="B392" i="1"/>
  <c r="A392" i="1"/>
  <c r="J391" i="1"/>
  <c r="I391" i="1"/>
  <c r="H391" i="1"/>
  <c r="G391" i="1"/>
  <c r="F391" i="1"/>
  <c r="E391" i="1"/>
  <c r="C391" i="1"/>
  <c r="B391" i="1"/>
  <c r="A391" i="1"/>
  <c r="J390" i="1"/>
  <c r="I390" i="1"/>
  <c r="H390" i="1"/>
  <c r="F390" i="1"/>
  <c r="E390" i="1"/>
  <c r="C390" i="1"/>
  <c r="B390" i="1"/>
  <c r="A390" i="1"/>
  <c r="J389" i="1"/>
  <c r="I389" i="1"/>
  <c r="H389" i="1"/>
  <c r="F389" i="1"/>
  <c r="E389" i="1"/>
  <c r="C389" i="1"/>
  <c r="B389" i="1"/>
  <c r="A389" i="1"/>
  <c r="J388" i="1"/>
  <c r="I388" i="1"/>
  <c r="H388" i="1"/>
  <c r="F388" i="1"/>
  <c r="E388" i="1"/>
  <c r="C388" i="1"/>
  <c r="B388" i="1"/>
  <c r="A388" i="1"/>
  <c r="J387" i="1"/>
  <c r="I387" i="1"/>
  <c r="H387" i="1"/>
  <c r="F387" i="1"/>
  <c r="E387" i="1"/>
  <c r="C387" i="1"/>
  <c r="B387" i="1"/>
  <c r="A387" i="1"/>
  <c r="J386" i="1"/>
  <c r="I386" i="1"/>
  <c r="H386" i="1"/>
  <c r="F386" i="1"/>
  <c r="E386" i="1"/>
  <c r="C386" i="1"/>
  <c r="B386" i="1"/>
  <c r="A386" i="1"/>
  <c r="J385" i="1"/>
  <c r="I385" i="1"/>
  <c r="H385" i="1"/>
  <c r="F385" i="1"/>
  <c r="E385" i="1"/>
  <c r="C385" i="1"/>
  <c r="B385" i="1"/>
  <c r="A385" i="1"/>
  <c r="J384" i="1"/>
  <c r="I384" i="1"/>
  <c r="H384" i="1"/>
  <c r="F384" i="1"/>
  <c r="E384" i="1"/>
  <c r="C384" i="1"/>
  <c r="B384" i="1"/>
  <c r="A384" i="1"/>
  <c r="J383" i="1"/>
  <c r="I383" i="1"/>
  <c r="H383" i="1"/>
  <c r="F383" i="1"/>
  <c r="E383" i="1"/>
  <c r="C383" i="1"/>
  <c r="B383" i="1"/>
  <c r="A383" i="1"/>
  <c r="J382" i="1"/>
  <c r="I382" i="1"/>
  <c r="H382" i="1"/>
  <c r="F382" i="1"/>
  <c r="E382" i="1"/>
  <c r="C382" i="1"/>
  <c r="B382" i="1"/>
  <c r="A382" i="1"/>
  <c r="J381" i="1"/>
  <c r="I381" i="1"/>
  <c r="H381" i="1"/>
  <c r="G381" i="1"/>
  <c r="F381" i="1"/>
  <c r="E381" i="1"/>
  <c r="C381" i="1"/>
  <c r="B381" i="1"/>
  <c r="A381" i="1"/>
  <c r="J380" i="1"/>
  <c r="I380" i="1"/>
  <c r="H380" i="1"/>
  <c r="F380" i="1"/>
  <c r="E380" i="1"/>
  <c r="C380" i="1"/>
  <c r="B380" i="1"/>
  <c r="A380" i="1"/>
  <c r="J379" i="1"/>
  <c r="I379" i="1"/>
  <c r="H379" i="1"/>
  <c r="F379" i="1"/>
  <c r="E379" i="1"/>
  <c r="C379" i="1"/>
  <c r="B379" i="1"/>
  <c r="A379" i="1"/>
  <c r="J378" i="1"/>
  <c r="I378" i="1"/>
  <c r="H378" i="1"/>
  <c r="G378" i="1"/>
  <c r="F378" i="1"/>
  <c r="E378" i="1"/>
  <c r="C378" i="1"/>
  <c r="B378" i="1"/>
  <c r="A378" i="1"/>
  <c r="J377" i="1"/>
  <c r="I377" i="1"/>
  <c r="H377" i="1"/>
  <c r="F377" i="1"/>
  <c r="E377" i="1"/>
  <c r="C377" i="1"/>
  <c r="B377" i="1"/>
  <c r="A377" i="1"/>
  <c r="J376" i="1"/>
  <c r="I376" i="1"/>
  <c r="H376" i="1"/>
  <c r="G376" i="1"/>
  <c r="F376" i="1"/>
  <c r="E376" i="1"/>
  <c r="C376" i="1"/>
  <c r="B376" i="1"/>
  <c r="A376" i="1"/>
  <c r="J375" i="1"/>
  <c r="I375" i="1"/>
  <c r="H375" i="1"/>
  <c r="F375" i="1"/>
  <c r="E375" i="1"/>
  <c r="C375" i="1"/>
  <c r="B375" i="1"/>
  <c r="A375" i="1"/>
  <c r="J374" i="1"/>
  <c r="I374" i="1"/>
  <c r="H374" i="1"/>
  <c r="F374" i="1"/>
  <c r="E374" i="1"/>
  <c r="C374" i="1"/>
  <c r="B374" i="1"/>
  <c r="A374" i="1"/>
  <c r="J373" i="1"/>
  <c r="I373" i="1"/>
  <c r="H373" i="1"/>
  <c r="G373" i="1"/>
  <c r="F373" i="1"/>
  <c r="E373" i="1"/>
  <c r="C373" i="1"/>
  <c r="B373" i="1"/>
  <c r="A373" i="1"/>
  <c r="J372" i="1"/>
  <c r="I372" i="1"/>
  <c r="H372" i="1"/>
  <c r="G372" i="1"/>
  <c r="F372" i="1"/>
  <c r="E372" i="1"/>
  <c r="C372" i="1"/>
  <c r="B372" i="1"/>
  <c r="A372" i="1"/>
  <c r="J371" i="1"/>
  <c r="I371" i="1"/>
  <c r="H371" i="1"/>
  <c r="F371" i="1"/>
  <c r="E371" i="1"/>
  <c r="C371" i="1"/>
  <c r="B371" i="1"/>
  <c r="A371" i="1"/>
  <c r="J370" i="1"/>
  <c r="I370" i="1"/>
  <c r="H370" i="1"/>
  <c r="G370" i="1"/>
  <c r="F370" i="1"/>
  <c r="E370" i="1"/>
  <c r="C370" i="1"/>
  <c r="B370" i="1"/>
  <c r="A370" i="1"/>
  <c r="J369" i="1"/>
  <c r="I369" i="1"/>
  <c r="H369" i="1"/>
  <c r="F369" i="1"/>
  <c r="E369" i="1"/>
  <c r="C369" i="1"/>
  <c r="B369" i="1"/>
  <c r="A369" i="1"/>
  <c r="J368" i="1"/>
  <c r="I368" i="1"/>
  <c r="H368" i="1"/>
  <c r="F368" i="1"/>
  <c r="E368" i="1"/>
  <c r="C368" i="1"/>
  <c r="B368" i="1"/>
  <c r="A368" i="1"/>
  <c r="N367" i="1"/>
  <c r="J367" i="1"/>
  <c r="O367" i="1" s="1"/>
  <c r="P367" i="1" s="1"/>
  <c r="Q367" i="1" s="1"/>
  <c r="R367" i="1" s="1"/>
  <c r="S367" i="1" s="1"/>
  <c r="T367" i="1" s="1"/>
  <c r="U367" i="1" s="1"/>
  <c r="V367" i="1" s="1"/>
  <c r="W367" i="1" s="1"/>
  <c r="X367" i="1" s="1"/>
  <c r="Y367" i="1" s="1"/>
  <c r="Z367" i="1" s="1"/>
  <c r="BV367" i="1" s="1"/>
  <c r="I367" i="1"/>
  <c r="H367" i="1"/>
  <c r="F367" i="1"/>
  <c r="E367" i="1"/>
  <c r="C367" i="1"/>
  <c r="B367" i="1"/>
  <c r="A367" i="1"/>
  <c r="J366" i="1"/>
  <c r="I366" i="1"/>
  <c r="H366" i="1"/>
  <c r="G366" i="1"/>
  <c r="F366" i="1"/>
  <c r="E366" i="1"/>
  <c r="C366" i="1"/>
  <c r="B366" i="1"/>
  <c r="A366" i="1"/>
  <c r="J365" i="1"/>
  <c r="I365" i="1"/>
  <c r="H365" i="1"/>
  <c r="F365" i="1"/>
  <c r="E365" i="1"/>
  <c r="C365" i="1"/>
  <c r="B365" i="1"/>
  <c r="A365" i="1"/>
  <c r="J364" i="1"/>
  <c r="I364" i="1"/>
  <c r="H364" i="1"/>
  <c r="F364" i="1"/>
  <c r="E364" i="1"/>
  <c r="C364" i="1"/>
  <c r="B364" i="1"/>
  <c r="A364" i="1"/>
  <c r="J363" i="1"/>
  <c r="I363" i="1"/>
  <c r="H363" i="1"/>
  <c r="F363" i="1"/>
  <c r="E363" i="1"/>
  <c r="C363" i="1"/>
  <c r="B363" i="1"/>
  <c r="A363" i="1"/>
  <c r="J362" i="1"/>
  <c r="I362" i="1"/>
  <c r="H362" i="1"/>
  <c r="F362" i="1"/>
  <c r="E362" i="1"/>
  <c r="C362" i="1"/>
  <c r="B362" i="1"/>
  <c r="A362" i="1"/>
  <c r="J361" i="1"/>
  <c r="I361" i="1"/>
  <c r="H361" i="1"/>
  <c r="F361" i="1"/>
  <c r="E361" i="1"/>
  <c r="C361" i="1"/>
  <c r="B361" i="1"/>
  <c r="A361" i="1"/>
  <c r="J360" i="1"/>
  <c r="I360" i="1"/>
  <c r="H360" i="1"/>
  <c r="F360" i="1"/>
  <c r="E360" i="1"/>
  <c r="C360" i="1"/>
  <c r="B360" i="1"/>
  <c r="A360" i="1"/>
  <c r="J359" i="1"/>
  <c r="I359" i="1"/>
  <c r="H359" i="1"/>
  <c r="F359" i="1"/>
  <c r="E359" i="1"/>
  <c r="C359" i="1"/>
  <c r="B359" i="1"/>
  <c r="A359" i="1"/>
  <c r="J358" i="1"/>
  <c r="I358" i="1"/>
  <c r="H358" i="1"/>
  <c r="F358" i="1"/>
  <c r="E358" i="1"/>
  <c r="C358" i="1"/>
  <c r="B358" i="1"/>
  <c r="A358" i="1"/>
  <c r="J357" i="1"/>
  <c r="I357" i="1"/>
  <c r="H357" i="1"/>
  <c r="F357" i="1"/>
  <c r="E357" i="1"/>
  <c r="C357" i="1"/>
  <c r="B357" i="1"/>
  <c r="A357" i="1"/>
  <c r="J356" i="1"/>
  <c r="I356" i="1"/>
  <c r="H356" i="1"/>
  <c r="F356" i="1"/>
  <c r="E356" i="1"/>
  <c r="C356" i="1"/>
  <c r="B356" i="1"/>
  <c r="A356" i="1"/>
  <c r="J355" i="1"/>
  <c r="I355" i="1"/>
  <c r="H355" i="1"/>
  <c r="F355" i="1"/>
  <c r="E355" i="1"/>
  <c r="C355" i="1"/>
  <c r="B355" i="1"/>
  <c r="A355" i="1"/>
  <c r="J354" i="1"/>
  <c r="I354" i="1"/>
  <c r="H354" i="1"/>
  <c r="F354" i="1"/>
  <c r="E354" i="1"/>
  <c r="C354" i="1"/>
  <c r="B354" i="1"/>
  <c r="A354" i="1"/>
  <c r="J353" i="1"/>
  <c r="I353" i="1"/>
  <c r="H353" i="1"/>
  <c r="F353" i="1"/>
  <c r="E353" i="1"/>
  <c r="C353" i="1"/>
  <c r="B353" i="1"/>
  <c r="A353" i="1"/>
  <c r="J352" i="1"/>
  <c r="I352" i="1"/>
  <c r="H352" i="1"/>
  <c r="F352" i="1"/>
  <c r="E352" i="1"/>
  <c r="C352" i="1"/>
  <c r="B352" i="1"/>
  <c r="A352" i="1"/>
  <c r="J351" i="1"/>
  <c r="I351" i="1"/>
  <c r="H351" i="1"/>
  <c r="F351" i="1"/>
  <c r="E351" i="1"/>
  <c r="C351" i="1"/>
  <c r="B351" i="1"/>
  <c r="A351" i="1"/>
  <c r="J350" i="1"/>
  <c r="I350" i="1"/>
  <c r="H350" i="1"/>
  <c r="F350" i="1"/>
  <c r="E350" i="1"/>
  <c r="C350" i="1"/>
  <c r="B350" i="1"/>
  <c r="A350" i="1"/>
  <c r="J349" i="1"/>
  <c r="I349" i="1"/>
  <c r="H349" i="1"/>
  <c r="F349" i="1"/>
  <c r="E349" i="1"/>
  <c r="C349" i="1"/>
  <c r="B349" i="1"/>
  <c r="A349" i="1"/>
  <c r="J348" i="1"/>
  <c r="I348" i="1"/>
  <c r="H348" i="1"/>
  <c r="F348" i="1"/>
  <c r="E348" i="1"/>
  <c r="C348" i="1"/>
  <c r="B348" i="1"/>
  <c r="A348" i="1"/>
  <c r="J347" i="1"/>
  <c r="I347" i="1"/>
  <c r="H347" i="1"/>
  <c r="G347" i="1"/>
  <c r="F347" i="1"/>
  <c r="E347" i="1"/>
  <c r="C347" i="1"/>
  <c r="B347" i="1"/>
  <c r="A347" i="1"/>
  <c r="J346" i="1"/>
  <c r="I346" i="1"/>
  <c r="H346" i="1"/>
  <c r="F346" i="1"/>
  <c r="E346" i="1"/>
  <c r="C346" i="1"/>
  <c r="B346" i="1"/>
  <c r="A346" i="1"/>
  <c r="J345" i="1"/>
  <c r="I345" i="1"/>
  <c r="H345" i="1"/>
  <c r="F345" i="1"/>
  <c r="E345" i="1"/>
  <c r="C345" i="1"/>
  <c r="B345" i="1"/>
  <c r="A345" i="1"/>
  <c r="J344" i="1"/>
  <c r="I344" i="1"/>
  <c r="H344" i="1"/>
  <c r="F344" i="1"/>
  <c r="E344" i="1"/>
  <c r="C344" i="1"/>
  <c r="B344" i="1"/>
  <c r="A344" i="1"/>
  <c r="N343" i="1"/>
  <c r="J343" i="1"/>
  <c r="O343" i="1" s="1"/>
  <c r="P343" i="1" s="1"/>
  <c r="Q343" i="1" s="1"/>
  <c r="R343" i="1" s="1"/>
  <c r="S343" i="1" s="1"/>
  <c r="T343" i="1" s="1"/>
  <c r="I343" i="1"/>
  <c r="H343" i="1"/>
  <c r="G343" i="1"/>
  <c r="F343" i="1"/>
  <c r="E343" i="1"/>
  <c r="C343" i="1"/>
  <c r="B343" i="1"/>
  <c r="A343" i="1"/>
  <c r="J342" i="1"/>
  <c r="I342" i="1"/>
  <c r="H342" i="1"/>
  <c r="G342" i="1"/>
  <c r="F342" i="1"/>
  <c r="E342" i="1"/>
  <c r="C342" i="1"/>
  <c r="B342" i="1"/>
  <c r="A342" i="1"/>
  <c r="J341" i="1"/>
  <c r="I341" i="1"/>
  <c r="H341" i="1"/>
  <c r="F341" i="1"/>
  <c r="E341" i="1"/>
  <c r="C341" i="1"/>
  <c r="B341" i="1"/>
  <c r="A341" i="1"/>
  <c r="J340" i="1"/>
  <c r="I340" i="1"/>
  <c r="H340" i="1"/>
  <c r="G340" i="1"/>
  <c r="F340" i="1"/>
  <c r="E340" i="1"/>
  <c r="C340" i="1"/>
  <c r="B340" i="1"/>
  <c r="A340" i="1"/>
  <c r="J339" i="1"/>
  <c r="I339" i="1"/>
  <c r="H339" i="1"/>
  <c r="F339" i="1"/>
  <c r="E339" i="1"/>
  <c r="C339" i="1"/>
  <c r="B339" i="1"/>
  <c r="A339" i="1"/>
  <c r="J338" i="1"/>
  <c r="I338" i="1"/>
  <c r="H338" i="1"/>
  <c r="F338" i="1"/>
  <c r="E338" i="1"/>
  <c r="C338" i="1"/>
  <c r="B338" i="1"/>
  <c r="A338" i="1"/>
  <c r="J337" i="1"/>
  <c r="I337" i="1"/>
  <c r="H337" i="1"/>
  <c r="F337" i="1"/>
  <c r="E337" i="1"/>
  <c r="C337" i="1"/>
  <c r="B337" i="1"/>
  <c r="A337" i="1"/>
  <c r="J336" i="1"/>
  <c r="I336" i="1"/>
  <c r="H336" i="1"/>
  <c r="F336" i="1"/>
  <c r="E336" i="1"/>
  <c r="C336" i="1"/>
  <c r="B336" i="1"/>
  <c r="A336" i="1"/>
  <c r="N335" i="1"/>
  <c r="J335" i="1"/>
  <c r="O335" i="1" s="1"/>
  <c r="P335" i="1" s="1"/>
  <c r="Q335" i="1" s="1"/>
  <c r="R335" i="1" s="1"/>
  <c r="S335" i="1" s="1"/>
  <c r="T335" i="1" s="1"/>
  <c r="U335" i="1" s="1"/>
  <c r="V335" i="1" s="1"/>
  <c r="W335" i="1" s="1"/>
  <c r="X335" i="1" s="1"/>
  <c r="Y335" i="1" s="1"/>
  <c r="Z335" i="1" s="1"/>
  <c r="BV335" i="1" s="1"/>
  <c r="I335" i="1"/>
  <c r="H335" i="1"/>
  <c r="F335" i="1"/>
  <c r="E335" i="1"/>
  <c r="C335" i="1"/>
  <c r="B335" i="1"/>
  <c r="A335" i="1"/>
  <c r="N334" i="1"/>
  <c r="J334" i="1"/>
  <c r="O334" i="1" s="1"/>
  <c r="P334" i="1" s="1"/>
  <c r="Q334" i="1" s="1"/>
  <c r="R334" i="1" s="1"/>
  <c r="S334" i="1" s="1"/>
  <c r="T334" i="1" s="1"/>
  <c r="U334" i="1" s="1"/>
  <c r="V334" i="1" s="1"/>
  <c r="W334" i="1" s="1"/>
  <c r="X334" i="1" s="1"/>
  <c r="Y334" i="1" s="1"/>
  <c r="Z334" i="1" s="1"/>
  <c r="BV334" i="1" s="1"/>
  <c r="I334" i="1"/>
  <c r="H334" i="1"/>
  <c r="F334" i="1"/>
  <c r="E334" i="1"/>
  <c r="C334" i="1"/>
  <c r="B334" i="1"/>
  <c r="A334" i="1"/>
  <c r="N333" i="1"/>
  <c r="J333" i="1"/>
  <c r="O333" i="1" s="1"/>
  <c r="P333" i="1" s="1"/>
  <c r="Q333" i="1" s="1"/>
  <c r="R333" i="1" s="1"/>
  <c r="S333" i="1" s="1"/>
  <c r="T333" i="1" s="1"/>
  <c r="U333" i="1" s="1"/>
  <c r="V333" i="1" s="1"/>
  <c r="W333" i="1" s="1"/>
  <c r="X333" i="1" s="1"/>
  <c r="Y333" i="1" s="1"/>
  <c r="Z333" i="1" s="1"/>
  <c r="BV333" i="1" s="1"/>
  <c r="I333" i="1"/>
  <c r="H333" i="1"/>
  <c r="F333" i="1"/>
  <c r="E333" i="1"/>
  <c r="C333" i="1"/>
  <c r="B333" i="1"/>
  <c r="A333" i="1"/>
  <c r="N332" i="1"/>
  <c r="J332" i="1"/>
  <c r="O332" i="1" s="1"/>
  <c r="P332" i="1" s="1"/>
  <c r="Q332" i="1" s="1"/>
  <c r="R332" i="1" s="1"/>
  <c r="S332" i="1" s="1"/>
  <c r="T332" i="1" s="1"/>
  <c r="U332" i="1" s="1"/>
  <c r="V332" i="1" s="1"/>
  <c r="W332" i="1" s="1"/>
  <c r="X332" i="1" s="1"/>
  <c r="Y332" i="1" s="1"/>
  <c r="Z332" i="1" s="1"/>
  <c r="BV332" i="1" s="1"/>
  <c r="I332" i="1"/>
  <c r="H332" i="1"/>
  <c r="F332" i="1"/>
  <c r="E332" i="1"/>
  <c r="C332" i="1"/>
  <c r="B332" i="1"/>
  <c r="A332" i="1"/>
  <c r="N331" i="1"/>
  <c r="J331" i="1"/>
  <c r="O331" i="1" s="1"/>
  <c r="P331" i="1" s="1"/>
  <c r="Q331" i="1" s="1"/>
  <c r="R331" i="1" s="1"/>
  <c r="S331" i="1" s="1"/>
  <c r="T331" i="1" s="1"/>
  <c r="U331" i="1" s="1"/>
  <c r="V331" i="1" s="1"/>
  <c r="W331" i="1" s="1"/>
  <c r="X331" i="1" s="1"/>
  <c r="Y331" i="1" s="1"/>
  <c r="Z331" i="1" s="1"/>
  <c r="BV331" i="1" s="1"/>
  <c r="I331" i="1"/>
  <c r="H331" i="1"/>
  <c r="F331" i="1"/>
  <c r="E331" i="1"/>
  <c r="C331" i="1"/>
  <c r="B331" i="1"/>
  <c r="A331" i="1"/>
  <c r="N330" i="1"/>
  <c r="J330" i="1"/>
  <c r="O330" i="1" s="1"/>
  <c r="P330" i="1" s="1"/>
  <c r="Q330" i="1" s="1"/>
  <c r="R330" i="1" s="1"/>
  <c r="S330" i="1" s="1"/>
  <c r="T330" i="1" s="1"/>
  <c r="U330" i="1" s="1"/>
  <c r="V330" i="1" s="1"/>
  <c r="W330" i="1" s="1"/>
  <c r="X330" i="1" s="1"/>
  <c r="Y330" i="1" s="1"/>
  <c r="Z330" i="1" s="1"/>
  <c r="BV330" i="1" s="1"/>
  <c r="I330" i="1"/>
  <c r="H330" i="1"/>
  <c r="F330" i="1"/>
  <c r="E330" i="1"/>
  <c r="C330" i="1"/>
  <c r="B330" i="1"/>
  <c r="A330" i="1"/>
  <c r="N329" i="1"/>
  <c r="J329" i="1"/>
  <c r="O329" i="1" s="1"/>
  <c r="P329" i="1" s="1"/>
  <c r="Q329" i="1" s="1"/>
  <c r="R329" i="1" s="1"/>
  <c r="S329" i="1" s="1"/>
  <c r="T329" i="1" s="1"/>
  <c r="U329" i="1" s="1"/>
  <c r="V329" i="1" s="1"/>
  <c r="W329" i="1" s="1"/>
  <c r="X329" i="1" s="1"/>
  <c r="Y329" i="1" s="1"/>
  <c r="Z329" i="1" s="1"/>
  <c r="BV329" i="1" s="1"/>
  <c r="I329" i="1"/>
  <c r="H329" i="1"/>
  <c r="F329" i="1"/>
  <c r="E329" i="1"/>
  <c r="C329" i="1"/>
  <c r="B329" i="1"/>
  <c r="A329" i="1"/>
  <c r="N328" i="1"/>
  <c r="J328" i="1"/>
  <c r="O328" i="1" s="1"/>
  <c r="P328" i="1" s="1"/>
  <c r="Q328" i="1" s="1"/>
  <c r="R328" i="1" s="1"/>
  <c r="S328" i="1" s="1"/>
  <c r="T328" i="1" s="1"/>
  <c r="U328" i="1" s="1"/>
  <c r="V328" i="1" s="1"/>
  <c r="W328" i="1" s="1"/>
  <c r="X328" i="1" s="1"/>
  <c r="Y328" i="1" s="1"/>
  <c r="Z328" i="1" s="1"/>
  <c r="BV328" i="1" s="1"/>
  <c r="I328" i="1"/>
  <c r="H328" i="1"/>
  <c r="F328" i="1"/>
  <c r="E328" i="1"/>
  <c r="C328" i="1"/>
  <c r="B328" i="1"/>
  <c r="A328" i="1"/>
  <c r="N327" i="1"/>
  <c r="J327" i="1"/>
  <c r="O327" i="1" s="1"/>
  <c r="P327" i="1" s="1"/>
  <c r="Q327" i="1" s="1"/>
  <c r="R327" i="1" s="1"/>
  <c r="S327" i="1" s="1"/>
  <c r="T327" i="1" s="1"/>
  <c r="U327" i="1" s="1"/>
  <c r="V327" i="1" s="1"/>
  <c r="W327" i="1" s="1"/>
  <c r="X327" i="1" s="1"/>
  <c r="Y327" i="1" s="1"/>
  <c r="Z327" i="1" s="1"/>
  <c r="BV327" i="1" s="1"/>
  <c r="I327" i="1"/>
  <c r="H327" i="1"/>
  <c r="F327" i="1"/>
  <c r="E327" i="1"/>
  <c r="C327" i="1"/>
  <c r="B327" i="1"/>
  <c r="A327" i="1"/>
  <c r="J326" i="1"/>
  <c r="I326" i="1"/>
  <c r="H326" i="1"/>
  <c r="F326" i="1"/>
  <c r="E326" i="1"/>
  <c r="C326" i="1"/>
  <c r="B326" i="1"/>
  <c r="A326" i="1"/>
  <c r="J325" i="1"/>
  <c r="I325" i="1"/>
  <c r="H325" i="1"/>
  <c r="F325" i="1"/>
  <c r="E325" i="1"/>
  <c r="C325" i="1"/>
  <c r="B325" i="1"/>
  <c r="A325" i="1"/>
  <c r="J324" i="1"/>
  <c r="I324" i="1"/>
  <c r="H324" i="1"/>
  <c r="G324" i="1"/>
  <c r="F324" i="1"/>
  <c r="E324" i="1"/>
  <c r="C324" i="1"/>
  <c r="B324" i="1"/>
  <c r="A324" i="1"/>
  <c r="J323" i="1"/>
  <c r="I323" i="1"/>
  <c r="H323" i="1"/>
  <c r="G323" i="1"/>
  <c r="F323" i="1"/>
  <c r="E323" i="1"/>
  <c r="C323" i="1"/>
  <c r="B323" i="1"/>
  <c r="A323" i="1"/>
  <c r="J322" i="1"/>
  <c r="I322" i="1"/>
  <c r="H322" i="1"/>
  <c r="F322" i="1"/>
  <c r="E322" i="1"/>
  <c r="C322" i="1"/>
  <c r="B322" i="1"/>
  <c r="A322" i="1"/>
  <c r="J321" i="1"/>
  <c r="I321" i="1"/>
  <c r="H321" i="1"/>
  <c r="G321" i="1"/>
  <c r="F321" i="1"/>
  <c r="E321" i="1"/>
  <c r="C321" i="1"/>
  <c r="B321" i="1"/>
  <c r="A321" i="1"/>
  <c r="J320" i="1"/>
  <c r="I320" i="1"/>
  <c r="H320" i="1"/>
  <c r="G320" i="1"/>
  <c r="F320" i="1"/>
  <c r="E320" i="1"/>
  <c r="C320" i="1"/>
  <c r="B320" i="1"/>
  <c r="A320" i="1"/>
  <c r="J319" i="1"/>
  <c r="I319" i="1"/>
  <c r="H319" i="1"/>
  <c r="G319" i="1"/>
  <c r="F319" i="1"/>
  <c r="E319" i="1"/>
  <c r="C319" i="1"/>
  <c r="B319" i="1"/>
  <c r="A319" i="1"/>
  <c r="J318" i="1"/>
  <c r="I318" i="1"/>
  <c r="H318" i="1"/>
  <c r="F318" i="1"/>
  <c r="E318" i="1"/>
  <c r="C318" i="1"/>
  <c r="B318" i="1"/>
  <c r="A318" i="1"/>
  <c r="J317" i="1"/>
  <c r="I317" i="1"/>
  <c r="H317" i="1"/>
  <c r="F317" i="1"/>
  <c r="E317" i="1"/>
  <c r="C317" i="1"/>
  <c r="B317" i="1"/>
  <c r="A317" i="1"/>
  <c r="J316" i="1"/>
  <c r="I316" i="1"/>
  <c r="H316" i="1"/>
  <c r="F316" i="1"/>
  <c r="E316" i="1"/>
  <c r="C316" i="1"/>
  <c r="B316" i="1"/>
  <c r="A316" i="1"/>
  <c r="J315" i="1"/>
  <c r="I315" i="1"/>
  <c r="H315" i="1"/>
  <c r="F315" i="1"/>
  <c r="E315" i="1"/>
  <c r="C315" i="1"/>
  <c r="B315" i="1"/>
  <c r="A315" i="1"/>
  <c r="J314" i="1"/>
  <c r="I314" i="1"/>
  <c r="H314" i="1"/>
  <c r="G314" i="1"/>
  <c r="F314" i="1"/>
  <c r="E314" i="1"/>
  <c r="C314" i="1"/>
  <c r="B314" i="1"/>
  <c r="A314" i="1"/>
  <c r="J313" i="1"/>
  <c r="I313" i="1"/>
  <c r="H313" i="1"/>
  <c r="G313" i="1"/>
  <c r="F313" i="1"/>
  <c r="E313" i="1"/>
  <c r="C313" i="1"/>
  <c r="B313" i="1"/>
  <c r="A313" i="1"/>
  <c r="J312" i="1"/>
  <c r="I312" i="1"/>
  <c r="H312" i="1"/>
  <c r="G312" i="1"/>
  <c r="F312" i="1"/>
  <c r="E312" i="1"/>
  <c r="C312" i="1"/>
  <c r="B312" i="1"/>
  <c r="A312" i="1"/>
  <c r="J311" i="1"/>
  <c r="I311" i="1"/>
  <c r="H311" i="1"/>
  <c r="G311" i="1"/>
  <c r="F311" i="1"/>
  <c r="E311" i="1"/>
  <c r="C311" i="1"/>
  <c r="B311" i="1"/>
  <c r="A311" i="1"/>
  <c r="J310" i="1"/>
  <c r="I310" i="1"/>
  <c r="H310" i="1"/>
  <c r="G310" i="1"/>
  <c r="F310" i="1"/>
  <c r="E310" i="1"/>
  <c r="C310" i="1"/>
  <c r="B310" i="1"/>
  <c r="A310" i="1"/>
  <c r="J309" i="1"/>
  <c r="I309" i="1"/>
  <c r="H309" i="1"/>
  <c r="F309" i="1"/>
  <c r="E309" i="1"/>
  <c r="C309" i="1"/>
  <c r="B309" i="1"/>
  <c r="A309" i="1"/>
  <c r="J308" i="1"/>
  <c r="I308" i="1"/>
  <c r="H308" i="1"/>
  <c r="G308" i="1"/>
  <c r="F308" i="1"/>
  <c r="E308" i="1"/>
  <c r="C308" i="1"/>
  <c r="B308" i="1"/>
  <c r="A308" i="1"/>
  <c r="J307" i="1"/>
  <c r="I307" i="1"/>
  <c r="H307" i="1"/>
  <c r="F307" i="1"/>
  <c r="E307" i="1"/>
  <c r="C307" i="1"/>
  <c r="B307" i="1"/>
  <c r="A307" i="1"/>
  <c r="J306" i="1"/>
  <c r="I306" i="1"/>
  <c r="H306" i="1"/>
  <c r="F306" i="1"/>
  <c r="E306" i="1"/>
  <c r="C306" i="1"/>
  <c r="B306" i="1"/>
  <c r="A306" i="1"/>
  <c r="J305" i="1"/>
  <c r="I305" i="1"/>
  <c r="H305" i="1"/>
  <c r="G305" i="1"/>
  <c r="F305" i="1"/>
  <c r="E305" i="1"/>
  <c r="C305" i="1"/>
  <c r="B305" i="1"/>
  <c r="A305" i="1"/>
  <c r="J304" i="1"/>
  <c r="I304" i="1"/>
  <c r="H304" i="1"/>
  <c r="F304" i="1"/>
  <c r="E304" i="1"/>
  <c r="C304" i="1"/>
  <c r="B304" i="1"/>
  <c r="A304" i="1"/>
  <c r="J303" i="1"/>
  <c r="I303" i="1"/>
  <c r="H303" i="1"/>
  <c r="G303" i="1"/>
  <c r="F303" i="1"/>
  <c r="E303" i="1"/>
  <c r="C303" i="1"/>
  <c r="B303" i="1"/>
  <c r="A303" i="1"/>
  <c r="J302" i="1"/>
  <c r="I302" i="1"/>
  <c r="H302" i="1"/>
  <c r="F302" i="1"/>
  <c r="E302" i="1"/>
  <c r="C302" i="1"/>
  <c r="B302" i="1"/>
  <c r="A302" i="1"/>
  <c r="J301" i="1"/>
  <c r="I301" i="1"/>
  <c r="H301" i="1"/>
  <c r="F301" i="1"/>
  <c r="E301" i="1"/>
  <c r="C301" i="1"/>
  <c r="B301" i="1"/>
  <c r="A301" i="1"/>
  <c r="J300" i="1"/>
  <c r="I300" i="1"/>
  <c r="H300" i="1"/>
  <c r="F300" i="1"/>
  <c r="E300" i="1"/>
  <c r="C300" i="1"/>
  <c r="B300" i="1"/>
  <c r="A300" i="1"/>
  <c r="J299" i="1"/>
  <c r="I299" i="1"/>
  <c r="H299" i="1"/>
  <c r="F299" i="1"/>
  <c r="E299" i="1"/>
  <c r="C299" i="1"/>
  <c r="B299" i="1"/>
  <c r="A299" i="1"/>
  <c r="J298" i="1"/>
  <c r="I298" i="1"/>
  <c r="H298" i="1"/>
  <c r="F298" i="1"/>
  <c r="E298" i="1"/>
  <c r="C298" i="1"/>
  <c r="B298" i="1"/>
  <c r="A298" i="1"/>
  <c r="J297" i="1"/>
  <c r="I297" i="1"/>
  <c r="H297" i="1"/>
  <c r="F297" i="1"/>
  <c r="E297" i="1"/>
  <c r="C297" i="1"/>
  <c r="B297" i="1"/>
  <c r="A297" i="1"/>
  <c r="J296" i="1"/>
  <c r="I296" i="1"/>
  <c r="H296" i="1"/>
  <c r="G296" i="1"/>
  <c r="F296" i="1"/>
  <c r="E296" i="1"/>
  <c r="C296" i="1"/>
  <c r="B296" i="1"/>
  <c r="A296" i="1"/>
  <c r="J295" i="1"/>
  <c r="I295" i="1"/>
  <c r="H295" i="1"/>
  <c r="F295" i="1"/>
  <c r="E295" i="1"/>
  <c r="C295" i="1"/>
  <c r="B295" i="1"/>
  <c r="A295" i="1"/>
  <c r="J294" i="1"/>
  <c r="I294" i="1"/>
  <c r="H294" i="1"/>
  <c r="F294" i="1"/>
  <c r="E294" i="1"/>
  <c r="C294" i="1"/>
  <c r="B294" i="1"/>
  <c r="A294" i="1"/>
  <c r="J293" i="1"/>
  <c r="I293" i="1"/>
  <c r="H293" i="1"/>
  <c r="F293" i="1"/>
  <c r="E293" i="1"/>
  <c r="C293" i="1"/>
  <c r="B293" i="1"/>
  <c r="A293" i="1"/>
  <c r="J292" i="1"/>
  <c r="I292" i="1"/>
  <c r="H292" i="1"/>
  <c r="G292" i="1"/>
  <c r="F292" i="1"/>
  <c r="E292" i="1"/>
  <c r="C292" i="1"/>
  <c r="B292" i="1"/>
  <c r="A292" i="1"/>
  <c r="N291" i="1"/>
  <c r="J291" i="1"/>
  <c r="O291" i="1" s="1"/>
  <c r="P291" i="1" s="1"/>
  <c r="Q291" i="1" s="1"/>
  <c r="R291" i="1" s="1"/>
  <c r="S291" i="1" s="1"/>
  <c r="T291" i="1" s="1"/>
  <c r="U291" i="1" s="1"/>
  <c r="V291" i="1" s="1"/>
  <c r="W291" i="1" s="1"/>
  <c r="X291" i="1" s="1"/>
  <c r="Y291" i="1" s="1"/>
  <c r="Z291" i="1" s="1"/>
  <c r="BV291" i="1" s="1"/>
  <c r="I291" i="1"/>
  <c r="H291" i="1"/>
  <c r="F291" i="1"/>
  <c r="E291" i="1"/>
  <c r="C291" i="1"/>
  <c r="B291" i="1"/>
  <c r="A291" i="1"/>
  <c r="N290" i="1"/>
  <c r="J290" i="1"/>
  <c r="O290" i="1" s="1"/>
  <c r="P290" i="1" s="1"/>
  <c r="Q290" i="1" s="1"/>
  <c r="R290" i="1" s="1"/>
  <c r="S290" i="1" s="1"/>
  <c r="T290" i="1" s="1"/>
  <c r="U290" i="1" s="1"/>
  <c r="V290" i="1" s="1"/>
  <c r="W290" i="1" s="1"/>
  <c r="X290" i="1" s="1"/>
  <c r="Y290" i="1" s="1"/>
  <c r="Z290" i="1" s="1"/>
  <c r="BV290" i="1" s="1"/>
  <c r="I290" i="1"/>
  <c r="H290" i="1"/>
  <c r="F290" i="1"/>
  <c r="E290" i="1"/>
  <c r="C290" i="1"/>
  <c r="B290" i="1"/>
  <c r="A290" i="1"/>
  <c r="N289" i="1"/>
  <c r="J289" i="1"/>
  <c r="O289" i="1" s="1"/>
  <c r="P289" i="1" s="1"/>
  <c r="Q289" i="1" s="1"/>
  <c r="R289" i="1" s="1"/>
  <c r="S289" i="1" s="1"/>
  <c r="T289" i="1" s="1"/>
  <c r="U289" i="1" s="1"/>
  <c r="V289" i="1" s="1"/>
  <c r="W289" i="1" s="1"/>
  <c r="X289" i="1" s="1"/>
  <c r="Y289" i="1" s="1"/>
  <c r="Z289" i="1" s="1"/>
  <c r="BV289" i="1" s="1"/>
  <c r="I289" i="1"/>
  <c r="H289" i="1"/>
  <c r="F289" i="1"/>
  <c r="E289" i="1"/>
  <c r="C289" i="1"/>
  <c r="B289" i="1"/>
  <c r="A289" i="1"/>
  <c r="N288" i="1"/>
  <c r="J288" i="1"/>
  <c r="O288" i="1" s="1"/>
  <c r="P288" i="1" s="1"/>
  <c r="Q288" i="1" s="1"/>
  <c r="R288" i="1" s="1"/>
  <c r="S288" i="1" s="1"/>
  <c r="T288" i="1" s="1"/>
  <c r="U288" i="1" s="1"/>
  <c r="V288" i="1" s="1"/>
  <c r="W288" i="1" s="1"/>
  <c r="X288" i="1" s="1"/>
  <c r="Y288" i="1" s="1"/>
  <c r="Z288" i="1" s="1"/>
  <c r="BV288" i="1" s="1"/>
  <c r="I288" i="1"/>
  <c r="H288" i="1"/>
  <c r="F288" i="1"/>
  <c r="E288" i="1"/>
  <c r="C288" i="1"/>
  <c r="B288" i="1"/>
  <c r="A288" i="1"/>
  <c r="J287" i="1"/>
  <c r="I287" i="1"/>
  <c r="H287" i="1"/>
  <c r="F287" i="1"/>
  <c r="E287" i="1"/>
  <c r="C287" i="1"/>
  <c r="B287" i="1"/>
  <c r="A287" i="1"/>
  <c r="J286" i="1"/>
  <c r="I286" i="1"/>
  <c r="H286" i="1"/>
  <c r="F286" i="1"/>
  <c r="E286" i="1"/>
  <c r="C286" i="1"/>
  <c r="B286" i="1"/>
  <c r="A286" i="1"/>
  <c r="J285" i="1"/>
  <c r="I285" i="1"/>
  <c r="H285" i="1"/>
  <c r="F285" i="1"/>
  <c r="E285" i="1"/>
  <c r="C285" i="1"/>
  <c r="B285" i="1"/>
  <c r="A285" i="1"/>
  <c r="J284" i="1"/>
  <c r="I284" i="1"/>
  <c r="H284" i="1"/>
  <c r="G284" i="1"/>
  <c r="F284" i="1"/>
  <c r="E284" i="1"/>
  <c r="C284" i="1"/>
  <c r="B284" i="1"/>
  <c r="A284" i="1"/>
  <c r="J283" i="1"/>
  <c r="I283" i="1"/>
  <c r="H283" i="1"/>
  <c r="G283" i="1"/>
  <c r="F283" i="1"/>
  <c r="E283" i="1"/>
  <c r="C283" i="1"/>
  <c r="B283" i="1"/>
  <c r="A283" i="1"/>
  <c r="J282" i="1"/>
  <c r="I282" i="1"/>
  <c r="H282" i="1"/>
  <c r="G282" i="1"/>
  <c r="F282" i="1"/>
  <c r="E282" i="1"/>
  <c r="C282" i="1"/>
  <c r="B282" i="1"/>
  <c r="A282" i="1"/>
  <c r="J281" i="1"/>
  <c r="I281" i="1"/>
  <c r="H281" i="1"/>
  <c r="F281" i="1"/>
  <c r="E281" i="1"/>
  <c r="C281" i="1"/>
  <c r="B281" i="1"/>
  <c r="A281" i="1"/>
  <c r="J280" i="1"/>
  <c r="I280" i="1"/>
  <c r="H280" i="1"/>
  <c r="F280" i="1"/>
  <c r="E280" i="1"/>
  <c r="C280" i="1"/>
  <c r="B280" i="1"/>
  <c r="A280" i="1"/>
  <c r="J279" i="1"/>
  <c r="I279" i="1"/>
  <c r="H279" i="1"/>
  <c r="F279" i="1"/>
  <c r="E279" i="1"/>
  <c r="C279" i="1"/>
  <c r="B279" i="1"/>
  <c r="A279" i="1"/>
  <c r="J278" i="1"/>
  <c r="I278" i="1"/>
  <c r="H278" i="1"/>
  <c r="F278" i="1"/>
  <c r="E278" i="1"/>
  <c r="C278" i="1"/>
  <c r="B278" i="1"/>
  <c r="A278" i="1"/>
  <c r="J277" i="1"/>
  <c r="I277" i="1"/>
  <c r="H277" i="1"/>
  <c r="F277" i="1"/>
  <c r="E277" i="1"/>
  <c r="C277" i="1"/>
  <c r="B277" i="1"/>
  <c r="A277" i="1"/>
  <c r="J276" i="1"/>
  <c r="I276" i="1"/>
  <c r="H276" i="1"/>
  <c r="F276" i="1"/>
  <c r="E276" i="1"/>
  <c r="C276" i="1"/>
  <c r="B276" i="1"/>
  <c r="A276" i="1"/>
  <c r="J275" i="1"/>
  <c r="I275" i="1"/>
  <c r="H275" i="1"/>
  <c r="F275" i="1"/>
  <c r="E275" i="1"/>
  <c r="C275" i="1"/>
  <c r="B275" i="1"/>
  <c r="A275" i="1"/>
  <c r="J274" i="1"/>
  <c r="I274" i="1"/>
  <c r="H274" i="1"/>
  <c r="F274" i="1"/>
  <c r="E274" i="1"/>
  <c r="C274" i="1"/>
  <c r="B274" i="1"/>
  <c r="A274" i="1"/>
  <c r="J273" i="1"/>
  <c r="I273" i="1"/>
  <c r="H273" i="1"/>
  <c r="F273" i="1"/>
  <c r="E273" i="1"/>
  <c r="C273" i="1"/>
  <c r="B273" i="1"/>
  <c r="A273" i="1"/>
  <c r="J272" i="1"/>
  <c r="I272" i="1"/>
  <c r="H272" i="1"/>
  <c r="F272" i="1"/>
  <c r="E272" i="1"/>
  <c r="C272" i="1"/>
  <c r="B272" i="1"/>
  <c r="A272" i="1"/>
  <c r="J271" i="1"/>
  <c r="I271" i="1"/>
  <c r="H271" i="1"/>
  <c r="F271" i="1"/>
  <c r="E271" i="1"/>
  <c r="C271" i="1"/>
  <c r="B271" i="1"/>
  <c r="A271" i="1"/>
  <c r="J270" i="1"/>
  <c r="I270" i="1"/>
  <c r="H270" i="1"/>
  <c r="F270" i="1"/>
  <c r="E270" i="1"/>
  <c r="C270" i="1"/>
  <c r="B270" i="1"/>
  <c r="A270" i="1"/>
  <c r="J269" i="1"/>
  <c r="I269" i="1"/>
  <c r="H269" i="1"/>
  <c r="F269" i="1"/>
  <c r="E269" i="1"/>
  <c r="C269" i="1"/>
  <c r="B269" i="1"/>
  <c r="A269" i="1"/>
  <c r="J268" i="1"/>
  <c r="I268" i="1"/>
  <c r="H268" i="1"/>
  <c r="F268" i="1"/>
  <c r="E268" i="1"/>
  <c r="C268" i="1"/>
  <c r="B268" i="1"/>
  <c r="A268" i="1"/>
  <c r="J267" i="1"/>
  <c r="I267" i="1"/>
  <c r="H267" i="1"/>
  <c r="F267" i="1"/>
  <c r="E267" i="1"/>
  <c r="C267" i="1"/>
  <c r="B267" i="1"/>
  <c r="A267" i="1"/>
  <c r="J266" i="1"/>
  <c r="I266" i="1"/>
  <c r="H266" i="1"/>
  <c r="F266" i="1"/>
  <c r="E266" i="1"/>
  <c r="C266" i="1"/>
  <c r="B266" i="1"/>
  <c r="A266" i="1"/>
  <c r="J265" i="1"/>
  <c r="I265" i="1"/>
  <c r="H265" i="1"/>
  <c r="F265" i="1"/>
  <c r="E265" i="1"/>
  <c r="C265" i="1"/>
  <c r="B265" i="1"/>
  <c r="A265" i="1"/>
  <c r="J264" i="1"/>
  <c r="I264" i="1"/>
  <c r="H264" i="1"/>
  <c r="F264" i="1"/>
  <c r="E264" i="1"/>
  <c r="C264" i="1"/>
  <c r="B264" i="1"/>
  <c r="A264" i="1"/>
  <c r="J263" i="1"/>
  <c r="I263" i="1"/>
  <c r="H263" i="1"/>
  <c r="F263" i="1"/>
  <c r="E263" i="1"/>
  <c r="C263" i="1"/>
  <c r="B263" i="1"/>
  <c r="A263" i="1"/>
  <c r="J262" i="1"/>
  <c r="I262" i="1"/>
  <c r="H262" i="1"/>
  <c r="F262" i="1"/>
  <c r="E262" i="1"/>
  <c r="C262" i="1"/>
  <c r="B262" i="1"/>
  <c r="A262" i="1"/>
  <c r="J261" i="1"/>
  <c r="I261" i="1"/>
  <c r="H261" i="1"/>
  <c r="F261" i="1"/>
  <c r="E261" i="1"/>
  <c r="C261" i="1"/>
  <c r="B261" i="1"/>
  <c r="A261" i="1"/>
  <c r="J260" i="1"/>
  <c r="I260" i="1"/>
  <c r="H260" i="1"/>
  <c r="F260" i="1"/>
  <c r="E260" i="1"/>
  <c r="C260" i="1"/>
  <c r="B260" i="1"/>
  <c r="A260" i="1"/>
  <c r="J259" i="1"/>
  <c r="I259" i="1"/>
  <c r="H259" i="1"/>
  <c r="F259" i="1"/>
  <c r="E259" i="1"/>
  <c r="C259" i="1"/>
  <c r="B259" i="1"/>
  <c r="A259" i="1"/>
  <c r="J258" i="1"/>
  <c r="I258" i="1"/>
  <c r="H258" i="1"/>
  <c r="F258" i="1"/>
  <c r="E258" i="1"/>
  <c r="C258" i="1"/>
  <c r="B258" i="1"/>
  <c r="A258" i="1"/>
  <c r="J257" i="1"/>
  <c r="I257" i="1"/>
  <c r="H257" i="1"/>
  <c r="F257" i="1"/>
  <c r="E257" i="1"/>
  <c r="C257" i="1"/>
  <c r="B257" i="1"/>
  <c r="A257" i="1"/>
  <c r="J256" i="1"/>
  <c r="I256" i="1"/>
  <c r="H256" i="1"/>
  <c r="F256" i="1"/>
  <c r="E256" i="1"/>
  <c r="C256" i="1"/>
  <c r="B256" i="1"/>
  <c r="A256" i="1"/>
  <c r="J255" i="1"/>
  <c r="I255" i="1"/>
  <c r="H255" i="1"/>
  <c r="F255" i="1"/>
  <c r="E255" i="1"/>
  <c r="C255" i="1"/>
  <c r="B255" i="1"/>
  <c r="A255" i="1"/>
  <c r="J254" i="1"/>
  <c r="I254" i="1"/>
  <c r="H254" i="1"/>
  <c r="F254" i="1"/>
  <c r="E254" i="1"/>
  <c r="C254" i="1"/>
  <c r="B254" i="1"/>
  <c r="A254" i="1"/>
  <c r="J253" i="1"/>
  <c r="I253" i="1"/>
  <c r="H253" i="1"/>
  <c r="F253" i="1"/>
  <c r="E253" i="1"/>
  <c r="C253" i="1"/>
  <c r="B253" i="1"/>
  <c r="A253" i="1"/>
  <c r="J252" i="1"/>
  <c r="I252" i="1"/>
  <c r="H252" i="1"/>
  <c r="F252" i="1"/>
  <c r="E252" i="1"/>
  <c r="C252" i="1"/>
  <c r="B252" i="1"/>
  <c r="A252" i="1"/>
  <c r="J251" i="1"/>
  <c r="I251" i="1"/>
  <c r="H251" i="1"/>
  <c r="F251" i="1"/>
  <c r="E251" i="1"/>
  <c r="C251" i="1"/>
  <c r="B251" i="1"/>
  <c r="A251" i="1"/>
  <c r="J250" i="1"/>
  <c r="I250" i="1"/>
  <c r="H250" i="1"/>
  <c r="F250" i="1"/>
  <c r="E250" i="1"/>
  <c r="C250" i="1"/>
  <c r="B250" i="1"/>
  <c r="A250" i="1"/>
  <c r="J249" i="1"/>
  <c r="I249" i="1"/>
  <c r="H249" i="1"/>
  <c r="F249" i="1"/>
  <c r="E249" i="1"/>
  <c r="C249" i="1"/>
  <c r="B249" i="1"/>
  <c r="A249" i="1"/>
  <c r="J248" i="1"/>
  <c r="I248" i="1"/>
  <c r="H248" i="1"/>
  <c r="F248" i="1"/>
  <c r="E248" i="1"/>
  <c r="C248" i="1"/>
  <c r="B248" i="1"/>
  <c r="A248" i="1"/>
  <c r="J247" i="1"/>
  <c r="I247" i="1"/>
  <c r="H247" i="1"/>
  <c r="F247" i="1"/>
  <c r="E247" i="1"/>
  <c r="C247" i="1"/>
  <c r="B247" i="1"/>
  <c r="A247" i="1"/>
  <c r="J246" i="1"/>
  <c r="I246" i="1"/>
  <c r="H246" i="1"/>
  <c r="F246" i="1"/>
  <c r="E246" i="1"/>
  <c r="C246" i="1"/>
  <c r="B246" i="1"/>
  <c r="A246" i="1"/>
  <c r="J245" i="1"/>
  <c r="I245" i="1"/>
  <c r="H245" i="1"/>
  <c r="F245" i="1"/>
  <c r="E245" i="1"/>
  <c r="C245" i="1"/>
  <c r="B245" i="1"/>
  <c r="A245" i="1"/>
  <c r="J244" i="1"/>
  <c r="I244" i="1"/>
  <c r="H244" i="1"/>
  <c r="F244" i="1"/>
  <c r="E244" i="1"/>
  <c r="C244" i="1"/>
  <c r="B244" i="1"/>
  <c r="A244" i="1"/>
  <c r="J243" i="1"/>
  <c r="I243" i="1"/>
  <c r="H243" i="1"/>
  <c r="F243" i="1"/>
  <c r="E243" i="1"/>
  <c r="C243" i="1"/>
  <c r="B243" i="1"/>
  <c r="A243" i="1"/>
  <c r="J242" i="1"/>
  <c r="I242" i="1"/>
  <c r="H242" i="1"/>
  <c r="F242" i="1"/>
  <c r="E242" i="1"/>
  <c r="C242" i="1"/>
  <c r="B242" i="1"/>
  <c r="A242" i="1"/>
  <c r="J241" i="1"/>
  <c r="I241" i="1"/>
  <c r="H241" i="1"/>
  <c r="F241" i="1"/>
  <c r="E241" i="1"/>
  <c r="C241" i="1"/>
  <c r="B241" i="1"/>
  <c r="A241" i="1"/>
  <c r="J240" i="1"/>
  <c r="I240" i="1"/>
  <c r="H240" i="1"/>
  <c r="F240" i="1"/>
  <c r="E240" i="1"/>
  <c r="C240" i="1"/>
  <c r="B240" i="1"/>
  <c r="A240" i="1"/>
  <c r="J239" i="1"/>
  <c r="I239" i="1"/>
  <c r="H239" i="1"/>
  <c r="F239" i="1"/>
  <c r="E239" i="1"/>
  <c r="C239" i="1"/>
  <c r="B239" i="1"/>
  <c r="A239" i="1"/>
  <c r="J238" i="1"/>
  <c r="I238" i="1"/>
  <c r="H238" i="1"/>
  <c r="F238" i="1"/>
  <c r="E238" i="1"/>
  <c r="C238" i="1"/>
  <c r="B238" i="1"/>
  <c r="A238" i="1"/>
  <c r="J237" i="1"/>
  <c r="I237" i="1"/>
  <c r="H237" i="1"/>
  <c r="F237" i="1"/>
  <c r="E237" i="1"/>
  <c r="C237" i="1"/>
  <c r="B237" i="1"/>
  <c r="A237" i="1"/>
  <c r="J236" i="1"/>
  <c r="I236" i="1"/>
  <c r="H236" i="1"/>
  <c r="F236" i="1"/>
  <c r="E236" i="1"/>
  <c r="C236" i="1"/>
  <c r="B236" i="1"/>
  <c r="A236" i="1"/>
  <c r="J235" i="1"/>
  <c r="I235" i="1"/>
  <c r="H235" i="1"/>
  <c r="F235" i="1"/>
  <c r="E235" i="1"/>
  <c r="C235" i="1"/>
  <c r="B235" i="1"/>
  <c r="A235" i="1"/>
  <c r="J234" i="1"/>
  <c r="I234" i="1"/>
  <c r="H234" i="1"/>
  <c r="F234" i="1"/>
  <c r="E234" i="1"/>
  <c r="C234" i="1"/>
  <c r="B234" i="1"/>
  <c r="A234" i="1"/>
  <c r="J233" i="1"/>
  <c r="I233" i="1"/>
  <c r="H233" i="1"/>
  <c r="F233" i="1"/>
  <c r="E233" i="1"/>
  <c r="C233" i="1"/>
  <c r="B233" i="1"/>
  <c r="A233" i="1"/>
  <c r="J232" i="1"/>
  <c r="I232" i="1"/>
  <c r="H232" i="1"/>
  <c r="F232" i="1"/>
  <c r="E232" i="1"/>
  <c r="C232" i="1"/>
  <c r="B232" i="1"/>
  <c r="A232" i="1"/>
  <c r="J231" i="1"/>
  <c r="I231" i="1"/>
  <c r="H231" i="1"/>
  <c r="F231" i="1"/>
  <c r="E231" i="1"/>
  <c r="C231" i="1"/>
  <c r="B231" i="1"/>
  <c r="A231" i="1"/>
  <c r="J230" i="1"/>
  <c r="I230" i="1"/>
  <c r="H230" i="1"/>
  <c r="F230" i="1"/>
  <c r="E230" i="1"/>
  <c r="C230" i="1"/>
  <c r="B230" i="1"/>
  <c r="A230" i="1"/>
  <c r="J229" i="1"/>
  <c r="I229" i="1"/>
  <c r="H229" i="1"/>
  <c r="F229" i="1"/>
  <c r="E229" i="1"/>
  <c r="C229" i="1"/>
  <c r="B229" i="1"/>
  <c r="A229" i="1"/>
  <c r="J228" i="1"/>
  <c r="I228" i="1"/>
  <c r="H228" i="1"/>
  <c r="F228" i="1"/>
  <c r="E228" i="1"/>
  <c r="C228" i="1"/>
  <c r="B228" i="1"/>
  <c r="A228" i="1"/>
  <c r="J227" i="1"/>
  <c r="I227" i="1"/>
  <c r="H227" i="1"/>
  <c r="F227" i="1"/>
  <c r="E227" i="1"/>
  <c r="C227" i="1"/>
  <c r="B227" i="1"/>
  <c r="A227" i="1"/>
  <c r="N226" i="1"/>
  <c r="J226" i="1"/>
  <c r="O226" i="1" s="1"/>
  <c r="P226" i="1" s="1"/>
  <c r="Q226" i="1" s="1"/>
  <c r="R226" i="1" s="1"/>
  <c r="S226" i="1" s="1"/>
  <c r="T226" i="1" s="1"/>
  <c r="U226" i="1" s="1"/>
  <c r="V226" i="1" s="1"/>
  <c r="W226" i="1" s="1"/>
  <c r="X226" i="1" s="1"/>
  <c r="Y226" i="1" s="1"/>
  <c r="Z226" i="1" s="1"/>
  <c r="BV226" i="1" s="1"/>
  <c r="I226" i="1"/>
  <c r="H226" i="1"/>
  <c r="F226" i="1"/>
  <c r="E226" i="1"/>
  <c r="C226" i="1"/>
  <c r="B226" i="1"/>
  <c r="A226" i="1"/>
  <c r="N225" i="1"/>
  <c r="J225" i="1"/>
  <c r="O225" i="1" s="1"/>
  <c r="P225" i="1" s="1"/>
  <c r="Q225" i="1" s="1"/>
  <c r="R225" i="1" s="1"/>
  <c r="S225" i="1" s="1"/>
  <c r="T225" i="1" s="1"/>
  <c r="U225" i="1" s="1"/>
  <c r="V225" i="1" s="1"/>
  <c r="W225" i="1" s="1"/>
  <c r="X225" i="1" s="1"/>
  <c r="Y225" i="1" s="1"/>
  <c r="Z225" i="1" s="1"/>
  <c r="BV225" i="1" s="1"/>
  <c r="I225" i="1"/>
  <c r="H225" i="1"/>
  <c r="F225" i="1"/>
  <c r="E225" i="1"/>
  <c r="C225" i="1"/>
  <c r="B225" i="1"/>
  <c r="A225" i="1"/>
  <c r="J224" i="1"/>
  <c r="I224" i="1"/>
  <c r="H224" i="1"/>
  <c r="F224" i="1"/>
  <c r="E224" i="1"/>
  <c r="C224" i="1"/>
  <c r="B224" i="1"/>
  <c r="A224" i="1"/>
  <c r="N223" i="1"/>
  <c r="J223" i="1"/>
  <c r="O223" i="1" s="1"/>
  <c r="P223" i="1" s="1"/>
  <c r="Q223" i="1" s="1"/>
  <c r="R223" i="1" s="1"/>
  <c r="S223" i="1" s="1"/>
  <c r="T223" i="1" s="1"/>
  <c r="U223" i="1" s="1"/>
  <c r="V223" i="1" s="1"/>
  <c r="W223" i="1" s="1"/>
  <c r="X223" i="1" s="1"/>
  <c r="Y223" i="1" s="1"/>
  <c r="Z223" i="1" s="1"/>
  <c r="BV223" i="1" s="1"/>
  <c r="I223" i="1"/>
  <c r="H223" i="1"/>
  <c r="F223" i="1"/>
  <c r="E223" i="1"/>
  <c r="C223" i="1"/>
  <c r="B223" i="1"/>
  <c r="A223" i="1"/>
  <c r="J222" i="1"/>
  <c r="I222" i="1"/>
  <c r="H222" i="1"/>
  <c r="F222" i="1"/>
  <c r="E222" i="1"/>
  <c r="C222" i="1"/>
  <c r="B222" i="1"/>
  <c r="A222" i="1"/>
  <c r="J221" i="1"/>
  <c r="I221" i="1"/>
  <c r="H221" i="1"/>
  <c r="F221" i="1"/>
  <c r="E221" i="1"/>
  <c r="C221" i="1"/>
  <c r="B221" i="1"/>
  <c r="A221" i="1"/>
  <c r="J220" i="1"/>
  <c r="I220" i="1"/>
  <c r="H220" i="1"/>
  <c r="F220" i="1"/>
  <c r="E220" i="1"/>
  <c r="C220" i="1"/>
  <c r="B220" i="1"/>
  <c r="A220" i="1"/>
  <c r="J219" i="1"/>
  <c r="I219" i="1"/>
  <c r="H219" i="1"/>
  <c r="F219" i="1"/>
  <c r="E219" i="1"/>
  <c r="C219" i="1"/>
  <c r="B219" i="1"/>
  <c r="A219" i="1"/>
  <c r="J218" i="1"/>
  <c r="I218" i="1"/>
  <c r="H218" i="1"/>
  <c r="F218" i="1"/>
  <c r="E218" i="1"/>
  <c r="C218" i="1"/>
  <c r="B218" i="1"/>
  <c r="A218" i="1"/>
  <c r="J217" i="1"/>
  <c r="I217" i="1"/>
  <c r="H217" i="1"/>
  <c r="F217" i="1"/>
  <c r="E217" i="1"/>
  <c r="C217" i="1"/>
  <c r="B217" i="1"/>
  <c r="A217" i="1"/>
  <c r="J216" i="1"/>
  <c r="I216" i="1"/>
  <c r="H216" i="1"/>
  <c r="F216" i="1"/>
  <c r="E216" i="1"/>
  <c r="C216" i="1"/>
  <c r="B216" i="1"/>
  <c r="A216" i="1"/>
  <c r="J215" i="1"/>
  <c r="I215" i="1"/>
  <c r="H215" i="1"/>
  <c r="F215" i="1"/>
  <c r="E215" i="1"/>
  <c r="C215" i="1"/>
  <c r="B215" i="1"/>
  <c r="A215" i="1"/>
  <c r="J214" i="1"/>
  <c r="I214" i="1"/>
  <c r="H214" i="1"/>
  <c r="F214" i="1"/>
  <c r="E214" i="1"/>
  <c r="C214" i="1"/>
  <c r="B214" i="1"/>
  <c r="A214" i="1"/>
  <c r="J213" i="1"/>
  <c r="I213" i="1"/>
  <c r="H213" i="1"/>
  <c r="F213" i="1"/>
  <c r="E213" i="1"/>
  <c r="C213" i="1"/>
  <c r="B213" i="1"/>
  <c r="A213" i="1"/>
  <c r="J212" i="1"/>
  <c r="I212" i="1"/>
  <c r="H212" i="1"/>
  <c r="F212" i="1"/>
  <c r="E212" i="1"/>
  <c r="C212" i="1"/>
  <c r="B212" i="1"/>
  <c r="A212" i="1"/>
  <c r="J211" i="1"/>
  <c r="I211" i="1"/>
  <c r="H211" i="1"/>
  <c r="F211" i="1"/>
  <c r="E211" i="1"/>
  <c r="C211" i="1"/>
  <c r="B211" i="1"/>
  <c r="A211" i="1"/>
  <c r="J210" i="1"/>
  <c r="I210" i="1"/>
  <c r="H210" i="1"/>
  <c r="F210" i="1"/>
  <c r="E210" i="1"/>
  <c r="C210" i="1"/>
  <c r="B210" i="1"/>
  <c r="A210" i="1"/>
  <c r="J209" i="1"/>
  <c r="I209" i="1"/>
  <c r="H209" i="1"/>
  <c r="F209" i="1"/>
  <c r="E209" i="1"/>
  <c r="C209" i="1"/>
  <c r="B209" i="1"/>
  <c r="A209" i="1"/>
  <c r="J208" i="1"/>
  <c r="I208" i="1"/>
  <c r="H208" i="1"/>
  <c r="F208" i="1"/>
  <c r="E208" i="1"/>
  <c r="C208" i="1"/>
  <c r="B208" i="1"/>
  <c r="A208" i="1"/>
  <c r="J207" i="1"/>
  <c r="I207" i="1"/>
  <c r="H207" i="1"/>
  <c r="F207" i="1"/>
  <c r="E207" i="1"/>
  <c r="C207" i="1"/>
  <c r="B207" i="1"/>
  <c r="A207" i="1"/>
  <c r="J206" i="1"/>
  <c r="I206" i="1"/>
  <c r="H206" i="1"/>
  <c r="F206" i="1"/>
  <c r="E206" i="1"/>
  <c r="C206" i="1"/>
  <c r="B206" i="1"/>
  <c r="A206" i="1"/>
  <c r="J205" i="1"/>
  <c r="I205" i="1"/>
  <c r="H205" i="1"/>
  <c r="F205" i="1"/>
  <c r="E205" i="1"/>
  <c r="C205" i="1"/>
  <c r="B205" i="1"/>
  <c r="A205" i="1"/>
  <c r="J204" i="1"/>
  <c r="I204" i="1"/>
  <c r="H204" i="1"/>
  <c r="F204" i="1"/>
  <c r="E204" i="1"/>
  <c r="C204" i="1"/>
  <c r="B204" i="1"/>
  <c r="A204" i="1"/>
  <c r="J203" i="1"/>
  <c r="I203" i="1"/>
  <c r="H203" i="1"/>
  <c r="F203" i="1"/>
  <c r="E203" i="1"/>
  <c r="C203" i="1"/>
  <c r="B203" i="1"/>
  <c r="A203" i="1"/>
  <c r="J202" i="1"/>
  <c r="I202" i="1"/>
  <c r="H202" i="1"/>
  <c r="F202" i="1"/>
  <c r="E202" i="1"/>
  <c r="C202" i="1"/>
  <c r="B202" i="1"/>
  <c r="A202" i="1"/>
  <c r="J201" i="1"/>
  <c r="I201" i="1"/>
  <c r="H201" i="1"/>
  <c r="F201" i="1"/>
  <c r="E201" i="1"/>
  <c r="C201" i="1"/>
  <c r="B201" i="1"/>
  <c r="A201" i="1"/>
  <c r="J200" i="1"/>
  <c r="I200" i="1"/>
  <c r="H200" i="1"/>
  <c r="F200" i="1"/>
  <c r="E200" i="1"/>
  <c r="C200" i="1"/>
  <c r="B200" i="1"/>
  <c r="A200" i="1"/>
  <c r="I199" i="1"/>
  <c r="H199" i="1"/>
  <c r="G199" i="1"/>
  <c r="F199" i="1"/>
  <c r="E199" i="1"/>
  <c r="C199" i="1"/>
  <c r="B199" i="1"/>
  <c r="A199" i="1"/>
  <c r="N198" i="1"/>
  <c r="J198" i="1"/>
  <c r="O198" i="1" s="1"/>
  <c r="P198" i="1" s="1"/>
  <c r="Q198" i="1" s="1"/>
  <c r="R198" i="1" s="1"/>
  <c r="S198" i="1" s="1"/>
  <c r="T198" i="1" s="1"/>
  <c r="U198" i="1" s="1"/>
  <c r="V198" i="1" s="1"/>
  <c r="W198" i="1" s="1"/>
  <c r="X198" i="1" s="1"/>
  <c r="Y198" i="1" s="1"/>
  <c r="Z198" i="1" s="1"/>
  <c r="BV198" i="1" s="1"/>
  <c r="I198" i="1"/>
  <c r="H198" i="1"/>
  <c r="F198" i="1"/>
  <c r="E198" i="1"/>
  <c r="C198" i="1"/>
  <c r="B198" i="1"/>
  <c r="A198" i="1"/>
  <c r="J197" i="1"/>
  <c r="I197" i="1"/>
  <c r="H197" i="1"/>
  <c r="G197" i="1"/>
  <c r="F197" i="1"/>
  <c r="E197" i="1"/>
  <c r="C197" i="1"/>
  <c r="B197" i="1"/>
  <c r="A197" i="1"/>
  <c r="J196" i="1"/>
  <c r="I196" i="1"/>
  <c r="H196" i="1"/>
  <c r="F196" i="1"/>
  <c r="E196" i="1"/>
  <c r="C196" i="1"/>
  <c r="B196" i="1"/>
  <c r="A196" i="1"/>
  <c r="N195" i="1"/>
  <c r="J195" i="1"/>
  <c r="O195" i="1" s="1"/>
  <c r="P195" i="1" s="1"/>
  <c r="Q195" i="1" s="1"/>
  <c r="R195" i="1" s="1"/>
  <c r="S195" i="1" s="1"/>
  <c r="T195" i="1" s="1"/>
  <c r="U195" i="1" s="1"/>
  <c r="V195" i="1" s="1"/>
  <c r="W195" i="1" s="1"/>
  <c r="X195" i="1" s="1"/>
  <c r="Y195" i="1" s="1"/>
  <c r="Z195" i="1" s="1"/>
  <c r="BV195" i="1" s="1"/>
  <c r="G195" i="1"/>
  <c r="F195" i="1"/>
  <c r="E195" i="1"/>
  <c r="C195" i="1"/>
  <c r="B195" i="1"/>
  <c r="A195" i="1"/>
  <c r="J194" i="1"/>
  <c r="I194" i="1"/>
  <c r="H194" i="1"/>
  <c r="F194" i="1"/>
  <c r="E194" i="1"/>
  <c r="C194" i="1"/>
  <c r="B194" i="1"/>
  <c r="A194" i="1"/>
  <c r="J193" i="1"/>
  <c r="I193" i="1"/>
  <c r="H193" i="1"/>
  <c r="G193" i="1"/>
  <c r="F193" i="1"/>
  <c r="E193" i="1"/>
  <c r="C193" i="1"/>
  <c r="B193" i="1"/>
  <c r="A193" i="1"/>
  <c r="J192" i="1"/>
  <c r="I192" i="1"/>
  <c r="H192" i="1"/>
  <c r="G192" i="1"/>
  <c r="F192" i="1"/>
  <c r="E192" i="1"/>
  <c r="C192" i="1"/>
  <c r="B192" i="1"/>
  <c r="A192" i="1"/>
  <c r="J191" i="1"/>
  <c r="I191" i="1"/>
  <c r="H191" i="1"/>
  <c r="F191" i="1"/>
  <c r="E191" i="1"/>
  <c r="C191" i="1"/>
  <c r="B191" i="1"/>
  <c r="A191" i="1"/>
  <c r="N190" i="1"/>
  <c r="J190" i="1"/>
  <c r="O190" i="1" s="1"/>
  <c r="P190" i="1" s="1"/>
  <c r="Q190" i="1" s="1"/>
  <c r="R190" i="1" s="1"/>
  <c r="S190" i="1" s="1"/>
  <c r="T190" i="1" s="1"/>
  <c r="U190" i="1" s="1"/>
  <c r="V190" i="1" s="1"/>
  <c r="W190" i="1" s="1"/>
  <c r="X190" i="1" s="1"/>
  <c r="Y190" i="1" s="1"/>
  <c r="Z190" i="1" s="1"/>
  <c r="BV190" i="1" s="1"/>
  <c r="I190" i="1"/>
  <c r="H190" i="1"/>
  <c r="F190" i="1"/>
  <c r="E190" i="1"/>
  <c r="C190" i="1"/>
  <c r="B190" i="1"/>
  <c r="A190" i="1"/>
  <c r="J189" i="1"/>
  <c r="I189" i="1"/>
  <c r="H189" i="1"/>
  <c r="F189" i="1"/>
  <c r="E189" i="1"/>
  <c r="C189" i="1"/>
  <c r="B189" i="1"/>
  <c r="A189" i="1"/>
  <c r="J188" i="1"/>
  <c r="I188" i="1"/>
  <c r="H188" i="1"/>
  <c r="F188" i="1"/>
  <c r="E188" i="1"/>
  <c r="C188" i="1"/>
  <c r="B188" i="1"/>
  <c r="A188" i="1"/>
  <c r="J187" i="1"/>
  <c r="I187" i="1"/>
  <c r="H187" i="1"/>
  <c r="F187" i="1"/>
  <c r="E187" i="1"/>
  <c r="C187" i="1"/>
  <c r="B187" i="1"/>
  <c r="A187" i="1"/>
  <c r="J186" i="1"/>
  <c r="I186" i="1"/>
  <c r="H186" i="1"/>
  <c r="F186" i="1"/>
  <c r="E186" i="1"/>
  <c r="C186" i="1"/>
  <c r="B186" i="1"/>
  <c r="A186" i="1"/>
  <c r="J185" i="1"/>
  <c r="I185" i="1"/>
  <c r="H185" i="1"/>
  <c r="F185" i="1"/>
  <c r="E185" i="1"/>
  <c r="C185" i="1"/>
  <c r="B185" i="1"/>
  <c r="A185" i="1"/>
  <c r="J184" i="1"/>
  <c r="I184" i="1"/>
  <c r="H184" i="1"/>
  <c r="F184" i="1"/>
  <c r="E184" i="1"/>
  <c r="C184" i="1"/>
  <c r="B184" i="1"/>
  <c r="A184" i="1"/>
  <c r="J183" i="1"/>
  <c r="I183" i="1"/>
  <c r="H183" i="1"/>
  <c r="F183" i="1"/>
  <c r="E183" i="1"/>
  <c r="C183" i="1"/>
  <c r="B183" i="1"/>
  <c r="A183" i="1"/>
  <c r="J182" i="1"/>
  <c r="I182" i="1"/>
  <c r="H182" i="1"/>
  <c r="F182" i="1"/>
  <c r="E182" i="1"/>
  <c r="C182" i="1"/>
  <c r="B182" i="1"/>
  <c r="A182" i="1"/>
  <c r="J181" i="1"/>
  <c r="I181" i="1"/>
  <c r="H181" i="1"/>
  <c r="F181" i="1"/>
  <c r="E181" i="1"/>
  <c r="C181" i="1"/>
  <c r="B181" i="1"/>
  <c r="A181" i="1"/>
  <c r="J180" i="1"/>
  <c r="I180" i="1"/>
  <c r="H180" i="1"/>
  <c r="F180" i="1"/>
  <c r="E180" i="1"/>
  <c r="C180" i="1"/>
  <c r="B180" i="1"/>
  <c r="A180" i="1"/>
  <c r="J179" i="1"/>
  <c r="I179" i="1"/>
  <c r="H179" i="1"/>
  <c r="G179" i="1"/>
  <c r="F179" i="1"/>
  <c r="E179" i="1"/>
  <c r="C179" i="1"/>
  <c r="B179" i="1"/>
  <c r="A179" i="1"/>
  <c r="J178" i="1"/>
  <c r="I178" i="1"/>
  <c r="H178" i="1"/>
  <c r="F178" i="1"/>
  <c r="E178" i="1"/>
  <c r="C178" i="1"/>
  <c r="B178" i="1"/>
  <c r="A178" i="1"/>
  <c r="J177" i="1"/>
  <c r="I177" i="1"/>
  <c r="H177" i="1"/>
  <c r="G177" i="1"/>
  <c r="F177" i="1"/>
  <c r="E177" i="1"/>
  <c r="C177" i="1"/>
  <c r="B177" i="1"/>
  <c r="A177" i="1"/>
  <c r="J176" i="1"/>
  <c r="I176" i="1"/>
  <c r="H176" i="1"/>
  <c r="F176" i="1"/>
  <c r="E176" i="1"/>
  <c r="C176" i="1"/>
  <c r="B176" i="1"/>
  <c r="A176" i="1"/>
  <c r="J175" i="1"/>
  <c r="I175" i="1"/>
  <c r="H175" i="1"/>
  <c r="G175" i="1"/>
  <c r="F175" i="1"/>
  <c r="E175" i="1"/>
  <c r="C175" i="1"/>
  <c r="B175" i="1"/>
  <c r="A175" i="1"/>
  <c r="J174" i="1"/>
  <c r="I174" i="1"/>
  <c r="H174" i="1"/>
  <c r="F174" i="1"/>
  <c r="E174" i="1"/>
  <c r="C174" i="1"/>
  <c r="B174" i="1"/>
  <c r="A174" i="1"/>
  <c r="J173" i="1"/>
  <c r="I173" i="1"/>
  <c r="H173" i="1"/>
  <c r="F173" i="1"/>
  <c r="E173" i="1"/>
  <c r="C173" i="1"/>
  <c r="B173" i="1"/>
  <c r="A173" i="1"/>
  <c r="J172" i="1"/>
  <c r="I172" i="1"/>
  <c r="H172" i="1"/>
  <c r="G172" i="1"/>
  <c r="F172" i="1"/>
  <c r="E172" i="1"/>
  <c r="C172" i="1"/>
  <c r="B172" i="1"/>
  <c r="A172" i="1"/>
  <c r="J171" i="1"/>
  <c r="I171" i="1"/>
  <c r="H171" i="1"/>
  <c r="F171" i="1"/>
  <c r="E171" i="1"/>
  <c r="C171" i="1"/>
  <c r="B171" i="1"/>
  <c r="A171" i="1"/>
  <c r="J170" i="1"/>
  <c r="I170" i="1"/>
  <c r="H170" i="1"/>
  <c r="F170" i="1"/>
  <c r="E170" i="1"/>
  <c r="C170" i="1"/>
  <c r="B170" i="1"/>
  <c r="A170" i="1"/>
  <c r="J169" i="1"/>
  <c r="I169" i="1"/>
  <c r="H169" i="1"/>
  <c r="F169" i="1"/>
  <c r="E169" i="1"/>
  <c r="C169" i="1"/>
  <c r="B169" i="1"/>
  <c r="A169" i="1"/>
  <c r="J168" i="1"/>
  <c r="I168" i="1"/>
  <c r="H168" i="1"/>
  <c r="F168" i="1"/>
  <c r="E168" i="1"/>
  <c r="C168" i="1"/>
  <c r="B168" i="1"/>
  <c r="A168" i="1"/>
  <c r="J167" i="1"/>
  <c r="I167" i="1"/>
  <c r="H167" i="1"/>
  <c r="F167" i="1"/>
  <c r="E167" i="1"/>
  <c r="C167" i="1"/>
  <c r="B167" i="1"/>
  <c r="A167" i="1"/>
  <c r="CK166" i="1"/>
  <c r="Q166" i="1"/>
  <c r="T166" i="1" s="1"/>
  <c r="W166" i="1" s="1"/>
  <c r="Z166" i="1" s="1"/>
  <c r="BV166" i="1" s="1"/>
  <c r="S166" i="1"/>
  <c r="V166" i="1" s="1"/>
  <c r="Y166" i="1" s="1"/>
  <c r="O166" i="1"/>
  <c r="R166" i="1" s="1"/>
  <c r="U166" i="1" s="1"/>
  <c r="X166" i="1" s="1"/>
  <c r="G166" i="1"/>
  <c r="F166" i="1"/>
  <c r="E166" i="1"/>
  <c r="C166" i="1"/>
  <c r="B166" i="1"/>
  <c r="A166" i="1"/>
  <c r="CK165" i="1"/>
  <c r="Q165" i="1"/>
  <c r="T165" i="1" s="1"/>
  <c r="W165" i="1" s="1"/>
  <c r="Z165" i="1" s="1"/>
  <c r="BV165" i="1" s="1"/>
  <c r="S165" i="1"/>
  <c r="V165" i="1" s="1"/>
  <c r="Y165" i="1" s="1"/>
  <c r="O165" i="1"/>
  <c r="R165" i="1" s="1"/>
  <c r="U165" i="1" s="1"/>
  <c r="X165" i="1" s="1"/>
  <c r="G165" i="1"/>
  <c r="F165" i="1"/>
  <c r="E165" i="1"/>
  <c r="C165" i="1"/>
  <c r="B165" i="1"/>
  <c r="A165" i="1"/>
  <c r="J164" i="1"/>
  <c r="I164" i="1"/>
  <c r="H164" i="1"/>
  <c r="F164" i="1"/>
  <c r="E164" i="1"/>
  <c r="C164" i="1"/>
  <c r="B164" i="1"/>
  <c r="A164" i="1"/>
  <c r="J163" i="1"/>
  <c r="I163" i="1"/>
  <c r="H163" i="1"/>
  <c r="F163" i="1"/>
  <c r="E163" i="1"/>
  <c r="C163" i="1"/>
  <c r="B163" i="1"/>
  <c r="A163" i="1"/>
  <c r="J162" i="1"/>
  <c r="I162" i="1"/>
  <c r="H162" i="1"/>
  <c r="F162" i="1"/>
  <c r="E162" i="1"/>
  <c r="C162" i="1"/>
  <c r="B162" i="1"/>
  <c r="A162" i="1"/>
  <c r="J161" i="1"/>
  <c r="I161" i="1"/>
  <c r="H161" i="1"/>
  <c r="F161" i="1"/>
  <c r="E161" i="1"/>
  <c r="C161" i="1"/>
  <c r="B161" i="1"/>
  <c r="A161" i="1"/>
  <c r="CK160" i="1"/>
  <c r="Q160" i="1"/>
  <c r="T160" i="1" s="1"/>
  <c r="W160" i="1" s="1"/>
  <c r="Z160" i="1" s="1"/>
  <c r="BV160" i="1" s="1"/>
  <c r="O160" i="1"/>
  <c r="G160" i="1"/>
  <c r="F160" i="1"/>
  <c r="E160" i="1"/>
  <c r="C160" i="1"/>
  <c r="B160" i="1"/>
  <c r="A160" i="1"/>
  <c r="J159" i="1"/>
  <c r="I159" i="1"/>
  <c r="H159" i="1"/>
  <c r="F159" i="1"/>
  <c r="E159" i="1"/>
  <c r="C159" i="1"/>
  <c r="B159" i="1"/>
  <c r="A159" i="1"/>
  <c r="J158" i="1"/>
  <c r="I158" i="1"/>
  <c r="H158" i="1"/>
  <c r="F158" i="1"/>
  <c r="E158" i="1"/>
  <c r="C158" i="1"/>
  <c r="B158" i="1"/>
  <c r="A158" i="1"/>
  <c r="J157" i="1"/>
  <c r="I157" i="1"/>
  <c r="H157" i="1"/>
  <c r="F157" i="1"/>
  <c r="E157" i="1"/>
  <c r="C157" i="1"/>
  <c r="B157" i="1"/>
  <c r="A157" i="1"/>
  <c r="J156" i="1"/>
  <c r="I156" i="1"/>
  <c r="H156" i="1"/>
  <c r="F156" i="1"/>
  <c r="E156" i="1"/>
  <c r="C156" i="1"/>
  <c r="B156" i="1"/>
  <c r="A156" i="1"/>
  <c r="J155" i="1"/>
  <c r="I155" i="1"/>
  <c r="H155" i="1"/>
  <c r="F155" i="1"/>
  <c r="E155" i="1"/>
  <c r="C155" i="1"/>
  <c r="B155" i="1"/>
  <c r="A155" i="1"/>
  <c r="G154" i="1"/>
  <c r="F154" i="1"/>
  <c r="E154" i="1"/>
  <c r="D154" i="1"/>
  <c r="C154" i="1"/>
  <c r="B154" i="1"/>
  <c r="A154" i="1"/>
  <c r="J153" i="1"/>
  <c r="I153" i="1"/>
  <c r="H153" i="1"/>
  <c r="F153" i="1"/>
  <c r="E153" i="1"/>
  <c r="C153" i="1"/>
  <c r="B153" i="1"/>
  <c r="A153" i="1"/>
  <c r="J152" i="1"/>
  <c r="I152" i="1"/>
  <c r="H152" i="1"/>
  <c r="F152" i="1"/>
  <c r="E152" i="1"/>
  <c r="C152" i="1"/>
  <c r="B152" i="1"/>
  <c r="A152" i="1"/>
  <c r="J151" i="1"/>
  <c r="I151" i="1"/>
  <c r="H151" i="1"/>
  <c r="F151" i="1"/>
  <c r="E151" i="1"/>
  <c r="C151" i="1"/>
  <c r="B151" i="1"/>
  <c r="A151" i="1"/>
  <c r="J150" i="1"/>
  <c r="I150" i="1"/>
  <c r="H150" i="1"/>
  <c r="F150" i="1"/>
  <c r="E150" i="1"/>
  <c r="C150" i="1"/>
  <c r="B150" i="1"/>
  <c r="A150" i="1"/>
  <c r="J149" i="1"/>
  <c r="I149" i="1"/>
  <c r="H149" i="1"/>
  <c r="F149" i="1"/>
  <c r="E149" i="1"/>
  <c r="C149" i="1"/>
  <c r="B149" i="1"/>
  <c r="A149" i="1"/>
  <c r="J148" i="1"/>
  <c r="I148" i="1"/>
  <c r="H148" i="1"/>
  <c r="F148" i="1"/>
  <c r="E148" i="1"/>
  <c r="C148" i="1"/>
  <c r="B148" i="1"/>
  <c r="A148" i="1"/>
  <c r="H147" i="1"/>
  <c r="J147" i="1" s="1"/>
  <c r="I699" i="1" s="1"/>
  <c r="G147" i="1"/>
  <c r="F147" i="1"/>
  <c r="E147" i="1"/>
  <c r="C147" i="1"/>
  <c r="B147" i="1"/>
  <c r="A147" i="1"/>
  <c r="J146" i="1"/>
  <c r="I146" i="1"/>
  <c r="H146" i="1"/>
  <c r="F146" i="1"/>
  <c r="E146" i="1"/>
  <c r="C146" i="1"/>
  <c r="B146" i="1"/>
  <c r="A146" i="1"/>
  <c r="J145" i="1"/>
  <c r="I145" i="1"/>
  <c r="H145" i="1"/>
  <c r="F145" i="1"/>
  <c r="E145" i="1"/>
  <c r="C145" i="1"/>
  <c r="B145" i="1"/>
  <c r="A145" i="1"/>
  <c r="J144" i="1"/>
  <c r="I144" i="1"/>
  <c r="H144" i="1"/>
  <c r="F144" i="1"/>
  <c r="E144" i="1"/>
  <c r="C144" i="1"/>
  <c r="B144" i="1"/>
  <c r="A144" i="1"/>
  <c r="J143" i="1"/>
  <c r="I143" i="1"/>
  <c r="H143" i="1"/>
  <c r="F143" i="1"/>
  <c r="E143" i="1"/>
  <c r="C143" i="1"/>
  <c r="B143" i="1"/>
  <c r="A143" i="1"/>
  <c r="J142" i="1"/>
  <c r="I142" i="1"/>
  <c r="H142" i="1"/>
  <c r="F142" i="1"/>
  <c r="E142" i="1"/>
  <c r="C142" i="1"/>
  <c r="B142" i="1"/>
  <c r="A142" i="1"/>
  <c r="J141" i="1"/>
  <c r="I141" i="1"/>
  <c r="H141" i="1"/>
  <c r="F141" i="1"/>
  <c r="E141" i="1"/>
  <c r="C141" i="1"/>
  <c r="B141" i="1"/>
  <c r="A141" i="1"/>
  <c r="J140" i="1"/>
  <c r="I140" i="1"/>
  <c r="H140" i="1"/>
  <c r="F140" i="1"/>
  <c r="E140" i="1"/>
  <c r="C140" i="1"/>
  <c r="B140" i="1"/>
  <c r="A140" i="1"/>
  <c r="J139" i="1"/>
  <c r="I139" i="1"/>
  <c r="H139" i="1"/>
  <c r="F139" i="1"/>
  <c r="E139" i="1"/>
  <c r="C139" i="1"/>
  <c r="B139" i="1"/>
  <c r="A139" i="1"/>
  <c r="J138" i="1"/>
  <c r="I138" i="1"/>
  <c r="H138" i="1"/>
  <c r="F138" i="1"/>
  <c r="E138" i="1"/>
  <c r="C138" i="1"/>
  <c r="B138" i="1"/>
  <c r="A138" i="1"/>
  <c r="J137" i="1"/>
  <c r="I137" i="1"/>
  <c r="H137" i="1"/>
  <c r="F137" i="1"/>
  <c r="E137" i="1"/>
  <c r="C137" i="1"/>
  <c r="B137" i="1"/>
  <c r="A137" i="1"/>
  <c r="J136" i="1"/>
  <c r="I136" i="1"/>
  <c r="H136" i="1"/>
  <c r="F136" i="1"/>
  <c r="E136" i="1"/>
  <c r="C136" i="1"/>
  <c r="B136" i="1"/>
  <c r="A136" i="1"/>
  <c r="J135" i="1"/>
  <c r="I135" i="1"/>
  <c r="H135" i="1"/>
  <c r="F135" i="1"/>
  <c r="E135" i="1"/>
  <c r="C135" i="1"/>
  <c r="B135" i="1"/>
  <c r="A135" i="1"/>
  <c r="J134" i="1"/>
  <c r="I134" i="1"/>
  <c r="H134" i="1"/>
  <c r="F134" i="1"/>
  <c r="E134" i="1"/>
  <c r="C134" i="1"/>
  <c r="B134" i="1"/>
  <c r="A134" i="1"/>
  <c r="J133" i="1"/>
  <c r="I133" i="1"/>
  <c r="H133" i="1"/>
  <c r="F133" i="1"/>
  <c r="E133" i="1"/>
  <c r="C133" i="1"/>
  <c r="B133" i="1"/>
  <c r="A133" i="1"/>
  <c r="J132" i="1"/>
  <c r="I132" i="1"/>
  <c r="H132" i="1"/>
  <c r="F132" i="1"/>
  <c r="E132" i="1"/>
  <c r="C132" i="1"/>
  <c r="B132" i="1"/>
  <c r="A132" i="1"/>
  <c r="J131" i="1"/>
  <c r="I131" i="1"/>
  <c r="H131" i="1"/>
  <c r="F131" i="1"/>
  <c r="E131" i="1"/>
  <c r="C131" i="1"/>
  <c r="B131" i="1"/>
  <c r="A131" i="1"/>
  <c r="J130" i="1"/>
  <c r="I130" i="1"/>
  <c r="H130" i="1"/>
  <c r="F130" i="1"/>
  <c r="E130" i="1"/>
  <c r="C130" i="1"/>
  <c r="B130" i="1"/>
  <c r="A130" i="1"/>
  <c r="J129" i="1"/>
  <c r="I129" i="1"/>
  <c r="H129" i="1"/>
  <c r="F129" i="1"/>
  <c r="E129" i="1"/>
  <c r="C129" i="1"/>
  <c r="B129" i="1"/>
  <c r="A129" i="1"/>
  <c r="J128" i="1"/>
  <c r="I128" i="1"/>
  <c r="H128" i="1"/>
  <c r="F128" i="1"/>
  <c r="E128" i="1"/>
  <c r="C128" i="1"/>
  <c r="B128" i="1"/>
  <c r="A128" i="1"/>
  <c r="J127" i="1"/>
  <c r="I127" i="1"/>
  <c r="H127" i="1"/>
  <c r="F127" i="1"/>
  <c r="E127" i="1"/>
  <c r="C127" i="1"/>
  <c r="B127" i="1"/>
  <c r="A127" i="1"/>
  <c r="J126" i="1"/>
  <c r="I126" i="1"/>
  <c r="H126" i="1"/>
  <c r="F126" i="1"/>
  <c r="E126" i="1"/>
  <c r="C126" i="1"/>
  <c r="B126" i="1"/>
  <c r="A126" i="1"/>
  <c r="J125" i="1"/>
  <c r="I125" i="1"/>
  <c r="H125" i="1"/>
  <c r="F125" i="1"/>
  <c r="E125" i="1"/>
  <c r="C125" i="1"/>
  <c r="B125" i="1"/>
  <c r="A125" i="1"/>
  <c r="J124" i="1"/>
  <c r="I124" i="1"/>
  <c r="H124" i="1"/>
  <c r="F124" i="1"/>
  <c r="E124" i="1"/>
  <c r="C124" i="1"/>
  <c r="B124" i="1"/>
  <c r="A124" i="1"/>
  <c r="J123" i="1"/>
  <c r="I123" i="1"/>
  <c r="H123" i="1"/>
  <c r="F123" i="1"/>
  <c r="E123" i="1"/>
  <c r="C123" i="1"/>
  <c r="B123" i="1"/>
  <c r="A123" i="1"/>
  <c r="J122" i="1"/>
  <c r="I122" i="1"/>
  <c r="H122" i="1"/>
  <c r="F122" i="1"/>
  <c r="E122" i="1"/>
  <c r="C122" i="1"/>
  <c r="B122" i="1"/>
  <c r="A122" i="1"/>
  <c r="J121" i="1"/>
  <c r="I121" i="1"/>
  <c r="H121" i="1"/>
  <c r="G121" i="1"/>
  <c r="F121" i="1"/>
  <c r="E121" i="1"/>
  <c r="C121" i="1"/>
  <c r="B121" i="1"/>
  <c r="A121" i="1"/>
  <c r="J120" i="1"/>
  <c r="I120" i="1"/>
  <c r="H120" i="1"/>
  <c r="F120" i="1"/>
  <c r="E120" i="1"/>
  <c r="C120" i="1"/>
  <c r="B120" i="1"/>
  <c r="A120" i="1"/>
  <c r="J119" i="1"/>
  <c r="I119" i="1"/>
  <c r="H119" i="1"/>
  <c r="F119" i="1"/>
  <c r="E119" i="1"/>
  <c r="C119" i="1"/>
  <c r="B119" i="1"/>
  <c r="A119" i="1"/>
  <c r="J118" i="1"/>
  <c r="I118" i="1"/>
  <c r="G118" i="1"/>
  <c r="F118" i="1"/>
  <c r="E118" i="1"/>
  <c r="C118" i="1"/>
  <c r="B118" i="1"/>
  <c r="A118" i="1"/>
  <c r="J117" i="1"/>
  <c r="I117" i="1"/>
  <c r="H117" i="1"/>
  <c r="F117" i="1"/>
  <c r="E117" i="1"/>
  <c r="C117" i="1"/>
  <c r="B117" i="1"/>
  <c r="A117" i="1"/>
  <c r="J116" i="1"/>
  <c r="I116" i="1"/>
  <c r="H116" i="1"/>
  <c r="F116" i="1"/>
  <c r="E116" i="1"/>
  <c r="C116" i="1"/>
  <c r="B116" i="1"/>
  <c r="A116" i="1"/>
  <c r="J115" i="1"/>
  <c r="I115" i="1"/>
  <c r="H115" i="1"/>
  <c r="F115" i="1"/>
  <c r="E115" i="1"/>
  <c r="C115" i="1"/>
  <c r="B115" i="1"/>
  <c r="A115" i="1"/>
  <c r="J114" i="1"/>
  <c r="I114" i="1"/>
  <c r="H114" i="1"/>
  <c r="F114" i="1"/>
  <c r="E114" i="1"/>
  <c r="C114" i="1"/>
  <c r="B114" i="1"/>
  <c r="A114" i="1"/>
  <c r="CK113" i="1"/>
  <c r="G113" i="1"/>
  <c r="F113" i="1"/>
  <c r="E113" i="1"/>
  <c r="C113" i="1"/>
  <c r="B113" i="1"/>
  <c r="A113" i="1"/>
  <c r="J112" i="1"/>
  <c r="I112" i="1"/>
  <c r="H112" i="1"/>
  <c r="F112" i="1"/>
  <c r="E112" i="1"/>
  <c r="C112" i="1"/>
  <c r="B112" i="1"/>
  <c r="A112" i="1"/>
  <c r="J111" i="1"/>
  <c r="I111" i="1"/>
  <c r="H111" i="1"/>
  <c r="F111" i="1"/>
  <c r="E111" i="1"/>
  <c r="C111" i="1"/>
  <c r="B111" i="1"/>
  <c r="A111" i="1"/>
  <c r="J110" i="1"/>
  <c r="I110" i="1"/>
  <c r="H110" i="1"/>
  <c r="F110" i="1"/>
  <c r="E110" i="1"/>
  <c r="C110" i="1"/>
  <c r="B110" i="1"/>
  <c r="A110" i="1"/>
  <c r="J109" i="1"/>
  <c r="I109" i="1"/>
  <c r="H109" i="1"/>
  <c r="F109" i="1"/>
  <c r="E109" i="1"/>
  <c r="C109" i="1"/>
  <c r="B109" i="1"/>
  <c r="A109" i="1"/>
  <c r="J108" i="1"/>
  <c r="I108" i="1"/>
  <c r="H108" i="1"/>
  <c r="F108" i="1"/>
  <c r="E108" i="1"/>
  <c r="C108" i="1"/>
  <c r="B108" i="1"/>
  <c r="A108" i="1"/>
  <c r="J107" i="1"/>
  <c r="I107" i="1"/>
  <c r="H107" i="1"/>
  <c r="F107" i="1"/>
  <c r="E107" i="1"/>
  <c r="C107" i="1"/>
  <c r="B107" i="1"/>
  <c r="A107" i="1"/>
  <c r="J106" i="1"/>
  <c r="I106" i="1"/>
  <c r="H106" i="1"/>
  <c r="F106" i="1"/>
  <c r="E106" i="1"/>
  <c r="C106" i="1"/>
  <c r="B106" i="1"/>
  <c r="A106" i="1"/>
  <c r="J105" i="1"/>
  <c r="I105" i="1"/>
  <c r="H105" i="1"/>
  <c r="F105" i="1"/>
  <c r="E105" i="1"/>
  <c r="C105" i="1"/>
  <c r="B105" i="1"/>
  <c r="A105" i="1"/>
  <c r="J104" i="1"/>
  <c r="I104" i="1"/>
  <c r="H104" i="1"/>
  <c r="F104" i="1"/>
  <c r="E104" i="1"/>
  <c r="C104" i="1"/>
  <c r="B104" i="1"/>
  <c r="A104" i="1"/>
  <c r="J103" i="1"/>
  <c r="I103" i="1"/>
  <c r="H103" i="1"/>
  <c r="F103" i="1"/>
  <c r="E103" i="1"/>
  <c r="C103" i="1"/>
  <c r="B103" i="1"/>
  <c r="A103" i="1"/>
  <c r="J102" i="1"/>
  <c r="I102" i="1"/>
  <c r="H102" i="1"/>
  <c r="F102" i="1"/>
  <c r="E102" i="1"/>
  <c r="C102" i="1"/>
  <c r="B102" i="1"/>
  <c r="A102" i="1"/>
  <c r="J101" i="1"/>
  <c r="I101" i="1"/>
  <c r="H101" i="1"/>
  <c r="F101" i="1"/>
  <c r="E101" i="1"/>
  <c r="C101" i="1"/>
  <c r="B101" i="1"/>
  <c r="A101" i="1"/>
  <c r="J100" i="1"/>
  <c r="I100" i="1"/>
  <c r="H100" i="1"/>
  <c r="F100" i="1"/>
  <c r="E100" i="1"/>
  <c r="C100" i="1"/>
  <c r="B100" i="1"/>
  <c r="A100" i="1"/>
  <c r="J99" i="1"/>
  <c r="I99" i="1"/>
  <c r="H99" i="1"/>
  <c r="F99" i="1"/>
  <c r="E99" i="1"/>
  <c r="C99" i="1"/>
  <c r="B99" i="1"/>
  <c r="A99" i="1"/>
  <c r="J98" i="1"/>
  <c r="I98" i="1"/>
  <c r="H98" i="1"/>
  <c r="F98" i="1"/>
  <c r="E98" i="1"/>
  <c r="C98" i="1"/>
  <c r="B98" i="1"/>
  <c r="A98" i="1"/>
  <c r="J97" i="1"/>
  <c r="I97" i="1"/>
  <c r="H97" i="1"/>
  <c r="G97" i="1"/>
  <c r="F97" i="1"/>
  <c r="E97" i="1"/>
  <c r="C97" i="1"/>
  <c r="B97" i="1"/>
  <c r="A97" i="1"/>
  <c r="J96" i="1"/>
  <c r="I96" i="1"/>
  <c r="H96" i="1"/>
  <c r="F96" i="1"/>
  <c r="E96" i="1"/>
  <c r="C96" i="1"/>
  <c r="B96" i="1"/>
  <c r="A96" i="1"/>
  <c r="J95" i="1"/>
  <c r="I95" i="1"/>
  <c r="H95" i="1"/>
  <c r="F95" i="1"/>
  <c r="E95" i="1"/>
  <c r="C95" i="1"/>
  <c r="B95" i="1"/>
  <c r="A95" i="1"/>
  <c r="J94" i="1"/>
  <c r="I94" i="1"/>
  <c r="H94" i="1"/>
  <c r="F94" i="1"/>
  <c r="E94" i="1"/>
  <c r="C94" i="1"/>
  <c r="B94" i="1"/>
  <c r="A94" i="1"/>
  <c r="J93" i="1"/>
  <c r="I93" i="1"/>
  <c r="H93" i="1"/>
  <c r="F93" i="1"/>
  <c r="E93" i="1"/>
  <c r="C93" i="1"/>
  <c r="B93" i="1"/>
  <c r="A93" i="1"/>
  <c r="J92" i="1"/>
  <c r="I92" i="1"/>
  <c r="H92" i="1"/>
  <c r="F92" i="1"/>
  <c r="E92" i="1"/>
  <c r="C92" i="1"/>
  <c r="B92" i="1"/>
  <c r="A92" i="1"/>
  <c r="J91" i="1"/>
  <c r="I91" i="1"/>
  <c r="H91" i="1"/>
  <c r="F91" i="1"/>
  <c r="E91" i="1"/>
  <c r="C91" i="1"/>
  <c r="B91" i="1"/>
  <c r="A91" i="1"/>
  <c r="J90" i="1"/>
  <c r="I90" i="1"/>
  <c r="H90" i="1"/>
  <c r="F90" i="1"/>
  <c r="E90" i="1"/>
  <c r="C90" i="1"/>
  <c r="B90" i="1"/>
  <c r="A90" i="1"/>
  <c r="J89" i="1"/>
  <c r="I89" i="1"/>
  <c r="H89" i="1"/>
  <c r="F89" i="1"/>
  <c r="E89" i="1"/>
  <c r="C89" i="1"/>
  <c r="B89" i="1"/>
  <c r="A89" i="1"/>
  <c r="J88" i="1"/>
  <c r="I88" i="1"/>
  <c r="H88" i="1"/>
  <c r="F88" i="1"/>
  <c r="E88" i="1"/>
  <c r="C88" i="1"/>
  <c r="B88" i="1"/>
  <c r="A88" i="1"/>
  <c r="J87" i="1"/>
  <c r="I87" i="1"/>
  <c r="H87" i="1"/>
  <c r="F87" i="1"/>
  <c r="E87" i="1"/>
  <c r="C87" i="1"/>
  <c r="B87" i="1"/>
  <c r="A87" i="1"/>
  <c r="J86" i="1"/>
  <c r="I86" i="1"/>
  <c r="H86" i="1"/>
  <c r="F86" i="1"/>
  <c r="E86" i="1"/>
  <c r="C86" i="1"/>
  <c r="B86" i="1"/>
  <c r="A86" i="1"/>
  <c r="J85" i="1"/>
  <c r="I85" i="1"/>
  <c r="H85" i="1"/>
  <c r="F85" i="1"/>
  <c r="E85" i="1"/>
  <c r="C85" i="1"/>
  <c r="B85" i="1"/>
  <c r="A85" i="1"/>
  <c r="J84" i="1"/>
  <c r="I84" i="1"/>
  <c r="H84" i="1"/>
  <c r="F84" i="1"/>
  <c r="E84" i="1"/>
  <c r="C84" i="1"/>
  <c r="B84" i="1"/>
  <c r="A84" i="1"/>
  <c r="J83" i="1"/>
  <c r="I83" i="1"/>
  <c r="H83" i="1"/>
  <c r="F83" i="1"/>
  <c r="E83" i="1"/>
  <c r="C83" i="1"/>
  <c r="B83" i="1"/>
  <c r="A83" i="1"/>
  <c r="J82" i="1"/>
  <c r="I82" i="1"/>
  <c r="H82" i="1"/>
  <c r="F82" i="1"/>
  <c r="E82" i="1"/>
  <c r="C82" i="1"/>
  <c r="B82" i="1"/>
  <c r="A82" i="1"/>
  <c r="J81" i="1"/>
  <c r="I81" i="1"/>
  <c r="H81" i="1"/>
  <c r="F81" i="1"/>
  <c r="E81" i="1"/>
  <c r="C81" i="1"/>
  <c r="B81" i="1"/>
  <c r="A81" i="1"/>
  <c r="J80" i="1"/>
  <c r="I80" i="1"/>
  <c r="H80" i="1"/>
  <c r="F80" i="1"/>
  <c r="E80" i="1"/>
  <c r="C80" i="1"/>
  <c r="B80" i="1"/>
  <c r="A80" i="1"/>
  <c r="J79" i="1"/>
  <c r="I79" i="1"/>
  <c r="H79" i="1"/>
  <c r="F79" i="1"/>
  <c r="E79" i="1"/>
  <c r="C79" i="1"/>
  <c r="B79" i="1"/>
  <c r="A79" i="1"/>
  <c r="J78" i="1"/>
  <c r="I78" i="1"/>
  <c r="H78" i="1"/>
  <c r="F78" i="1"/>
  <c r="E78" i="1"/>
  <c r="C78" i="1"/>
  <c r="B78" i="1"/>
  <c r="A78" i="1"/>
  <c r="J77" i="1"/>
  <c r="I77" i="1"/>
  <c r="H77" i="1"/>
  <c r="F77" i="1"/>
  <c r="E77" i="1"/>
  <c r="C77" i="1"/>
  <c r="B77" i="1"/>
  <c r="A77" i="1"/>
  <c r="J76" i="1"/>
  <c r="I76" i="1"/>
  <c r="H76" i="1"/>
  <c r="F76" i="1"/>
  <c r="E76" i="1"/>
  <c r="C76" i="1"/>
  <c r="B76" i="1"/>
  <c r="A76" i="1"/>
  <c r="J75" i="1"/>
  <c r="I75" i="1"/>
  <c r="H75" i="1"/>
  <c r="F75" i="1"/>
  <c r="E75" i="1"/>
  <c r="C75" i="1"/>
  <c r="B75" i="1"/>
  <c r="A75" i="1"/>
  <c r="N74" i="1"/>
  <c r="J74" i="1"/>
  <c r="O74" i="1" s="1"/>
  <c r="P74" i="1" s="1"/>
  <c r="Q74" i="1" s="1"/>
  <c r="R74" i="1" s="1"/>
  <c r="S74" i="1" s="1"/>
  <c r="T74" i="1" s="1"/>
  <c r="U74" i="1" s="1"/>
  <c r="V74" i="1" s="1"/>
  <c r="W74" i="1" s="1"/>
  <c r="X74" i="1" s="1"/>
  <c r="Y74" i="1" s="1"/>
  <c r="Z74" i="1" s="1"/>
  <c r="BV74" i="1" s="1"/>
  <c r="I74" i="1"/>
  <c r="H74" i="1"/>
  <c r="F74" i="1"/>
  <c r="E74" i="1"/>
  <c r="C74" i="1"/>
  <c r="B74" i="1"/>
  <c r="A74" i="1"/>
  <c r="J73" i="1"/>
  <c r="I73" i="1"/>
  <c r="H73" i="1"/>
  <c r="F73" i="1"/>
  <c r="E73" i="1"/>
  <c r="C73" i="1"/>
  <c r="B73" i="1"/>
  <c r="A73" i="1"/>
  <c r="N72" i="1"/>
  <c r="J72" i="1"/>
  <c r="O72" i="1" s="1"/>
  <c r="P72" i="1" s="1"/>
  <c r="Q72" i="1" s="1"/>
  <c r="R72" i="1" s="1"/>
  <c r="S72" i="1" s="1"/>
  <c r="T72" i="1" s="1"/>
  <c r="U72" i="1" s="1"/>
  <c r="V72" i="1" s="1"/>
  <c r="W72" i="1" s="1"/>
  <c r="X72" i="1" s="1"/>
  <c r="Y72" i="1" s="1"/>
  <c r="Z72" i="1" s="1"/>
  <c r="BV72" i="1" s="1"/>
  <c r="I72" i="1"/>
  <c r="H72" i="1"/>
  <c r="F72" i="1"/>
  <c r="E72" i="1"/>
  <c r="C72" i="1"/>
  <c r="B72" i="1"/>
  <c r="A72" i="1"/>
  <c r="J71" i="1"/>
  <c r="I71" i="1"/>
  <c r="H71" i="1"/>
  <c r="F71" i="1"/>
  <c r="E71" i="1"/>
  <c r="C71" i="1"/>
  <c r="B71" i="1"/>
  <c r="A71" i="1"/>
  <c r="J70" i="1"/>
  <c r="I70" i="1"/>
  <c r="H70" i="1"/>
  <c r="F70" i="1"/>
  <c r="E70" i="1"/>
  <c r="C70" i="1"/>
  <c r="B70" i="1"/>
  <c r="A70" i="1"/>
  <c r="J69" i="1"/>
  <c r="I69" i="1"/>
  <c r="H69" i="1"/>
  <c r="F69" i="1"/>
  <c r="E69" i="1"/>
  <c r="C69" i="1"/>
  <c r="B69" i="1"/>
  <c r="A69" i="1"/>
  <c r="J68" i="1"/>
  <c r="I68" i="1"/>
  <c r="H68" i="1"/>
  <c r="F68" i="1"/>
  <c r="E68" i="1"/>
  <c r="C68" i="1"/>
  <c r="B68" i="1"/>
  <c r="A68" i="1"/>
  <c r="J67" i="1"/>
  <c r="I67" i="1"/>
  <c r="H67" i="1"/>
  <c r="F67" i="1"/>
  <c r="E67" i="1"/>
  <c r="C67" i="1"/>
  <c r="B67" i="1"/>
  <c r="A67" i="1"/>
  <c r="J66" i="1"/>
  <c r="I66" i="1"/>
  <c r="H66" i="1"/>
  <c r="F66" i="1"/>
  <c r="E66" i="1"/>
  <c r="C66" i="1"/>
  <c r="B66" i="1"/>
  <c r="A66" i="1"/>
  <c r="J65" i="1"/>
  <c r="I65" i="1"/>
  <c r="H65" i="1"/>
  <c r="F65" i="1"/>
  <c r="E65" i="1"/>
  <c r="C65" i="1"/>
  <c r="B65" i="1"/>
  <c r="A65" i="1"/>
  <c r="J64" i="1"/>
  <c r="I64" i="1"/>
  <c r="H64" i="1"/>
  <c r="F64" i="1"/>
  <c r="E64" i="1"/>
  <c r="C64" i="1"/>
  <c r="B64" i="1"/>
  <c r="A64" i="1"/>
  <c r="J63" i="1"/>
  <c r="I63" i="1"/>
  <c r="H63" i="1"/>
  <c r="F63" i="1"/>
  <c r="E63" i="1"/>
  <c r="C63" i="1"/>
  <c r="B63" i="1"/>
  <c r="A63" i="1"/>
  <c r="J62" i="1"/>
  <c r="I62" i="1"/>
  <c r="H62" i="1"/>
  <c r="F62" i="1"/>
  <c r="E62" i="1"/>
  <c r="C62" i="1"/>
  <c r="B62" i="1"/>
  <c r="A62" i="1"/>
  <c r="J61" i="1"/>
  <c r="I61" i="1"/>
  <c r="H61" i="1"/>
  <c r="F61" i="1"/>
  <c r="E61" i="1"/>
  <c r="C61" i="1"/>
  <c r="B61" i="1"/>
  <c r="A61" i="1"/>
  <c r="J60" i="1"/>
  <c r="I60" i="1"/>
  <c r="H60" i="1"/>
  <c r="F60" i="1"/>
  <c r="E60" i="1"/>
  <c r="C60" i="1"/>
  <c r="B60" i="1"/>
  <c r="A60" i="1"/>
  <c r="J59" i="1"/>
  <c r="I59" i="1"/>
  <c r="H59" i="1"/>
  <c r="F59" i="1"/>
  <c r="E59" i="1"/>
  <c r="C59" i="1"/>
  <c r="B59" i="1"/>
  <c r="A59" i="1"/>
  <c r="J58" i="1"/>
  <c r="I58" i="1"/>
  <c r="H58" i="1"/>
  <c r="F58" i="1"/>
  <c r="E58" i="1"/>
  <c r="C58" i="1"/>
  <c r="B58" i="1"/>
  <c r="A58" i="1"/>
  <c r="J57" i="1"/>
  <c r="I57" i="1"/>
  <c r="H57" i="1"/>
  <c r="F57" i="1"/>
  <c r="E57" i="1"/>
  <c r="C57" i="1"/>
  <c r="B57" i="1"/>
  <c r="A57" i="1"/>
  <c r="I56" i="1"/>
  <c r="F56" i="1"/>
  <c r="E56" i="1"/>
  <c r="C56" i="1"/>
  <c r="B56" i="1"/>
  <c r="A56" i="1"/>
  <c r="J55" i="1"/>
  <c r="I55" i="1"/>
  <c r="H55" i="1"/>
  <c r="F55" i="1"/>
  <c r="E55" i="1"/>
  <c r="C55" i="1"/>
  <c r="B55" i="1"/>
  <c r="A55" i="1"/>
  <c r="J54" i="1"/>
  <c r="I54" i="1"/>
  <c r="H54" i="1"/>
  <c r="F54" i="1"/>
  <c r="E54" i="1"/>
  <c r="C54" i="1"/>
  <c r="B54" i="1"/>
  <c r="A54" i="1"/>
  <c r="J53" i="1"/>
  <c r="I53" i="1"/>
  <c r="H53" i="1"/>
  <c r="F53" i="1"/>
  <c r="E53" i="1"/>
  <c r="C53" i="1"/>
  <c r="B53" i="1"/>
  <c r="A53" i="1"/>
  <c r="N52" i="1"/>
  <c r="J52" i="1"/>
  <c r="O52" i="1" s="1"/>
  <c r="I52" i="1"/>
  <c r="H52" i="1"/>
  <c r="G52" i="1"/>
  <c r="F52" i="1"/>
  <c r="E52" i="1"/>
  <c r="C52" i="1"/>
  <c r="B52" i="1"/>
  <c r="A52" i="1"/>
  <c r="J51" i="1"/>
  <c r="I51" i="1"/>
  <c r="H51" i="1"/>
  <c r="F51" i="1"/>
  <c r="E51" i="1"/>
  <c r="C51" i="1"/>
  <c r="B51" i="1"/>
  <c r="A51" i="1"/>
  <c r="J50" i="1"/>
  <c r="I50" i="1"/>
  <c r="H50" i="1"/>
  <c r="F50" i="1"/>
  <c r="E50" i="1"/>
  <c r="C50" i="1"/>
  <c r="B50" i="1"/>
  <c r="A50" i="1"/>
  <c r="J49" i="1"/>
  <c r="I49" i="1"/>
  <c r="H49" i="1"/>
  <c r="F49" i="1"/>
  <c r="E49" i="1"/>
  <c r="C49" i="1"/>
  <c r="B49" i="1"/>
  <c r="A49" i="1"/>
  <c r="J48" i="1"/>
  <c r="I48" i="1"/>
  <c r="H48" i="1"/>
  <c r="G48" i="1"/>
  <c r="F48" i="1"/>
  <c r="E48" i="1"/>
  <c r="C48" i="1"/>
  <c r="B48" i="1"/>
  <c r="A48" i="1"/>
  <c r="J47" i="1"/>
  <c r="I47" i="1"/>
  <c r="H47" i="1"/>
  <c r="F47" i="1"/>
  <c r="E47" i="1"/>
  <c r="C47" i="1"/>
  <c r="B47" i="1"/>
  <c r="A47" i="1"/>
  <c r="N46" i="1"/>
  <c r="J46" i="1"/>
  <c r="O46" i="1" s="1"/>
  <c r="P46" i="1" s="1"/>
  <c r="Q46" i="1" s="1"/>
  <c r="R46" i="1" s="1"/>
  <c r="S46" i="1" s="1"/>
  <c r="T46" i="1" s="1"/>
  <c r="U46" i="1" s="1"/>
  <c r="V46" i="1" s="1"/>
  <c r="W46" i="1" s="1"/>
  <c r="X46" i="1" s="1"/>
  <c r="Y46" i="1" s="1"/>
  <c r="Z46" i="1" s="1"/>
  <c r="BV46" i="1" s="1"/>
  <c r="I46" i="1"/>
  <c r="H46" i="1"/>
  <c r="F46" i="1"/>
  <c r="E46" i="1"/>
  <c r="C46" i="1"/>
  <c r="B46" i="1"/>
  <c r="A46" i="1"/>
  <c r="J45" i="1"/>
  <c r="I45" i="1"/>
  <c r="H45" i="1"/>
  <c r="F45" i="1"/>
  <c r="E45" i="1"/>
  <c r="C45" i="1"/>
  <c r="B45" i="1"/>
  <c r="A45" i="1"/>
  <c r="J44" i="1"/>
  <c r="I44" i="1"/>
  <c r="H44" i="1"/>
  <c r="G44" i="1"/>
  <c r="F44" i="1"/>
  <c r="E44" i="1"/>
  <c r="C44" i="1"/>
  <c r="B44" i="1"/>
  <c r="A44" i="1"/>
  <c r="J43" i="1"/>
  <c r="I43" i="1"/>
  <c r="H43" i="1"/>
  <c r="F43" i="1"/>
  <c r="E43" i="1"/>
  <c r="C43" i="1"/>
  <c r="B43" i="1"/>
  <c r="A43" i="1"/>
  <c r="J42" i="1"/>
  <c r="I42" i="1"/>
  <c r="H42" i="1"/>
  <c r="F42" i="1"/>
  <c r="E42" i="1"/>
  <c r="C42" i="1"/>
  <c r="B42" i="1"/>
  <c r="A42" i="1"/>
  <c r="J41" i="1"/>
  <c r="I41" i="1"/>
  <c r="H41" i="1"/>
  <c r="F41" i="1"/>
  <c r="E41" i="1"/>
  <c r="C41" i="1"/>
  <c r="B41" i="1"/>
  <c r="A41" i="1"/>
  <c r="J40" i="1"/>
  <c r="I40" i="1"/>
  <c r="H40" i="1"/>
  <c r="G40" i="1"/>
  <c r="F40" i="1"/>
  <c r="E40" i="1"/>
  <c r="C40" i="1"/>
  <c r="B40" i="1"/>
  <c r="A40" i="1"/>
  <c r="J39" i="1"/>
  <c r="I39" i="1"/>
  <c r="H39" i="1"/>
  <c r="F39" i="1"/>
  <c r="E39" i="1"/>
  <c r="C39" i="1"/>
  <c r="B39" i="1"/>
  <c r="A39" i="1"/>
  <c r="J38" i="1"/>
  <c r="I38" i="1"/>
  <c r="H38" i="1"/>
  <c r="F38" i="1"/>
  <c r="E38" i="1"/>
  <c r="C38" i="1"/>
  <c r="B38" i="1"/>
  <c r="A38" i="1"/>
  <c r="J37" i="1"/>
  <c r="I37" i="1"/>
  <c r="H37" i="1"/>
  <c r="F37" i="1"/>
  <c r="E37" i="1"/>
  <c r="C37" i="1"/>
  <c r="B37" i="1"/>
  <c r="A37" i="1"/>
  <c r="J36" i="1"/>
  <c r="I36" i="1"/>
  <c r="H36" i="1"/>
  <c r="F36" i="1"/>
  <c r="E36" i="1"/>
  <c r="C36" i="1"/>
  <c r="B36" i="1"/>
  <c r="A36" i="1"/>
  <c r="J35" i="1"/>
  <c r="I35" i="1"/>
  <c r="H35" i="1"/>
  <c r="F35" i="1"/>
  <c r="E35" i="1"/>
  <c r="C35" i="1"/>
  <c r="B35" i="1"/>
  <c r="A35" i="1"/>
  <c r="J34" i="1"/>
  <c r="I34" i="1"/>
  <c r="H34" i="1"/>
  <c r="F34" i="1"/>
  <c r="E34" i="1"/>
  <c r="C34" i="1"/>
  <c r="B34" i="1"/>
  <c r="A34" i="1"/>
  <c r="J33" i="1"/>
  <c r="I33" i="1"/>
  <c r="H33" i="1"/>
  <c r="G33" i="1"/>
  <c r="F33" i="1"/>
  <c r="E33" i="1"/>
  <c r="C33" i="1"/>
  <c r="B33" i="1"/>
  <c r="A33" i="1"/>
  <c r="J32" i="1"/>
  <c r="I32" i="1"/>
  <c r="H32" i="1"/>
  <c r="G32" i="1"/>
  <c r="F32" i="1"/>
  <c r="E32" i="1"/>
  <c r="C32" i="1"/>
  <c r="B32" i="1"/>
  <c r="A32" i="1"/>
  <c r="J31" i="1"/>
  <c r="I31" i="1"/>
  <c r="H31" i="1"/>
  <c r="G31" i="1"/>
  <c r="F31" i="1"/>
  <c r="E31" i="1"/>
  <c r="C31" i="1"/>
  <c r="B31" i="1"/>
  <c r="A31" i="1"/>
  <c r="J30" i="1"/>
  <c r="I30" i="1"/>
  <c r="H30" i="1"/>
  <c r="G30" i="1"/>
  <c r="F30" i="1"/>
  <c r="E30" i="1"/>
  <c r="C30" i="1"/>
  <c r="B30" i="1"/>
  <c r="A30" i="1"/>
  <c r="J29" i="1"/>
  <c r="I29" i="1"/>
  <c r="H29" i="1"/>
  <c r="G29" i="1"/>
  <c r="F29" i="1"/>
  <c r="E29" i="1"/>
  <c r="C29" i="1"/>
  <c r="B29" i="1"/>
  <c r="A29" i="1"/>
  <c r="J28" i="1"/>
  <c r="I28" i="1"/>
  <c r="H28" i="1"/>
  <c r="G28" i="1"/>
  <c r="F28" i="1"/>
  <c r="E28" i="1"/>
  <c r="C28" i="1"/>
  <c r="B28" i="1"/>
  <c r="A28" i="1"/>
  <c r="J27" i="1"/>
  <c r="I27" i="1"/>
  <c r="H27" i="1"/>
  <c r="F27" i="1"/>
  <c r="E27" i="1"/>
  <c r="C27" i="1"/>
  <c r="B27" i="1"/>
  <c r="A27" i="1"/>
  <c r="AT26" i="1"/>
  <c r="AC26" i="1"/>
  <c r="BI26" i="1" s="1"/>
  <c r="CM26" i="1" s="1"/>
  <c r="N26" i="1"/>
  <c r="J26" i="1"/>
  <c r="O26" i="1" s="1"/>
  <c r="P26" i="1" s="1"/>
  <c r="Q26" i="1" s="1"/>
  <c r="R26" i="1" s="1"/>
  <c r="S26" i="1" s="1"/>
  <c r="T26" i="1" s="1"/>
  <c r="U26" i="1" s="1"/>
  <c r="V26" i="1" s="1"/>
  <c r="W26" i="1" s="1"/>
  <c r="X26" i="1" s="1"/>
  <c r="Y26" i="1" s="1"/>
  <c r="Z26" i="1" s="1"/>
  <c r="I26" i="1"/>
  <c r="H26" i="1"/>
  <c r="F26" i="1"/>
  <c r="E26" i="1"/>
  <c r="C26" i="1"/>
  <c r="B26" i="1"/>
  <c r="A26" i="1"/>
  <c r="J25" i="1"/>
  <c r="I25" i="1"/>
  <c r="H25" i="1"/>
  <c r="F25" i="1"/>
  <c r="E25" i="1"/>
  <c r="C25" i="1"/>
  <c r="B25" i="1"/>
  <c r="A25" i="1"/>
  <c r="AT24" i="1"/>
  <c r="AC24" i="1"/>
  <c r="BI24" i="1" s="1"/>
  <c r="CM24" i="1" s="1"/>
  <c r="N24" i="1"/>
  <c r="J24" i="1"/>
  <c r="O24" i="1" s="1"/>
  <c r="P24" i="1" s="1"/>
  <c r="Q24" i="1" s="1"/>
  <c r="R24" i="1" s="1"/>
  <c r="S24" i="1" s="1"/>
  <c r="T24" i="1" s="1"/>
  <c r="U24" i="1" s="1"/>
  <c r="V24" i="1" s="1"/>
  <c r="W24" i="1" s="1"/>
  <c r="X24" i="1" s="1"/>
  <c r="Y24" i="1" s="1"/>
  <c r="Z24" i="1" s="1"/>
  <c r="I24" i="1"/>
  <c r="H24" i="1"/>
  <c r="G24" i="1"/>
  <c r="F24" i="1"/>
  <c r="E24" i="1"/>
  <c r="C24" i="1"/>
  <c r="B24" i="1"/>
  <c r="A24" i="1"/>
  <c r="J23" i="1"/>
  <c r="I23" i="1"/>
  <c r="H23" i="1"/>
  <c r="F23" i="1"/>
  <c r="E23" i="1"/>
  <c r="C23" i="1"/>
  <c r="B23" i="1"/>
  <c r="A23" i="1"/>
  <c r="AT22" i="1"/>
  <c r="AC22" i="1"/>
  <c r="BI22" i="1" s="1"/>
  <c r="N22" i="1"/>
  <c r="J22" i="1"/>
  <c r="O22" i="1" s="1"/>
  <c r="P22" i="1" s="1"/>
  <c r="Q22" i="1" s="1"/>
  <c r="R22" i="1" s="1"/>
  <c r="S22" i="1" s="1"/>
  <c r="T22" i="1" s="1"/>
  <c r="U22" i="1" s="1"/>
  <c r="V22" i="1" s="1"/>
  <c r="W22" i="1" s="1"/>
  <c r="X22" i="1" s="1"/>
  <c r="Y22" i="1" s="1"/>
  <c r="I22" i="1"/>
  <c r="H22" i="1"/>
  <c r="G22" i="1"/>
  <c r="F22" i="1"/>
  <c r="E22" i="1"/>
  <c r="C22" i="1"/>
  <c r="B22" i="1"/>
  <c r="A22" i="1"/>
  <c r="J21" i="1"/>
  <c r="I21" i="1"/>
  <c r="H21" i="1"/>
  <c r="F21" i="1"/>
  <c r="E21" i="1"/>
  <c r="C21" i="1"/>
  <c r="B21" i="1"/>
  <c r="A21" i="1"/>
  <c r="J20" i="1"/>
  <c r="I20" i="1"/>
  <c r="H20" i="1"/>
  <c r="G20" i="1"/>
  <c r="F20" i="1"/>
  <c r="E20" i="1"/>
  <c r="C20" i="1"/>
  <c r="B20" i="1"/>
  <c r="A20" i="1"/>
  <c r="J19" i="1"/>
  <c r="I19" i="1"/>
  <c r="H19" i="1"/>
  <c r="F19" i="1"/>
  <c r="E19" i="1"/>
  <c r="C19" i="1"/>
  <c r="B19" i="1"/>
  <c r="A19" i="1"/>
  <c r="J18" i="1"/>
  <c r="I18" i="1"/>
  <c r="H18" i="1"/>
  <c r="F18" i="1"/>
  <c r="E18" i="1"/>
  <c r="C18" i="1"/>
  <c r="B18" i="1"/>
  <c r="A18" i="1"/>
  <c r="J17" i="1"/>
  <c r="I17" i="1"/>
  <c r="H17" i="1"/>
  <c r="F17" i="1"/>
  <c r="E17" i="1"/>
  <c r="C17" i="1"/>
  <c r="B17" i="1"/>
  <c r="A17" i="1"/>
  <c r="J16" i="1"/>
  <c r="I16" i="1"/>
  <c r="H16" i="1"/>
  <c r="F16" i="1"/>
  <c r="E16" i="1"/>
  <c r="C16" i="1"/>
  <c r="B16" i="1"/>
  <c r="A16" i="1"/>
  <c r="J15" i="1"/>
  <c r="I15" i="1"/>
  <c r="H15" i="1"/>
  <c r="F15" i="1"/>
  <c r="E15" i="1"/>
  <c r="C15" i="1"/>
  <c r="B15" i="1"/>
  <c r="A15" i="1"/>
  <c r="J14" i="1"/>
  <c r="I14" i="1"/>
  <c r="H14" i="1"/>
  <c r="F14" i="1"/>
  <c r="E14" i="1"/>
  <c r="C14" i="1"/>
  <c r="B14" i="1"/>
  <c r="A14" i="1"/>
  <c r="J13" i="1"/>
  <c r="I13" i="1"/>
  <c r="H13" i="1"/>
  <c r="F13" i="1"/>
  <c r="E13" i="1"/>
  <c r="C13" i="1"/>
  <c r="B13" i="1"/>
  <c r="A13" i="1"/>
  <c r="J12" i="1"/>
  <c r="I12" i="1"/>
  <c r="H12" i="1"/>
  <c r="F12" i="1"/>
  <c r="E12" i="1"/>
  <c r="C12" i="1"/>
  <c r="B12" i="1"/>
  <c r="A12" i="1"/>
  <c r="N11" i="1"/>
  <c r="J11" i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Y11" i="1" s="1"/>
  <c r="Z11" i="1" s="1"/>
  <c r="BV11" i="1" s="1"/>
  <c r="I11" i="1"/>
  <c r="H11" i="1"/>
  <c r="F11" i="1"/>
  <c r="E11" i="1"/>
  <c r="C11" i="1"/>
  <c r="B11" i="1"/>
  <c r="A11" i="1"/>
  <c r="N10" i="1"/>
  <c r="J10" i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BV10" i="1" s="1"/>
  <c r="I10" i="1"/>
  <c r="H10" i="1"/>
  <c r="F10" i="1"/>
  <c r="E10" i="1"/>
  <c r="C10" i="1"/>
  <c r="B10" i="1"/>
  <c r="A10" i="1"/>
  <c r="J9" i="1"/>
  <c r="I9" i="1"/>
  <c r="H9" i="1"/>
  <c r="F9" i="1"/>
  <c r="E9" i="1"/>
  <c r="C9" i="1"/>
  <c r="B9" i="1"/>
  <c r="A9" i="1"/>
  <c r="J8" i="1"/>
  <c r="I8" i="1"/>
  <c r="H8" i="1"/>
  <c r="F8" i="1"/>
  <c r="E8" i="1"/>
  <c r="C8" i="1"/>
  <c r="B8" i="1"/>
  <c r="A8" i="1"/>
  <c r="J7" i="1"/>
  <c r="I7" i="1"/>
  <c r="H7" i="1"/>
  <c r="F7" i="1"/>
  <c r="E7" i="1"/>
  <c r="C7" i="1"/>
  <c r="B7" i="1"/>
  <c r="A7" i="1"/>
  <c r="J6" i="1"/>
  <c r="I6" i="1"/>
  <c r="H6" i="1"/>
  <c r="F6" i="1"/>
  <c r="E6" i="1"/>
  <c r="C6" i="1"/>
  <c r="B6" i="1"/>
  <c r="A6" i="1"/>
  <c r="J5" i="1"/>
  <c r="I5" i="1"/>
  <c r="H5" i="1"/>
  <c r="F5" i="1"/>
  <c r="E5" i="1"/>
  <c r="C5" i="1"/>
  <c r="B5" i="1"/>
  <c r="A5" i="1"/>
  <c r="J4" i="1"/>
  <c r="I4" i="1"/>
  <c r="H4" i="1"/>
  <c r="F4" i="1"/>
  <c r="E4" i="1"/>
  <c r="C4" i="1"/>
  <c r="B4" i="1"/>
  <c r="A4" i="1"/>
  <c r="CN613" i="1" l="1"/>
  <c r="CO613" i="1" s="1"/>
  <c r="CP613" i="1" s="1"/>
  <c r="CQ613" i="1" s="1"/>
  <c r="CR613" i="1" s="1"/>
  <c r="CS613" i="1" s="1"/>
  <c r="CT613" i="1" s="1"/>
  <c r="CU613" i="1" s="1"/>
  <c r="CV613" i="1" s="1"/>
  <c r="CW613" i="1" s="1"/>
  <c r="CX613" i="1" s="1"/>
  <c r="CY613" i="1" s="1"/>
  <c r="CZ630" i="1"/>
  <c r="BX22" i="1"/>
  <c r="BX24" i="1"/>
  <c r="BX26" i="1"/>
  <c r="BK618" i="1"/>
  <c r="BL618" i="1" s="1"/>
  <c r="BM618" i="1" s="1"/>
  <c r="BN618" i="1" s="1"/>
  <c r="BO618" i="1" s="1"/>
  <c r="BP618" i="1" s="1"/>
  <c r="BQ618" i="1" s="1"/>
  <c r="BR618" i="1" s="1"/>
  <c r="BS618" i="1" s="1"/>
  <c r="BT618" i="1" s="1"/>
  <c r="BK619" i="1"/>
  <c r="BL619" i="1" s="1"/>
  <c r="BM619" i="1" s="1"/>
  <c r="BN619" i="1" s="1"/>
  <c r="BO619" i="1" s="1"/>
  <c r="BP619" i="1" s="1"/>
  <c r="BQ619" i="1" s="1"/>
  <c r="BR619" i="1" s="1"/>
  <c r="BS619" i="1" s="1"/>
  <c r="BT619" i="1" s="1"/>
  <c r="BU619" i="1" s="1"/>
  <c r="BY619" i="1" s="1"/>
  <c r="BZ619" i="1" s="1"/>
  <c r="CA619" i="1" s="1"/>
  <c r="CB619" i="1" s="1"/>
  <c r="CC619" i="1" s="1"/>
  <c r="CD619" i="1" s="1"/>
  <c r="CE619" i="1" s="1"/>
  <c r="CF619" i="1" s="1"/>
  <c r="CG619" i="1" s="1"/>
  <c r="CH619" i="1" s="1"/>
  <c r="CI619" i="1" s="1"/>
  <c r="CJ619" i="1" s="1"/>
  <c r="BK614" i="1"/>
  <c r="BL614" i="1" s="1"/>
  <c r="BM614" i="1" s="1"/>
  <c r="BN614" i="1" s="1"/>
  <c r="BO614" i="1" s="1"/>
  <c r="BP614" i="1" s="1"/>
  <c r="BQ614" i="1" s="1"/>
  <c r="BR614" i="1" s="1"/>
  <c r="BS614" i="1" s="1"/>
  <c r="BT614" i="1" s="1"/>
  <c r="BU614" i="1" s="1"/>
  <c r="BY614" i="1" s="1"/>
  <c r="BZ614" i="1" s="1"/>
  <c r="CA614" i="1" s="1"/>
  <c r="CB614" i="1" s="1"/>
  <c r="CC614" i="1" s="1"/>
  <c r="CD614" i="1" s="1"/>
  <c r="CE614" i="1" s="1"/>
  <c r="CF614" i="1" s="1"/>
  <c r="CG614" i="1" s="1"/>
  <c r="CH614" i="1" s="1"/>
  <c r="CI614" i="1" s="1"/>
  <c r="CJ614" i="1" s="1"/>
  <c r="BI706" i="1"/>
  <c r="H9" i="8" s="1"/>
  <c r="AA707" i="1"/>
  <c r="AA721" i="1" s="1"/>
  <c r="E19" i="8" s="1"/>
  <c r="BX709" i="1"/>
  <c r="F10" i="8" s="1"/>
  <c r="BX706" i="1"/>
  <c r="H10" i="8" s="1"/>
  <c r="CM709" i="1"/>
  <c r="F11" i="8" s="1"/>
  <c r="CM708" i="1"/>
  <c r="CM705" i="1"/>
  <c r="G11" i="8" s="1"/>
  <c r="BX711" i="1"/>
  <c r="BI708" i="1"/>
  <c r="BX708" i="1"/>
  <c r="BX702" i="1"/>
  <c r="D10" i="8" s="1"/>
  <c r="CM704" i="1"/>
  <c r="CM706" i="1"/>
  <c r="H11" i="8" s="1"/>
  <c r="BX705" i="1"/>
  <c r="G10" i="8" s="1"/>
  <c r="BX704" i="1"/>
  <c r="CM702" i="1"/>
  <c r="D11" i="8" s="1"/>
  <c r="BI704" i="1"/>
  <c r="CM711" i="1"/>
  <c r="AP707" i="1"/>
  <c r="BG707" i="1"/>
  <c r="BG721" i="1" s="1"/>
  <c r="E21" i="8" s="1"/>
  <c r="CM707" i="1"/>
  <c r="CM721" i="1" s="1"/>
  <c r="E11" i="8" s="1"/>
  <c r="BX707" i="1"/>
  <c r="BX721" i="1" s="1"/>
  <c r="E10" i="8" s="1"/>
  <c r="BI707" i="1"/>
  <c r="BI721" i="1" s="1"/>
  <c r="E9" i="8" s="1"/>
  <c r="BX710" i="1"/>
  <c r="BX720" i="1" s="1"/>
  <c r="C10" i="8" s="1"/>
  <c r="CM710" i="1"/>
  <c r="CM720" i="1" s="1"/>
  <c r="C11" i="8" s="1"/>
  <c r="BV707" i="1"/>
  <c r="BV721" i="1" s="1"/>
  <c r="E22" i="8" s="1"/>
  <c r="CK707" i="1"/>
  <c r="CK721" i="1" s="1"/>
  <c r="E23" i="8" s="1"/>
  <c r="CZ707" i="1"/>
  <c r="CZ721" i="1" s="1"/>
  <c r="E24" i="8" s="1"/>
  <c r="BG624" i="1"/>
  <c r="BG612" i="1"/>
  <c r="BG625" i="1"/>
  <c r="BG634" i="1"/>
  <c r="AR113" i="1"/>
  <c r="AS113" i="1" s="1"/>
  <c r="BG616" i="1"/>
  <c r="BG627" i="1"/>
  <c r="BI703" i="1"/>
  <c r="BG629" i="1"/>
  <c r="BG628" i="1"/>
  <c r="BJ623" i="1"/>
  <c r="AR165" i="1"/>
  <c r="AS165" i="1" s="1"/>
  <c r="AR166" i="1"/>
  <c r="AS166" i="1" s="1"/>
  <c r="AR160" i="1"/>
  <c r="AS160" i="1" s="1"/>
  <c r="BG622" i="1"/>
  <c r="BG617" i="1"/>
  <c r="BJ617" i="1"/>
  <c r="BG615" i="1"/>
  <c r="BF636" i="1"/>
  <c r="BJ636" i="1" s="1"/>
  <c r="BJ615" i="1"/>
  <c r="BF635" i="1"/>
  <c r="BJ635" i="1" s="1"/>
  <c r="BF637" i="1"/>
  <c r="BJ637" i="1" s="1"/>
  <c r="BG626" i="1"/>
  <c r="AO610" i="1"/>
  <c r="AR610" i="1" s="1"/>
  <c r="AS610" i="1" s="1"/>
  <c r="AO605" i="1"/>
  <c r="AR605" i="1" s="1"/>
  <c r="AS605" i="1" s="1"/>
  <c r="AO609" i="1"/>
  <c r="AR609" i="1" s="1"/>
  <c r="AS609" i="1" s="1"/>
  <c r="AO604" i="1"/>
  <c r="AR604" i="1" s="1"/>
  <c r="AS604" i="1" s="1"/>
  <c r="AO607" i="1"/>
  <c r="AR607" i="1" s="1"/>
  <c r="AS607" i="1" s="1"/>
  <c r="AO606" i="1"/>
  <c r="AR606" i="1" s="1"/>
  <c r="AS606" i="1" s="1"/>
  <c r="CM22" i="1"/>
  <c r="CM703" i="1" s="1"/>
  <c r="AD24" i="1"/>
  <c r="AE24" i="1" s="1"/>
  <c r="AF24" i="1" s="1"/>
  <c r="AG24" i="1" s="1"/>
  <c r="AH24" i="1" s="1"/>
  <c r="AI24" i="1" s="1"/>
  <c r="AJ24" i="1" s="1"/>
  <c r="AK24" i="1" s="1"/>
  <c r="AL24" i="1" s="1"/>
  <c r="AM24" i="1" s="1"/>
  <c r="AN24" i="1" s="1"/>
  <c r="AD26" i="1"/>
  <c r="AE26" i="1" s="1"/>
  <c r="AF26" i="1" s="1"/>
  <c r="AG26" i="1" s="1"/>
  <c r="AH26" i="1" s="1"/>
  <c r="AI26" i="1" s="1"/>
  <c r="AJ26" i="1" s="1"/>
  <c r="AK26" i="1" s="1"/>
  <c r="AL26" i="1" s="1"/>
  <c r="AM26" i="1" s="1"/>
  <c r="AN26" i="1" s="1"/>
  <c r="AA603" i="1"/>
  <c r="AD608" i="1"/>
  <c r="AE608" i="1" s="1"/>
  <c r="AF608" i="1" s="1"/>
  <c r="AG608" i="1" s="1"/>
  <c r="AH608" i="1" s="1"/>
  <c r="AI608" i="1" s="1"/>
  <c r="AJ608" i="1" s="1"/>
  <c r="AK608" i="1" s="1"/>
  <c r="AL608" i="1" s="1"/>
  <c r="AM608" i="1" s="1"/>
  <c r="AN608" i="1" s="1"/>
  <c r="BI634" i="1"/>
  <c r="BI615" i="1"/>
  <c r="BI636" i="1"/>
  <c r="BK626" i="1"/>
  <c r="BI616" i="1"/>
  <c r="BK616" i="1"/>
  <c r="BI617" i="1"/>
  <c r="BK628" i="1"/>
  <c r="BI612" i="1"/>
  <c r="BK612" i="1"/>
  <c r="BK629" i="1"/>
  <c r="AT23" i="1"/>
  <c r="N80" i="1"/>
  <c r="O147" i="1"/>
  <c r="I403" i="1"/>
  <c r="J403" i="1" s="1"/>
  <c r="O403" i="1" s="1"/>
  <c r="O565" i="1"/>
  <c r="C5" i="5"/>
  <c r="C589" i="5"/>
  <c r="C593" i="5"/>
  <c r="C597" i="5"/>
  <c r="C601" i="5"/>
  <c r="C605" i="5"/>
  <c r="C609" i="5"/>
  <c r="C613" i="5"/>
  <c r="C617" i="5"/>
  <c r="C621" i="5"/>
  <c r="C625" i="5"/>
  <c r="C629" i="5"/>
  <c r="C633" i="5"/>
  <c r="C637" i="5"/>
  <c r="C641" i="5"/>
  <c r="C645" i="5"/>
  <c r="C649" i="5"/>
  <c r="C653" i="5"/>
  <c r="C590" i="5"/>
  <c r="C594" i="5"/>
  <c r="C598" i="5"/>
  <c r="C602" i="5"/>
  <c r="C606" i="5"/>
  <c r="C610" i="5"/>
  <c r="C614" i="5"/>
  <c r="C618" i="5"/>
  <c r="C622" i="5"/>
  <c r="C626" i="5"/>
  <c r="C630" i="5"/>
  <c r="C634" i="5"/>
  <c r="C638" i="5"/>
  <c r="C642" i="5"/>
  <c r="C646" i="5"/>
  <c r="C650" i="5"/>
  <c r="C654" i="5"/>
  <c r="C591" i="5"/>
  <c r="C595" i="5"/>
  <c r="C599" i="5"/>
  <c r="C603" i="5"/>
  <c r="C607" i="5"/>
  <c r="C611" i="5"/>
  <c r="C615" i="5"/>
  <c r="C619" i="5"/>
  <c r="C623" i="5"/>
  <c r="C627" i="5"/>
  <c r="C631" i="5"/>
  <c r="C635" i="5"/>
  <c r="C639" i="5"/>
  <c r="C643" i="5"/>
  <c r="C647" i="5"/>
  <c r="C651" i="5"/>
  <c r="C655" i="5"/>
  <c r="C560" i="5"/>
  <c r="C564" i="5"/>
  <c r="C584" i="5"/>
  <c r="C588" i="5"/>
  <c r="C592" i="5"/>
  <c r="C596" i="5"/>
  <c r="C600" i="5"/>
  <c r="C604" i="5"/>
  <c r="C608" i="5"/>
  <c r="C612" i="5"/>
  <c r="C616" i="5"/>
  <c r="C620" i="5"/>
  <c r="C624" i="5"/>
  <c r="C628" i="5"/>
  <c r="C632" i="5"/>
  <c r="C636" i="5"/>
  <c r="C640" i="5"/>
  <c r="C644" i="5"/>
  <c r="C648" i="5"/>
  <c r="C652" i="5"/>
  <c r="C656" i="5"/>
  <c r="C119" i="5"/>
  <c r="C132" i="5"/>
  <c r="C142" i="5"/>
  <c r="C152" i="5"/>
  <c r="C158" i="5"/>
  <c r="C169" i="5"/>
  <c r="C173" i="5"/>
  <c r="C184" i="5"/>
  <c r="C188" i="5"/>
  <c r="C192" i="5"/>
  <c r="C225" i="5"/>
  <c r="C273" i="5"/>
  <c r="C277" i="5"/>
  <c r="C285" i="5"/>
  <c r="C300" i="5"/>
  <c r="C312" i="5"/>
  <c r="C319" i="5"/>
  <c r="C333" i="5"/>
  <c r="C340" i="5"/>
  <c r="C373" i="5"/>
  <c r="C399" i="5"/>
  <c r="C39" i="5"/>
  <c r="C56" i="5"/>
  <c r="C63" i="5"/>
  <c r="C22" i="5"/>
  <c r="C79" i="5"/>
  <c r="C88" i="5"/>
  <c r="C127" i="5"/>
  <c r="C281" i="5"/>
  <c r="C289" i="5"/>
  <c r="C307" i="5"/>
  <c r="C326" i="5"/>
  <c r="C336" i="5"/>
  <c r="C359" i="5"/>
  <c r="C394" i="5"/>
  <c r="C418" i="5"/>
  <c r="C430" i="5"/>
  <c r="C44" i="5"/>
  <c r="C55" i="5"/>
  <c r="C64" i="5"/>
  <c r="C161" i="5"/>
  <c r="C203" i="5"/>
  <c r="C212" i="5"/>
  <c r="C220" i="5"/>
  <c r="C18" i="5"/>
  <c r="C37" i="5"/>
  <c r="C71" i="5"/>
  <c r="C95" i="5"/>
  <c r="C115" i="5"/>
  <c r="C121" i="5"/>
  <c r="C162" i="5"/>
  <c r="C166" i="5"/>
  <c r="C231" i="5"/>
  <c r="C235" i="5"/>
  <c r="C239" i="5"/>
  <c r="C243" i="5"/>
  <c r="C247" i="5"/>
  <c r="C251" i="5"/>
  <c r="C255" i="5"/>
  <c r="C259" i="5"/>
  <c r="C263" i="5"/>
  <c r="C294" i="5"/>
  <c r="C314" i="5"/>
  <c r="C344" i="5"/>
  <c r="C348" i="5"/>
  <c r="C24" i="5"/>
  <c r="C33" i="5"/>
  <c r="C70" i="5"/>
  <c r="C82" i="5"/>
  <c r="C89" i="5"/>
  <c r="C113" i="5"/>
  <c r="C193" i="5"/>
  <c r="C207" i="5"/>
  <c r="C214" i="5"/>
  <c r="C222" i="5"/>
  <c r="C144" i="5"/>
  <c r="C8" i="5"/>
  <c r="C27" i="5"/>
  <c r="C41" i="5"/>
  <c r="C73" i="5"/>
  <c r="C102" i="5"/>
  <c r="C106" i="5"/>
  <c r="C110" i="5"/>
  <c r="C123" i="5"/>
  <c r="C141" i="5"/>
  <c r="C148" i="5"/>
  <c r="C416" i="5"/>
  <c r="C429" i="5"/>
  <c r="C436" i="5"/>
  <c r="C440" i="5"/>
  <c r="C444" i="5"/>
  <c r="C448" i="5"/>
  <c r="C452" i="5"/>
  <c r="C456" i="5"/>
  <c r="C460" i="5"/>
  <c r="C464" i="5"/>
  <c r="C468" i="5"/>
  <c r="C472" i="5"/>
  <c r="C476" i="5"/>
  <c r="C480" i="5"/>
  <c r="C484" i="5"/>
  <c r="C488" i="5"/>
  <c r="C492" i="5"/>
  <c r="C496" i="5"/>
  <c r="C519" i="5"/>
  <c r="C545" i="5"/>
  <c r="C553" i="5"/>
  <c r="C500" i="5"/>
  <c r="C516" i="5"/>
  <c r="C524" i="5"/>
  <c r="C531" i="5"/>
  <c r="C535" i="5"/>
  <c r="C547" i="5"/>
  <c r="C563" i="5"/>
  <c r="C362" i="5"/>
  <c r="C366" i="5"/>
  <c r="C371" i="5"/>
  <c r="C424" i="5"/>
  <c r="C515" i="5"/>
  <c r="C542" i="5"/>
  <c r="C559" i="5"/>
  <c r="C583" i="5"/>
  <c r="C179" i="5"/>
  <c r="C227" i="5"/>
  <c r="C267" i="5"/>
  <c r="C284" i="5"/>
  <c r="C310" i="5"/>
  <c r="C324" i="5"/>
  <c r="C349" i="5"/>
  <c r="C375" i="5"/>
  <c r="C403" i="5"/>
  <c r="C432" i="5"/>
  <c r="C538" i="5"/>
  <c r="C558" i="5"/>
  <c r="C570" i="5"/>
  <c r="C574" i="5"/>
  <c r="C587" i="5"/>
  <c r="C509" i="5"/>
  <c r="C413" i="5"/>
  <c r="C513" i="5"/>
  <c r="C372" i="5"/>
  <c r="C385" i="5"/>
  <c r="C390" i="5"/>
  <c r="C398" i="5"/>
  <c r="C421" i="5"/>
  <c r="C532" i="5"/>
  <c r="C374" i="5"/>
  <c r="C527" i="5"/>
  <c r="C565" i="5"/>
  <c r="C180" i="5"/>
  <c r="C268" i="5"/>
  <c r="C311" i="5"/>
  <c r="C350" i="5"/>
  <c r="C383" i="5"/>
  <c r="C504" i="5"/>
  <c r="C567" i="5"/>
  <c r="C575" i="5"/>
  <c r="C510" i="5"/>
  <c r="C376" i="5"/>
  <c r="C386" i="5"/>
  <c r="C425" i="5"/>
  <c r="C125" i="5"/>
  <c r="C136" i="5"/>
  <c r="C149" i="5"/>
  <c r="C153" i="5"/>
  <c r="C159" i="5"/>
  <c r="C170" i="5"/>
  <c r="C181" i="5"/>
  <c r="C185" i="5"/>
  <c r="C189" i="5"/>
  <c r="C197" i="5"/>
  <c r="C226" i="5"/>
  <c r="C274" i="5"/>
  <c r="C278" i="5"/>
  <c r="C290" i="5"/>
  <c r="C301" i="5"/>
  <c r="C316" i="5"/>
  <c r="C320" i="5"/>
  <c r="C337" i="5"/>
  <c r="C341" i="5"/>
  <c r="C378" i="5"/>
  <c r="C400" i="5"/>
  <c r="C42" i="5"/>
  <c r="C57" i="5"/>
  <c r="C66" i="5"/>
  <c r="C35" i="5"/>
  <c r="C81" i="5"/>
  <c r="C91" i="5"/>
  <c r="C128" i="5"/>
  <c r="C286" i="5"/>
  <c r="C293" i="5"/>
  <c r="C308" i="5"/>
  <c r="C327" i="5"/>
  <c r="C343" i="5"/>
  <c r="C360" i="5"/>
  <c r="C401" i="5"/>
  <c r="C419" i="5"/>
  <c r="C28" i="5"/>
  <c r="C45" i="5"/>
  <c r="C58" i="5"/>
  <c r="C65" i="5"/>
  <c r="C175" i="5"/>
  <c r="C206" i="5"/>
  <c r="C215" i="5"/>
  <c r="C223" i="5"/>
  <c r="C19" i="5"/>
  <c r="C40" i="5"/>
  <c r="C72" i="5"/>
  <c r="C96" i="5"/>
  <c r="C116" i="5"/>
  <c r="C122" i="5"/>
  <c r="C163" i="5"/>
  <c r="C228" i="5"/>
  <c r="C232" i="5"/>
  <c r="C236" i="5"/>
  <c r="C240" i="5"/>
  <c r="C244" i="5"/>
  <c r="C248" i="5"/>
  <c r="C252" i="5"/>
  <c r="C256" i="5"/>
  <c r="C260" i="5"/>
  <c r="C282" i="5"/>
  <c r="C298" i="5"/>
  <c r="C322" i="5"/>
  <c r="C345" i="5"/>
  <c r="C13" i="5"/>
  <c r="C25" i="5"/>
  <c r="C36" i="5"/>
  <c r="C76" i="5"/>
  <c r="C84" i="5"/>
  <c r="C90" i="5"/>
  <c r="C133" i="5"/>
  <c r="C202" i="5"/>
  <c r="C209" i="5"/>
  <c r="C217" i="5"/>
  <c r="C224" i="5"/>
  <c r="C177" i="5"/>
  <c r="C9" i="5"/>
  <c r="C31" i="5"/>
  <c r="C46" i="5"/>
  <c r="C99" i="5"/>
  <c r="C103" i="5"/>
  <c r="C107" i="5"/>
  <c r="C111" i="5"/>
  <c r="C124" i="5"/>
  <c r="C145" i="5"/>
  <c r="C156" i="5"/>
  <c r="C417" i="5"/>
  <c r="C433" i="5"/>
  <c r="C437" i="5"/>
  <c r="C441" i="5"/>
  <c r="C445" i="5"/>
  <c r="C449" i="5"/>
  <c r="C453" i="5"/>
  <c r="C457" i="5"/>
  <c r="C461" i="5"/>
  <c r="C465" i="5"/>
  <c r="C469" i="5"/>
  <c r="C473" i="5"/>
  <c r="C477" i="5"/>
  <c r="C481" i="5"/>
  <c r="C485" i="5"/>
  <c r="C489" i="5"/>
  <c r="C493" i="5"/>
  <c r="C497" i="5"/>
  <c r="C520" i="5"/>
  <c r="C550" i="5"/>
  <c r="C554" i="5"/>
  <c r="C507" i="5"/>
  <c r="C521" i="5"/>
  <c r="C525" i="5"/>
  <c r="C540" i="5"/>
  <c r="C557" i="5"/>
  <c r="C578" i="5"/>
  <c r="C363" i="5"/>
  <c r="C367" i="5"/>
  <c r="C431" i="5"/>
  <c r="C543" i="5"/>
  <c r="C585" i="5"/>
  <c r="C264" i="5"/>
  <c r="C291" i="5"/>
  <c r="C330" i="5"/>
  <c r="C407" i="5"/>
  <c r="C544" i="5"/>
  <c r="C571" i="5"/>
  <c r="C506" i="5"/>
  <c r="C414" i="5"/>
  <c r="C353" i="5"/>
  <c r="C392" i="5"/>
  <c r="C404" i="5"/>
  <c r="C151" i="5"/>
  <c r="C168" i="5"/>
  <c r="C172" i="5"/>
  <c r="C187" i="5"/>
  <c r="C200" i="5"/>
  <c r="C276" i="5"/>
  <c r="C299" i="5"/>
  <c r="C318" i="5"/>
  <c r="C339" i="5"/>
  <c r="C393" i="5"/>
  <c r="C54" i="5"/>
  <c r="C21" i="5"/>
  <c r="C85" i="5"/>
  <c r="C199" i="5"/>
  <c r="C303" i="5"/>
  <c r="C332" i="5"/>
  <c r="C381" i="5"/>
  <c r="C423" i="5"/>
  <c r="C53" i="5"/>
  <c r="C12" i="5"/>
  <c r="C210" i="5"/>
  <c r="C17" i="5"/>
  <c r="C49" i="5"/>
  <c r="C98" i="5"/>
  <c r="C140" i="5"/>
  <c r="C230" i="5"/>
  <c r="C126" i="5"/>
  <c r="C137" i="5"/>
  <c r="C150" i="5"/>
  <c r="C154" i="5"/>
  <c r="C160" i="5"/>
  <c r="C171" i="5"/>
  <c r="C182" i="5"/>
  <c r="C186" i="5"/>
  <c r="C190" i="5"/>
  <c r="C198" i="5"/>
  <c r="C271" i="5"/>
  <c r="C275" i="5"/>
  <c r="C279" i="5"/>
  <c r="C296" i="5"/>
  <c r="C302" i="5"/>
  <c r="C317" i="5"/>
  <c r="C325" i="5"/>
  <c r="C338" i="5"/>
  <c r="C355" i="5"/>
  <c r="C379" i="5"/>
  <c r="C408" i="5"/>
  <c r="C52" i="5"/>
  <c r="C60" i="5"/>
  <c r="C16" i="5"/>
  <c r="C68" i="5"/>
  <c r="C83" i="5"/>
  <c r="C94" i="5"/>
  <c r="C174" i="5"/>
  <c r="C287" i="5"/>
  <c r="C297" i="5"/>
  <c r="C313" i="5"/>
  <c r="C328" i="5"/>
  <c r="C357" i="5"/>
  <c r="C380" i="5"/>
  <c r="C411" i="5"/>
  <c r="C422" i="5"/>
  <c r="C32" i="5"/>
  <c r="C51" i="5"/>
  <c r="C59" i="5"/>
  <c r="C6" i="5"/>
  <c r="C176" i="5"/>
  <c r="C208" i="5"/>
  <c r="C216" i="5"/>
  <c r="C7" i="5"/>
  <c r="C20" i="5"/>
  <c r="C48" i="5"/>
  <c r="C74" i="5"/>
  <c r="C97" i="5"/>
  <c r="C117" i="5"/>
  <c r="C129" i="5"/>
  <c r="C164" i="5"/>
  <c r="C229" i="5"/>
  <c r="C233" i="5"/>
  <c r="C237" i="5"/>
  <c r="C241" i="5"/>
  <c r="C245" i="5"/>
  <c r="C249" i="5"/>
  <c r="C253" i="5"/>
  <c r="C257" i="5"/>
  <c r="C261" i="5"/>
  <c r="C283" i="5"/>
  <c r="C304" i="5"/>
  <c r="C331" i="5"/>
  <c r="C346" i="5"/>
  <c r="C14" i="5"/>
  <c r="C26" i="5"/>
  <c r="C67" i="5"/>
  <c r="C78" i="5"/>
  <c r="C86" i="5"/>
  <c r="C92" i="5"/>
  <c r="C139" i="5"/>
  <c r="C204" i="5"/>
  <c r="C211" i="5"/>
  <c r="C219" i="5"/>
  <c r="C30" i="5"/>
  <c r="C178" i="5"/>
  <c r="C10" i="5"/>
  <c r="C34" i="5"/>
  <c r="C47" i="5"/>
  <c r="C100" i="5"/>
  <c r="C104" i="5"/>
  <c r="C108" i="5"/>
  <c r="C112" i="5"/>
  <c r="C130" i="5"/>
  <c r="C146" i="5"/>
  <c r="C157" i="5"/>
  <c r="C420" i="5"/>
  <c r="C434" i="5"/>
  <c r="C438" i="5"/>
  <c r="C442" i="5"/>
  <c r="C446" i="5"/>
  <c r="C450" i="5"/>
  <c r="C454" i="5"/>
  <c r="C458" i="5"/>
  <c r="C462" i="5"/>
  <c r="C466" i="5"/>
  <c r="C470" i="5"/>
  <c r="C474" i="5"/>
  <c r="C478" i="5"/>
  <c r="C482" i="5"/>
  <c r="C486" i="5"/>
  <c r="C490" i="5"/>
  <c r="C494" i="5"/>
  <c r="C498" i="5"/>
  <c r="C529" i="5"/>
  <c r="C551" i="5"/>
  <c r="C577" i="5"/>
  <c r="C508" i="5"/>
  <c r="C522" i="5"/>
  <c r="C526" i="5"/>
  <c r="C533" i="5"/>
  <c r="C541" i="5"/>
  <c r="C561" i="5"/>
  <c r="C582" i="5"/>
  <c r="C364" i="5"/>
  <c r="C369" i="5"/>
  <c r="C382" i="5"/>
  <c r="C503" i="5"/>
  <c r="C536" i="5"/>
  <c r="C548" i="5"/>
  <c r="C566" i="5"/>
  <c r="C586" i="5"/>
  <c r="C195" i="5"/>
  <c r="C265" i="5"/>
  <c r="C269" i="5"/>
  <c r="C295" i="5"/>
  <c r="C315" i="5"/>
  <c r="C334" i="5"/>
  <c r="C351" i="5"/>
  <c r="C387" i="5"/>
  <c r="C415" i="5"/>
  <c r="C518" i="5"/>
  <c r="C549" i="5"/>
  <c r="C568" i="5"/>
  <c r="C572" i="5"/>
  <c r="C576" i="5"/>
  <c r="C517" i="5"/>
  <c r="C514" i="5"/>
  <c r="C426" i="5"/>
  <c r="C354" i="5"/>
  <c r="C377" i="5"/>
  <c r="C388" i="5"/>
  <c r="C396" i="5"/>
  <c r="C405" i="5"/>
  <c r="C505" i="5"/>
  <c r="C138" i="5"/>
  <c r="C155" i="5"/>
  <c r="C183" i="5"/>
  <c r="C191" i="5"/>
  <c r="C272" i="5"/>
  <c r="C280" i="5"/>
  <c r="C306" i="5"/>
  <c r="C329" i="5"/>
  <c r="C356" i="5"/>
  <c r="C409" i="5"/>
  <c r="C61" i="5"/>
  <c r="C77" i="5"/>
  <c r="C114" i="5"/>
  <c r="C288" i="5"/>
  <c r="C321" i="5"/>
  <c r="C358" i="5"/>
  <c r="C412" i="5"/>
  <c r="C43" i="5"/>
  <c r="C62" i="5"/>
  <c r="C201" i="5"/>
  <c r="C218" i="5"/>
  <c r="C23" i="5"/>
  <c r="C75" i="5"/>
  <c r="C120" i="5"/>
  <c r="C165" i="5"/>
  <c r="C131" i="5"/>
  <c r="C234" i="5"/>
  <c r="C87" i="5"/>
  <c r="C105" i="5"/>
  <c r="C439" i="5"/>
  <c r="C487" i="5"/>
  <c r="C395" i="5"/>
  <c r="C270" i="5"/>
  <c r="C502" i="5"/>
  <c r="C238" i="5"/>
  <c r="C254" i="5"/>
  <c r="C309" i="5"/>
  <c r="C29" i="5"/>
  <c r="C93" i="5"/>
  <c r="C221" i="5"/>
  <c r="C38" i="5"/>
  <c r="C109" i="5"/>
  <c r="C410" i="5"/>
  <c r="C443" i="5"/>
  <c r="C459" i="5"/>
  <c r="C475" i="5"/>
  <c r="C491" i="5"/>
  <c r="C552" i="5"/>
  <c r="C361" i="5"/>
  <c r="C512" i="5"/>
  <c r="C167" i="5"/>
  <c r="C305" i="5"/>
  <c r="C391" i="5"/>
  <c r="C569" i="5"/>
  <c r="C402" i="5"/>
  <c r="C389" i="5"/>
  <c r="C246" i="5"/>
  <c r="C347" i="5"/>
  <c r="C80" i="5"/>
  <c r="C194" i="5"/>
  <c r="C135" i="5"/>
  <c r="C451" i="5"/>
  <c r="C483" i="5"/>
  <c r="C499" i="5"/>
  <c r="C546" i="5"/>
  <c r="C556" i="5"/>
  <c r="C342" i="5"/>
  <c r="C580" i="5"/>
  <c r="C368" i="5"/>
  <c r="C15" i="5"/>
  <c r="C455" i="5"/>
  <c r="C523" i="5"/>
  <c r="C579" i="5"/>
  <c r="C555" i="5"/>
  <c r="C242" i="5"/>
  <c r="C258" i="5"/>
  <c r="C335" i="5"/>
  <c r="C69" i="5"/>
  <c r="C143" i="5"/>
  <c r="C134" i="5"/>
  <c r="C50" i="5"/>
  <c r="C118" i="5"/>
  <c r="C428" i="5"/>
  <c r="C447" i="5"/>
  <c r="C463" i="5"/>
  <c r="C479" i="5"/>
  <c r="C495" i="5"/>
  <c r="C581" i="5"/>
  <c r="C534" i="5"/>
  <c r="C365" i="5"/>
  <c r="C537" i="5"/>
  <c r="C196" i="5"/>
  <c r="C323" i="5"/>
  <c r="C427" i="5"/>
  <c r="C573" i="5"/>
  <c r="C501" i="5"/>
  <c r="C397" i="5"/>
  <c r="C262" i="5"/>
  <c r="C205" i="5"/>
  <c r="C101" i="5"/>
  <c r="C435" i="5"/>
  <c r="C467" i="5"/>
  <c r="C511" i="5"/>
  <c r="C370" i="5"/>
  <c r="C266" i="5"/>
  <c r="C528" i="5"/>
  <c r="C406" i="5"/>
  <c r="C250" i="5"/>
  <c r="C292" i="5"/>
  <c r="C213" i="5"/>
  <c r="C11" i="5"/>
  <c r="C147" i="5"/>
  <c r="C471" i="5"/>
  <c r="C539" i="5"/>
  <c r="C562" i="5"/>
  <c r="C352" i="5"/>
  <c r="C384" i="5"/>
  <c r="AL588" i="5"/>
  <c r="AK577" i="5"/>
  <c r="AT596" i="5"/>
  <c r="AI578" i="5"/>
  <c r="BH61" i="4"/>
  <c r="BH484" i="4"/>
  <c r="BH600" i="4"/>
  <c r="BH64" i="4"/>
  <c r="BH101" i="4"/>
  <c r="BH478" i="4"/>
  <c r="BH601" i="4"/>
  <c r="BH629" i="4"/>
  <c r="BH660" i="4"/>
  <c r="BH708" i="4"/>
  <c r="BH637" i="4"/>
  <c r="BH658" i="4"/>
  <c r="BH625" i="4"/>
  <c r="BH661" i="4"/>
  <c r="BH732" i="4"/>
  <c r="BH800" i="4"/>
  <c r="BH804" i="4"/>
  <c r="BH808" i="4"/>
  <c r="BH733" i="4"/>
  <c r="BH738" i="4"/>
  <c r="BH801" i="4"/>
  <c r="BH805" i="4"/>
  <c r="BF18" i="4"/>
  <c r="BG18" i="4" s="1"/>
  <c r="BF14" i="4"/>
  <c r="BG14" i="4" s="1"/>
  <c r="BF21" i="4"/>
  <c r="BG21" i="4" s="1"/>
  <c r="BF34" i="4"/>
  <c r="BG34" i="4" s="1"/>
  <c r="BH730" i="4"/>
  <c r="BH802" i="4"/>
  <c r="BH806" i="4"/>
  <c r="BH961" i="4"/>
  <c r="BF17" i="4"/>
  <c r="BG17" i="4" s="1"/>
  <c r="BF13" i="4"/>
  <c r="BG13" i="4" s="1"/>
  <c r="BF31" i="4"/>
  <c r="BG31" i="4" s="1"/>
  <c r="BF35" i="4"/>
  <c r="BG35" i="4" s="1"/>
  <c r="BH803" i="4"/>
  <c r="BF19" i="4"/>
  <c r="BG19" i="4" s="1"/>
  <c r="BF11" i="4"/>
  <c r="BG11" i="4" s="1"/>
  <c r="BF37" i="4"/>
  <c r="BG37" i="4" s="1"/>
  <c r="BF41" i="4"/>
  <c r="BG41" i="4" s="1"/>
  <c r="BF45" i="4"/>
  <c r="BG45" i="4" s="1"/>
  <c r="BF49" i="4"/>
  <c r="BG49" i="4" s="1"/>
  <c r="BF53" i="4"/>
  <c r="BG53" i="4" s="1"/>
  <c r="BF57" i="4"/>
  <c r="BG57" i="4" s="1"/>
  <c r="BF61" i="4"/>
  <c r="BG61" i="4" s="1"/>
  <c r="BF65" i="4"/>
  <c r="BG65" i="4" s="1"/>
  <c r="BF69" i="4"/>
  <c r="BG69" i="4" s="1"/>
  <c r="BF73" i="4"/>
  <c r="BG73" i="4" s="1"/>
  <c r="BF77" i="4"/>
  <c r="BG77" i="4" s="1"/>
  <c r="BF81" i="4"/>
  <c r="BG81" i="4" s="1"/>
  <c r="BF85" i="4"/>
  <c r="BG85" i="4" s="1"/>
  <c r="BF89" i="4"/>
  <c r="BG89" i="4" s="1"/>
  <c r="BF93" i="4"/>
  <c r="BG93" i="4" s="1"/>
  <c r="BF97" i="4"/>
  <c r="BG97" i="4" s="1"/>
  <c r="BF101" i="4"/>
  <c r="BG101" i="4" s="1"/>
  <c r="BF105" i="4"/>
  <c r="BG105" i="4" s="1"/>
  <c r="BF109" i="4"/>
  <c r="BG109" i="4" s="1"/>
  <c r="BF113" i="4"/>
  <c r="BG113" i="4" s="1"/>
  <c r="BF117" i="4"/>
  <c r="BG117" i="4" s="1"/>
  <c r="BF121" i="4"/>
  <c r="BG121" i="4" s="1"/>
  <c r="BF125" i="4"/>
  <c r="BG125" i="4" s="1"/>
  <c r="BF129" i="4"/>
  <c r="BG129" i="4" s="1"/>
  <c r="BF133" i="4"/>
  <c r="BG133" i="4" s="1"/>
  <c r="BF137" i="4"/>
  <c r="BG137" i="4" s="1"/>
  <c r="BF141" i="4"/>
  <c r="BG141" i="4" s="1"/>
  <c r="BF145" i="4"/>
  <c r="BG145" i="4" s="1"/>
  <c r="BF149" i="4"/>
  <c r="BG149" i="4" s="1"/>
  <c r="BF153" i="4"/>
  <c r="BG153" i="4" s="1"/>
  <c r="BF157" i="4"/>
  <c r="BG157" i="4" s="1"/>
  <c r="BF161" i="4"/>
  <c r="BG161" i="4" s="1"/>
  <c r="BF165" i="4"/>
  <c r="BG165" i="4" s="1"/>
  <c r="BF169" i="4"/>
  <c r="BG169" i="4" s="1"/>
  <c r="BF173" i="4"/>
  <c r="BG173" i="4" s="1"/>
  <c r="BF177" i="4"/>
  <c r="BG177" i="4" s="1"/>
  <c r="BF181" i="4"/>
  <c r="BG181" i="4" s="1"/>
  <c r="BF185" i="4"/>
  <c r="BG185" i="4" s="1"/>
  <c r="BF189" i="4"/>
  <c r="BG189" i="4" s="1"/>
  <c r="BF193" i="4"/>
  <c r="BG193" i="4" s="1"/>
  <c r="BF197" i="4"/>
  <c r="BG197" i="4" s="1"/>
  <c r="BF201" i="4"/>
  <c r="BG201" i="4" s="1"/>
  <c r="BF205" i="4"/>
  <c r="BG205" i="4" s="1"/>
  <c r="BF209" i="4"/>
  <c r="BG209" i="4" s="1"/>
  <c r="BF213" i="4"/>
  <c r="BG213" i="4" s="1"/>
  <c r="BF217" i="4"/>
  <c r="BG217" i="4" s="1"/>
  <c r="BF221" i="4"/>
  <c r="BG221" i="4" s="1"/>
  <c r="BF225" i="4"/>
  <c r="BG225" i="4" s="1"/>
  <c r="BF229" i="4"/>
  <c r="BG229" i="4" s="1"/>
  <c r="BF233" i="4"/>
  <c r="BG233" i="4" s="1"/>
  <c r="BF237" i="4"/>
  <c r="BG237" i="4" s="1"/>
  <c r="BF241" i="4"/>
  <c r="BG241" i="4" s="1"/>
  <c r="BF245" i="4"/>
  <c r="BG245" i="4" s="1"/>
  <c r="BF249" i="4"/>
  <c r="BG249" i="4" s="1"/>
  <c r="BF253" i="4"/>
  <c r="BG253" i="4" s="1"/>
  <c r="BF257" i="4"/>
  <c r="BG257" i="4" s="1"/>
  <c r="BF261" i="4"/>
  <c r="BG261" i="4" s="1"/>
  <c r="BF265" i="4"/>
  <c r="BG265" i="4" s="1"/>
  <c r="BF269" i="4"/>
  <c r="BG269" i="4" s="1"/>
  <c r="BF273" i="4"/>
  <c r="BG273" i="4" s="1"/>
  <c r="BF277" i="4"/>
  <c r="BG277" i="4" s="1"/>
  <c r="BH731" i="4"/>
  <c r="BH780" i="4"/>
  <c r="BH807" i="4"/>
  <c r="BF16" i="4"/>
  <c r="BG16" i="4" s="1"/>
  <c r="BF32" i="4"/>
  <c r="BG32" i="4" s="1"/>
  <c r="BF38" i="4"/>
  <c r="BG38" i="4" s="1"/>
  <c r="BF42" i="4"/>
  <c r="BG42" i="4" s="1"/>
  <c r="BF46" i="4"/>
  <c r="BG46" i="4" s="1"/>
  <c r="BF50" i="4"/>
  <c r="BG50" i="4" s="1"/>
  <c r="BF54" i="4"/>
  <c r="BG54" i="4" s="1"/>
  <c r="BF58" i="4"/>
  <c r="BG58" i="4" s="1"/>
  <c r="BF62" i="4"/>
  <c r="BG62" i="4" s="1"/>
  <c r="BF66" i="4"/>
  <c r="BG66" i="4" s="1"/>
  <c r="BF70" i="4"/>
  <c r="BG70" i="4" s="1"/>
  <c r="BF74" i="4"/>
  <c r="BG74" i="4" s="1"/>
  <c r="BF78" i="4"/>
  <c r="BG78" i="4" s="1"/>
  <c r="BF82" i="4"/>
  <c r="BG82" i="4" s="1"/>
  <c r="BF86" i="4"/>
  <c r="BG86" i="4" s="1"/>
  <c r="BF90" i="4"/>
  <c r="BG90" i="4" s="1"/>
  <c r="BF94" i="4"/>
  <c r="BG94" i="4" s="1"/>
  <c r="BF98" i="4"/>
  <c r="BG98" i="4" s="1"/>
  <c r="BF102" i="4"/>
  <c r="BG102" i="4" s="1"/>
  <c r="BF106" i="4"/>
  <c r="BG106" i="4" s="1"/>
  <c r="BF110" i="4"/>
  <c r="BG110" i="4" s="1"/>
  <c r="BF114" i="4"/>
  <c r="BG114" i="4" s="1"/>
  <c r="BF118" i="4"/>
  <c r="BG118" i="4" s="1"/>
  <c r="BF122" i="4"/>
  <c r="BG122" i="4" s="1"/>
  <c r="BF126" i="4"/>
  <c r="BG126" i="4" s="1"/>
  <c r="BF130" i="4"/>
  <c r="BG130" i="4" s="1"/>
  <c r="BF134" i="4"/>
  <c r="BG134" i="4" s="1"/>
  <c r="BF138" i="4"/>
  <c r="BG138" i="4" s="1"/>
  <c r="BF142" i="4"/>
  <c r="BG142" i="4" s="1"/>
  <c r="BF146" i="4"/>
  <c r="BG146" i="4" s="1"/>
  <c r="BF150" i="4"/>
  <c r="BG150" i="4" s="1"/>
  <c r="BF154" i="4"/>
  <c r="BG154" i="4" s="1"/>
  <c r="BF158" i="4"/>
  <c r="BG158" i="4" s="1"/>
  <c r="BF162" i="4"/>
  <c r="BG162" i="4" s="1"/>
  <c r="BF166" i="4"/>
  <c r="BG166" i="4" s="1"/>
  <c r="BF170" i="4"/>
  <c r="BG170" i="4" s="1"/>
  <c r="BF174" i="4"/>
  <c r="BG174" i="4" s="1"/>
  <c r="BF178" i="4"/>
  <c r="BG178" i="4" s="1"/>
  <c r="BF182" i="4"/>
  <c r="BG182" i="4" s="1"/>
  <c r="BF186" i="4"/>
  <c r="BG186" i="4" s="1"/>
  <c r="BF190" i="4"/>
  <c r="BG190" i="4" s="1"/>
  <c r="BF194" i="4"/>
  <c r="BG194" i="4" s="1"/>
  <c r="BF198" i="4"/>
  <c r="BG198" i="4" s="1"/>
  <c r="BF202" i="4"/>
  <c r="BG202" i="4" s="1"/>
  <c r="BF206" i="4"/>
  <c r="BG206" i="4" s="1"/>
  <c r="BF210" i="4"/>
  <c r="BG210" i="4" s="1"/>
  <c r="BF214" i="4"/>
  <c r="BG214" i="4" s="1"/>
  <c r="BF218" i="4"/>
  <c r="BG218" i="4" s="1"/>
  <c r="BF222" i="4"/>
  <c r="BG222" i="4" s="1"/>
  <c r="BF226" i="4"/>
  <c r="BG226" i="4" s="1"/>
  <c r="BF230" i="4"/>
  <c r="BG230" i="4" s="1"/>
  <c r="BF234" i="4"/>
  <c r="BG234" i="4" s="1"/>
  <c r="BF238" i="4"/>
  <c r="BG238" i="4" s="1"/>
  <c r="BF242" i="4"/>
  <c r="BG242" i="4" s="1"/>
  <c r="BF246" i="4"/>
  <c r="BG246" i="4" s="1"/>
  <c r="BF250" i="4"/>
  <c r="BG250" i="4" s="1"/>
  <c r="BF254" i="4"/>
  <c r="BG254" i="4" s="1"/>
  <c r="BF258" i="4"/>
  <c r="BG258" i="4" s="1"/>
  <c r="BF262" i="4"/>
  <c r="BG262" i="4" s="1"/>
  <c r="BF266" i="4"/>
  <c r="BG266" i="4" s="1"/>
  <c r="BF270" i="4"/>
  <c r="BG270" i="4" s="1"/>
  <c r="BF274" i="4"/>
  <c r="BG274" i="4" s="1"/>
  <c r="BF10" i="4"/>
  <c r="BG10" i="4" s="1"/>
  <c r="BF12" i="4"/>
  <c r="BG12" i="4" s="1"/>
  <c r="BF36" i="4"/>
  <c r="BG36" i="4" s="1"/>
  <c r="BF40" i="4"/>
  <c r="BG40" i="4" s="1"/>
  <c r="BF44" i="4"/>
  <c r="BG44" i="4" s="1"/>
  <c r="BF48" i="4"/>
  <c r="BG48" i="4" s="1"/>
  <c r="BF52" i="4"/>
  <c r="BG52" i="4" s="1"/>
  <c r="BF56" i="4"/>
  <c r="BG56" i="4" s="1"/>
  <c r="BF60" i="4"/>
  <c r="BG60" i="4" s="1"/>
  <c r="BF64" i="4"/>
  <c r="BG64" i="4" s="1"/>
  <c r="BF68" i="4"/>
  <c r="BG68" i="4" s="1"/>
  <c r="BF72" i="4"/>
  <c r="BG72" i="4" s="1"/>
  <c r="BF76" i="4"/>
  <c r="BG76" i="4" s="1"/>
  <c r="BF80" i="4"/>
  <c r="BG80" i="4" s="1"/>
  <c r="BF84" i="4"/>
  <c r="BG84" i="4" s="1"/>
  <c r="BF88" i="4"/>
  <c r="BG88" i="4" s="1"/>
  <c r="BF92" i="4"/>
  <c r="BG92" i="4" s="1"/>
  <c r="BF96" i="4"/>
  <c r="BG96" i="4" s="1"/>
  <c r="BF100" i="4"/>
  <c r="BG100" i="4" s="1"/>
  <c r="BF104" i="4"/>
  <c r="BG104" i="4" s="1"/>
  <c r="BF108" i="4"/>
  <c r="BG108" i="4" s="1"/>
  <c r="BF112" i="4"/>
  <c r="BG112" i="4" s="1"/>
  <c r="BF116" i="4"/>
  <c r="BG116" i="4" s="1"/>
  <c r="BF120" i="4"/>
  <c r="BG120" i="4" s="1"/>
  <c r="BF124" i="4"/>
  <c r="BG124" i="4" s="1"/>
  <c r="BF128" i="4"/>
  <c r="BG128" i="4" s="1"/>
  <c r="BF132" i="4"/>
  <c r="BG132" i="4" s="1"/>
  <c r="BF136" i="4"/>
  <c r="BG136" i="4" s="1"/>
  <c r="BF140" i="4"/>
  <c r="BG140" i="4" s="1"/>
  <c r="BF144" i="4"/>
  <c r="BG144" i="4" s="1"/>
  <c r="BF148" i="4"/>
  <c r="BG148" i="4" s="1"/>
  <c r="BF152" i="4"/>
  <c r="BG152" i="4" s="1"/>
  <c r="BF156" i="4"/>
  <c r="BG156" i="4" s="1"/>
  <c r="BF160" i="4"/>
  <c r="BG160" i="4" s="1"/>
  <c r="BF164" i="4"/>
  <c r="BG164" i="4" s="1"/>
  <c r="BF168" i="4"/>
  <c r="BG168" i="4" s="1"/>
  <c r="BF172" i="4"/>
  <c r="BG172" i="4" s="1"/>
  <c r="BF176" i="4"/>
  <c r="BG176" i="4" s="1"/>
  <c r="BF180" i="4"/>
  <c r="BG180" i="4" s="1"/>
  <c r="BF184" i="4"/>
  <c r="BG184" i="4" s="1"/>
  <c r="BF188" i="4"/>
  <c r="BG188" i="4" s="1"/>
  <c r="BF192" i="4"/>
  <c r="BG192" i="4" s="1"/>
  <c r="BF196" i="4"/>
  <c r="BG196" i="4" s="1"/>
  <c r="BF200" i="4"/>
  <c r="BG200" i="4" s="1"/>
  <c r="BF204" i="4"/>
  <c r="BG204" i="4" s="1"/>
  <c r="BF208" i="4"/>
  <c r="BG208" i="4" s="1"/>
  <c r="BF212" i="4"/>
  <c r="BG212" i="4" s="1"/>
  <c r="BF216" i="4"/>
  <c r="BG216" i="4" s="1"/>
  <c r="BF220" i="4"/>
  <c r="BG220" i="4" s="1"/>
  <c r="BF224" i="4"/>
  <c r="BG224" i="4" s="1"/>
  <c r="BF228" i="4"/>
  <c r="BG228" i="4" s="1"/>
  <c r="BF232" i="4"/>
  <c r="BG232" i="4" s="1"/>
  <c r="BF236" i="4"/>
  <c r="BG236" i="4" s="1"/>
  <c r="BF240" i="4"/>
  <c r="BG240" i="4" s="1"/>
  <c r="BF244" i="4"/>
  <c r="BG244" i="4" s="1"/>
  <c r="BF248" i="4"/>
  <c r="BG248" i="4" s="1"/>
  <c r="BF252" i="4"/>
  <c r="BG252" i="4" s="1"/>
  <c r="BF256" i="4"/>
  <c r="BG256" i="4" s="1"/>
  <c r="BF260" i="4"/>
  <c r="BG260" i="4" s="1"/>
  <c r="BF264" i="4"/>
  <c r="BG264" i="4" s="1"/>
  <c r="BF268" i="4"/>
  <c r="BG268" i="4" s="1"/>
  <c r="BF272" i="4"/>
  <c r="BG272" i="4" s="1"/>
  <c r="BF276" i="4"/>
  <c r="BG276" i="4" s="1"/>
  <c r="BF33" i="4"/>
  <c r="BG33" i="4" s="1"/>
  <c r="BF51" i="4"/>
  <c r="BG51" i="4" s="1"/>
  <c r="BF67" i="4"/>
  <c r="BG67" i="4" s="1"/>
  <c r="BF83" i="4"/>
  <c r="BG83" i="4" s="1"/>
  <c r="BF99" i="4"/>
  <c r="BG99" i="4" s="1"/>
  <c r="BF115" i="4"/>
  <c r="BG115" i="4" s="1"/>
  <c r="BF131" i="4"/>
  <c r="BG131" i="4" s="1"/>
  <c r="BF147" i="4"/>
  <c r="BG147" i="4" s="1"/>
  <c r="BF163" i="4"/>
  <c r="BG163" i="4" s="1"/>
  <c r="BF179" i="4"/>
  <c r="BG179" i="4" s="1"/>
  <c r="BF195" i="4"/>
  <c r="BG195" i="4" s="1"/>
  <c r="BF211" i="4"/>
  <c r="BG211" i="4" s="1"/>
  <c r="BF227" i="4"/>
  <c r="BG227" i="4" s="1"/>
  <c r="BF243" i="4"/>
  <c r="BG243" i="4" s="1"/>
  <c r="BF259" i="4"/>
  <c r="BG259" i="4" s="1"/>
  <c r="BF275" i="4"/>
  <c r="BG275" i="4" s="1"/>
  <c r="BF281" i="4"/>
  <c r="BG281" i="4" s="1"/>
  <c r="BF285" i="4"/>
  <c r="BG285" i="4" s="1"/>
  <c r="BF289" i="4"/>
  <c r="BG289" i="4" s="1"/>
  <c r="BF293" i="4"/>
  <c r="BG293" i="4" s="1"/>
  <c r="BF297" i="4"/>
  <c r="BG297" i="4" s="1"/>
  <c r="BF301" i="4"/>
  <c r="BG301" i="4" s="1"/>
  <c r="BF305" i="4"/>
  <c r="BG305" i="4" s="1"/>
  <c r="BF309" i="4"/>
  <c r="BG309" i="4" s="1"/>
  <c r="BF313" i="4"/>
  <c r="BG313" i="4" s="1"/>
  <c r="BF317" i="4"/>
  <c r="BG317" i="4" s="1"/>
  <c r="BF321" i="4"/>
  <c r="BG321" i="4" s="1"/>
  <c r="BF325" i="4"/>
  <c r="BG325" i="4" s="1"/>
  <c r="BF329" i="4"/>
  <c r="BG329" i="4" s="1"/>
  <c r="BF333" i="4"/>
  <c r="BG333" i="4" s="1"/>
  <c r="BF337" i="4"/>
  <c r="BG337" i="4" s="1"/>
  <c r="BF341" i="4"/>
  <c r="BG341" i="4" s="1"/>
  <c r="BF345" i="4"/>
  <c r="BG345" i="4" s="1"/>
  <c r="BF349" i="4"/>
  <c r="BG349" i="4" s="1"/>
  <c r="BF353" i="4"/>
  <c r="BG353" i="4" s="1"/>
  <c r="BF357" i="4"/>
  <c r="BG357" i="4" s="1"/>
  <c r="BF361" i="4"/>
  <c r="BG361" i="4" s="1"/>
  <c r="BF365" i="4"/>
  <c r="BG365" i="4" s="1"/>
  <c r="BF369" i="4"/>
  <c r="BG369" i="4" s="1"/>
  <c r="BF373" i="4"/>
  <c r="BG373" i="4" s="1"/>
  <c r="BF377" i="4"/>
  <c r="BG377" i="4" s="1"/>
  <c r="BF381" i="4"/>
  <c r="BG381" i="4" s="1"/>
  <c r="BF385" i="4"/>
  <c r="BG385" i="4" s="1"/>
  <c r="BF389" i="4"/>
  <c r="BG389" i="4" s="1"/>
  <c r="BF393" i="4"/>
  <c r="BG393" i="4" s="1"/>
  <c r="BF397" i="4"/>
  <c r="BG397" i="4" s="1"/>
  <c r="BF401" i="4"/>
  <c r="BG401" i="4" s="1"/>
  <c r="BF405" i="4"/>
  <c r="BG405" i="4" s="1"/>
  <c r="BF409" i="4"/>
  <c r="BG409" i="4" s="1"/>
  <c r="BF413" i="4"/>
  <c r="BG413" i="4" s="1"/>
  <c r="BF417" i="4"/>
  <c r="BG417" i="4" s="1"/>
  <c r="BF421" i="4"/>
  <c r="BG421" i="4" s="1"/>
  <c r="BF425" i="4"/>
  <c r="BG425" i="4" s="1"/>
  <c r="BF429" i="4"/>
  <c r="BG429" i="4" s="1"/>
  <c r="BF433" i="4"/>
  <c r="BG433" i="4" s="1"/>
  <c r="BF437" i="4"/>
  <c r="BG437" i="4" s="1"/>
  <c r="BF441" i="4"/>
  <c r="BG441" i="4" s="1"/>
  <c r="BF445" i="4"/>
  <c r="BG445" i="4" s="1"/>
  <c r="BF449" i="4"/>
  <c r="BG449" i="4" s="1"/>
  <c r="BF453" i="4"/>
  <c r="BG453" i="4" s="1"/>
  <c r="BF457" i="4"/>
  <c r="BG457" i="4" s="1"/>
  <c r="BF461" i="4"/>
  <c r="BG461" i="4" s="1"/>
  <c r="BF465" i="4"/>
  <c r="BG465" i="4" s="1"/>
  <c r="BF469" i="4"/>
  <c r="BG469" i="4" s="1"/>
  <c r="BF473" i="4"/>
  <c r="BG473" i="4" s="1"/>
  <c r="BF477" i="4"/>
  <c r="BG477" i="4" s="1"/>
  <c r="BF481" i="4"/>
  <c r="BG481" i="4" s="1"/>
  <c r="BF485" i="4"/>
  <c r="BG485" i="4" s="1"/>
  <c r="BF489" i="4"/>
  <c r="BG489" i="4" s="1"/>
  <c r="BF493" i="4"/>
  <c r="BG493" i="4" s="1"/>
  <c r="BF497" i="4"/>
  <c r="BG497" i="4" s="1"/>
  <c r="BF501" i="4"/>
  <c r="BG501" i="4" s="1"/>
  <c r="BF505" i="4"/>
  <c r="BG505" i="4" s="1"/>
  <c r="BF509" i="4"/>
  <c r="BG509" i="4" s="1"/>
  <c r="BF513" i="4"/>
  <c r="BG513" i="4" s="1"/>
  <c r="BF517" i="4"/>
  <c r="BG517" i="4" s="1"/>
  <c r="BF521" i="4"/>
  <c r="BG521" i="4" s="1"/>
  <c r="BF525" i="4"/>
  <c r="BG525" i="4" s="1"/>
  <c r="BF529" i="4"/>
  <c r="BG529" i="4" s="1"/>
  <c r="BF533" i="4"/>
  <c r="BG533" i="4" s="1"/>
  <c r="BF537" i="4"/>
  <c r="BG537" i="4" s="1"/>
  <c r="BF541" i="4"/>
  <c r="BG541" i="4" s="1"/>
  <c r="BF545" i="4"/>
  <c r="BG545" i="4" s="1"/>
  <c r="BF549" i="4"/>
  <c r="BG549" i="4" s="1"/>
  <c r="BF553" i="4"/>
  <c r="BG553" i="4" s="1"/>
  <c r="BF557" i="4"/>
  <c r="BG557" i="4" s="1"/>
  <c r="BF561" i="4"/>
  <c r="BG561" i="4" s="1"/>
  <c r="BF565" i="4"/>
  <c r="BG565" i="4" s="1"/>
  <c r="BF569" i="4"/>
  <c r="BG569" i="4" s="1"/>
  <c r="BF573" i="4"/>
  <c r="BG573" i="4" s="1"/>
  <c r="BF577" i="4"/>
  <c r="BG577" i="4" s="1"/>
  <c r="BF581" i="4"/>
  <c r="BG581" i="4" s="1"/>
  <c r="BF585" i="4"/>
  <c r="BG585" i="4" s="1"/>
  <c r="BF589" i="4"/>
  <c r="BG589" i="4" s="1"/>
  <c r="BF593" i="4"/>
  <c r="BG593" i="4" s="1"/>
  <c r="BF597" i="4"/>
  <c r="BG597" i="4" s="1"/>
  <c r="BF601" i="4"/>
  <c r="BG601" i="4" s="1"/>
  <c r="BF605" i="4"/>
  <c r="BG605" i="4" s="1"/>
  <c r="BF609" i="4"/>
  <c r="BG609" i="4" s="1"/>
  <c r="BF613" i="4"/>
  <c r="BG613" i="4" s="1"/>
  <c r="BF617" i="4"/>
  <c r="BG617" i="4" s="1"/>
  <c r="BF621" i="4"/>
  <c r="BG621" i="4" s="1"/>
  <c r="BF625" i="4"/>
  <c r="BG625" i="4" s="1"/>
  <c r="BF629" i="4"/>
  <c r="BG629" i="4" s="1"/>
  <c r="BF633" i="4"/>
  <c r="BG633" i="4" s="1"/>
  <c r="BF637" i="4"/>
  <c r="BG637" i="4" s="1"/>
  <c r="BF641" i="4"/>
  <c r="BG641" i="4" s="1"/>
  <c r="BF645" i="4"/>
  <c r="BG645" i="4" s="1"/>
  <c r="BF649" i="4"/>
  <c r="BG649" i="4" s="1"/>
  <c r="BF653" i="4"/>
  <c r="BG653" i="4" s="1"/>
  <c r="BF657" i="4"/>
  <c r="BG657" i="4" s="1"/>
  <c r="BF661" i="4"/>
  <c r="BG661" i="4" s="1"/>
  <c r="BF665" i="4"/>
  <c r="BG665" i="4" s="1"/>
  <c r="BF669" i="4"/>
  <c r="BG669" i="4" s="1"/>
  <c r="BF673" i="4"/>
  <c r="BG673" i="4" s="1"/>
  <c r="BF677" i="4"/>
  <c r="BG677" i="4" s="1"/>
  <c r="BF681" i="4"/>
  <c r="BG681" i="4" s="1"/>
  <c r="BF685" i="4"/>
  <c r="BG685" i="4" s="1"/>
  <c r="BF689" i="4"/>
  <c r="BG689" i="4" s="1"/>
  <c r="BF693" i="4"/>
  <c r="BG693" i="4" s="1"/>
  <c r="BF697" i="4"/>
  <c r="BG697" i="4" s="1"/>
  <c r="BF701" i="4"/>
  <c r="BG701" i="4" s="1"/>
  <c r="BF705" i="4"/>
  <c r="BG705" i="4" s="1"/>
  <c r="BF709" i="4"/>
  <c r="BG709" i="4" s="1"/>
  <c r="BF713" i="4"/>
  <c r="BG713" i="4" s="1"/>
  <c r="BF717" i="4"/>
  <c r="BG717" i="4" s="1"/>
  <c r="BF721" i="4"/>
  <c r="BG721" i="4" s="1"/>
  <c r="BF725" i="4"/>
  <c r="BG725" i="4" s="1"/>
  <c r="BF729" i="4"/>
  <c r="BG729" i="4" s="1"/>
  <c r="BF733" i="4"/>
  <c r="BG733" i="4" s="1"/>
  <c r="BF737" i="4"/>
  <c r="BG737" i="4" s="1"/>
  <c r="BF741" i="4"/>
  <c r="BG741" i="4" s="1"/>
  <c r="BF745" i="4"/>
  <c r="BG745" i="4" s="1"/>
  <c r="BF749" i="4"/>
  <c r="BG749" i="4" s="1"/>
  <c r="BF753" i="4"/>
  <c r="BG753" i="4" s="1"/>
  <c r="BF757" i="4"/>
  <c r="BG757" i="4" s="1"/>
  <c r="BF761" i="4"/>
  <c r="BG761" i="4" s="1"/>
  <c r="BF765" i="4"/>
  <c r="BG765" i="4" s="1"/>
  <c r="BF769" i="4"/>
  <c r="BG769" i="4" s="1"/>
  <c r="BF773" i="4"/>
  <c r="BG773" i="4" s="1"/>
  <c r="BF777" i="4"/>
  <c r="BG777" i="4" s="1"/>
  <c r="BF781" i="4"/>
  <c r="BG781" i="4" s="1"/>
  <c r="BF785" i="4"/>
  <c r="BG785" i="4" s="1"/>
  <c r="BF789" i="4"/>
  <c r="BG789" i="4" s="1"/>
  <c r="BF793" i="4"/>
  <c r="BG793" i="4" s="1"/>
  <c r="BF797" i="4"/>
  <c r="BG797" i="4" s="1"/>
  <c r="BF801" i="4"/>
  <c r="BG801" i="4" s="1"/>
  <c r="BF805" i="4"/>
  <c r="BG805" i="4" s="1"/>
  <c r="BF809" i="4"/>
  <c r="BG809" i="4" s="1"/>
  <c r="BF813" i="4"/>
  <c r="BG813" i="4" s="1"/>
  <c r="BF817" i="4"/>
  <c r="BG817" i="4" s="1"/>
  <c r="BF821" i="4"/>
  <c r="BG821" i="4" s="1"/>
  <c r="BF825" i="4"/>
  <c r="BG825" i="4" s="1"/>
  <c r="BF829" i="4"/>
  <c r="BG829" i="4" s="1"/>
  <c r="BF833" i="4"/>
  <c r="BG833" i="4" s="1"/>
  <c r="BF837" i="4"/>
  <c r="BG837" i="4" s="1"/>
  <c r="BF841" i="4"/>
  <c r="BG841" i="4" s="1"/>
  <c r="BF845" i="4"/>
  <c r="BG845" i="4" s="1"/>
  <c r="BF849" i="4"/>
  <c r="BG849" i="4" s="1"/>
  <c r="BF853" i="4"/>
  <c r="BG853" i="4" s="1"/>
  <c r="BF857" i="4"/>
  <c r="BG857" i="4" s="1"/>
  <c r="BF861" i="4"/>
  <c r="BG861" i="4" s="1"/>
  <c r="BF865" i="4"/>
  <c r="BG865" i="4" s="1"/>
  <c r="BF869" i="4"/>
  <c r="BG869" i="4" s="1"/>
  <c r="BF39" i="4"/>
  <c r="BG39" i="4" s="1"/>
  <c r="BF55" i="4"/>
  <c r="BG55" i="4" s="1"/>
  <c r="BF71" i="4"/>
  <c r="BG71" i="4" s="1"/>
  <c r="BF87" i="4"/>
  <c r="BG87" i="4" s="1"/>
  <c r="BF103" i="4"/>
  <c r="BG103" i="4" s="1"/>
  <c r="BF119" i="4"/>
  <c r="BG119" i="4" s="1"/>
  <c r="BF135" i="4"/>
  <c r="BG135" i="4" s="1"/>
  <c r="BF151" i="4"/>
  <c r="BG151" i="4" s="1"/>
  <c r="BF167" i="4"/>
  <c r="BG167" i="4" s="1"/>
  <c r="BF183" i="4"/>
  <c r="BG183" i="4" s="1"/>
  <c r="BF199" i="4"/>
  <c r="BG199" i="4" s="1"/>
  <c r="BF215" i="4"/>
  <c r="BG215" i="4" s="1"/>
  <c r="BF231" i="4"/>
  <c r="BG231" i="4" s="1"/>
  <c r="BF247" i="4"/>
  <c r="BG247" i="4" s="1"/>
  <c r="BF263" i="4"/>
  <c r="BG263" i="4" s="1"/>
  <c r="BF278" i="4"/>
  <c r="BG278" i="4" s="1"/>
  <c r="BF282" i="4"/>
  <c r="BG282" i="4" s="1"/>
  <c r="BF286" i="4"/>
  <c r="BG286" i="4" s="1"/>
  <c r="BF290" i="4"/>
  <c r="BG290" i="4" s="1"/>
  <c r="BF294" i="4"/>
  <c r="BG294" i="4" s="1"/>
  <c r="BF298" i="4"/>
  <c r="BG298" i="4" s="1"/>
  <c r="BF302" i="4"/>
  <c r="BG302" i="4" s="1"/>
  <c r="BF306" i="4"/>
  <c r="BG306" i="4" s="1"/>
  <c r="BF310" i="4"/>
  <c r="BG310" i="4" s="1"/>
  <c r="BF314" i="4"/>
  <c r="BG314" i="4" s="1"/>
  <c r="BF318" i="4"/>
  <c r="BG318" i="4" s="1"/>
  <c r="BF322" i="4"/>
  <c r="BG322" i="4" s="1"/>
  <c r="BF326" i="4"/>
  <c r="BG326" i="4" s="1"/>
  <c r="BF330" i="4"/>
  <c r="BG330" i="4" s="1"/>
  <c r="BF334" i="4"/>
  <c r="BG334" i="4" s="1"/>
  <c r="BF338" i="4"/>
  <c r="BG338" i="4" s="1"/>
  <c r="BF342" i="4"/>
  <c r="BG342" i="4" s="1"/>
  <c r="BF346" i="4"/>
  <c r="BG346" i="4" s="1"/>
  <c r="BF350" i="4"/>
  <c r="BG350" i="4" s="1"/>
  <c r="BF354" i="4"/>
  <c r="BG354" i="4" s="1"/>
  <c r="BF358" i="4"/>
  <c r="BG358" i="4" s="1"/>
  <c r="BF362" i="4"/>
  <c r="BG362" i="4" s="1"/>
  <c r="BF366" i="4"/>
  <c r="BG366" i="4" s="1"/>
  <c r="BF370" i="4"/>
  <c r="BG370" i="4" s="1"/>
  <c r="BF374" i="4"/>
  <c r="BG374" i="4" s="1"/>
  <c r="BF378" i="4"/>
  <c r="BG378" i="4" s="1"/>
  <c r="BF382" i="4"/>
  <c r="BG382" i="4" s="1"/>
  <c r="BF386" i="4"/>
  <c r="BG386" i="4" s="1"/>
  <c r="BF390" i="4"/>
  <c r="BG390" i="4" s="1"/>
  <c r="BF394" i="4"/>
  <c r="BG394" i="4" s="1"/>
  <c r="BF398" i="4"/>
  <c r="BG398" i="4" s="1"/>
  <c r="BF402" i="4"/>
  <c r="BG402" i="4" s="1"/>
  <c r="BF406" i="4"/>
  <c r="BG406" i="4" s="1"/>
  <c r="BF410" i="4"/>
  <c r="BG410" i="4" s="1"/>
  <c r="BF414" i="4"/>
  <c r="BG414" i="4" s="1"/>
  <c r="BF418" i="4"/>
  <c r="BG418" i="4" s="1"/>
  <c r="BF422" i="4"/>
  <c r="BG422" i="4" s="1"/>
  <c r="BF426" i="4"/>
  <c r="BG426" i="4" s="1"/>
  <c r="BF430" i="4"/>
  <c r="BG430" i="4" s="1"/>
  <c r="BF434" i="4"/>
  <c r="BG434" i="4" s="1"/>
  <c r="BF438" i="4"/>
  <c r="BG438" i="4" s="1"/>
  <c r="BF442" i="4"/>
  <c r="BG442" i="4" s="1"/>
  <c r="BF446" i="4"/>
  <c r="BG446" i="4" s="1"/>
  <c r="BF450" i="4"/>
  <c r="BG450" i="4" s="1"/>
  <c r="BF454" i="4"/>
  <c r="BG454" i="4" s="1"/>
  <c r="BF458" i="4"/>
  <c r="BG458" i="4" s="1"/>
  <c r="BF462" i="4"/>
  <c r="BG462" i="4" s="1"/>
  <c r="BF466" i="4"/>
  <c r="BG466" i="4" s="1"/>
  <c r="BF470" i="4"/>
  <c r="BG470" i="4" s="1"/>
  <c r="BF474" i="4"/>
  <c r="BG474" i="4" s="1"/>
  <c r="BF478" i="4"/>
  <c r="BG478" i="4" s="1"/>
  <c r="BF482" i="4"/>
  <c r="BG482" i="4" s="1"/>
  <c r="BF486" i="4"/>
  <c r="BG486" i="4" s="1"/>
  <c r="BF490" i="4"/>
  <c r="BG490" i="4" s="1"/>
  <c r="BF494" i="4"/>
  <c r="BG494" i="4" s="1"/>
  <c r="BF498" i="4"/>
  <c r="BG498" i="4" s="1"/>
  <c r="BF502" i="4"/>
  <c r="BG502" i="4" s="1"/>
  <c r="BF506" i="4"/>
  <c r="BG506" i="4" s="1"/>
  <c r="BF510" i="4"/>
  <c r="BG510" i="4" s="1"/>
  <c r="BF514" i="4"/>
  <c r="BG514" i="4" s="1"/>
  <c r="BF518" i="4"/>
  <c r="BG518" i="4" s="1"/>
  <c r="BF522" i="4"/>
  <c r="BG522" i="4" s="1"/>
  <c r="BF526" i="4"/>
  <c r="BG526" i="4" s="1"/>
  <c r="BF530" i="4"/>
  <c r="BG530" i="4" s="1"/>
  <c r="BF534" i="4"/>
  <c r="BG534" i="4" s="1"/>
  <c r="BF538" i="4"/>
  <c r="BG538" i="4" s="1"/>
  <c r="BF542" i="4"/>
  <c r="BG542" i="4" s="1"/>
  <c r="BF546" i="4"/>
  <c r="BG546" i="4" s="1"/>
  <c r="BF550" i="4"/>
  <c r="BG550" i="4" s="1"/>
  <c r="BF554" i="4"/>
  <c r="BG554" i="4" s="1"/>
  <c r="BF558" i="4"/>
  <c r="BG558" i="4" s="1"/>
  <c r="BF562" i="4"/>
  <c r="BG562" i="4" s="1"/>
  <c r="BF566" i="4"/>
  <c r="BG566" i="4" s="1"/>
  <c r="BF570" i="4"/>
  <c r="BG570" i="4" s="1"/>
  <c r="BF574" i="4"/>
  <c r="BG574" i="4" s="1"/>
  <c r="BF578" i="4"/>
  <c r="BG578" i="4" s="1"/>
  <c r="BF582" i="4"/>
  <c r="BG582" i="4" s="1"/>
  <c r="BF586" i="4"/>
  <c r="BG586" i="4" s="1"/>
  <c r="BF590" i="4"/>
  <c r="BG590" i="4" s="1"/>
  <c r="BF594" i="4"/>
  <c r="BG594" i="4" s="1"/>
  <c r="BF598" i="4"/>
  <c r="BG598" i="4" s="1"/>
  <c r="BF602" i="4"/>
  <c r="BG602" i="4" s="1"/>
  <c r="BF606" i="4"/>
  <c r="BG606" i="4" s="1"/>
  <c r="BF610" i="4"/>
  <c r="BG610" i="4" s="1"/>
  <c r="BF614" i="4"/>
  <c r="BG614" i="4" s="1"/>
  <c r="BF618" i="4"/>
  <c r="BG618" i="4" s="1"/>
  <c r="BF622" i="4"/>
  <c r="BG622" i="4" s="1"/>
  <c r="BF626" i="4"/>
  <c r="BG626" i="4" s="1"/>
  <c r="BF630" i="4"/>
  <c r="BG630" i="4" s="1"/>
  <c r="BF634" i="4"/>
  <c r="BG634" i="4" s="1"/>
  <c r="BF638" i="4"/>
  <c r="BG638" i="4" s="1"/>
  <c r="BF642" i="4"/>
  <c r="BG642" i="4" s="1"/>
  <c r="BF646" i="4"/>
  <c r="BG646" i="4" s="1"/>
  <c r="BF650" i="4"/>
  <c r="BG650" i="4" s="1"/>
  <c r="BF654" i="4"/>
  <c r="BG654" i="4" s="1"/>
  <c r="BF658" i="4"/>
  <c r="BG658" i="4" s="1"/>
  <c r="BF662" i="4"/>
  <c r="BG662" i="4" s="1"/>
  <c r="BF666" i="4"/>
  <c r="BG666" i="4" s="1"/>
  <c r="BF670" i="4"/>
  <c r="BG670" i="4" s="1"/>
  <c r="BF674" i="4"/>
  <c r="BG674" i="4" s="1"/>
  <c r="BF678" i="4"/>
  <c r="BG678" i="4" s="1"/>
  <c r="BF682" i="4"/>
  <c r="BG682" i="4" s="1"/>
  <c r="BF686" i="4"/>
  <c r="BG686" i="4" s="1"/>
  <c r="BF690" i="4"/>
  <c r="BG690" i="4" s="1"/>
  <c r="BF694" i="4"/>
  <c r="BG694" i="4" s="1"/>
  <c r="BF698" i="4"/>
  <c r="BG698" i="4" s="1"/>
  <c r="BF702" i="4"/>
  <c r="BG702" i="4" s="1"/>
  <c r="BF706" i="4"/>
  <c r="BG706" i="4" s="1"/>
  <c r="BF710" i="4"/>
  <c r="BG710" i="4" s="1"/>
  <c r="BF714" i="4"/>
  <c r="BG714" i="4" s="1"/>
  <c r="BF718" i="4"/>
  <c r="BG718" i="4" s="1"/>
  <c r="BF722" i="4"/>
  <c r="BG722" i="4" s="1"/>
  <c r="BF726" i="4"/>
  <c r="BG726" i="4" s="1"/>
  <c r="BF730" i="4"/>
  <c r="BG730" i="4" s="1"/>
  <c r="BF734" i="4"/>
  <c r="BG734" i="4" s="1"/>
  <c r="BF738" i="4"/>
  <c r="BG738" i="4" s="1"/>
  <c r="BF742" i="4"/>
  <c r="BG742" i="4" s="1"/>
  <c r="BF746" i="4"/>
  <c r="BG746" i="4" s="1"/>
  <c r="BF750" i="4"/>
  <c r="BG750" i="4" s="1"/>
  <c r="BF754" i="4"/>
  <c r="BG754" i="4" s="1"/>
  <c r="BF758" i="4"/>
  <c r="BG758" i="4" s="1"/>
  <c r="BF762" i="4"/>
  <c r="BG762" i="4" s="1"/>
  <c r="BF766" i="4"/>
  <c r="BG766" i="4" s="1"/>
  <c r="BF770" i="4"/>
  <c r="BG770" i="4" s="1"/>
  <c r="BF774" i="4"/>
  <c r="BG774" i="4" s="1"/>
  <c r="BF778" i="4"/>
  <c r="BG778" i="4" s="1"/>
  <c r="BF782" i="4"/>
  <c r="BG782" i="4" s="1"/>
  <c r="BF786" i="4"/>
  <c r="BG786" i="4" s="1"/>
  <c r="BF790" i="4"/>
  <c r="BG790" i="4" s="1"/>
  <c r="BF794" i="4"/>
  <c r="BG794" i="4" s="1"/>
  <c r="BF798" i="4"/>
  <c r="BG798" i="4" s="1"/>
  <c r="BF802" i="4"/>
  <c r="BG802" i="4" s="1"/>
  <c r="BF806" i="4"/>
  <c r="BG806" i="4" s="1"/>
  <c r="BF810" i="4"/>
  <c r="BG810" i="4" s="1"/>
  <c r="BF814" i="4"/>
  <c r="BG814" i="4" s="1"/>
  <c r="BF818" i="4"/>
  <c r="BG818" i="4" s="1"/>
  <c r="BF822" i="4"/>
  <c r="BG822" i="4" s="1"/>
  <c r="BF826" i="4"/>
  <c r="BG826" i="4" s="1"/>
  <c r="BF830" i="4"/>
  <c r="BG830" i="4" s="1"/>
  <c r="BF834" i="4"/>
  <c r="BG834" i="4" s="1"/>
  <c r="BF838" i="4"/>
  <c r="BG838" i="4" s="1"/>
  <c r="BF842" i="4"/>
  <c r="BG842" i="4" s="1"/>
  <c r="BF846" i="4"/>
  <c r="BG846" i="4" s="1"/>
  <c r="BF850" i="4"/>
  <c r="BG850" i="4" s="1"/>
  <c r="BH1032" i="4"/>
  <c r="BF15" i="4"/>
  <c r="BG15" i="4" s="1"/>
  <c r="BF47" i="4"/>
  <c r="BG47" i="4" s="1"/>
  <c r="BF63" i="4"/>
  <c r="BG63" i="4" s="1"/>
  <c r="BF79" i="4"/>
  <c r="BG79" i="4" s="1"/>
  <c r="BF95" i="4"/>
  <c r="BG95" i="4" s="1"/>
  <c r="BF111" i="4"/>
  <c r="BG111" i="4" s="1"/>
  <c r="BF127" i="4"/>
  <c r="BG127" i="4" s="1"/>
  <c r="BF143" i="4"/>
  <c r="BG143" i="4" s="1"/>
  <c r="BF159" i="4"/>
  <c r="BG159" i="4" s="1"/>
  <c r="BF175" i="4"/>
  <c r="BG175" i="4" s="1"/>
  <c r="BF191" i="4"/>
  <c r="BG191" i="4" s="1"/>
  <c r="BF207" i="4"/>
  <c r="BG207" i="4" s="1"/>
  <c r="BF223" i="4"/>
  <c r="BG223" i="4" s="1"/>
  <c r="BF239" i="4"/>
  <c r="BG239" i="4" s="1"/>
  <c r="BF255" i="4"/>
  <c r="BG255" i="4" s="1"/>
  <c r="BF271" i="4"/>
  <c r="BG271" i="4" s="1"/>
  <c r="BF280" i="4"/>
  <c r="BG280" i="4" s="1"/>
  <c r="BF284" i="4"/>
  <c r="BG284" i="4" s="1"/>
  <c r="BF288" i="4"/>
  <c r="BG288" i="4" s="1"/>
  <c r="BF292" i="4"/>
  <c r="BG292" i="4" s="1"/>
  <c r="BF296" i="4"/>
  <c r="BG296" i="4" s="1"/>
  <c r="BF300" i="4"/>
  <c r="BG300" i="4" s="1"/>
  <c r="BF304" i="4"/>
  <c r="BG304" i="4" s="1"/>
  <c r="BF308" i="4"/>
  <c r="BG308" i="4" s="1"/>
  <c r="BF312" i="4"/>
  <c r="BG312" i="4" s="1"/>
  <c r="BF316" i="4"/>
  <c r="BG316" i="4" s="1"/>
  <c r="BF320" i="4"/>
  <c r="BG320" i="4" s="1"/>
  <c r="BF324" i="4"/>
  <c r="BG324" i="4" s="1"/>
  <c r="BF328" i="4"/>
  <c r="BG328" i="4" s="1"/>
  <c r="BF332" i="4"/>
  <c r="BG332" i="4" s="1"/>
  <c r="BF336" i="4"/>
  <c r="BG336" i="4" s="1"/>
  <c r="BF340" i="4"/>
  <c r="BG340" i="4" s="1"/>
  <c r="BF344" i="4"/>
  <c r="BG344" i="4" s="1"/>
  <c r="BF348" i="4"/>
  <c r="BG348" i="4" s="1"/>
  <c r="BF352" i="4"/>
  <c r="BG352" i="4" s="1"/>
  <c r="BF356" i="4"/>
  <c r="BG356" i="4" s="1"/>
  <c r="BF360" i="4"/>
  <c r="BG360" i="4" s="1"/>
  <c r="BF364" i="4"/>
  <c r="BG364" i="4" s="1"/>
  <c r="BF368" i="4"/>
  <c r="BG368" i="4" s="1"/>
  <c r="BF372" i="4"/>
  <c r="BG372" i="4" s="1"/>
  <c r="BF376" i="4"/>
  <c r="BG376" i="4" s="1"/>
  <c r="BF380" i="4"/>
  <c r="BG380" i="4" s="1"/>
  <c r="BF384" i="4"/>
  <c r="BG384" i="4" s="1"/>
  <c r="BF388" i="4"/>
  <c r="BG388" i="4" s="1"/>
  <c r="BF392" i="4"/>
  <c r="BG392" i="4" s="1"/>
  <c r="BF396" i="4"/>
  <c r="BG396" i="4" s="1"/>
  <c r="BF400" i="4"/>
  <c r="BG400" i="4" s="1"/>
  <c r="BF404" i="4"/>
  <c r="BG404" i="4" s="1"/>
  <c r="BF408" i="4"/>
  <c r="BG408" i="4" s="1"/>
  <c r="BF412" i="4"/>
  <c r="BG412" i="4" s="1"/>
  <c r="BF416" i="4"/>
  <c r="BG416" i="4" s="1"/>
  <c r="BF420" i="4"/>
  <c r="BG420" i="4" s="1"/>
  <c r="BF424" i="4"/>
  <c r="BG424" i="4" s="1"/>
  <c r="BF428" i="4"/>
  <c r="BG428" i="4" s="1"/>
  <c r="BF432" i="4"/>
  <c r="BG432" i="4" s="1"/>
  <c r="BF436" i="4"/>
  <c r="BG436" i="4" s="1"/>
  <c r="BF440" i="4"/>
  <c r="BG440" i="4" s="1"/>
  <c r="BF444" i="4"/>
  <c r="BG444" i="4" s="1"/>
  <c r="BF448" i="4"/>
  <c r="BG448" i="4" s="1"/>
  <c r="BF452" i="4"/>
  <c r="BG452" i="4" s="1"/>
  <c r="BF456" i="4"/>
  <c r="BG456" i="4" s="1"/>
  <c r="BF460" i="4"/>
  <c r="BG460" i="4" s="1"/>
  <c r="BF464" i="4"/>
  <c r="BG464" i="4" s="1"/>
  <c r="BF468" i="4"/>
  <c r="BG468" i="4" s="1"/>
  <c r="BF472" i="4"/>
  <c r="BG472" i="4" s="1"/>
  <c r="BF476" i="4"/>
  <c r="BG476" i="4" s="1"/>
  <c r="BF480" i="4"/>
  <c r="BG480" i="4" s="1"/>
  <c r="BF484" i="4"/>
  <c r="BG484" i="4" s="1"/>
  <c r="BF488" i="4"/>
  <c r="BG488" i="4" s="1"/>
  <c r="BF492" i="4"/>
  <c r="BG492" i="4" s="1"/>
  <c r="BF496" i="4"/>
  <c r="BG496" i="4" s="1"/>
  <c r="BF500" i="4"/>
  <c r="BG500" i="4" s="1"/>
  <c r="BF504" i="4"/>
  <c r="BG504" i="4" s="1"/>
  <c r="BF508" i="4"/>
  <c r="BG508" i="4" s="1"/>
  <c r="BF512" i="4"/>
  <c r="BG512" i="4" s="1"/>
  <c r="BF516" i="4"/>
  <c r="BG516" i="4" s="1"/>
  <c r="BF520" i="4"/>
  <c r="BG520" i="4" s="1"/>
  <c r="BF524" i="4"/>
  <c r="BG524" i="4" s="1"/>
  <c r="BF528" i="4"/>
  <c r="BG528" i="4" s="1"/>
  <c r="BF532" i="4"/>
  <c r="BG532" i="4" s="1"/>
  <c r="BF536" i="4"/>
  <c r="BG536" i="4" s="1"/>
  <c r="BF540" i="4"/>
  <c r="BG540" i="4" s="1"/>
  <c r="BF544" i="4"/>
  <c r="BG544" i="4" s="1"/>
  <c r="BF548" i="4"/>
  <c r="BG548" i="4" s="1"/>
  <c r="BF552" i="4"/>
  <c r="BG552" i="4" s="1"/>
  <c r="BF556" i="4"/>
  <c r="BG556" i="4" s="1"/>
  <c r="BF560" i="4"/>
  <c r="BG560" i="4" s="1"/>
  <c r="BF564" i="4"/>
  <c r="BG564" i="4" s="1"/>
  <c r="BF568" i="4"/>
  <c r="BG568" i="4" s="1"/>
  <c r="BF572" i="4"/>
  <c r="BG572" i="4" s="1"/>
  <c r="BF576" i="4"/>
  <c r="BG576" i="4" s="1"/>
  <c r="BF580" i="4"/>
  <c r="BG580" i="4" s="1"/>
  <c r="BF584" i="4"/>
  <c r="BG584" i="4" s="1"/>
  <c r="BF588" i="4"/>
  <c r="BG588" i="4" s="1"/>
  <c r="BF592" i="4"/>
  <c r="BG592" i="4" s="1"/>
  <c r="BF596" i="4"/>
  <c r="BG596" i="4" s="1"/>
  <c r="BF600" i="4"/>
  <c r="BG600" i="4" s="1"/>
  <c r="BF604" i="4"/>
  <c r="BG604" i="4" s="1"/>
  <c r="BF608" i="4"/>
  <c r="BG608" i="4" s="1"/>
  <c r="BF612" i="4"/>
  <c r="BG612" i="4" s="1"/>
  <c r="BF616" i="4"/>
  <c r="BG616" i="4" s="1"/>
  <c r="BF620" i="4"/>
  <c r="BG620" i="4" s="1"/>
  <c r="BF624" i="4"/>
  <c r="BG624" i="4" s="1"/>
  <c r="BF628" i="4"/>
  <c r="BG628" i="4" s="1"/>
  <c r="BF632" i="4"/>
  <c r="BG632" i="4" s="1"/>
  <c r="BF636" i="4"/>
  <c r="BG636" i="4" s="1"/>
  <c r="BF640" i="4"/>
  <c r="BG640" i="4" s="1"/>
  <c r="BF644" i="4"/>
  <c r="BG644" i="4" s="1"/>
  <c r="BF648" i="4"/>
  <c r="BG648" i="4" s="1"/>
  <c r="BF652" i="4"/>
  <c r="BG652" i="4" s="1"/>
  <c r="BF656" i="4"/>
  <c r="BG656" i="4" s="1"/>
  <c r="BF660" i="4"/>
  <c r="BG660" i="4" s="1"/>
  <c r="BF664" i="4"/>
  <c r="BG664" i="4" s="1"/>
  <c r="BF668" i="4"/>
  <c r="BG668" i="4" s="1"/>
  <c r="BF672" i="4"/>
  <c r="BG672" i="4" s="1"/>
  <c r="BF676" i="4"/>
  <c r="BG676" i="4" s="1"/>
  <c r="BF680" i="4"/>
  <c r="BG680" i="4" s="1"/>
  <c r="BF684" i="4"/>
  <c r="BG684" i="4" s="1"/>
  <c r="BF688" i="4"/>
  <c r="BG688" i="4" s="1"/>
  <c r="BF692" i="4"/>
  <c r="BG692" i="4" s="1"/>
  <c r="BF696" i="4"/>
  <c r="BG696" i="4" s="1"/>
  <c r="BF700" i="4"/>
  <c r="BG700" i="4" s="1"/>
  <c r="BF704" i="4"/>
  <c r="BG704" i="4" s="1"/>
  <c r="BF708" i="4"/>
  <c r="BG708" i="4" s="1"/>
  <c r="BF712" i="4"/>
  <c r="BG712" i="4" s="1"/>
  <c r="BF716" i="4"/>
  <c r="BG716" i="4" s="1"/>
  <c r="BF720" i="4"/>
  <c r="BG720" i="4" s="1"/>
  <c r="BF724" i="4"/>
  <c r="BG724" i="4" s="1"/>
  <c r="BF728" i="4"/>
  <c r="BG728" i="4" s="1"/>
  <c r="BF732" i="4"/>
  <c r="BG732" i="4" s="1"/>
  <c r="BF736" i="4"/>
  <c r="BG736" i="4" s="1"/>
  <c r="BF740" i="4"/>
  <c r="BG740" i="4" s="1"/>
  <c r="BF744" i="4"/>
  <c r="BG744" i="4" s="1"/>
  <c r="BF748" i="4"/>
  <c r="BG748" i="4" s="1"/>
  <c r="BF752" i="4"/>
  <c r="BG752" i="4" s="1"/>
  <c r="BF756" i="4"/>
  <c r="BG756" i="4" s="1"/>
  <c r="BF760" i="4"/>
  <c r="BG760" i="4" s="1"/>
  <c r="BF764" i="4"/>
  <c r="BG764" i="4" s="1"/>
  <c r="BF768" i="4"/>
  <c r="BG768" i="4" s="1"/>
  <c r="BF772" i="4"/>
  <c r="BG772" i="4" s="1"/>
  <c r="BF776" i="4"/>
  <c r="BG776" i="4" s="1"/>
  <c r="BF780" i="4"/>
  <c r="BG780" i="4" s="1"/>
  <c r="BF75" i="4"/>
  <c r="BG75" i="4" s="1"/>
  <c r="BF139" i="4"/>
  <c r="BG139" i="4" s="1"/>
  <c r="BF203" i="4"/>
  <c r="BG203" i="4" s="1"/>
  <c r="BF267" i="4"/>
  <c r="BG267" i="4" s="1"/>
  <c r="BF291" i="4"/>
  <c r="BG291" i="4" s="1"/>
  <c r="BF307" i="4"/>
  <c r="BG307" i="4" s="1"/>
  <c r="BF323" i="4"/>
  <c r="BG323" i="4" s="1"/>
  <c r="BF339" i="4"/>
  <c r="BG339" i="4" s="1"/>
  <c r="BF355" i="4"/>
  <c r="BG355" i="4" s="1"/>
  <c r="BF371" i="4"/>
  <c r="BG371" i="4" s="1"/>
  <c r="BF387" i="4"/>
  <c r="BG387" i="4" s="1"/>
  <c r="BF403" i="4"/>
  <c r="BG403" i="4" s="1"/>
  <c r="BF419" i="4"/>
  <c r="BG419" i="4" s="1"/>
  <c r="BF435" i="4"/>
  <c r="BG435" i="4" s="1"/>
  <c r="BF451" i="4"/>
  <c r="BG451" i="4" s="1"/>
  <c r="BF467" i="4"/>
  <c r="BG467" i="4" s="1"/>
  <c r="BF483" i="4"/>
  <c r="BG483" i="4" s="1"/>
  <c r="BF499" i="4"/>
  <c r="BG499" i="4" s="1"/>
  <c r="BF515" i="4"/>
  <c r="BG515" i="4" s="1"/>
  <c r="BF531" i="4"/>
  <c r="BG531" i="4" s="1"/>
  <c r="BF547" i="4"/>
  <c r="BG547" i="4" s="1"/>
  <c r="BF563" i="4"/>
  <c r="BG563" i="4" s="1"/>
  <c r="BF579" i="4"/>
  <c r="BG579" i="4" s="1"/>
  <c r="BF595" i="4"/>
  <c r="BG595" i="4" s="1"/>
  <c r="BF611" i="4"/>
  <c r="BG611" i="4" s="1"/>
  <c r="BF627" i="4"/>
  <c r="BG627" i="4" s="1"/>
  <c r="BF643" i="4"/>
  <c r="BG643" i="4" s="1"/>
  <c r="BF659" i="4"/>
  <c r="BG659" i="4" s="1"/>
  <c r="BF675" i="4"/>
  <c r="BG675" i="4" s="1"/>
  <c r="BF691" i="4"/>
  <c r="BG691" i="4" s="1"/>
  <c r="BF707" i="4"/>
  <c r="BG707" i="4" s="1"/>
  <c r="BF723" i="4"/>
  <c r="BG723" i="4" s="1"/>
  <c r="BF739" i="4"/>
  <c r="BG739" i="4" s="1"/>
  <c r="BF755" i="4"/>
  <c r="BG755" i="4" s="1"/>
  <c r="BF771" i="4"/>
  <c r="BG771" i="4" s="1"/>
  <c r="BF784" i="4"/>
  <c r="BG784" i="4" s="1"/>
  <c r="BF792" i="4"/>
  <c r="BG792" i="4" s="1"/>
  <c r="BF800" i="4"/>
  <c r="BG800" i="4" s="1"/>
  <c r="BF808" i="4"/>
  <c r="BG808" i="4" s="1"/>
  <c r="BF816" i="4"/>
  <c r="BG816" i="4" s="1"/>
  <c r="BF824" i="4"/>
  <c r="BG824" i="4" s="1"/>
  <c r="BF832" i="4"/>
  <c r="BG832" i="4" s="1"/>
  <c r="BF840" i="4"/>
  <c r="BG840" i="4" s="1"/>
  <c r="BF848" i="4"/>
  <c r="BG848" i="4" s="1"/>
  <c r="BF855" i="4"/>
  <c r="BG855" i="4" s="1"/>
  <c r="BF860" i="4"/>
  <c r="BG860" i="4" s="1"/>
  <c r="BF866" i="4"/>
  <c r="BG866" i="4" s="1"/>
  <c r="BF871" i="4"/>
  <c r="BG871" i="4" s="1"/>
  <c r="BF875" i="4"/>
  <c r="BG875" i="4" s="1"/>
  <c r="BF879" i="4"/>
  <c r="BG879" i="4" s="1"/>
  <c r="BF883" i="4"/>
  <c r="BG883" i="4" s="1"/>
  <c r="BF887" i="4"/>
  <c r="BG887" i="4" s="1"/>
  <c r="BF891" i="4"/>
  <c r="BG891" i="4" s="1"/>
  <c r="BF895" i="4"/>
  <c r="BG895" i="4" s="1"/>
  <c r="BF899" i="4"/>
  <c r="BG899" i="4" s="1"/>
  <c r="BF903" i="4"/>
  <c r="BG903" i="4" s="1"/>
  <c r="BF907" i="4"/>
  <c r="BG907" i="4" s="1"/>
  <c r="BF911" i="4"/>
  <c r="BG911" i="4" s="1"/>
  <c r="BF915" i="4"/>
  <c r="BG915" i="4" s="1"/>
  <c r="BF919" i="4"/>
  <c r="BG919" i="4" s="1"/>
  <c r="BF923" i="4"/>
  <c r="BG923" i="4" s="1"/>
  <c r="BF927" i="4"/>
  <c r="BG927" i="4" s="1"/>
  <c r="BF931" i="4"/>
  <c r="BG931" i="4" s="1"/>
  <c r="BF935" i="4"/>
  <c r="BG935" i="4" s="1"/>
  <c r="BF939" i="4"/>
  <c r="BG939" i="4" s="1"/>
  <c r="BF943" i="4"/>
  <c r="BG943" i="4" s="1"/>
  <c r="BF947" i="4"/>
  <c r="BG947" i="4" s="1"/>
  <c r="BF951" i="4"/>
  <c r="BG951" i="4" s="1"/>
  <c r="BF955" i="4"/>
  <c r="BG955" i="4" s="1"/>
  <c r="BF959" i="4"/>
  <c r="BG959" i="4" s="1"/>
  <c r="BF963" i="4"/>
  <c r="BG963" i="4" s="1"/>
  <c r="BF967" i="4"/>
  <c r="BG967" i="4" s="1"/>
  <c r="BF971" i="4"/>
  <c r="BG971" i="4" s="1"/>
  <c r="BF975" i="4"/>
  <c r="BG975" i="4" s="1"/>
  <c r="BF979" i="4"/>
  <c r="BG979" i="4" s="1"/>
  <c r="BF983" i="4"/>
  <c r="BG983" i="4" s="1"/>
  <c r="BF987" i="4"/>
  <c r="BG987" i="4" s="1"/>
  <c r="BF991" i="4"/>
  <c r="BG991" i="4" s="1"/>
  <c r="BF995" i="4"/>
  <c r="BG995" i="4" s="1"/>
  <c r="BF999" i="4"/>
  <c r="BG999" i="4" s="1"/>
  <c r="BF1003" i="4"/>
  <c r="BG1003" i="4" s="1"/>
  <c r="BF1007" i="4"/>
  <c r="BG1007" i="4" s="1"/>
  <c r="BF1011" i="4"/>
  <c r="BG1011" i="4" s="1"/>
  <c r="BF1015" i="4"/>
  <c r="BG1015" i="4" s="1"/>
  <c r="BF1019" i="4"/>
  <c r="BG1019" i="4" s="1"/>
  <c r="BF1023" i="4"/>
  <c r="BG1023" i="4" s="1"/>
  <c r="BF1027" i="4"/>
  <c r="BG1027" i="4" s="1"/>
  <c r="BF1031" i="4"/>
  <c r="BG1031" i="4" s="1"/>
  <c r="BF1035" i="4"/>
  <c r="BG1035" i="4" s="1"/>
  <c r="BF1039" i="4"/>
  <c r="BG1039" i="4" s="1"/>
  <c r="BF1043" i="4"/>
  <c r="BG1043" i="4" s="1"/>
  <c r="BF1047" i="4"/>
  <c r="BG1047" i="4" s="1"/>
  <c r="BF1051" i="4"/>
  <c r="BG1051" i="4" s="1"/>
  <c r="BF1055" i="4"/>
  <c r="BG1055" i="4" s="1"/>
  <c r="BF1059" i="4"/>
  <c r="BG1059" i="4" s="1"/>
  <c r="BF1063" i="4"/>
  <c r="BG1063" i="4" s="1"/>
  <c r="BF1067" i="4"/>
  <c r="BG1067" i="4" s="1"/>
  <c r="BF1071" i="4"/>
  <c r="BG1071" i="4" s="1"/>
  <c r="BF25" i="4"/>
  <c r="BG25" i="4" s="1"/>
  <c r="BF29" i="4"/>
  <c r="BG29" i="4" s="1"/>
  <c r="BF107" i="4"/>
  <c r="BG107" i="4" s="1"/>
  <c r="BF171" i="4"/>
  <c r="BG171" i="4" s="1"/>
  <c r="BF235" i="4"/>
  <c r="BG235" i="4" s="1"/>
  <c r="BF299" i="4"/>
  <c r="BG299" i="4" s="1"/>
  <c r="BF331" i="4"/>
  <c r="BG331" i="4" s="1"/>
  <c r="BF363" i="4"/>
  <c r="BG363" i="4" s="1"/>
  <c r="BF395" i="4"/>
  <c r="BG395" i="4" s="1"/>
  <c r="BF427" i="4"/>
  <c r="BG427" i="4" s="1"/>
  <c r="BF459" i="4"/>
  <c r="BG459" i="4" s="1"/>
  <c r="BF491" i="4"/>
  <c r="BG491" i="4" s="1"/>
  <c r="BF523" i="4"/>
  <c r="BG523" i="4" s="1"/>
  <c r="BF555" i="4"/>
  <c r="BG555" i="4" s="1"/>
  <c r="BF603" i="4"/>
  <c r="BG603" i="4" s="1"/>
  <c r="BF619" i="4"/>
  <c r="BG619" i="4" s="1"/>
  <c r="BF651" i="4"/>
  <c r="BG651" i="4" s="1"/>
  <c r="BF683" i="4"/>
  <c r="BG683" i="4" s="1"/>
  <c r="BF715" i="4"/>
  <c r="BG715" i="4" s="1"/>
  <c r="BF747" i="4"/>
  <c r="BG747" i="4" s="1"/>
  <c r="BF779" i="4"/>
  <c r="BG779" i="4" s="1"/>
  <c r="BF796" i="4"/>
  <c r="BG796" i="4" s="1"/>
  <c r="BF812" i="4"/>
  <c r="BG812" i="4" s="1"/>
  <c r="BF828" i="4"/>
  <c r="BG828" i="4" s="1"/>
  <c r="BF844" i="4"/>
  <c r="BG844" i="4" s="1"/>
  <c r="BF858" i="4"/>
  <c r="BG858" i="4" s="1"/>
  <c r="BF868" i="4"/>
  <c r="BG868" i="4" s="1"/>
  <c r="BF877" i="4"/>
  <c r="BG877" i="4" s="1"/>
  <c r="BF885" i="4"/>
  <c r="BG885" i="4" s="1"/>
  <c r="BF893" i="4"/>
  <c r="BG893" i="4" s="1"/>
  <c r="BF901" i="4"/>
  <c r="BG901" i="4" s="1"/>
  <c r="BF909" i="4"/>
  <c r="BG909" i="4" s="1"/>
  <c r="BF917" i="4"/>
  <c r="BG917" i="4" s="1"/>
  <c r="BF925" i="4"/>
  <c r="BG925" i="4" s="1"/>
  <c r="BF933" i="4"/>
  <c r="BG933" i="4" s="1"/>
  <c r="BF941" i="4"/>
  <c r="BG941" i="4" s="1"/>
  <c r="BF949" i="4"/>
  <c r="BG949" i="4" s="1"/>
  <c r="BF961" i="4"/>
  <c r="BG961" i="4" s="1"/>
  <c r="BF969" i="4"/>
  <c r="BG969" i="4" s="1"/>
  <c r="BF977" i="4"/>
  <c r="BG977" i="4" s="1"/>
  <c r="BF981" i="4"/>
  <c r="BG981" i="4" s="1"/>
  <c r="BF989" i="4"/>
  <c r="BG989" i="4" s="1"/>
  <c r="BF997" i="4"/>
  <c r="BG997" i="4" s="1"/>
  <c r="BF1005" i="4"/>
  <c r="BG1005" i="4" s="1"/>
  <c r="BF1013" i="4"/>
  <c r="BG1013" i="4" s="1"/>
  <c r="BF1025" i="4"/>
  <c r="BG1025" i="4" s="1"/>
  <c r="BF1033" i="4"/>
  <c r="BG1033" i="4" s="1"/>
  <c r="BF1041" i="4"/>
  <c r="BG1041" i="4" s="1"/>
  <c r="BF1049" i="4"/>
  <c r="BG1049" i="4" s="1"/>
  <c r="BF1057" i="4"/>
  <c r="BG1057" i="4" s="1"/>
  <c r="BF1065" i="4"/>
  <c r="BG1065" i="4" s="1"/>
  <c r="BF23" i="4"/>
  <c r="BG23" i="4" s="1"/>
  <c r="BF930" i="4"/>
  <c r="BG930" i="4" s="1"/>
  <c r="BF950" i="4"/>
  <c r="BG950" i="4" s="1"/>
  <c r="BF962" i="4"/>
  <c r="BG962" i="4" s="1"/>
  <c r="BF974" i="4"/>
  <c r="BG974" i="4" s="1"/>
  <c r="BF986" i="4"/>
  <c r="BG986" i="4" s="1"/>
  <c r="BF998" i="4"/>
  <c r="BG998" i="4" s="1"/>
  <c r="BF1002" i="4"/>
  <c r="BG1002" i="4" s="1"/>
  <c r="BF1014" i="4"/>
  <c r="BG1014" i="4" s="1"/>
  <c r="BF1026" i="4"/>
  <c r="BG1026" i="4" s="1"/>
  <c r="BF1038" i="4"/>
  <c r="BG1038" i="4" s="1"/>
  <c r="BF1046" i="4"/>
  <c r="BG1046" i="4" s="1"/>
  <c r="BF1058" i="4"/>
  <c r="BG1058" i="4" s="1"/>
  <c r="BF1070" i="4"/>
  <c r="BG1070" i="4" s="1"/>
  <c r="BF91" i="4"/>
  <c r="BG91" i="4" s="1"/>
  <c r="BF155" i="4"/>
  <c r="BG155" i="4" s="1"/>
  <c r="BF219" i="4"/>
  <c r="BG219" i="4" s="1"/>
  <c r="BF279" i="4"/>
  <c r="BG279" i="4" s="1"/>
  <c r="BF295" i="4"/>
  <c r="BG295" i="4" s="1"/>
  <c r="BF311" i="4"/>
  <c r="BG311" i="4" s="1"/>
  <c r="BF327" i="4"/>
  <c r="BG327" i="4" s="1"/>
  <c r="BF343" i="4"/>
  <c r="BG343" i="4" s="1"/>
  <c r="BF359" i="4"/>
  <c r="BG359" i="4" s="1"/>
  <c r="BF375" i="4"/>
  <c r="BG375" i="4" s="1"/>
  <c r="BF391" i="4"/>
  <c r="BG391" i="4" s="1"/>
  <c r="BF407" i="4"/>
  <c r="BG407" i="4" s="1"/>
  <c r="BF423" i="4"/>
  <c r="BG423" i="4" s="1"/>
  <c r="BF439" i="4"/>
  <c r="BG439" i="4" s="1"/>
  <c r="BF455" i="4"/>
  <c r="BG455" i="4" s="1"/>
  <c r="BF471" i="4"/>
  <c r="BG471" i="4" s="1"/>
  <c r="BF487" i="4"/>
  <c r="BG487" i="4" s="1"/>
  <c r="BF503" i="4"/>
  <c r="BG503" i="4" s="1"/>
  <c r="BF519" i="4"/>
  <c r="BG519" i="4" s="1"/>
  <c r="BF535" i="4"/>
  <c r="BG535" i="4" s="1"/>
  <c r="BF551" i="4"/>
  <c r="BG551" i="4" s="1"/>
  <c r="BF567" i="4"/>
  <c r="BG567" i="4" s="1"/>
  <c r="BF583" i="4"/>
  <c r="BG583" i="4" s="1"/>
  <c r="BF599" i="4"/>
  <c r="BG599" i="4" s="1"/>
  <c r="BF615" i="4"/>
  <c r="BG615" i="4" s="1"/>
  <c r="BF631" i="4"/>
  <c r="BG631" i="4" s="1"/>
  <c r="BF647" i="4"/>
  <c r="BG647" i="4" s="1"/>
  <c r="BF663" i="4"/>
  <c r="BG663" i="4" s="1"/>
  <c r="BF679" i="4"/>
  <c r="BG679" i="4" s="1"/>
  <c r="BF695" i="4"/>
  <c r="BG695" i="4" s="1"/>
  <c r="BF711" i="4"/>
  <c r="BG711" i="4" s="1"/>
  <c r="BF727" i="4"/>
  <c r="BG727" i="4" s="1"/>
  <c r="BF743" i="4"/>
  <c r="BG743" i="4" s="1"/>
  <c r="BF759" i="4"/>
  <c r="BG759" i="4" s="1"/>
  <c r="BF775" i="4"/>
  <c r="BG775" i="4" s="1"/>
  <c r="BF787" i="4"/>
  <c r="BG787" i="4" s="1"/>
  <c r="BF795" i="4"/>
  <c r="BG795" i="4" s="1"/>
  <c r="BF803" i="4"/>
  <c r="BG803" i="4" s="1"/>
  <c r="BF811" i="4"/>
  <c r="BG811" i="4" s="1"/>
  <c r="BF819" i="4"/>
  <c r="BG819" i="4" s="1"/>
  <c r="BF827" i="4"/>
  <c r="BG827" i="4" s="1"/>
  <c r="BF835" i="4"/>
  <c r="BG835" i="4" s="1"/>
  <c r="BF843" i="4"/>
  <c r="BG843" i="4" s="1"/>
  <c r="BF851" i="4"/>
  <c r="BG851" i="4" s="1"/>
  <c r="BF856" i="4"/>
  <c r="BG856" i="4" s="1"/>
  <c r="BF862" i="4"/>
  <c r="BG862" i="4" s="1"/>
  <c r="BF867" i="4"/>
  <c r="BG867" i="4" s="1"/>
  <c r="BF872" i="4"/>
  <c r="BG872" i="4" s="1"/>
  <c r="BF876" i="4"/>
  <c r="BG876" i="4" s="1"/>
  <c r="BF880" i="4"/>
  <c r="BG880" i="4" s="1"/>
  <c r="BF884" i="4"/>
  <c r="BG884" i="4" s="1"/>
  <c r="BF888" i="4"/>
  <c r="BG888" i="4" s="1"/>
  <c r="BF892" i="4"/>
  <c r="BG892" i="4" s="1"/>
  <c r="BF896" i="4"/>
  <c r="BG896" i="4" s="1"/>
  <c r="BF900" i="4"/>
  <c r="BG900" i="4" s="1"/>
  <c r="BF904" i="4"/>
  <c r="BG904" i="4" s="1"/>
  <c r="BF908" i="4"/>
  <c r="BG908" i="4" s="1"/>
  <c r="BF912" i="4"/>
  <c r="BG912" i="4" s="1"/>
  <c r="BF916" i="4"/>
  <c r="BG916" i="4" s="1"/>
  <c r="BF920" i="4"/>
  <c r="BG920" i="4" s="1"/>
  <c r="BF924" i="4"/>
  <c r="BG924" i="4" s="1"/>
  <c r="BF928" i="4"/>
  <c r="BG928" i="4" s="1"/>
  <c r="BF932" i="4"/>
  <c r="BG932" i="4" s="1"/>
  <c r="BF936" i="4"/>
  <c r="BG936" i="4" s="1"/>
  <c r="BF940" i="4"/>
  <c r="BG940" i="4" s="1"/>
  <c r="BF944" i="4"/>
  <c r="BG944" i="4" s="1"/>
  <c r="BF948" i="4"/>
  <c r="BG948" i="4" s="1"/>
  <c r="BF952" i="4"/>
  <c r="BG952" i="4" s="1"/>
  <c r="BF956" i="4"/>
  <c r="BG956" i="4" s="1"/>
  <c r="BF960" i="4"/>
  <c r="BG960" i="4" s="1"/>
  <c r="BF964" i="4"/>
  <c r="BG964" i="4" s="1"/>
  <c r="BF968" i="4"/>
  <c r="BG968" i="4" s="1"/>
  <c r="BF972" i="4"/>
  <c r="BG972" i="4" s="1"/>
  <c r="BF976" i="4"/>
  <c r="BG976" i="4" s="1"/>
  <c r="BF980" i="4"/>
  <c r="BG980" i="4" s="1"/>
  <c r="BF984" i="4"/>
  <c r="BG984" i="4" s="1"/>
  <c r="BF988" i="4"/>
  <c r="BG988" i="4" s="1"/>
  <c r="BF992" i="4"/>
  <c r="BG992" i="4" s="1"/>
  <c r="BF996" i="4"/>
  <c r="BG996" i="4" s="1"/>
  <c r="BF1000" i="4"/>
  <c r="BG1000" i="4" s="1"/>
  <c r="BF1004" i="4"/>
  <c r="BG1004" i="4" s="1"/>
  <c r="BF1008" i="4"/>
  <c r="BG1008" i="4" s="1"/>
  <c r="BF1012" i="4"/>
  <c r="BG1012" i="4" s="1"/>
  <c r="BF1016" i="4"/>
  <c r="BG1016" i="4" s="1"/>
  <c r="BF1020" i="4"/>
  <c r="BG1020" i="4" s="1"/>
  <c r="BF1024" i="4"/>
  <c r="BG1024" i="4" s="1"/>
  <c r="BF1028" i="4"/>
  <c r="BG1028" i="4" s="1"/>
  <c r="BF1032" i="4"/>
  <c r="BG1032" i="4" s="1"/>
  <c r="BF1036" i="4"/>
  <c r="BG1036" i="4" s="1"/>
  <c r="BF1040" i="4"/>
  <c r="BG1040" i="4" s="1"/>
  <c r="BF1044" i="4"/>
  <c r="BG1044" i="4" s="1"/>
  <c r="BF1048" i="4"/>
  <c r="BG1048" i="4" s="1"/>
  <c r="BF1052" i="4"/>
  <c r="BG1052" i="4" s="1"/>
  <c r="BF1056" i="4"/>
  <c r="BG1056" i="4" s="1"/>
  <c r="BF1060" i="4"/>
  <c r="BG1060" i="4" s="1"/>
  <c r="BF1064" i="4"/>
  <c r="BG1064" i="4" s="1"/>
  <c r="BF1068" i="4"/>
  <c r="BG1068" i="4" s="1"/>
  <c r="BF22" i="4"/>
  <c r="BG22" i="4" s="1"/>
  <c r="BF26" i="4"/>
  <c r="BG26" i="4" s="1"/>
  <c r="BF30" i="4"/>
  <c r="BG30" i="4" s="1"/>
  <c r="BF43" i="4"/>
  <c r="BG43" i="4" s="1"/>
  <c r="BF283" i="4"/>
  <c r="BG283" i="4" s="1"/>
  <c r="BF315" i="4"/>
  <c r="BG315" i="4" s="1"/>
  <c r="BF347" i="4"/>
  <c r="BG347" i="4" s="1"/>
  <c r="BF379" i="4"/>
  <c r="BG379" i="4" s="1"/>
  <c r="BF411" i="4"/>
  <c r="BG411" i="4" s="1"/>
  <c r="BF443" i="4"/>
  <c r="BG443" i="4" s="1"/>
  <c r="BF475" i="4"/>
  <c r="BG475" i="4" s="1"/>
  <c r="BF507" i="4"/>
  <c r="BG507" i="4" s="1"/>
  <c r="BF539" i="4"/>
  <c r="BG539" i="4" s="1"/>
  <c r="BF571" i="4"/>
  <c r="BG571" i="4" s="1"/>
  <c r="BF587" i="4"/>
  <c r="BG587" i="4" s="1"/>
  <c r="BF635" i="4"/>
  <c r="BG635" i="4" s="1"/>
  <c r="BF667" i="4"/>
  <c r="BG667" i="4" s="1"/>
  <c r="BF699" i="4"/>
  <c r="BG699" i="4" s="1"/>
  <c r="BF731" i="4"/>
  <c r="BG731" i="4" s="1"/>
  <c r="BF763" i="4"/>
  <c r="BG763" i="4" s="1"/>
  <c r="BF788" i="4"/>
  <c r="BG788" i="4" s="1"/>
  <c r="BF804" i="4"/>
  <c r="BG804" i="4" s="1"/>
  <c r="BF820" i="4"/>
  <c r="BG820" i="4" s="1"/>
  <c r="BF836" i="4"/>
  <c r="BG836" i="4" s="1"/>
  <c r="BF852" i="4"/>
  <c r="BG852" i="4" s="1"/>
  <c r="BF863" i="4"/>
  <c r="BG863" i="4" s="1"/>
  <c r="BF873" i="4"/>
  <c r="BG873" i="4" s="1"/>
  <c r="BF881" i="4"/>
  <c r="BG881" i="4" s="1"/>
  <c r="BF889" i="4"/>
  <c r="BG889" i="4" s="1"/>
  <c r="BF897" i="4"/>
  <c r="BG897" i="4" s="1"/>
  <c r="BF905" i="4"/>
  <c r="BG905" i="4" s="1"/>
  <c r="BF913" i="4"/>
  <c r="BG913" i="4" s="1"/>
  <c r="BF921" i="4"/>
  <c r="BG921" i="4" s="1"/>
  <c r="BF929" i="4"/>
  <c r="BG929" i="4" s="1"/>
  <c r="BF937" i="4"/>
  <c r="BG937" i="4" s="1"/>
  <c r="BF945" i="4"/>
  <c r="BG945" i="4" s="1"/>
  <c r="BF953" i="4"/>
  <c r="BG953" i="4" s="1"/>
  <c r="BF957" i="4"/>
  <c r="BG957" i="4" s="1"/>
  <c r="BF965" i="4"/>
  <c r="BG965" i="4" s="1"/>
  <c r="BF973" i="4"/>
  <c r="BG973" i="4" s="1"/>
  <c r="BF985" i="4"/>
  <c r="BG985" i="4" s="1"/>
  <c r="BF993" i="4"/>
  <c r="BG993" i="4" s="1"/>
  <c r="BF1001" i="4"/>
  <c r="BG1001" i="4" s="1"/>
  <c r="BF1009" i="4"/>
  <c r="BG1009" i="4" s="1"/>
  <c r="BF1017" i="4"/>
  <c r="BG1017" i="4" s="1"/>
  <c r="BF1021" i="4"/>
  <c r="BG1021" i="4" s="1"/>
  <c r="BF1029" i="4"/>
  <c r="BG1029" i="4" s="1"/>
  <c r="BF1037" i="4"/>
  <c r="BG1037" i="4" s="1"/>
  <c r="BF1045" i="4"/>
  <c r="BG1045" i="4" s="1"/>
  <c r="BF1053" i="4"/>
  <c r="BG1053" i="4" s="1"/>
  <c r="BF1061" i="4"/>
  <c r="BG1061" i="4" s="1"/>
  <c r="BF1069" i="4"/>
  <c r="BG1069" i="4" s="1"/>
  <c r="BF27" i="4"/>
  <c r="BG27" i="4" s="1"/>
  <c r="BF934" i="4"/>
  <c r="BG934" i="4" s="1"/>
  <c r="BF946" i="4"/>
  <c r="BG946" i="4" s="1"/>
  <c r="BF958" i="4"/>
  <c r="BG958" i="4" s="1"/>
  <c r="BF970" i="4"/>
  <c r="BG970" i="4" s="1"/>
  <c r="BF982" i="4"/>
  <c r="BG982" i="4" s="1"/>
  <c r="BF990" i="4"/>
  <c r="BG990" i="4" s="1"/>
  <c r="BF1006" i="4"/>
  <c r="BG1006" i="4" s="1"/>
  <c r="BF1018" i="4"/>
  <c r="BG1018" i="4" s="1"/>
  <c r="BF1030" i="4"/>
  <c r="BG1030" i="4" s="1"/>
  <c r="BF1042" i="4"/>
  <c r="BG1042" i="4" s="1"/>
  <c r="BF1054" i="4"/>
  <c r="BG1054" i="4" s="1"/>
  <c r="BF1066" i="4"/>
  <c r="BG1066" i="4" s="1"/>
  <c r="BF28" i="4"/>
  <c r="BG28" i="4" s="1"/>
  <c r="BF59" i="4"/>
  <c r="BG59" i="4" s="1"/>
  <c r="BF123" i="4"/>
  <c r="BG123" i="4" s="1"/>
  <c r="BF187" i="4"/>
  <c r="BG187" i="4" s="1"/>
  <c r="BF251" i="4"/>
  <c r="BG251" i="4" s="1"/>
  <c r="BF287" i="4"/>
  <c r="BG287" i="4" s="1"/>
  <c r="BF303" i="4"/>
  <c r="BG303" i="4" s="1"/>
  <c r="BF319" i="4"/>
  <c r="BG319" i="4" s="1"/>
  <c r="BF335" i="4"/>
  <c r="BG335" i="4" s="1"/>
  <c r="BF351" i="4"/>
  <c r="BG351" i="4" s="1"/>
  <c r="BF367" i="4"/>
  <c r="BG367" i="4" s="1"/>
  <c r="BF383" i="4"/>
  <c r="BG383" i="4" s="1"/>
  <c r="BF399" i="4"/>
  <c r="BG399" i="4" s="1"/>
  <c r="BF415" i="4"/>
  <c r="BG415" i="4" s="1"/>
  <c r="BF431" i="4"/>
  <c r="BG431" i="4" s="1"/>
  <c r="BF447" i="4"/>
  <c r="BG447" i="4" s="1"/>
  <c r="BF463" i="4"/>
  <c r="BG463" i="4" s="1"/>
  <c r="BF479" i="4"/>
  <c r="BG479" i="4" s="1"/>
  <c r="BF495" i="4"/>
  <c r="BG495" i="4" s="1"/>
  <c r="BF511" i="4"/>
  <c r="BG511" i="4" s="1"/>
  <c r="BF527" i="4"/>
  <c r="BG527" i="4" s="1"/>
  <c r="BF543" i="4"/>
  <c r="BG543" i="4" s="1"/>
  <c r="BF559" i="4"/>
  <c r="BG559" i="4" s="1"/>
  <c r="BF575" i="4"/>
  <c r="BG575" i="4" s="1"/>
  <c r="BF591" i="4"/>
  <c r="BG591" i="4" s="1"/>
  <c r="BF607" i="4"/>
  <c r="BG607" i="4" s="1"/>
  <c r="BF623" i="4"/>
  <c r="BG623" i="4" s="1"/>
  <c r="BF639" i="4"/>
  <c r="BG639" i="4" s="1"/>
  <c r="BF655" i="4"/>
  <c r="BG655" i="4" s="1"/>
  <c r="BF671" i="4"/>
  <c r="BG671" i="4" s="1"/>
  <c r="BF687" i="4"/>
  <c r="BG687" i="4" s="1"/>
  <c r="BF703" i="4"/>
  <c r="BG703" i="4" s="1"/>
  <c r="BF719" i="4"/>
  <c r="BG719" i="4" s="1"/>
  <c r="BF735" i="4"/>
  <c r="BG735" i="4" s="1"/>
  <c r="BF751" i="4"/>
  <c r="BG751" i="4" s="1"/>
  <c r="BF767" i="4"/>
  <c r="BG767" i="4" s="1"/>
  <c r="BF783" i="4"/>
  <c r="BG783" i="4" s="1"/>
  <c r="BF791" i="4"/>
  <c r="BG791" i="4" s="1"/>
  <c r="BF799" i="4"/>
  <c r="BG799" i="4" s="1"/>
  <c r="BF807" i="4"/>
  <c r="BG807" i="4" s="1"/>
  <c r="BF815" i="4"/>
  <c r="BG815" i="4" s="1"/>
  <c r="BF823" i="4"/>
  <c r="BG823" i="4" s="1"/>
  <c r="BF831" i="4"/>
  <c r="BG831" i="4" s="1"/>
  <c r="BF839" i="4"/>
  <c r="BG839" i="4" s="1"/>
  <c r="BF847" i="4"/>
  <c r="BG847" i="4" s="1"/>
  <c r="BF854" i="4"/>
  <c r="BG854" i="4" s="1"/>
  <c r="BF859" i="4"/>
  <c r="BG859" i="4" s="1"/>
  <c r="BF864" i="4"/>
  <c r="BG864" i="4" s="1"/>
  <c r="BF870" i="4"/>
  <c r="BG870" i="4" s="1"/>
  <c r="BF874" i="4"/>
  <c r="BG874" i="4" s="1"/>
  <c r="BF878" i="4"/>
  <c r="BG878" i="4" s="1"/>
  <c r="BF882" i="4"/>
  <c r="BG882" i="4" s="1"/>
  <c r="BF886" i="4"/>
  <c r="BG886" i="4" s="1"/>
  <c r="BF890" i="4"/>
  <c r="BG890" i="4" s="1"/>
  <c r="BF894" i="4"/>
  <c r="BG894" i="4" s="1"/>
  <c r="BF898" i="4"/>
  <c r="BG898" i="4" s="1"/>
  <c r="BF902" i="4"/>
  <c r="BG902" i="4" s="1"/>
  <c r="BF906" i="4"/>
  <c r="BG906" i="4" s="1"/>
  <c r="BF910" i="4"/>
  <c r="BG910" i="4" s="1"/>
  <c r="BF914" i="4"/>
  <c r="BG914" i="4" s="1"/>
  <c r="BF918" i="4"/>
  <c r="BG918" i="4" s="1"/>
  <c r="BF922" i="4"/>
  <c r="BG922" i="4" s="1"/>
  <c r="BF926" i="4"/>
  <c r="BG926" i="4" s="1"/>
  <c r="BF938" i="4"/>
  <c r="BG938" i="4" s="1"/>
  <c r="BF942" i="4"/>
  <c r="BG942" i="4" s="1"/>
  <c r="BF954" i="4"/>
  <c r="BG954" i="4" s="1"/>
  <c r="BF966" i="4"/>
  <c r="BG966" i="4" s="1"/>
  <c r="BF978" i="4"/>
  <c r="BG978" i="4" s="1"/>
  <c r="BF994" i="4"/>
  <c r="BG994" i="4" s="1"/>
  <c r="BF1010" i="4"/>
  <c r="BG1010" i="4" s="1"/>
  <c r="BF1022" i="4"/>
  <c r="BG1022" i="4" s="1"/>
  <c r="BF1034" i="4"/>
  <c r="BG1034" i="4" s="1"/>
  <c r="BF1050" i="4"/>
  <c r="BG1050" i="4" s="1"/>
  <c r="BF1062" i="4"/>
  <c r="BG1062" i="4" s="1"/>
  <c r="BF24" i="4"/>
  <c r="BG24" i="4" s="1"/>
  <c r="BH75" i="4"/>
  <c r="BH76" i="4"/>
  <c r="Z22" i="1"/>
  <c r="AE611" i="1"/>
  <c r="AF611" i="1" s="1"/>
  <c r="AG611" i="1" s="1"/>
  <c r="AH611" i="1" s="1"/>
  <c r="AI611" i="1" s="1"/>
  <c r="AJ611" i="1" s="1"/>
  <c r="AK611" i="1" s="1"/>
  <c r="AL611" i="1" s="1"/>
  <c r="AM611" i="1" s="1"/>
  <c r="AN611" i="1" s="1"/>
  <c r="AP721" i="1"/>
  <c r="E20" i="8" s="1"/>
  <c r="AD603" i="1"/>
  <c r="N594" i="1"/>
  <c r="AC294" i="1"/>
  <c r="N589" i="1"/>
  <c r="AC25" i="1"/>
  <c r="AT295" i="1"/>
  <c r="N553" i="1"/>
  <c r="N557" i="1"/>
  <c r="AC587" i="1"/>
  <c r="P557" i="1"/>
  <c r="Q557" i="1" s="1"/>
  <c r="R557" i="1" s="1"/>
  <c r="S557" i="1" s="1"/>
  <c r="T557" i="1" s="1"/>
  <c r="U557" i="1" s="1"/>
  <c r="V557" i="1" s="1"/>
  <c r="W557" i="1" s="1"/>
  <c r="X557" i="1" s="1"/>
  <c r="Y557" i="1" s="1"/>
  <c r="Z557" i="1" s="1"/>
  <c r="BV557" i="1" s="1"/>
  <c r="N528" i="1"/>
  <c r="V593" i="1"/>
  <c r="W593" i="1" s="1"/>
  <c r="X593" i="1" s="1"/>
  <c r="Y593" i="1" s="1"/>
  <c r="Z593" i="1" s="1"/>
  <c r="O67" i="1"/>
  <c r="P67" i="1" s="1"/>
  <c r="Q67" i="1" s="1"/>
  <c r="R67" i="1" s="1"/>
  <c r="S67" i="1" s="1"/>
  <c r="T67" i="1" s="1"/>
  <c r="U67" i="1" s="1"/>
  <c r="V67" i="1" s="1"/>
  <c r="W67" i="1" s="1"/>
  <c r="X67" i="1" s="1"/>
  <c r="Y67" i="1" s="1"/>
  <c r="Z67" i="1" s="1"/>
  <c r="AC594" i="1"/>
  <c r="N555" i="1"/>
  <c r="P556" i="1"/>
  <c r="Q556" i="1" s="1"/>
  <c r="R556" i="1" s="1"/>
  <c r="S556" i="1" s="1"/>
  <c r="T556" i="1" s="1"/>
  <c r="U556" i="1" s="1"/>
  <c r="V556" i="1" s="1"/>
  <c r="W556" i="1" s="1"/>
  <c r="X556" i="1" s="1"/>
  <c r="Y556" i="1" s="1"/>
  <c r="Z556" i="1" s="1"/>
  <c r="BV556" i="1" s="1"/>
  <c r="U587" i="1"/>
  <c r="V587" i="1" s="1"/>
  <c r="W587" i="1" s="1"/>
  <c r="X587" i="1" s="1"/>
  <c r="Y587" i="1" s="1"/>
  <c r="Z587" i="1" s="1"/>
  <c r="U588" i="1"/>
  <c r="V588" i="1" s="1"/>
  <c r="W588" i="1" s="1"/>
  <c r="X588" i="1" s="1"/>
  <c r="Y588" i="1" s="1"/>
  <c r="Z588" i="1" s="1"/>
  <c r="V591" i="1"/>
  <c r="W591" i="1" s="1"/>
  <c r="X591" i="1" s="1"/>
  <c r="Y591" i="1" s="1"/>
  <c r="Z591" i="1" s="1"/>
  <c r="U602" i="1"/>
  <c r="V602" i="1" s="1"/>
  <c r="W602" i="1" s="1"/>
  <c r="N294" i="1"/>
  <c r="N596" i="1"/>
  <c r="W597" i="1"/>
  <c r="X597" i="1" s="1"/>
  <c r="Y597" i="1" s="1"/>
  <c r="Z597" i="1" s="1"/>
  <c r="O25" i="1"/>
  <c r="P25" i="1" s="1"/>
  <c r="Q25" i="1" s="1"/>
  <c r="R25" i="1" s="1"/>
  <c r="S25" i="1" s="1"/>
  <c r="T25" i="1" s="1"/>
  <c r="U25" i="1" s="1"/>
  <c r="V25" i="1" s="1"/>
  <c r="W25" i="1" s="1"/>
  <c r="X25" i="1" s="1"/>
  <c r="Y25" i="1" s="1"/>
  <c r="Z25" i="1" s="1"/>
  <c r="AT294" i="1"/>
  <c r="W596" i="1"/>
  <c r="X596" i="1" s="1"/>
  <c r="Y596" i="1" s="1"/>
  <c r="Z596" i="1" s="1"/>
  <c r="N56" i="1"/>
  <c r="O66" i="1"/>
  <c r="P66" i="1" s="1"/>
  <c r="Q66" i="1" s="1"/>
  <c r="R66" i="1" s="1"/>
  <c r="S66" i="1" s="1"/>
  <c r="T66" i="1" s="1"/>
  <c r="U66" i="1" s="1"/>
  <c r="V66" i="1" s="1"/>
  <c r="W66" i="1" s="1"/>
  <c r="X66" i="1" s="1"/>
  <c r="Y66" i="1" s="1"/>
  <c r="Z66" i="1" s="1"/>
  <c r="O70" i="1"/>
  <c r="P70" i="1" s="1"/>
  <c r="Q70" i="1" s="1"/>
  <c r="R70" i="1" s="1"/>
  <c r="S70" i="1" s="1"/>
  <c r="T70" i="1" s="1"/>
  <c r="U70" i="1" s="1"/>
  <c r="V70" i="1" s="1"/>
  <c r="W70" i="1" s="1"/>
  <c r="X70" i="1" s="1"/>
  <c r="Y70" i="1" s="1"/>
  <c r="Z70" i="1" s="1"/>
  <c r="O192" i="1"/>
  <c r="P192" i="1" s="1"/>
  <c r="Q192" i="1" s="1"/>
  <c r="R192" i="1" s="1"/>
  <c r="S192" i="1" s="1"/>
  <c r="T192" i="1" s="1"/>
  <c r="U192" i="1" s="1"/>
  <c r="V192" i="1" s="1"/>
  <c r="W192" i="1" s="1"/>
  <c r="X192" i="1" s="1"/>
  <c r="Y192" i="1" s="1"/>
  <c r="Z192" i="1" s="1"/>
  <c r="O56" i="1"/>
  <c r="P56" i="1" s="1"/>
  <c r="Q56" i="1" s="1"/>
  <c r="R56" i="1" s="1"/>
  <c r="S56" i="1" s="1"/>
  <c r="T56" i="1" s="1"/>
  <c r="U56" i="1" s="1"/>
  <c r="V56" i="1" s="1"/>
  <c r="W56" i="1" s="1"/>
  <c r="X56" i="1" s="1"/>
  <c r="Y56" i="1" s="1"/>
  <c r="Z56" i="1" s="1"/>
  <c r="O65" i="1"/>
  <c r="P65" i="1" s="1"/>
  <c r="Q65" i="1" s="1"/>
  <c r="R65" i="1" s="1"/>
  <c r="S65" i="1" s="1"/>
  <c r="T65" i="1" s="1"/>
  <c r="U65" i="1" s="1"/>
  <c r="V65" i="1" s="1"/>
  <c r="W65" i="1" s="1"/>
  <c r="X65" i="1" s="1"/>
  <c r="Y65" i="1" s="1"/>
  <c r="Z65" i="1" s="1"/>
  <c r="O69" i="1"/>
  <c r="P69" i="1" s="1"/>
  <c r="Q69" i="1" s="1"/>
  <c r="R69" i="1" s="1"/>
  <c r="S69" i="1" s="1"/>
  <c r="T69" i="1" s="1"/>
  <c r="U69" i="1" s="1"/>
  <c r="V69" i="1" s="1"/>
  <c r="W69" i="1" s="1"/>
  <c r="X69" i="1" s="1"/>
  <c r="Y69" i="1" s="1"/>
  <c r="Z69" i="1" s="1"/>
  <c r="O505" i="1"/>
  <c r="P505" i="1" s="1"/>
  <c r="Q505" i="1" s="1"/>
  <c r="R505" i="1" s="1"/>
  <c r="S505" i="1" s="1"/>
  <c r="T505" i="1" s="1"/>
  <c r="U505" i="1" s="1"/>
  <c r="V505" i="1" s="1"/>
  <c r="W505" i="1" s="1"/>
  <c r="X505" i="1" s="1"/>
  <c r="Y505" i="1" s="1"/>
  <c r="Z505" i="1" s="1"/>
  <c r="O528" i="1"/>
  <c r="P528" i="1" s="1"/>
  <c r="Q528" i="1" s="1"/>
  <c r="R528" i="1" s="1"/>
  <c r="S528" i="1" s="1"/>
  <c r="T528" i="1" s="1"/>
  <c r="U528" i="1" s="1"/>
  <c r="V528" i="1" s="1"/>
  <c r="W528" i="1" s="1"/>
  <c r="X528" i="1" s="1"/>
  <c r="Y528" i="1" s="1"/>
  <c r="Z528" i="1" s="1"/>
  <c r="AC528" i="1"/>
  <c r="P553" i="1"/>
  <c r="Q553" i="1" s="1"/>
  <c r="R553" i="1" s="1"/>
  <c r="S553" i="1" s="1"/>
  <c r="T553" i="1" s="1"/>
  <c r="U553" i="1" s="1"/>
  <c r="V553" i="1" s="1"/>
  <c r="W553" i="1" s="1"/>
  <c r="X553" i="1" s="1"/>
  <c r="Y553" i="1" s="1"/>
  <c r="Z553" i="1" s="1"/>
  <c r="BV553" i="1" s="1"/>
  <c r="O585" i="1"/>
  <c r="P585" i="1" s="1"/>
  <c r="Q585" i="1" s="1"/>
  <c r="R585" i="1" s="1"/>
  <c r="S585" i="1" s="1"/>
  <c r="T585" i="1" s="1"/>
  <c r="U585" i="1" s="1"/>
  <c r="V585" i="1" s="1"/>
  <c r="W585" i="1" s="1"/>
  <c r="X585" i="1" s="1"/>
  <c r="Y585" i="1" s="1"/>
  <c r="Z585" i="1" s="1"/>
  <c r="N585" i="1"/>
  <c r="N145" i="1"/>
  <c r="AC145" i="1"/>
  <c r="O145" i="1"/>
  <c r="P145" i="1" s="1"/>
  <c r="Q145" i="1" s="1"/>
  <c r="R145" i="1" s="1"/>
  <c r="S145" i="1" s="1"/>
  <c r="T145" i="1" s="1"/>
  <c r="U145" i="1" s="1"/>
  <c r="V145" i="1" s="1"/>
  <c r="W145" i="1" s="1"/>
  <c r="X145" i="1" s="1"/>
  <c r="Y145" i="1" s="1"/>
  <c r="Z145" i="1" s="1"/>
  <c r="BV145" i="1" s="1"/>
  <c r="AC27" i="1"/>
  <c r="N27" i="1"/>
  <c r="N23" i="1"/>
  <c r="AT27" i="1"/>
  <c r="O295" i="1"/>
  <c r="P295" i="1" s="1"/>
  <c r="Q295" i="1" s="1"/>
  <c r="R295" i="1" s="1"/>
  <c r="S295" i="1" s="1"/>
  <c r="T295" i="1" s="1"/>
  <c r="U295" i="1" s="1"/>
  <c r="V295" i="1" s="1"/>
  <c r="W295" i="1" s="1"/>
  <c r="X295" i="1" s="1"/>
  <c r="Y295" i="1" s="1"/>
  <c r="Z295" i="1" s="1"/>
  <c r="O23" i="1"/>
  <c r="P23" i="1" s="1"/>
  <c r="Q23" i="1" s="1"/>
  <c r="R23" i="1" s="1"/>
  <c r="S23" i="1" s="1"/>
  <c r="T23" i="1" s="1"/>
  <c r="U23" i="1" s="1"/>
  <c r="V23" i="1" s="1"/>
  <c r="W23" i="1" s="1"/>
  <c r="X23" i="1" s="1"/>
  <c r="Y23" i="1" s="1"/>
  <c r="Z23" i="1" s="1"/>
  <c r="O27" i="1"/>
  <c r="P27" i="1" s="1"/>
  <c r="Q27" i="1" s="1"/>
  <c r="R27" i="1" s="1"/>
  <c r="S27" i="1" s="1"/>
  <c r="T27" i="1" s="1"/>
  <c r="U27" i="1" s="1"/>
  <c r="V27" i="1" s="1"/>
  <c r="W27" i="1" s="1"/>
  <c r="X27" i="1" s="1"/>
  <c r="Y27" i="1" s="1"/>
  <c r="Z27" i="1" s="1"/>
  <c r="O68" i="1"/>
  <c r="P68" i="1" s="1"/>
  <c r="Q68" i="1" s="1"/>
  <c r="R68" i="1" s="1"/>
  <c r="S68" i="1" s="1"/>
  <c r="T68" i="1" s="1"/>
  <c r="U68" i="1" s="1"/>
  <c r="V68" i="1" s="1"/>
  <c r="W68" i="1" s="1"/>
  <c r="X68" i="1" s="1"/>
  <c r="Y68" i="1" s="1"/>
  <c r="Z68" i="1" s="1"/>
  <c r="AC295" i="1"/>
  <c r="O294" i="1"/>
  <c r="P294" i="1" s="1"/>
  <c r="Q294" i="1" s="1"/>
  <c r="R294" i="1" s="1"/>
  <c r="S294" i="1" s="1"/>
  <c r="T294" i="1" s="1"/>
  <c r="U294" i="1" s="1"/>
  <c r="V294" i="1" s="1"/>
  <c r="W294" i="1" s="1"/>
  <c r="X294" i="1" s="1"/>
  <c r="Y294" i="1" s="1"/>
  <c r="Z294" i="1" s="1"/>
  <c r="N515" i="1"/>
  <c r="AC515" i="1"/>
  <c r="T510" i="1"/>
  <c r="U510" i="1" s="1"/>
  <c r="V510" i="1" s="1"/>
  <c r="W510" i="1" s="1"/>
  <c r="X510" i="1" s="1"/>
  <c r="Y510" i="1" s="1"/>
  <c r="Z510" i="1" s="1"/>
  <c r="BV510" i="1" s="1"/>
  <c r="N552" i="1"/>
  <c r="N587" i="1"/>
  <c r="O515" i="1"/>
  <c r="P515" i="1" s="1"/>
  <c r="Q515" i="1" s="1"/>
  <c r="R515" i="1" s="1"/>
  <c r="S515" i="1" s="1"/>
  <c r="T515" i="1" s="1"/>
  <c r="U515" i="1" s="1"/>
  <c r="V515" i="1" s="1"/>
  <c r="W515" i="1" s="1"/>
  <c r="X515" i="1" s="1"/>
  <c r="Y515" i="1" s="1"/>
  <c r="Z515" i="1" s="1"/>
  <c r="AC505" i="1"/>
  <c r="N563" i="1"/>
  <c r="AC563" i="1"/>
  <c r="P555" i="1"/>
  <c r="Q555" i="1" s="1"/>
  <c r="R555" i="1" s="1"/>
  <c r="S555" i="1" s="1"/>
  <c r="T555" i="1" s="1"/>
  <c r="U555" i="1" s="1"/>
  <c r="V555" i="1" s="1"/>
  <c r="W555" i="1" s="1"/>
  <c r="X555" i="1" s="1"/>
  <c r="Y555" i="1" s="1"/>
  <c r="Z555" i="1" s="1"/>
  <c r="BV555" i="1" s="1"/>
  <c r="V589" i="1"/>
  <c r="W589" i="1" s="1"/>
  <c r="X589" i="1" s="1"/>
  <c r="Y589" i="1" s="1"/>
  <c r="Z589" i="1" s="1"/>
  <c r="N598" i="1"/>
  <c r="N602" i="1"/>
  <c r="P552" i="1"/>
  <c r="Q552" i="1" s="1"/>
  <c r="R552" i="1" s="1"/>
  <c r="S552" i="1" s="1"/>
  <c r="T552" i="1" s="1"/>
  <c r="U552" i="1" s="1"/>
  <c r="V552" i="1" s="1"/>
  <c r="W552" i="1" s="1"/>
  <c r="X552" i="1" s="1"/>
  <c r="Y552" i="1" s="1"/>
  <c r="Z552" i="1" s="1"/>
  <c r="BV552" i="1" s="1"/>
  <c r="O563" i="1"/>
  <c r="P563" i="1" s="1"/>
  <c r="Q563" i="1" s="1"/>
  <c r="R563" i="1" s="1"/>
  <c r="S563" i="1" s="1"/>
  <c r="T563" i="1" s="1"/>
  <c r="U563" i="1" s="1"/>
  <c r="V563" i="1" s="1"/>
  <c r="W563" i="1" s="1"/>
  <c r="X563" i="1" s="1"/>
  <c r="Y563" i="1" s="1"/>
  <c r="Z563" i="1" s="1"/>
  <c r="N595" i="1"/>
  <c r="N599" i="1"/>
  <c r="AT80" i="1"/>
  <c r="AC80" i="1"/>
  <c r="N25" i="1"/>
  <c r="AT25" i="1"/>
  <c r="P52" i="1"/>
  <c r="Q52" i="1" s="1"/>
  <c r="R52" i="1" s="1"/>
  <c r="S52" i="1" s="1"/>
  <c r="T52" i="1" s="1"/>
  <c r="U52" i="1" s="1"/>
  <c r="V52" i="1" s="1"/>
  <c r="W52" i="1" s="1"/>
  <c r="X52" i="1" s="1"/>
  <c r="Y52" i="1" s="1"/>
  <c r="Z52" i="1" s="1"/>
  <c r="BV52" i="1" s="1"/>
  <c r="O80" i="1"/>
  <c r="AC23" i="1"/>
  <c r="N65" i="1"/>
  <c r="AT65" i="1"/>
  <c r="N66" i="1"/>
  <c r="AT66" i="1"/>
  <c r="N67" i="1"/>
  <c r="AT67" i="1"/>
  <c r="N68" i="1"/>
  <c r="AT68" i="1"/>
  <c r="N69" i="1"/>
  <c r="AT69" i="1"/>
  <c r="N70" i="1"/>
  <c r="AT70" i="1"/>
  <c r="AC65" i="1"/>
  <c r="AC66" i="1"/>
  <c r="AC67" i="1"/>
  <c r="AC68" i="1"/>
  <c r="AC69" i="1"/>
  <c r="AC70" i="1"/>
  <c r="P160" i="1"/>
  <c r="S160" i="1" s="1"/>
  <c r="V160" i="1" s="1"/>
  <c r="Y160" i="1" s="1"/>
  <c r="R160" i="1"/>
  <c r="U160" i="1" s="1"/>
  <c r="X160" i="1" s="1"/>
  <c r="AC192" i="1"/>
  <c r="N192" i="1"/>
  <c r="AA195" i="1"/>
  <c r="U343" i="1"/>
  <c r="V343" i="1" s="1"/>
  <c r="W343" i="1" s="1"/>
  <c r="X343" i="1" s="1"/>
  <c r="Y343" i="1" s="1"/>
  <c r="Z343" i="1" s="1"/>
  <c r="BV343" i="1" s="1"/>
  <c r="AT192" i="1"/>
  <c r="N295" i="1"/>
  <c r="AA367" i="1"/>
  <c r="T407" i="1"/>
  <c r="U407" i="1" s="1"/>
  <c r="V407" i="1" s="1"/>
  <c r="W407" i="1" s="1"/>
  <c r="X407" i="1" s="1"/>
  <c r="Y407" i="1" s="1"/>
  <c r="Z407" i="1" s="1"/>
  <c r="BV407" i="1" s="1"/>
  <c r="T418" i="1"/>
  <c r="U418" i="1" s="1"/>
  <c r="V418" i="1" s="1"/>
  <c r="W418" i="1" s="1"/>
  <c r="X418" i="1" s="1"/>
  <c r="Y418" i="1" s="1"/>
  <c r="Z418" i="1" s="1"/>
  <c r="BV418" i="1" s="1"/>
  <c r="R419" i="1"/>
  <c r="S419" i="1" s="1"/>
  <c r="T419" i="1" s="1"/>
  <c r="U419" i="1" s="1"/>
  <c r="V419" i="1" s="1"/>
  <c r="W419" i="1" s="1"/>
  <c r="X419" i="1" s="1"/>
  <c r="Y419" i="1" s="1"/>
  <c r="Z419" i="1" s="1"/>
  <c r="BV419" i="1" s="1"/>
  <c r="N508" i="1"/>
  <c r="AC508" i="1"/>
  <c r="O508" i="1"/>
  <c r="P508" i="1" s="1"/>
  <c r="Q508" i="1" s="1"/>
  <c r="R508" i="1" s="1"/>
  <c r="S508" i="1" s="1"/>
  <c r="T508" i="1" s="1"/>
  <c r="U508" i="1" s="1"/>
  <c r="V508" i="1" s="1"/>
  <c r="W508" i="1" s="1"/>
  <c r="X508" i="1" s="1"/>
  <c r="Y508" i="1" s="1"/>
  <c r="Z508" i="1" s="1"/>
  <c r="N505" i="1"/>
  <c r="N554" i="1"/>
  <c r="P554" i="1"/>
  <c r="Q554" i="1" s="1"/>
  <c r="R554" i="1" s="1"/>
  <c r="S554" i="1" s="1"/>
  <c r="T554" i="1" s="1"/>
  <c r="U554" i="1" s="1"/>
  <c r="V554" i="1" s="1"/>
  <c r="W554" i="1" s="1"/>
  <c r="X554" i="1" s="1"/>
  <c r="Y554" i="1" s="1"/>
  <c r="Z554" i="1" s="1"/>
  <c r="BV554" i="1" s="1"/>
  <c r="N556" i="1"/>
  <c r="AC590" i="1"/>
  <c r="N590" i="1"/>
  <c r="N586" i="1"/>
  <c r="AC586" i="1"/>
  <c r="AC600" i="1"/>
  <c r="N600" i="1"/>
  <c r="Q600" i="1"/>
  <c r="R600" i="1" s="1"/>
  <c r="S600" i="1" s="1"/>
  <c r="T600" i="1" s="1"/>
  <c r="U600" i="1" s="1"/>
  <c r="V600" i="1" s="1"/>
  <c r="W600" i="1" s="1"/>
  <c r="X600" i="1" s="1"/>
  <c r="Y600" i="1" s="1"/>
  <c r="Z600" i="1" s="1"/>
  <c r="W599" i="1"/>
  <c r="X599" i="1" s="1"/>
  <c r="Y599" i="1" s="1"/>
  <c r="Z599" i="1" s="1"/>
  <c r="U586" i="1"/>
  <c r="V586" i="1" s="1"/>
  <c r="W586" i="1" s="1"/>
  <c r="X586" i="1" s="1"/>
  <c r="Y586" i="1" s="1"/>
  <c r="Z586" i="1" s="1"/>
  <c r="AC588" i="1"/>
  <c r="N588" i="1"/>
  <c r="V594" i="1"/>
  <c r="W594" i="1" s="1"/>
  <c r="X594" i="1" s="1"/>
  <c r="Y594" i="1" s="1"/>
  <c r="Z594" i="1" s="1"/>
  <c r="S590" i="1"/>
  <c r="T590" i="1" s="1"/>
  <c r="U590" i="1" s="1"/>
  <c r="V590" i="1" s="1"/>
  <c r="W590" i="1" s="1"/>
  <c r="X590" i="1" s="1"/>
  <c r="Y590" i="1" s="1"/>
  <c r="Z590" i="1" s="1"/>
  <c r="AC591" i="1"/>
  <c r="N591" i="1"/>
  <c r="AC593" i="1"/>
  <c r="N593" i="1"/>
  <c r="V592" i="1"/>
  <c r="AC592" i="1"/>
  <c r="N592" i="1"/>
  <c r="AC597" i="1"/>
  <c r="AC598" i="1"/>
  <c r="T598" i="1"/>
  <c r="U598" i="1" s="1"/>
  <c r="V598" i="1" s="1"/>
  <c r="W598" i="1" s="1"/>
  <c r="X598" i="1" s="1"/>
  <c r="Y598" i="1" s="1"/>
  <c r="Z598" i="1" s="1"/>
  <c r="AC589" i="1"/>
  <c r="W595" i="1"/>
  <c r="X595" i="1" s="1"/>
  <c r="Y595" i="1" s="1"/>
  <c r="Z595" i="1" s="1"/>
  <c r="N597" i="1"/>
  <c r="AC601" i="1"/>
  <c r="N601" i="1"/>
  <c r="AC595" i="1"/>
  <c r="R601" i="1"/>
  <c r="S601" i="1" s="1"/>
  <c r="T601" i="1" s="1"/>
  <c r="U601" i="1" s="1"/>
  <c r="V601" i="1" s="1"/>
  <c r="W601" i="1" s="1"/>
  <c r="X601" i="1" s="1"/>
  <c r="Y601" i="1" s="1"/>
  <c r="Z601" i="1" s="1"/>
  <c r="AC596" i="1"/>
  <c r="AC599" i="1"/>
  <c r="AC602" i="1"/>
  <c r="CN614" i="1" l="1"/>
  <c r="CO614" i="1" s="1"/>
  <c r="CP614" i="1" s="1"/>
  <c r="CQ614" i="1" s="1"/>
  <c r="CR614" i="1" s="1"/>
  <c r="CS614" i="1" s="1"/>
  <c r="CT614" i="1" s="1"/>
  <c r="CU614" i="1" s="1"/>
  <c r="CV614" i="1" s="1"/>
  <c r="CW614" i="1" s="1"/>
  <c r="CX614" i="1" s="1"/>
  <c r="CY614" i="1" s="1"/>
  <c r="CN619" i="1"/>
  <c r="CO619" i="1" s="1"/>
  <c r="CP619" i="1" s="1"/>
  <c r="CQ619" i="1" s="1"/>
  <c r="CR619" i="1" s="1"/>
  <c r="CS619" i="1" s="1"/>
  <c r="CT619" i="1" s="1"/>
  <c r="CU619" i="1" s="1"/>
  <c r="CV619" i="1" s="1"/>
  <c r="CW619" i="1" s="1"/>
  <c r="CX619" i="1" s="1"/>
  <c r="CY619" i="1" s="1"/>
  <c r="BX703" i="1"/>
  <c r="BX719" i="1" s="1"/>
  <c r="B10" i="8" s="1"/>
  <c r="I10" i="8" s="1"/>
  <c r="BV614" i="1"/>
  <c r="CK614" i="1"/>
  <c r="BK617" i="1"/>
  <c r="BL617" i="1" s="1"/>
  <c r="BM617" i="1" s="1"/>
  <c r="BN617" i="1" s="1"/>
  <c r="BO617" i="1" s="1"/>
  <c r="BP617" i="1" s="1"/>
  <c r="BQ617" i="1" s="1"/>
  <c r="BR617" i="1" s="1"/>
  <c r="BS617" i="1" s="1"/>
  <c r="BT617" i="1" s="1"/>
  <c r="BK623" i="1"/>
  <c r="BL623" i="1" s="1"/>
  <c r="BM623" i="1" s="1"/>
  <c r="BN623" i="1" s="1"/>
  <c r="BO623" i="1" s="1"/>
  <c r="BP623" i="1" s="1"/>
  <c r="BQ623" i="1" s="1"/>
  <c r="BR623" i="1" s="1"/>
  <c r="BS623" i="1" s="1"/>
  <c r="BT623" i="1" s="1"/>
  <c r="BK615" i="1"/>
  <c r="BL615" i="1" s="1"/>
  <c r="BM615" i="1" s="1"/>
  <c r="BN615" i="1" s="1"/>
  <c r="BO615" i="1" s="1"/>
  <c r="BP615" i="1" s="1"/>
  <c r="BQ615" i="1" s="1"/>
  <c r="BR615" i="1" s="1"/>
  <c r="BS615" i="1" s="1"/>
  <c r="BT615" i="1" s="1"/>
  <c r="AP607" i="1"/>
  <c r="AP610" i="1"/>
  <c r="AP604" i="1"/>
  <c r="BG636" i="1"/>
  <c r="BU618" i="1"/>
  <c r="BY618" i="1" s="1"/>
  <c r="BZ618" i="1" s="1"/>
  <c r="CA618" i="1" s="1"/>
  <c r="CB618" i="1" s="1"/>
  <c r="CC618" i="1" s="1"/>
  <c r="CD618" i="1" s="1"/>
  <c r="CE618" i="1" s="1"/>
  <c r="CF618" i="1" s="1"/>
  <c r="CG618" i="1" s="1"/>
  <c r="CH618" i="1" s="1"/>
  <c r="CI618" i="1" s="1"/>
  <c r="CJ618" i="1" s="1"/>
  <c r="AP609" i="1"/>
  <c r="BG637" i="1"/>
  <c r="BG635" i="1"/>
  <c r="AP605" i="1"/>
  <c r="AP606" i="1"/>
  <c r="CK289" i="1"/>
  <c r="CK74" i="1"/>
  <c r="CK330" i="1"/>
  <c r="AO24" i="1"/>
  <c r="AU24" i="1" s="1"/>
  <c r="AO611" i="1"/>
  <c r="AR611" i="1" s="1"/>
  <c r="AS611" i="1" s="1"/>
  <c r="CK46" i="1"/>
  <c r="CK335" i="1"/>
  <c r="CK291" i="1"/>
  <c r="CK198" i="1"/>
  <c r="CK11" i="1"/>
  <c r="CK10" i="1"/>
  <c r="CK331" i="1"/>
  <c r="CK190" i="1"/>
  <c r="CK290" i="1"/>
  <c r="CK195" i="1"/>
  <c r="CK332" i="1"/>
  <c r="AO608" i="1"/>
  <c r="AR608" i="1" s="1"/>
  <c r="AS608" i="1" s="1"/>
  <c r="CK327" i="1"/>
  <c r="AO26" i="1"/>
  <c r="AU26" i="1" s="1"/>
  <c r="CK333" i="1"/>
  <c r="CK328" i="1"/>
  <c r="AR367" i="1"/>
  <c r="AS367" i="1" s="1"/>
  <c r="CK223" i="1"/>
  <c r="CK329" i="1"/>
  <c r="CK225" i="1"/>
  <c r="CK288" i="1"/>
  <c r="CK72" i="1"/>
  <c r="CK334" i="1"/>
  <c r="CK226" i="1"/>
  <c r="CM719" i="1"/>
  <c r="B11" i="8" s="1"/>
  <c r="I11" i="8" s="1"/>
  <c r="CZ614" i="1"/>
  <c r="BL628" i="1"/>
  <c r="BL629" i="1"/>
  <c r="BL626" i="1"/>
  <c r="AD22" i="1"/>
  <c r="AE22" i="1" s="1"/>
  <c r="AF22" i="1" s="1"/>
  <c r="AG22" i="1" s="1"/>
  <c r="AH22" i="1" s="1"/>
  <c r="AI22" i="1" s="1"/>
  <c r="AJ22" i="1" s="1"/>
  <c r="AK22" i="1" s="1"/>
  <c r="AL22" i="1" s="1"/>
  <c r="AM22" i="1" s="1"/>
  <c r="AN22" i="1" s="1"/>
  <c r="AD598" i="1"/>
  <c r="AE598" i="1" s="1"/>
  <c r="AF598" i="1" s="1"/>
  <c r="AG598" i="1" s="1"/>
  <c r="AH598" i="1" s="1"/>
  <c r="AI598" i="1" s="1"/>
  <c r="AJ598" i="1" s="1"/>
  <c r="AK598" i="1" s="1"/>
  <c r="AL598" i="1" s="1"/>
  <c r="AM598" i="1" s="1"/>
  <c r="AN598" i="1" s="1"/>
  <c r="AD563" i="1"/>
  <c r="AE563" i="1" s="1"/>
  <c r="AF563" i="1" s="1"/>
  <c r="AG563" i="1" s="1"/>
  <c r="AH563" i="1" s="1"/>
  <c r="AI563" i="1" s="1"/>
  <c r="AJ563" i="1" s="1"/>
  <c r="AK563" i="1" s="1"/>
  <c r="AL563" i="1" s="1"/>
  <c r="AM563" i="1" s="1"/>
  <c r="AN563" i="1" s="1"/>
  <c r="AD515" i="1"/>
  <c r="AE515" i="1" s="1"/>
  <c r="AF515" i="1" s="1"/>
  <c r="AG515" i="1" s="1"/>
  <c r="AH515" i="1" s="1"/>
  <c r="AI515" i="1" s="1"/>
  <c r="AJ515" i="1" s="1"/>
  <c r="AK515" i="1" s="1"/>
  <c r="AL515" i="1" s="1"/>
  <c r="AM515" i="1" s="1"/>
  <c r="AN515" i="1" s="1"/>
  <c r="AD590" i="1"/>
  <c r="AE590" i="1" s="1"/>
  <c r="AF590" i="1" s="1"/>
  <c r="AG590" i="1" s="1"/>
  <c r="AH590" i="1" s="1"/>
  <c r="AI590" i="1" s="1"/>
  <c r="AJ590" i="1" s="1"/>
  <c r="AK590" i="1" s="1"/>
  <c r="AL590" i="1" s="1"/>
  <c r="AM590" i="1" s="1"/>
  <c r="AN590" i="1" s="1"/>
  <c r="AD68" i="1"/>
  <c r="AE68" i="1" s="1"/>
  <c r="AF68" i="1" s="1"/>
  <c r="AG68" i="1" s="1"/>
  <c r="AH68" i="1" s="1"/>
  <c r="AI68" i="1" s="1"/>
  <c r="AJ68" i="1" s="1"/>
  <c r="AK68" i="1" s="1"/>
  <c r="AL68" i="1" s="1"/>
  <c r="AM68" i="1" s="1"/>
  <c r="AN68" i="1" s="1"/>
  <c r="AD145" i="1"/>
  <c r="AE145" i="1" s="1"/>
  <c r="AF145" i="1" s="1"/>
  <c r="AG145" i="1" s="1"/>
  <c r="AH145" i="1" s="1"/>
  <c r="AI145" i="1" s="1"/>
  <c r="AJ145" i="1" s="1"/>
  <c r="AK145" i="1" s="1"/>
  <c r="AD505" i="1"/>
  <c r="AE505" i="1" s="1"/>
  <c r="AF505" i="1" s="1"/>
  <c r="AG505" i="1" s="1"/>
  <c r="AH505" i="1" s="1"/>
  <c r="AI505" i="1" s="1"/>
  <c r="AJ505" i="1" s="1"/>
  <c r="AK505" i="1" s="1"/>
  <c r="AL505" i="1" s="1"/>
  <c r="AM505" i="1" s="1"/>
  <c r="AN505" i="1" s="1"/>
  <c r="AD593" i="1"/>
  <c r="AE593" i="1" s="1"/>
  <c r="AF593" i="1" s="1"/>
  <c r="AG593" i="1" s="1"/>
  <c r="AH593" i="1" s="1"/>
  <c r="AI593" i="1" s="1"/>
  <c r="AJ593" i="1" s="1"/>
  <c r="AK593" i="1" s="1"/>
  <c r="AL593" i="1" s="1"/>
  <c r="AM593" i="1" s="1"/>
  <c r="AN593" i="1" s="1"/>
  <c r="AD600" i="1"/>
  <c r="AE600" i="1" s="1"/>
  <c r="AF600" i="1" s="1"/>
  <c r="AG600" i="1" s="1"/>
  <c r="AH600" i="1" s="1"/>
  <c r="AI600" i="1" s="1"/>
  <c r="AJ600" i="1" s="1"/>
  <c r="AK600" i="1" s="1"/>
  <c r="AL600" i="1" s="1"/>
  <c r="AM600" i="1" s="1"/>
  <c r="AN600" i="1" s="1"/>
  <c r="AD66" i="1"/>
  <c r="AE66" i="1" s="1"/>
  <c r="AF66" i="1" s="1"/>
  <c r="AG66" i="1" s="1"/>
  <c r="AH66" i="1" s="1"/>
  <c r="AI66" i="1" s="1"/>
  <c r="AJ66" i="1" s="1"/>
  <c r="AK66" i="1" s="1"/>
  <c r="AL66" i="1" s="1"/>
  <c r="AM66" i="1" s="1"/>
  <c r="AN66" i="1" s="1"/>
  <c r="AD601" i="1"/>
  <c r="AE601" i="1" s="1"/>
  <c r="AF601" i="1" s="1"/>
  <c r="AG601" i="1" s="1"/>
  <c r="AH601" i="1" s="1"/>
  <c r="AI601" i="1" s="1"/>
  <c r="AJ601" i="1" s="1"/>
  <c r="AK601" i="1" s="1"/>
  <c r="AL601" i="1" s="1"/>
  <c r="AM601" i="1" s="1"/>
  <c r="AN601" i="1" s="1"/>
  <c r="AD67" i="1"/>
  <c r="AE67" i="1" s="1"/>
  <c r="AF67" i="1" s="1"/>
  <c r="AG67" i="1" s="1"/>
  <c r="AH67" i="1" s="1"/>
  <c r="AI67" i="1" s="1"/>
  <c r="AJ67" i="1" s="1"/>
  <c r="AK67" i="1" s="1"/>
  <c r="AL67" i="1" s="1"/>
  <c r="AM67" i="1" s="1"/>
  <c r="AN67" i="1" s="1"/>
  <c r="AD594" i="1"/>
  <c r="AE594" i="1" s="1"/>
  <c r="AF594" i="1" s="1"/>
  <c r="AG594" i="1" s="1"/>
  <c r="AH594" i="1" s="1"/>
  <c r="AI594" i="1" s="1"/>
  <c r="AJ594" i="1" s="1"/>
  <c r="AK594" i="1" s="1"/>
  <c r="AL594" i="1" s="1"/>
  <c r="AM594" i="1" s="1"/>
  <c r="AN594" i="1" s="1"/>
  <c r="AD27" i="1"/>
  <c r="AE27" i="1" s="1"/>
  <c r="AF27" i="1" s="1"/>
  <c r="AG27" i="1" s="1"/>
  <c r="AH27" i="1" s="1"/>
  <c r="AI27" i="1" s="1"/>
  <c r="AJ27" i="1" s="1"/>
  <c r="AK27" i="1" s="1"/>
  <c r="AL27" i="1" s="1"/>
  <c r="AM27" i="1" s="1"/>
  <c r="AN27" i="1" s="1"/>
  <c r="AD596" i="1"/>
  <c r="AE596" i="1" s="1"/>
  <c r="AF596" i="1" s="1"/>
  <c r="AG596" i="1" s="1"/>
  <c r="AH596" i="1" s="1"/>
  <c r="AI596" i="1" s="1"/>
  <c r="AJ596" i="1" s="1"/>
  <c r="AK596" i="1" s="1"/>
  <c r="AL596" i="1" s="1"/>
  <c r="AM596" i="1" s="1"/>
  <c r="AN596" i="1" s="1"/>
  <c r="AD25" i="1"/>
  <c r="AE25" i="1" s="1"/>
  <c r="AF25" i="1" s="1"/>
  <c r="AG25" i="1" s="1"/>
  <c r="AH25" i="1" s="1"/>
  <c r="AI25" i="1" s="1"/>
  <c r="AJ25" i="1" s="1"/>
  <c r="AK25" i="1" s="1"/>
  <c r="AL25" i="1" s="1"/>
  <c r="AM25" i="1" s="1"/>
  <c r="AN25" i="1" s="1"/>
  <c r="AD294" i="1"/>
  <c r="AE294" i="1" s="1"/>
  <c r="AF294" i="1" s="1"/>
  <c r="AG294" i="1" s="1"/>
  <c r="AH294" i="1" s="1"/>
  <c r="AI294" i="1" s="1"/>
  <c r="AJ294" i="1" s="1"/>
  <c r="AK294" i="1" s="1"/>
  <c r="AL294" i="1" s="1"/>
  <c r="AM294" i="1" s="1"/>
  <c r="AN294" i="1" s="1"/>
  <c r="AD528" i="1"/>
  <c r="AE528" i="1" s="1"/>
  <c r="AF528" i="1" s="1"/>
  <c r="AG528" i="1" s="1"/>
  <c r="AH528" i="1" s="1"/>
  <c r="AI528" i="1" s="1"/>
  <c r="AJ528" i="1" s="1"/>
  <c r="AK528" i="1" s="1"/>
  <c r="AL528" i="1" s="1"/>
  <c r="AM528" i="1" s="1"/>
  <c r="AN528" i="1" s="1"/>
  <c r="AD69" i="1"/>
  <c r="AE69" i="1" s="1"/>
  <c r="AF69" i="1" s="1"/>
  <c r="AG69" i="1" s="1"/>
  <c r="AH69" i="1" s="1"/>
  <c r="AI69" i="1" s="1"/>
  <c r="AJ69" i="1" s="1"/>
  <c r="AK69" i="1" s="1"/>
  <c r="AL69" i="1" s="1"/>
  <c r="AM69" i="1" s="1"/>
  <c r="AN69" i="1" s="1"/>
  <c r="AD591" i="1"/>
  <c r="AE591" i="1" s="1"/>
  <c r="AF591" i="1" s="1"/>
  <c r="AG591" i="1" s="1"/>
  <c r="AH591" i="1" s="1"/>
  <c r="AI591" i="1" s="1"/>
  <c r="AJ591" i="1" s="1"/>
  <c r="AK591" i="1" s="1"/>
  <c r="AL591" i="1" s="1"/>
  <c r="AM591" i="1" s="1"/>
  <c r="AN591" i="1" s="1"/>
  <c r="AD508" i="1"/>
  <c r="AE508" i="1" s="1"/>
  <c r="AF508" i="1" s="1"/>
  <c r="AG508" i="1" s="1"/>
  <c r="AH508" i="1" s="1"/>
  <c r="AI508" i="1" s="1"/>
  <c r="AJ508" i="1" s="1"/>
  <c r="AK508" i="1" s="1"/>
  <c r="AL508" i="1" s="1"/>
  <c r="AM508" i="1" s="1"/>
  <c r="AN508" i="1" s="1"/>
  <c r="AD589" i="1"/>
  <c r="AE589" i="1" s="1"/>
  <c r="AF589" i="1" s="1"/>
  <c r="AG589" i="1" s="1"/>
  <c r="AH589" i="1" s="1"/>
  <c r="AI589" i="1" s="1"/>
  <c r="AJ589" i="1" s="1"/>
  <c r="AK589" i="1" s="1"/>
  <c r="AL589" i="1" s="1"/>
  <c r="AM589" i="1" s="1"/>
  <c r="AN589" i="1" s="1"/>
  <c r="AD23" i="1"/>
  <c r="AE23" i="1" s="1"/>
  <c r="AF23" i="1" s="1"/>
  <c r="AG23" i="1" s="1"/>
  <c r="AH23" i="1" s="1"/>
  <c r="AI23" i="1" s="1"/>
  <c r="AJ23" i="1" s="1"/>
  <c r="AK23" i="1" s="1"/>
  <c r="AL23" i="1" s="1"/>
  <c r="AM23" i="1" s="1"/>
  <c r="AN23" i="1" s="1"/>
  <c r="AD65" i="1"/>
  <c r="AE65" i="1" s="1"/>
  <c r="AF65" i="1" s="1"/>
  <c r="AG65" i="1" s="1"/>
  <c r="AH65" i="1" s="1"/>
  <c r="AI65" i="1" s="1"/>
  <c r="AJ65" i="1" s="1"/>
  <c r="AK65" i="1" s="1"/>
  <c r="AL65" i="1" s="1"/>
  <c r="AM65" i="1" s="1"/>
  <c r="AN65" i="1" s="1"/>
  <c r="AD588" i="1"/>
  <c r="AE588" i="1" s="1"/>
  <c r="AF588" i="1" s="1"/>
  <c r="AG588" i="1" s="1"/>
  <c r="AH588" i="1" s="1"/>
  <c r="AI588" i="1" s="1"/>
  <c r="AJ588" i="1" s="1"/>
  <c r="AK588" i="1" s="1"/>
  <c r="AL588" i="1" s="1"/>
  <c r="AM588" i="1" s="1"/>
  <c r="AN588" i="1" s="1"/>
  <c r="BL616" i="1"/>
  <c r="AD595" i="1"/>
  <c r="AE595" i="1" s="1"/>
  <c r="AF595" i="1" s="1"/>
  <c r="AG595" i="1" s="1"/>
  <c r="AH595" i="1" s="1"/>
  <c r="AI595" i="1" s="1"/>
  <c r="AJ595" i="1" s="1"/>
  <c r="AK595" i="1" s="1"/>
  <c r="AL595" i="1" s="1"/>
  <c r="AM595" i="1" s="1"/>
  <c r="AN595" i="1" s="1"/>
  <c r="AD586" i="1"/>
  <c r="AE586" i="1" s="1"/>
  <c r="AF586" i="1" s="1"/>
  <c r="AG586" i="1" s="1"/>
  <c r="AH586" i="1" s="1"/>
  <c r="AI586" i="1" s="1"/>
  <c r="AJ586" i="1" s="1"/>
  <c r="AK586" i="1" s="1"/>
  <c r="AL586" i="1" s="1"/>
  <c r="AM586" i="1" s="1"/>
  <c r="AN586" i="1" s="1"/>
  <c r="AD295" i="1"/>
  <c r="AE295" i="1" s="1"/>
  <c r="AF295" i="1" s="1"/>
  <c r="AG295" i="1" s="1"/>
  <c r="AH295" i="1" s="1"/>
  <c r="AI295" i="1" s="1"/>
  <c r="AJ295" i="1" s="1"/>
  <c r="AK295" i="1" s="1"/>
  <c r="AL295" i="1" s="1"/>
  <c r="AM295" i="1" s="1"/>
  <c r="AN295" i="1" s="1"/>
  <c r="AD587" i="1"/>
  <c r="AE587" i="1" s="1"/>
  <c r="AF587" i="1" s="1"/>
  <c r="AG587" i="1" s="1"/>
  <c r="AH587" i="1" s="1"/>
  <c r="AI587" i="1" s="1"/>
  <c r="AJ587" i="1" s="1"/>
  <c r="AK587" i="1" s="1"/>
  <c r="AL587" i="1" s="1"/>
  <c r="AM587" i="1" s="1"/>
  <c r="AN587" i="1" s="1"/>
  <c r="AD192" i="1"/>
  <c r="AE192" i="1" s="1"/>
  <c r="AF192" i="1" s="1"/>
  <c r="AG192" i="1" s="1"/>
  <c r="AH192" i="1" s="1"/>
  <c r="AI192" i="1" s="1"/>
  <c r="AJ192" i="1" s="1"/>
  <c r="AK192" i="1" s="1"/>
  <c r="AL192" i="1" s="1"/>
  <c r="AM192" i="1" s="1"/>
  <c r="AN192" i="1" s="1"/>
  <c r="AD597" i="1"/>
  <c r="AE597" i="1" s="1"/>
  <c r="AF597" i="1" s="1"/>
  <c r="AG597" i="1" s="1"/>
  <c r="AH597" i="1" s="1"/>
  <c r="AI597" i="1" s="1"/>
  <c r="AJ597" i="1" s="1"/>
  <c r="AK597" i="1" s="1"/>
  <c r="AL597" i="1" s="1"/>
  <c r="AM597" i="1" s="1"/>
  <c r="AN597" i="1" s="1"/>
  <c r="AD599" i="1"/>
  <c r="AE599" i="1" s="1"/>
  <c r="AF599" i="1" s="1"/>
  <c r="AG599" i="1" s="1"/>
  <c r="AH599" i="1" s="1"/>
  <c r="AI599" i="1" s="1"/>
  <c r="AJ599" i="1" s="1"/>
  <c r="AK599" i="1" s="1"/>
  <c r="AL599" i="1" s="1"/>
  <c r="AM599" i="1" s="1"/>
  <c r="AN599" i="1" s="1"/>
  <c r="AD70" i="1"/>
  <c r="AE70" i="1" s="1"/>
  <c r="AF70" i="1" s="1"/>
  <c r="AG70" i="1" s="1"/>
  <c r="AH70" i="1" s="1"/>
  <c r="AI70" i="1" s="1"/>
  <c r="AJ70" i="1" s="1"/>
  <c r="AK70" i="1" s="1"/>
  <c r="AL70" i="1" s="1"/>
  <c r="AM70" i="1" s="1"/>
  <c r="AN70" i="1" s="1"/>
  <c r="BL612" i="1"/>
  <c r="BM612" i="1" s="1"/>
  <c r="BN612" i="1" s="1"/>
  <c r="BO612" i="1" s="1"/>
  <c r="BP612" i="1" s="1"/>
  <c r="BQ612" i="1" s="1"/>
  <c r="BR612" i="1" s="1"/>
  <c r="BS612" i="1" s="1"/>
  <c r="BT612" i="1" s="1"/>
  <c r="BI622" i="1"/>
  <c r="BK636" i="1"/>
  <c r="BI627" i="1"/>
  <c r="BI637" i="1"/>
  <c r="BI625" i="1"/>
  <c r="BK634" i="1"/>
  <c r="BI624" i="1"/>
  <c r="BI635" i="1"/>
  <c r="AU606" i="1"/>
  <c r="AU610" i="1"/>
  <c r="P147" i="1"/>
  <c r="Q147" i="1" s="1"/>
  <c r="R147" i="1" s="1"/>
  <c r="S147" i="1" s="1"/>
  <c r="T147" i="1" s="1"/>
  <c r="U147" i="1" s="1"/>
  <c r="V147" i="1" s="1"/>
  <c r="W147" i="1" s="1"/>
  <c r="X147" i="1" s="1"/>
  <c r="Y147" i="1" s="1"/>
  <c r="Z147" i="1" s="1"/>
  <c r="BH603" i="4"/>
  <c r="AT604" i="1"/>
  <c r="BH647" i="4"/>
  <c r="AT607" i="1"/>
  <c r="BH585" i="4"/>
  <c r="AT610" i="1"/>
  <c r="BH204" i="4"/>
  <c r="AT608" i="1"/>
  <c r="AU607" i="1"/>
  <c r="BH604" i="4"/>
  <c r="AT605" i="1"/>
  <c r="BH614" i="4"/>
  <c r="AT609" i="1"/>
  <c r="BH613" i="4"/>
  <c r="AT606" i="1"/>
  <c r="AU609" i="1"/>
  <c r="AU605" i="1"/>
  <c r="AU604" i="1"/>
  <c r="BH228" i="4"/>
  <c r="BH233" i="4"/>
  <c r="BH230" i="4"/>
  <c r="BH231" i="4"/>
  <c r="BH229" i="4"/>
  <c r="AL577" i="5"/>
  <c r="AM588" i="5"/>
  <c r="AJ578" i="5"/>
  <c r="AU596" i="5"/>
  <c r="BH844" i="4"/>
  <c r="AT515" i="1"/>
  <c r="BH526" i="4"/>
  <c r="AT508" i="1"/>
  <c r="AT528" i="1"/>
  <c r="AA599" i="1"/>
  <c r="AE603" i="1"/>
  <c r="AF603" i="1" s="1"/>
  <c r="AG603" i="1" s="1"/>
  <c r="AH603" i="1" s="1"/>
  <c r="AI603" i="1" s="1"/>
  <c r="AJ603" i="1" s="1"/>
  <c r="AK603" i="1" s="1"/>
  <c r="AL603" i="1" s="1"/>
  <c r="AM603" i="1" s="1"/>
  <c r="AN603" i="1" s="1"/>
  <c r="AA598" i="1"/>
  <c r="X602" i="1"/>
  <c r="Y602" i="1" s="1"/>
  <c r="Z602" i="1" s="1"/>
  <c r="AA295" i="1"/>
  <c r="AA70" i="1"/>
  <c r="AA593" i="1"/>
  <c r="AA294" i="1"/>
  <c r="AA192" i="1"/>
  <c r="AA594" i="1"/>
  <c r="AA418" i="1"/>
  <c r="AA343" i="1"/>
  <c r="AA407" i="1"/>
  <c r="AA68" i="1"/>
  <c r="AA65" i="1"/>
  <c r="AA510" i="1"/>
  <c r="AA66" i="1"/>
  <c r="AA67" i="1"/>
  <c r="AA69" i="1"/>
  <c r="AA596" i="1"/>
  <c r="AA419" i="1"/>
  <c r="P80" i="1"/>
  <c r="Q80" i="1" s="1"/>
  <c r="R80" i="1" s="1"/>
  <c r="S80" i="1" s="1"/>
  <c r="T80" i="1" s="1"/>
  <c r="U80" i="1" s="1"/>
  <c r="V80" i="1" s="1"/>
  <c r="W80" i="1" s="1"/>
  <c r="X80" i="1" s="1"/>
  <c r="Y80" i="1" s="1"/>
  <c r="Z80" i="1" s="1"/>
  <c r="AA52" i="1"/>
  <c r="AA595" i="1"/>
  <c r="W592" i="1"/>
  <c r="X592" i="1" s="1"/>
  <c r="Y592" i="1" s="1"/>
  <c r="Z592" i="1" s="1"/>
  <c r="AA597" i="1"/>
  <c r="AA591" i="1"/>
  <c r="CN618" i="1" l="1"/>
  <c r="CO618" i="1" s="1"/>
  <c r="CP618" i="1" s="1"/>
  <c r="CQ618" i="1" s="1"/>
  <c r="CR618" i="1" s="1"/>
  <c r="CS618" i="1" s="1"/>
  <c r="CT618" i="1" s="1"/>
  <c r="CU618" i="1" s="1"/>
  <c r="CV618" i="1" s="1"/>
  <c r="CW618" i="1" s="1"/>
  <c r="CX618" i="1" s="1"/>
  <c r="CY618" i="1" s="1"/>
  <c r="BX717" i="1"/>
  <c r="BX712" i="1"/>
  <c r="AV26" i="1"/>
  <c r="AW26" i="1" s="1"/>
  <c r="AX26" i="1" s="1"/>
  <c r="AY26" i="1" s="1"/>
  <c r="AZ26" i="1" s="1"/>
  <c r="BA26" i="1" s="1"/>
  <c r="BB26" i="1" s="1"/>
  <c r="BC26" i="1" s="1"/>
  <c r="BD26" i="1" s="1"/>
  <c r="BE26" i="1" s="1"/>
  <c r="BF26" i="1" s="1"/>
  <c r="BJ26" i="1" s="1"/>
  <c r="BK26" i="1" s="1"/>
  <c r="BL26" i="1" s="1"/>
  <c r="BM26" i="1" s="1"/>
  <c r="BN26" i="1" s="1"/>
  <c r="BO26" i="1" s="1"/>
  <c r="BP26" i="1" s="1"/>
  <c r="BQ26" i="1" s="1"/>
  <c r="BR26" i="1" s="1"/>
  <c r="BS26" i="1" s="1"/>
  <c r="BT26" i="1" s="1"/>
  <c r="AV610" i="1"/>
  <c r="AW610" i="1" s="1"/>
  <c r="AX610" i="1" s="1"/>
  <c r="AY610" i="1" s="1"/>
  <c r="AZ610" i="1" s="1"/>
  <c r="BA610" i="1" s="1"/>
  <c r="BB610" i="1" s="1"/>
  <c r="BC610" i="1" s="1"/>
  <c r="BD610" i="1" s="1"/>
  <c r="BE610" i="1" s="1"/>
  <c r="BF610" i="1" s="1"/>
  <c r="BJ610" i="1" s="1"/>
  <c r="AV24" i="1"/>
  <c r="AW24" i="1" s="1"/>
  <c r="AX24" i="1" s="1"/>
  <c r="AY24" i="1" s="1"/>
  <c r="AZ24" i="1" s="1"/>
  <c r="BA24" i="1" s="1"/>
  <c r="BB24" i="1" s="1"/>
  <c r="BC24" i="1" s="1"/>
  <c r="BD24" i="1" s="1"/>
  <c r="BE24" i="1" s="1"/>
  <c r="BF24" i="1" s="1"/>
  <c r="BJ24" i="1" s="1"/>
  <c r="BK24" i="1" s="1"/>
  <c r="BL24" i="1" s="1"/>
  <c r="BM24" i="1" s="1"/>
  <c r="BN24" i="1" s="1"/>
  <c r="BO24" i="1" s="1"/>
  <c r="BP24" i="1" s="1"/>
  <c r="BQ24" i="1" s="1"/>
  <c r="BR24" i="1" s="1"/>
  <c r="BS24" i="1" s="1"/>
  <c r="BT24" i="1" s="1"/>
  <c r="AV606" i="1"/>
  <c r="AW606" i="1" s="1"/>
  <c r="AX606" i="1" s="1"/>
  <c r="AY606" i="1" s="1"/>
  <c r="AZ606" i="1" s="1"/>
  <c r="BA606" i="1" s="1"/>
  <c r="BB606" i="1" s="1"/>
  <c r="BC606" i="1" s="1"/>
  <c r="BD606" i="1" s="1"/>
  <c r="BE606" i="1" s="1"/>
  <c r="BV618" i="1"/>
  <c r="AR289" i="1"/>
  <c r="AS289" i="1" s="1"/>
  <c r="BU617" i="1"/>
  <c r="BY617" i="1" s="1"/>
  <c r="BZ617" i="1" s="1"/>
  <c r="CA617" i="1" s="1"/>
  <c r="CB617" i="1" s="1"/>
  <c r="CC617" i="1" s="1"/>
  <c r="CD617" i="1" s="1"/>
  <c r="CE617" i="1" s="1"/>
  <c r="CF617" i="1" s="1"/>
  <c r="CG617" i="1" s="1"/>
  <c r="CH617" i="1" s="1"/>
  <c r="CI617" i="1" s="1"/>
  <c r="CJ617" i="1" s="1"/>
  <c r="BU612" i="1"/>
  <c r="BY612" i="1" s="1"/>
  <c r="BZ612" i="1" s="1"/>
  <c r="CA612" i="1" s="1"/>
  <c r="CB612" i="1" s="1"/>
  <c r="CC612" i="1" s="1"/>
  <c r="CD612" i="1" s="1"/>
  <c r="CE612" i="1" s="1"/>
  <c r="CF612" i="1" s="1"/>
  <c r="CG612" i="1" s="1"/>
  <c r="CH612" i="1" s="1"/>
  <c r="CI612" i="1" s="1"/>
  <c r="CJ612" i="1" s="1"/>
  <c r="BU615" i="1"/>
  <c r="BY615" i="1" s="1"/>
  <c r="BZ615" i="1" s="1"/>
  <c r="CA615" i="1" s="1"/>
  <c r="CB615" i="1" s="1"/>
  <c r="CC615" i="1" s="1"/>
  <c r="CD615" i="1" s="1"/>
  <c r="CE615" i="1" s="1"/>
  <c r="CF615" i="1" s="1"/>
  <c r="CG615" i="1" s="1"/>
  <c r="CH615" i="1" s="1"/>
  <c r="CI615" i="1" s="1"/>
  <c r="CJ615" i="1" s="1"/>
  <c r="BU623" i="1"/>
  <c r="BY623" i="1" s="1"/>
  <c r="BZ623" i="1" s="1"/>
  <c r="CA623" i="1" s="1"/>
  <c r="CB623" i="1" s="1"/>
  <c r="CC623" i="1" s="1"/>
  <c r="CD623" i="1" s="1"/>
  <c r="CE623" i="1" s="1"/>
  <c r="CF623" i="1" s="1"/>
  <c r="CG623" i="1" s="1"/>
  <c r="CH623" i="1" s="1"/>
  <c r="CI623" i="1" s="1"/>
  <c r="CJ623" i="1" s="1"/>
  <c r="AP611" i="1"/>
  <c r="BG367" i="1"/>
  <c r="AR223" i="1"/>
  <c r="AS223" i="1" s="1"/>
  <c r="AU608" i="1"/>
  <c r="AR290" i="1"/>
  <c r="AS290" i="1" s="1"/>
  <c r="BF606" i="1"/>
  <c r="BG606" i="1" s="1"/>
  <c r="AR288" i="1"/>
  <c r="AS288" i="1" s="1"/>
  <c r="AR291" i="1"/>
  <c r="AS291" i="1" s="1"/>
  <c r="AR24" i="1"/>
  <c r="AS24" i="1" s="1"/>
  <c r="AR226" i="1"/>
  <c r="AS226" i="1" s="1"/>
  <c r="AR333" i="1"/>
  <c r="AS333" i="1" s="1"/>
  <c r="AR10" i="1"/>
  <c r="AS10" i="1" s="1"/>
  <c r="AR74" i="1"/>
  <c r="AS74" i="1" s="1"/>
  <c r="AO192" i="1"/>
  <c r="AR192" i="1" s="1"/>
  <c r="AS192" i="1" s="1"/>
  <c r="AO505" i="1"/>
  <c r="AU505" i="1" s="1"/>
  <c r="AO593" i="1"/>
  <c r="AR593" i="1" s="1"/>
  <c r="AS593" i="1" s="1"/>
  <c r="AO597" i="1"/>
  <c r="AR597" i="1" s="1"/>
  <c r="AS597" i="1" s="1"/>
  <c r="AO586" i="1"/>
  <c r="AR586" i="1" s="1"/>
  <c r="AS586" i="1" s="1"/>
  <c r="AO589" i="1"/>
  <c r="AR589" i="1" s="1"/>
  <c r="AS589" i="1" s="1"/>
  <c r="AO294" i="1"/>
  <c r="AR294" i="1" s="1"/>
  <c r="AS294" i="1" s="1"/>
  <c r="AO67" i="1"/>
  <c r="AR67" i="1" s="1"/>
  <c r="AS67" i="1" s="1"/>
  <c r="AR407" i="1"/>
  <c r="AS407" i="1" s="1"/>
  <c r="CK555" i="1"/>
  <c r="BG195" i="1"/>
  <c r="AR72" i="1"/>
  <c r="AS72" i="1" s="1"/>
  <c r="AR329" i="1"/>
  <c r="AS329" i="1" s="1"/>
  <c r="AR328" i="1"/>
  <c r="AS328" i="1" s="1"/>
  <c r="AR327" i="1"/>
  <c r="AS327" i="1" s="1"/>
  <c r="AR195" i="1"/>
  <c r="AS195" i="1" s="1"/>
  <c r="AR331" i="1"/>
  <c r="AS331" i="1" s="1"/>
  <c r="AR198" i="1"/>
  <c r="AS198" i="1" s="1"/>
  <c r="AR46" i="1"/>
  <c r="AS46" i="1" s="1"/>
  <c r="AR330" i="1"/>
  <c r="AS330" i="1" s="1"/>
  <c r="AO70" i="1"/>
  <c r="AR70" i="1" s="1"/>
  <c r="AS70" i="1" s="1"/>
  <c r="AO591" i="1"/>
  <c r="AR591" i="1" s="1"/>
  <c r="AS591" i="1" s="1"/>
  <c r="AO25" i="1"/>
  <c r="AU25" i="1" s="1"/>
  <c r="AO601" i="1"/>
  <c r="AR601" i="1" s="1"/>
  <c r="AS601" i="1" s="1"/>
  <c r="CK145" i="1"/>
  <c r="AO598" i="1"/>
  <c r="AR598" i="1" s="1"/>
  <c r="AS598" i="1" s="1"/>
  <c r="BG418" i="1"/>
  <c r="CK554" i="1"/>
  <c r="AO563" i="1"/>
  <c r="AU563" i="1" s="1"/>
  <c r="CK553" i="1"/>
  <c r="AO295" i="1"/>
  <c r="AR295" i="1" s="1"/>
  <c r="AS295" i="1" s="1"/>
  <c r="AO588" i="1"/>
  <c r="AR588" i="1" s="1"/>
  <c r="AS588" i="1" s="1"/>
  <c r="AO69" i="1"/>
  <c r="AR69" i="1" s="1"/>
  <c r="AS69" i="1" s="1"/>
  <c r="AO596" i="1"/>
  <c r="AR596" i="1" s="1"/>
  <c r="AS596" i="1" s="1"/>
  <c r="AO66" i="1"/>
  <c r="AR66" i="1" s="1"/>
  <c r="AS66" i="1" s="1"/>
  <c r="AO68" i="1"/>
  <c r="AP68" i="1" s="1"/>
  <c r="AO22" i="1"/>
  <c r="AR22" i="1" s="1"/>
  <c r="AS22" i="1" s="1"/>
  <c r="AR510" i="1"/>
  <c r="AS510" i="1" s="1"/>
  <c r="AO595" i="1"/>
  <c r="AP595" i="1" s="1"/>
  <c r="CK552" i="1"/>
  <c r="AO587" i="1"/>
  <c r="AR587" i="1" s="1"/>
  <c r="AS587" i="1" s="1"/>
  <c r="AO65" i="1"/>
  <c r="AR65" i="1" s="1"/>
  <c r="AS65" i="1" s="1"/>
  <c r="CK419" i="1"/>
  <c r="CK556" i="1"/>
  <c r="AO528" i="1"/>
  <c r="AU528" i="1" s="1"/>
  <c r="AO27" i="1"/>
  <c r="AU27" i="1" s="1"/>
  <c r="AO600" i="1"/>
  <c r="AR600" i="1" s="1"/>
  <c r="AS600" i="1" s="1"/>
  <c r="AO590" i="1"/>
  <c r="AR590" i="1" s="1"/>
  <c r="AS590" i="1" s="1"/>
  <c r="CK557" i="1"/>
  <c r="BG343" i="1"/>
  <c r="CK367" i="1"/>
  <c r="AR334" i="1"/>
  <c r="AS334" i="1" s="1"/>
  <c r="AR225" i="1"/>
  <c r="AS225" i="1" s="1"/>
  <c r="AR26" i="1"/>
  <c r="AS26" i="1" s="1"/>
  <c r="AR332" i="1"/>
  <c r="AS332" i="1" s="1"/>
  <c r="AR190" i="1"/>
  <c r="AS190" i="1" s="1"/>
  <c r="AR11" i="1"/>
  <c r="AS11" i="1" s="1"/>
  <c r="AR335" i="1"/>
  <c r="AS335" i="1" s="1"/>
  <c r="AO603" i="1"/>
  <c r="AR603" i="1" s="1"/>
  <c r="AS603" i="1" s="1"/>
  <c r="AO508" i="1"/>
  <c r="AU508" i="1" s="1"/>
  <c r="AO599" i="1"/>
  <c r="AP599" i="1" s="1"/>
  <c r="AR585" i="1"/>
  <c r="AS585" i="1" s="1"/>
  <c r="AO23" i="1"/>
  <c r="AU23" i="1" s="1"/>
  <c r="AR52" i="1"/>
  <c r="AS52" i="1" s="1"/>
  <c r="AO594" i="1"/>
  <c r="AR594" i="1" s="1"/>
  <c r="AS594" i="1" s="1"/>
  <c r="AO515" i="1"/>
  <c r="AU515" i="1" s="1"/>
  <c r="AR56" i="1"/>
  <c r="AS56" i="1" s="1"/>
  <c r="CM717" i="1"/>
  <c r="CM712" i="1"/>
  <c r="BM626" i="1"/>
  <c r="BN626" i="1" s="1"/>
  <c r="BO626" i="1" s="1"/>
  <c r="BP626" i="1" s="1"/>
  <c r="BQ626" i="1" s="1"/>
  <c r="BR626" i="1" s="1"/>
  <c r="BS626" i="1" s="1"/>
  <c r="BT626" i="1" s="1"/>
  <c r="BM628" i="1"/>
  <c r="BN628" i="1" s="1"/>
  <c r="BO628" i="1" s="1"/>
  <c r="BP628" i="1" s="1"/>
  <c r="BQ628" i="1" s="1"/>
  <c r="BR628" i="1" s="1"/>
  <c r="BS628" i="1" s="1"/>
  <c r="BT628" i="1" s="1"/>
  <c r="AT585" i="1"/>
  <c r="BM616" i="1"/>
  <c r="BN616" i="1" s="1"/>
  <c r="BO616" i="1" s="1"/>
  <c r="BP616" i="1" s="1"/>
  <c r="BQ616" i="1" s="1"/>
  <c r="BR616" i="1" s="1"/>
  <c r="BS616" i="1" s="1"/>
  <c r="BT616" i="1" s="1"/>
  <c r="BH152" i="4"/>
  <c r="BL636" i="1"/>
  <c r="BM636" i="1" s="1"/>
  <c r="BH232" i="4"/>
  <c r="BH197" i="4"/>
  <c r="CK618" i="1"/>
  <c r="BM629" i="1"/>
  <c r="BL634" i="1"/>
  <c r="BM634" i="1" s="1"/>
  <c r="AD80" i="1"/>
  <c r="AE80" i="1" s="1"/>
  <c r="AF80" i="1" s="1"/>
  <c r="AG80" i="1" s="1"/>
  <c r="AH80" i="1" s="1"/>
  <c r="AI80" i="1" s="1"/>
  <c r="AJ80" i="1" s="1"/>
  <c r="AK80" i="1" s="1"/>
  <c r="AL80" i="1" s="1"/>
  <c r="AM80" i="1" s="1"/>
  <c r="AN80" i="1" s="1"/>
  <c r="BI608" i="1"/>
  <c r="BI705" i="1" s="1"/>
  <c r="G9" i="8" s="1"/>
  <c r="AD592" i="1"/>
  <c r="AE592" i="1" s="1"/>
  <c r="AF592" i="1" s="1"/>
  <c r="AG592" i="1" s="1"/>
  <c r="AH592" i="1" s="1"/>
  <c r="AI592" i="1" s="1"/>
  <c r="AJ592" i="1" s="1"/>
  <c r="AK592" i="1" s="1"/>
  <c r="AL592" i="1" s="1"/>
  <c r="AM592" i="1" s="1"/>
  <c r="AN592" i="1" s="1"/>
  <c r="AD147" i="1"/>
  <c r="AE147" i="1" s="1"/>
  <c r="AF147" i="1" s="1"/>
  <c r="AG147" i="1" s="1"/>
  <c r="AH147" i="1" s="1"/>
  <c r="AI147" i="1" s="1"/>
  <c r="AJ147" i="1" s="1"/>
  <c r="AK147" i="1" s="1"/>
  <c r="AL147" i="1" s="1"/>
  <c r="AM147" i="1" s="1"/>
  <c r="AN147" i="1" s="1"/>
  <c r="AD602" i="1"/>
  <c r="AE602" i="1" s="1"/>
  <c r="AF602" i="1" s="1"/>
  <c r="AG602" i="1" s="1"/>
  <c r="AH602" i="1" s="1"/>
  <c r="AI602" i="1" s="1"/>
  <c r="AJ602" i="1" s="1"/>
  <c r="AK602" i="1" s="1"/>
  <c r="AL602" i="1" s="1"/>
  <c r="AM602" i="1" s="1"/>
  <c r="AN602" i="1" s="1"/>
  <c r="BK627" i="1"/>
  <c r="BK635" i="1"/>
  <c r="BK625" i="1"/>
  <c r="BK622" i="1"/>
  <c r="BK624" i="1"/>
  <c r="BK637" i="1"/>
  <c r="AV609" i="1"/>
  <c r="AW609" i="1" s="1"/>
  <c r="AX609" i="1" s="1"/>
  <c r="AY609" i="1" s="1"/>
  <c r="AZ609" i="1" s="1"/>
  <c r="BA609" i="1" s="1"/>
  <c r="BB609" i="1" s="1"/>
  <c r="BC609" i="1" s="1"/>
  <c r="BD609" i="1" s="1"/>
  <c r="BE609" i="1" s="1"/>
  <c r="AV604" i="1"/>
  <c r="AW604" i="1" s="1"/>
  <c r="AX604" i="1" s="1"/>
  <c r="AY604" i="1" s="1"/>
  <c r="AZ604" i="1" s="1"/>
  <c r="BA604" i="1" s="1"/>
  <c r="BB604" i="1" s="1"/>
  <c r="BC604" i="1" s="1"/>
  <c r="BD604" i="1" s="1"/>
  <c r="BE604" i="1" s="1"/>
  <c r="AV605" i="1"/>
  <c r="AW605" i="1" s="1"/>
  <c r="AX605" i="1" s="1"/>
  <c r="AY605" i="1" s="1"/>
  <c r="AZ605" i="1" s="1"/>
  <c r="BA605" i="1" s="1"/>
  <c r="BB605" i="1" s="1"/>
  <c r="BC605" i="1" s="1"/>
  <c r="BD605" i="1" s="1"/>
  <c r="BE605" i="1" s="1"/>
  <c r="AV607" i="1"/>
  <c r="AW607" i="1" s="1"/>
  <c r="AX607" i="1" s="1"/>
  <c r="AY607" i="1" s="1"/>
  <c r="AZ607" i="1" s="1"/>
  <c r="BA607" i="1" s="1"/>
  <c r="BB607" i="1" s="1"/>
  <c r="BC607" i="1" s="1"/>
  <c r="BD607" i="1" s="1"/>
  <c r="BE607" i="1" s="1"/>
  <c r="AA147" i="1"/>
  <c r="BH440" i="4"/>
  <c r="AT589" i="1"/>
  <c r="BH443" i="4"/>
  <c r="AT588" i="1"/>
  <c r="BH234" i="4"/>
  <c r="AT587" i="1"/>
  <c r="BH227" i="4"/>
  <c r="AT586" i="1"/>
  <c r="BH739" i="4"/>
  <c r="AT611" i="1"/>
  <c r="BH489" i="4"/>
  <c r="AT590" i="1"/>
  <c r="AU611" i="1"/>
  <c r="BH244" i="4"/>
  <c r="AT563" i="1"/>
  <c r="BH444" i="4"/>
  <c r="AT505" i="1"/>
  <c r="BH1005" i="4"/>
  <c r="AV596" i="5"/>
  <c r="AN588" i="5"/>
  <c r="AK578" i="5"/>
  <c r="AM577" i="5"/>
  <c r="BH889" i="4"/>
  <c r="BH1022" i="4"/>
  <c r="BH903" i="4"/>
  <c r="BH40" i="4"/>
  <c r="BH902" i="4"/>
  <c r="BH74" i="4"/>
  <c r="BH29" i="4"/>
  <c r="AA592" i="1"/>
  <c r="AA80" i="1"/>
  <c r="CN617" i="1" l="1"/>
  <c r="CN623" i="1"/>
  <c r="CN615" i="1"/>
  <c r="CO615" i="1" s="1"/>
  <c r="CP615" i="1" s="1"/>
  <c r="CQ615" i="1" s="1"/>
  <c r="CR615" i="1" s="1"/>
  <c r="CS615" i="1" s="1"/>
  <c r="CT615" i="1" s="1"/>
  <c r="CU615" i="1" s="1"/>
  <c r="CV615" i="1" s="1"/>
  <c r="CW615" i="1" s="1"/>
  <c r="CX615" i="1" s="1"/>
  <c r="CY615" i="1" s="1"/>
  <c r="CN612" i="1"/>
  <c r="CO612" i="1" s="1"/>
  <c r="CP612" i="1" s="1"/>
  <c r="CQ612" i="1" s="1"/>
  <c r="CR612" i="1" s="1"/>
  <c r="CS612" i="1" s="1"/>
  <c r="CT612" i="1" s="1"/>
  <c r="CU612" i="1" s="1"/>
  <c r="CV612" i="1" s="1"/>
  <c r="CW612" i="1" s="1"/>
  <c r="CX612" i="1" s="1"/>
  <c r="CY612" i="1" s="1"/>
  <c r="AV505" i="1"/>
  <c r="AW505" i="1" s="1"/>
  <c r="AX505" i="1" s="1"/>
  <c r="AY505" i="1" s="1"/>
  <c r="AZ505" i="1" s="1"/>
  <c r="BA505" i="1" s="1"/>
  <c r="BB505" i="1" s="1"/>
  <c r="BC505" i="1" s="1"/>
  <c r="BD505" i="1" s="1"/>
  <c r="BE505" i="1" s="1"/>
  <c r="BF505" i="1" s="1"/>
  <c r="BJ505" i="1" s="1"/>
  <c r="AV515" i="1"/>
  <c r="AW515" i="1" s="1"/>
  <c r="AX515" i="1" s="1"/>
  <c r="AY515" i="1" s="1"/>
  <c r="AZ515" i="1" s="1"/>
  <c r="BA515" i="1" s="1"/>
  <c r="BB515" i="1" s="1"/>
  <c r="BC515" i="1" s="1"/>
  <c r="BD515" i="1" s="1"/>
  <c r="BE515" i="1" s="1"/>
  <c r="BF515" i="1" s="1"/>
  <c r="BJ515" i="1" s="1"/>
  <c r="BK515" i="1" s="1"/>
  <c r="BL515" i="1" s="1"/>
  <c r="BM515" i="1" s="1"/>
  <c r="BN515" i="1" s="1"/>
  <c r="BO515" i="1" s="1"/>
  <c r="BP515" i="1" s="1"/>
  <c r="BQ515" i="1" s="1"/>
  <c r="BR515" i="1" s="1"/>
  <c r="BS515" i="1" s="1"/>
  <c r="BT515" i="1" s="1"/>
  <c r="AV508" i="1"/>
  <c r="AW508" i="1" s="1"/>
  <c r="AX508" i="1" s="1"/>
  <c r="AY508" i="1" s="1"/>
  <c r="AZ508" i="1" s="1"/>
  <c r="BA508" i="1" s="1"/>
  <c r="BB508" i="1" s="1"/>
  <c r="BC508" i="1" s="1"/>
  <c r="BD508" i="1" s="1"/>
  <c r="BE508" i="1" s="1"/>
  <c r="BF508" i="1" s="1"/>
  <c r="BJ508" i="1" s="1"/>
  <c r="BK508" i="1" s="1"/>
  <c r="BL508" i="1" s="1"/>
  <c r="BM508" i="1" s="1"/>
  <c r="BN508" i="1" s="1"/>
  <c r="BO508" i="1" s="1"/>
  <c r="BP508" i="1" s="1"/>
  <c r="BQ508" i="1" s="1"/>
  <c r="BR508" i="1" s="1"/>
  <c r="BS508" i="1" s="1"/>
  <c r="BT508" i="1" s="1"/>
  <c r="AV608" i="1"/>
  <c r="AW608" i="1" s="1"/>
  <c r="AX608" i="1" s="1"/>
  <c r="AY608" i="1" s="1"/>
  <c r="AZ608" i="1" s="1"/>
  <c r="BA608" i="1" s="1"/>
  <c r="BB608" i="1" s="1"/>
  <c r="BC608" i="1" s="1"/>
  <c r="BD608" i="1" s="1"/>
  <c r="BE608" i="1" s="1"/>
  <c r="BF608" i="1" s="1"/>
  <c r="BJ608" i="1" s="1"/>
  <c r="BK608" i="1" s="1"/>
  <c r="BL608" i="1" s="1"/>
  <c r="BM608" i="1" s="1"/>
  <c r="BN608" i="1" s="1"/>
  <c r="BO608" i="1" s="1"/>
  <c r="BP608" i="1" s="1"/>
  <c r="BQ608" i="1" s="1"/>
  <c r="BR608" i="1" s="1"/>
  <c r="BS608" i="1" s="1"/>
  <c r="BT608" i="1" s="1"/>
  <c r="AV563" i="1"/>
  <c r="AW563" i="1" s="1"/>
  <c r="AX563" i="1" s="1"/>
  <c r="AY563" i="1" s="1"/>
  <c r="AZ563" i="1" s="1"/>
  <c r="BA563" i="1" s="1"/>
  <c r="BB563" i="1" s="1"/>
  <c r="BC563" i="1" s="1"/>
  <c r="BD563" i="1" s="1"/>
  <c r="BE563" i="1" s="1"/>
  <c r="BF563" i="1" s="1"/>
  <c r="BJ563" i="1" s="1"/>
  <c r="BK563" i="1" s="1"/>
  <c r="BL563" i="1" s="1"/>
  <c r="BM563" i="1" s="1"/>
  <c r="BN563" i="1" s="1"/>
  <c r="BO563" i="1" s="1"/>
  <c r="BP563" i="1" s="1"/>
  <c r="BQ563" i="1" s="1"/>
  <c r="BR563" i="1" s="1"/>
  <c r="BS563" i="1" s="1"/>
  <c r="BT563" i="1" s="1"/>
  <c r="AV25" i="1"/>
  <c r="AW25" i="1" s="1"/>
  <c r="AX25" i="1" s="1"/>
  <c r="AY25" i="1" s="1"/>
  <c r="AZ25" i="1" s="1"/>
  <c r="BA25" i="1" s="1"/>
  <c r="BB25" i="1" s="1"/>
  <c r="BC25" i="1" s="1"/>
  <c r="BD25" i="1" s="1"/>
  <c r="BE25" i="1" s="1"/>
  <c r="BF25" i="1" s="1"/>
  <c r="BJ25" i="1" s="1"/>
  <c r="AV27" i="1"/>
  <c r="AW27" i="1" s="1"/>
  <c r="AX27" i="1" s="1"/>
  <c r="AY27" i="1" s="1"/>
  <c r="AZ27" i="1" s="1"/>
  <c r="BA27" i="1" s="1"/>
  <c r="BB27" i="1" s="1"/>
  <c r="BC27" i="1" s="1"/>
  <c r="BD27" i="1" s="1"/>
  <c r="BE27" i="1" s="1"/>
  <c r="BF27" i="1" s="1"/>
  <c r="BJ27" i="1" s="1"/>
  <c r="BK27" i="1" s="1"/>
  <c r="BL27" i="1" s="1"/>
  <c r="BM27" i="1" s="1"/>
  <c r="BN27" i="1" s="1"/>
  <c r="BO27" i="1" s="1"/>
  <c r="BP27" i="1" s="1"/>
  <c r="BQ27" i="1" s="1"/>
  <c r="BR27" i="1" s="1"/>
  <c r="BS27" i="1" s="1"/>
  <c r="BT27" i="1" s="1"/>
  <c r="AV23" i="1"/>
  <c r="AW23" i="1" s="1"/>
  <c r="AX23" i="1" s="1"/>
  <c r="AY23" i="1" s="1"/>
  <c r="AZ23" i="1" s="1"/>
  <c r="BA23" i="1" s="1"/>
  <c r="BB23" i="1" s="1"/>
  <c r="BC23" i="1" s="1"/>
  <c r="BD23" i="1" s="1"/>
  <c r="BE23" i="1" s="1"/>
  <c r="BF23" i="1" s="1"/>
  <c r="BJ23" i="1" s="1"/>
  <c r="AV528" i="1"/>
  <c r="AW528" i="1" s="1"/>
  <c r="AX528" i="1" s="1"/>
  <c r="AY528" i="1" s="1"/>
  <c r="AZ528" i="1" s="1"/>
  <c r="BA528" i="1" s="1"/>
  <c r="BB528" i="1" s="1"/>
  <c r="BC528" i="1" s="1"/>
  <c r="BD528" i="1" s="1"/>
  <c r="BE528" i="1" s="1"/>
  <c r="BF528" i="1" s="1"/>
  <c r="BJ528" i="1" s="1"/>
  <c r="AU586" i="1"/>
  <c r="BJ606" i="1"/>
  <c r="BV612" i="1"/>
  <c r="AU192" i="1"/>
  <c r="AP294" i="1"/>
  <c r="AU294" i="1"/>
  <c r="AP67" i="1"/>
  <c r="AU295" i="1"/>
  <c r="BV615" i="1"/>
  <c r="BV623" i="1"/>
  <c r="BU628" i="1"/>
  <c r="BY628" i="1" s="1"/>
  <c r="BZ628" i="1" s="1"/>
  <c r="CA628" i="1" s="1"/>
  <c r="CB628" i="1" s="1"/>
  <c r="CC628" i="1" s="1"/>
  <c r="CD628" i="1" s="1"/>
  <c r="CE628" i="1" s="1"/>
  <c r="CF628" i="1" s="1"/>
  <c r="CG628" i="1" s="1"/>
  <c r="CH628" i="1" s="1"/>
  <c r="CI628" i="1" s="1"/>
  <c r="CJ628" i="1" s="1"/>
  <c r="AU65" i="1"/>
  <c r="AU589" i="1"/>
  <c r="AP65" i="1"/>
  <c r="BV617" i="1"/>
  <c r="BU626" i="1"/>
  <c r="BY626" i="1" s="1"/>
  <c r="BZ626" i="1" s="1"/>
  <c r="CA626" i="1" s="1"/>
  <c r="CB626" i="1" s="1"/>
  <c r="CC626" i="1" s="1"/>
  <c r="CD626" i="1" s="1"/>
  <c r="CE626" i="1" s="1"/>
  <c r="CF626" i="1" s="1"/>
  <c r="CG626" i="1" s="1"/>
  <c r="CH626" i="1" s="1"/>
  <c r="CI626" i="1" s="1"/>
  <c r="CJ626" i="1" s="1"/>
  <c r="BU24" i="1"/>
  <c r="BY24" i="1" s="1"/>
  <c r="BZ24" i="1" s="1"/>
  <c r="CA24" i="1" s="1"/>
  <c r="CB24" i="1" s="1"/>
  <c r="CC24" i="1" s="1"/>
  <c r="CD24" i="1" s="1"/>
  <c r="CE24" i="1" s="1"/>
  <c r="CF24" i="1" s="1"/>
  <c r="CG24" i="1" s="1"/>
  <c r="CH24" i="1" s="1"/>
  <c r="CI24" i="1" s="1"/>
  <c r="CJ24" i="1" s="1"/>
  <c r="BU26" i="1"/>
  <c r="BY26" i="1" s="1"/>
  <c r="BZ26" i="1" s="1"/>
  <c r="CA26" i="1" s="1"/>
  <c r="CB26" i="1" s="1"/>
  <c r="CC26" i="1" s="1"/>
  <c r="CD26" i="1" s="1"/>
  <c r="CE26" i="1" s="1"/>
  <c r="CF26" i="1" s="1"/>
  <c r="CG26" i="1" s="1"/>
  <c r="CH26" i="1" s="1"/>
  <c r="CI26" i="1" s="1"/>
  <c r="CJ26" i="1" s="1"/>
  <c r="BU616" i="1"/>
  <c r="BY616" i="1" s="1"/>
  <c r="BZ616" i="1" s="1"/>
  <c r="CA616" i="1" s="1"/>
  <c r="CB616" i="1" s="1"/>
  <c r="CC616" i="1" s="1"/>
  <c r="CD616" i="1" s="1"/>
  <c r="CE616" i="1" s="1"/>
  <c r="CF616" i="1" s="1"/>
  <c r="CG616" i="1" s="1"/>
  <c r="CH616" i="1" s="1"/>
  <c r="CI616" i="1" s="1"/>
  <c r="CJ616" i="1" s="1"/>
  <c r="AU70" i="1"/>
  <c r="AU588" i="1"/>
  <c r="AP597" i="1"/>
  <c r="AP70" i="1"/>
  <c r="BG610" i="1"/>
  <c r="BG407" i="1"/>
  <c r="AP69" i="1"/>
  <c r="AP295" i="1"/>
  <c r="AP598" i="1"/>
  <c r="CK407" i="1"/>
  <c r="BF605" i="1"/>
  <c r="BG605" i="1" s="1"/>
  <c r="AU22" i="1"/>
  <c r="AP593" i="1"/>
  <c r="BF609" i="1"/>
  <c r="BG609" i="1" s="1"/>
  <c r="BG52" i="1"/>
  <c r="BF607" i="1"/>
  <c r="BG607" i="1" s="1"/>
  <c r="AR68" i="1"/>
  <c r="AS68" i="1" s="1"/>
  <c r="BF604" i="1"/>
  <c r="BJ604" i="1" s="1"/>
  <c r="AP66" i="1"/>
  <c r="AU69" i="1"/>
  <c r="AP192" i="1"/>
  <c r="CK52" i="1"/>
  <c r="CK418" i="1"/>
  <c r="CK343" i="1"/>
  <c r="AU68" i="1"/>
  <c r="AU590" i="1"/>
  <c r="AU587" i="1"/>
  <c r="AR418" i="1"/>
  <c r="AS418" i="1" s="1"/>
  <c r="AR528" i="1"/>
  <c r="AS528" i="1" s="1"/>
  <c r="AR599" i="1"/>
  <c r="AS599" i="1" s="1"/>
  <c r="AP594" i="1"/>
  <c r="AP591" i="1"/>
  <c r="AR595" i="1"/>
  <c r="AS595" i="1" s="1"/>
  <c r="BG510" i="1"/>
  <c r="AO602" i="1"/>
  <c r="AR602" i="1" s="1"/>
  <c r="AS602" i="1" s="1"/>
  <c r="AU66" i="1"/>
  <c r="AU67" i="1"/>
  <c r="AP596" i="1"/>
  <c r="AP603" i="1"/>
  <c r="AO80" i="1"/>
  <c r="AR80" i="1" s="1"/>
  <c r="AS80" i="1" s="1"/>
  <c r="CK510" i="1"/>
  <c r="BG419" i="1"/>
  <c r="AR515" i="1"/>
  <c r="AS515" i="1" s="1"/>
  <c r="AR23" i="1"/>
  <c r="AS23" i="1" s="1"/>
  <c r="AR508" i="1"/>
  <c r="AS508" i="1" s="1"/>
  <c r="AR343" i="1"/>
  <c r="AS343" i="1" s="1"/>
  <c r="AR563" i="1"/>
  <c r="AS563" i="1" s="1"/>
  <c r="AR25" i="1"/>
  <c r="AS25" i="1" s="1"/>
  <c r="AO147" i="1"/>
  <c r="AR147" i="1" s="1"/>
  <c r="AS147" i="1" s="1"/>
  <c r="AR27" i="1"/>
  <c r="AS27" i="1" s="1"/>
  <c r="AR419" i="1"/>
  <c r="AS419" i="1" s="1"/>
  <c r="AR505" i="1"/>
  <c r="AS505" i="1" s="1"/>
  <c r="AO592" i="1"/>
  <c r="AR592" i="1" s="1"/>
  <c r="AS592" i="1" s="1"/>
  <c r="CZ618" i="1"/>
  <c r="CK615" i="1"/>
  <c r="CK623" i="1"/>
  <c r="BL624" i="1"/>
  <c r="BM624" i="1" s="1"/>
  <c r="BN624" i="1" s="1"/>
  <c r="BO624" i="1" s="1"/>
  <c r="BP624" i="1" s="1"/>
  <c r="BQ624" i="1" s="1"/>
  <c r="BR624" i="1" s="1"/>
  <c r="BS624" i="1" s="1"/>
  <c r="BT624" i="1" s="1"/>
  <c r="CK617" i="1"/>
  <c r="CK612" i="1"/>
  <c r="BL622" i="1"/>
  <c r="BM622" i="1" s="1"/>
  <c r="BN622" i="1" s="1"/>
  <c r="BO622" i="1" s="1"/>
  <c r="BP622" i="1" s="1"/>
  <c r="BQ622" i="1" s="1"/>
  <c r="BR622" i="1" s="1"/>
  <c r="BS622" i="1" s="1"/>
  <c r="BT622" i="1" s="1"/>
  <c r="BL625" i="1"/>
  <c r="BM625" i="1" s="1"/>
  <c r="BN625" i="1" s="1"/>
  <c r="BO625" i="1" s="1"/>
  <c r="BP625" i="1" s="1"/>
  <c r="BQ625" i="1" s="1"/>
  <c r="BR625" i="1" s="1"/>
  <c r="BS625" i="1" s="1"/>
  <c r="BT625" i="1" s="1"/>
  <c r="BN629" i="1"/>
  <c r="BO629" i="1" s="1"/>
  <c r="BP629" i="1" s="1"/>
  <c r="BQ629" i="1" s="1"/>
  <c r="BR629" i="1" s="1"/>
  <c r="BS629" i="1" s="1"/>
  <c r="BT629" i="1" s="1"/>
  <c r="BL635" i="1"/>
  <c r="BM635" i="1" s="1"/>
  <c r="BN634" i="1"/>
  <c r="BN636" i="1"/>
  <c r="BL627" i="1"/>
  <c r="BL637" i="1"/>
  <c r="BM637" i="1" s="1"/>
  <c r="BN637" i="1" s="1"/>
  <c r="BI606" i="1"/>
  <c r="BI610" i="1"/>
  <c r="BK610" i="1"/>
  <c r="AU591" i="1"/>
  <c r="AU598" i="1"/>
  <c r="AU594" i="1"/>
  <c r="AU601" i="1"/>
  <c r="AU600" i="1"/>
  <c r="AU603" i="1"/>
  <c r="AV611" i="1"/>
  <c r="AW611" i="1" s="1"/>
  <c r="AX611" i="1" s="1"/>
  <c r="AY611" i="1" s="1"/>
  <c r="AZ611" i="1" s="1"/>
  <c r="BA611" i="1" s="1"/>
  <c r="BB611" i="1" s="1"/>
  <c r="BC611" i="1" s="1"/>
  <c r="BD611" i="1" s="1"/>
  <c r="BE611" i="1" s="1"/>
  <c r="BH619" i="4"/>
  <c r="AT599" i="1"/>
  <c r="BH1040" i="4"/>
  <c r="AT600" i="1"/>
  <c r="BH616" i="4"/>
  <c r="AT594" i="1"/>
  <c r="BH617" i="4"/>
  <c r="AT598" i="1"/>
  <c r="BH740" i="4"/>
  <c r="AT593" i="1"/>
  <c r="AU593" i="1"/>
  <c r="BH612" i="4"/>
  <c r="AT595" i="1"/>
  <c r="AU595" i="1"/>
  <c r="BH605" i="4"/>
  <c r="AT596" i="1"/>
  <c r="BH1033" i="4"/>
  <c r="AT601" i="1"/>
  <c r="BH638" i="4"/>
  <c r="AT597" i="1"/>
  <c r="BH615" i="4"/>
  <c r="AT591" i="1"/>
  <c r="AU597" i="1"/>
  <c r="BH643" i="4"/>
  <c r="AT603" i="1"/>
  <c r="AU599" i="1"/>
  <c r="AU596" i="1"/>
  <c r="BH163" i="4"/>
  <c r="BH164" i="4"/>
  <c r="BH166" i="4"/>
  <c r="BH165" i="4"/>
  <c r="BH743" i="4"/>
  <c r="BH742" i="4"/>
  <c r="BH167" i="4"/>
  <c r="BH168" i="4"/>
  <c r="AN577" i="5"/>
  <c r="AO588" i="5"/>
  <c r="AL578" i="5"/>
  <c r="AW596" i="5"/>
  <c r="BH110" i="4"/>
  <c r="CO623" i="1" l="1"/>
  <c r="CP623" i="1" s="1"/>
  <c r="CQ623" i="1" s="1"/>
  <c r="CR623" i="1" s="1"/>
  <c r="CS623" i="1" s="1"/>
  <c r="CT623" i="1" s="1"/>
  <c r="CU623" i="1" s="1"/>
  <c r="CV623" i="1" s="1"/>
  <c r="CW623" i="1" s="1"/>
  <c r="CX623" i="1" s="1"/>
  <c r="CY623" i="1" s="1"/>
  <c r="CN24" i="1"/>
  <c r="CO24" i="1" s="1"/>
  <c r="CP24" i="1" s="1"/>
  <c r="CQ24" i="1" s="1"/>
  <c r="CR24" i="1" s="1"/>
  <c r="CS24" i="1" s="1"/>
  <c r="CT24" i="1" s="1"/>
  <c r="CU24" i="1" s="1"/>
  <c r="CV24" i="1" s="1"/>
  <c r="CW24" i="1" s="1"/>
  <c r="CX24" i="1" s="1"/>
  <c r="CY24" i="1" s="1"/>
  <c r="CN616" i="1"/>
  <c r="CO616" i="1" s="1"/>
  <c r="CP616" i="1" s="1"/>
  <c r="CQ616" i="1" s="1"/>
  <c r="CR616" i="1" s="1"/>
  <c r="CS616" i="1" s="1"/>
  <c r="CT616" i="1" s="1"/>
  <c r="CU616" i="1" s="1"/>
  <c r="CV616" i="1" s="1"/>
  <c r="CW616" i="1" s="1"/>
  <c r="CX616" i="1" s="1"/>
  <c r="CY616" i="1" s="1"/>
  <c r="CN26" i="1"/>
  <c r="CO26" i="1" s="1"/>
  <c r="CP26" i="1" s="1"/>
  <c r="CQ26" i="1" s="1"/>
  <c r="CR26" i="1" s="1"/>
  <c r="CS26" i="1" s="1"/>
  <c r="CT26" i="1" s="1"/>
  <c r="CU26" i="1" s="1"/>
  <c r="CV26" i="1" s="1"/>
  <c r="CW26" i="1" s="1"/>
  <c r="CX26" i="1" s="1"/>
  <c r="CY26" i="1" s="1"/>
  <c r="CN628" i="1"/>
  <c r="CO628" i="1" s="1"/>
  <c r="CP628" i="1" s="1"/>
  <c r="CQ628" i="1" s="1"/>
  <c r="CR628" i="1" s="1"/>
  <c r="CS628" i="1" s="1"/>
  <c r="CT628" i="1" s="1"/>
  <c r="CU628" i="1" s="1"/>
  <c r="CV628" i="1" s="1"/>
  <c r="CW628" i="1" s="1"/>
  <c r="CX628" i="1" s="1"/>
  <c r="CY628" i="1" s="1"/>
  <c r="CN626" i="1"/>
  <c r="CO617" i="1"/>
  <c r="CP617" i="1" s="1"/>
  <c r="CQ617" i="1" s="1"/>
  <c r="CR617" i="1" s="1"/>
  <c r="CS617" i="1" s="1"/>
  <c r="CT617" i="1" s="1"/>
  <c r="CU617" i="1" s="1"/>
  <c r="CV617" i="1" s="1"/>
  <c r="CW617" i="1" s="1"/>
  <c r="CX617" i="1" s="1"/>
  <c r="CY617" i="1" s="1"/>
  <c r="BK25" i="1"/>
  <c r="BL25" i="1" s="1"/>
  <c r="BM25" i="1" s="1"/>
  <c r="BN25" i="1" s="1"/>
  <c r="BO25" i="1" s="1"/>
  <c r="BP25" i="1" s="1"/>
  <c r="BQ25" i="1" s="1"/>
  <c r="BR25" i="1" s="1"/>
  <c r="BS25" i="1" s="1"/>
  <c r="BT25" i="1" s="1"/>
  <c r="BU25" i="1" s="1"/>
  <c r="BY25" i="1" s="1"/>
  <c r="BZ25" i="1" s="1"/>
  <c r="CA25" i="1" s="1"/>
  <c r="CB25" i="1" s="1"/>
  <c r="CC25" i="1" s="1"/>
  <c r="CD25" i="1" s="1"/>
  <c r="CE25" i="1" s="1"/>
  <c r="CF25" i="1" s="1"/>
  <c r="CG25" i="1" s="1"/>
  <c r="CH25" i="1" s="1"/>
  <c r="CI25" i="1" s="1"/>
  <c r="CJ25" i="1" s="1"/>
  <c r="BK528" i="1"/>
  <c r="BL528" i="1" s="1"/>
  <c r="BM528" i="1" s="1"/>
  <c r="BN528" i="1" s="1"/>
  <c r="BO528" i="1" s="1"/>
  <c r="BP528" i="1" s="1"/>
  <c r="BQ528" i="1" s="1"/>
  <c r="BR528" i="1" s="1"/>
  <c r="BS528" i="1" s="1"/>
  <c r="BT528" i="1" s="1"/>
  <c r="BU528" i="1" s="1"/>
  <c r="BY528" i="1" s="1"/>
  <c r="BZ528" i="1" s="1"/>
  <c r="CA528" i="1" s="1"/>
  <c r="CB528" i="1" s="1"/>
  <c r="CC528" i="1" s="1"/>
  <c r="CD528" i="1" s="1"/>
  <c r="CE528" i="1" s="1"/>
  <c r="CF528" i="1" s="1"/>
  <c r="CG528" i="1" s="1"/>
  <c r="CH528" i="1" s="1"/>
  <c r="CI528" i="1" s="1"/>
  <c r="CJ528" i="1" s="1"/>
  <c r="BK23" i="1"/>
  <c r="BL23" i="1" s="1"/>
  <c r="BM23" i="1" s="1"/>
  <c r="BN23" i="1" s="1"/>
  <c r="BO23" i="1" s="1"/>
  <c r="BP23" i="1" s="1"/>
  <c r="BQ23" i="1" s="1"/>
  <c r="BR23" i="1" s="1"/>
  <c r="BS23" i="1" s="1"/>
  <c r="BT23" i="1" s="1"/>
  <c r="BU23" i="1" s="1"/>
  <c r="BY23" i="1" s="1"/>
  <c r="BZ23" i="1" s="1"/>
  <c r="CA23" i="1" s="1"/>
  <c r="CB23" i="1" s="1"/>
  <c r="CC23" i="1" s="1"/>
  <c r="CD23" i="1" s="1"/>
  <c r="CE23" i="1" s="1"/>
  <c r="CF23" i="1" s="1"/>
  <c r="CG23" i="1" s="1"/>
  <c r="CH23" i="1" s="1"/>
  <c r="CI23" i="1" s="1"/>
  <c r="CJ23" i="1" s="1"/>
  <c r="BK505" i="1"/>
  <c r="BL505" i="1" s="1"/>
  <c r="BM505" i="1" s="1"/>
  <c r="BN505" i="1" s="1"/>
  <c r="BO505" i="1" s="1"/>
  <c r="BP505" i="1" s="1"/>
  <c r="BQ505" i="1" s="1"/>
  <c r="BR505" i="1" s="1"/>
  <c r="BS505" i="1" s="1"/>
  <c r="BT505" i="1" s="1"/>
  <c r="BU505" i="1" s="1"/>
  <c r="BY505" i="1" s="1"/>
  <c r="BZ505" i="1" s="1"/>
  <c r="CA505" i="1" s="1"/>
  <c r="CB505" i="1" s="1"/>
  <c r="CC505" i="1" s="1"/>
  <c r="CD505" i="1" s="1"/>
  <c r="CE505" i="1" s="1"/>
  <c r="CF505" i="1" s="1"/>
  <c r="CG505" i="1" s="1"/>
  <c r="CH505" i="1" s="1"/>
  <c r="CI505" i="1" s="1"/>
  <c r="CJ505" i="1" s="1"/>
  <c r="AV594" i="1"/>
  <c r="AW594" i="1" s="1"/>
  <c r="AX594" i="1" s="1"/>
  <c r="AY594" i="1" s="1"/>
  <c r="AZ594" i="1" s="1"/>
  <c r="BA594" i="1" s="1"/>
  <c r="BB594" i="1" s="1"/>
  <c r="BC594" i="1" s="1"/>
  <c r="BD594" i="1" s="1"/>
  <c r="BE594" i="1" s="1"/>
  <c r="BF594" i="1" s="1"/>
  <c r="BJ594" i="1" s="1"/>
  <c r="AV598" i="1"/>
  <c r="AW598" i="1" s="1"/>
  <c r="AX598" i="1" s="1"/>
  <c r="AY598" i="1" s="1"/>
  <c r="AZ598" i="1" s="1"/>
  <c r="BA598" i="1" s="1"/>
  <c r="BB598" i="1" s="1"/>
  <c r="BC598" i="1" s="1"/>
  <c r="BD598" i="1" s="1"/>
  <c r="BE598" i="1" s="1"/>
  <c r="BF598" i="1" s="1"/>
  <c r="BG598" i="1" s="1"/>
  <c r="AV22" i="1"/>
  <c r="AW22" i="1" s="1"/>
  <c r="AX22" i="1" s="1"/>
  <c r="AY22" i="1" s="1"/>
  <c r="AZ22" i="1" s="1"/>
  <c r="BA22" i="1" s="1"/>
  <c r="BB22" i="1" s="1"/>
  <c r="BC22" i="1" s="1"/>
  <c r="BD22" i="1" s="1"/>
  <c r="BE22" i="1" s="1"/>
  <c r="BF22" i="1" s="1"/>
  <c r="BJ22" i="1" s="1"/>
  <c r="BK22" i="1" s="1"/>
  <c r="BL22" i="1" s="1"/>
  <c r="BM22" i="1" s="1"/>
  <c r="BN22" i="1" s="1"/>
  <c r="BO22" i="1" s="1"/>
  <c r="BP22" i="1" s="1"/>
  <c r="BQ22" i="1" s="1"/>
  <c r="BR22" i="1" s="1"/>
  <c r="BS22" i="1" s="1"/>
  <c r="BT22" i="1" s="1"/>
  <c r="AV70" i="1"/>
  <c r="AW70" i="1" s="1"/>
  <c r="AX70" i="1" s="1"/>
  <c r="AY70" i="1" s="1"/>
  <c r="AZ70" i="1" s="1"/>
  <c r="BA70" i="1" s="1"/>
  <c r="BB70" i="1" s="1"/>
  <c r="BC70" i="1" s="1"/>
  <c r="BD70" i="1" s="1"/>
  <c r="BE70" i="1" s="1"/>
  <c r="BF70" i="1" s="1"/>
  <c r="AV295" i="1"/>
  <c r="AW295" i="1" s="1"/>
  <c r="AX295" i="1" s="1"/>
  <c r="AY295" i="1" s="1"/>
  <c r="AZ295" i="1" s="1"/>
  <c r="BA295" i="1" s="1"/>
  <c r="BB295" i="1" s="1"/>
  <c r="BC295" i="1" s="1"/>
  <c r="BD295" i="1" s="1"/>
  <c r="BE295" i="1" s="1"/>
  <c r="BF295" i="1" s="1"/>
  <c r="BG295" i="1" s="1"/>
  <c r="BK606" i="1"/>
  <c r="BL606" i="1" s="1"/>
  <c r="BM606" i="1" s="1"/>
  <c r="BN606" i="1" s="1"/>
  <c r="BO606" i="1" s="1"/>
  <c r="BP606" i="1" s="1"/>
  <c r="BQ606" i="1" s="1"/>
  <c r="BR606" i="1" s="1"/>
  <c r="BS606" i="1" s="1"/>
  <c r="BT606" i="1" s="1"/>
  <c r="AV67" i="1"/>
  <c r="AW67" i="1" s="1"/>
  <c r="AX67" i="1" s="1"/>
  <c r="AY67" i="1" s="1"/>
  <c r="AZ67" i="1" s="1"/>
  <c r="BA67" i="1" s="1"/>
  <c r="BB67" i="1" s="1"/>
  <c r="BC67" i="1" s="1"/>
  <c r="BD67" i="1" s="1"/>
  <c r="BE67" i="1" s="1"/>
  <c r="BF67" i="1" s="1"/>
  <c r="BJ67" i="1" s="1"/>
  <c r="AV588" i="1"/>
  <c r="AW588" i="1" s="1"/>
  <c r="AX588" i="1" s="1"/>
  <c r="AY588" i="1" s="1"/>
  <c r="AZ588" i="1" s="1"/>
  <c r="BA588" i="1" s="1"/>
  <c r="BB588" i="1" s="1"/>
  <c r="BC588" i="1" s="1"/>
  <c r="BD588" i="1" s="1"/>
  <c r="BE588" i="1" s="1"/>
  <c r="BF588" i="1" s="1"/>
  <c r="BJ588" i="1" s="1"/>
  <c r="BK588" i="1" s="1"/>
  <c r="BL588" i="1" s="1"/>
  <c r="BM588" i="1" s="1"/>
  <c r="BN588" i="1" s="1"/>
  <c r="BO588" i="1" s="1"/>
  <c r="BP588" i="1" s="1"/>
  <c r="BQ588" i="1" s="1"/>
  <c r="BR588" i="1" s="1"/>
  <c r="BS588" i="1" s="1"/>
  <c r="BT588" i="1" s="1"/>
  <c r="BU588" i="1" s="1"/>
  <c r="BY588" i="1" s="1"/>
  <c r="BZ588" i="1" s="1"/>
  <c r="CA588" i="1" s="1"/>
  <c r="CB588" i="1" s="1"/>
  <c r="CC588" i="1" s="1"/>
  <c r="CD588" i="1" s="1"/>
  <c r="CE588" i="1" s="1"/>
  <c r="CF588" i="1" s="1"/>
  <c r="CG588" i="1" s="1"/>
  <c r="CH588" i="1" s="1"/>
  <c r="CI588" i="1" s="1"/>
  <c r="CJ588" i="1" s="1"/>
  <c r="AV591" i="1"/>
  <c r="AW591" i="1" s="1"/>
  <c r="AX591" i="1" s="1"/>
  <c r="AY591" i="1" s="1"/>
  <c r="AZ591" i="1" s="1"/>
  <c r="BA591" i="1" s="1"/>
  <c r="BB591" i="1" s="1"/>
  <c r="BC591" i="1" s="1"/>
  <c r="BD591" i="1" s="1"/>
  <c r="BE591" i="1" s="1"/>
  <c r="AV587" i="1"/>
  <c r="AW587" i="1" s="1"/>
  <c r="AX587" i="1" s="1"/>
  <c r="AY587" i="1" s="1"/>
  <c r="AZ587" i="1" s="1"/>
  <c r="BA587" i="1" s="1"/>
  <c r="BB587" i="1" s="1"/>
  <c r="BC587" i="1" s="1"/>
  <c r="BD587" i="1" s="1"/>
  <c r="BE587" i="1" s="1"/>
  <c r="BF587" i="1" s="1"/>
  <c r="BJ587" i="1" s="1"/>
  <c r="BK587" i="1" s="1"/>
  <c r="BL587" i="1" s="1"/>
  <c r="BM587" i="1" s="1"/>
  <c r="BN587" i="1" s="1"/>
  <c r="AV589" i="1"/>
  <c r="AW589" i="1" s="1"/>
  <c r="AX589" i="1" s="1"/>
  <c r="AY589" i="1" s="1"/>
  <c r="AZ589" i="1" s="1"/>
  <c r="BA589" i="1" s="1"/>
  <c r="BB589" i="1" s="1"/>
  <c r="BC589" i="1" s="1"/>
  <c r="BD589" i="1" s="1"/>
  <c r="BE589" i="1" s="1"/>
  <c r="BF589" i="1" s="1"/>
  <c r="BJ589" i="1" s="1"/>
  <c r="BK589" i="1" s="1"/>
  <c r="BL589" i="1" s="1"/>
  <c r="BM589" i="1" s="1"/>
  <c r="BN589" i="1" s="1"/>
  <c r="BO589" i="1" s="1"/>
  <c r="BP589" i="1" s="1"/>
  <c r="BQ589" i="1" s="1"/>
  <c r="BR589" i="1" s="1"/>
  <c r="BS589" i="1" s="1"/>
  <c r="BT589" i="1" s="1"/>
  <c r="BU589" i="1" s="1"/>
  <c r="BY589" i="1" s="1"/>
  <c r="BZ589" i="1" s="1"/>
  <c r="CA589" i="1" s="1"/>
  <c r="CB589" i="1" s="1"/>
  <c r="CC589" i="1" s="1"/>
  <c r="CD589" i="1" s="1"/>
  <c r="CE589" i="1" s="1"/>
  <c r="CF589" i="1" s="1"/>
  <c r="CG589" i="1" s="1"/>
  <c r="CH589" i="1" s="1"/>
  <c r="CI589" i="1" s="1"/>
  <c r="CJ589" i="1" s="1"/>
  <c r="AV586" i="1"/>
  <c r="AW586" i="1" s="1"/>
  <c r="AX586" i="1" s="1"/>
  <c r="AY586" i="1" s="1"/>
  <c r="AZ586" i="1" s="1"/>
  <c r="BA586" i="1" s="1"/>
  <c r="BB586" i="1" s="1"/>
  <c r="BC586" i="1" s="1"/>
  <c r="BD586" i="1" s="1"/>
  <c r="BE586" i="1" s="1"/>
  <c r="BF586" i="1" s="1"/>
  <c r="BJ586" i="1" s="1"/>
  <c r="BK586" i="1" s="1"/>
  <c r="BL586" i="1" s="1"/>
  <c r="BM586" i="1" s="1"/>
  <c r="BN586" i="1" s="1"/>
  <c r="AV603" i="1"/>
  <c r="AW603" i="1" s="1"/>
  <c r="AX603" i="1" s="1"/>
  <c r="AY603" i="1" s="1"/>
  <c r="AZ603" i="1" s="1"/>
  <c r="BA603" i="1" s="1"/>
  <c r="BB603" i="1" s="1"/>
  <c r="BC603" i="1" s="1"/>
  <c r="BD603" i="1" s="1"/>
  <c r="BE603" i="1" s="1"/>
  <c r="BF603" i="1" s="1"/>
  <c r="BJ603" i="1" s="1"/>
  <c r="AV590" i="1"/>
  <c r="AW590" i="1" s="1"/>
  <c r="AX590" i="1" s="1"/>
  <c r="AY590" i="1" s="1"/>
  <c r="AZ590" i="1" s="1"/>
  <c r="BA590" i="1" s="1"/>
  <c r="BB590" i="1" s="1"/>
  <c r="BC590" i="1" s="1"/>
  <c r="BD590" i="1" s="1"/>
  <c r="BE590" i="1" s="1"/>
  <c r="BF590" i="1" s="1"/>
  <c r="BJ590" i="1" s="1"/>
  <c r="BK590" i="1" s="1"/>
  <c r="BL590" i="1" s="1"/>
  <c r="BM590" i="1" s="1"/>
  <c r="AV69" i="1"/>
  <c r="AW69" i="1" s="1"/>
  <c r="AX69" i="1" s="1"/>
  <c r="AY69" i="1" s="1"/>
  <c r="AZ69" i="1" s="1"/>
  <c r="BA69" i="1" s="1"/>
  <c r="BB69" i="1" s="1"/>
  <c r="BC69" i="1" s="1"/>
  <c r="BD69" i="1" s="1"/>
  <c r="BE69" i="1" s="1"/>
  <c r="BF69" i="1" s="1"/>
  <c r="AV65" i="1"/>
  <c r="AW65" i="1" s="1"/>
  <c r="AX65" i="1" s="1"/>
  <c r="AY65" i="1" s="1"/>
  <c r="AZ65" i="1" s="1"/>
  <c r="BA65" i="1" s="1"/>
  <c r="BB65" i="1" s="1"/>
  <c r="BC65" i="1" s="1"/>
  <c r="BD65" i="1" s="1"/>
  <c r="BE65" i="1" s="1"/>
  <c r="BF65" i="1" s="1"/>
  <c r="BG65" i="1" s="1"/>
  <c r="AV294" i="1"/>
  <c r="AW294" i="1" s="1"/>
  <c r="AX294" i="1" s="1"/>
  <c r="AY294" i="1" s="1"/>
  <c r="AZ294" i="1" s="1"/>
  <c r="BA294" i="1" s="1"/>
  <c r="BB294" i="1" s="1"/>
  <c r="BC294" i="1" s="1"/>
  <c r="BD294" i="1" s="1"/>
  <c r="BE294" i="1" s="1"/>
  <c r="BF294" i="1" s="1"/>
  <c r="AV600" i="1"/>
  <c r="AW600" i="1" s="1"/>
  <c r="AX600" i="1" s="1"/>
  <c r="AY600" i="1" s="1"/>
  <c r="AZ600" i="1" s="1"/>
  <c r="BA600" i="1" s="1"/>
  <c r="BB600" i="1" s="1"/>
  <c r="BC600" i="1" s="1"/>
  <c r="BD600" i="1" s="1"/>
  <c r="BE600" i="1" s="1"/>
  <c r="BF600" i="1" s="1"/>
  <c r="BJ600" i="1" s="1"/>
  <c r="AV68" i="1"/>
  <c r="AW68" i="1" s="1"/>
  <c r="AX68" i="1" s="1"/>
  <c r="AY68" i="1" s="1"/>
  <c r="AZ68" i="1" s="1"/>
  <c r="BA68" i="1" s="1"/>
  <c r="BB68" i="1" s="1"/>
  <c r="BC68" i="1" s="1"/>
  <c r="BD68" i="1" s="1"/>
  <c r="BE68" i="1" s="1"/>
  <c r="BF68" i="1" s="1"/>
  <c r="AV601" i="1"/>
  <c r="AW601" i="1" s="1"/>
  <c r="AX601" i="1" s="1"/>
  <c r="AY601" i="1" s="1"/>
  <c r="AZ601" i="1" s="1"/>
  <c r="BA601" i="1" s="1"/>
  <c r="BB601" i="1" s="1"/>
  <c r="BC601" i="1" s="1"/>
  <c r="BD601" i="1" s="1"/>
  <c r="BE601" i="1" s="1"/>
  <c r="BF601" i="1" s="1"/>
  <c r="AV66" i="1"/>
  <c r="AW66" i="1" s="1"/>
  <c r="AX66" i="1" s="1"/>
  <c r="AY66" i="1" s="1"/>
  <c r="AZ66" i="1" s="1"/>
  <c r="BA66" i="1" s="1"/>
  <c r="BB66" i="1" s="1"/>
  <c r="BC66" i="1" s="1"/>
  <c r="BD66" i="1" s="1"/>
  <c r="BE66" i="1" s="1"/>
  <c r="BF66" i="1" s="1"/>
  <c r="BG66" i="1" s="1"/>
  <c r="AV192" i="1"/>
  <c r="AW192" i="1" s="1"/>
  <c r="AX192" i="1" s="1"/>
  <c r="AY192" i="1" s="1"/>
  <c r="AZ192" i="1" s="1"/>
  <c r="BA192" i="1" s="1"/>
  <c r="BB192" i="1" s="1"/>
  <c r="BC192" i="1" s="1"/>
  <c r="BD192" i="1" s="1"/>
  <c r="BE192" i="1" s="1"/>
  <c r="BF192" i="1" s="1"/>
  <c r="BJ192" i="1" s="1"/>
  <c r="BJ609" i="1"/>
  <c r="BK609" i="1" s="1"/>
  <c r="BV628" i="1"/>
  <c r="BV616" i="1"/>
  <c r="BG604" i="1"/>
  <c r="BV626" i="1"/>
  <c r="BU515" i="1"/>
  <c r="BY515" i="1" s="1"/>
  <c r="BZ515" i="1" s="1"/>
  <c r="CA515" i="1" s="1"/>
  <c r="CB515" i="1" s="1"/>
  <c r="CC515" i="1" s="1"/>
  <c r="CD515" i="1" s="1"/>
  <c r="CE515" i="1" s="1"/>
  <c r="CF515" i="1" s="1"/>
  <c r="CG515" i="1" s="1"/>
  <c r="CH515" i="1" s="1"/>
  <c r="CI515" i="1" s="1"/>
  <c r="CJ515" i="1" s="1"/>
  <c r="BU629" i="1"/>
  <c r="BY629" i="1" s="1"/>
  <c r="BZ629" i="1" s="1"/>
  <c r="CA629" i="1" s="1"/>
  <c r="CB629" i="1" s="1"/>
  <c r="CC629" i="1" s="1"/>
  <c r="CD629" i="1" s="1"/>
  <c r="CE629" i="1" s="1"/>
  <c r="CF629" i="1" s="1"/>
  <c r="CG629" i="1" s="1"/>
  <c r="CH629" i="1" s="1"/>
  <c r="CI629" i="1" s="1"/>
  <c r="CJ629" i="1" s="1"/>
  <c r="BU625" i="1"/>
  <c r="BY625" i="1" s="1"/>
  <c r="BZ625" i="1" s="1"/>
  <c r="CA625" i="1" s="1"/>
  <c r="CB625" i="1" s="1"/>
  <c r="CC625" i="1" s="1"/>
  <c r="CD625" i="1" s="1"/>
  <c r="CE625" i="1" s="1"/>
  <c r="CF625" i="1" s="1"/>
  <c r="CG625" i="1" s="1"/>
  <c r="CH625" i="1" s="1"/>
  <c r="CI625" i="1" s="1"/>
  <c r="CJ625" i="1" s="1"/>
  <c r="BU563" i="1"/>
  <c r="BY563" i="1" s="1"/>
  <c r="BZ563" i="1" s="1"/>
  <c r="CA563" i="1" s="1"/>
  <c r="CB563" i="1" s="1"/>
  <c r="CC563" i="1" s="1"/>
  <c r="CD563" i="1" s="1"/>
  <c r="CE563" i="1" s="1"/>
  <c r="CF563" i="1" s="1"/>
  <c r="CG563" i="1" s="1"/>
  <c r="CH563" i="1" s="1"/>
  <c r="CI563" i="1" s="1"/>
  <c r="CJ563" i="1" s="1"/>
  <c r="BU508" i="1"/>
  <c r="BY508" i="1" s="1"/>
  <c r="BZ508" i="1" s="1"/>
  <c r="CA508" i="1" s="1"/>
  <c r="CB508" i="1" s="1"/>
  <c r="CC508" i="1" s="1"/>
  <c r="CD508" i="1" s="1"/>
  <c r="CE508" i="1" s="1"/>
  <c r="CF508" i="1" s="1"/>
  <c r="CG508" i="1" s="1"/>
  <c r="CH508" i="1" s="1"/>
  <c r="CI508" i="1" s="1"/>
  <c r="CJ508" i="1" s="1"/>
  <c r="BU27" i="1"/>
  <c r="BY27" i="1" s="1"/>
  <c r="BZ27" i="1" s="1"/>
  <c r="CA27" i="1" s="1"/>
  <c r="CB27" i="1" s="1"/>
  <c r="CC27" i="1" s="1"/>
  <c r="CD27" i="1" s="1"/>
  <c r="CE27" i="1" s="1"/>
  <c r="CF27" i="1" s="1"/>
  <c r="CG27" i="1" s="1"/>
  <c r="CH27" i="1" s="1"/>
  <c r="CI27" i="1" s="1"/>
  <c r="CJ27" i="1" s="1"/>
  <c r="BU624" i="1"/>
  <c r="BY624" i="1" s="1"/>
  <c r="BZ624" i="1" s="1"/>
  <c r="CA624" i="1" s="1"/>
  <c r="CB624" i="1" s="1"/>
  <c r="CC624" i="1" s="1"/>
  <c r="CD624" i="1" s="1"/>
  <c r="CE624" i="1" s="1"/>
  <c r="CF624" i="1" s="1"/>
  <c r="CG624" i="1" s="1"/>
  <c r="CH624" i="1" s="1"/>
  <c r="CI624" i="1" s="1"/>
  <c r="CJ624" i="1" s="1"/>
  <c r="BU622" i="1"/>
  <c r="BY622" i="1" s="1"/>
  <c r="BZ622" i="1" s="1"/>
  <c r="CA622" i="1" s="1"/>
  <c r="CB622" i="1" s="1"/>
  <c r="CC622" i="1" s="1"/>
  <c r="CD622" i="1" s="1"/>
  <c r="CE622" i="1" s="1"/>
  <c r="CF622" i="1" s="1"/>
  <c r="CG622" i="1" s="1"/>
  <c r="CH622" i="1" s="1"/>
  <c r="CI622" i="1" s="1"/>
  <c r="CJ622" i="1" s="1"/>
  <c r="BU608" i="1"/>
  <c r="BY608" i="1" s="1"/>
  <c r="BZ608" i="1" s="1"/>
  <c r="CA608" i="1" s="1"/>
  <c r="CB608" i="1" s="1"/>
  <c r="CC608" i="1" s="1"/>
  <c r="CD608" i="1" s="1"/>
  <c r="CE608" i="1" s="1"/>
  <c r="CF608" i="1" s="1"/>
  <c r="CG608" i="1" s="1"/>
  <c r="CH608" i="1" s="1"/>
  <c r="CI608" i="1" s="1"/>
  <c r="CJ608" i="1" s="1"/>
  <c r="AP592" i="1"/>
  <c r="AP80" i="1"/>
  <c r="BJ605" i="1"/>
  <c r="AU80" i="1"/>
  <c r="BJ607" i="1"/>
  <c r="BF611" i="1"/>
  <c r="BJ611" i="1" s="1"/>
  <c r="AP147" i="1"/>
  <c r="CK628" i="1"/>
  <c r="CZ612" i="1"/>
  <c r="CK626" i="1"/>
  <c r="BN635" i="1"/>
  <c r="CK616" i="1"/>
  <c r="BO636" i="1"/>
  <c r="BP636" i="1" s="1"/>
  <c r="BQ636" i="1" s="1"/>
  <c r="BR636" i="1" s="1"/>
  <c r="BS636" i="1" s="1"/>
  <c r="BT636" i="1" s="1"/>
  <c r="BO637" i="1"/>
  <c r="BP637" i="1" s="1"/>
  <c r="BQ637" i="1" s="1"/>
  <c r="BR637" i="1" s="1"/>
  <c r="BS637" i="1" s="1"/>
  <c r="BT637" i="1" s="1"/>
  <c r="BO634" i="1"/>
  <c r="BP634" i="1" s="1"/>
  <c r="BQ634" i="1" s="1"/>
  <c r="BR634" i="1" s="1"/>
  <c r="BS634" i="1" s="1"/>
  <c r="BT634" i="1" s="1"/>
  <c r="BM627" i="1"/>
  <c r="CZ615" i="1"/>
  <c r="BL610" i="1"/>
  <c r="BM610" i="1" s="1"/>
  <c r="BN610" i="1" s="1"/>
  <c r="BO610" i="1" s="1"/>
  <c r="BP610" i="1" s="1"/>
  <c r="BQ610" i="1" s="1"/>
  <c r="BR610" i="1" s="1"/>
  <c r="BS610" i="1" s="1"/>
  <c r="BT610" i="1" s="1"/>
  <c r="BI600" i="1"/>
  <c r="BI601" i="1"/>
  <c r="BI605" i="1"/>
  <c r="BI609" i="1"/>
  <c r="BI604" i="1"/>
  <c r="BK604" i="1"/>
  <c r="BI607" i="1"/>
  <c r="AU602" i="1"/>
  <c r="AV595" i="1"/>
  <c r="AW595" i="1" s="1"/>
  <c r="AX595" i="1" s="1"/>
  <c r="AY595" i="1" s="1"/>
  <c r="AZ595" i="1" s="1"/>
  <c r="BA595" i="1" s="1"/>
  <c r="BB595" i="1" s="1"/>
  <c r="BC595" i="1" s="1"/>
  <c r="BD595" i="1" s="1"/>
  <c r="BE595" i="1" s="1"/>
  <c r="AV596" i="1"/>
  <c r="AW596" i="1" s="1"/>
  <c r="AX596" i="1" s="1"/>
  <c r="AY596" i="1" s="1"/>
  <c r="AZ596" i="1" s="1"/>
  <c r="BA596" i="1" s="1"/>
  <c r="BB596" i="1" s="1"/>
  <c r="BC596" i="1" s="1"/>
  <c r="BD596" i="1" s="1"/>
  <c r="BE596" i="1" s="1"/>
  <c r="AV593" i="1"/>
  <c r="AW593" i="1" s="1"/>
  <c r="AX593" i="1" s="1"/>
  <c r="AY593" i="1" s="1"/>
  <c r="AZ593" i="1" s="1"/>
  <c r="BA593" i="1" s="1"/>
  <c r="BB593" i="1" s="1"/>
  <c r="BC593" i="1" s="1"/>
  <c r="BD593" i="1" s="1"/>
  <c r="BE593" i="1" s="1"/>
  <c r="AV599" i="1"/>
  <c r="AW599" i="1" s="1"/>
  <c r="AX599" i="1" s="1"/>
  <c r="AY599" i="1" s="1"/>
  <c r="AZ599" i="1" s="1"/>
  <c r="BA599" i="1" s="1"/>
  <c r="BB599" i="1" s="1"/>
  <c r="BC599" i="1" s="1"/>
  <c r="BD599" i="1" s="1"/>
  <c r="BE599" i="1" s="1"/>
  <c r="AV597" i="1"/>
  <c r="AW597" i="1" s="1"/>
  <c r="AX597" i="1" s="1"/>
  <c r="AY597" i="1" s="1"/>
  <c r="AZ597" i="1" s="1"/>
  <c r="BA597" i="1" s="1"/>
  <c r="BB597" i="1" s="1"/>
  <c r="BC597" i="1" s="1"/>
  <c r="BD597" i="1" s="1"/>
  <c r="BE597" i="1" s="1"/>
  <c r="BH618" i="4"/>
  <c r="AT592" i="1"/>
  <c r="BH37" i="4"/>
  <c r="AT602" i="1"/>
  <c r="AU592" i="1"/>
  <c r="AX596" i="5"/>
  <c r="AS588" i="5"/>
  <c r="AM578" i="5"/>
  <c r="AO577" i="5"/>
  <c r="CZ623" i="1" l="1"/>
  <c r="CZ617" i="1"/>
  <c r="CN625" i="1"/>
  <c r="CO625" i="1" s="1"/>
  <c r="CP625" i="1" s="1"/>
  <c r="CQ625" i="1" s="1"/>
  <c r="CR625" i="1" s="1"/>
  <c r="CS625" i="1" s="1"/>
  <c r="CT625" i="1" s="1"/>
  <c r="CU625" i="1" s="1"/>
  <c r="CV625" i="1" s="1"/>
  <c r="CW625" i="1" s="1"/>
  <c r="CX625" i="1" s="1"/>
  <c r="CY625" i="1" s="1"/>
  <c r="CN622" i="1"/>
  <c r="CO622" i="1" s="1"/>
  <c r="CP622" i="1" s="1"/>
  <c r="CQ622" i="1" s="1"/>
  <c r="CR622" i="1" s="1"/>
  <c r="CS622" i="1" s="1"/>
  <c r="CT622" i="1" s="1"/>
  <c r="CU622" i="1" s="1"/>
  <c r="CV622" i="1" s="1"/>
  <c r="CW622" i="1" s="1"/>
  <c r="CX622" i="1" s="1"/>
  <c r="CY622" i="1" s="1"/>
  <c r="CN23" i="1"/>
  <c r="CO23" i="1" s="1"/>
  <c r="CP23" i="1" s="1"/>
  <c r="CQ23" i="1" s="1"/>
  <c r="CR23" i="1" s="1"/>
  <c r="CS23" i="1" s="1"/>
  <c r="CT23" i="1" s="1"/>
  <c r="CU23" i="1" s="1"/>
  <c r="CV23" i="1" s="1"/>
  <c r="CW23" i="1" s="1"/>
  <c r="CX23" i="1" s="1"/>
  <c r="CY23" i="1" s="1"/>
  <c r="CN624" i="1"/>
  <c r="CN515" i="1"/>
  <c r="CO515" i="1" s="1"/>
  <c r="CP515" i="1" s="1"/>
  <c r="CQ515" i="1" s="1"/>
  <c r="CR515" i="1" s="1"/>
  <c r="CS515" i="1" s="1"/>
  <c r="CT515" i="1" s="1"/>
  <c r="CU515" i="1" s="1"/>
  <c r="CV515" i="1" s="1"/>
  <c r="CW515" i="1" s="1"/>
  <c r="CX515" i="1" s="1"/>
  <c r="CY515" i="1" s="1"/>
  <c r="CN528" i="1"/>
  <c r="CO528" i="1" s="1"/>
  <c r="CP528" i="1" s="1"/>
  <c r="CQ528" i="1" s="1"/>
  <c r="CR528" i="1" s="1"/>
  <c r="CS528" i="1" s="1"/>
  <c r="CT528" i="1" s="1"/>
  <c r="CU528" i="1" s="1"/>
  <c r="CV528" i="1" s="1"/>
  <c r="CW528" i="1" s="1"/>
  <c r="CX528" i="1" s="1"/>
  <c r="CY528" i="1" s="1"/>
  <c r="CN25" i="1"/>
  <c r="CO25" i="1" s="1"/>
  <c r="CP25" i="1" s="1"/>
  <c r="CQ25" i="1" s="1"/>
  <c r="CR25" i="1" s="1"/>
  <c r="CS25" i="1" s="1"/>
  <c r="CT25" i="1" s="1"/>
  <c r="CU25" i="1" s="1"/>
  <c r="CV25" i="1" s="1"/>
  <c r="CW25" i="1" s="1"/>
  <c r="CX25" i="1" s="1"/>
  <c r="CY25" i="1" s="1"/>
  <c r="CO626" i="1"/>
  <c r="CP626" i="1" s="1"/>
  <c r="CQ626" i="1" s="1"/>
  <c r="CR626" i="1" s="1"/>
  <c r="CS626" i="1" s="1"/>
  <c r="CT626" i="1" s="1"/>
  <c r="CU626" i="1" s="1"/>
  <c r="CV626" i="1" s="1"/>
  <c r="CW626" i="1" s="1"/>
  <c r="CX626" i="1" s="1"/>
  <c r="CY626" i="1" s="1"/>
  <c r="CN508" i="1"/>
  <c r="CO508" i="1" s="1"/>
  <c r="CP508" i="1" s="1"/>
  <c r="CQ508" i="1" s="1"/>
  <c r="CR508" i="1" s="1"/>
  <c r="CS508" i="1" s="1"/>
  <c r="CT508" i="1" s="1"/>
  <c r="CU508" i="1" s="1"/>
  <c r="CV508" i="1" s="1"/>
  <c r="CW508" i="1" s="1"/>
  <c r="CX508" i="1" s="1"/>
  <c r="CY508" i="1" s="1"/>
  <c r="CN588" i="1"/>
  <c r="CO588" i="1" s="1"/>
  <c r="CP588" i="1" s="1"/>
  <c r="CQ588" i="1" s="1"/>
  <c r="CR588" i="1" s="1"/>
  <c r="CS588" i="1" s="1"/>
  <c r="CT588" i="1" s="1"/>
  <c r="CU588" i="1" s="1"/>
  <c r="CV588" i="1" s="1"/>
  <c r="CW588" i="1" s="1"/>
  <c r="CX588" i="1" s="1"/>
  <c r="CY588" i="1" s="1"/>
  <c r="CN505" i="1"/>
  <c r="CO505" i="1" s="1"/>
  <c r="CP505" i="1" s="1"/>
  <c r="CQ505" i="1" s="1"/>
  <c r="CR505" i="1" s="1"/>
  <c r="CS505" i="1" s="1"/>
  <c r="CT505" i="1" s="1"/>
  <c r="CU505" i="1" s="1"/>
  <c r="CV505" i="1" s="1"/>
  <c r="CW505" i="1" s="1"/>
  <c r="CX505" i="1" s="1"/>
  <c r="CY505" i="1" s="1"/>
  <c r="CN589" i="1"/>
  <c r="CO589" i="1" s="1"/>
  <c r="CP589" i="1" s="1"/>
  <c r="CQ589" i="1" s="1"/>
  <c r="CR589" i="1" s="1"/>
  <c r="CS589" i="1" s="1"/>
  <c r="CT589" i="1" s="1"/>
  <c r="CU589" i="1" s="1"/>
  <c r="CV589" i="1" s="1"/>
  <c r="CW589" i="1" s="1"/>
  <c r="CX589" i="1" s="1"/>
  <c r="CY589" i="1" s="1"/>
  <c r="CN563" i="1"/>
  <c r="CO563" i="1" s="1"/>
  <c r="CP563" i="1" s="1"/>
  <c r="CQ563" i="1" s="1"/>
  <c r="CR563" i="1" s="1"/>
  <c r="CS563" i="1" s="1"/>
  <c r="CT563" i="1" s="1"/>
  <c r="CU563" i="1" s="1"/>
  <c r="CV563" i="1" s="1"/>
  <c r="CW563" i="1" s="1"/>
  <c r="CX563" i="1" s="1"/>
  <c r="CY563" i="1" s="1"/>
  <c r="CN629" i="1"/>
  <c r="CO629" i="1" s="1"/>
  <c r="CP629" i="1" s="1"/>
  <c r="CQ629" i="1" s="1"/>
  <c r="CR629" i="1" s="1"/>
  <c r="CS629" i="1" s="1"/>
  <c r="CT629" i="1" s="1"/>
  <c r="CU629" i="1" s="1"/>
  <c r="CV629" i="1" s="1"/>
  <c r="CW629" i="1" s="1"/>
  <c r="CX629" i="1" s="1"/>
  <c r="CY629" i="1" s="1"/>
  <c r="CN608" i="1"/>
  <c r="CO608" i="1" s="1"/>
  <c r="CP608" i="1" s="1"/>
  <c r="CQ608" i="1" s="1"/>
  <c r="CR608" i="1" s="1"/>
  <c r="CS608" i="1" s="1"/>
  <c r="CT608" i="1" s="1"/>
  <c r="CU608" i="1" s="1"/>
  <c r="CV608" i="1" s="1"/>
  <c r="CW608" i="1" s="1"/>
  <c r="CN27" i="1"/>
  <c r="CO27" i="1" s="1"/>
  <c r="CP27" i="1" s="1"/>
  <c r="CQ27" i="1" s="1"/>
  <c r="CR27" i="1" s="1"/>
  <c r="CS27" i="1" s="1"/>
  <c r="CT27" i="1" s="1"/>
  <c r="CU27" i="1" s="1"/>
  <c r="CV27" i="1" s="1"/>
  <c r="CW27" i="1" s="1"/>
  <c r="CX27" i="1" s="1"/>
  <c r="CY27" i="1" s="1"/>
  <c r="BV622" i="1"/>
  <c r="BK605" i="1"/>
  <c r="BL605" i="1" s="1"/>
  <c r="BM605" i="1" s="1"/>
  <c r="BN605" i="1" s="1"/>
  <c r="BO605" i="1" s="1"/>
  <c r="BP605" i="1" s="1"/>
  <c r="BQ605" i="1" s="1"/>
  <c r="BR605" i="1" s="1"/>
  <c r="BS605" i="1" s="1"/>
  <c r="BT605" i="1" s="1"/>
  <c r="BK607" i="1"/>
  <c r="BL607" i="1" s="1"/>
  <c r="BM607" i="1" s="1"/>
  <c r="BN607" i="1" s="1"/>
  <c r="BO607" i="1" s="1"/>
  <c r="BP607" i="1" s="1"/>
  <c r="BQ607" i="1" s="1"/>
  <c r="BR607" i="1" s="1"/>
  <c r="BS607" i="1" s="1"/>
  <c r="BT607" i="1" s="1"/>
  <c r="AV602" i="1"/>
  <c r="AW602" i="1" s="1"/>
  <c r="AX602" i="1" s="1"/>
  <c r="AY602" i="1" s="1"/>
  <c r="AZ602" i="1" s="1"/>
  <c r="BA602" i="1" s="1"/>
  <c r="BB602" i="1" s="1"/>
  <c r="BC602" i="1" s="1"/>
  <c r="BD602" i="1" s="1"/>
  <c r="BE602" i="1" s="1"/>
  <c r="BF602" i="1" s="1"/>
  <c r="BJ602" i="1" s="1"/>
  <c r="AV80" i="1"/>
  <c r="AW80" i="1" s="1"/>
  <c r="AX80" i="1" s="1"/>
  <c r="AY80" i="1" s="1"/>
  <c r="AZ80" i="1" s="1"/>
  <c r="BA80" i="1" s="1"/>
  <c r="BB80" i="1" s="1"/>
  <c r="BC80" i="1" s="1"/>
  <c r="BD80" i="1" s="1"/>
  <c r="BE80" i="1" s="1"/>
  <c r="BF80" i="1" s="1"/>
  <c r="BJ80" i="1" s="1"/>
  <c r="BJ598" i="1"/>
  <c r="BI711" i="1"/>
  <c r="BI719" i="1" s="1"/>
  <c r="B9" i="8" s="1"/>
  <c r="BJ295" i="1"/>
  <c r="BG611" i="1"/>
  <c r="BV629" i="1"/>
  <c r="BV624" i="1"/>
  <c r="BU634" i="1"/>
  <c r="BY634" i="1" s="1"/>
  <c r="BZ634" i="1" s="1"/>
  <c r="CA634" i="1" s="1"/>
  <c r="CB634" i="1" s="1"/>
  <c r="CC634" i="1" s="1"/>
  <c r="CD634" i="1" s="1"/>
  <c r="CE634" i="1" s="1"/>
  <c r="CF634" i="1" s="1"/>
  <c r="CG634" i="1" s="1"/>
  <c r="CH634" i="1" s="1"/>
  <c r="CI634" i="1" s="1"/>
  <c r="CJ634" i="1" s="1"/>
  <c r="BV625" i="1"/>
  <c r="BU636" i="1"/>
  <c r="BY636" i="1" s="1"/>
  <c r="BZ636" i="1" s="1"/>
  <c r="CA636" i="1" s="1"/>
  <c r="CB636" i="1" s="1"/>
  <c r="CC636" i="1" s="1"/>
  <c r="CD636" i="1" s="1"/>
  <c r="CE636" i="1" s="1"/>
  <c r="CF636" i="1" s="1"/>
  <c r="CG636" i="1" s="1"/>
  <c r="CH636" i="1" s="1"/>
  <c r="CI636" i="1" s="1"/>
  <c r="CJ636" i="1" s="1"/>
  <c r="BU637" i="1"/>
  <c r="BY637" i="1" s="1"/>
  <c r="BZ637" i="1" s="1"/>
  <c r="CA637" i="1" s="1"/>
  <c r="CB637" i="1" s="1"/>
  <c r="CC637" i="1" s="1"/>
  <c r="CD637" i="1" s="1"/>
  <c r="CE637" i="1" s="1"/>
  <c r="CF637" i="1" s="1"/>
  <c r="CG637" i="1" s="1"/>
  <c r="CH637" i="1" s="1"/>
  <c r="CI637" i="1" s="1"/>
  <c r="CJ637" i="1" s="1"/>
  <c r="BU606" i="1"/>
  <c r="BY606" i="1" s="1"/>
  <c r="BZ606" i="1" s="1"/>
  <c r="CA606" i="1" s="1"/>
  <c r="CB606" i="1" s="1"/>
  <c r="CC606" i="1" s="1"/>
  <c r="CD606" i="1" s="1"/>
  <c r="CE606" i="1" s="1"/>
  <c r="CF606" i="1" s="1"/>
  <c r="CG606" i="1" s="1"/>
  <c r="CH606" i="1" s="1"/>
  <c r="CI606" i="1" s="1"/>
  <c r="CJ606" i="1" s="1"/>
  <c r="BU22" i="1"/>
  <c r="BY22" i="1" s="1"/>
  <c r="BZ22" i="1" s="1"/>
  <c r="CA22" i="1" s="1"/>
  <c r="CB22" i="1" s="1"/>
  <c r="CC22" i="1" s="1"/>
  <c r="CD22" i="1" s="1"/>
  <c r="CE22" i="1" s="1"/>
  <c r="CF22" i="1" s="1"/>
  <c r="CG22" i="1" s="1"/>
  <c r="CH22" i="1" s="1"/>
  <c r="CI22" i="1" s="1"/>
  <c r="CJ22" i="1" s="1"/>
  <c r="BU610" i="1"/>
  <c r="BY610" i="1" s="1"/>
  <c r="BZ610" i="1" s="1"/>
  <c r="CA610" i="1" s="1"/>
  <c r="CB610" i="1" s="1"/>
  <c r="CC610" i="1" s="1"/>
  <c r="CD610" i="1" s="1"/>
  <c r="CE610" i="1" s="1"/>
  <c r="CF610" i="1" s="1"/>
  <c r="CG610" i="1" s="1"/>
  <c r="CH610" i="1" s="1"/>
  <c r="CI610" i="1" s="1"/>
  <c r="CJ610" i="1" s="1"/>
  <c r="BG603" i="1"/>
  <c r="BG67" i="1"/>
  <c r="BG192" i="1"/>
  <c r="BG594" i="1"/>
  <c r="BJ601" i="1"/>
  <c r="BF596" i="1"/>
  <c r="BG596" i="1" s="1"/>
  <c r="BF591" i="1"/>
  <c r="BG591" i="1" s="1"/>
  <c r="BJ68" i="1"/>
  <c r="BG294" i="1"/>
  <c r="BG70" i="1"/>
  <c r="BG68" i="1"/>
  <c r="BJ294" i="1"/>
  <c r="BJ65" i="1"/>
  <c r="BF593" i="1"/>
  <c r="BG593" i="1" s="1"/>
  <c r="BF597" i="1"/>
  <c r="BJ597" i="1" s="1"/>
  <c r="BG69" i="1"/>
  <c r="BJ66" i="1"/>
  <c r="BJ69" i="1"/>
  <c r="BF595" i="1"/>
  <c r="BG595" i="1" s="1"/>
  <c r="BF599" i="1"/>
  <c r="BJ599" i="1" s="1"/>
  <c r="BJ70" i="1"/>
  <c r="CZ616" i="1"/>
  <c r="CZ628" i="1"/>
  <c r="CK625" i="1"/>
  <c r="CK629" i="1"/>
  <c r="CK624" i="1"/>
  <c r="CK622" i="1"/>
  <c r="BO635" i="1"/>
  <c r="BP635" i="1" s="1"/>
  <c r="BQ635" i="1" s="1"/>
  <c r="BR635" i="1" s="1"/>
  <c r="BS635" i="1" s="1"/>
  <c r="BT635" i="1" s="1"/>
  <c r="BN627" i="1"/>
  <c r="BO627" i="1" s="1"/>
  <c r="BP627" i="1" s="1"/>
  <c r="BQ627" i="1" s="1"/>
  <c r="BR627" i="1" s="1"/>
  <c r="BS627" i="1" s="1"/>
  <c r="BT627" i="1" s="1"/>
  <c r="BK600" i="1"/>
  <c r="BL600" i="1" s="1"/>
  <c r="BM600" i="1" s="1"/>
  <c r="BN600" i="1" s="1"/>
  <c r="BO600" i="1" s="1"/>
  <c r="BP600" i="1" s="1"/>
  <c r="BQ600" i="1" s="1"/>
  <c r="BR600" i="1" s="1"/>
  <c r="BS600" i="1" s="1"/>
  <c r="BT600" i="1" s="1"/>
  <c r="BI602" i="1"/>
  <c r="BI702" i="1" s="1"/>
  <c r="D9" i="8" s="1"/>
  <c r="BL604" i="1"/>
  <c r="BM604" i="1" s="1"/>
  <c r="BN604" i="1" s="1"/>
  <c r="BO604" i="1" s="1"/>
  <c r="BP604" i="1" s="1"/>
  <c r="BQ604" i="1" s="1"/>
  <c r="BR604" i="1" s="1"/>
  <c r="BS604" i="1" s="1"/>
  <c r="BT604" i="1" s="1"/>
  <c r="BL609" i="1"/>
  <c r="BM609" i="1" s="1"/>
  <c r="BN609" i="1" s="1"/>
  <c r="BO609" i="1" s="1"/>
  <c r="BP609" i="1" s="1"/>
  <c r="BQ609" i="1" s="1"/>
  <c r="BR609" i="1" s="1"/>
  <c r="BS609" i="1" s="1"/>
  <c r="BT609" i="1" s="1"/>
  <c r="BI611" i="1"/>
  <c r="BK611" i="1"/>
  <c r="BK192" i="1"/>
  <c r="BI598" i="1"/>
  <c r="BK67" i="1"/>
  <c r="BK594" i="1"/>
  <c r="BI603" i="1"/>
  <c r="BK603" i="1"/>
  <c r="AV592" i="1"/>
  <c r="AW592" i="1" s="1"/>
  <c r="AX592" i="1" s="1"/>
  <c r="AY592" i="1" s="1"/>
  <c r="AZ592" i="1" s="1"/>
  <c r="BA592" i="1" s="1"/>
  <c r="BB592" i="1" s="1"/>
  <c r="BC592" i="1" s="1"/>
  <c r="BD592" i="1" s="1"/>
  <c r="BE592" i="1" s="1"/>
  <c r="AS577" i="5"/>
  <c r="AP577" i="5"/>
  <c r="AT588" i="5"/>
  <c r="AN578" i="5"/>
  <c r="AY596" i="5"/>
  <c r="CZ626" i="1" l="1"/>
  <c r="CO624" i="1"/>
  <c r="CP624" i="1" s="1"/>
  <c r="CQ624" i="1" s="1"/>
  <c r="CR624" i="1" s="1"/>
  <c r="CS624" i="1" s="1"/>
  <c r="CT624" i="1" s="1"/>
  <c r="CU624" i="1" s="1"/>
  <c r="CV624" i="1" s="1"/>
  <c r="CW624" i="1" s="1"/>
  <c r="CX624" i="1" s="1"/>
  <c r="CY624" i="1" s="1"/>
  <c r="CN610" i="1"/>
  <c r="CO610" i="1" s="1"/>
  <c r="CP610" i="1" s="1"/>
  <c r="CQ610" i="1" s="1"/>
  <c r="CR610" i="1" s="1"/>
  <c r="CS610" i="1" s="1"/>
  <c r="CT610" i="1" s="1"/>
  <c r="CU610" i="1" s="1"/>
  <c r="CV610" i="1" s="1"/>
  <c r="CW610" i="1" s="1"/>
  <c r="CX610" i="1" s="1"/>
  <c r="CY610" i="1" s="1"/>
  <c r="CN634" i="1"/>
  <c r="CO634" i="1" s="1"/>
  <c r="CP634" i="1" s="1"/>
  <c r="CQ634" i="1" s="1"/>
  <c r="CR634" i="1" s="1"/>
  <c r="CS634" i="1" s="1"/>
  <c r="CT634" i="1" s="1"/>
  <c r="CU634" i="1" s="1"/>
  <c r="CV634" i="1" s="1"/>
  <c r="CW634" i="1" s="1"/>
  <c r="CX634" i="1" s="1"/>
  <c r="CY634" i="1" s="1"/>
  <c r="CN22" i="1"/>
  <c r="CO22" i="1" s="1"/>
  <c r="CP22" i="1" s="1"/>
  <c r="CQ22" i="1" s="1"/>
  <c r="CR22" i="1" s="1"/>
  <c r="CS22" i="1" s="1"/>
  <c r="CT22" i="1" s="1"/>
  <c r="CU22" i="1" s="1"/>
  <c r="CV22" i="1" s="1"/>
  <c r="CW22" i="1" s="1"/>
  <c r="CX22" i="1" s="1"/>
  <c r="CY22" i="1" s="1"/>
  <c r="CN606" i="1"/>
  <c r="CO606" i="1" s="1"/>
  <c r="CP606" i="1" s="1"/>
  <c r="CQ606" i="1" s="1"/>
  <c r="CR606" i="1" s="1"/>
  <c r="CS606" i="1" s="1"/>
  <c r="CT606" i="1" s="1"/>
  <c r="CU606" i="1" s="1"/>
  <c r="CV606" i="1" s="1"/>
  <c r="CW606" i="1" s="1"/>
  <c r="CX606" i="1" s="1"/>
  <c r="CY606" i="1" s="1"/>
  <c r="CN637" i="1"/>
  <c r="CN636" i="1"/>
  <c r="CO636" i="1" s="1"/>
  <c r="CP636" i="1" s="1"/>
  <c r="CQ636" i="1" s="1"/>
  <c r="CR636" i="1" s="1"/>
  <c r="CS636" i="1" s="1"/>
  <c r="CT636" i="1" s="1"/>
  <c r="CU636" i="1" s="1"/>
  <c r="CV636" i="1" s="1"/>
  <c r="CW636" i="1" s="1"/>
  <c r="CX636" i="1" s="1"/>
  <c r="CY636" i="1" s="1"/>
  <c r="BK68" i="1"/>
  <c r="BL68" i="1" s="1"/>
  <c r="BM68" i="1" s="1"/>
  <c r="BN68" i="1" s="1"/>
  <c r="BO68" i="1" s="1"/>
  <c r="BP68" i="1" s="1"/>
  <c r="BQ68" i="1" s="1"/>
  <c r="BR68" i="1" s="1"/>
  <c r="BS68" i="1" s="1"/>
  <c r="BT68" i="1" s="1"/>
  <c r="BK69" i="1"/>
  <c r="BL69" i="1" s="1"/>
  <c r="BM69" i="1" s="1"/>
  <c r="BN69" i="1" s="1"/>
  <c r="BO69" i="1" s="1"/>
  <c r="BP69" i="1" s="1"/>
  <c r="BQ69" i="1" s="1"/>
  <c r="BR69" i="1" s="1"/>
  <c r="BS69" i="1" s="1"/>
  <c r="BT69" i="1" s="1"/>
  <c r="BK65" i="1"/>
  <c r="BL65" i="1" s="1"/>
  <c r="BK295" i="1"/>
  <c r="BL295" i="1" s="1"/>
  <c r="BM295" i="1" s="1"/>
  <c r="BN295" i="1" s="1"/>
  <c r="BO295" i="1" s="1"/>
  <c r="BP295" i="1" s="1"/>
  <c r="BQ295" i="1" s="1"/>
  <c r="BR295" i="1" s="1"/>
  <c r="BS295" i="1" s="1"/>
  <c r="BT295" i="1" s="1"/>
  <c r="BK66" i="1"/>
  <c r="BL66" i="1" s="1"/>
  <c r="BM66" i="1" s="1"/>
  <c r="BN66" i="1" s="1"/>
  <c r="BO66" i="1" s="1"/>
  <c r="BP66" i="1" s="1"/>
  <c r="BQ66" i="1" s="1"/>
  <c r="BR66" i="1" s="1"/>
  <c r="BS66" i="1" s="1"/>
  <c r="BT66" i="1" s="1"/>
  <c r="BK294" i="1"/>
  <c r="BL294" i="1" s="1"/>
  <c r="BM294" i="1" s="1"/>
  <c r="BN294" i="1" s="1"/>
  <c r="BO294" i="1" s="1"/>
  <c r="BP294" i="1" s="1"/>
  <c r="BQ294" i="1" s="1"/>
  <c r="BR294" i="1" s="1"/>
  <c r="BS294" i="1" s="1"/>
  <c r="BT294" i="1" s="1"/>
  <c r="BK598" i="1"/>
  <c r="BL598" i="1" s="1"/>
  <c r="BM598" i="1" s="1"/>
  <c r="BN598" i="1" s="1"/>
  <c r="BO598" i="1" s="1"/>
  <c r="BP598" i="1" s="1"/>
  <c r="BQ598" i="1" s="1"/>
  <c r="BR598" i="1" s="1"/>
  <c r="BS598" i="1" s="1"/>
  <c r="BT598" i="1" s="1"/>
  <c r="BK70" i="1"/>
  <c r="BL70" i="1" s="1"/>
  <c r="BM70" i="1" s="1"/>
  <c r="BN70" i="1" s="1"/>
  <c r="BO70" i="1" s="1"/>
  <c r="BP70" i="1" s="1"/>
  <c r="BQ70" i="1" s="1"/>
  <c r="BR70" i="1" s="1"/>
  <c r="BS70" i="1" s="1"/>
  <c r="BT70" i="1" s="1"/>
  <c r="BK601" i="1"/>
  <c r="BL601" i="1" s="1"/>
  <c r="BM601" i="1" s="1"/>
  <c r="BN601" i="1" s="1"/>
  <c r="BO601" i="1" s="1"/>
  <c r="BP601" i="1" s="1"/>
  <c r="BQ601" i="1" s="1"/>
  <c r="BR601" i="1" s="1"/>
  <c r="BS601" i="1" s="1"/>
  <c r="BT601" i="1" s="1"/>
  <c r="BU601" i="1" s="1"/>
  <c r="BY601" i="1" s="1"/>
  <c r="BZ601" i="1" s="1"/>
  <c r="CA601" i="1" s="1"/>
  <c r="CB601" i="1" s="1"/>
  <c r="CC601" i="1" s="1"/>
  <c r="CD601" i="1" s="1"/>
  <c r="CE601" i="1" s="1"/>
  <c r="CF601" i="1" s="1"/>
  <c r="CG601" i="1" s="1"/>
  <c r="CH601" i="1" s="1"/>
  <c r="CI601" i="1" s="1"/>
  <c r="CJ601" i="1" s="1"/>
  <c r="BV606" i="1"/>
  <c r="BI710" i="1"/>
  <c r="BJ595" i="1"/>
  <c r="BV634" i="1"/>
  <c r="BV637" i="1"/>
  <c r="BU627" i="1"/>
  <c r="BY627" i="1" s="1"/>
  <c r="BZ627" i="1" s="1"/>
  <c r="CA627" i="1" s="1"/>
  <c r="CB627" i="1" s="1"/>
  <c r="CC627" i="1" s="1"/>
  <c r="CD627" i="1" s="1"/>
  <c r="CE627" i="1" s="1"/>
  <c r="CF627" i="1" s="1"/>
  <c r="CG627" i="1" s="1"/>
  <c r="CH627" i="1" s="1"/>
  <c r="CI627" i="1" s="1"/>
  <c r="CJ627" i="1" s="1"/>
  <c r="BU600" i="1"/>
  <c r="BY600" i="1" s="1"/>
  <c r="BZ600" i="1" s="1"/>
  <c r="CA600" i="1" s="1"/>
  <c r="CB600" i="1" s="1"/>
  <c r="CC600" i="1" s="1"/>
  <c r="CD600" i="1" s="1"/>
  <c r="CE600" i="1" s="1"/>
  <c r="CF600" i="1" s="1"/>
  <c r="CG600" i="1" s="1"/>
  <c r="CH600" i="1" s="1"/>
  <c r="CI600" i="1" s="1"/>
  <c r="CJ600" i="1" s="1"/>
  <c r="BV636" i="1"/>
  <c r="BU607" i="1"/>
  <c r="BY607" i="1" s="1"/>
  <c r="BZ607" i="1" s="1"/>
  <c r="CA607" i="1" s="1"/>
  <c r="CB607" i="1" s="1"/>
  <c r="CC607" i="1" s="1"/>
  <c r="CD607" i="1" s="1"/>
  <c r="CE607" i="1" s="1"/>
  <c r="CF607" i="1" s="1"/>
  <c r="CG607" i="1" s="1"/>
  <c r="CH607" i="1" s="1"/>
  <c r="CI607" i="1" s="1"/>
  <c r="CJ607" i="1" s="1"/>
  <c r="BU635" i="1"/>
  <c r="BY635" i="1" s="1"/>
  <c r="BZ635" i="1" s="1"/>
  <c r="CA635" i="1" s="1"/>
  <c r="CB635" i="1" s="1"/>
  <c r="CC635" i="1" s="1"/>
  <c r="CD635" i="1" s="1"/>
  <c r="CE635" i="1" s="1"/>
  <c r="CF635" i="1" s="1"/>
  <c r="CG635" i="1" s="1"/>
  <c r="CH635" i="1" s="1"/>
  <c r="CI635" i="1" s="1"/>
  <c r="CJ635" i="1" s="1"/>
  <c r="BU605" i="1"/>
  <c r="BY605" i="1" s="1"/>
  <c r="BZ605" i="1" s="1"/>
  <c r="CA605" i="1" s="1"/>
  <c r="CB605" i="1" s="1"/>
  <c r="CC605" i="1" s="1"/>
  <c r="CD605" i="1" s="1"/>
  <c r="CE605" i="1" s="1"/>
  <c r="CF605" i="1" s="1"/>
  <c r="CG605" i="1" s="1"/>
  <c r="CH605" i="1" s="1"/>
  <c r="CI605" i="1" s="1"/>
  <c r="CJ605" i="1" s="1"/>
  <c r="BU609" i="1"/>
  <c r="BY609" i="1" s="1"/>
  <c r="BZ609" i="1" s="1"/>
  <c r="CA609" i="1" s="1"/>
  <c r="CB609" i="1" s="1"/>
  <c r="CC609" i="1" s="1"/>
  <c r="CD609" i="1" s="1"/>
  <c r="CE609" i="1" s="1"/>
  <c r="CF609" i="1" s="1"/>
  <c r="CG609" i="1" s="1"/>
  <c r="CH609" i="1" s="1"/>
  <c r="CI609" i="1" s="1"/>
  <c r="CJ609" i="1" s="1"/>
  <c r="BU604" i="1"/>
  <c r="BY604" i="1" s="1"/>
  <c r="BZ604" i="1" s="1"/>
  <c r="CA604" i="1" s="1"/>
  <c r="CB604" i="1" s="1"/>
  <c r="CC604" i="1" s="1"/>
  <c r="CD604" i="1" s="1"/>
  <c r="CE604" i="1" s="1"/>
  <c r="CF604" i="1" s="1"/>
  <c r="CG604" i="1" s="1"/>
  <c r="CH604" i="1" s="1"/>
  <c r="CI604" i="1" s="1"/>
  <c r="CJ604" i="1" s="1"/>
  <c r="BV610" i="1"/>
  <c r="BJ591" i="1"/>
  <c r="BG80" i="1"/>
  <c r="BG597" i="1"/>
  <c r="BJ596" i="1"/>
  <c r="BG599" i="1"/>
  <c r="BJ593" i="1"/>
  <c r="BF592" i="1"/>
  <c r="BG592" i="1" s="1"/>
  <c r="CK606" i="1"/>
  <c r="CZ629" i="1"/>
  <c r="CK637" i="1"/>
  <c r="CZ622" i="1"/>
  <c r="CK636" i="1"/>
  <c r="CZ625" i="1"/>
  <c r="CK634" i="1"/>
  <c r="CK610" i="1"/>
  <c r="BL611" i="1"/>
  <c r="BL192" i="1"/>
  <c r="BM192" i="1" s="1"/>
  <c r="BN192" i="1" s="1"/>
  <c r="BO192" i="1" s="1"/>
  <c r="BP192" i="1" s="1"/>
  <c r="BQ192" i="1" s="1"/>
  <c r="BR192" i="1" s="1"/>
  <c r="BS192" i="1" s="1"/>
  <c r="BT192" i="1" s="1"/>
  <c r="BK602" i="1"/>
  <c r="BL602" i="1" s="1"/>
  <c r="BM602" i="1" s="1"/>
  <c r="BN602" i="1" s="1"/>
  <c r="BO602" i="1" s="1"/>
  <c r="BP602" i="1" s="1"/>
  <c r="BQ602" i="1" s="1"/>
  <c r="BR602" i="1" s="1"/>
  <c r="BS602" i="1" s="1"/>
  <c r="BT602" i="1" s="1"/>
  <c r="BL594" i="1"/>
  <c r="BL603" i="1"/>
  <c r="BM603" i="1" s="1"/>
  <c r="BN603" i="1" s="1"/>
  <c r="BO603" i="1" s="1"/>
  <c r="BP603" i="1" s="1"/>
  <c r="BQ603" i="1" s="1"/>
  <c r="BR603" i="1" s="1"/>
  <c r="BS603" i="1" s="1"/>
  <c r="BT603" i="1" s="1"/>
  <c r="BL67" i="1"/>
  <c r="BI599" i="1"/>
  <c r="BK599" i="1"/>
  <c r="BK80" i="1"/>
  <c r="BK597" i="1"/>
  <c r="AZ596" i="5"/>
  <c r="AU588" i="5"/>
  <c r="AO578" i="5"/>
  <c r="AT577" i="5"/>
  <c r="CZ624" i="1" l="1"/>
  <c r="CO637" i="1"/>
  <c r="CP637" i="1" s="1"/>
  <c r="CQ637" i="1" s="1"/>
  <c r="CR637" i="1" s="1"/>
  <c r="CS637" i="1" s="1"/>
  <c r="CT637" i="1" s="1"/>
  <c r="CU637" i="1" s="1"/>
  <c r="CV637" i="1" s="1"/>
  <c r="CW637" i="1" s="1"/>
  <c r="CX637" i="1" s="1"/>
  <c r="CY637" i="1" s="1"/>
  <c r="CN604" i="1"/>
  <c r="CO604" i="1" s="1"/>
  <c r="CP604" i="1" s="1"/>
  <c r="CQ604" i="1" s="1"/>
  <c r="CR604" i="1" s="1"/>
  <c r="CS604" i="1" s="1"/>
  <c r="CT604" i="1" s="1"/>
  <c r="CU604" i="1" s="1"/>
  <c r="CV604" i="1" s="1"/>
  <c r="CW604" i="1" s="1"/>
  <c r="CX604" i="1" s="1"/>
  <c r="CY604" i="1" s="1"/>
  <c r="CN600" i="1"/>
  <c r="CN601" i="1"/>
  <c r="CO601" i="1" s="1"/>
  <c r="CN627" i="1"/>
  <c r="CO627" i="1" s="1"/>
  <c r="CP627" i="1" s="1"/>
  <c r="CQ627" i="1" s="1"/>
  <c r="CR627" i="1" s="1"/>
  <c r="CS627" i="1" s="1"/>
  <c r="CT627" i="1" s="1"/>
  <c r="CU627" i="1" s="1"/>
  <c r="CV627" i="1" s="1"/>
  <c r="CW627" i="1" s="1"/>
  <c r="CX627" i="1" s="1"/>
  <c r="CY627" i="1" s="1"/>
  <c r="CN609" i="1"/>
  <c r="CO609" i="1" s="1"/>
  <c r="CP609" i="1" s="1"/>
  <c r="CQ609" i="1" s="1"/>
  <c r="CR609" i="1" s="1"/>
  <c r="CS609" i="1" s="1"/>
  <c r="CT609" i="1" s="1"/>
  <c r="CU609" i="1" s="1"/>
  <c r="CV609" i="1" s="1"/>
  <c r="CW609" i="1" s="1"/>
  <c r="CX609" i="1" s="1"/>
  <c r="CY609" i="1" s="1"/>
  <c r="CN605" i="1"/>
  <c r="CO605" i="1" s="1"/>
  <c r="CP605" i="1" s="1"/>
  <c r="CQ605" i="1" s="1"/>
  <c r="CR605" i="1" s="1"/>
  <c r="CS605" i="1" s="1"/>
  <c r="CT605" i="1" s="1"/>
  <c r="CU605" i="1" s="1"/>
  <c r="CV605" i="1" s="1"/>
  <c r="CW605" i="1" s="1"/>
  <c r="CX605" i="1" s="1"/>
  <c r="CY605" i="1" s="1"/>
  <c r="CN635" i="1"/>
  <c r="CO635" i="1" s="1"/>
  <c r="CP635" i="1" s="1"/>
  <c r="CQ635" i="1" s="1"/>
  <c r="CR635" i="1" s="1"/>
  <c r="CS635" i="1" s="1"/>
  <c r="CT635" i="1" s="1"/>
  <c r="CU635" i="1" s="1"/>
  <c r="CV635" i="1" s="1"/>
  <c r="CW635" i="1" s="1"/>
  <c r="CX635" i="1" s="1"/>
  <c r="CY635" i="1" s="1"/>
  <c r="CN607" i="1"/>
  <c r="BK596" i="1"/>
  <c r="BL596" i="1" s="1"/>
  <c r="BM596" i="1" s="1"/>
  <c r="BN596" i="1" s="1"/>
  <c r="BO596" i="1" s="1"/>
  <c r="BP596" i="1" s="1"/>
  <c r="BQ596" i="1" s="1"/>
  <c r="BR596" i="1" s="1"/>
  <c r="BS596" i="1" s="1"/>
  <c r="BT596" i="1" s="1"/>
  <c r="BK593" i="1"/>
  <c r="BL593" i="1" s="1"/>
  <c r="BM593" i="1" s="1"/>
  <c r="BN593" i="1" s="1"/>
  <c r="BO593" i="1" s="1"/>
  <c r="BP593" i="1" s="1"/>
  <c r="BQ593" i="1" s="1"/>
  <c r="BR593" i="1" s="1"/>
  <c r="BS593" i="1" s="1"/>
  <c r="BT593" i="1" s="1"/>
  <c r="BK595" i="1"/>
  <c r="BL595" i="1" s="1"/>
  <c r="BM595" i="1" s="1"/>
  <c r="BN595" i="1" s="1"/>
  <c r="BO595" i="1" s="1"/>
  <c r="BP595" i="1" s="1"/>
  <c r="BQ595" i="1" s="1"/>
  <c r="BR595" i="1" s="1"/>
  <c r="BS595" i="1" s="1"/>
  <c r="BT595" i="1" s="1"/>
  <c r="BK591" i="1"/>
  <c r="BL591" i="1" s="1"/>
  <c r="BM591" i="1" s="1"/>
  <c r="BN591" i="1" s="1"/>
  <c r="BO591" i="1" s="1"/>
  <c r="BP591" i="1" s="1"/>
  <c r="BQ591" i="1" s="1"/>
  <c r="BR591" i="1" s="1"/>
  <c r="BS591" i="1" s="1"/>
  <c r="BT591" i="1" s="1"/>
  <c r="BV605" i="1"/>
  <c r="BV607" i="1"/>
  <c r="BU603" i="1"/>
  <c r="BY603" i="1" s="1"/>
  <c r="BZ603" i="1" s="1"/>
  <c r="CA603" i="1" s="1"/>
  <c r="CB603" i="1" s="1"/>
  <c r="CC603" i="1" s="1"/>
  <c r="CD603" i="1" s="1"/>
  <c r="CE603" i="1" s="1"/>
  <c r="CF603" i="1" s="1"/>
  <c r="CG603" i="1" s="1"/>
  <c r="CH603" i="1" s="1"/>
  <c r="CI603" i="1" s="1"/>
  <c r="CJ603" i="1" s="1"/>
  <c r="BV609" i="1"/>
  <c r="BU598" i="1"/>
  <c r="BY598" i="1" s="1"/>
  <c r="BZ598" i="1" s="1"/>
  <c r="CA598" i="1" s="1"/>
  <c r="CB598" i="1" s="1"/>
  <c r="CC598" i="1" s="1"/>
  <c r="CD598" i="1" s="1"/>
  <c r="CE598" i="1" s="1"/>
  <c r="CF598" i="1" s="1"/>
  <c r="CG598" i="1" s="1"/>
  <c r="CH598" i="1" s="1"/>
  <c r="CI598" i="1" s="1"/>
  <c r="CJ598" i="1" s="1"/>
  <c r="BU66" i="1"/>
  <c r="BY66" i="1" s="1"/>
  <c r="BZ66" i="1" s="1"/>
  <c r="CA66" i="1" s="1"/>
  <c r="CB66" i="1" s="1"/>
  <c r="CC66" i="1" s="1"/>
  <c r="CD66" i="1" s="1"/>
  <c r="CE66" i="1" s="1"/>
  <c r="CF66" i="1" s="1"/>
  <c r="CG66" i="1" s="1"/>
  <c r="CH66" i="1" s="1"/>
  <c r="CI66" i="1" s="1"/>
  <c r="CJ66" i="1" s="1"/>
  <c r="BV635" i="1"/>
  <c r="BU294" i="1"/>
  <c r="BY294" i="1" s="1"/>
  <c r="BZ294" i="1" s="1"/>
  <c r="CA294" i="1" s="1"/>
  <c r="CB294" i="1" s="1"/>
  <c r="CC294" i="1" s="1"/>
  <c r="CD294" i="1" s="1"/>
  <c r="CE294" i="1" s="1"/>
  <c r="CF294" i="1" s="1"/>
  <c r="CG294" i="1" s="1"/>
  <c r="CH294" i="1" s="1"/>
  <c r="CI294" i="1" s="1"/>
  <c r="CJ294" i="1" s="1"/>
  <c r="BU602" i="1"/>
  <c r="BY602" i="1" s="1"/>
  <c r="BZ602" i="1" s="1"/>
  <c r="CA602" i="1" s="1"/>
  <c r="CB602" i="1" s="1"/>
  <c r="CC602" i="1" s="1"/>
  <c r="CD602" i="1" s="1"/>
  <c r="CE602" i="1" s="1"/>
  <c r="CF602" i="1" s="1"/>
  <c r="CG602" i="1" s="1"/>
  <c r="CH602" i="1" s="1"/>
  <c r="CI602" i="1" s="1"/>
  <c r="CJ602" i="1" s="1"/>
  <c r="BU68" i="1"/>
  <c r="BY68" i="1" s="1"/>
  <c r="BZ68" i="1" s="1"/>
  <c r="CA68" i="1" s="1"/>
  <c r="CB68" i="1" s="1"/>
  <c r="CC68" i="1" s="1"/>
  <c r="CD68" i="1" s="1"/>
  <c r="CE68" i="1" s="1"/>
  <c r="CF68" i="1" s="1"/>
  <c r="CG68" i="1" s="1"/>
  <c r="CH68" i="1" s="1"/>
  <c r="CI68" i="1" s="1"/>
  <c r="CJ68" i="1" s="1"/>
  <c r="BV627" i="1"/>
  <c r="BU295" i="1"/>
  <c r="BY295" i="1" s="1"/>
  <c r="BZ295" i="1" s="1"/>
  <c r="CA295" i="1" s="1"/>
  <c r="CB295" i="1" s="1"/>
  <c r="CC295" i="1" s="1"/>
  <c r="CD295" i="1" s="1"/>
  <c r="CE295" i="1" s="1"/>
  <c r="CF295" i="1" s="1"/>
  <c r="CG295" i="1" s="1"/>
  <c r="CH295" i="1" s="1"/>
  <c r="CI295" i="1" s="1"/>
  <c r="CJ295" i="1" s="1"/>
  <c r="BU69" i="1"/>
  <c r="BY69" i="1" s="1"/>
  <c r="BZ69" i="1" s="1"/>
  <c r="CA69" i="1" s="1"/>
  <c r="CB69" i="1" s="1"/>
  <c r="CC69" i="1" s="1"/>
  <c r="CD69" i="1" s="1"/>
  <c r="CE69" i="1" s="1"/>
  <c r="CF69" i="1" s="1"/>
  <c r="CG69" i="1" s="1"/>
  <c r="CH69" i="1" s="1"/>
  <c r="CI69" i="1" s="1"/>
  <c r="CJ69" i="1" s="1"/>
  <c r="BU192" i="1"/>
  <c r="BY192" i="1" s="1"/>
  <c r="BZ192" i="1" s="1"/>
  <c r="CA192" i="1" s="1"/>
  <c r="CB192" i="1" s="1"/>
  <c r="CC192" i="1" s="1"/>
  <c r="CD192" i="1" s="1"/>
  <c r="CE192" i="1" s="1"/>
  <c r="CF192" i="1" s="1"/>
  <c r="CG192" i="1" s="1"/>
  <c r="CH192" i="1" s="1"/>
  <c r="CI192" i="1" s="1"/>
  <c r="CJ192" i="1" s="1"/>
  <c r="BU70" i="1"/>
  <c r="BY70" i="1" s="1"/>
  <c r="BZ70" i="1" s="1"/>
  <c r="CA70" i="1" s="1"/>
  <c r="CB70" i="1" s="1"/>
  <c r="CC70" i="1" s="1"/>
  <c r="CD70" i="1" s="1"/>
  <c r="CE70" i="1" s="1"/>
  <c r="CF70" i="1" s="1"/>
  <c r="CG70" i="1" s="1"/>
  <c r="CH70" i="1" s="1"/>
  <c r="CI70" i="1" s="1"/>
  <c r="CJ70" i="1" s="1"/>
  <c r="BV604" i="1"/>
  <c r="BJ592" i="1"/>
  <c r="CK607" i="1"/>
  <c r="CK627" i="1"/>
  <c r="CK609" i="1"/>
  <c r="CZ634" i="1"/>
  <c r="CK635" i="1"/>
  <c r="BM65" i="1"/>
  <c r="BN65" i="1" s="1"/>
  <c r="BO65" i="1" s="1"/>
  <c r="BP65" i="1" s="1"/>
  <c r="BQ65" i="1" s="1"/>
  <c r="BR65" i="1" s="1"/>
  <c r="BS65" i="1" s="1"/>
  <c r="BT65" i="1" s="1"/>
  <c r="CZ606" i="1"/>
  <c r="CZ610" i="1"/>
  <c r="BM611" i="1"/>
  <c r="BN611" i="1" s="1"/>
  <c r="BO611" i="1" s="1"/>
  <c r="BP611" i="1" s="1"/>
  <c r="BQ611" i="1" s="1"/>
  <c r="BR611" i="1" s="1"/>
  <c r="BS611" i="1" s="1"/>
  <c r="BT611" i="1" s="1"/>
  <c r="CK605" i="1"/>
  <c r="BM67" i="1"/>
  <c r="BN67" i="1" s="1"/>
  <c r="BO67" i="1" s="1"/>
  <c r="BP67" i="1" s="1"/>
  <c r="BQ67" i="1" s="1"/>
  <c r="BR67" i="1" s="1"/>
  <c r="BS67" i="1" s="1"/>
  <c r="BT67" i="1" s="1"/>
  <c r="BM594" i="1"/>
  <c r="BN594" i="1" s="1"/>
  <c r="BO594" i="1" s="1"/>
  <c r="BP594" i="1" s="1"/>
  <c r="BQ594" i="1" s="1"/>
  <c r="BR594" i="1" s="1"/>
  <c r="BS594" i="1" s="1"/>
  <c r="BT594" i="1" s="1"/>
  <c r="CZ636" i="1"/>
  <c r="BI720" i="1"/>
  <c r="C9" i="8" s="1"/>
  <c r="BI717" i="1"/>
  <c r="CK604" i="1"/>
  <c r="BL599" i="1"/>
  <c r="BM599" i="1" s="1"/>
  <c r="BN599" i="1" s="1"/>
  <c r="BO599" i="1" s="1"/>
  <c r="BP599" i="1" s="1"/>
  <c r="BQ599" i="1" s="1"/>
  <c r="BR599" i="1" s="1"/>
  <c r="BS599" i="1" s="1"/>
  <c r="BT599" i="1" s="1"/>
  <c r="BL597" i="1"/>
  <c r="BM597" i="1" s="1"/>
  <c r="BN597" i="1" s="1"/>
  <c r="BO597" i="1" s="1"/>
  <c r="BP597" i="1" s="1"/>
  <c r="BQ597" i="1" s="1"/>
  <c r="BR597" i="1" s="1"/>
  <c r="BS597" i="1" s="1"/>
  <c r="BT597" i="1" s="1"/>
  <c r="BL80" i="1"/>
  <c r="BM80" i="1" s="1"/>
  <c r="BN80" i="1" s="1"/>
  <c r="BO80" i="1" s="1"/>
  <c r="BP80" i="1" s="1"/>
  <c r="BQ80" i="1" s="1"/>
  <c r="BR80" i="1" s="1"/>
  <c r="BS80" i="1" s="1"/>
  <c r="BT80" i="1" s="1"/>
  <c r="AS578" i="5"/>
  <c r="AP578" i="5"/>
  <c r="AV588" i="5"/>
  <c r="AU577" i="5"/>
  <c r="BA596" i="5"/>
  <c r="CO607" i="1" l="1"/>
  <c r="CP607" i="1" s="1"/>
  <c r="CQ607" i="1" s="1"/>
  <c r="CR607" i="1" s="1"/>
  <c r="CS607" i="1" s="1"/>
  <c r="CT607" i="1" s="1"/>
  <c r="CU607" i="1" s="1"/>
  <c r="CV607" i="1" s="1"/>
  <c r="CW607" i="1" s="1"/>
  <c r="CX607" i="1" s="1"/>
  <c r="CY607" i="1" s="1"/>
  <c r="CZ637" i="1"/>
  <c r="CN295" i="1"/>
  <c r="CO295" i="1" s="1"/>
  <c r="CP295" i="1" s="1"/>
  <c r="CQ295" i="1" s="1"/>
  <c r="CR295" i="1" s="1"/>
  <c r="CS295" i="1" s="1"/>
  <c r="CT295" i="1" s="1"/>
  <c r="CU295" i="1" s="1"/>
  <c r="CV295" i="1" s="1"/>
  <c r="CW295" i="1" s="1"/>
  <c r="CX295" i="1" s="1"/>
  <c r="CY295" i="1" s="1"/>
  <c r="CN66" i="1"/>
  <c r="CO66" i="1" s="1"/>
  <c r="CP66" i="1" s="1"/>
  <c r="CQ66" i="1" s="1"/>
  <c r="CR66" i="1" s="1"/>
  <c r="CS66" i="1" s="1"/>
  <c r="CT66" i="1" s="1"/>
  <c r="CU66" i="1" s="1"/>
  <c r="CV66" i="1" s="1"/>
  <c r="CW66" i="1" s="1"/>
  <c r="CX66" i="1" s="1"/>
  <c r="CY66" i="1" s="1"/>
  <c r="CN598" i="1"/>
  <c r="CO598" i="1" s="1"/>
  <c r="CP598" i="1" s="1"/>
  <c r="CQ598" i="1" s="1"/>
  <c r="CR598" i="1" s="1"/>
  <c r="CS598" i="1" s="1"/>
  <c r="CT598" i="1" s="1"/>
  <c r="CU598" i="1" s="1"/>
  <c r="CV598" i="1" s="1"/>
  <c r="CW598" i="1" s="1"/>
  <c r="CX598" i="1" s="1"/>
  <c r="CY598" i="1" s="1"/>
  <c r="CN68" i="1"/>
  <c r="CN70" i="1"/>
  <c r="CO70" i="1" s="1"/>
  <c r="CP70" i="1" s="1"/>
  <c r="CQ70" i="1" s="1"/>
  <c r="CR70" i="1" s="1"/>
  <c r="CS70" i="1" s="1"/>
  <c r="CT70" i="1" s="1"/>
  <c r="CU70" i="1" s="1"/>
  <c r="CV70" i="1" s="1"/>
  <c r="CW70" i="1" s="1"/>
  <c r="CX70" i="1" s="1"/>
  <c r="CY70" i="1" s="1"/>
  <c r="CN602" i="1"/>
  <c r="CO602" i="1" s="1"/>
  <c r="CP602" i="1" s="1"/>
  <c r="CQ602" i="1" s="1"/>
  <c r="CR602" i="1" s="1"/>
  <c r="CS602" i="1" s="1"/>
  <c r="CT602" i="1" s="1"/>
  <c r="CU602" i="1" s="1"/>
  <c r="CV602" i="1" s="1"/>
  <c r="CW602" i="1" s="1"/>
  <c r="CX602" i="1" s="1"/>
  <c r="CY602" i="1" s="1"/>
  <c r="CN603" i="1"/>
  <c r="CO603" i="1" s="1"/>
  <c r="CP603" i="1" s="1"/>
  <c r="CQ603" i="1" s="1"/>
  <c r="CR603" i="1" s="1"/>
  <c r="CS603" i="1" s="1"/>
  <c r="CT603" i="1" s="1"/>
  <c r="CU603" i="1" s="1"/>
  <c r="CV603" i="1" s="1"/>
  <c r="CW603" i="1" s="1"/>
  <c r="CX603" i="1" s="1"/>
  <c r="CY603" i="1" s="1"/>
  <c r="CN192" i="1"/>
  <c r="CO192" i="1" s="1"/>
  <c r="CP192" i="1" s="1"/>
  <c r="CQ192" i="1" s="1"/>
  <c r="CR192" i="1" s="1"/>
  <c r="CS192" i="1" s="1"/>
  <c r="CT192" i="1" s="1"/>
  <c r="CU192" i="1" s="1"/>
  <c r="CV192" i="1" s="1"/>
  <c r="CW192" i="1" s="1"/>
  <c r="CX192" i="1" s="1"/>
  <c r="CY192" i="1" s="1"/>
  <c r="CN294" i="1"/>
  <c r="CO294" i="1" s="1"/>
  <c r="CP294" i="1" s="1"/>
  <c r="CQ294" i="1" s="1"/>
  <c r="CR294" i="1" s="1"/>
  <c r="CS294" i="1" s="1"/>
  <c r="CT294" i="1" s="1"/>
  <c r="CU294" i="1" s="1"/>
  <c r="CV294" i="1" s="1"/>
  <c r="CW294" i="1" s="1"/>
  <c r="CX294" i="1" s="1"/>
  <c r="CY294" i="1" s="1"/>
  <c r="CN69" i="1"/>
  <c r="CO69" i="1" s="1"/>
  <c r="CP69" i="1" s="1"/>
  <c r="CQ69" i="1" s="1"/>
  <c r="CR69" i="1" s="1"/>
  <c r="CS69" i="1" s="1"/>
  <c r="CT69" i="1" s="1"/>
  <c r="CU69" i="1" s="1"/>
  <c r="CV69" i="1" s="1"/>
  <c r="CW69" i="1" s="1"/>
  <c r="CX69" i="1" s="1"/>
  <c r="CY69" i="1" s="1"/>
  <c r="BK592" i="1"/>
  <c r="BL592" i="1" s="1"/>
  <c r="BM592" i="1" s="1"/>
  <c r="BN592" i="1" s="1"/>
  <c r="BO592" i="1" s="1"/>
  <c r="BP592" i="1" s="1"/>
  <c r="BQ592" i="1" s="1"/>
  <c r="BR592" i="1" s="1"/>
  <c r="BS592" i="1" s="1"/>
  <c r="BT592" i="1" s="1"/>
  <c r="BV295" i="1"/>
  <c r="BV66" i="1"/>
  <c r="BV69" i="1"/>
  <c r="BV603" i="1"/>
  <c r="BV70" i="1"/>
  <c r="BV68" i="1"/>
  <c r="BV294" i="1"/>
  <c r="BU595" i="1"/>
  <c r="BY595" i="1" s="1"/>
  <c r="BZ595" i="1" s="1"/>
  <c r="CA595" i="1" s="1"/>
  <c r="CB595" i="1" s="1"/>
  <c r="CC595" i="1" s="1"/>
  <c r="CD595" i="1" s="1"/>
  <c r="CE595" i="1" s="1"/>
  <c r="CF595" i="1" s="1"/>
  <c r="CG595" i="1" s="1"/>
  <c r="CH595" i="1" s="1"/>
  <c r="CI595" i="1" s="1"/>
  <c r="CJ595" i="1" s="1"/>
  <c r="BU67" i="1"/>
  <c r="BY67" i="1" s="1"/>
  <c r="BZ67" i="1" s="1"/>
  <c r="CA67" i="1" s="1"/>
  <c r="CB67" i="1" s="1"/>
  <c r="CC67" i="1" s="1"/>
  <c r="CD67" i="1" s="1"/>
  <c r="CE67" i="1" s="1"/>
  <c r="CF67" i="1" s="1"/>
  <c r="CG67" i="1" s="1"/>
  <c r="CH67" i="1" s="1"/>
  <c r="CI67" i="1" s="1"/>
  <c r="CJ67" i="1" s="1"/>
  <c r="BU80" i="1"/>
  <c r="BY80" i="1" s="1"/>
  <c r="BZ80" i="1" s="1"/>
  <c r="CA80" i="1" s="1"/>
  <c r="CB80" i="1" s="1"/>
  <c r="CC80" i="1" s="1"/>
  <c r="CD80" i="1" s="1"/>
  <c r="CE80" i="1" s="1"/>
  <c r="CF80" i="1" s="1"/>
  <c r="CG80" i="1" s="1"/>
  <c r="CH80" i="1" s="1"/>
  <c r="CI80" i="1" s="1"/>
  <c r="CJ80" i="1" s="1"/>
  <c r="BV192" i="1"/>
  <c r="BU591" i="1"/>
  <c r="BY591" i="1" s="1"/>
  <c r="BZ591" i="1" s="1"/>
  <c r="CA591" i="1" s="1"/>
  <c r="CB591" i="1" s="1"/>
  <c r="CC591" i="1" s="1"/>
  <c r="CD591" i="1" s="1"/>
  <c r="CE591" i="1" s="1"/>
  <c r="CF591" i="1" s="1"/>
  <c r="CG591" i="1" s="1"/>
  <c r="CH591" i="1" s="1"/>
  <c r="CI591" i="1" s="1"/>
  <c r="CJ591" i="1" s="1"/>
  <c r="BU611" i="1"/>
  <c r="BY611" i="1" s="1"/>
  <c r="BZ611" i="1" s="1"/>
  <c r="CA611" i="1" s="1"/>
  <c r="CB611" i="1" s="1"/>
  <c r="CC611" i="1" s="1"/>
  <c r="CD611" i="1" s="1"/>
  <c r="CE611" i="1" s="1"/>
  <c r="CF611" i="1" s="1"/>
  <c r="CG611" i="1" s="1"/>
  <c r="CH611" i="1" s="1"/>
  <c r="CI611" i="1" s="1"/>
  <c r="CJ611" i="1" s="1"/>
  <c r="BU597" i="1"/>
  <c r="BY597" i="1" s="1"/>
  <c r="BZ597" i="1" s="1"/>
  <c r="CA597" i="1" s="1"/>
  <c r="CB597" i="1" s="1"/>
  <c r="CC597" i="1" s="1"/>
  <c r="CD597" i="1" s="1"/>
  <c r="CE597" i="1" s="1"/>
  <c r="CF597" i="1" s="1"/>
  <c r="CG597" i="1" s="1"/>
  <c r="CH597" i="1" s="1"/>
  <c r="CI597" i="1" s="1"/>
  <c r="CJ597" i="1" s="1"/>
  <c r="BV598" i="1"/>
  <c r="BU65" i="1"/>
  <c r="BY65" i="1" s="1"/>
  <c r="BZ65" i="1" s="1"/>
  <c r="CA65" i="1" s="1"/>
  <c r="CB65" i="1" s="1"/>
  <c r="CC65" i="1" s="1"/>
  <c r="CD65" i="1" s="1"/>
  <c r="CE65" i="1" s="1"/>
  <c r="CF65" i="1" s="1"/>
  <c r="CG65" i="1" s="1"/>
  <c r="CH65" i="1" s="1"/>
  <c r="CI65" i="1" s="1"/>
  <c r="CJ65" i="1" s="1"/>
  <c r="BU594" i="1"/>
  <c r="BY594" i="1" s="1"/>
  <c r="BZ594" i="1" s="1"/>
  <c r="CA594" i="1" s="1"/>
  <c r="CB594" i="1" s="1"/>
  <c r="CC594" i="1" s="1"/>
  <c r="CD594" i="1" s="1"/>
  <c r="CE594" i="1" s="1"/>
  <c r="CF594" i="1" s="1"/>
  <c r="CG594" i="1" s="1"/>
  <c r="CH594" i="1" s="1"/>
  <c r="CI594" i="1" s="1"/>
  <c r="CJ594" i="1" s="1"/>
  <c r="BU599" i="1"/>
  <c r="BY599" i="1" s="1"/>
  <c r="BZ599" i="1" s="1"/>
  <c r="CA599" i="1" s="1"/>
  <c r="CB599" i="1" s="1"/>
  <c r="CC599" i="1" s="1"/>
  <c r="CD599" i="1" s="1"/>
  <c r="CE599" i="1" s="1"/>
  <c r="CF599" i="1" s="1"/>
  <c r="CG599" i="1" s="1"/>
  <c r="CH599" i="1" s="1"/>
  <c r="CI599" i="1" s="1"/>
  <c r="CJ599" i="1" s="1"/>
  <c r="BU593" i="1"/>
  <c r="BY593" i="1" s="1"/>
  <c r="BZ593" i="1" s="1"/>
  <c r="CA593" i="1" s="1"/>
  <c r="CB593" i="1" s="1"/>
  <c r="CC593" i="1" s="1"/>
  <c r="CD593" i="1" s="1"/>
  <c r="CE593" i="1" s="1"/>
  <c r="CF593" i="1" s="1"/>
  <c r="CG593" i="1" s="1"/>
  <c r="CH593" i="1" s="1"/>
  <c r="CI593" i="1" s="1"/>
  <c r="CJ593" i="1" s="1"/>
  <c r="BU596" i="1"/>
  <c r="BY596" i="1" s="1"/>
  <c r="BZ596" i="1" s="1"/>
  <c r="CA596" i="1" s="1"/>
  <c r="CB596" i="1" s="1"/>
  <c r="CC596" i="1" s="1"/>
  <c r="CD596" i="1" s="1"/>
  <c r="CE596" i="1" s="1"/>
  <c r="CF596" i="1" s="1"/>
  <c r="CG596" i="1" s="1"/>
  <c r="CH596" i="1" s="1"/>
  <c r="CI596" i="1" s="1"/>
  <c r="CJ596" i="1" s="1"/>
  <c r="CK603" i="1"/>
  <c r="CK598" i="1"/>
  <c r="CZ604" i="1"/>
  <c r="CZ609" i="1"/>
  <c r="CK192" i="1"/>
  <c r="CK70" i="1"/>
  <c r="CZ627" i="1"/>
  <c r="CK69" i="1"/>
  <c r="CK68" i="1"/>
  <c r="CO68" i="1"/>
  <c r="CP68" i="1" s="1"/>
  <c r="CQ68" i="1" s="1"/>
  <c r="CR68" i="1" s="1"/>
  <c r="CS68" i="1" s="1"/>
  <c r="CT68" i="1" s="1"/>
  <c r="CU68" i="1" s="1"/>
  <c r="CV68" i="1" s="1"/>
  <c r="CW68" i="1" s="1"/>
  <c r="CX68" i="1" s="1"/>
  <c r="CY68" i="1" s="1"/>
  <c r="CK295" i="1"/>
  <c r="CK294" i="1"/>
  <c r="CZ635" i="1"/>
  <c r="CZ605" i="1"/>
  <c r="CK66" i="1"/>
  <c r="AV577" i="5"/>
  <c r="AT578" i="5"/>
  <c r="AP576" i="5"/>
  <c r="AP665" i="5"/>
  <c r="BB596" i="5"/>
  <c r="AW588" i="5"/>
  <c r="CZ607" i="1" l="1"/>
  <c r="CN597" i="1"/>
  <c r="CO597" i="1" s="1"/>
  <c r="CP597" i="1" s="1"/>
  <c r="CQ597" i="1" s="1"/>
  <c r="CR597" i="1" s="1"/>
  <c r="CS597" i="1" s="1"/>
  <c r="CT597" i="1" s="1"/>
  <c r="CU597" i="1" s="1"/>
  <c r="CV597" i="1" s="1"/>
  <c r="CW597" i="1" s="1"/>
  <c r="CX597" i="1" s="1"/>
  <c r="CY597" i="1" s="1"/>
  <c r="CN593" i="1"/>
  <c r="CO593" i="1" s="1"/>
  <c r="CP593" i="1" s="1"/>
  <c r="CQ593" i="1" s="1"/>
  <c r="CR593" i="1" s="1"/>
  <c r="CS593" i="1" s="1"/>
  <c r="CT593" i="1" s="1"/>
  <c r="CU593" i="1" s="1"/>
  <c r="CV593" i="1" s="1"/>
  <c r="CW593" i="1" s="1"/>
  <c r="CX593" i="1" s="1"/>
  <c r="CY593" i="1" s="1"/>
  <c r="CN611" i="1"/>
  <c r="CN599" i="1"/>
  <c r="CO599" i="1" s="1"/>
  <c r="CP599" i="1" s="1"/>
  <c r="CQ599" i="1" s="1"/>
  <c r="CR599" i="1" s="1"/>
  <c r="CS599" i="1" s="1"/>
  <c r="CT599" i="1" s="1"/>
  <c r="CU599" i="1" s="1"/>
  <c r="CV599" i="1" s="1"/>
  <c r="CW599" i="1" s="1"/>
  <c r="CX599" i="1" s="1"/>
  <c r="CY599" i="1" s="1"/>
  <c r="CN591" i="1"/>
  <c r="CO591" i="1" s="1"/>
  <c r="CP591" i="1" s="1"/>
  <c r="CQ591" i="1" s="1"/>
  <c r="CR591" i="1" s="1"/>
  <c r="CS591" i="1" s="1"/>
  <c r="CT591" i="1" s="1"/>
  <c r="CU591" i="1" s="1"/>
  <c r="CV591" i="1" s="1"/>
  <c r="CW591" i="1" s="1"/>
  <c r="CX591" i="1" s="1"/>
  <c r="CY591" i="1" s="1"/>
  <c r="CN594" i="1"/>
  <c r="CN65" i="1"/>
  <c r="CO65" i="1" s="1"/>
  <c r="CP65" i="1" s="1"/>
  <c r="CQ65" i="1" s="1"/>
  <c r="CR65" i="1" s="1"/>
  <c r="CS65" i="1" s="1"/>
  <c r="CT65" i="1" s="1"/>
  <c r="CU65" i="1" s="1"/>
  <c r="CV65" i="1" s="1"/>
  <c r="CW65" i="1" s="1"/>
  <c r="CX65" i="1" s="1"/>
  <c r="CY65" i="1" s="1"/>
  <c r="CN80" i="1"/>
  <c r="CO80" i="1" s="1"/>
  <c r="CP80" i="1" s="1"/>
  <c r="CQ80" i="1" s="1"/>
  <c r="CR80" i="1" s="1"/>
  <c r="CS80" i="1" s="1"/>
  <c r="CT80" i="1" s="1"/>
  <c r="CU80" i="1" s="1"/>
  <c r="CV80" i="1" s="1"/>
  <c r="CW80" i="1" s="1"/>
  <c r="CX80" i="1" s="1"/>
  <c r="CY80" i="1" s="1"/>
  <c r="CN67" i="1"/>
  <c r="CN596" i="1"/>
  <c r="CO596" i="1" s="1"/>
  <c r="CP596" i="1" s="1"/>
  <c r="CQ596" i="1" s="1"/>
  <c r="CR596" i="1" s="1"/>
  <c r="CS596" i="1" s="1"/>
  <c r="CT596" i="1" s="1"/>
  <c r="CU596" i="1" s="1"/>
  <c r="CV596" i="1" s="1"/>
  <c r="CW596" i="1" s="1"/>
  <c r="CX596" i="1" s="1"/>
  <c r="CY596" i="1" s="1"/>
  <c r="CN595" i="1"/>
  <c r="BV80" i="1"/>
  <c r="BV65" i="1"/>
  <c r="BV611" i="1"/>
  <c r="BV594" i="1"/>
  <c r="BV596" i="1"/>
  <c r="BV591" i="1"/>
  <c r="BV599" i="1"/>
  <c r="BU592" i="1"/>
  <c r="BY592" i="1" s="1"/>
  <c r="BZ592" i="1" s="1"/>
  <c r="CA592" i="1" s="1"/>
  <c r="CB592" i="1" s="1"/>
  <c r="CC592" i="1" s="1"/>
  <c r="CD592" i="1" s="1"/>
  <c r="CE592" i="1" s="1"/>
  <c r="CF592" i="1" s="1"/>
  <c r="CG592" i="1" s="1"/>
  <c r="CH592" i="1" s="1"/>
  <c r="CI592" i="1" s="1"/>
  <c r="CJ592" i="1" s="1"/>
  <c r="BV597" i="1"/>
  <c r="BV595" i="1"/>
  <c r="BV593" i="1"/>
  <c r="BV67" i="1"/>
  <c r="CZ66" i="1"/>
  <c r="CZ69" i="1"/>
  <c r="CK599" i="1"/>
  <c r="CK596" i="1"/>
  <c r="CZ603" i="1"/>
  <c r="CK611" i="1"/>
  <c r="CZ294" i="1"/>
  <c r="CK593" i="1"/>
  <c r="CK597" i="1"/>
  <c r="CZ68" i="1"/>
  <c r="CZ70" i="1"/>
  <c r="CZ295" i="1"/>
  <c r="CK594" i="1"/>
  <c r="CK80" i="1"/>
  <c r="CK595" i="1"/>
  <c r="CK67" i="1"/>
  <c r="CZ598" i="1"/>
  <c r="CK65" i="1"/>
  <c r="CO595" i="1"/>
  <c r="CP595" i="1" s="1"/>
  <c r="CQ595" i="1" s="1"/>
  <c r="CR595" i="1" s="1"/>
  <c r="CS595" i="1" s="1"/>
  <c r="CT595" i="1" s="1"/>
  <c r="CU595" i="1" s="1"/>
  <c r="CV595" i="1" s="1"/>
  <c r="CW595" i="1" s="1"/>
  <c r="CX595" i="1" s="1"/>
  <c r="CY595" i="1" s="1"/>
  <c r="CK591" i="1"/>
  <c r="CZ192" i="1"/>
  <c r="BC596" i="5"/>
  <c r="AU578" i="5"/>
  <c r="AX588" i="5"/>
  <c r="AW577" i="5"/>
  <c r="BV592" i="1" l="1"/>
  <c r="CO67" i="1"/>
  <c r="CP67" i="1" s="1"/>
  <c r="CQ67" i="1" s="1"/>
  <c r="CR67" i="1" s="1"/>
  <c r="CS67" i="1" s="1"/>
  <c r="CT67" i="1" s="1"/>
  <c r="CU67" i="1" s="1"/>
  <c r="CV67" i="1" s="1"/>
  <c r="CW67" i="1" s="1"/>
  <c r="CX67" i="1" s="1"/>
  <c r="CY67" i="1" s="1"/>
  <c r="CN592" i="1"/>
  <c r="CO611" i="1"/>
  <c r="CP611" i="1" s="1"/>
  <c r="CQ611" i="1" s="1"/>
  <c r="CR611" i="1" s="1"/>
  <c r="CS611" i="1" s="1"/>
  <c r="CT611" i="1" s="1"/>
  <c r="CU611" i="1" s="1"/>
  <c r="CV611" i="1" s="1"/>
  <c r="CW611" i="1" s="1"/>
  <c r="CX611" i="1" s="1"/>
  <c r="CY611" i="1" s="1"/>
  <c r="CO594" i="1"/>
  <c r="CP594" i="1" s="1"/>
  <c r="CQ594" i="1" s="1"/>
  <c r="CR594" i="1" s="1"/>
  <c r="CS594" i="1" s="1"/>
  <c r="CT594" i="1" s="1"/>
  <c r="CU594" i="1" s="1"/>
  <c r="CV594" i="1" s="1"/>
  <c r="CW594" i="1" s="1"/>
  <c r="CX594" i="1" s="1"/>
  <c r="CY594" i="1" s="1"/>
  <c r="CK592" i="1"/>
  <c r="CZ599" i="1"/>
  <c r="CZ595" i="1"/>
  <c r="CZ596" i="1"/>
  <c r="CZ593" i="1"/>
  <c r="CZ65" i="1"/>
  <c r="CZ597" i="1"/>
  <c r="CZ80" i="1"/>
  <c r="CZ591" i="1"/>
  <c r="AX577" i="5"/>
  <c r="AV578" i="5"/>
  <c r="AY588" i="5"/>
  <c r="BD596" i="5"/>
  <c r="CO592" i="1" l="1"/>
  <c r="CP592" i="1" s="1"/>
  <c r="CQ592" i="1" s="1"/>
  <c r="CR592" i="1" s="1"/>
  <c r="CS592" i="1" s="1"/>
  <c r="CT592" i="1" s="1"/>
  <c r="CU592" i="1" s="1"/>
  <c r="CV592" i="1" s="1"/>
  <c r="CW592" i="1" s="1"/>
  <c r="CX592" i="1" s="1"/>
  <c r="CY592" i="1" s="1"/>
  <c r="CZ592" i="1" s="1"/>
  <c r="CZ67" i="1"/>
  <c r="CZ611" i="1"/>
  <c r="CZ594" i="1"/>
  <c r="AW578" i="5"/>
  <c r="AZ588" i="5"/>
  <c r="AY577" i="5"/>
  <c r="BA588" i="5" l="1"/>
  <c r="AZ577" i="5"/>
  <c r="AX578" i="5"/>
  <c r="BA577" i="5" l="1"/>
  <c r="AY578" i="5"/>
  <c r="BB588" i="5"/>
  <c r="AZ578" i="5" l="1"/>
  <c r="BC588" i="5"/>
  <c r="BB577" i="5"/>
  <c r="BD588" i="5" l="1"/>
  <c r="BC577" i="5"/>
  <c r="BA578" i="5"/>
  <c r="BD577" i="5" l="1"/>
  <c r="BB578" i="5"/>
  <c r="BC578" i="5" l="1"/>
  <c r="BE577" i="5"/>
  <c r="BD578" i="5" l="1"/>
  <c r="BE578" i="5" l="1"/>
  <c r="BE576" i="5" l="1"/>
  <c r="BE665" i="5"/>
  <c r="AC562" i="1" l="1"/>
  <c r="N562" i="1"/>
  <c r="O562" i="1"/>
  <c r="P562" i="1" l="1"/>
  <c r="Q562" i="1" s="1"/>
  <c r="R562" i="1" s="1"/>
  <c r="S562" i="1" s="1"/>
  <c r="T562" i="1" s="1"/>
  <c r="U562" i="1" s="1"/>
  <c r="V562" i="1" s="1"/>
  <c r="W562" i="1" s="1"/>
  <c r="X562" i="1" s="1"/>
  <c r="Y562" i="1" s="1"/>
  <c r="Z562" i="1" s="1"/>
  <c r="AD562" i="1" l="1"/>
  <c r="AE562" i="1" s="1"/>
  <c r="AF562" i="1" s="1"/>
  <c r="AG562" i="1" s="1"/>
  <c r="AH562" i="1" s="1"/>
  <c r="AI562" i="1" s="1"/>
  <c r="AJ562" i="1" s="1"/>
  <c r="AK562" i="1" s="1"/>
  <c r="AL562" i="1" s="1"/>
  <c r="AM562" i="1" s="1"/>
  <c r="AN562" i="1" s="1"/>
  <c r="AA562" i="1"/>
  <c r="AO562" i="1" l="1"/>
  <c r="AR562" i="1" s="1"/>
  <c r="AS562" i="1" s="1"/>
  <c r="AT562" i="1"/>
  <c r="AU562" i="1" l="1"/>
  <c r="AP562" i="1"/>
  <c r="BH276" i="4"/>
  <c r="AV562" i="1" l="1"/>
  <c r="AW562" i="1" s="1"/>
  <c r="AX562" i="1" s="1"/>
  <c r="AY562" i="1" s="1"/>
  <c r="AZ562" i="1" s="1"/>
  <c r="BA562" i="1" s="1"/>
  <c r="BB562" i="1" s="1"/>
  <c r="BC562" i="1" s="1"/>
  <c r="BD562" i="1" s="1"/>
  <c r="BE562" i="1" s="1"/>
  <c r="BF562" i="1" l="1"/>
  <c r="BG562" i="1" s="1"/>
  <c r="AG564" i="1"/>
  <c r="AH564" i="1" s="1"/>
  <c r="AI564" i="1" s="1"/>
  <c r="AJ564" i="1" s="1"/>
  <c r="BJ562" i="1" l="1"/>
  <c r="AK564" i="1"/>
  <c r="AL564" i="1" s="1"/>
  <c r="BH245" i="4"/>
  <c r="AC568" i="1"/>
  <c r="O568" i="1"/>
  <c r="P568" i="1" s="1"/>
  <c r="Q568" i="1" s="1"/>
  <c r="R568" i="1" s="1"/>
  <c r="S568" i="1" s="1"/>
  <c r="T568" i="1" s="1"/>
  <c r="U568" i="1" s="1"/>
  <c r="V568" i="1" s="1"/>
  <c r="W568" i="1" s="1"/>
  <c r="X568" i="1" s="1"/>
  <c r="Y568" i="1" s="1"/>
  <c r="Z568" i="1" s="1"/>
  <c r="N568" i="1"/>
  <c r="O521" i="1"/>
  <c r="P521" i="1" s="1"/>
  <c r="Q521" i="1" s="1"/>
  <c r="R521" i="1" s="1"/>
  <c r="S521" i="1" s="1"/>
  <c r="T521" i="1" s="1"/>
  <c r="U521" i="1" s="1"/>
  <c r="V521" i="1" s="1"/>
  <c r="W521" i="1" s="1"/>
  <c r="X521" i="1" s="1"/>
  <c r="Y521" i="1" s="1"/>
  <c r="Z521" i="1" s="1"/>
  <c r="AC521" i="1"/>
  <c r="N521" i="1"/>
  <c r="AC578" i="1"/>
  <c r="N520" i="1"/>
  <c r="AC520" i="1"/>
  <c r="O520" i="1"/>
  <c r="P520" i="1" s="1"/>
  <c r="Q520" i="1" s="1"/>
  <c r="R520" i="1" s="1"/>
  <c r="S520" i="1" s="1"/>
  <c r="T520" i="1" s="1"/>
  <c r="U520" i="1" s="1"/>
  <c r="V520" i="1" s="1"/>
  <c r="W520" i="1" s="1"/>
  <c r="X520" i="1" s="1"/>
  <c r="Y520" i="1" s="1"/>
  <c r="Z520" i="1" s="1"/>
  <c r="P565" i="1"/>
  <c r="Q565" i="1" s="1"/>
  <c r="R565" i="1" s="1"/>
  <c r="S565" i="1" s="1"/>
  <c r="T565" i="1" s="1"/>
  <c r="U565" i="1" s="1"/>
  <c r="O580" i="1"/>
  <c r="AC580" i="1"/>
  <c r="AT196" i="1"/>
  <c r="O196" i="1"/>
  <c r="P196" i="1" s="1"/>
  <c r="Q196" i="1" s="1"/>
  <c r="R196" i="1" s="1"/>
  <c r="S196" i="1" s="1"/>
  <c r="T196" i="1" s="1"/>
  <c r="U196" i="1" s="1"/>
  <c r="V196" i="1" s="1"/>
  <c r="W196" i="1" s="1"/>
  <c r="X196" i="1" s="1"/>
  <c r="Y196" i="1" s="1"/>
  <c r="Z196" i="1" s="1"/>
  <c r="AC196" i="1"/>
  <c r="N196" i="1"/>
  <c r="O579" i="1"/>
  <c r="BK562" i="1" l="1"/>
  <c r="BL562" i="1" s="1"/>
  <c r="BM562" i="1" s="1"/>
  <c r="BN562" i="1" s="1"/>
  <c r="BO562" i="1" s="1"/>
  <c r="BP562" i="1" s="1"/>
  <c r="BQ562" i="1" s="1"/>
  <c r="BR562" i="1" s="1"/>
  <c r="BS562" i="1" s="1"/>
  <c r="BT562" i="1" s="1"/>
  <c r="AD521" i="1"/>
  <c r="AE521" i="1" s="1"/>
  <c r="AF521" i="1" s="1"/>
  <c r="AG521" i="1" s="1"/>
  <c r="AH521" i="1" s="1"/>
  <c r="AI521" i="1" s="1"/>
  <c r="AJ521" i="1" s="1"/>
  <c r="AK521" i="1" s="1"/>
  <c r="AL521" i="1" s="1"/>
  <c r="AM521" i="1" s="1"/>
  <c r="AN521" i="1" s="1"/>
  <c r="AD568" i="1"/>
  <c r="AE568" i="1" s="1"/>
  <c r="AF568" i="1" s="1"/>
  <c r="AG568" i="1" s="1"/>
  <c r="AH568" i="1" s="1"/>
  <c r="AI568" i="1" s="1"/>
  <c r="AJ568" i="1" s="1"/>
  <c r="AK568" i="1" s="1"/>
  <c r="AL568" i="1" s="1"/>
  <c r="AM568" i="1" s="1"/>
  <c r="AN568" i="1" s="1"/>
  <c r="AD520" i="1"/>
  <c r="AE520" i="1" s="1"/>
  <c r="AF520" i="1" s="1"/>
  <c r="AG520" i="1" s="1"/>
  <c r="AH520" i="1" s="1"/>
  <c r="AI520" i="1" s="1"/>
  <c r="AJ520" i="1" s="1"/>
  <c r="AK520" i="1" s="1"/>
  <c r="AL520" i="1" s="1"/>
  <c r="AM520" i="1" s="1"/>
  <c r="AN520" i="1" s="1"/>
  <c r="AD196" i="1"/>
  <c r="AE196" i="1" s="1"/>
  <c r="AF196" i="1" s="1"/>
  <c r="AG196" i="1" s="1"/>
  <c r="AH196" i="1" s="1"/>
  <c r="AI196" i="1" s="1"/>
  <c r="AJ196" i="1" s="1"/>
  <c r="AK196" i="1" s="1"/>
  <c r="AL196" i="1" s="1"/>
  <c r="AM196" i="1" s="1"/>
  <c r="AN196" i="1" s="1"/>
  <c r="AM564" i="1"/>
  <c r="AN564" i="1" s="1"/>
  <c r="V565" i="1"/>
  <c r="W565" i="1" s="1"/>
  <c r="X565" i="1" s="1"/>
  <c r="Y565" i="1" s="1"/>
  <c r="Z565" i="1" s="1"/>
  <c r="BH32" i="4"/>
  <c r="O86" i="1"/>
  <c r="P86" i="1" s="1"/>
  <c r="Q86" i="1" s="1"/>
  <c r="R86" i="1" s="1"/>
  <c r="S86" i="1" s="1"/>
  <c r="T86" i="1" s="1"/>
  <c r="U86" i="1" s="1"/>
  <c r="V86" i="1" s="1"/>
  <c r="W86" i="1" s="1"/>
  <c r="X86" i="1" s="1"/>
  <c r="Y86" i="1" s="1"/>
  <c r="Z86" i="1" s="1"/>
  <c r="N86" i="1"/>
  <c r="AT86" i="1"/>
  <c r="AC86" i="1"/>
  <c r="AT21" i="1"/>
  <c r="O21" i="1"/>
  <c r="N21" i="1"/>
  <c r="AC21" i="1"/>
  <c r="AC511" i="1"/>
  <c r="O511" i="1"/>
  <c r="P511" i="1" s="1"/>
  <c r="Q511" i="1" s="1"/>
  <c r="R511" i="1" s="1"/>
  <c r="S511" i="1" s="1"/>
  <c r="T511" i="1" s="1"/>
  <c r="U511" i="1" s="1"/>
  <c r="V511" i="1" s="1"/>
  <c r="W511" i="1" s="1"/>
  <c r="X511" i="1" s="1"/>
  <c r="Y511" i="1" s="1"/>
  <c r="Z511" i="1" s="1"/>
  <c r="N511" i="1"/>
  <c r="P578" i="1"/>
  <c r="Q578" i="1" s="1"/>
  <c r="R578" i="1" s="1"/>
  <c r="S578" i="1" s="1"/>
  <c r="T578" i="1" s="1"/>
  <c r="U578" i="1" s="1"/>
  <c r="V578" i="1" s="1"/>
  <c r="W578" i="1" s="1"/>
  <c r="X578" i="1" s="1"/>
  <c r="Y578" i="1" s="1"/>
  <c r="AC388" i="1"/>
  <c r="AT388" i="1"/>
  <c r="N388" i="1"/>
  <c r="O388" i="1"/>
  <c r="O408" i="1"/>
  <c r="N408" i="1"/>
  <c r="AC408" i="1"/>
  <c r="AT408" i="1"/>
  <c r="N494" i="1"/>
  <c r="O494" i="1"/>
  <c r="P494" i="1" s="1"/>
  <c r="Q494" i="1" s="1"/>
  <c r="R494" i="1" s="1"/>
  <c r="S494" i="1" s="1"/>
  <c r="T494" i="1" s="1"/>
  <c r="U494" i="1" s="1"/>
  <c r="V494" i="1" s="1"/>
  <c r="W494" i="1" s="1"/>
  <c r="X494" i="1" s="1"/>
  <c r="Y494" i="1" s="1"/>
  <c r="Z494" i="1" s="1"/>
  <c r="AT494" i="1"/>
  <c r="AC494" i="1"/>
  <c r="O84" i="1"/>
  <c r="P84" i="1" s="1"/>
  <c r="Q84" i="1" s="1"/>
  <c r="R84" i="1" s="1"/>
  <c r="S84" i="1" s="1"/>
  <c r="T84" i="1" s="1"/>
  <c r="U84" i="1" s="1"/>
  <c r="V84" i="1" s="1"/>
  <c r="W84" i="1" s="1"/>
  <c r="X84" i="1" s="1"/>
  <c r="Y84" i="1" s="1"/>
  <c r="Z84" i="1" s="1"/>
  <c r="AT84" i="1"/>
  <c r="AC84" i="1"/>
  <c r="N84" i="1"/>
  <c r="N108" i="1"/>
  <c r="AT108" i="1"/>
  <c r="AC108" i="1"/>
  <c r="O108" i="1"/>
  <c r="N228" i="1"/>
  <c r="AT228" i="1"/>
  <c r="AC228" i="1"/>
  <c r="O228" i="1"/>
  <c r="P228" i="1" s="1"/>
  <c r="Q228" i="1" s="1"/>
  <c r="R228" i="1" s="1"/>
  <c r="S228" i="1" s="1"/>
  <c r="T228" i="1" s="1"/>
  <c r="U228" i="1" s="1"/>
  <c r="V228" i="1" s="1"/>
  <c r="W228" i="1" s="1"/>
  <c r="X228" i="1" s="1"/>
  <c r="Y228" i="1" s="1"/>
  <c r="Z228" i="1" s="1"/>
  <c r="AT236" i="1"/>
  <c r="AC236" i="1"/>
  <c r="O236" i="1"/>
  <c r="P236" i="1" s="1"/>
  <c r="Q236" i="1" s="1"/>
  <c r="R236" i="1" s="1"/>
  <c r="S236" i="1" s="1"/>
  <c r="T236" i="1" s="1"/>
  <c r="U236" i="1" s="1"/>
  <c r="V236" i="1" s="1"/>
  <c r="W236" i="1" s="1"/>
  <c r="X236" i="1" s="1"/>
  <c r="Y236" i="1" s="1"/>
  <c r="Z236" i="1" s="1"/>
  <c r="N236" i="1"/>
  <c r="AC268" i="1"/>
  <c r="N268" i="1"/>
  <c r="AT268" i="1"/>
  <c r="O268" i="1"/>
  <c r="N276" i="1"/>
  <c r="O276" i="1"/>
  <c r="AC276" i="1"/>
  <c r="AT276" i="1"/>
  <c r="N377" i="1"/>
  <c r="AC377" i="1"/>
  <c r="AT377" i="1"/>
  <c r="O377" i="1"/>
  <c r="AC417" i="1"/>
  <c r="N417" i="1"/>
  <c r="AT417" i="1"/>
  <c r="O417" i="1"/>
  <c r="O85" i="1"/>
  <c r="P85" i="1" s="1"/>
  <c r="Q85" i="1" s="1"/>
  <c r="R85" i="1" s="1"/>
  <c r="S85" i="1" s="1"/>
  <c r="T85" i="1" s="1"/>
  <c r="U85" i="1" s="1"/>
  <c r="V85" i="1" s="1"/>
  <c r="W85" i="1" s="1"/>
  <c r="X85" i="1" s="1"/>
  <c r="Y85" i="1" s="1"/>
  <c r="Z85" i="1" s="1"/>
  <c r="N85" i="1"/>
  <c r="AT85" i="1"/>
  <c r="AC85" i="1"/>
  <c r="N199" i="1"/>
  <c r="Q199" i="1"/>
  <c r="R199" i="1" s="1"/>
  <c r="S199" i="1" s="1"/>
  <c r="T199" i="1" s="1"/>
  <c r="U199" i="1" s="1"/>
  <c r="V199" i="1" s="1"/>
  <c r="W199" i="1" s="1"/>
  <c r="X199" i="1" s="1"/>
  <c r="Y199" i="1" s="1"/>
  <c r="N57" i="1"/>
  <c r="O57" i="1"/>
  <c r="P57" i="1" s="1"/>
  <c r="Q57" i="1" s="1"/>
  <c r="R57" i="1" s="1"/>
  <c r="S57" i="1" s="1"/>
  <c r="T57" i="1" s="1"/>
  <c r="U57" i="1" s="1"/>
  <c r="V57" i="1" s="1"/>
  <c r="W57" i="1" s="1"/>
  <c r="X57" i="1" s="1"/>
  <c r="Y57" i="1" s="1"/>
  <c r="Z57" i="1" s="1"/>
  <c r="AC57" i="1"/>
  <c r="AT57" i="1"/>
  <c r="AT204" i="1"/>
  <c r="N204" i="1"/>
  <c r="AC204" i="1"/>
  <c r="O204" i="1"/>
  <c r="N229" i="1"/>
  <c r="O229" i="1"/>
  <c r="P229" i="1" s="1"/>
  <c r="Q229" i="1" s="1"/>
  <c r="R229" i="1" s="1"/>
  <c r="S229" i="1" s="1"/>
  <c r="T229" i="1" s="1"/>
  <c r="U229" i="1" s="1"/>
  <c r="V229" i="1" s="1"/>
  <c r="W229" i="1" s="1"/>
  <c r="X229" i="1" s="1"/>
  <c r="Y229" i="1" s="1"/>
  <c r="Z229" i="1" s="1"/>
  <c r="AC229" i="1"/>
  <c r="AT229" i="1"/>
  <c r="N237" i="1"/>
  <c r="O237" i="1"/>
  <c r="P237" i="1" s="1"/>
  <c r="Q237" i="1" s="1"/>
  <c r="R237" i="1" s="1"/>
  <c r="S237" i="1" s="1"/>
  <c r="T237" i="1" s="1"/>
  <c r="U237" i="1" s="1"/>
  <c r="V237" i="1" s="1"/>
  <c r="W237" i="1" s="1"/>
  <c r="X237" i="1" s="1"/>
  <c r="Y237" i="1" s="1"/>
  <c r="Z237" i="1" s="1"/>
  <c r="AT237" i="1"/>
  <c r="AC237" i="1"/>
  <c r="AC346" i="1"/>
  <c r="O346" i="1"/>
  <c r="N346" i="1"/>
  <c r="AT346" i="1"/>
  <c r="O374" i="1"/>
  <c r="AT374" i="1"/>
  <c r="N374" i="1"/>
  <c r="AC374" i="1"/>
  <c r="AC382" i="1"/>
  <c r="O382" i="1"/>
  <c r="AT382" i="1"/>
  <c r="N382" i="1"/>
  <c r="AC390" i="1"/>
  <c r="AT390" i="1"/>
  <c r="N390" i="1"/>
  <c r="O390" i="1"/>
  <c r="N230" i="1"/>
  <c r="O230" i="1"/>
  <c r="P230" i="1" s="1"/>
  <c r="Q230" i="1" s="1"/>
  <c r="R230" i="1" s="1"/>
  <c r="S230" i="1" s="1"/>
  <c r="T230" i="1" s="1"/>
  <c r="U230" i="1" s="1"/>
  <c r="V230" i="1" s="1"/>
  <c r="W230" i="1" s="1"/>
  <c r="X230" i="1" s="1"/>
  <c r="Y230" i="1" s="1"/>
  <c r="Z230" i="1" s="1"/>
  <c r="AT230" i="1"/>
  <c r="AC230" i="1"/>
  <c r="AT238" i="1"/>
  <c r="AC238" i="1"/>
  <c r="O238" i="1"/>
  <c r="P238" i="1" s="1"/>
  <c r="Q238" i="1" s="1"/>
  <c r="R238" i="1" s="1"/>
  <c r="S238" i="1" s="1"/>
  <c r="T238" i="1" s="1"/>
  <c r="U238" i="1" s="1"/>
  <c r="V238" i="1" s="1"/>
  <c r="W238" i="1" s="1"/>
  <c r="X238" i="1" s="1"/>
  <c r="Y238" i="1" s="1"/>
  <c r="Z238" i="1" s="1"/>
  <c r="N238" i="1"/>
  <c r="AC253" i="1"/>
  <c r="AT253" i="1"/>
  <c r="O253" i="1"/>
  <c r="N253" i="1"/>
  <c r="O313" i="1"/>
  <c r="O355" i="1"/>
  <c r="AC355" i="1"/>
  <c r="AT355" i="1"/>
  <c r="N355" i="1"/>
  <c r="AC387" i="1"/>
  <c r="O387" i="1"/>
  <c r="N387" i="1"/>
  <c r="AT387" i="1"/>
  <c r="O395" i="1"/>
  <c r="AC395" i="1"/>
  <c r="N395" i="1"/>
  <c r="AT395" i="1"/>
  <c r="AC415" i="1"/>
  <c r="AT415" i="1"/>
  <c r="N415" i="1"/>
  <c r="O415" i="1"/>
  <c r="O58" i="1"/>
  <c r="P58" i="1" s="1"/>
  <c r="Q58" i="1" s="1"/>
  <c r="R58" i="1" s="1"/>
  <c r="S58" i="1" s="1"/>
  <c r="T58" i="1" s="1"/>
  <c r="U58" i="1" s="1"/>
  <c r="V58" i="1" s="1"/>
  <c r="W58" i="1" s="1"/>
  <c r="X58" i="1" s="1"/>
  <c r="Y58" i="1" s="1"/>
  <c r="Z58" i="1" s="1"/>
  <c r="N58" i="1"/>
  <c r="AT58" i="1"/>
  <c r="AC58" i="1"/>
  <c r="N83" i="1"/>
  <c r="O83" i="1"/>
  <c r="P83" i="1" s="1"/>
  <c r="Q83" i="1" s="1"/>
  <c r="R83" i="1" s="1"/>
  <c r="S83" i="1" s="1"/>
  <c r="T83" i="1" s="1"/>
  <c r="U83" i="1" s="1"/>
  <c r="V83" i="1" s="1"/>
  <c r="W83" i="1" s="1"/>
  <c r="X83" i="1" s="1"/>
  <c r="Y83" i="1" s="1"/>
  <c r="Z83" i="1" s="1"/>
  <c r="AT83" i="1"/>
  <c r="AC83" i="1"/>
  <c r="AC94" i="1"/>
  <c r="AT94" i="1"/>
  <c r="N94" i="1"/>
  <c r="O94" i="1"/>
  <c r="P94" i="1" s="1"/>
  <c r="Q94" i="1" s="1"/>
  <c r="R94" i="1" s="1"/>
  <c r="S94" i="1" s="1"/>
  <c r="T94" i="1" s="1"/>
  <c r="U94" i="1" s="1"/>
  <c r="V94" i="1" s="1"/>
  <c r="W94" i="1" s="1"/>
  <c r="X94" i="1" s="1"/>
  <c r="Y94" i="1" s="1"/>
  <c r="Z94" i="1" s="1"/>
  <c r="N15" i="1"/>
  <c r="O15" i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T15" i="1"/>
  <c r="AC15" i="1"/>
  <c r="N93" i="1"/>
  <c r="AC93" i="1"/>
  <c r="AT93" i="1"/>
  <c r="O93" i="1"/>
  <c r="P93" i="1" s="1"/>
  <c r="Q93" i="1" s="1"/>
  <c r="R93" i="1" s="1"/>
  <c r="S93" i="1" s="1"/>
  <c r="T93" i="1" s="1"/>
  <c r="U93" i="1" s="1"/>
  <c r="V93" i="1" s="1"/>
  <c r="W93" i="1" s="1"/>
  <c r="X93" i="1" s="1"/>
  <c r="Y93" i="1" s="1"/>
  <c r="Z93" i="1" s="1"/>
  <c r="N227" i="1"/>
  <c r="AC227" i="1"/>
  <c r="AT227" i="1"/>
  <c r="O227" i="1"/>
  <c r="P227" i="1" s="1"/>
  <c r="Q227" i="1" s="1"/>
  <c r="R227" i="1" s="1"/>
  <c r="S227" i="1" s="1"/>
  <c r="T227" i="1" s="1"/>
  <c r="U227" i="1" s="1"/>
  <c r="V227" i="1" s="1"/>
  <c r="W227" i="1" s="1"/>
  <c r="X227" i="1" s="1"/>
  <c r="Y227" i="1" s="1"/>
  <c r="Z227" i="1" s="1"/>
  <c r="N235" i="1"/>
  <c r="AT235" i="1"/>
  <c r="AC235" i="1"/>
  <c r="O235" i="1"/>
  <c r="P235" i="1" s="1"/>
  <c r="Q235" i="1" s="1"/>
  <c r="R235" i="1" s="1"/>
  <c r="S235" i="1" s="1"/>
  <c r="T235" i="1" s="1"/>
  <c r="U235" i="1" s="1"/>
  <c r="V235" i="1" s="1"/>
  <c r="W235" i="1" s="1"/>
  <c r="X235" i="1" s="1"/>
  <c r="Y235" i="1" s="1"/>
  <c r="Z235" i="1" s="1"/>
  <c r="AC4" i="1"/>
  <c r="N4" i="1"/>
  <c r="AT4" i="1"/>
  <c r="O4" i="1"/>
  <c r="P579" i="1"/>
  <c r="Q579" i="1" s="1"/>
  <c r="R579" i="1" s="1"/>
  <c r="S579" i="1" s="1"/>
  <c r="T579" i="1" s="1"/>
  <c r="U579" i="1" s="1"/>
  <c r="V579" i="1" s="1"/>
  <c r="W579" i="1" s="1"/>
  <c r="X579" i="1" s="1"/>
  <c r="Y579" i="1" s="1"/>
  <c r="O504" i="1"/>
  <c r="N504" i="1"/>
  <c r="AC504" i="1"/>
  <c r="N81" i="1"/>
  <c r="AT81" i="1"/>
  <c r="AC81" i="1"/>
  <c r="O81" i="1"/>
  <c r="P81" i="1" s="1"/>
  <c r="Q81" i="1" s="1"/>
  <c r="R81" i="1" s="1"/>
  <c r="S81" i="1" s="1"/>
  <c r="T81" i="1" s="1"/>
  <c r="U81" i="1" s="1"/>
  <c r="V81" i="1" s="1"/>
  <c r="W81" i="1" s="1"/>
  <c r="X81" i="1" s="1"/>
  <c r="Y81" i="1" s="1"/>
  <c r="Z81" i="1" s="1"/>
  <c r="AC90" i="1"/>
  <c r="AT90" i="1"/>
  <c r="N90" i="1"/>
  <c r="O90" i="1"/>
  <c r="P90" i="1" s="1"/>
  <c r="Q90" i="1" s="1"/>
  <c r="R90" i="1" s="1"/>
  <c r="S90" i="1" s="1"/>
  <c r="T90" i="1" s="1"/>
  <c r="U90" i="1" s="1"/>
  <c r="V90" i="1" s="1"/>
  <c r="W90" i="1" s="1"/>
  <c r="X90" i="1" s="1"/>
  <c r="Y90" i="1" s="1"/>
  <c r="Z90" i="1" s="1"/>
  <c r="N14" i="1"/>
  <c r="AT14" i="1"/>
  <c r="O14" i="1"/>
  <c r="P14" i="1" s="1"/>
  <c r="Q14" i="1" s="1"/>
  <c r="R14" i="1" s="1"/>
  <c r="S14" i="1" s="1"/>
  <c r="T14" i="1" s="1"/>
  <c r="U14" i="1" s="1"/>
  <c r="V14" i="1" s="1"/>
  <c r="W14" i="1" s="1"/>
  <c r="X14" i="1" s="1"/>
  <c r="Y14" i="1" s="1"/>
  <c r="Z14" i="1" s="1"/>
  <c r="AC14" i="1"/>
  <c r="AC384" i="1"/>
  <c r="AT384" i="1"/>
  <c r="O384" i="1"/>
  <c r="N384" i="1"/>
  <c r="AC77" i="1"/>
  <c r="O77" i="1"/>
  <c r="AT77" i="1"/>
  <c r="N77" i="1"/>
  <c r="AC224" i="1"/>
  <c r="N224" i="1"/>
  <c r="O224" i="1"/>
  <c r="P224" i="1" s="1"/>
  <c r="Q224" i="1" s="1"/>
  <c r="R224" i="1" s="1"/>
  <c r="S224" i="1" s="1"/>
  <c r="T224" i="1" s="1"/>
  <c r="U224" i="1" s="1"/>
  <c r="V224" i="1" s="1"/>
  <c r="W224" i="1" s="1"/>
  <c r="X224" i="1" s="1"/>
  <c r="Y224" i="1" s="1"/>
  <c r="Z224" i="1" s="1"/>
  <c r="AT224" i="1"/>
  <c r="N240" i="1"/>
  <c r="AC240" i="1"/>
  <c r="AT240" i="1"/>
  <c r="O240" i="1"/>
  <c r="P240" i="1" s="1"/>
  <c r="Q240" i="1" s="1"/>
  <c r="R240" i="1" s="1"/>
  <c r="S240" i="1" s="1"/>
  <c r="T240" i="1" s="1"/>
  <c r="U240" i="1" s="1"/>
  <c r="V240" i="1" s="1"/>
  <c r="W240" i="1" s="1"/>
  <c r="X240" i="1" s="1"/>
  <c r="Y240" i="1" s="1"/>
  <c r="Z240" i="1" s="1"/>
  <c r="AC264" i="1"/>
  <c r="N264" i="1"/>
  <c r="AT264" i="1"/>
  <c r="O264" i="1"/>
  <c r="O421" i="1"/>
  <c r="N421" i="1"/>
  <c r="AT421" i="1"/>
  <c r="AC421" i="1"/>
  <c r="O487" i="1"/>
  <c r="P487" i="1" s="1"/>
  <c r="Q487" i="1" s="1"/>
  <c r="R487" i="1" s="1"/>
  <c r="S487" i="1" s="1"/>
  <c r="T487" i="1" s="1"/>
  <c r="U487" i="1" s="1"/>
  <c r="V487" i="1" s="1"/>
  <c r="W487" i="1" s="1"/>
  <c r="X487" i="1" s="1"/>
  <c r="Y487" i="1" s="1"/>
  <c r="Z487" i="1" s="1"/>
  <c r="N487" i="1"/>
  <c r="AC487" i="1"/>
  <c r="AT487" i="1"/>
  <c r="AT82" i="1"/>
  <c r="O82" i="1"/>
  <c r="P82" i="1" s="1"/>
  <c r="Q82" i="1" s="1"/>
  <c r="R82" i="1" s="1"/>
  <c r="S82" i="1" s="1"/>
  <c r="T82" i="1" s="1"/>
  <c r="U82" i="1" s="1"/>
  <c r="V82" i="1" s="1"/>
  <c r="W82" i="1" s="1"/>
  <c r="X82" i="1" s="1"/>
  <c r="Y82" i="1" s="1"/>
  <c r="Z82" i="1" s="1"/>
  <c r="AC82" i="1"/>
  <c r="N82" i="1"/>
  <c r="P580" i="1"/>
  <c r="Q580" i="1" s="1"/>
  <c r="R580" i="1" s="1"/>
  <c r="S580" i="1" s="1"/>
  <c r="T580" i="1" s="1"/>
  <c r="U580" i="1" s="1"/>
  <c r="V580" i="1" s="1"/>
  <c r="W580" i="1" s="1"/>
  <c r="X580" i="1" s="1"/>
  <c r="Y580" i="1" s="1"/>
  <c r="Z580" i="1" s="1"/>
  <c r="N514" i="1"/>
  <c r="O514" i="1"/>
  <c r="AC514" i="1"/>
  <c r="O43" i="1"/>
  <c r="P43" i="1" s="1"/>
  <c r="Q43" i="1" s="1"/>
  <c r="R43" i="1" s="1"/>
  <c r="S43" i="1" s="1"/>
  <c r="T43" i="1" s="1"/>
  <c r="U43" i="1" s="1"/>
  <c r="V43" i="1" s="1"/>
  <c r="W43" i="1" s="1"/>
  <c r="X43" i="1" s="1"/>
  <c r="Y43" i="1" s="1"/>
  <c r="Z43" i="1" s="1"/>
  <c r="AT43" i="1"/>
  <c r="AC43" i="1"/>
  <c r="N43" i="1"/>
  <c r="AT233" i="1"/>
  <c r="AC233" i="1"/>
  <c r="O233" i="1"/>
  <c r="P233" i="1" s="1"/>
  <c r="Q233" i="1" s="1"/>
  <c r="R233" i="1" s="1"/>
  <c r="S233" i="1" s="1"/>
  <c r="T233" i="1" s="1"/>
  <c r="U233" i="1" s="1"/>
  <c r="V233" i="1" s="1"/>
  <c r="W233" i="1" s="1"/>
  <c r="X233" i="1" s="1"/>
  <c r="Y233" i="1" s="1"/>
  <c r="Z233" i="1" s="1"/>
  <c r="N233" i="1"/>
  <c r="AC386" i="1"/>
  <c r="AT386" i="1"/>
  <c r="N386" i="1"/>
  <c r="O386" i="1"/>
  <c r="AT398" i="1"/>
  <c r="AC398" i="1"/>
  <c r="N398" i="1"/>
  <c r="O398" i="1"/>
  <c r="AC168" i="1"/>
  <c r="O168" i="1"/>
  <c r="P168" i="1" s="1"/>
  <c r="Q168" i="1" s="1"/>
  <c r="R168" i="1" s="1"/>
  <c r="S168" i="1" s="1"/>
  <c r="T168" i="1" s="1"/>
  <c r="U168" i="1" s="1"/>
  <c r="V168" i="1" s="1"/>
  <c r="W168" i="1" s="1"/>
  <c r="X168" i="1" s="1"/>
  <c r="Y168" i="1" s="1"/>
  <c r="Z168" i="1" s="1"/>
  <c r="N168" i="1"/>
  <c r="AT168" i="1"/>
  <c r="N222" i="1"/>
  <c r="AT222" i="1"/>
  <c r="AC222" i="1"/>
  <c r="O222" i="1"/>
  <c r="P222" i="1" s="1"/>
  <c r="Q222" i="1" s="1"/>
  <c r="R222" i="1" s="1"/>
  <c r="S222" i="1" s="1"/>
  <c r="T222" i="1" s="1"/>
  <c r="U222" i="1" s="1"/>
  <c r="V222" i="1" s="1"/>
  <c r="W222" i="1" s="1"/>
  <c r="X222" i="1" s="1"/>
  <c r="Y222" i="1" s="1"/>
  <c r="Z222" i="1" s="1"/>
  <c r="AT234" i="1"/>
  <c r="AC234" i="1"/>
  <c r="N234" i="1"/>
  <c r="O234" i="1"/>
  <c r="P234" i="1" s="1"/>
  <c r="Q234" i="1" s="1"/>
  <c r="R234" i="1" s="1"/>
  <c r="S234" i="1" s="1"/>
  <c r="T234" i="1" s="1"/>
  <c r="U234" i="1" s="1"/>
  <c r="V234" i="1" s="1"/>
  <c r="W234" i="1" s="1"/>
  <c r="X234" i="1" s="1"/>
  <c r="Y234" i="1" s="1"/>
  <c r="Z234" i="1" s="1"/>
  <c r="AT258" i="1"/>
  <c r="N258" i="1"/>
  <c r="AC258" i="1"/>
  <c r="O258" i="1"/>
  <c r="AC375" i="1"/>
  <c r="AT375" i="1"/>
  <c r="N375" i="1"/>
  <c r="O375" i="1"/>
  <c r="AC497" i="1"/>
  <c r="AT497" i="1"/>
  <c r="N497" i="1"/>
  <c r="O497" i="1"/>
  <c r="O76" i="1"/>
  <c r="N76" i="1"/>
  <c r="AC76" i="1"/>
  <c r="AT76" i="1"/>
  <c r="AT87" i="1"/>
  <c r="AC87" i="1"/>
  <c r="O87" i="1"/>
  <c r="P87" i="1" s="1"/>
  <c r="Q87" i="1" s="1"/>
  <c r="R87" i="1" s="1"/>
  <c r="S87" i="1" s="1"/>
  <c r="T87" i="1" s="1"/>
  <c r="U87" i="1" s="1"/>
  <c r="V87" i="1" s="1"/>
  <c r="W87" i="1" s="1"/>
  <c r="X87" i="1" s="1"/>
  <c r="Y87" i="1" s="1"/>
  <c r="Z87" i="1" s="1"/>
  <c r="N87" i="1"/>
  <c r="AT9" i="1"/>
  <c r="AC9" i="1"/>
  <c r="N9" i="1"/>
  <c r="O9" i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O105" i="1"/>
  <c r="N105" i="1"/>
  <c r="AC105" i="1"/>
  <c r="AT105" i="1"/>
  <c r="AT106" i="1"/>
  <c r="O106" i="1"/>
  <c r="P106" i="1" s="1"/>
  <c r="Q106" i="1" s="1"/>
  <c r="R106" i="1" s="1"/>
  <c r="S106" i="1" s="1"/>
  <c r="T106" i="1" s="1"/>
  <c r="U106" i="1" s="1"/>
  <c r="V106" i="1" s="1"/>
  <c r="W106" i="1" s="1"/>
  <c r="X106" i="1" s="1"/>
  <c r="Y106" i="1" s="1"/>
  <c r="Z106" i="1" s="1"/>
  <c r="N106" i="1"/>
  <c r="AC106" i="1"/>
  <c r="O194" i="1"/>
  <c r="P194" i="1" s="1"/>
  <c r="Q194" i="1" s="1"/>
  <c r="R194" i="1" s="1"/>
  <c r="S194" i="1" s="1"/>
  <c r="T194" i="1" s="1"/>
  <c r="U194" i="1" s="1"/>
  <c r="V194" i="1" s="1"/>
  <c r="W194" i="1" s="1"/>
  <c r="X194" i="1" s="1"/>
  <c r="Y194" i="1" s="1"/>
  <c r="Z194" i="1" s="1"/>
  <c r="AT194" i="1"/>
  <c r="AC194" i="1"/>
  <c r="N194" i="1"/>
  <c r="N231" i="1"/>
  <c r="AC231" i="1"/>
  <c r="O231" i="1"/>
  <c r="P231" i="1" s="1"/>
  <c r="Q231" i="1" s="1"/>
  <c r="R231" i="1" s="1"/>
  <c r="S231" i="1" s="1"/>
  <c r="T231" i="1" s="1"/>
  <c r="U231" i="1" s="1"/>
  <c r="V231" i="1" s="1"/>
  <c r="W231" i="1" s="1"/>
  <c r="X231" i="1" s="1"/>
  <c r="Y231" i="1" s="1"/>
  <c r="Z231" i="1" s="1"/>
  <c r="AT231" i="1"/>
  <c r="O239" i="1"/>
  <c r="P239" i="1" s="1"/>
  <c r="Q239" i="1" s="1"/>
  <c r="R239" i="1" s="1"/>
  <c r="S239" i="1" s="1"/>
  <c r="T239" i="1" s="1"/>
  <c r="U239" i="1" s="1"/>
  <c r="V239" i="1" s="1"/>
  <c r="W239" i="1" s="1"/>
  <c r="X239" i="1" s="1"/>
  <c r="Y239" i="1" s="1"/>
  <c r="Z239" i="1" s="1"/>
  <c r="AC239" i="1"/>
  <c r="AT239" i="1"/>
  <c r="N239" i="1"/>
  <c r="AT263" i="1"/>
  <c r="AC263" i="1"/>
  <c r="N263" i="1"/>
  <c r="O263" i="1"/>
  <c r="BU562" i="1" l="1"/>
  <c r="BY562" i="1" s="1"/>
  <c r="BZ562" i="1" s="1"/>
  <c r="CA562" i="1" s="1"/>
  <c r="CB562" i="1" s="1"/>
  <c r="CC562" i="1" s="1"/>
  <c r="CD562" i="1" s="1"/>
  <c r="CE562" i="1" s="1"/>
  <c r="CF562" i="1" s="1"/>
  <c r="CG562" i="1" s="1"/>
  <c r="CH562" i="1" s="1"/>
  <c r="CI562" i="1" s="1"/>
  <c r="CJ562" i="1" s="1"/>
  <c r="AO564" i="1"/>
  <c r="AU564" i="1" s="1"/>
  <c r="AO196" i="1"/>
  <c r="AU196" i="1" s="1"/>
  <c r="AO520" i="1"/>
  <c r="AU520" i="1" s="1"/>
  <c r="AO568" i="1"/>
  <c r="AR568" i="1" s="1"/>
  <c r="AS568" i="1" s="1"/>
  <c r="AO521" i="1"/>
  <c r="AU521" i="1" s="1"/>
  <c r="AD222" i="1"/>
  <c r="AE222" i="1" s="1"/>
  <c r="AF222" i="1" s="1"/>
  <c r="AG222" i="1" s="1"/>
  <c r="AH222" i="1" s="1"/>
  <c r="AI222" i="1" s="1"/>
  <c r="AJ222" i="1" s="1"/>
  <c r="AK222" i="1" s="1"/>
  <c r="AL222" i="1" s="1"/>
  <c r="AM222" i="1" s="1"/>
  <c r="AN222" i="1" s="1"/>
  <c r="AD90" i="1"/>
  <c r="AE90" i="1" s="1"/>
  <c r="AF90" i="1" s="1"/>
  <c r="AG90" i="1" s="1"/>
  <c r="AH90" i="1" s="1"/>
  <c r="AI90" i="1" s="1"/>
  <c r="AJ90" i="1" s="1"/>
  <c r="AK90" i="1" s="1"/>
  <c r="AL90" i="1" s="1"/>
  <c r="AM90" i="1" s="1"/>
  <c r="AN90" i="1" s="1"/>
  <c r="AD235" i="1"/>
  <c r="AE235" i="1" s="1"/>
  <c r="AF235" i="1" s="1"/>
  <c r="AG235" i="1" s="1"/>
  <c r="AH235" i="1" s="1"/>
  <c r="AI235" i="1" s="1"/>
  <c r="AJ235" i="1" s="1"/>
  <c r="AK235" i="1" s="1"/>
  <c r="AL235" i="1" s="1"/>
  <c r="AM235" i="1" s="1"/>
  <c r="AN235" i="1" s="1"/>
  <c r="AD93" i="1"/>
  <c r="AE93" i="1" s="1"/>
  <c r="AF93" i="1" s="1"/>
  <c r="AG93" i="1" s="1"/>
  <c r="AH93" i="1" s="1"/>
  <c r="AI93" i="1" s="1"/>
  <c r="AJ93" i="1" s="1"/>
  <c r="AK93" i="1" s="1"/>
  <c r="AL93" i="1" s="1"/>
  <c r="AM93" i="1" s="1"/>
  <c r="AN93" i="1" s="1"/>
  <c r="AD94" i="1"/>
  <c r="AE94" i="1" s="1"/>
  <c r="AF94" i="1" s="1"/>
  <c r="AG94" i="1" s="1"/>
  <c r="AH94" i="1" s="1"/>
  <c r="AI94" i="1" s="1"/>
  <c r="AJ94" i="1" s="1"/>
  <c r="AK94" i="1" s="1"/>
  <c r="AL94" i="1" s="1"/>
  <c r="AM94" i="1" s="1"/>
  <c r="AN94" i="1" s="1"/>
  <c r="AD236" i="1"/>
  <c r="AE236" i="1" s="1"/>
  <c r="AF236" i="1" s="1"/>
  <c r="AG236" i="1" s="1"/>
  <c r="AH236" i="1" s="1"/>
  <c r="AI236" i="1" s="1"/>
  <c r="AJ236" i="1" s="1"/>
  <c r="AK236" i="1" s="1"/>
  <c r="AL236" i="1" s="1"/>
  <c r="AM236" i="1" s="1"/>
  <c r="AN236" i="1" s="1"/>
  <c r="AD87" i="1"/>
  <c r="AE87" i="1" s="1"/>
  <c r="AF87" i="1" s="1"/>
  <c r="AG87" i="1" s="1"/>
  <c r="AH87" i="1" s="1"/>
  <c r="AI87" i="1" s="1"/>
  <c r="AJ87" i="1" s="1"/>
  <c r="AK87" i="1" s="1"/>
  <c r="AL87" i="1" s="1"/>
  <c r="AM87" i="1" s="1"/>
  <c r="AN87" i="1" s="1"/>
  <c r="AD233" i="1"/>
  <c r="AE233" i="1" s="1"/>
  <c r="AF233" i="1" s="1"/>
  <c r="AG233" i="1" s="1"/>
  <c r="AH233" i="1" s="1"/>
  <c r="AI233" i="1" s="1"/>
  <c r="AJ233" i="1" s="1"/>
  <c r="AK233" i="1" s="1"/>
  <c r="AL233" i="1" s="1"/>
  <c r="AM233" i="1" s="1"/>
  <c r="AN233" i="1" s="1"/>
  <c r="AD224" i="1"/>
  <c r="AE224" i="1" s="1"/>
  <c r="AF224" i="1" s="1"/>
  <c r="AG224" i="1" s="1"/>
  <c r="AH224" i="1" s="1"/>
  <c r="AI224" i="1" s="1"/>
  <c r="AJ224" i="1" s="1"/>
  <c r="AK224" i="1" s="1"/>
  <c r="AL224" i="1" s="1"/>
  <c r="AM224" i="1" s="1"/>
  <c r="AN224" i="1" s="1"/>
  <c r="AD494" i="1"/>
  <c r="AE494" i="1" s="1"/>
  <c r="AF494" i="1" s="1"/>
  <c r="AG494" i="1" s="1"/>
  <c r="AH494" i="1" s="1"/>
  <c r="AI494" i="1" s="1"/>
  <c r="AJ494" i="1" s="1"/>
  <c r="AK494" i="1" s="1"/>
  <c r="AL494" i="1" s="1"/>
  <c r="AM494" i="1" s="1"/>
  <c r="AN494" i="1" s="1"/>
  <c r="AD194" i="1"/>
  <c r="AE194" i="1" s="1"/>
  <c r="AF194" i="1" s="1"/>
  <c r="AG194" i="1" s="1"/>
  <c r="AH194" i="1" s="1"/>
  <c r="AI194" i="1" s="1"/>
  <c r="AJ194" i="1" s="1"/>
  <c r="AK194" i="1" s="1"/>
  <c r="AL194" i="1" s="1"/>
  <c r="AM194" i="1" s="1"/>
  <c r="AN194" i="1" s="1"/>
  <c r="AD238" i="1"/>
  <c r="AE238" i="1" s="1"/>
  <c r="AF238" i="1" s="1"/>
  <c r="AG238" i="1" s="1"/>
  <c r="AH238" i="1" s="1"/>
  <c r="AI238" i="1" s="1"/>
  <c r="AJ238" i="1" s="1"/>
  <c r="AK238" i="1" s="1"/>
  <c r="AL238" i="1" s="1"/>
  <c r="AM238" i="1" s="1"/>
  <c r="AN238" i="1" s="1"/>
  <c r="AD580" i="1"/>
  <c r="AE580" i="1" s="1"/>
  <c r="AF580" i="1" s="1"/>
  <c r="AG580" i="1" s="1"/>
  <c r="AH580" i="1" s="1"/>
  <c r="AI580" i="1" s="1"/>
  <c r="AJ580" i="1" s="1"/>
  <c r="AK580" i="1" s="1"/>
  <c r="AL580" i="1" s="1"/>
  <c r="AM580" i="1" s="1"/>
  <c r="AN580" i="1" s="1"/>
  <c r="AD487" i="1"/>
  <c r="AE487" i="1" s="1"/>
  <c r="AF487" i="1" s="1"/>
  <c r="AG487" i="1" s="1"/>
  <c r="AH487" i="1" s="1"/>
  <c r="AI487" i="1" s="1"/>
  <c r="AJ487" i="1" s="1"/>
  <c r="AK487" i="1" s="1"/>
  <c r="AL487" i="1" s="1"/>
  <c r="AM487" i="1" s="1"/>
  <c r="AN487" i="1" s="1"/>
  <c r="AD58" i="1"/>
  <c r="AE58" i="1" s="1"/>
  <c r="AF58" i="1" s="1"/>
  <c r="AG58" i="1" s="1"/>
  <c r="AH58" i="1" s="1"/>
  <c r="AI58" i="1" s="1"/>
  <c r="AJ58" i="1" s="1"/>
  <c r="AK58" i="1" s="1"/>
  <c r="AL58" i="1" s="1"/>
  <c r="AM58" i="1" s="1"/>
  <c r="AN58" i="1" s="1"/>
  <c r="AD237" i="1"/>
  <c r="AE237" i="1" s="1"/>
  <c r="AF237" i="1" s="1"/>
  <c r="AG237" i="1" s="1"/>
  <c r="AH237" i="1" s="1"/>
  <c r="AI237" i="1" s="1"/>
  <c r="AJ237" i="1" s="1"/>
  <c r="AK237" i="1" s="1"/>
  <c r="AL237" i="1" s="1"/>
  <c r="AM237" i="1" s="1"/>
  <c r="AN237" i="1" s="1"/>
  <c r="AD228" i="1"/>
  <c r="AE228" i="1" s="1"/>
  <c r="AF228" i="1" s="1"/>
  <c r="AG228" i="1" s="1"/>
  <c r="AH228" i="1" s="1"/>
  <c r="AI228" i="1" s="1"/>
  <c r="AJ228" i="1" s="1"/>
  <c r="AK228" i="1" s="1"/>
  <c r="AL228" i="1" s="1"/>
  <c r="AM228" i="1" s="1"/>
  <c r="AN228" i="1" s="1"/>
  <c r="AD239" i="1"/>
  <c r="AE239" i="1" s="1"/>
  <c r="AF239" i="1" s="1"/>
  <c r="AG239" i="1" s="1"/>
  <c r="AH239" i="1" s="1"/>
  <c r="AI239" i="1" s="1"/>
  <c r="AJ239" i="1" s="1"/>
  <c r="AK239" i="1" s="1"/>
  <c r="AL239" i="1" s="1"/>
  <c r="AM239" i="1" s="1"/>
  <c r="AN239" i="1" s="1"/>
  <c r="AD9" i="1"/>
  <c r="AE9" i="1" s="1"/>
  <c r="AF9" i="1" s="1"/>
  <c r="AG9" i="1" s="1"/>
  <c r="AH9" i="1" s="1"/>
  <c r="AI9" i="1" s="1"/>
  <c r="AJ9" i="1" s="1"/>
  <c r="AK9" i="1" s="1"/>
  <c r="AL9" i="1" s="1"/>
  <c r="AM9" i="1" s="1"/>
  <c r="AN9" i="1" s="1"/>
  <c r="AD234" i="1"/>
  <c r="AE234" i="1" s="1"/>
  <c r="AF234" i="1" s="1"/>
  <c r="AG234" i="1" s="1"/>
  <c r="AH234" i="1" s="1"/>
  <c r="AI234" i="1" s="1"/>
  <c r="AJ234" i="1" s="1"/>
  <c r="AK234" i="1" s="1"/>
  <c r="AL234" i="1" s="1"/>
  <c r="AM234" i="1" s="1"/>
  <c r="AN234" i="1" s="1"/>
  <c r="AD240" i="1"/>
  <c r="AE240" i="1" s="1"/>
  <c r="AF240" i="1" s="1"/>
  <c r="AG240" i="1" s="1"/>
  <c r="AH240" i="1" s="1"/>
  <c r="AI240" i="1" s="1"/>
  <c r="AJ240" i="1" s="1"/>
  <c r="AK240" i="1" s="1"/>
  <c r="AL240" i="1" s="1"/>
  <c r="AM240" i="1" s="1"/>
  <c r="AN240" i="1" s="1"/>
  <c r="AD81" i="1"/>
  <c r="AE81" i="1" s="1"/>
  <c r="AF81" i="1" s="1"/>
  <c r="AG81" i="1" s="1"/>
  <c r="AH81" i="1" s="1"/>
  <c r="AI81" i="1" s="1"/>
  <c r="AJ81" i="1" s="1"/>
  <c r="AK81" i="1" s="1"/>
  <c r="AL81" i="1" s="1"/>
  <c r="AM81" i="1" s="1"/>
  <c r="AN81" i="1" s="1"/>
  <c r="AD227" i="1"/>
  <c r="AE227" i="1" s="1"/>
  <c r="AF227" i="1" s="1"/>
  <c r="AG227" i="1" s="1"/>
  <c r="AH227" i="1" s="1"/>
  <c r="AI227" i="1" s="1"/>
  <c r="AJ227" i="1" s="1"/>
  <c r="AK227" i="1" s="1"/>
  <c r="AL227" i="1" s="1"/>
  <c r="AM227" i="1" s="1"/>
  <c r="AN227" i="1" s="1"/>
  <c r="AD231" i="1"/>
  <c r="AE231" i="1" s="1"/>
  <c r="AF231" i="1" s="1"/>
  <c r="AG231" i="1" s="1"/>
  <c r="AH231" i="1" s="1"/>
  <c r="AI231" i="1" s="1"/>
  <c r="AJ231" i="1" s="1"/>
  <c r="AK231" i="1" s="1"/>
  <c r="AL231" i="1" s="1"/>
  <c r="AM231" i="1" s="1"/>
  <c r="AN231" i="1" s="1"/>
  <c r="AD14" i="1"/>
  <c r="AE14" i="1" s="1"/>
  <c r="AF14" i="1" s="1"/>
  <c r="AG14" i="1" s="1"/>
  <c r="AH14" i="1" s="1"/>
  <c r="AI14" i="1" s="1"/>
  <c r="AJ14" i="1" s="1"/>
  <c r="AK14" i="1" s="1"/>
  <c r="AL14" i="1" s="1"/>
  <c r="AM14" i="1" s="1"/>
  <c r="AN14" i="1" s="1"/>
  <c r="AD511" i="1"/>
  <c r="AE511" i="1" s="1"/>
  <c r="AF511" i="1" s="1"/>
  <c r="AG511" i="1" s="1"/>
  <c r="AH511" i="1" s="1"/>
  <c r="AI511" i="1" s="1"/>
  <c r="AJ511" i="1" s="1"/>
  <c r="AK511" i="1" s="1"/>
  <c r="AL511" i="1" s="1"/>
  <c r="AM511" i="1" s="1"/>
  <c r="AN511" i="1" s="1"/>
  <c r="AD106" i="1"/>
  <c r="AE106" i="1" s="1"/>
  <c r="AF106" i="1" s="1"/>
  <c r="AG106" i="1" s="1"/>
  <c r="AH106" i="1" s="1"/>
  <c r="AI106" i="1" s="1"/>
  <c r="AJ106" i="1" s="1"/>
  <c r="AK106" i="1" s="1"/>
  <c r="AL106" i="1" s="1"/>
  <c r="AM106" i="1" s="1"/>
  <c r="AN106" i="1" s="1"/>
  <c r="AD168" i="1"/>
  <c r="AE168" i="1" s="1"/>
  <c r="AF168" i="1" s="1"/>
  <c r="AG168" i="1" s="1"/>
  <c r="AH168" i="1" s="1"/>
  <c r="AI168" i="1" s="1"/>
  <c r="AJ168" i="1" s="1"/>
  <c r="AK168" i="1" s="1"/>
  <c r="AL168" i="1" s="1"/>
  <c r="AM168" i="1" s="1"/>
  <c r="AN168" i="1" s="1"/>
  <c r="AD82" i="1"/>
  <c r="AE82" i="1" s="1"/>
  <c r="AF82" i="1" s="1"/>
  <c r="AG82" i="1" s="1"/>
  <c r="AH82" i="1" s="1"/>
  <c r="AI82" i="1" s="1"/>
  <c r="AJ82" i="1" s="1"/>
  <c r="AK82" i="1" s="1"/>
  <c r="AL82" i="1" s="1"/>
  <c r="AM82" i="1" s="1"/>
  <c r="AN82" i="1" s="1"/>
  <c r="AD15" i="1"/>
  <c r="AE15" i="1" s="1"/>
  <c r="AF15" i="1" s="1"/>
  <c r="AG15" i="1" s="1"/>
  <c r="AH15" i="1" s="1"/>
  <c r="AI15" i="1" s="1"/>
  <c r="AJ15" i="1" s="1"/>
  <c r="AK15" i="1" s="1"/>
  <c r="AL15" i="1" s="1"/>
  <c r="AM15" i="1" s="1"/>
  <c r="AN15" i="1" s="1"/>
  <c r="AD83" i="1"/>
  <c r="AE83" i="1" s="1"/>
  <c r="AF83" i="1" s="1"/>
  <c r="AG83" i="1" s="1"/>
  <c r="AH83" i="1" s="1"/>
  <c r="AI83" i="1" s="1"/>
  <c r="AJ83" i="1" s="1"/>
  <c r="AK83" i="1" s="1"/>
  <c r="AL83" i="1" s="1"/>
  <c r="AM83" i="1" s="1"/>
  <c r="AN83" i="1" s="1"/>
  <c r="AD85" i="1"/>
  <c r="AE85" i="1" s="1"/>
  <c r="AF85" i="1" s="1"/>
  <c r="AG85" i="1" s="1"/>
  <c r="AH85" i="1" s="1"/>
  <c r="AI85" i="1" s="1"/>
  <c r="AJ85" i="1" s="1"/>
  <c r="AK85" i="1" s="1"/>
  <c r="AL85" i="1" s="1"/>
  <c r="AM85" i="1" s="1"/>
  <c r="AN85" i="1" s="1"/>
  <c r="AD84" i="1"/>
  <c r="AE84" i="1" s="1"/>
  <c r="AF84" i="1" s="1"/>
  <c r="AG84" i="1" s="1"/>
  <c r="AH84" i="1" s="1"/>
  <c r="AI84" i="1" s="1"/>
  <c r="AJ84" i="1" s="1"/>
  <c r="AK84" i="1" s="1"/>
  <c r="AL84" i="1" s="1"/>
  <c r="AM84" i="1" s="1"/>
  <c r="AN84" i="1" s="1"/>
  <c r="AD86" i="1"/>
  <c r="AE86" i="1" s="1"/>
  <c r="AF86" i="1" s="1"/>
  <c r="AG86" i="1" s="1"/>
  <c r="AH86" i="1" s="1"/>
  <c r="AI86" i="1" s="1"/>
  <c r="AJ86" i="1" s="1"/>
  <c r="AK86" i="1" s="1"/>
  <c r="AL86" i="1" s="1"/>
  <c r="AM86" i="1" s="1"/>
  <c r="AN86" i="1" s="1"/>
  <c r="AD43" i="1"/>
  <c r="AE43" i="1" s="1"/>
  <c r="AF43" i="1" s="1"/>
  <c r="AG43" i="1" s="1"/>
  <c r="AH43" i="1" s="1"/>
  <c r="AI43" i="1" s="1"/>
  <c r="AJ43" i="1" s="1"/>
  <c r="AK43" i="1" s="1"/>
  <c r="AL43" i="1" s="1"/>
  <c r="AM43" i="1" s="1"/>
  <c r="AN43" i="1" s="1"/>
  <c r="AD230" i="1"/>
  <c r="AE230" i="1" s="1"/>
  <c r="AF230" i="1" s="1"/>
  <c r="AG230" i="1" s="1"/>
  <c r="AH230" i="1" s="1"/>
  <c r="AI230" i="1" s="1"/>
  <c r="AJ230" i="1" s="1"/>
  <c r="AK230" i="1" s="1"/>
  <c r="AL230" i="1" s="1"/>
  <c r="AM230" i="1" s="1"/>
  <c r="AN230" i="1" s="1"/>
  <c r="AD229" i="1"/>
  <c r="AE229" i="1" s="1"/>
  <c r="AF229" i="1" s="1"/>
  <c r="AG229" i="1" s="1"/>
  <c r="AH229" i="1" s="1"/>
  <c r="AI229" i="1" s="1"/>
  <c r="AJ229" i="1" s="1"/>
  <c r="AK229" i="1" s="1"/>
  <c r="AL229" i="1" s="1"/>
  <c r="AM229" i="1" s="1"/>
  <c r="AN229" i="1" s="1"/>
  <c r="AD57" i="1"/>
  <c r="AE57" i="1" s="1"/>
  <c r="AF57" i="1" s="1"/>
  <c r="AG57" i="1" s="1"/>
  <c r="AH57" i="1" s="1"/>
  <c r="AI57" i="1" s="1"/>
  <c r="AJ57" i="1" s="1"/>
  <c r="AK57" i="1" s="1"/>
  <c r="AL57" i="1" s="1"/>
  <c r="AM57" i="1" s="1"/>
  <c r="AN57" i="1" s="1"/>
  <c r="BH542" i="4"/>
  <c r="Z578" i="1"/>
  <c r="Z579" i="1"/>
  <c r="AA579" i="1" s="1"/>
  <c r="P313" i="1"/>
  <c r="Q313" i="1" s="1"/>
  <c r="R313" i="1" s="1"/>
  <c r="S313" i="1" s="1"/>
  <c r="T313" i="1" s="1"/>
  <c r="U313" i="1" s="1"/>
  <c r="V313" i="1" s="1"/>
  <c r="W313" i="1" s="1"/>
  <c r="X313" i="1" s="1"/>
  <c r="Y313" i="1" s="1"/>
  <c r="Z313" i="1" s="1"/>
  <c r="Z199" i="1"/>
  <c r="BH184" i="4"/>
  <c r="AT521" i="1"/>
  <c r="BH183" i="4"/>
  <c r="AT520" i="1"/>
  <c r="BH254" i="4"/>
  <c r="AT568" i="1"/>
  <c r="AD565" i="1"/>
  <c r="AE565" i="1" s="1"/>
  <c r="AF565" i="1" s="1"/>
  <c r="AG565" i="1" s="1"/>
  <c r="AH565" i="1" s="1"/>
  <c r="AI565" i="1" s="1"/>
  <c r="AJ565" i="1" s="1"/>
  <c r="AK565" i="1" s="1"/>
  <c r="AL565" i="1" s="1"/>
  <c r="AM565" i="1" s="1"/>
  <c r="AN565" i="1" s="1"/>
  <c r="BH1047" i="4"/>
  <c r="BH666" i="4"/>
  <c r="BH1041" i="4"/>
  <c r="BH981" i="4"/>
  <c r="BH67" i="4"/>
  <c r="BH113" i="4"/>
  <c r="BH1052" i="4"/>
  <c r="BH671" i="4"/>
  <c r="BH1046" i="4"/>
  <c r="BH504" i="4"/>
  <c r="BH568" i="4"/>
  <c r="BH476" i="4"/>
  <c r="BH670" i="4"/>
  <c r="BH662" i="4"/>
  <c r="BH673" i="4"/>
  <c r="BH1045" i="4"/>
  <c r="BH674" i="4"/>
  <c r="BH627" i="4"/>
  <c r="BH675" i="4"/>
  <c r="BH1050" i="4"/>
  <c r="BH1042" i="4"/>
  <c r="BH68" i="4"/>
  <c r="BH1043" i="4"/>
  <c r="BH665" i="4"/>
  <c r="BH456" i="4"/>
  <c r="BH57" i="4"/>
  <c r="BH669" i="4"/>
  <c r="BH657" i="4"/>
  <c r="BH668" i="4"/>
  <c r="BH659" i="4"/>
  <c r="BH1024" i="4"/>
  <c r="BH672" i="4"/>
  <c r="BH664" i="4"/>
  <c r="BH480" i="4"/>
  <c r="BH663" i="4"/>
  <c r="BH1044" i="4"/>
  <c r="P76" i="1"/>
  <c r="Q76" i="1" s="1"/>
  <c r="R76" i="1" s="1"/>
  <c r="S76" i="1" s="1"/>
  <c r="T76" i="1" s="1"/>
  <c r="U76" i="1" s="1"/>
  <c r="V76" i="1" s="1"/>
  <c r="W76" i="1" s="1"/>
  <c r="X76" i="1" s="1"/>
  <c r="Y76" i="1" s="1"/>
  <c r="Z76" i="1" s="1"/>
  <c r="AA580" i="1"/>
  <c r="P77" i="1"/>
  <c r="Q77" i="1" s="1"/>
  <c r="R77" i="1" s="1"/>
  <c r="S77" i="1" s="1"/>
  <c r="T77" i="1" s="1"/>
  <c r="U77" i="1" s="1"/>
  <c r="V77" i="1" s="1"/>
  <c r="W77" i="1" s="1"/>
  <c r="X77" i="1" s="1"/>
  <c r="Y77" i="1" s="1"/>
  <c r="Z77" i="1" s="1"/>
  <c r="P4" i="1"/>
  <c r="Q4" i="1" s="1"/>
  <c r="R4" i="1" s="1"/>
  <c r="S4" i="1" s="1"/>
  <c r="T4" i="1" s="1"/>
  <c r="U4" i="1" s="1"/>
  <c r="V4" i="1" s="1"/>
  <c r="W4" i="1" s="1"/>
  <c r="X4" i="1" s="1"/>
  <c r="Y4" i="1" s="1"/>
  <c r="Z4" i="1" s="1"/>
  <c r="P415" i="1"/>
  <c r="Q415" i="1" s="1"/>
  <c r="R415" i="1" s="1"/>
  <c r="S415" i="1" s="1"/>
  <c r="T415" i="1" s="1"/>
  <c r="U415" i="1" s="1"/>
  <c r="V415" i="1" s="1"/>
  <c r="W415" i="1" s="1"/>
  <c r="X415" i="1" s="1"/>
  <c r="Y415" i="1" s="1"/>
  <c r="Z415" i="1" s="1"/>
  <c r="P403" i="1"/>
  <c r="Q403" i="1" s="1"/>
  <c r="R403" i="1" s="1"/>
  <c r="S403" i="1" s="1"/>
  <c r="T403" i="1" s="1"/>
  <c r="U403" i="1" s="1"/>
  <c r="V403" i="1" s="1"/>
  <c r="W403" i="1" s="1"/>
  <c r="X403" i="1" s="1"/>
  <c r="Y403" i="1" s="1"/>
  <c r="P253" i="1"/>
  <c r="Q253" i="1" s="1"/>
  <c r="R253" i="1" s="1"/>
  <c r="S253" i="1" s="1"/>
  <c r="T253" i="1" s="1"/>
  <c r="U253" i="1" s="1"/>
  <c r="V253" i="1" s="1"/>
  <c r="W253" i="1" s="1"/>
  <c r="X253" i="1" s="1"/>
  <c r="Y253" i="1" s="1"/>
  <c r="Z253" i="1" s="1"/>
  <c r="P417" i="1"/>
  <c r="Q417" i="1" s="1"/>
  <c r="R417" i="1" s="1"/>
  <c r="S417" i="1" s="1"/>
  <c r="T417" i="1" s="1"/>
  <c r="U417" i="1" s="1"/>
  <c r="V417" i="1" s="1"/>
  <c r="W417" i="1" s="1"/>
  <c r="X417" i="1" s="1"/>
  <c r="Y417" i="1" s="1"/>
  <c r="Z417" i="1" s="1"/>
  <c r="P21" i="1"/>
  <c r="Q21" i="1" s="1"/>
  <c r="R21" i="1" s="1"/>
  <c r="S21" i="1" s="1"/>
  <c r="T21" i="1" s="1"/>
  <c r="U21" i="1" s="1"/>
  <c r="V21" i="1" s="1"/>
  <c r="W21" i="1" s="1"/>
  <c r="X21" i="1" s="1"/>
  <c r="Y21" i="1" s="1"/>
  <c r="Z21" i="1" s="1"/>
  <c r="P105" i="1"/>
  <c r="Q105" i="1" s="1"/>
  <c r="R105" i="1" s="1"/>
  <c r="S105" i="1" s="1"/>
  <c r="T105" i="1" s="1"/>
  <c r="U105" i="1" s="1"/>
  <c r="V105" i="1" s="1"/>
  <c r="W105" i="1" s="1"/>
  <c r="X105" i="1" s="1"/>
  <c r="Y105" i="1" s="1"/>
  <c r="Z105" i="1" s="1"/>
  <c r="P497" i="1"/>
  <c r="Q497" i="1" s="1"/>
  <c r="R497" i="1" s="1"/>
  <c r="S497" i="1" s="1"/>
  <c r="T497" i="1" s="1"/>
  <c r="U497" i="1" s="1"/>
  <c r="V497" i="1" s="1"/>
  <c r="W497" i="1" s="1"/>
  <c r="X497" i="1" s="1"/>
  <c r="Y497" i="1" s="1"/>
  <c r="Z497" i="1" s="1"/>
  <c r="P514" i="1"/>
  <c r="Q514" i="1" s="1"/>
  <c r="R514" i="1" s="1"/>
  <c r="S514" i="1" s="1"/>
  <c r="T514" i="1" s="1"/>
  <c r="U514" i="1" s="1"/>
  <c r="V514" i="1" s="1"/>
  <c r="W514" i="1" s="1"/>
  <c r="X514" i="1" s="1"/>
  <c r="Y514" i="1" s="1"/>
  <c r="Z514" i="1" s="1"/>
  <c r="P264" i="1"/>
  <c r="Q264" i="1" s="1"/>
  <c r="R264" i="1" s="1"/>
  <c r="S264" i="1" s="1"/>
  <c r="T264" i="1" s="1"/>
  <c r="U264" i="1" s="1"/>
  <c r="V264" i="1" s="1"/>
  <c r="W264" i="1" s="1"/>
  <c r="X264" i="1" s="1"/>
  <c r="Y264" i="1" s="1"/>
  <c r="Z264" i="1" s="1"/>
  <c r="P384" i="1"/>
  <c r="Q384" i="1" s="1"/>
  <c r="R384" i="1" s="1"/>
  <c r="S384" i="1" s="1"/>
  <c r="T384" i="1" s="1"/>
  <c r="U384" i="1" s="1"/>
  <c r="V384" i="1" s="1"/>
  <c r="W384" i="1" s="1"/>
  <c r="X384" i="1" s="1"/>
  <c r="Y384" i="1" s="1"/>
  <c r="Z384" i="1" s="1"/>
  <c r="P382" i="1"/>
  <c r="Q382" i="1" s="1"/>
  <c r="R382" i="1" s="1"/>
  <c r="S382" i="1" s="1"/>
  <c r="T382" i="1" s="1"/>
  <c r="U382" i="1" s="1"/>
  <c r="V382" i="1" s="1"/>
  <c r="W382" i="1" s="1"/>
  <c r="X382" i="1" s="1"/>
  <c r="Y382" i="1" s="1"/>
  <c r="Z382" i="1" s="1"/>
  <c r="P276" i="1"/>
  <c r="Q276" i="1" s="1"/>
  <c r="R276" i="1" s="1"/>
  <c r="S276" i="1" s="1"/>
  <c r="T276" i="1" s="1"/>
  <c r="U276" i="1" s="1"/>
  <c r="V276" i="1" s="1"/>
  <c r="W276" i="1" s="1"/>
  <c r="X276" i="1" s="1"/>
  <c r="Y276" i="1" s="1"/>
  <c r="Z276" i="1" s="1"/>
  <c r="P388" i="1"/>
  <c r="Q388" i="1" s="1"/>
  <c r="R388" i="1" s="1"/>
  <c r="S388" i="1" s="1"/>
  <c r="T388" i="1" s="1"/>
  <c r="U388" i="1" s="1"/>
  <c r="V388" i="1" s="1"/>
  <c r="W388" i="1" s="1"/>
  <c r="X388" i="1" s="1"/>
  <c r="Y388" i="1" s="1"/>
  <c r="Z388" i="1" s="1"/>
  <c r="P263" i="1"/>
  <c r="Q263" i="1" s="1"/>
  <c r="R263" i="1" s="1"/>
  <c r="S263" i="1" s="1"/>
  <c r="T263" i="1" s="1"/>
  <c r="U263" i="1" s="1"/>
  <c r="V263" i="1" s="1"/>
  <c r="W263" i="1" s="1"/>
  <c r="X263" i="1" s="1"/>
  <c r="Y263" i="1" s="1"/>
  <c r="Z263" i="1" s="1"/>
  <c r="P258" i="1"/>
  <c r="Q258" i="1" s="1"/>
  <c r="R258" i="1" s="1"/>
  <c r="S258" i="1" s="1"/>
  <c r="T258" i="1" s="1"/>
  <c r="U258" i="1" s="1"/>
  <c r="V258" i="1" s="1"/>
  <c r="W258" i="1" s="1"/>
  <c r="X258" i="1" s="1"/>
  <c r="Y258" i="1" s="1"/>
  <c r="Z258" i="1" s="1"/>
  <c r="P398" i="1"/>
  <c r="Q398" i="1" s="1"/>
  <c r="R398" i="1" s="1"/>
  <c r="S398" i="1" s="1"/>
  <c r="T398" i="1" s="1"/>
  <c r="U398" i="1" s="1"/>
  <c r="V398" i="1" s="1"/>
  <c r="W398" i="1" s="1"/>
  <c r="X398" i="1" s="1"/>
  <c r="Y398" i="1" s="1"/>
  <c r="Z398" i="1" s="1"/>
  <c r="P386" i="1"/>
  <c r="Q386" i="1" s="1"/>
  <c r="R386" i="1" s="1"/>
  <c r="S386" i="1" s="1"/>
  <c r="T386" i="1" s="1"/>
  <c r="U386" i="1" s="1"/>
  <c r="V386" i="1" s="1"/>
  <c r="W386" i="1" s="1"/>
  <c r="X386" i="1" s="1"/>
  <c r="Y386" i="1" s="1"/>
  <c r="Z386" i="1" s="1"/>
  <c r="P504" i="1"/>
  <c r="Q504" i="1" s="1"/>
  <c r="R504" i="1" s="1"/>
  <c r="S504" i="1" s="1"/>
  <c r="T504" i="1" s="1"/>
  <c r="U504" i="1" s="1"/>
  <c r="V504" i="1" s="1"/>
  <c r="W504" i="1" s="1"/>
  <c r="X504" i="1" s="1"/>
  <c r="Y504" i="1" s="1"/>
  <c r="Z504" i="1" s="1"/>
  <c r="P387" i="1"/>
  <c r="Q387" i="1" s="1"/>
  <c r="R387" i="1" s="1"/>
  <c r="S387" i="1" s="1"/>
  <c r="T387" i="1" s="1"/>
  <c r="U387" i="1" s="1"/>
  <c r="V387" i="1" s="1"/>
  <c r="W387" i="1" s="1"/>
  <c r="X387" i="1" s="1"/>
  <c r="Y387" i="1" s="1"/>
  <c r="Z387" i="1" s="1"/>
  <c r="P374" i="1"/>
  <c r="Q374" i="1" s="1"/>
  <c r="R374" i="1" s="1"/>
  <c r="S374" i="1" s="1"/>
  <c r="T374" i="1" s="1"/>
  <c r="U374" i="1" s="1"/>
  <c r="V374" i="1" s="1"/>
  <c r="W374" i="1" s="1"/>
  <c r="X374" i="1" s="1"/>
  <c r="Y374" i="1" s="1"/>
  <c r="Z374" i="1" s="1"/>
  <c r="P346" i="1"/>
  <c r="Q346" i="1" s="1"/>
  <c r="R346" i="1" s="1"/>
  <c r="S346" i="1" s="1"/>
  <c r="T346" i="1" s="1"/>
  <c r="U346" i="1" s="1"/>
  <c r="V346" i="1" s="1"/>
  <c r="W346" i="1" s="1"/>
  <c r="X346" i="1" s="1"/>
  <c r="Y346" i="1" s="1"/>
  <c r="Z346" i="1" s="1"/>
  <c r="P377" i="1"/>
  <c r="Q377" i="1" s="1"/>
  <c r="R377" i="1" s="1"/>
  <c r="S377" i="1" s="1"/>
  <c r="T377" i="1" s="1"/>
  <c r="U377" i="1" s="1"/>
  <c r="V377" i="1" s="1"/>
  <c r="W377" i="1" s="1"/>
  <c r="X377" i="1" s="1"/>
  <c r="Y377" i="1" s="1"/>
  <c r="Z377" i="1" s="1"/>
  <c r="P108" i="1"/>
  <c r="Q108" i="1" s="1"/>
  <c r="R108" i="1" s="1"/>
  <c r="S108" i="1" s="1"/>
  <c r="T108" i="1" s="1"/>
  <c r="U108" i="1" s="1"/>
  <c r="V108" i="1" s="1"/>
  <c r="W108" i="1" s="1"/>
  <c r="X108" i="1" s="1"/>
  <c r="Y108" i="1" s="1"/>
  <c r="Z108" i="1" s="1"/>
  <c r="P375" i="1"/>
  <c r="Q375" i="1" s="1"/>
  <c r="R375" i="1" s="1"/>
  <c r="S375" i="1" s="1"/>
  <c r="T375" i="1" s="1"/>
  <c r="U375" i="1" s="1"/>
  <c r="V375" i="1" s="1"/>
  <c r="W375" i="1" s="1"/>
  <c r="X375" i="1" s="1"/>
  <c r="Y375" i="1" s="1"/>
  <c r="Z375" i="1" s="1"/>
  <c r="P421" i="1"/>
  <c r="Q421" i="1" s="1"/>
  <c r="R421" i="1" s="1"/>
  <c r="S421" i="1" s="1"/>
  <c r="T421" i="1" s="1"/>
  <c r="U421" i="1" s="1"/>
  <c r="V421" i="1" s="1"/>
  <c r="W421" i="1" s="1"/>
  <c r="X421" i="1" s="1"/>
  <c r="Y421" i="1" s="1"/>
  <c r="Z421" i="1" s="1"/>
  <c r="P395" i="1"/>
  <c r="Q395" i="1" s="1"/>
  <c r="R395" i="1" s="1"/>
  <c r="S395" i="1" s="1"/>
  <c r="T395" i="1" s="1"/>
  <c r="U395" i="1" s="1"/>
  <c r="V395" i="1" s="1"/>
  <c r="W395" i="1" s="1"/>
  <c r="X395" i="1" s="1"/>
  <c r="Y395" i="1" s="1"/>
  <c r="Z395" i="1" s="1"/>
  <c r="P355" i="1"/>
  <c r="Q355" i="1" s="1"/>
  <c r="R355" i="1" s="1"/>
  <c r="S355" i="1" s="1"/>
  <c r="T355" i="1" s="1"/>
  <c r="U355" i="1" s="1"/>
  <c r="V355" i="1" s="1"/>
  <c r="W355" i="1" s="1"/>
  <c r="X355" i="1" s="1"/>
  <c r="Y355" i="1" s="1"/>
  <c r="Z355" i="1" s="1"/>
  <c r="P390" i="1"/>
  <c r="Q390" i="1" s="1"/>
  <c r="R390" i="1" s="1"/>
  <c r="S390" i="1" s="1"/>
  <c r="T390" i="1" s="1"/>
  <c r="U390" i="1" s="1"/>
  <c r="V390" i="1" s="1"/>
  <c r="W390" i="1" s="1"/>
  <c r="X390" i="1" s="1"/>
  <c r="Y390" i="1" s="1"/>
  <c r="Z390" i="1" s="1"/>
  <c r="P204" i="1"/>
  <c r="Q204" i="1" s="1"/>
  <c r="R204" i="1" s="1"/>
  <c r="S204" i="1" s="1"/>
  <c r="T204" i="1" s="1"/>
  <c r="U204" i="1" s="1"/>
  <c r="V204" i="1" s="1"/>
  <c r="W204" i="1" s="1"/>
  <c r="X204" i="1" s="1"/>
  <c r="Y204" i="1" s="1"/>
  <c r="Z204" i="1" s="1"/>
  <c r="P268" i="1"/>
  <c r="Q268" i="1" s="1"/>
  <c r="R268" i="1" s="1"/>
  <c r="S268" i="1" s="1"/>
  <c r="T268" i="1" s="1"/>
  <c r="U268" i="1" s="1"/>
  <c r="V268" i="1" s="1"/>
  <c r="W268" i="1" s="1"/>
  <c r="X268" i="1" s="1"/>
  <c r="Y268" i="1" s="1"/>
  <c r="Z268" i="1" s="1"/>
  <c r="P408" i="1"/>
  <c r="Q408" i="1" s="1"/>
  <c r="R408" i="1" s="1"/>
  <c r="S408" i="1" s="1"/>
  <c r="T408" i="1" s="1"/>
  <c r="U408" i="1" s="1"/>
  <c r="V408" i="1" s="1"/>
  <c r="W408" i="1" s="1"/>
  <c r="X408" i="1" s="1"/>
  <c r="Y408" i="1" s="1"/>
  <c r="Z408" i="1" s="1"/>
  <c r="CN562" i="1" l="1"/>
  <c r="AV521" i="1"/>
  <c r="AW521" i="1" s="1"/>
  <c r="AX521" i="1" s="1"/>
  <c r="AY521" i="1" s="1"/>
  <c r="AZ521" i="1" s="1"/>
  <c r="BA521" i="1" s="1"/>
  <c r="BB521" i="1" s="1"/>
  <c r="BC521" i="1" s="1"/>
  <c r="BD521" i="1" s="1"/>
  <c r="BE521" i="1" s="1"/>
  <c r="BF521" i="1" s="1"/>
  <c r="BJ521" i="1" s="1"/>
  <c r="BK521" i="1" s="1"/>
  <c r="BL521" i="1" s="1"/>
  <c r="BM521" i="1" s="1"/>
  <c r="BN521" i="1" s="1"/>
  <c r="BO521" i="1" s="1"/>
  <c r="BP521" i="1" s="1"/>
  <c r="BQ521" i="1" s="1"/>
  <c r="BR521" i="1" s="1"/>
  <c r="BS521" i="1" s="1"/>
  <c r="BT521" i="1" s="1"/>
  <c r="AV520" i="1"/>
  <c r="AW520" i="1" s="1"/>
  <c r="AX520" i="1" s="1"/>
  <c r="AY520" i="1" s="1"/>
  <c r="AZ520" i="1" s="1"/>
  <c r="BA520" i="1" s="1"/>
  <c r="BB520" i="1" s="1"/>
  <c r="BC520" i="1" s="1"/>
  <c r="BD520" i="1" s="1"/>
  <c r="BE520" i="1" s="1"/>
  <c r="BF520" i="1" s="1"/>
  <c r="BJ520" i="1" s="1"/>
  <c r="BK520" i="1" s="1"/>
  <c r="BL520" i="1" s="1"/>
  <c r="BM520" i="1" s="1"/>
  <c r="BN520" i="1" s="1"/>
  <c r="BO520" i="1" s="1"/>
  <c r="BP520" i="1" s="1"/>
  <c r="BQ520" i="1" s="1"/>
  <c r="BR520" i="1" s="1"/>
  <c r="BS520" i="1" s="1"/>
  <c r="BT520" i="1" s="1"/>
  <c r="AV196" i="1"/>
  <c r="AW196" i="1" s="1"/>
  <c r="AX196" i="1" s="1"/>
  <c r="AY196" i="1" s="1"/>
  <c r="AZ196" i="1" s="1"/>
  <c r="BA196" i="1" s="1"/>
  <c r="BB196" i="1" s="1"/>
  <c r="BC196" i="1" s="1"/>
  <c r="BD196" i="1" s="1"/>
  <c r="BE196" i="1" s="1"/>
  <c r="BF196" i="1" s="1"/>
  <c r="BJ196" i="1" s="1"/>
  <c r="AV564" i="1"/>
  <c r="AW564" i="1" s="1"/>
  <c r="AX564" i="1" s="1"/>
  <c r="AY564" i="1" s="1"/>
  <c r="AZ564" i="1" s="1"/>
  <c r="BA564" i="1" s="1"/>
  <c r="BB564" i="1" s="1"/>
  <c r="BC564" i="1" s="1"/>
  <c r="BD564" i="1" s="1"/>
  <c r="BE564" i="1" s="1"/>
  <c r="BF564" i="1" s="1"/>
  <c r="BJ564" i="1" s="1"/>
  <c r="AR196" i="1"/>
  <c r="AS196" i="1" s="1"/>
  <c r="BV562" i="1"/>
  <c r="AU568" i="1"/>
  <c r="AO565" i="1"/>
  <c r="AR565" i="1" s="1"/>
  <c r="AS565" i="1" s="1"/>
  <c r="AO57" i="1"/>
  <c r="AU57" i="1" s="1"/>
  <c r="AO85" i="1"/>
  <c r="AU85" i="1" s="1"/>
  <c r="AO240" i="1"/>
  <c r="AU240" i="1" s="1"/>
  <c r="AO58" i="1"/>
  <c r="AU58" i="1" s="1"/>
  <c r="AO224" i="1"/>
  <c r="AU224" i="1" s="1"/>
  <c r="AO235" i="1"/>
  <c r="AU235" i="1" s="1"/>
  <c r="AR520" i="1"/>
  <c r="AS520" i="1" s="1"/>
  <c r="AO580" i="1"/>
  <c r="AR580" i="1" s="1"/>
  <c r="AS580" i="1" s="1"/>
  <c r="AO229" i="1"/>
  <c r="AU229" i="1" s="1"/>
  <c r="AO83" i="1"/>
  <c r="AU83" i="1" s="1"/>
  <c r="AO511" i="1"/>
  <c r="AU511" i="1" s="1"/>
  <c r="AO234" i="1"/>
  <c r="AU234" i="1" s="1"/>
  <c r="AO487" i="1"/>
  <c r="AU487" i="1" s="1"/>
  <c r="AO233" i="1"/>
  <c r="AU233" i="1" s="1"/>
  <c r="AO90" i="1"/>
  <c r="AU90" i="1" s="1"/>
  <c r="AO230" i="1"/>
  <c r="AU230" i="1" s="1"/>
  <c r="AO15" i="1"/>
  <c r="AU15" i="1" s="1"/>
  <c r="AO14" i="1"/>
  <c r="AU14" i="1" s="1"/>
  <c r="AO9" i="1"/>
  <c r="AU9" i="1" s="1"/>
  <c r="AO87" i="1"/>
  <c r="AU87" i="1" s="1"/>
  <c r="AO222" i="1"/>
  <c r="AU222" i="1" s="1"/>
  <c r="AR521" i="1"/>
  <c r="AS521" i="1" s="1"/>
  <c r="AO43" i="1"/>
  <c r="AU43" i="1" s="1"/>
  <c r="AO82" i="1"/>
  <c r="AU82" i="1" s="1"/>
  <c r="AO231" i="1"/>
  <c r="AU231" i="1" s="1"/>
  <c r="AO239" i="1"/>
  <c r="AU239" i="1" s="1"/>
  <c r="AO238" i="1"/>
  <c r="AU238" i="1" s="1"/>
  <c r="AO236" i="1"/>
  <c r="AU236" i="1" s="1"/>
  <c r="AO86" i="1"/>
  <c r="AU86" i="1" s="1"/>
  <c r="AO168" i="1"/>
  <c r="AU168" i="1" s="1"/>
  <c r="AO227" i="1"/>
  <c r="AU227" i="1" s="1"/>
  <c r="AO228" i="1"/>
  <c r="AU228" i="1" s="1"/>
  <c r="AO194" i="1"/>
  <c r="AU194" i="1" s="1"/>
  <c r="AO94" i="1"/>
  <c r="AU94" i="1" s="1"/>
  <c r="AO84" i="1"/>
  <c r="AU84" i="1" s="1"/>
  <c r="AO106" i="1"/>
  <c r="AU106" i="1" s="1"/>
  <c r="AO81" i="1"/>
  <c r="AU81" i="1" s="1"/>
  <c r="AO237" i="1"/>
  <c r="AU237" i="1" s="1"/>
  <c r="AO494" i="1"/>
  <c r="AU494" i="1" s="1"/>
  <c r="AO93" i="1"/>
  <c r="AU93" i="1" s="1"/>
  <c r="CK562" i="1"/>
  <c r="CO562" i="1"/>
  <c r="CP562" i="1" s="1"/>
  <c r="CQ562" i="1" s="1"/>
  <c r="CR562" i="1" s="1"/>
  <c r="CS562" i="1" s="1"/>
  <c r="CT562" i="1" s="1"/>
  <c r="CU562" i="1" s="1"/>
  <c r="CV562" i="1" s="1"/>
  <c r="CW562" i="1" s="1"/>
  <c r="CX562" i="1" s="1"/>
  <c r="CY562" i="1" s="1"/>
  <c r="AD4" i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D578" i="1"/>
  <c r="AE578" i="1" s="1"/>
  <c r="AF578" i="1" s="1"/>
  <c r="AG578" i="1" s="1"/>
  <c r="AH578" i="1" s="1"/>
  <c r="AI578" i="1" s="1"/>
  <c r="AJ578" i="1" s="1"/>
  <c r="AK578" i="1" s="1"/>
  <c r="AL578" i="1" s="1"/>
  <c r="AM578" i="1" s="1"/>
  <c r="AN578" i="1" s="1"/>
  <c r="AD415" i="1"/>
  <c r="AE415" i="1" s="1"/>
  <c r="AF415" i="1" s="1"/>
  <c r="AG415" i="1" s="1"/>
  <c r="AH415" i="1" s="1"/>
  <c r="AI415" i="1" s="1"/>
  <c r="AJ415" i="1" s="1"/>
  <c r="AK415" i="1" s="1"/>
  <c r="AL415" i="1" s="1"/>
  <c r="AM415" i="1" s="1"/>
  <c r="AN415" i="1" s="1"/>
  <c r="AD263" i="1"/>
  <c r="AE263" i="1" s="1"/>
  <c r="AF263" i="1" s="1"/>
  <c r="AG263" i="1" s="1"/>
  <c r="AH263" i="1" s="1"/>
  <c r="AI263" i="1" s="1"/>
  <c r="AJ263" i="1" s="1"/>
  <c r="AK263" i="1" s="1"/>
  <c r="AL263" i="1" s="1"/>
  <c r="AM263" i="1" s="1"/>
  <c r="AN263" i="1" s="1"/>
  <c r="AD398" i="1"/>
  <c r="AE398" i="1" s="1"/>
  <c r="AF398" i="1" s="1"/>
  <c r="AG398" i="1" s="1"/>
  <c r="AH398" i="1" s="1"/>
  <c r="AI398" i="1" s="1"/>
  <c r="AJ398" i="1" s="1"/>
  <c r="AK398" i="1" s="1"/>
  <c r="AL398" i="1" s="1"/>
  <c r="AM398" i="1" s="1"/>
  <c r="AN398" i="1" s="1"/>
  <c r="AD408" i="1"/>
  <c r="AE408" i="1" s="1"/>
  <c r="AF408" i="1" s="1"/>
  <c r="AG408" i="1" s="1"/>
  <c r="AH408" i="1" s="1"/>
  <c r="AI408" i="1" s="1"/>
  <c r="AJ408" i="1" s="1"/>
  <c r="AK408" i="1" s="1"/>
  <c r="AL408" i="1" s="1"/>
  <c r="AM408" i="1" s="1"/>
  <c r="AN408" i="1" s="1"/>
  <c r="AD497" i="1"/>
  <c r="AE497" i="1" s="1"/>
  <c r="AF497" i="1" s="1"/>
  <c r="AG497" i="1" s="1"/>
  <c r="AH497" i="1" s="1"/>
  <c r="AI497" i="1" s="1"/>
  <c r="AJ497" i="1" s="1"/>
  <c r="AK497" i="1" s="1"/>
  <c r="AL497" i="1" s="1"/>
  <c r="AM497" i="1" s="1"/>
  <c r="AN497" i="1" s="1"/>
  <c r="AD77" i="1"/>
  <c r="AE77" i="1" s="1"/>
  <c r="AF77" i="1" s="1"/>
  <c r="AG77" i="1" s="1"/>
  <c r="AH77" i="1" s="1"/>
  <c r="AI77" i="1" s="1"/>
  <c r="AJ77" i="1" s="1"/>
  <c r="AK77" i="1" s="1"/>
  <c r="AL77" i="1" s="1"/>
  <c r="AM77" i="1" s="1"/>
  <c r="AN77" i="1" s="1"/>
  <c r="AD204" i="1"/>
  <c r="AE204" i="1" s="1"/>
  <c r="AF204" i="1" s="1"/>
  <c r="AG204" i="1" s="1"/>
  <c r="AH204" i="1" s="1"/>
  <c r="AI204" i="1" s="1"/>
  <c r="AJ204" i="1" s="1"/>
  <c r="AK204" i="1" s="1"/>
  <c r="AL204" i="1" s="1"/>
  <c r="AM204" i="1" s="1"/>
  <c r="AN204" i="1" s="1"/>
  <c r="AD346" i="1"/>
  <c r="AE346" i="1" s="1"/>
  <c r="AF346" i="1" s="1"/>
  <c r="AG346" i="1" s="1"/>
  <c r="AH346" i="1" s="1"/>
  <c r="AI346" i="1" s="1"/>
  <c r="AJ346" i="1" s="1"/>
  <c r="AK346" i="1" s="1"/>
  <c r="AL346" i="1" s="1"/>
  <c r="AM346" i="1" s="1"/>
  <c r="AN346" i="1" s="1"/>
  <c r="AD388" i="1"/>
  <c r="AE388" i="1" s="1"/>
  <c r="AF388" i="1" s="1"/>
  <c r="AG388" i="1" s="1"/>
  <c r="AH388" i="1" s="1"/>
  <c r="AI388" i="1" s="1"/>
  <c r="AJ388" i="1" s="1"/>
  <c r="AK388" i="1" s="1"/>
  <c r="AL388" i="1" s="1"/>
  <c r="AM388" i="1" s="1"/>
  <c r="AN388" i="1" s="1"/>
  <c r="AD105" i="1"/>
  <c r="AE105" i="1" s="1"/>
  <c r="AF105" i="1" s="1"/>
  <c r="AG105" i="1" s="1"/>
  <c r="AH105" i="1" s="1"/>
  <c r="AI105" i="1" s="1"/>
  <c r="AJ105" i="1" s="1"/>
  <c r="AK105" i="1" s="1"/>
  <c r="AL105" i="1" s="1"/>
  <c r="AM105" i="1" s="1"/>
  <c r="AN105" i="1" s="1"/>
  <c r="AD514" i="1"/>
  <c r="AE514" i="1" s="1"/>
  <c r="AF514" i="1" s="1"/>
  <c r="AG514" i="1" s="1"/>
  <c r="AH514" i="1" s="1"/>
  <c r="AI514" i="1" s="1"/>
  <c r="AJ514" i="1" s="1"/>
  <c r="AK514" i="1" s="1"/>
  <c r="AL514" i="1" s="1"/>
  <c r="AM514" i="1" s="1"/>
  <c r="AN514" i="1" s="1"/>
  <c r="AD268" i="1"/>
  <c r="AE268" i="1" s="1"/>
  <c r="AF268" i="1" s="1"/>
  <c r="AG268" i="1" s="1"/>
  <c r="AH268" i="1" s="1"/>
  <c r="AI268" i="1" s="1"/>
  <c r="AJ268" i="1" s="1"/>
  <c r="AK268" i="1" s="1"/>
  <c r="AL268" i="1" s="1"/>
  <c r="AM268" i="1" s="1"/>
  <c r="AN268" i="1" s="1"/>
  <c r="AD390" i="1"/>
  <c r="AE390" i="1" s="1"/>
  <c r="AF390" i="1" s="1"/>
  <c r="AG390" i="1" s="1"/>
  <c r="AH390" i="1" s="1"/>
  <c r="AI390" i="1" s="1"/>
  <c r="AJ390" i="1" s="1"/>
  <c r="AK390" i="1" s="1"/>
  <c r="AL390" i="1" s="1"/>
  <c r="AM390" i="1" s="1"/>
  <c r="AN390" i="1" s="1"/>
  <c r="AD276" i="1"/>
  <c r="AE276" i="1" s="1"/>
  <c r="AF276" i="1" s="1"/>
  <c r="AG276" i="1" s="1"/>
  <c r="AH276" i="1" s="1"/>
  <c r="AI276" i="1" s="1"/>
  <c r="AJ276" i="1" s="1"/>
  <c r="AK276" i="1" s="1"/>
  <c r="AL276" i="1" s="1"/>
  <c r="AM276" i="1" s="1"/>
  <c r="AN276" i="1" s="1"/>
  <c r="AD76" i="1"/>
  <c r="AE76" i="1" s="1"/>
  <c r="AF76" i="1" s="1"/>
  <c r="AG76" i="1" s="1"/>
  <c r="AH76" i="1" s="1"/>
  <c r="AI76" i="1" s="1"/>
  <c r="AJ76" i="1" s="1"/>
  <c r="AK76" i="1" s="1"/>
  <c r="AL76" i="1" s="1"/>
  <c r="AM76" i="1" s="1"/>
  <c r="AN76" i="1" s="1"/>
  <c r="AD375" i="1"/>
  <c r="AE375" i="1" s="1"/>
  <c r="AF375" i="1" s="1"/>
  <c r="AG375" i="1" s="1"/>
  <c r="AH375" i="1" s="1"/>
  <c r="AI375" i="1" s="1"/>
  <c r="AJ375" i="1" s="1"/>
  <c r="AK375" i="1" s="1"/>
  <c r="AL375" i="1" s="1"/>
  <c r="AM375" i="1" s="1"/>
  <c r="AN375" i="1" s="1"/>
  <c r="AD108" i="1"/>
  <c r="AE108" i="1" s="1"/>
  <c r="AF108" i="1" s="1"/>
  <c r="AG108" i="1" s="1"/>
  <c r="AH108" i="1" s="1"/>
  <c r="AI108" i="1" s="1"/>
  <c r="AJ108" i="1" s="1"/>
  <c r="AK108" i="1" s="1"/>
  <c r="AL108" i="1" s="1"/>
  <c r="AM108" i="1" s="1"/>
  <c r="AN108" i="1" s="1"/>
  <c r="AD377" i="1"/>
  <c r="AE377" i="1" s="1"/>
  <c r="AF377" i="1" s="1"/>
  <c r="AG377" i="1" s="1"/>
  <c r="AH377" i="1" s="1"/>
  <c r="AI377" i="1" s="1"/>
  <c r="AJ377" i="1" s="1"/>
  <c r="AK377" i="1" s="1"/>
  <c r="AL377" i="1" s="1"/>
  <c r="AM377" i="1" s="1"/>
  <c r="AN377" i="1" s="1"/>
  <c r="AD374" i="1"/>
  <c r="AE374" i="1" s="1"/>
  <c r="AF374" i="1" s="1"/>
  <c r="AG374" i="1" s="1"/>
  <c r="AH374" i="1" s="1"/>
  <c r="AI374" i="1" s="1"/>
  <c r="AJ374" i="1" s="1"/>
  <c r="AK374" i="1" s="1"/>
  <c r="AL374" i="1" s="1"/>
  <c r="AM374" i="1" s="1"/>
  <c r="AN374" i="1" s="1"/>
  <c r="AD21" i="1"/>
  <c r="AE21" i="1" s="1"/>
  <c r="AF21" i="1" s="1"/>
  <c r="AG21" i="1" s="1"/>
  <c r="AH21" i="1" s="1"/>
  <c r="AI21" i="1" s="1"/>
  <c r="AJ21" i="1" s="1"/>
  <c r="AK21" i="1" s="1"/>
  <c r="AL21" i="1" s="1"/>
  <c r="AM21" i="1" s="1"/>
  <c r="AN21" i="1" s="1"/>
  <c r="AD355" i="1"/>
  <c r="AE355" i="1" s="1"/>
  <c r="AF355" i="1" s="1"/>
  <c r="AG355" i="1" s="1"/>
  <c r="AH355" i="1" s="1"/>
  <c r="AI355" i="1" s="1"/>
  <c r="AJ355" i="1" s="1"/>
  <c r="AK355" i="1" s="1"/>
  <c r="AL355" i="1" s="1"/>
  <c r="AM355" i="1" s="1"/>
  <c r="AN355" i="1" s="1"/>
  <c r="AD387" i="1"/>
  <c r="AE387" i="1" s="1"/>
  <c r="AF387" i="1" s="1"/>
  <c r="AG387" i="1" s="1"/>
  <c r="AH387" i="1" s="1"/>
  <c r="AI387" i="1" s="1"/>
  <c r="AJ387" i="1" s="1"/>
  <c r="AK387" i="1" s="1"/>
  <c r="AL387" i="1" s="1"/>
  <c r="AM387" i="1" s="1"/>
  <c r="AN387" i="1" s="1"/>
  <c r="AD382" i="1"/>
  <c r="AE382" i="1" s="1"/>
  <c r="AF382" i="1" s="1"/>
  <c r="AG382" i="1" s="1"/>
  <c r="AH382" i="1" s="1"/>
  <c r="AI382" i="1" s="1"/>
  <c r="AJ382" i="1" s="1"/>
  <c r="AK382" i="1" s="1"/>
  <c r="AL382" i="1" s="1"/>
  <c r="AM382" i="1" s="1"/>
  <c r="AN382" i="1" s="1"/>
  <c r="AD417" i="1"/>
  <c r="AE417" i="1" s="1"/>
  <c r="AF417" i="1" s="1"/>
  <c r="AG417" i="1" s="1"/>
  <c r="AH417" i="1" s="1"/>
  <c r="AI417" i="1" s="1"/>
  <c r="AJ417" i="1" s="1"/>
  <c r="AK417" i="1" s="1"/>
  <c r="AL417" i="1" s="1"/>
  <c r="AM417" i="1" s="1"/>
  <c r="AN417" i="1" s="1"/>
  <c r="AD258" i="1"/>
  <c r="AE258" i="1" s="1"/>
  <c r="AF258" i="1" s="1"/>
  <c r="AG258" i="1" s="1"/>
  <c r="AH258" i="1" s="1"/>
  <c r="AI258" i="1" s="1"/>
  <c r="AJ258" i="1" s="1"/>
  <c r="AK258" i="1" s="1"/>
  <c r="AL258" i="1" s="1"/>
  <c r="AM258" i="1" s="1"/>
  <c r="AN258" i="1" s="1"/>
  <c r="AD504" i="1"/>
  <c r="AE504" i="1" s="1"/>
  <c r="AF504" i="1" s="1"/>
  <c r="AG504" i="1" s="1"/>
  <c r="AH504" i="1" s="1"/>
  <c r="AI504" i="1" s="1"/>
  <c r="AJ504" i="1" s="1"/>
  <c r="AK504" i="1" s="1"/>
  <c r="AL504" i="1" s="1"/>
  <c r="AM504" i="1" s="1"/>
  <c r="AN504" i="1" s="1"/>
  <c r="AD384" i="1"/>
  <c r="AE384" i="1" s="1"/>
  <c r="AF384" i="1" s="1"/>
  <c r="AG384" i="1" s="1"/>
  <c r="AH384" i="1" s="1"/>
  <c r="AI384" i="1" s="1"/>
  <c r="AJ384" i="1" s="1"/>
  <c r="AK384" i="1" s="1"/>
  <c r="AL384" i="1" s="1"/>
  <c r="AM384" i="1" s="1"/>
  <c r="AN384" i="1" s="1"/>
  <c r="AD253" i="1"/>
  <c r="AE253" i="1" s="1"/>
  <c r="AF253" i="1" s="1"/>
  <c r="AG253" i="1" s="1"/>
  <c r="AH253" i="1" s="1"/>
  <c r="AI253" i="1" s="1"/>
  <c r="AJ253" i="1" s="1"/>
  <c r="AK253" i="1" s="1"/>
  <c r="AL253" i="1" s="1"/>
  <c r="AM253" i="1" s="1"/>
  <c r="AN253" i="1" s="1"/>
  <c r="AD199" i="1"/>
  <c r="AE199" i="1" s="1"/>
  <c r="AF199" i="1" s="1"/>
  <c r="AG199" i="1" s="1"/>
  <c r="AH199" i="1" s="1"/>
  <c r="AI199" i="1" s="1"/>
  <c r="AJ199" i="1" s="1"/>
  <c r="AK199" i="1" s="1"/>
  <c r="AL199" i="1" s="1"/>
  <c r="AM199" i="1" s="1"/>
  <c r="AN199" i="1" s="1"/>
  <c r="AD395" i="1"/>
  <c r="AE395" i="1" s="1"/>
  <c r="AF395" i="1" s="1"/>
  <c r="AG395" i="1" s="1"/>
  <c r="AH395" i="1" s="1"/>
  <c r="AI395" i="1" s="1"/>
  <c r="AJ395" i="1" s="1"/>
  <c r="AK395" i="1" s="1"/>
  <c r="AL395" i="1" s="1"/>
  <c r="AM395" i="1" s="1"/>
  <c r="AN395" i="1" s="1"/>
  <c r="AD421" i="1"/>
  <c r="AE421" i="1" s="1"/>
  <c r="AF421" i="1" s="1"/>
  <c r="AG421" i="1" s="1"/>
  <c r="AH421" i="1" s="1"/>
  <c r="AI421" i="1" s="1"/>
  <c r="AJ421" i="1" s="1"/>
  <c r="AK421" i="1" s="1"/>
  <c r="AL421" i="1" s="1"/>
  <c r="AM421" i="1" s="1"/>
  <c r="AN421" i="1" s="1"/>
  <c r="AD386" i="1"/>
  <c r="AE386" i="1" s="1"/>
  <c r="AF386" i="1" s="1"/>
  <c r="AG386" i="1" s="1"/>
  <c r="AH386" i="1" s="1"/>
  <c r="AI386" i="1" s="1"/>
  <c r="AJ386" i="1" s="1"/>
  <c r="AK386" i="1" s="1"/>
  <c r="AL386" i="1" s="1"/>
  <c r="AM386" i="1" s="1"/>
  <c r="AN386" i="1" s="1"/>
  <c r="AD264" i="1"/>
  <c r="AE264" i="1" s="1"/>
  <c r="AF264" i="1" s="1"/>
  <c r="AG264" i="1" s="1"/>
  <c r="AH264" i="1" s="1"/>
  <c r="AI264" i="1" s="1"/>
  <c r="AJ264" i="1" s="1"/>
  <c r="AK264" i="1" s="1"/>
  <c r="AL264" i="1" s="1"/>
  <c r="AM264" i="1" s="1"/>
  <c r="AN264" i="1" s="1"/>
  <c r="AD313" i="1"/>
  <c r="AE313" i="1" s="1"/>
  <c r="AF313" i="1" s="1"/>
  <c r="AG313" i="1" s="1"/>
  <c r="AH313" i="1" s="1"/>
  <c r="AI313" i="1" s="1"/>
  <c r="AJ313" i="1" s="1"/>
  <c r="AK313" i="1" s="1"/>
  <c r="AL313" i="1" s="1"/>
  <c r="AM313" i="1" s="1"/>
  <c r="AN313" i="1" s="1"/>
  <c r="AD579" i="1"/>
  <c r="AE579" i="1" s="1"/>
  <c r="AF579" i="1" s="1"/>
  <c r="AG579" i="1" s="1"/>
  <c r="AH579" i="1" s="1"/>
  <c r="AI579" i="1" s="1"/>
  <c r="AJ579" i="1" s="1"/>
  <c r="AK579" i="1" s="1"/>
  <c r="AL579" i="1" s="1"/>
  <c r="AM579" i="1" s="1"/>
  <c r="AN579" i="1" s="1"/>
  <c r="AA578" i="1"/>
  <c r="AT199" i="1"/>
  <c r="BH769" i="4"/>
  <c r="BH529" i="4"/>
  <c r="AT511" i="1"/>
  <c r="AA382" i="1"/>
  <c r="AA204" i="1"/>
  <c r="AA105" i="1"/>
  <c r="AA390" i="1"/>
  <c r="AA276" i="1"/>
  <c r="AA355" i="1"/>
  <c r="AA346" i="1"/>
  <c r="AA398" i="1"/>
  <c r="AA4" i="1"/>
  <c r="AA395" i="1"/>
  <c r="AA497" i="1"/>
  <c r="AA77" i="1"/>
  <c r="AA377" i="1"/>
  <c r="AA21" i="1"/>
  <c r="AA403" i="1"/>
  <c r="AA417" i="1"/>
  <c r="AA76" i="1"/>
  <c r="AA421" i="1"/>
  <c r="AA108" i="1"/>
  <c r="AA386" i="1"/>
  <c r="AA384" i="1"/>
  <c r="AA264" i="1"/>
  <c r="AA514" i="1"/>
  <c r="AA408" i="1"/>
  <c r="AA268" i="1"/>
  <c r="AA375" i="1"/>
  <c r="AA374" i="1"/>
  <c r="AA387" i="1"/>
  <c r="AA504" i="1"/>
  <c r="AA258" i="1"/>
  <c r="AA263" i="1"/>
  <c r="AA388" i="1"/>
  <c r="AA253" i="1"/>
  <c r="AA415" i="1"/>
  <c r="AP580" i="1" l="1"/>
  <c r="BK564" i="1"/>
  <c r="BL564" i="1" s="1"/>
  <c r="BM564" i="1" s="1"/>
  <c r="BN564" i="1" s="1"/>
  <c r="BO564" i="1" s="1"/>
  <c r="BP564" i="1" s="1"/>
  <c r="BQ564" i="1" s="1"/>
  <c r="BK196" i="1"/>
  <c r="BL196" i="1" s="1"/>
  <c r="AV237" i="1"/>
  <c r="AW237" i="1" s="1"/>
  <c r="AX237" i="1" s="1"/>
  <c r="AY237" i="1" s="1"/>
  <c r="AZ237" i="1" s="1"/>
  <c r="BA237" i="1" s="1"/>
  <c r="BB237" i="1" s="1"/>
  <c r="BC237" i="1" s="1"/>
  <c r="BD237" i="1" s="1"/>
  <c r="BE237" i="1" s="1"/>
  <c r="AV228" i="1"/>
  <c r="AW228" i="1" s="1"/>
  <c r="AX228" i="1" s="1"/>
  <c r="AY228" i="1" s="1"/>
  <c r="AZ228" i="1" s="1"/>
  <c r="BA228" i="1" s="1"/>
  <c r="BB228" i="1" s="1"/>
  <c r="BC228" i="1" s="1"/>
  <c r="BD228" i="1" s="1"/>
  <c r="BE228" i="1" s="1"/>
  <c r="BF228" i="1" s="1"/>
  <c r="BJ228" i="1" s="1"/>
  <c r="BK228" i="1" s="1"/>
  <c r="BL228" i="1" s="1"/>
  <c r="BM228" i="1" s="1"/>
  <c r="BN228" i="1" s="1"/>
  <c r="BO228" i="1" s="1"/>
  <c r="BP228" i="1" s="1"/>
  <c r="BQ228" i="1" s="1"/>
  <c r="BR228" i="1" s="1"/>
  <c r="BS228" i="1" s="1"/>
  <c r="AV239" i="1"/>
  <c r="AW239" i="1" s="1"/>
  <c r="AX239" i="1" s="1"/>
  <c r="AY239" i="1" s="1"/>
  <c r="AZ239" i="1" s="1"/>
  <c r="BA239" i="1" s="1"/>
  <c r="BB239" i="1" s="1"/>
  <c r="BC239" i="1" s="1"/>
  <c r="BD239" i="1" s="1"/>
  <c r="BE239" i="1" s="1"/>
  <c r="BF239" i="1" s="1"/>
  <c r="BJ239" i="1" s="1"/>
  <c r="BK239" i="1" s="1"/>
  <c r="BL239" i="1" s="1"/>
  <c r="BM239" i="1" s="1"/>
  <c r="BN239" i="1" s="1"/>
  <c r="BO239" i="1" s="1"/>
  <c r="BP239" i="1" s="1"/>
  <c r="BQ239" i="1" s="1"/>
  <c r="BR239" i="1" s="1"/>
  <c r="BS239" i="1" s="1"/>
  <c r="BT239" i="1" s="1"/>
  <c r="AV87" i="1"/>
  <c r="AW87" i="1" s="1"/>
  <c r="AX87" i="1" s="1"/>
  <c r="AY87" i="1" s="1"/>
  <c r="AZ87" i="1" s="1"/>
  <c r="BA87" i="1" s="1"/>
  <c r="BB87" i="1" s="1"/>
  <c r="BC87" i="1" s="1"/>
  <c r="BD87" i="1" s="1"/>
  <c r="BE87" i="1" s="1"/>
  <c r="BF87" i="1" s="1"/>
  <c r="BJ87" i="1" s="1"/>
  <c r="BK87" i="1" s="1"/>
  <c r="BL87" i="1" s="1"/>
  <c r="BM87" i="1" s="1"/>
  <c r="BN87" i="1" s="1"/>
  <c r="BO87" i="1" s="1"/>
  <c r="BP87" i="1" s="1"/>
  <c r="BQ87" i="1" s="1"/>
  <c r="BR87" i="1" s="1"/>
  <c r="BS87" i="1" s="1"/>
  <c r="BT87" i="1" s="1"/>
  <c r="AV233" i="1"/>
  <c r="AW233" i="1" s="1"/>
  <c r="AX233" i="1" s="1"/>
  <c r="AY233" i="1" s="1"/>
  <c r="AZ233" i="1" s="1"/>
  <c r="BA233" i="1" s="1"/>
  <c r="BB233" i="1" s="1"/>
  <c r="BC233" i="1" s="1"/>
  <c r="BD233" i="1" s="1"/>
  <c r="BE233" i="1" s="1"/>
  <c r="BF233" i="1" s="1"/>
  <c r="BJ233" i="1" s="1"/>
  <c r="BK233" i="1" s="1"/>
  <c r="BL233" i="1" s="1"/>
  <c r="BM233" i="1" s="1"/>
  <c r="BN233" i="1" s="1"/>
  <c r="BO233" i="1" s="1"/>
  <c r="BP233" i="1" s="1"/>
  <c r="BQ233" i="1" s="1"/>
  <c r="BR233" i="1" s="1"/>
  <c r="BS233" i="1" s="1"/>
  <c r="AV85" i="1"/>
  <c r="AW85" i="1" s="1"/>
  <c r="AX85" i="1" s="1"/>
  <c r="AY85" i="1" s="1"/>
  <c r="AZ85" i="1" s="1"/>
  <c r="BA85" i="1" s="1"/>
  <c r="BB85" i="1" s="1"/>
  <c r="BC85" i="1" s="1"/>
  <c r="BD85" i="1" s="1"/>
  <c r="BE85" i="1" s="1"/>
  <c r="BF85" i="1" s="1"/>
  <c r="BJ85" i="1" s="1"/>
  <c r="BK85" i="1" s="1"/>
  <c r="BL85" i="1" s="1"/>
  <c r="BM85" i="1" s="1"/>
  <c r="BN85" i="1" s="1"/>
  <c r="BO85" i="1" s="1"/>
  <c r="BP85" i="1" s="1"/>
  <c r="BQ85" i="1" s="1"/>
  <c r="BR85" i="1" s="1"/>
  <c r="BS85" i="1" s="1"/>
  <c r="BT85" i="1" s="1"/>
  <c r="AV81" i="1"/>
  <c r="AW81" i="1" s="1"/>
  <c r="AX81" i="1" s="1"/>
  <c r="AY81" i="1" s="1"/>
  <c r="AZ81" i="1" s="1"/>
  <c r="BA81" i="1" s="1"/>
  <c r="BB81" i="1" s="1"/>
  <c r="BC81" i="1" s="1"/>
  <c r="BD81" i="1" s="1"/>
  <c r="BE81" i="1" s="1"/>
  <c r="AV227" i="1"/>
  <c r="AW227" i="1" s="1"/>
  <c r="AX227" i="1" s="1"/>
  <c r="AY227" i="1" s="1"/>
  <c r="AZ227" i="1" s="1"/>
  <c r="BA227" i="1" s="1"/>
  <c r="BB227" i="1" s="1"/>
  <c r="BC227" i="1" s="1"/>
  <c r="BD227" i="1" s="1"/>
  <c r="BE227" i="1" s="1"/>
  <c r="BF227" i="1" s="1"/>
  <c r="BJ227" i="1" s="1"/>
  <c r="BK227" i="1" s="1"/>
  <c r="BL227" i="1" s="1"/>
  <c r="BM227" i="1" s="1"/>
  <c r="BN227" i="1" s="1"/>
  <c r="BO227" i="1" s="1"/>
  <c r="BP227" i="1" s="1"/>
  <c r="BQ227" i="1" s="1"/>
  <c r="BR227" i="1" s="1"/>
  <c r="BS227" i="1" s="1"/>
  <c r="AV231" i="1"/>
  <c r="AW231" i="1" s="1"/>
  <c r="AX231" i="1" s="1"/>
  <c r="AY231" i="1" s="1"/>
  <c r="AZ231" i="1" s="1"/>
  <c r="BA231" i="1" s="1"/>
  <c r="BB231" i="1" s="1"/>
  <c r="BC231" i="1" s="1"/>
  <c r="BD231" i="1" s="1"/>
  <c r="BE231" i="1" s="1"/>
  <c r="BF231" i="1" s="1"/>
  <c r="BJ231" i="1" s="1"/>
  <c r="BK231" i="1" s="1"/>
  <c r="BL231" i="1" s="1"/>
  <c r="BM231" i="1" s="1"/>
  <c r="BN231" i="1" s="1"/>
  <c r="BO231" i="1" s="1"/>
  <c r="BP231" i="1" s="1"/>
  <c r="BQ231" i="1" s="1"/>
  <c r="BR231" i="1" s="1"/>
  <c r="BS231" i="1" s="1"/>
  <c r="AV9" i="1"/>
  <c r="AW9" i="1" s="1"/>
  <c r="AX9" i="1" s="1"/>
  <c r="AY9" i="1" s="1"/>
  <c r="AZ9" i="1" s="1"/>
  <c r="BA9" i="1" s="1"/>
  <c r="BB9" i="1" s="1"/>
  <c r="BC9" i="1" s="1"/>
  <c r="BD9" i="1" s="1"/>
  <c r="BE9" i="1" s="1"/>
  <c r="BF9" i="1" s="1"/>
  <c r="BJ9" i="1" s="1"/>
  <c r="BK9" i="1" s="1"/>
  <c r="BL9" i="1" s="1"/>
  <c r="BM9" i="1" s="1"/>
  <c r="BN9" i="1" s="1"/>
  <c r="BO9" i="1" s="1"/>
  <c r="BP9" i="1" s="1"/>
  <c r="BQ9" i="1" s="1"/>
  <c r="BR9" i="1" s="1"/>
  <c r="BS9" i="1" s="1"/>
  <c r="BT9" i="1" s="1"/>
  <c r="AV487" i="1"/>
  <c r="AW487" i="1" s="1"/>
  <c r="AX487" i="1" s="1"/>
  <c r="AY487" i="1" s="1"/>
  <c r="AZ487" i="1" s="1"/>
  <c r="BA487" i="1" s="1"/>
  <c r="BB487" i="1" s="1"/>
  <c r="BC487" i="1" s="1"/>
  <c r="BD487" i="1" s="1"/>
  <c r="BE487" i="1" s="1"/>
  <c r="BF487" i="1" s="1"/>
  <c r="BJ487" i="1" s="1"/>
  <c r="BK487" i="1" s="1"/>
  <c r="BL487" i="1" s="1"/>
  <c r="BM487" i="1" s="1"/>
  <c r="BN487" i="1" s="1"/>
  <c r="BO487" i="1" s="1"/>
  <c r="BP487" i="1" s="1"/>
  <c r="BQ487" i="1" s="1"/>
  <c r="BR487" i="1" s="1"/>
  <c r="BS487" i="1" s="1"/>
  <c r="BT487" i="1" s="1"/>
  <c r="AV57" i="1"/>
  <c r="AW57" i="1" s="1"/>
  <c r="AX57" i="1" s="1"/>
  <c r="AY57" i="1" s="1"/>
  <c r="AZ57" i="1" s="1"/>
  <c r="BA57" i="1" s="1"/>
  <c r="BB57" i="1" s="1"/>
  <c r="BC57" i="1" s="1"/>
  <c r="BD57" i="1" s="1"/>
  <c r="BE57" i="1" s="1"/>
  <c r="BF57" i="1" s="1"/>
  <c r="BJ57" i="1" s="1"/>
  <c r="BK57" i="1" s="1"/>
  <c r="BL57" i="1" s="1"/>
  <c r="BM57" i="1" s="1"/>
  <c r="BN57" i="1" s="1"/>
  <c r="BO57" i="1" s="1"/>
  <c r="BP57" i="1" s="1"/>
  <c r="BQ57" i="1" s="1"/>
  <c r="BR57" i="1" s="1"/>
  <c r="BS57" i="1" s="1"/>
  <c r="BT57" i="1" s="1"/>
  <c r="AV106" i="1"/>
  <c r="AW106" i="1" s="1"/>
  <c r="AX106" i="1" s="1"/>
  <c r="AY106" i="1" s="1"/>
  <c r="AZ106" i="1" s="1"/>
  <c r="BA106" i="1" s="1"/>
  <c r="BB106" i="1" s="1"/>
  <c r="BC106" i="1" s="1"/>
  <c r="BD106" i="1" s="1"/>
  <c r="BE106" i="1" s="1"/>
  <c r="BF106" i="1" s="1"/>
  <c r="BJ106" i="1" s="1"/>
  <c r="BK106" i="1" s="1"/>
  <c r="BL106" i="1" s="1"/>
  <c r="BM106" i="1" s="1"/>
  <c r="BN106" i="1" s="1"/>
  <c r="BO106" i="1" s="1"/>
  <c r="BP106" i="1" s="1"/>
  <c r="BQ106" i="1" s="1"/>
  <c r="BR106" i="1" s="1"/>
  <c r="BS106" i="1" s="1"/>
  <c r="BT106" i="1" s="1"/>
  <c r="AV168" i="1"/>
  <c r="AW168" i="1" s="1"/>
  <c r="AX168" i="1" s="1"/>
  <c r="AY168" i="1" s="1"/>
  <c r="AZ168" i="1" s="1"/>
  <c r="BA168" i="1" s="1"/>
  <c r="BB168" i="1" s="1"/>
  <c r="BC168" i="1" s="1"/>
  <c r="BD168" i="1" s="1"/>
  <c r="BE168" i="1" s="1"/>
  <c r="BF168" i="1" s="1"/>
  <c r="BJ168" i="1" s="1"/>
  <c r="BK168" i="1" s="1"/>
  <c r="BL168" i="1" s="1"/>
  <c r="BM168" i="1" s="1"/>
  <c r="BN168" i="1" s="1"/>
  <c r="BO168" i="1" s="1"/>
  <c r="BP168" i="1" s="1"/>
  <c r="BQ168" i="1" s="1"/>
  <c r="BR168" i="1" s="1"/>
  <c r="BS168" i="1" s="1"/>
  <c r="BT168" i="1" s="1"/>
  <c r="AV82" i="1"/>
  <c r="AW82" i="1" s="1"/>
  <c r="AX82" i="1" s="1"/>
  <c r="AY82" i="1" s="1"/>
  <c r="AZ82" i="1" s="1"/>
  <c r="BA82" i="1" s="1"/>
  <c r="BB82" i="1" s="1"/>
  <c r="BC82" i="1" s="1"/>
  <c r="BD82" i="1" s="1"/>
  <c r="BE82" i="1" s="1"/>
  <c r="BF82" i="1" s="1"/>
  <c r="BJ82" i="1" s="1"/>
  <c r="BK82" i="1" s="1"/>
  <c r="BL82" i="1" s="1"/>
  <c r="BM82" i="1" s="1"/>
  <c r="BN82" i="1" s="1"/>
  <c r="BO82" i="1" s="1"/>
  <c r="BP82" i="1" s="1"/>
  <c r="BQ82" i="1" s="1"/>
  <c r="BR82" i="1" s="1"/>
  <c r="BS82" i="1" s="1"/>
  <c r="BT82" i="1" s="1"/>
  <c r="AV14" i="1"/>
  <c r="AW14" i="1" s="1"/>
  <c r="AX14" i="1" s="1"/>
  <c r="AY14" i="1" s="1"/>
  <c r="AZ14" i="1" s="1"/>
  <c r="BA14" i="1" s="1"/>
  <c r="BB14" i="1" s="1"/>
  <c r="BC14" i="1" s="1"/>
  <c r="BD14" i="1" s="1"/>
  <c r="BE14" i="1" s="1"/>
  <c r="BF14" i="1" s="1"/>
  <c r="BJ14" i="1" s="1"/>
  <c r="BK14" i="1" s="1"/>
  <c r="BL14" i="1" s="1"/>
  <c r="BM14" i="1" s="1"/>
  <c r="BN14" i="1" s="1"/>
  <c r="BO14" i="1" s="1"/>
  <c r="BP14" i="1" s="1"/>
  <c r="BQ14" i="1" s="1"/>
  <c r="BR14" i="1" s="1"/>
  <c r="BS14" i="1" s="1"/>
  <c r="BT14" i="1" s="1"/>
  <c r="AV234" i="1"/>
  <c r="AW234" i="1" s="1"/>
  <c r="AX234" i="1" s="1"/>
  <c r="AY234" i="1" s="1"/>
  <c r="AZ234" i="1" s="1"/>
  <c r="BA234" i="1" s="1"/>
  <c r="BB234" i="1" s="1"/>
  <c r="BC234" i="1" s="1"/>
  <c r="BD234" i="1" s="1"/>
  <c r="BE234" i="1" s="1"/>
  <c r="BF234" i="1" s="1"/>
  <c r="BJ234" i="1" s="1"/>
  <c r="BK234" i="1" s="1"/>
  <c r="BL234" i="1" s="1"/>
  <c r="BM234" i="1" s="1"/>
  <c r="BN234" i="1" s="1"/>
  <c r="BO234" i="1" s="1"/>
  <c r="BP234" i="1" s="1"/>
  <c r="BQ234" i="1" s="1"/>
  <c r="BR234" i="1" s="1"/>
  <c r="BS234" i="1" s="1"/>
  <c r="AV235" i="1"/>
  <c r="AW235" i="1" s="1"/>
  <c r="AX235" i="1" s="1"/>
  <c r="AY235" i="1" s="1"/>
  <c r="AZ235" i="1" s="1"/>
  <c r="BA235" i="1" s="1"/>
  <c r="BB235" i="1" s="1"/>
  <c r="BC235" i="1" s="1"/>
  <c r="BD235" i="1" s="1"/>
  <c r="BE235" i="1" s="1"/>
  <c r="BF235" i="1" s="1"/>
  <c r="BJ235" i="1" s="1"/>
  <c r="AV84" i="1"/>
  <c r="AW84" i="1" s="1"/>
  <c r="AX84" i="1" s="1"/>
  <c r="AY84" i="1" s="1"/>
  <c r="AZ84" i="1" s="1"/>
  <c r="BA84" i="1" s="1"/>
  <c r="BB84" i="1" s="1"/>
  <c r="BC84" i="1" s="1"/>
  <c r="BD84" i="1" s="1"/>
  <c r="BE84" i="1" s="1"/>
  <c r="BF84" i="1" s="1"/>
  <c r="BJ84" i="1" s="1"/>
  <c r="BK84" i="1" s="1"/>
  <c r="BL84" i="1" s="1"/>
  <c r="BM84" i="1" s="1"/>
  <c r="BN84" i="1" s="1"/>
  <c r="BO84" i="1" s="1"/>
  <c r="BP84" i="1" s="1"/>
  <c r="BQ84" i="1" s="1"/>
  <c r="BR84" i="1" s="1"/>
  <c r="BS84" i="1" s="1"/>
  <c r="BT84" i="1" s="1"/>
  <c r="AV86" i="1"/>
  <c r="AW86" i="1" s="1"/>
  <c r="AX86" i="1" s="1"/>
  <c r="AY86" i="1" s="1"/>
  <c r="AZ86" i="1" s="1"/>
  <c r="BA86" i="1" s="1"/>
  <c r="BB86" i="1" s="1"/>
  <c r="BC86" i="1" s="1"/>
  <c r="BD86" i="1" s="1"/>
  <c r="BE86" i="1" s="1"/>
  <c r="BF86" i="1" s="1"/>
  <c r="BJ86" i="1" s="1"/>
  <c r="BK86" i="1" s="1"/>
  <c r="BL86" i="1" s="1"/>
  <c r="BM86" i="1" s="1"/>
  <c r="BN86" i="1" s="1"/>
  <c r="BO86" i="1" s="1"/>
  <c r="BP86" i="1" s="1"/>
  <c r="BQ86" i="1" s="1"/>
  <c r="BR86" i="1" s="1"/>
  <c r="BS86" i="1" s="1"/>
  <c r="BT86" i="1" s="1"/>
  <c r="AV43" i="1"/>
  <c r="AW43" i="1" s="1"/>
  <c r="AX43" i="1" s="1"/>
  <c r="AY43" i="1" s="1"/>
  <c r="AZ43" i="1" s="1"/>
  <c r="BA43" i="1" s="1"/>
  <c r="BB43" i="1" s="1"/>
  <c r="BC43" i="1" s="1"/>
  <c r="BD43" i="1" s="1"/>
  <c r="BE43" i="1" s="1"/>
  <c r="BF43" i="1" s="1"/>
  <c r="BJ43" i="1" s="1"/>
  <c r="BK43" i="1" s="1"/>
  <c r="BL43" i="1" s="1"/>
  <c r="BM43" i="1" s="1"/>
  <c r="BN43" i="1" s="1"/>
  <c r="BO43" i="1" s="1"/>
  <c r="BP43" i="1" s="1"/>
  <c r="BQ43" i="1" s="1"/>
  <c r="BR43" i="1" s="1"/>
  <c r="BS43" i="1" s="1"/>
  <c r="BT43" i="1" s="1"/>
  <c r="AV15" i="1"/>
  <c r="AW15" i="1" s="1"/>
  <c r="AX15" i="1" s="1"/>
  <c r="AY15" i="1" s="1"/>
  <c r="AZ15" i="1" s="1"/>
  <c r="BA15" i="1" s="1"/>
  <c r="BB15" i="1" s="1"/>
  <c r="BC15" i="1" s="1"/>
  <c r="BD15" i="1" s="1"/>
  <c r="BE15" i="1" s="1"/>
  <c r="BF15" i="1" s="1"/>
  <c r="BJ15" i="1" s="1"/>
  <c r="BK15" i="1" s="1"/>
  <c r="BL15" i="1" s="1"/>
  <c r="BM15" i="1" s="1"/>
  <c r="BN15" i="1" s="1"/>
  <c r="BO15" i="1" s="1"/>
  <c r="BP15" i="1" s="1"/>
  <c r="BQ15" i="1" s="1"/>
  <c r="BR15" i="1" s="1"/>
  <c r="BS15" i="1" s="1"/>
  <c r="BT15" i="1" s="1"/>
  <c r="AV511" i="1"/>
  <c r="AW511" i="1" s="1"/>
  <c r="AX511" i="1" s="1"/>
  <c r="AY511" i="1" s="1"/>
  <c r="AZ511" i="1" s="1"/>
  <c r="BA511" i="1" s="1"/>
  <c r="BB511" i="1" s="1"/>
  <c r="BC511" i="1" s="1"/>
  <c r="BD511" i="1" s="1"/>
  <c r="BE511" i="1" s="1"/>
  <c r="BF511" i="1" s="1"/>
  <c r="BJ511" i="1" s="1"/>
  <c r="BK511" i="1" s="1"/>
  <c r="BL511" i="1" s="1"/>
  <c r="BM511" i="1" s="1"/>
  <c r="BN511" i="1" s="1"/>
  <c r="BO511" i="1" s="1"/>
  <c r="BP511" i="1" s="1"/>
  <c r="BQ511" i="1" s="1"/>
  <c r="BR511" i="1" s="1"/>
  <c r="BS511" i="1" s="1"/>
  <c r="BT511" i="1" s="1"/>
  <c r="AV224" i="1"/>
  <c r="AW224" i="1" s="1"/>
  <c r="AX224" i="1" s="1"/>
  <c r="AY224" i="1" s="1"/>
  <c r="AZ224" i="1" s="1"/>
  <c r="BA224" i="1" s="1"/>
  <c r="BB224" i="1" s="1"/>
  <c r="BC224" i="1" s="1"/>
  <c r="BD224" i="1" s="1"/>
  <c r="BE224" i="1" s="1"/>
  <c r="BF224" i="1" s="1"/>
  <c r="BJ224" i="1" s="1"/>
  <c r="BK224" i="1" s="1"/>
  <c r="BL224" i="1" s="1"/>
  <c r="BM224" i="1" s="1"/>
  <c r="BN224" i="1" s="1"/>
  <c r="BO224" i="1" s="1"/>
  <c r="BP224" i="1" s="1"/>
  <c r="BQ224" i="1" s="1"/>
  <c r="BR224" i="1" s="1"/>
  <c r="BS224" i="1" s="1"/>
  <c r="AV568" i="1"/>
  <c r="AW568" i="1" s="1"/>
  <c r="AX568" i="1" s="1"/>
  <c r="AY568" i="1" s="1"/>
  <c r="AZ568" i="1" s="1"/>
  <c r="BA568" i="1" s="1"/>
  <c r="BB568" i="1" s="1"/>
  <c r="BC568" i="1" s="1"/>
  <c r="BD568" i="1" s="1"/>
  <c r="BE568" i="1" s="1"/>
  <c r="AV93" i="1"/>
  <c r="AW93" i="1" s="1"/>
  <c r="AX93" i="1" s="1"/>
  <c r="AY93" i="1" s="1"/>
  <c r="AZ93" i="1" s="1"/>
  <c r="BA93" i="1" s="1"/>
  <c r="BB93" i="1" s="1"/>
  <c r="BC93" i="1" s="1"/>
  <c r="BD93" i="1" s="1"/>
  <c r="BE93" i="1" s="1"/>
  <c r="BF93" i="1" s="1"/>
  <c r="BJ93" i="1" s="1"/>
  <c r="BK93" i="1" s="1"/>
  <c r="AV94" i="1"/>
  <c r="AW94" i="1" s="1"/>
  <c r="AX94" i="1" s="1"/>
  <c r="AY94" i="1" s="1"/>
  <c r="AZ94" i="1" s="1"/>
  <c r="BA94" i="1" s="1"/>
  <c r="BB94" i="1" s="1"/>
  <c r="BC94" i="1" s="1"/>
  <c r="BD94" i="1" s="1"/>
  <c r="BE94" i="1" s="1"/>
  <c r="BF94" i="1" s="1"/>
  <c r="BJ94" i="1" s="1"/>
  <c r="BK94" i="1" s="1"/>
  <c r="BL94" i="1" s="1"/>
  <c r="BM94" i="1" s="1"/>
  <c r="BN94" i="1" s="1"/>
  <c r="BO94" i="1" s="1"/>
  <c r="BP94" i="1" s="1"/>
  <c r="BQ94" i="1" s="1"/>
  <c r="BR94" i="1" s="1"/>
  <c r="AV236" i="1"/>
  <c r="AW236" i="1" s="1"/>
  <c r="AX236" i="1" s="1"/>
  <c r="AY236" i="1" s="1"/>
  <c r="AZ236" i="1" s="1"/>
  <c r="BA236" i="1" s="1"/>
  <c r="BB236" i="1" s="1"/>
  <c r="BC236" i="1" s="1"/>
  <c r="BD236" i="1" s="1"/>
  <c r="BE236" i="1" s="1"/>
  <c r="BF236" i="1" s="1"/>
  <c r="BJ236" i="1" s="1"/>
  <c r="BK236" i="1" s="1"/>
  <c r="BL236" i="1" s="1"/>
  <c r="BM236" i="1" s="1"/>
  <c r="BN236" i="1" s="1"/>
  <c r="BO236" i="1" s="1"/>
  <c r="BP236" i="1" s="1"/>
  <c r="BQ236" i="1" s="1"/>
  <c r="BR236" i="1" s="1"/>
  <c r="BS236" i="1" s="1"/>
  <c r="AV230" i="1"/>
  <c r="AW230" i="1" s="1"/>
  <c r="AX230" i="1" s="1"/>
  <c r="AY230" i="1" s="1"/>
  <c r="AZ230" i="1" s="1"/>
  <c r="BA230" i="1" s="1"/>
  <c r="BB230" i="1" s="1"/>
  <c r="BC230" i="1" s="1"/>
  <c r="BD230" i="1" s="1"/>
  <c r="BE230" i="1" s="1"/>
  <c r="BF230" i="1" s="1"/>
  <c r="BJ230" i="1" s="1"/>
  <c r="BK230" i="1" s="1"/>
  <c r="BL230" i="1" s="1"/>
  <c r="BM230" i="1" s="1"/>
  <c r="BN230" i="1" s="1"/>
  <c r="BO230" i="1" s="1"/>
  <c r="BP230" i="1" s="1"/>
  <c r="BQ230" i="1" s="1"/>
  <c r="BR230" i="1" s="1"/>
  <c r="BS230" i="1" s="1"/>
  <c r="AV83" i="1"/>
  <c r="AW83" i="1" s="1"/>
  <c r="AX83" i="1" s="1"/>
  <c r="AY83" i="1" s="1"/>
  <c r="AZ83" i="1" s="1"/>
  <c r="BA83" i="1" s="1"/>
  <c r="BB83" i="1" s="1"/>
  <c r="BC83" i="1" s="1"/>
  <c r="BD83" i="1" s="1"/>
  <c r="BE83" i="1" s="1"/>
  <c r="BF83" i="1" s="1"/>
  <c r="BJ83" i="1" s="1"/>
  <c r="AV58" i="1"/>
  <c r="AW58" i="1" s="1"/>
  <c r="AX58" i="1" s="1"/>
  <c r="AY58" i="1" s="1"/>
  <c r="AZ58" i="1" s="1"/>
  <c r="BA58" i="1" s="1"/>
  <c r="BB58" i="1" s="1"/>
  <c r="BC58" i="1" s="1"/>
  <c r="BD58" i="1" s="1"/>
  <c r="BE58" i="1" s="1"/>
  <c r="BF58" i="1" s="1"/>
  <c r="BJ58" i="1" s="1"/>
  <c r="BK58" i="1" s="1"/>
  <c r="BL58" i="1" s="1"/>
  <c r="BM58" i="1" s="1"/>
  <c r="BN58" i="1" s="1"/>
  <c r="BO58" i="1" s="1"/>
  <c r="BP58" i="1" s="1"/>
  <c r="BQ58" i="1" s="1"/>
  <c r="BR58" i="1" s="1"/>
  <c r="BS58" i="1" s="1"/>
  <c r="BT58" i="1" s="1"/>
  <c r="AV494" i="1"/>
  <c r="AW494" i="1" s="1"/>
  <c r="AX494" i="1" s="1"/>
  <c r="AY494" i="1" s="1"/>
  <c r="AZ494" i="1" s="1"/>
  <c r="BA494" i="1" s="1"/>
  <c r="BB494" i="1" s="1"/>
  <c r="BC494" i="1" s="1"/>
  <c r="BD494" i="1" s="1"/>
  <c r="BE494" i="1" s="1"/>
  <c r="BF494" i="1" s="1"/>
  <c r="BJ494" i="1" s="1"/>
  <c r="AV194" i="1"/>
  <c r="AW194" i="1" s="1"/>
  <c r="AX194" i="1" s="1"/>
  <c r="AY194" i="1" s="1"/>
  <c r="AZ194" i="1" s="1"/>
  <c r="BA194" i="1" s="1"/>
  <c r="BB194" i="1" s="1"/>
  <c r="BC194" i="1" s="1"/>
  <c r="BD194" i="1" s="1"/>
  <c r="BE194" i="1" s="1"/>
  <c r="BF194" i="1" s="1"/>
  <c r="BJ194" i="1" s="1"/>
  <c r="BK194" i="1" s="1"/>
  <c r="BL194" i="1" s="1"/>
  <c r="BM194" i="1" s="1"/>
  <c r="BN194" i="1" s="1"/>
  <c r="AV238" i="1"/>
  <c r="AW238" i="1" s="1"/>
  <c r="AX238" i="1" s="1"/>
  <c r="AY238" i="1" s="1"/>
  <c r="AZ238" i="1" s="1"/>
  <c r="BA238" i="1" s="1"/>
  <c r="BB238" i="1" s="1"/>
  <c r="BC238" i="1" s="1"/>
  <c r="BD238" i="1" s="1"/>
  <c r="BE238" i="1" s="1"/>
  <c r="BF238" i="1" s="1"/>
  <c r="BJ238" i="1" s="1"/>
  <c r="BK238" i="1" s="1"/>
  <c r="BL238" i="1" s="1"/>
  <c r="BM238" i="1" s="1"/>
  <c r="BN238" i="1" s="1"/>
  <c r="BO238" i="1" s="1"/>
  <c r="BP238" i="1" s="1"/>
  <c r="BQ238" i="1" s="1"/>
  <c r="BR238" i="1" s="1"/>
  <c r="BS238" i="1" s="1"/>
  <c r="BT238" i="1" s="1"/>
  <c r="AV222" i="1"/>
  <c r="AW222" i="1" s="1"/>
  <c r="AX222" i="1" s="1"/>
  <c r="AY222" i="1" s="1"/>
  <c r="AZ222" i="1" s="1"/>
  <c r="BA222" i="1" s="1"/>
  <c r="BB222" i="1" s="1"/>
  <c r="BC222" i="1" s="1"/>
  <c r="BD222" i="1" s="1"/>
  <c r="BE222" i="1" s="1"/>
  <c r="BF222" i="1" s="1"/>
  <c r="BJ222" i="1" s="1"/>
  <c r="BK222" i="1" s="1"/>
  <c r="BL222" i="1" s="1"/>
  <c r="BM222" i="1" s="1"/>
  <c r="BN222" i="1" s="1"/>
  <c r="BO222" i="1" s="1"/>
  <c r="BP222" i="1" s="1"/>
  <c r="BQ222" i="1" s="1"/>
  <c r="BR222" i="1" s="1"/>
  <c r="BS222" i="1" s="1"/>
  <c r="BT222" i="1" s="1"/>
  <c r="AV90" i="1"/>
  <c r="AW90" i="1" s="1"/>
  <c r="AX90" i="1" s="1"/>
  <c r="AY90" i="1" s="1"/>
  <c r="AZ90" i="1" s="1"/>
  <c r="BA90" i="1" s="1"/>
  <c r="BB90" i="1" s="1"/>
  <c r="BC90" i="1" s="1"/>
  <c r="BD90" i="1" s="1"/>
  <c r="BE90" i="1" s="1"/>
  <c r="BF90" i="1" s="1"/>
  <c r="BJ90" i="1" s="1"/>
  <c r="AV229" i="1"/>
  <c r="AW229" i="1" s="1"/>
  <c r="AX229" i="1" s="1"/>
  <c r="AY229" i="1" s="1"/>
  <c r="AZ229" i="1" s="1"/>
  <c r="BA229" i="1" s="1"/>
  <c r="BB229" i="1" s="1"/>
  <c r="BC229" i="1" s="1"/>
  <c r="BD229" i="1" s="1"/>
  <c r="BE229" i="1" s="1"/>
  <c r="BF229" i="1" s="1"/>
  <c r="BJ229" i="1" s="1"/>
  <c r="BK229" i="1" s="1"/>
  <c r="BL229" i="1" s="1"/>
  <c r="BM229" i="1" s="1"/>
  <c r="BN229" i="1" s="1"/>
  <c r="BO229" i="1" s="1"/>
  <c r="BP229" i="1" s="1"/>
  <c r="BQ229" i="1" s="1"/>
  <c r="BR229" i="1" s="1"/>
  <c r="BS229" i="1" s="1"/>
  <c r="AV240" i="1"/>
  <c r="AW240" i="1" s="1"/>
  <c r="AX240" i="1" s="1"/>
  <c r="AY240" i="1" s="1"/>
  <c r="AZ240" i="1" s="1"/>
  <c r="BA240" i="1" s="1"/>
  <c r="BB240" i="1" s="1"/>
  <c r="BC240" i="1" s="1"/>
  <c r="BD240" i="1" s="1"/>
  <c r="BE240" i="1" s="1"/>
  <c r="BF240" i="1" s="1"/>
  <c r="BJ240" i="1" s="1"/>
  <c r="BK240" i="1" s="1"/>
  <c r="BL240" i="1" s="1"/>
  <c r="BM240" i="1" s="1"/>
  <c r="BN240" i="1" s="1"/>
  <c r="BO240" i="1" s="1"/>
  <c r="BP240" i="1" s="1"/>
  <c r="BQ240" i="1" s="1"/>
  <c r="BR240" i="1" s="1"/>
  <c r="BS240" i="1" s="1"/>
  <c r="BT240" i="1" s="1"/>
  <c r="AR57" i="1"/>
  <c r="AS57" i="1" s="1"/>
  <c r="BU520" i="1"/>
  <c r="BY520" i="1" s="1"/>
  <c r="BZ520" i="1" s="1"/>
  <c r="CA520" i="1" s="1"/>
  <c r="CB520" i="1" s="1"/>
  <c r="CC520" i="1" s="1"/>
  <c r="CD520" i="1" s="1"/>
  <c r="CE520" i="1" s="1"/>
  <c r="CF520" i="1" s="1"/>
  <c r="CG520" i="1" s="1"/>
  <c r="CH520" i="1" s="1"/>
  <c r="CI520" i="1" s="1"/>
  <c r="CJ520" i="1" s="1"/>
  <c r="BU521" i="1"/>
  <c r="BY521" i="1" s="1"/>
  <c r="BZ521" i="1" s="1"/>
  <c r="CA521" i="1" s="1"/>
  <c r="CB521" i="1" s="1"/>
  <c r="CC521" i="1" s="1"/>
  <c r="CD521" i="1" s="1"/>
  <c r="CE521" i="1" s="1"/>
  <c r="CF521" i="1" s="1"/>
  <c r="CG521" i="1" s="1"/>
  <c r="CH521" i="1" s="1"/>
  <c r="CI521" i="1" s="1"/>
  <c r="CJ521" i="1" s="1"/>
  <c r="BF237" i="1"/>
  <c r="BJ237" i="1" s="1"/>
  <c r="BK237" i="1" s="1"/>
  <c r="BL237" i="1" s="1"/>
  <c r="BM237" i="1" s="1"/>
  <c r="BN237" i="1" s="1"/>
  <c r="BO237" i="1" s="1"/>
  <c r="BP237" i="1" s="1"/>
  <c r="BQ237" i="1" s="1"/>
  <c r="BR237" i="1" s="1"/>
  <c r="BS237" i="1" s="1"/>
  <c r="BT237" i="1" s="1"/>
  <c r="BF81" i="1"/>
  <c r="BJ81" i="1" s="1"/>
  <c r="BK81" i="1" s="1"/>
  <c r="BL81" i="1" s="1"/>
  <c r="BM81" i="1" s="1"/>
  <c r="BN81" i="1" s="1"/>
  <c r="BO81" i="1" s="1"/>
  <c r="BP81" i="1" s="1"/>
  <c r="BQ81" i="1" s="1"/>
  <c r="BR81" i="1" s="1"/>
  <c r="BS81" i="1" s="1"/>
  <c r="BT81" i="1" s="1"/>
  <c r="AR231" i="1"/>
  <c r="AS231" i="1" s="1"/>
  <c r="AR229" i="1"/>
  <c r="AS229" i="1" s="1"/>
  <c r="BF568" i="1"/>
  <c r="BJ568" i="1" s="1"/>
  <c r="BK568" i="1" s="1"/>
  <c r="BL568" i="1" s="1"/>
  <c r="BM568" i="1" s="1"/>
  <c r="BN568" i="1" s="1"/>
  <c r="BO568" i="1" s="1"/>
  <c r="BP568" i="1" s="1"/>
  <c r="BQ568" i="1" s="1"/>
  <c r="BR568" i="1" s="1"/>
  <c r="BS568" i="1" s="1"/>
  <c r="BT568" i="1" s="1"/>
  <c r="AR43" i="1"/>
  <c r="AS43" i="1" s="1"/>
  <c r="AR83" i="1"/>
  <c r="AS83" i="1" s="1"/>
  <c r="AR236" i="1"/>
  <c r="AS236" i="1" s="1"/>
  <c r="AR487" i="1"/>
  <c r="AS487" i="1" s="1"/>
  <c r="AR81" i="1"/>
  <c r="AS81" i="1" s="1"/>
  <c r="AR86" i="1"/>
  <c r="AS86" i="1" s="1"/>
  <c r="AR239" i="1"/>
  <c r="AS239" i="1" s="1"/>
  <c r="AR15" i="1"/>
  <c r="AS15" i="1" s="1"/>
  <c r="AR93" i="1"/>
  <c r="AS93" i="1" s="1"/>
  <c r="AR227" i="1"/>
  <c r="AS227" i="1" s="1"/>
  <c r="AR94" i="1"/>
  <c r="AS94" i="1" s="1"/>
  <c r="AR168" i="1"/>
  <c r="AS168" i="1" s="1"/>
  <c r="AR238" i="1"/>
  <c r="AS238" i="1" s="1"/>
  <c r="AR82" i="1"/>
  <c r="AS82" i="1" s="1"/>
  <c r="AR511" i="1"/>
  <c r="AS511" i="1" s="1"/>
  <c r="AR240" i="1"/>
  <c r="AS240" i="1" s="1"/>
  <c r="AR233" i="1"/>
  <c r="AS233" i="1" s="1"/>
  <c r="AO387" i="1"/>
  <c r="AR387" i="1" s="1"/>
  <c r="AS387" i="1" s="1"/>
  <c r="AO504" i="1"/>
  <c r="AR504" i="1" s="1"/>
  <c r="AS504" i="1" s="1"/>
  <c r="AO579" i="1"/>
  <c r="AR579" i="1" s="1"/>
  <c r="AS579" i="1" s="1"/>
  <c r="AO199" i="1"/>
  <c r="AU199" i="1" s="1"/>
  <c r="AO382" i="1"/>
  <c r="AR382" i="1" s="1"/>
  <c r="AS382" i="1" s="1"/>
  <c r="AO108" i="1"/>
  <c r="AR108" i="1" s="1"/>
  <c r="AS108" i="1" s="1"/>
  <c r="AO514" i="1"/>
  <c r="AP514" i="1" s="1"/>
  <c r="AR494" i="1"/>
  <c r="AS494" i="1" s="1"/>
  <c r="AR106" i="1"/>
  <c r="AS106" i="1" s="1"/>
  <c r="AR194" i="1"/>
  <c r="AS194" i="1" s="1"/>
  <c r="AR224" i="1"/>
  <c r="AS224" i="1" s="1"/>
  <c r="AR85" i="1"/>
  <c r="AS85" i="1" s="1"/>
  <c r="AO408" i="1"/>
  <c r="AP408" i="1" s="1"/>
  <c r="AR87" i="1"/>
  <c r="AS87" i="1" s="1"/>
  <c r="AO375" i="1"/>
  <c r="AR375" i="1" s="1"/>
  <c r="AS375" i="1" s="1"/>
  <c r="AO76" i="1"/>
  <c r="AR76" i="1" s="1"/>
  <c r="AS76" i="1" s="1"/>
  <c r="AO258" i="1"/>
  <c r="CK258" i="1" s="1"/>
  <c r="AO264" i="1"/>
  <c r="AR264" i="1" s="1"/>
  <c r="AS264" i="1" s="1"/>
  <c r="AO384" i="1"/>
  <c r="AR384" i="1" s="1"/>
  <c r="AS384" i="1" s="1"/>
  <c r="AO388" i="1"/>
  <c r="AR388" i="1" s="1"/>
  <c r="AS388" i="1" s="1"/>
  <c r="AO398" i="1"/>
  <c r="AP398" i="1" s="1"/>
  <c r="AR237" i="1"/>
  <c r="AS237" i="1" s="1"/>
  <c r="AR84" i="1"/>
  <c r="AS84" i="1" s="1"/>
  <c r="AR228" i="1"/>
  <c r="AS228" i="1" s="1"/>
  <c r="AR58" i="1"/>
  <c r="AS58" i="1" s="1"/>
  <c r="AO313" i="1"/>
  <c r="AT313" i="1" s="1"/>
  <c r="AO21" i="1"/>
  <c r="AU21" i="1" s="1"/>
  <c r="AR9" i="1"/>
  <c r="AS9" i="1" s="1"/>
  <c r="AR230" i="1"/>
  <c r="AS230" i="1" s="1"/>
  <c r="AO105" i="1"/>
  <c r="AR105" i="1" s="1"/>
  <c r="AS105" i="1" s="1"/>
  <c r="AO386" i="1"/>
  <c r="AP386" i="1" s="1"/>
  <c r="AO346" i="1"/>
  <c r="AR346" i="1" s="1"/>
  <c r="AS346" i="1" s="1"/>
  <c r="AO421" i="1"/>
  <c r="AR421" i="1" s="1"/>
  <c r="AS421" i="1" s="1"/>
  <c r="AO374" i="1"/>
  <c r="AR374" i="1" s="1"/>
  <c r="AS374" i="1" s="1"/>
  <c r="AO204" i="1"/>
  <c r="AR204" i="1" s="1"/>
  <c r="AS204" i="1" s="1"/>
  <c r="AO415" i="1"/>
  <c r="AR415" i="1" s="1"/>
  <c r="AS415" i="1" s="1"/>
  <c r="AR235" i="1"/>
  <c r="AS235" i="1" s="1"/>
  <c r="AO276" i="1"/>
  <c r="AU276" i="1" s="1"/>
  <c r="AO253" i="1"/>
  <c r="CK253" i="1" s="1"/>
  <c r="AO497" i="1"/>
  <c r="CK497" i="1" s="1"/>
  <c r="AO263" i="1"/>
  <c r="AR263" i="1" s="1"/>
  <c r="AS263" i="1" s="1"/>
  <c r="AO355" i="1"/>
  <c r="AR355" i="1" s="1"/>
  <c r="AS355" i="1" s="1"/>
  <c r="AO390" i="1"/>
  <c r="AR390" i="1" s="1"/>
  <c r="AS390" i="1" s="1"/>
  <c r="AO395" i="1"/>
  <c r="AR395" i="1" s="1"/>
  <c r="AS395" i="1" s="1"/>
  <c r="AO417" i="1"/>
  <c r="AR417" i="1" s="1"/>
  <c r="AS417" i="1" s="1"/>
  <c r="AO377" i="1"/>
  <c r="AR377" i="1" s="1"/>
  <c r="AS377" i="1" s="1"/>
  <c r="AO268" i="1"/>
  <c r="AR268" i="1" s="1"/>
  <c r="AS268" i="1" s="1"/>
  <c r="AO77" i="1"/>
  <c r="AR77" i="1" s="1"/>
  <c r="AS77" i="1" s="1"/>
  <c r="AO578" i="1"/>
  <c r="AR578" i="1" s="1"/>
  <c r="AS578" i="1" s="1"/>
  <c r="AR222" i="1"/>
  <c r="AS222" i="1" s="1"/>
  <c r="AR14" i="1"/>
  <c r="AS14" i="1" s="1"/>
  <c r="AR90" i="1"/>
  <c r="AS90" i="1" s="1"/>
  <c r="AR234" i="1"/>
  <c r="AS234" i="1" s="1"/>
  <c r="AO4" i="1"/>
  <c r="AR4" i="1" s="1"/>
  <c r="CZ562" i="1"/>
  <c r="AU147" i="1"/>
  <c r="AU580" i="1"/>
  <c r="AT578" i="1"/>
  <c r="BH530" i="4"/>
  <c r="AP105" i="1"/>
  <c r="BH522" i="4"/>
  <c r="AT147" i="1"/>
  <c r="AT579" i="1"/>
  <c r="AU565" i="1"/>
  <c r="AT565" i="1"/>
  <c r="BH267" i="4"/>
  <c r="BH268" i="4"/>
  <c r="BH269" i="4"/>
  <c r="AT580" i="1"/>
  <c r="BH246" i="4"/>
  <c r="BH905" i="4"/>
  <c r="BH1037" i="4"/>
  <c r="BH716" i="4"/>
  <c r="BH701" i="4"/>
  <c r="BH863" i="4"/>
  <c r="BH819" i="4"/>
  <c r="BH52" i="4"/>
  <c r="BH123" i="4"/>
  <c r="BH689" i="4"/>
  <c r="BH866" i="4"/>
  <c r="BH865" i="4"/>
  <c r="BH869" i="4"/>
  <c r="BH885" i="4"/>
  <c r="BH987" i="4"/>
  <c r="BH900" i="4"/>
  <c r="BH853" i="4"/>
  <c r="BH828" i="4"/>
  <c r="BH635" i="4"/>
  <c r="BH1038" i="4"/>
  <c r="BH73" i="4"/>
  <c r="BH897" i="4"/>
  <c r="BH700" i="4"/>
  <c r="AU258" i="1"/>
  <c r="BH693" i="4"/>
  <c r="BH854" i="4"/>
  <c r="BH705" i="4"/>
  <c r="BH506" i="4"/>
  <c r="BH861" i="4"/>
  <c r="BH879" i="4"/>
  <c r="BH856" i="4"/>
  <c r="BH876" i="4"/>
  <c r="BH867" i="4"/>
  <c r="AU408" i="1"/>
  <c r="BH890" i="4"/>
  <c r="CN520" i="1" l="1"/>
  <c r="CO520" i="1" s="1"/>
  <c r="CP520" i="1" s="1"/>
  <c r="CQ520" i="1" s="1"/>
  <c r="CR520" i="1" s="1"/>
  <c r="CS520" i="1" s="1"/>
  <c r="CT520" i="1" s="1"/>
  <c r="CU520" i="1" s="1"/>
  <c r="CV520" i="1" s="1"/>
  <c r="CW520" i="1" s="1"/>
  <c r="CX520" i="1" s="1"/>
  <c r="CY520" i="1" s="1"/>
  <c r="CN521" i="1"/>
  <c r="CO521" i="1" s="1"/>
  <c r="CP521" i="1" s="1"/>
  <c r="CQ521" i="1" s="1"/>
  <c r="CR521" i="1" s="1"/>
  <c r="CS521" i="1" s="1"/>
  <c r="CT521" i="1" s="1"/>
  <c r="CU521" i="1" s="1"/>
  <c r="CV521" i="1" s="1"/>
  <c r="CW521" i="1" s="1"/>
  <c r="CX521" i="1" s="1"/>
  <c r="CY521" i="1" s="1"/>
  <c r="BK90" i="1"/>
  <c r="BL90" i="1" s="1"/>
  <c r="BM90" i="1" s="1"/>
  <c r="BN90" i="1" s="1"/>
  <c r="BO90" i="1" s="1"/>
  <c r="BP90" i="1" s="1"/>
  <c r="BQ90" i="1" s="1"/>
  <c r="BR90" i="1" s="1"/>
  <c r="BS90" i="1" s="1"/>
  <c r="BT90" i="1" s="1"/>
  <c r="BU90" i="1" s="1"/>
  <c r="BY90" i="1" s="1"/>
  <c r="BZ90" i="1" s="1"/>
  <c r="CA90" i="1" s="1"/>
  <c r="CB90" i="1" s="1"/>
  <c r="CC90" i="1" s="1"/>
  <c r="CD90" i="1" s="1"/>
  <c r="CE90" i="1" s="1"/>
  <c r="CF90" i="1" s="1"/>
  <c r="CG90" i="1" s="1"/>
  <c r="CH90" i="1" s="1"/>
  <c r="CI90" i="1" s="1"/>
  <c r="CJ90" i="1" s="1"/>
  <c r="BK83" i="1"/>
  <c r="BL83" i="1" s="1"/>
  <c r="BM83" i="1" s="1"/>
  <c r="BN83" i="1" s="1"/>
  <c r="BO83" i="1" s="1"/>
  <c r="BP83" i="1" s="1"/>
  <c r="BQ83" i="1" s="1"/>
  <c r="BR83" i="1" s="1"/>
  <c r="BS83" i="1" s="1"/>
  <c r="BT83" i="1" s="1"/>
  <c r="BU83" i="1" s="1"/>
  <c r="BY83" i="1" s="1"/>
  <c r="BZ83" i="1" s="1"/>
  <c r="CA83" i="1" s="1"/>
  <c r="CB83" i="1" s="1"/>
  <c r="CC83" i="1" s="1"/>
  <c r="CD83" i="1" s="1"/>
  <c r="CE83" i="1" s="1"/>
  <c r="CF83" i="1" s="1"/>
  <c r="CG83" i="1" s="1"/>
  <c r="CH83" i="1" s="1"/>
  <c r="CI83" i="1" s="1"/>
  <c r="CJ83" i="1" s="1"/>
  <c r="BK235" i="1"/>
  <c r="BL235" i="1" s="1"/>
  <c r="BM235" i="1" s="1"/>
  <c r="BN235" i="1" s="1"/>
  <c r="BO235" i="1" s="1"/>
  <c r="BP235" i="1" s="1"/>
  <c r="BQ235" i="1" s="1"/>
  <c r="BR235" i="1" s="1"/>
  <c r="BS235" i="1" s="1"/>
  <c r="BK494" i="1"/>
  <c r="BL494" i="1" s="1"/>
  <c r="BM494" i="1" s="1"/>
  <c r="BN494" i="1" s="1"/>
  <c r="BO494" i="1" s="1"/>
  <c r="BP494" i="1" s="1"/>
  <c r="BQ494" i="1" s="1"/>
  <c r="BR494" i="1" s="1"/>
  <c r="BS494" i="1" s="1"/>
  <c r="BT494" i="1" s="1"/>
  <c r="BU494" i="1" s="1"/>
  <c r="BY494" i="1" s="1"/>
  <c r="BZ494" i="1" s="1"/>
  <c r="CA494" i="1" s="1"/>
  <c r="CB494" i="1" s="1"/>
  <c r="CC494" i="1" s="1"/>
  <c r="CD494" i="1" s="1"/>
  <c r="CE494" i="1" s="1"/>
  <c r="CF494" i="1" s="1"/>
  <c r="CG494" i="1" s="1"/>
  <c r="CH494" i="1" s="1"/>
  <c r="CI494" i="1" s="1"/>
  <c r="CJ494" i="1" s="1"/>
  <c r="AV147" i="1"/>
  <c r="AW147" i="1" s="1"/>
  <c r="AX147" i="1" s="1"/>
  <c r="AY147" i="1" s="1"/>
  <c r="AZ147" i="1" s="1"/>
  <c r="BA147" i="1" s="1"/>
  <c r="BB147" i="1" s="1"/>
  <c r="BC147" i="1" s="1"/>
  <c r="BD147" i="1" s="1"/>
  <c r="BE147" i="1" s="1"/>
  <c r="AV565" i="1"/>
  <c r="AW565" i="1" s="1"/>
  <c r="AX565" i="1" s="1"/>
  <c r="AY565" i="1" s="1"/>
  <c r="AZ565" i="1" s="1"/>
  <c r="BA565" i="1" s="1"/>
  <c r="BB565" i="1" s="1"/>
  <c r="BC565" i="1" s="1"/>
  <c r="BD565" i="1" s="1"/>
  <c r="BE565" i="1" s="1"/>
  <c r="AV199" i="1"/>
  <c r="AW199" i="1" s="1"/>
  <c r="AX199" i="1" s="1"/>
  <c r="AY199" i="1" s="1"/>
  <c r="AZ199" i="1" s="1"/>
  <c r="BA199" i="1" s="1"/>
  <c r="BB199" i="1" s="1"/>
  <c r="BC199" i="1" s="1"/>
  <c r="BD199" i="1" s="1"/>
  <c r="BE199" i="1" s="1"/>
  <c r="AV580" i="1"/>
  <c r="AW580" i="1" s="1"/>
  <c r="AX580" i="1" s="1"/>
  <c r="AY580" i="1" s="1"/>
  <c r="AZ580" i="1" s="1"/>
  <c r="BA580" i="1" s="1"/>
  <c r="BB580" i="1" s="1"/>
  <c r="BC580" i="1" s="1"/>
  <c r="BD580" i="1" s="1"/>
  <c r="BE580" i="1" s="1"/>
  <c r="AU497" i="1"/>
  <c r="AU377" i="1"/>
  <c r="AV377" i="1" s="1"/>
  <c r="AW377" i="1" s="1"/>
  <c r="AX377" i="1" s="1"/>
  <c r="AY377" i="1" s="1"/>
  <c r="AZ377" i="1" s="1"/>
  <c r="BA377" i="1" s="1"/>
  <c r="BB377" i="1" s="1"/>
  <c r="BC377" i="1" s="1"/>
  <c r="BD377" i="1" s="1"/>
  <c r="BE377" i="1" s="1"/>
  <c r="AP76" i="1"/>
  <c r="AU382" i="1"/>
  <c r="AP395" i="1"/>
  <c r="AP204" i="1"/>
  <c r="AU204" i="1"/>
  <c r="AP382" i="1"/>
  <c r="AU263" i="1"/>
  <c r="AU268" i="1"/>
  <c r="AP375" i="1"/>
  <c r="AP579" i="1"/>
  <c r="AU398" i="1"/>
  <c r="AU388" i="1"/>
  <c r="AU375" i="1"/>
  <c r="AU415" i="1"/>
  <c r="AP346" i="1"/>
  <c r="AU264" i="1"/>
  <c r="AU108" i="1"/>
  <c r="AU105" i="1"/>
  <c r="BU82" i="1"/>
  <c r="BY82" i="1" s="1"/>
  <c r="BZ82" i="1" s="1"/>
  <c r="CA82" i="1" s="1"/>
  <c r="CB82" i="1" s="1"/>
  <c r="CC82" i="1" s="1"/>
  <c r="CD82" i="1" s="1"/>
  <c r="CE82" i="1" s="1"/>
  <c r="CF82" i="1" s="1"/>
  <c r="CG82" i="1" s="1"/>
  <c r="CH82" i="1" s="1"/>
  <c r="CI82" i="1" s="1"/>
  <c r="CJ82" i="1" s="1"/>
  <c r="BU57" i="1"/>
  <c r="BY57" i="1" s="1"/>
  <c r="BZ57" i="1" s="1"/>
  <c r="CA57" i="1" s="1"/>
  <c r="CB57" i="1" s="1"/>
  <c r="CC57" i="1" s="1"/>
  <c r="CD57" i="1" s="1"/>
  <c r="CE57" i="1" s="1"/>
  <c r="CF57" i="1" s="1"/>
  <c r="CG57" i="1" s="1"/>
  <c r="CH57" i="1" s="1"/>
  <c r="CI57" i="1" s="1"/>
  <c r="CJ57" i="1" s="1"/>
  <c r="BU86" i="1"/>
  <c r="BY86" i="1" s="1"/>
  <c r="BZ86" i="1" s="1"/>
  <c r="CA86" i="1" s="1"/>
  <c r="CB86" i="1" s="1"/>
  <c r="CC86" i="1" s="1"/>
  <c r="CD86" i="1" s="1"/>
  <c r="CE86" i="1" s="1"/>
  <c r="CF86" i="1" s="1"/>
  <c r="CG86" i="1" s="1"/>
  <c r="CH86" i="1" s="1"/>
  <c r="CI86" i="1" s="1"/>
  <c r="CJ86" i="1" s="1"/>
  <c r="BU87" i="1"/>
  <c r="BY87" i="1" s="1"/>
  <c r="BZ87" i="1" s="1"/>
  <c r="CA87" i="1" s="1"/>
  <c r="CB87" i="1" s="1"/>
  <c r="CC87" i="1" s="1"/>
  <c r="CD87" i="1" s="1"/>
  <c r="CE87" i="1" s="1"/>
  <c r="CF87" i="1" s="1"/>
  <c r="CG87" i="1" s="1"/>
  <c r="CH87" i="1" s="1"/>
  <c r="CI87" i="1" s="1"/>
  <c r="CJ87" i="1" s="1"/>
  <c r="BU84" i="1"/>
  <c r="BY84" i="1" s="1"/>
  <c r="BZ84" i="1" s="1"/>
  <c r="CA84" i="1" s="1"/>
  <c r="CB84" i="1" s="1"/>
  <c r="CC84" i="1" s="1"/>
  <c r="CD84" i="1" s="1"/>
  <c r="CE84" i="1" s="1"/>
  <c r="CF84" i="1" s="1"/>
  <c r="CG84" i="1" s="1"/>
  <c r="CH84" i="1" s="1"/>
  <c r="CI84" i="1" s="1"/>
  <c r="CJ84" i="1" s="1"/>
  <c r="BU222" i="1"/>
  <c r="BY222" i="1" s="1"/>
  <c r="BZ222" i="1" s="1"/>
  <c r="CA222" i="1" s="1"/>
  <c r="CB222" i="1" s="1"/>
  <c r="CC222" i="1" s="1"/>
  <c r="CD222" i="1" s="1"/>
  <c r="CE222" i="1" s="1"/>
  <c r="CF222" i="1" s="1"/>
  <c r="CG222" i="1" s="1"/>
  <c r="CH222" i="1" s="1"/>
  <c r="CI222" i="1" s="1"/>
  <c r="CJ222" i="1" s="1"/>
  <c r="BU511" i="1"/>
  <c r="BY511" i="1" s="1"/>
  <c r="BZ511" i="1" s="1"/>
  <c r="CA511" i="1" s="1"/>
  <c r="CB511" i="1" s="1"/>
  <c r="CC511" i="1" s="1"/>
  <c r="CD511" i="1" s="1"/>
  <c r="CE511" i="1" s="1"/>
  <c r="CF511" i="1" s="1"/>
  <c r="CG511" i="1" s="1"/>
  <c r="CH511" i="1" s="1"/>
  <c r="CI511" i="1" s="1"/>
  <c r="CJ511" i="1" s="1"/>
  <c r="BU85" i="1"/>
  <c r="BY85" i="1" s="1"/>
  <c r="BZ85" i="1" s="1"/>
  <c r="CA85" i="1" s="1"/>
  <c r="CB85" i="1" s="1"/>
  <c r="CC85" i="1" s="1"/>
  <c r="CD85" i="1" s="1"/>
  <c r="CE85" i="1" s="1"/>
  <c r="CF85" i="1" s="1"/>
  <c r="CG85" i="1" s="1"/>
  <c r="CH85" i="1" s="1"/>
  <c r="CI85" i="1" s="1"/>
  <c r="CJ85" i="1" s="1"/>
  <c r="BU568" i="1"/>
  <c r="BY568" i="1" s="1"/>
  <c r="BU168" i="1"/>
  <c r="BY168" i="1" s="1"/>
  <c r="BZ168" i="1" s="1"/>
  <c r="CA168" i="1" s="1"/>
  <c r="CB168" i="1" s="1"/>
  <c r="CC168" i="1" s="1"/>
  <c r="CD168" i="1" s="1"/>
  <c r="CE168" i="1" s="1"/>
  <c r="CF168" i="1" s="1"/>
  <c r="CG168" i="1" s="1"/>
  <c r="CH168" i="1" s="1"/>
  <c r="CI168" i="1" s="1"/>
  <c r="CJ168" i="1" s="1"/>
  <c r="BU239" i="1"/>
  <c r="BY239" i="1" s="1"/>
  <c r="BZ239" i="1" s="1"/>
  <c r="CA239" i="1" s="1"/>
  <c r="CB239" i="1" s="1"/>
  <c r="CC239" i="1" s="1"/>
  <c r="CD239" i="1" s="1"/>
  <c r="CE239" i="1" s="1"/>
  <c r="CF239" i="1" s="1"/>
  <c r="CG239" i="1" s="1"/>
  <c r="CH239" i="1" s="1"/>
  <c r="BU15" i="1"/>
  <c r="BY15" i="1" s="1"/>
  <c r="BZ15" i="1" s="1"/>
  <c r="CA15" i="1" s="1"/>
  <c r="CB15" i="1" s="1"/>
  <c r="CC15" i="1" s="1"/>
  <c r="CD15" i="1" s="1"/>
  <c r="CE15" i="1" s="1"/>
  <c r="CF15" i="1" s="1"/>
  <c r="CG15" i="1" s="1"/>
  <c r="CH15" i="1" s="1"/>
  <c r="CI15" i="1" s="1"/>
  <c r="CJ15" i="1" s="1"/>
  <c r="AR258" i="1"/>
  <c r="AS258" i="1" s="1"/>
  <c r="BU14" i="1"/>
  <c r="BY14" i="1" s="1"/>
  <c r="BZ14" i="1" s="1"/>
  <c r="CA14" i="1" s="1"/>
  <c r="CB14" i="1" s="1"/>
  <c r="CC14" i="1" s="1"/>
  <c r="CD14" i="1" s="1"/>
  <c r="CE14" i="1" s="1"/>
  <c r="CF14" i="1" s="1"/>
  <c r="CG14" i="1" s="1"/>
  <c r="CH14" i="1" s="1"/>
  <c r="CI14" i="1" s="1"/>
  <c r="CJ14" i="1" s="1"/>
  <c r="BU487" i="1"/>
  <c r="BY487" i="1" s="1"/>
  <c r="BZ487" i="1" s="1"/>
  <c r="CA487" i="1" s="1"/>
  <c r="CB487" i="1" s="1"/>
  <c r="CC487" i="1" s="1"/>
  <c r="CD487" i="1" s="1"/>
  <c r="CE487" i="1" s="1"/>
  <c r="CF487" i="1" s="1"/>
  <c r="CG487" i="1" s="1"/>
  <c r="CH487" i="1" s="1"/>
  <c r="CI487" i="1" s="1"/>
  <c r="CJ487" i="1" s="1"/>
  <c r="BU240" i="1"/>
  <c r="BY240" i="1" s="1"/>
  <c r="BZ240" i="1" s="1"/>
  <c r="CA240" i="1" s="1"/>
  <c r="CB240" i="1" s="1"/>
  <c r="CC240" i="1" s="1"/>
  <c r="CD240" i="1" s="1"/>
  <c r="CE240" i="1" s="1"/>
  <c r="CF240" i="1" s="1"/>
  <c r="CG240" i="1" s="1"/>
  <c r="CH240" i="1" s="1"/>
  <c r="BU106" i="1"/>
  <c r="BY106" i="1" s="1"/>
  <c r="BZ106" i="1" s="1"/>
  <c r="CA106" i="1" s="1"/>
  <c r="CB106" i="1" s="1"/>
  <c r="CC106" i="1" s="1"/>
  <c r="CD106" i="1" s="1"/>
  <c r="CE106" i="1" s="1"/>
  <c r="CF106" i="1" s="1"/>
  <c r="CG106" i="1" s="1"/>
  <c r="CH106" i="1" s="1"/>
  <c r="CI106" i="1" s="1"/>
  <c r="CJ106" i="1" s="1"/>
  <c r="BU43" i="1"/>
  <c r="BY43" i="1" s="1"/>
  <c r="BZ43" i="1" s="1"/>
  <c r="CA43" i="1" s="1"/>
  <c r="CB43" i="1" s="1"/>
  <c r="CC43" i="1" s="1"/>
  <c r="CD43" i="1" s="1"/>
  <c r="CE43" i="1" s="1"/>
  <c r="CF43" i="1" s="1"/>
  <c r="CG43" i="1" s="1"/>
  <c r="CH43" i="1" s="1"/>
  <c r="CI43" i="1" s="1"/>
  <c r="CJ43" i="1" s="1"/>
  <c r="BU9" i="1"/>
  <c r="BY9" i="1" s="1"/>
  <c r="BZ9" i="1" s="1"/>
  <c r="CA9" i="1" s="1"/>
  <c r="CB9" i="1" s="1"/>
  <c r="CC9" i="1" s="1"/>
  <c r="CD9" i="1" s="1"/>
  <c r="CE9" i="1" s="1"/>
  <c r="CF9" i="1" s="1"/>
  <c r="CG9" i="1" s="1"/>
  <c r="CH9" i="1" s="1"/>
  <c r="CI9" i="1" s="1"/>
  <c r="CJ9" i="1" s="1"/>
  <c r="BU58" i="1"/>
  <c r="BY58" i="1" s="1"/>
  <c r="BZ58" i="1" s="1"/>
  <c r="CA58" i="1" s="1"/>
  <c r="CB58" i="1" s="1"/>
  <c r="CC58" i="1" s="1"/>
  <c r="CD58" i="1" s="1"/>
  <c r="CE58" i="1" s="1"/>
  <c r="CF58" i="1" s="1"/>
  <c r="CG58" i="1" s="1"/>
  <c r="CH58" i="1" s="1"/>
  <c r="CI58" i="1" s="1"/>
  <c r="CJ58" i="1" s="1"/>
  <c r="BU81" i="1"/>
  <c r="BY81" i="1" s="1"/>
  <c r="BZ81" i="1" s="1"/>
  <c r="CA81" i="1" s="1"/>
  <c r="CB81" i="1" s="1"/>
  <c r="CC81" i="1" s="1"/>
  <c r="CD81" i="1" s="1"/>
  <c r="CE81" i="1" s="1"/>
  <c r="CF81" i="1" s="1"/>
  <c r="CG81" i="1" s="1"/>
  <c r="CH81" i="1" s="1"/>
  <c r="CI81" i="1" s="1"/>
  <c r="CJ81" i="1" s="1"/>
  <c r="BU237" i="1"/>
  <c r="BY237" i="1" s="1"/>
  <c r="BZ237" i="1" s="1"/>
  <c r="CA237" i="1" s="1"/>
  <c r="CB237" i="1" s="1"/>
  <c r="CC237" i="1" s="1"/>
  <c r="CD237" i="1" s="1"/>
  <c r="CE237" i="1" s="1"/>
  <c r="CF237" i="1" s="1"/>
  <c r="CG237" i="1" s="1"/>
  <c r="CH237" i="1" s="1"/>
  <c r="BU238" i="1"/>
  <c r="BY238" i="1" s="1"/>
  <c r="BZ238" i="1" s="1"/>
  <c r="CA238" i="1" s="1"/>
  <c r="CB238" i="1" s="1"/>
  <c r="CC238" i="1" s="1"/>
  <c r="CD238" i="1" s="1"/>
  <c r="CE238" i="1" s="1"/>
  <c r="CF238" i="1" s="1"/>
  <c r="CG238" i="1" s="1"/>
  <c r="CH238" i="1" s="1"/>
  <c r="AP497" i="1"/>
  <c r="AP258" i="1"/>
  <c r="AP578" i="1"/>
  <c r="AP264" i="1"/>
  <c r="AP108" i="1"/>
  <c r="AP415" i="1"/>
  <c r="AP377" i="1"/>
  <c r="AR408" i="1"/>
  <c r="AS408" i="1" s="1"/>
  <c r="AP390" i="1"/>
  <c r="AU387" i="1"/>
  <c r="AU346" i="1"/>
  <c r="AP387" i="1"/>
  <c r="AP421" i="1"/>
  <c r="AR276" i="1"/>
  <c r="AS276" i="1" s="1"/>
  <c r="AR313" i="1"/>
  <c r="AS313" i="1" s="1"/>
  <c r="AR398" i="1"/>
  <c r="AS398" i="1" s="1"/>
  <c r="BF199" i="1"/>
  <c r="BJ199" i="1" s="1"/>
  <c r="AU421" i="1"/>
  <c r="AP268" i="1"/>
  <c r="AP388" i="1"/>
  <c r="BF580" i="1"/>
  <c r="BG580" i="1" s="1"/>
  <c r="AU390" i="1"/>
  <c r="AU77" i="1"/>
  <c r="AU417" i="1"/>
  <c r="AU578" i="1"/>
  <c r="AP276" i="1"/>
  <c r="BF147" i="1"/>
  <c r="BJ147" i="1" s="1"/>
  <c r="BK147" i="1" s="1"/>
  <c r="AP263" i="1"/>
  <c r="AP417" i="1"/>
  <c r="AP355" i="1"/>
  <c r="AU514" i="1"/>
  <c r="AP384" i="1"/>
  <c r="AP21" i="1"/>
  <c r="AU374" i="1"/>
  <c r="AU384" i="1"/>
  <c r="AU76" i="1"/>
  <c r="AU579" i="1"/>
  <c r="AP374" i="1"/>
  <c r="AR386" i="1"/>
  <c r="AS386" i="1" s="1"/>
  <c r="AR21" i="1"/>
  <c r="AS21" i="1" s="1"/>
  <c r="AR514" i="1"/>
  <c r="AS514" i="1" s="1"/>
  <c r="AR199" i="1"/>
  <c r="AS199" i="1" s="1"/>
  <c r="AU386" i="1"/>
  <c r="AU355" i="1"/>
  <c r="AU395" i="1"/>
  <c r="AU253" i="1"/>
  <c r="AP504" i="1"/>
  <c r="AP253" i="1"/>
  <c r="AU504" i="1"/>
  <c r="AU4" i="1"/>
  <c r="AP77" i="1"/>
  <c r="AR253" i="1"/>
  <c r="AS253" i="1" s="1"/>
  <c r="AP4" i="1"/>
  <c r="AS4" i="1"/>
  <c r="AU313" i="1"/>
  <c r="AR497" i="1"/>
  <c r="AS497" i="1" s="1"/>
  <c r="BJ580" i="1"/>
  <c r="BZ568" i="1"/>
  <c r="CA568" i="1" s="1"/>
  <c r="CB568" i="1" s="1"/>
  <c r="CC568" i="1" s="1"/>
  <c r="CD568" i="1" s="1"/>
  <c r="CE568" i="1" s="1"/>
  <c r="CF568" i="1" s="1"/>
  <c r="CG568" i="1" s="1"/>
  <c r="CH568" i="1" s="1"/>
  <c r="CI568" i="1" s="1"/>
  <c r="CJ568" i="1" s="1"/>
  <c r="BI199" i="1"/>
  <c r="AV382" i="1"/>
  <c r="AW382" i="1" s="1"/>
  <c r="AX382" i="1" s="1"/>
  <c r="AY382" i="1" s="1"/>
  <c r="AZ382" i="1" s="1"/>
  <c r="BA382" i="1" s="1"/>
  <c r="BB382" i="1" s="1"/>
  <c r="BC382" i="1" s="1"/>
  <c r="BD382" i="1" s="1"/>
  <c r="BE382" i="1" s="1"/>
  <c r="AV21" i="1"/>
  <c r="AW21" i="1" s="1"/>
  <c r="AX21" i="1" s="1"/>
  <c r="AY21" i="1" s="1"/>
  <c r="AZ21" i="1" s="1"/>
  <c r="BA21" i="1" s="1"/>
  <c r="BB21" i="1" s="1"/>
  <c r="BC21" i="1" s="1"/>
  <c r="BD21" i="1" s="1"/>
  <c r="BE21" i="1" s="1"/>
  <c r="AV258" i="1"/>
  <c r="AW258" i="1" s="1"/>
  <c r="AX258" i="1" s="1"/>
  <c r="AY258" i="1" s="1"/>
  <c r="AZ258" i="1" s="1"/>
  <c r="BA258" i="1" s="1"/>
  <c r="BB258" i="1" s="1"/>
  <c r="BC258" i="1" s="1"/>
  <c r="BD258" i="1" s="1"/>
  <c r="BE258" i="1" s="1"/>
  <c r="AV276" i="1"/>
  <c r="AW276" i="1" s="1"/>
  <c r="AX276" i="1" s="1"/>
  <c r="AY276" i="1" s="1"/>
  <c r="AZ276" i="1" s="1"/>
  <c r="BA276" i="1" s="1"/>
  <c r="BB276" i="1" s="1"/>
  <c r="BC276" i="1" s="1"/>
  <c r="BD276" i="1" s="1"/>
  <c r="BE276" i="1" s="1"/>
  <c r="AV204" i="1"/>
  <c r="AW204" i="1" s="1"/>
  <c r="AX204" i="1" s="1"/>
  <c r="AY204" i="1" s="1"/>
  <c r="AZ204" i="1" s="1"/>
  <c r="BA204" i="1" s="1"/>
  <c r="BB204" i="1" s="1"/>
  <c r="BC204" i="1" s="1"/>
  <c r="BD204" i="1" s="1"/>
  <c r="BE204" i="1" s="1"/>
  <c r="AV408" i="1"/>
  <c r="AW408" i="1" s="1"/>
  <c r="AX408" i="1" s="1"/>
  <c r="AY408" i="1" s="1"/>
  <c r="AZ408" i="1" s="1"/>
  <c r="BA408" i="1" s="1"/>
  <c r="BB408" i="1" s="1"/>
  <c r="BC408" i="1" s="1"/>
  <c r="BD408" i="1" s="1"/>
  <c r="BE408" i="1" s="1"/>
  <c r="BH536" i="4"/>
  <c r="AT514" i="1"/>
  <c r="BH1004" i="4"/>
  <c r="AT504" i="1"/>
  <c r="CN90" i="1" l="1"/>
  <c r="CO90" i="1" s="1"/>
  <c r="CP90" i="1" s="1"/>
  <c r="CQ90" i="1" s="1"/>
  <c r="CR90" i="1" s="1"/>
  <c r="CS90" i="1" s="1"/>
  <c r="CT90" i="1" s="1"/>
  <c r="CU90" i="1" s="1"/>
  <c r="CV90" i="1" s="1"/>
  <c r="CW90" i="1" s="1"/>
  <c r="CX90" i="1" s="1"/>
  <c r="CY90" i="1" s="1"/>
  <c r="CN58" i="1"/>
  <c r="CO58" i="1" s="1"/>
  <c r="CP58" i="1" s="1"/>
  <c r="CQ58" i="1" s="1"/>
  <c r="CR58" i="1" s="1"/>
  <c r="CS58" i="1" s="1"/>
  <c r="CT58" i="1" s="1"/>
  <c r="CU58" i="1" s="1"/>
  <c r="CV58" i="1" s="1"/>
  <c r="CW58" i="1" s="1"/>
  <c r="CX58" i="1" s="1"/>
  <c r="CY58" i="1" s="1"/>
  <c r="CN14" i="1"/>
  <c r="CO14" i="1" s="1"/>
  <c r="CP14" i="1" s="1"/>
  <c r="CQ14" i="1" s="1"/>
  <c r="CR14" i="1" s="1"/>
  <c r="CS14" i="1" s="1"/>
  <c r="CT14" i="1" s="1"/>
  <c r="CU14" i="1" s="1"/>
  <c r="CV14" i="1" s="1"/>
  <c r="CW14" i="1" s="1"/>
  <c r="CX14" i="1" s="1"/>
  <c r="CY14" i="1" s="1"/>
  <c r="CN85" i="1"/>
  <c r="CO85" i="1" s="1"/>
  <c r="CP85" i="1" s="1"/>
  <c r="CQ85" i="1" s="1"/>
  <c r="CR85" i="1" s="1"/>
  <c r="CS85" i="1" s="1"/>
  <c r="CT85" i="1" s="1"/>
  <c r="CU85" i="1" s="1"/>
  <c r="CV85" i="1" s="1"/>
  <c r="CW85" i="1" s="1"/>
  <c r="CX85" i="1" s="1"/>
  <c r="CY85" i="1" s="1"/>
  <c r="CN87" i="1"/>
  <c r="CO87" i="1" s="1"/>
  <c r="CP87" i="1" s="1"/>
  <c r="CQ87" i="1" s="1"/>
  <c r="CR87" i="1" s="1"/>
  <c r="CS87" i="1" s="1"/>
  <c r="CT87" i="1" s="1"/>
  <c r="CU87" i="1" s="1"/>
  <c r="CV87" i="1" s="1"/>
  <c r="CW87" i="1" s="1"/>
  <c r="CX87" i="1" s="1"/>
  <c r="CY87" i="1" s="1"/>
  <c r="CN9" i="1"/>
  <c r="CO9" i="1" s="1"/>
  <c r="CP9" i="1" s="1"/>
  <c r="CQ9" i="1" s="1"/>
  <c r="CR9" i="1" s="1"/>
  <c r="CS9" i="1" s="1"/>
  <c r="CT9" i="1" s="1"/>
  <c r="CU9" i="1" s="1"/>
  <c r="CV9" i="1" s="1"/>
  <c r="CW9" i="1" s="1"/>
  <c r="CN511" i="1"/>
  <c r="CO511" i="1" s="1"/>
  <c r="CP511" i="1" s="1"/>
  <c r="CQ511" i="1" s="1"/>
  <c r="CR511" i="1" s="1"/>
  <c r="CS511" i="1" s="1"/>
  <c r="CT511" i="1" s="1"/>
  <c r="CU511" i="1" s="1"/>
  <c r="CV511" i="1" s="1"/>
  <c r="CW511" i="1" s="1"/>
  <c r="CX511" i="1" s="1"/>
  <c r="CY511" i="1" s="1"/>
  <c r="CN86" i="1"/>
  <c r="CO86" i="1" s="1"/>
  <c r="CP86" i="1" s="1"/>
  <c r="CQ86" i="1" s="1"/>
  <c r="CR86" i="1" s="1"/>
  <c r="CS86" i="1" s="1"/>
  <c r="CT86" i="1" s="1"/>
  <c r="CU86" i="1" s="1"/>
  <c r="CV86" i="1" s="1"/>
  <c r="CW86" i="1" s="1"/>
  <c r="CX86" i="1" s="1"/>
  <c r="CY86" i="1" s="1"/>
  <c r="CN43" i="1"/>
  <c r="CO43" i="1" s="1"/>
  <c r="CP43" i="1" s="1"/>
  <c r="CQ43" i="1" s="1"/>
  <c r="CR43" i="1" s="1"/>
  <c r="CS43" i="1" s="1"/>
  <c r="CT43" i="1" s="1"/>
  <c r="CU43" i="1" s="1"/>
  <c r="CV43" i="1" s="1"/>
  <c r="CW43" i="1" s="1"/>
  <c r="CX43" i="1" s="1"/>
  <c r="CY43" i="1" s="1"/>
  <c r="CN15" i="1"/>
  <c r="CO15" i="1" s="1"/>
  <c r="CP15" i="1" s="1"/>
  <c r="CQ15" i="1" s="1"/>
  <c r="CR15" i="1" s="1"/>
  <c r="CS15" i="1" s="1"/>
  <c r="CT15" i="1" s="1"/>
  <c r="CU15" i="1" s="1"/>
  <c r="CV15" i="1" s="1"/>
  <c r="CW15" i="1" s="1"/>
  <c r="CX15" i="1" s="1"/>
  <c r="CY15" i="1" s="1"/>
  <c r="CN222" i="1"/>
  <c r="CO222" i="1" s="1"/>
  <c r="CP222" i="1" s="1"/>
  <c r="CQ222" i="1" s="1"/>
  <c r="CR222" i="1" s="1"/>
  <c r="CS222" i="1" s="1"/>
  <c r="CT222" i="1" s="1"/>
  <c r="CU222" i="1" s="1"/>
  <c r="CV222" i="1" s="1"/>
  <c r="CW222" i="1" s="1"/>
  <c r="CX222" i="1" s="1"/>
  <c r="CY222" i="1" s="1"/>
  <c r="CN57" i="1"/>
  <c r="CO57" i="1" s="1"/>
  <c r="CP57" i="1" s="1"/>
  <c r="CQ57" i="1" s="1"/>
  <c r="CR57" i="1" s="1"/>
  <c r="CS57" i="1" s="1"/>
  <c r="CT57" i="1" s="1"/>
  <c r="CU57" i="1" s="1"/>
  <c r="CV57" i="1" s="1"/>
  <c r="CW57" i="1" s="1"/>
  <c r="CX57" i="1" s="1"/>
  <c r="CY57" i="1" s="1"/>
  <c r="CN106" i="1"/>
  <c r="CO106" i="1" s="1"/>
  <c r="CP106" i="1" s="1"/>
  <c r="CQ106" i="1" s="1"/>
  <c r="CR106" i="1" s="1"/>
  <c r="CS106" i="1" s="1"/>
  <c r="CT106" i="1" s="1"/>
  <c r="CU106" i="1" s="1"/>
  <c r="CV106" i="1" s="1"/>
  <c r="CW106" i="1" s="1"/>
  <c r="CX106" i="1" s="1"/>
  <c r="CY106" i="1" s="1"/>
  <c r="CN84" i="1"/>
  <c r="CO84" i="1" s="1"/>
  <c r="CP84" i="1" s="1"/>
  <c r="CQ84" i="1" s="1"/>
  <c r="CR84" i="1" s="1"/>
  <c r="CS84" i="1" s="1"/>
  <c r="CT84" i="1" s="1"/>
  <c r="CU84" i="1" s="1"/>
  <c r="CV84" i="1" s="1"/>
  <c r="CW84" i="1" s="1"/>
  <c r="CX84" i="1" s="1"/>
  <c r="CY84" i="1" s="1"/>
  <c r="CN82" i="1"/>
  <c r="CO82" i="1" s="1"/>
  <c r="CP82" i="1" s="1"/>
  <c r="CQ82" i="1" s="1"/>
  <c r="CR82" i="1" s="1"/>
  <c r="CS82" i="1" s="1"/>
  <c r="CT82" i="1" s="1"/>
  <c r="CU82" i="1" s="1"/>
  <c r="CV82" i="1" s="1"/>
  <c r="CW82" i="1" s="1"/>
  <c r="CX82" i="1" s="1"/>
  <c r="CY82" i="1" s="1"/>
  <c r="CN168" i="1"/>
  <c r="CO168" i="1" s="1"/>
  <c r="CP168" i="1" s="1"/>
  <c r="CQ168" i="1" s="1"/>
  <c r="CR168" i="1" s="1"/>
  <c r="CS168" i="1" s="1"/>
  <c r="CT168" i="1" s="1"/>
  <c r="CU168" i="1" s="1"/>
  <c r="CN83" i="1"/>
  <c r="CO83" i="1" s="1"/>
  <c r="CP83" i="1" s="1"/>
  <c r="CQ83" i="1" s="1"/>
  <c r="CR83" i="1" s="1"/>
  <c r="CS83" i="1" s="1"/>
  <c r="CT83" i="1" s="1"/>
  <c r="CU83" i="1" s="1"/>
  <c r="CV83" i="1" s="1"/>
  <c r="CW83" i="1" s="1"/>
  <c r="CX83" i="1" s="1"/>
  <c r="CY83" i="1" s="1"/>
  <c r="CN494" i="1"/>
  <c r="CO494" i="1" s="1"/>
  <c r="CP494" i="1" s="1"/>
  <c r="CQ494" i="1" s="1"/>
  <c r="CR494" i="1" s="1"/>
  <c r="CS494" i="1" s="1"/>
  <c r="CT494" i="1" s="1"/>
  <c r="CU494" i="1" s="1"/>
  <c r="CV494" i="1" s="1"/>
  <c r="CW494" i="1" s="1"/>
  <c r="CX494" i="1" s="1"/>
  <c r="CY494" i="1" s="1"/>
  <c r="CN568" i="1"/>
  <c r="CN81" i="1"/>
  <c r="CO81" i="1" s="1"/>
  <c r="CP81" i="1" s="1"/>
  <c r="CQ81" i="1" s="1"/>
  <c r="CR81" i="1" s="1"/>
  <c r="CS81" i="1" s="1"/>
  <c r="CT81" i="1" s="1"/>
  <c r="CU81" i="1" s="1"/>
  <c r="CV81" i="1" s="1"/>
  <c r="CW81" i="1" s="1"/>
  <c r="CX81" i="1" s="1"/>
  <c r="CY81" i="1" s="1"/>
  <c r="CN487" i="1"/>
  <c r="CO487" i="1" s="1"/>
  <c r="CP487" i="1" s="1"/>
  <c r="CQ487" i="1" s="1"/>
  <c r="CR487" i="1" s="1"/>
  <c r="CS487" i="1" s="1"/>
  <c r="CT487" i="1" s="1"/>
  <c r="CU487" i="1" s="1"/>
  <c r="CV487" i="1" s="1"/>
  <c r="CW487" i="1" s="1"/>
  <c r="CX487" i="1" s="1"/>
  <c r="CY487" i="1" s="1"/>
  <c r="AV4" i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AV355" i="1"/>
  <c r="AW355" i="1" s="1"/>
  <c r="AX355" i="1" s="1"/>
  <c r="AY355" i="1" s="1"/>
  <c r="AZ355" i="1" s="1"/>
  <c r="BA355" i="1" s="1"/>
  <c r="BB355" i="1" s="1"/>
  <c r="BC355" i="1" s="1"/>
  <c r="BD355" i="1" s="1"/>
  <c r="BE355" i="1" s="1"/>
  <c r="BF355" i="1" s="1"/>
  <c r="BJ355" i="1" s="1"/>
  <c r="AV264" i="1"/>
  <c r="AW264" i="1" s="1"/>
  <c r="AX264" i="1" s="1"/>
  <c r="AY264" i="1" s="1"/>
  <c r="AZ264" i="1" s="1"/>
  <c r="BA264" i="1" s="1"/>
  <c r="BB264" i="1" s="1"/>
  <c r="BC264" i="1" s="1"/>
  <c r="BD264" i="1" s="1"/>
  <c r="BE264" i="1" s="1"/>
  <c r="BF264" i="1" s="1"/>
  <c r="BJ264" i="1" s="1"/>
  <c r="AV579" i="1"/>
  <c r="AW579" i="1" s="1"/>
  <c r="AX579" i="1" s="1"/>
  <c r="AY579" i="1" s="1"/>
  <c r="AZ579" i="1" s="1"/>
  <c r="BA579" i="1" s="1"/>
  <c r="BB579" i="1" s="1"/>
  <c r="BC579" i="1" s="1"/>
  <c r="AV313" i="1"/>
  <c r="AW313" i="1" s="1"/>
  <c r="AX313" i="1" s="1"/>
  <c r="AY313" i="1" s="1"/>
  <c r="AZ313" i="1" s="1"/>
  <c r="BA313" i="1" s="1"/>
  <c r="BB313" i="1" s="1"/>
  <c r="BC313" i="1" s="1"/>
  <c r="BD313" i="1" s="1"/>
  <c r="BE313" i="1" s="1"/>
  <c r="BF313" i="1" s="1"/>
  <c r="BJ313" i="1" s="1"/>
  <c r="BK313" i="1" s="1"/>
  <c r="BL313" i="1" s="1"/>
  <c r="BM313" i="1" s="1"/>
  <c r="BN313" i="1" s="1"/>
  <c r="BO313" i="1" s="1"/>
  <c r="BP313" i="1" s="1"/>
  <c r="BQ313" i="1" s="1"/>
  <c r="BR313" i="1" s="1"/>
  <c r="BS313" i="1" s="1"/>
  <c r="BT313" i="1" s="1"/>
  <c r="AV578" i="1"/>
  <c r="AW578" i="1" s="1"/>
  <c r="AX578" i="1" s="1"/>
  <c r="AY578" i="1" s="1"/>
  <c r="AZ578" i="1" s="1"/>
  <c r="BA578" i="1" s="1"/>
  <c r="BB578" i="1" s="1"/>
  <c r="BC578" i="1" s="1"/>
  <c r="BD578" i="1" s="1"/>
  <c r="BE578" i="1" s="1"/>
  <c r="AV76" i="1"/>
  <c r="AW76" i="1" s="1"/>
  <c r="AX76" i="1" s="1"/>
  <c r="AY76" i="1" s="1"/>
  <c r="AZ76" i="1" s="1"/>
  <c r="BA76" i="1" s="1"/>
  <c r="BB76" i="1" s="1"/>
  <c r="BC76" i="1" s="1"/>
  <c r="BD76" i="1" s="1"/>
  <c r="BE76" i="1" s="1"/>
  <c r="BF76" i="1" s="1"/>
  <c r="BJ76" i="1" s="1"/>
  <c r="AV417" i="1"/>
  <c r="AW417" i="1" s="1"/>
  <c r="AX417" i="1" s="1"/>
  <c r="AY417" i="1" s="1"/>
  <c r="AZ417" i="1" s="1"/>
  <c r="BA417" i="1" s="1"/>
  <c r="BB417" i="1" s="1"/>
  <c r="BC417" i="1" s="1"/>
  <c r="BD417" i="1" s="1"/>
  <c r="BE417" i="1" s="1"/>
  <c r="BF417" i="1" s="1"/>
  <c r="BG417" i="1" s="1"/>
  <c r="AV421" i="1"/>
  <c r="AW421" i="1" s="1"/>
  <c r="AX421" i="1" s="1"/>
  <c r="AY421" i="1" s="1"/>
  <c r="AZ421" i="1" s="1"/>
  <c r="BA421" i="1" s="1"/>
  <c r="BB421" i="1" s="1"/>
  <c r="BC421" i="1" s="1"/>
  <c r="BD421" i="1" s="1"/>
  <c r="BE421" i="1" s="1"/>
  <c r="BF421" i="1" s="1"/>
  <c r="BJ421" i="1" s="1"/>
  <c r="BK421" i="1" s="1"/>
  <c r="BL421" i="1" s="1"/>
  <c r="BM421" i="1" s="1"/>
  <c r="BN421" i="1" s="1"/>
  <c r="BO421" i="1" s="1"/>
  <c r="BP421" i="1" s="1"/>
  <c r="BQ421" i="1" s="1"/>
  <c r="BR421" i="1" s="1"/>
  <c r="BS421" i="1" s="1"/>
  <c r="BT421" i="1" s="1"/>
  <c r="AV415" i="1"/>
  <c r="AW415" i="1" s="1"/>
  <c r="AX415" i="1" s="1"/>
  <c r="AY415" i="1" s="1"/>
  <c r="AZ415" i="1" s="1"/>
  <c r="BA415" i="1" s="1"/>
  <c r="BB415" i="1" s="1"/>
  <c r="BC415" i="1" s="1"/>
  <c r="BD415" i="1" s="1"/>
  <c r="BE415" i="1" s="1"/>
  <c r="AV268" i="1"/>
  <c r="AW268" i="1" s="1"/>
  <c r="AX268" i="1" s="1"/>
  <c r="AY268" i="1" s="1"/>
  <c r="AZ268" i="1" s="1"/>
  <c r="BA268" i="1" s="1"/>
  <c r="BB268" i="1" s="1"/>
  <c r="BC268" i="1" s="1"/>
  <c r="BD268" i="1" s="1"/>
  <c r="BE268" i="1" s="1"/>
  <c r="BF268" i="1" s="1"/>
  <c r="BG268" i="1" s="1"/>
  <c r="AV504" i="1"/>
  <c r="AW504" i="1" s="1"/>
  <c r="AX504" i="1" s="1"/>
  <c r="AY504" i="1" s="1"/>
  <c r="AZ504" i="1" s="1"/>
  <c r="BA504" i="1" s="1"/>
  <c r="BB504" i="1" s="1"/>
  <c r="BC504" i="1" s="1"/>
  <c r="BD504" i="1" s="1"/>
  <c r="BE504" i="1" s="1"/>
  <c r="BF504" i="1" s="1"/>
  <c r="BJ504" i="1" s="1"/>
  <c r="AV384" i="1"/>
  <c r="AW384" i="1" s="1"/>
  <c r="AX384" i="1" s="1"/>
  <c r="AY384" i="1" s="1"/>
  <c r="AZ384" i="1" s="1"/>
  <c r="BA384" i="1" s="1"/>
  <c r="BB384" i="1" s="1"/>
  <c r="BC384" i="1" s="1"/>
  <c r="BD384" i="1" s="1"/>
  <c r="BE384" i="1" s="1"/>
  <c r="BF384" i="1" s="1"/>
  <c r="BJ384" i="1" s="1"/>
  <c r="AV77" i="1"/>
  <c r="AW77" i="1" s="1"/>
  <c r="AX77" i="1" s="1"/>
  <c r="AY77" i="1" s="1"/>
  <c r="AZ77" i="1" s="1"/>
  <c r="BA77" i="1" s="1"/>
  <c r="BB77" i="1" s="1"/>
  <c r="BC77" i="1" s="1"/>
  <c r="BD77" i="1" s="1"/>
  <c r="BE77" i="1" s="1"/>
  <c r="BF77" i="1" s="1"/>
  <c r="BJ77" i="1" s="1"/>
  <c r="AV346" i="1"/>
  <c r="AW346" i="1" s="1"/>
  <c r="AX346" i="1" s="1"/>
  <c r="AY346" i="1" s="1"/>
  <c r="AZ346" i="1" s="1"/>
  <c r="BA346" i="1" s="1"/>
  <c r="BB346" i="1" s="1"/>
  <c r="BC346" i="1" s="1"/>
  <c r="BD346" i="1" s="1"/>
  <c r="BE346" i="1" s="1"/>
  <c r="BF346" i="1" s="1"/>
  <c r="BJ346" i="1" s="1"/>
  <c r="AV375" i="1"/>
  <c r="AW375" i="1" s="1"/>
  <c r="AX375" i="1" s="1"/>
  <c r="AY375" i="1" s="1"/>
  <c r="AZ375" i="1" s="1"/>
  <c r="BA375" i="1" s="1"/>
  <c r="BB375" i="1" s="1"/>
  <c r="BC375" i="1" s="1"/>
  <c r="BD375" i="1" s="1"/>
  <c r="BE375" i="1" s="1"/>
  <c r="BF375" i="1" s="1"/>
  <c r="BJ375" i="1" s="1"/>
  <c r="AV263" i="1"/>
  <c r="AW263" i="1" s="1"/>
  <c r="AX263" i="1" s="1"/>
  <c r="AY263" i="1" s="1"/>
  <c r="AZ263" i="1" s="1"/>
  <c r="BA263" i="1" s="1"/>
  <c r="BB263" i="1" s="1"/>
  <c r="BC263" i="1" s="1"/>
  <c r="BD263" i="1" s="1"/>
  <c r="BE263" i="1" s="1"/>
  <c r="BF263" i="1" s="1"/>
  <c r="BG263" i="1" s="1"/>
  <c r="AV253" i="1"/>
  <c r="AW253" i="1" s="1"/>
  <c r="AX253" i="1" s="1"/>
  <c r="AY253" i="1" s="1"/>
  <c r="AZ253" i="1" s="1"/>
  <c r="BA253" i="1" s="1"/>
  <c r="BB253" i="1" s="1"/>
  <c r="BC253" i="1" s="1"/>
  <c r="BD253" i="1" s="1"/>
  <c r="BE253" i="1" s="1"/>
  <c r="BF253" i="1" s="1"/>
  <c r="BJ253" i="1" s="1"/>
  <c r="AV374" i="1"/>
  <c r="AW374" i="1" s="1"/>
  <c r="AX374" i="1" s="1"/>
  <c r="AY374" i="1" s="1"/>
  <c r="AZ374" i="1" s="1"/>
  <c r="BA374" i="1" s="1"/>
  <c r="BB374" i="1" s="1"/>
  <c r="BC374" i="1" s="1"/>
  <c r="BD374" i="1" s="1"/>
  <c r="BE374" i="1" s="1"/>
  <c r="BF374" i="1" s="1"/>
  <c r="BJ374" i="1" s="1"/>
  <c r="AV390" i="1"/>
  <c r="AW390" i="1" s="1"/>
  <c r="AX390" i="1" s="1"/>
  <c r="AY390" i="1" s="1"/>
  <c r="AZ390" i="1" s="1"/>
  <c r="BA390" i="1" s="1"/>
  <c r="BB390" i="1" s="1"/>
  <c r="BC390" i="1" s="1"/>
  <c r="BD390" i="1" s="1"/>
  <c r="BE390" i="1" s="1"/>
  <c r="BF390" i="1" s="1"/>
  <c r="BJ390" i="1" s="1"/>
  <c r="AV387" i="1"/>
  <c r="AW387" i="1" s="1"/>
  <c r="AX387" i="1" s="1"/>
  <c r="AY387" i="1" s="1"/>
  <c r="AZ387" i="1" s="1"/>
  <c r="BA387" i="1" s="1"/>
  <c r="BB387" i="1" s="1"/>
  <c r="BC387" i="1" s="1"/>
  <c r="BD387" i="1" s="1"/>
  <c r="BE387" i="1" s="1"/>
  <c r="BF387" i="1" s="1"/>
  <c r="BG387" i="1" s="1"/>
  <c r="AV105" i="1"/>
  <c r="AW105" i="1" s="1"/>
  <c r="AX105" i="1" s="1"/>
  <c r="AY105" i="1" s="1"/>
  <c r="AZ105" i="1" s="1"/>
  <c r="BA105" i="1" s="1"/>
  <c r="BB105" i="1" s="1"/>
  <c r="BC105" i="1" s="1"/>
  <c r="BD105" i="1" s="1"/>
  <c r="BE105" i="1" s="1"/>
  <c r="BF105" i="1" s="1"/>
  <c r="BJ105" i="1" s="1"/>
  <c r="AV388" i="1"/>
  <c r="AW388" i="1" s="1"/>
  <c r="AX388" i="1" s="1"/>
  <c r="AY388" i="1" s="1"/>
  <c r="AZ388" i="1" s="1"/>
  <c r="BA388" i="1" s="1"/>
  <c r="BB388" i="1" s="1"/>
  <c r="BC388" i="1" s="1"/>
  <c r="BD388" i="1" s="1"/>
  <c r="BE388" i="1" s="1"/>
  <c r="BF388" i="1" s="1"/>
  <c r="BJ388" i="1" s="1"/>
  <c r="AV386" i="1"/>
  <c r="AW386" i="1" s="1"/>
  <c r="AX386" i="1" s="1"/>
  <c r="AY386" i="1" s="1"/>
  <c r="AZ386" i="1" s="1"/>
  <c r="BA386" i="1" s="1"/>
  <c r="BB386" i="1" s="1"/>
  <c r="BC386" i="1" s="1"/>
  <c r="BD386" i="1" s="1"/>
  <c r="BE386" i="1" s="1"/>
  <c r="BF386" i="1" s="1"/>
  <c r="BJ386" i="1" s="1"/>
  <c r="AV514" i="1"/>
  <c r="AW514" i="1" s="1"/>
  <c r="AX514" i="1" s="1"/>
  <c r="AY514" i="1" s="1"/>
  <c r="AZ514" i="1" s="1"/>
  <c r="BA514" i="1" s="1"/>
  <c r="BB514" i="1" s="1"/>
  <c r="BC514" i="1" s="1"/>
  <c r="BD514" i="1" s="1"/>
  <c r="BE514" i="1" s="1"/>
  <c r="BF514" i="1" s="1"/>
  <c r="AV395" i="1"/>
  <c r="AW395" i="1" s="1"/>
  <c r="AX395" i="1" s="1"/>
  <c r="AY395" i="1" s="1"/>
  <c r="AZ395" i="1" s="1"/>
  <c r="BA395" i="1" s="1"/>
  <c r="BB395" i="1" s="1"/>
  <c r="BC395" i="1" s="1"/>
  <c r="BD395" i="1" s="1"/>
  <c r="BE395" i="1" s="1"/>
  <c r="BF395" i="1" s="1"/>
  <c r="BJ395" i="1" s="1"/>
  <c r="AV108" i="1"/>
  <c r="AW108" i="1" s="1"/>
  <c r="AX108" i="1" s="1"/>
  <c r="AY108" i="1" s="1"/>
  <c r="AZ108" i="1" s="1"/>
  <c r="BA108" i="1" s="1"/>
  <c r="BB108" i="1" s="1"/>
  <c r="BC108" i="1" s="1"/>
  <c r="BD108" i="1" s="1"/>
  <c r="BE108" i="1" s="1"/>
  <c r="BF108" i="1" s="1"/>
  <c r="BJ108" i="1" s="1"/>
  <c r="AV398" i="1"/>
  <c r="AW398" i="1" s="1"/>
  <c r="AX398" i="1" s="1"/>
  <c r="AY398" i="1" s="1"/>
  <c r="AZ398" i="1" s="1"/>
  <c r="BA398" i="1" s="1"/>
  <c r="BB398" i="1" s="1"/>
  <c r="BC398" i="1" s="1"/>
  <c r="BD398" i="1" s="1"/>
  <c r="BE398" i="1" s="1"/>
  <c r="BF398" i="1" s="1"/>
  <c r="BG398" i="1" s="1"/>
  <c r="AV497" i="1"/>
  <c r="AW497" i="1" s="1"/>
  <c r="AX497" i="1" s="1"/>
  <c r="AY497" i="1" s="1"/>
  <c r="AZ497" i="1" s="1"/>
  <c r="BA497" i="1" s="1"/>
  <c r="BB497" i="1" s="1"/>
  <c r="BC497" i="1" s="1"/>
  <c r="BD497" i="1" s="1"/>
  <c r="BE497" i="1" s="1"/>
  <c r="BF497" i="1" s="1"/>
  <c r="BJ497" i="1" s="1"/>
  <c r="BK497" i="1" s="1"/>
  <c r="BL497" i="1" s="1"/>
  <c r="BI709" i="1"/>
  <c r="F9" i="8" s="1"/>
  <c r="I9" i="8" s="1"/>
  <c r="BG147" i="1"/>
  <c r="BF565" i="1"/>
  <c r="BJ565" i="1" s="1"/>
  <c r="BF276" i="1"/>
  <c r="BJ276" i="1" s="1"/>
  <c r="BF382" i="1"/>
  <c r="BJ382" i="1" s="1"/>
  <c r="BF408" i="1"/>
  <c r="BJ408" i="1" s="1"/>
  <c r="BF415" i="1"/>
  <c r="BG415" i="1" s="1"/>
  <c r="BF258" i="1"/>
  <c r="BJ258" i="1" s="1"/>
  <c r="BF204" i="1"/>
  <c r="BJ204" i="1" s="1"/>
  <c r="BF377" i="1"/>
  <c r="BJ377" i="1" s="1"/>
  <c r="BF21" i="1"/>
  <c r="BJ21" i="1" s="1"/>
  <c r="CK568" i="1"/>
  <c r="CO568" i="1"/>
  <c r="CP568" i="1" s="1"/>
  <c r="CQ568" i="1" s="1"/>
  <c r="CR568" i="1" s="1"/>
  <c r="CS568" i="1" s="1"/>
  <c r="CT568" i="1" s="1"/>
  <c r="CU568" i="1" s="1"/>
  <c r="CV568" i="1" s="1"/>
  <c r="CW568" i="1" s="1"/>
  <c r="CX568" i="1" s="1"/>
  <c r="CY568" i="1" s="1"/>
  <c r="BK199" i="1"/>
  <c r="BL199" i="1" s="1"/>
  <c r="BM199" i="1" s="1"/>
  <c r="BN199" i="1" s="1"/>
  <c r="BO199" i="1" s="1"/>
  <c r="BP199" i="1" s="1"/>
  <c r="BQ199" i="1" s="1"/>
  <c r="BR199" i="1" s="1"/>
  <c r="BS199" i="1" s="1"/>
  <c r="BT199" i="1" s="1"/>
  <c r="BL147" i="1"/>
  <c r="BK580" i="1"/>
  <c r="BD579" i="1"/>
  <c r="BE579" i="1" s="1"/>
  <c r="BJ263" i="1" l="1"/>
  <c r="BK565" i="1"/>
  <c r="BL565" i="1" s="1"/>
  <c r="BM565" i="1" s="1"/>
  <c r="BN565" i="1" s="1"/>
  <c r="BO565" i="1" s="1"/>
  <c r="BP565" i="1" s="1"/>
  <c r="BQ565" i="1" s="1"/>
  <c r="BR565" i="1" s="1"/>
  <c r="BS565" i="1" s="1"/>
  <c r="BT565" i="1" s="1"/>
  <c r="BU565" i="1" s="1"/>
  <c r="BY565" i="1" s="1"/>
  <c r="BZ565" i="1" s="1"/>
  <c r="CA565" i="1" s="1"/>
  <c r="CB565" i="1" s="1"/>
  <c r="CC565" i="1" s="1"/>
  <c r="CD565" i="1" s="1"/>
  <c r="CE565" i="1" s="1"/>
  <c r="CF565" i="1" s="1"/>
  <c r="CG565" i="1" s="1"/>
  <c r="CH565" i="1" s="1"/>
  <c r="CI565" i="1" s="1"/>
  <c r="CJ565" i="1" s="1"/>
  <c r="BG77" i="1"/>
  <c r="BG108" i="1"/>
  <c r="BG375" i="1"/>
  <c r="BG276" i="1"/>
  <c r="BG395" i="1"/>
  <c r="BG504" i="1"/>
  <c r="BG258" i="1"/>
  <c r="BG390" i="1"/>
  <c r="BJ415" i="1"/>
  <c r="BG388" i="1"/>
  <c r="BG76" i="1"/>
  <c r="BG384" i="1"/>
  <c r="BG264" i="1"/>
  <c r="CZ258" i="1"/>
  <c r="BI712" i="1"/>
  <c r="BG374" i="1"/>
  <c r="BG21" i="1"/>
  <c r="BJ4" i="1"/>
  <c r="BG355" i="1"/>
  <c r="BG346" i="1"/>
  <c r="BJ387" i="1"/>
  <c r="BG382" i="1"/>
  <c r="BG253" i="1"/>
  <c r="BJ268" i="1"/>
  <c r="BG408" i="1"/>
  <c r="BG386" i="1"/>
  <c r="BG421" i="1"/>
  <c r="BU313" i="1"/>
  <c r="BY313" i="1" s="1"/>
  <c r="BZ313" i="1" s="1"/>
  <c r="CA313" i="1" s="1"/>
  <c r="CB313" i="1" s="1"/>
  <c r="CC313" i="1" s="1"/>
  <c r="CD313" i="1" s="1"/>
  <c r="CE313" i="1" s="1"/>
  <c r="CF313" i="1" s="1"/>
  <c r="CG313" i="1" s="1"/>
  <c r="CH313" i="1" s="1"/>
  <c r="CI313" i="1" s="1"/>
  <c r="CJ313" i="1" s="1"/>
  <c r="BU199" i="1"/>
  <c r="BY199" i="1" s="1"/>
  <c r="BZ199" i="1" s="1"/>
  <c r="CA199" i="1" s="1"/>
  <c r="CB199" i="1" s="1"/>
  <c r="CC199" i="1" s="1"/>
  <c r="CD199" i="1" s="1"/>
  <c r="CE199" i="1" s="1"/>
  <c r="CF199" i="1" s="1"/>
  <c r="CG199" i="1" s="1"/>
  <c r="CH199" i="1" s="1"/>
  <c r="CI199" i="1" s="1"/>
  <c r="CJ199" i="1" s="1"/>
  <c r="BG204" i="1"/>
  <c r="BU421" i="1"/>
  <c r="BY421" i="1" s="1"/>
  <c r="BZ421" i="1" s="1"/>
  <c r="CA421" i="1" s="1"/>
  <c r="CB421" i="1" s="1"/>
  <c r="CC421" i="1" s="1"/>
  <c r="CD421" i="1" s="1"/>
  <c r="CE421" i="1" s="1"/>
  <c r="CF421" i="1" s="1"/>
  <c r="CG421" i="1" s="1"/>
  <c r="CH421" i="1" s="1"/>
  <c r="CI421" i="1" s="1"/>
  <c r="CJ421" i="1" s="1"/>
  <c r="CZ497" i="1"/>
  <c r="BG377" i="1"/>
  <c r="BG497" i="1"/>
  <c r="BG105" i="1"/>
  <c r="BJ417" i="1"/>
  <c r="CZ253" i="1"/>
  <c r="BJ398" i="1"/>
  <c r="BF578" i="1"/>
  <c r="BJ578" i="1" s="1"/>
  <c r="BF579" i="1"/>
  <c r="BG579" i="1" s="1"/>
  <c r="BJ514" i="1"/>
  <c r="BG514" i="1"/>
  <c r="CZ568" i="1"/>
  <c r="BV497" i="1"/>
  <c r="BL580" i="1"/>
  <c r="BM580" i="1" s="1"/>
  <c r="BN580" i="1" s="1"/>
  <c r="BO580" i="1" s="1"/>
  <c r="BP580" i="1" s="1"/>
  <c r="BQ580" i="1" s="1"/>
  <c r="BR580" i="1" s="1"/>
  <c r="BS580" i="1" s="1"/>
  <c r="BT580" i="1" s="1"/>
  <c r="BM147" i="1"/>
  <c r="BN147" i="1" s="1"/>
  <c r="BO147" i="1" s="1"/>
  <c r="BP147" i="1" s="1"/>
  <c r="BQ147" i="1" s="1"/>
  <c r="BR147" i="1" s="1"/>
  <c r="BS147" i="1" s="1"/>
  <c r="BT147" i="1" s="1"/>
  <c r="BK105" i="1"/>
  <c r="BK355" i="1"/>
  <c r="BK386" i="1"/>
  <c r="BK382" i="1"/>
  <c r="BK21" i="1"/>
  <c r="BK377" i="1"/>
  <c r="BK395" i="1"/>
  <c r="BK408" i="1"/>
  <c r="BK375" i="1"/>
  <c r="BK384" i="1"/>
  <c r="BK258" i="1"/>
  <c r="BK388" i="1"/>
  <c r="BK76" i="1"/>
  <c r="BK374" i="1"/>
  <c r="BK264" i="1"/>
  <c r="BK204" i="1"/>
  <c r="BK390" i="1"/>
  <c r="BK263" i="1"/>
  <c r="BK504" i="1"/>
  <c r="BK77" i="1"/>
  <c r="BK253" i="1"/>
  <c r="BK108" i="1"/>
  <c r="BK276" i="1"/>
  <c r="BK346" i="1"/>
  <c r="E587" i="5"/>
  <c r="E586" i="5"/>
  <c r="E585" i="5"/>
  <c r="E584" i="5"/>
  <c r="E583" i="5"/>
  <c r="E582" i="5"/>
  <c r="E581" i="5"/>
  <c r="E580" i="5"/>
  <c r="E579" i="5"/>
  <c r="E578" i="5"/>
  <c r="E577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7" i="5"/>
  <c r="E516" i="5"/>
  <c r="E515" i="5"/>
  <c r="E514" i="5"/>
  <c r="E513" i="5"/>
  <c r="E512" i="5"/>
  <c r="E510" i="5"/>
  <c r="E509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4" i="5"/>
  <c r="E153" i="5"/>
  <c r="E152" i="5"/>
  <c r="E151" i="5"/>
  <c r="E150" i="5"/>
  <c r="E149" i="5"/>
  <c r="E148" i="5"/>
  <c r="E147" i="5"/>
  <c r="H146" i="5"/>
  <c r="M146" i="5" s="1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H99" i="5"/>
  <c r="M99" i="5" s="1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H28" i="5"/>
  <c r="E28" i="5"/>
  <c r="E27" i="5"/>
  <c r="H26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6" i="5"/>
  <c r="E5" i="5"/>
  <c r="CN421" i="1" l="1"/>
  <c r="CN565" i="1"/>
  <c r="CO565" i="1" s="1"/>
  <c r="CP565" i="1" s="1"/>
  <c r="CQ565" i="1" s="1"/>
  <c r="CR565" i="1" s="1"/>
  <c r="CS565" i="1" s="1"/>
  <c r="CT565" i="1" s="1"/>
  <c r="CU565" i="1" s="1"/>
  <c r="CV565" i="1" s="1"/>
  <c r="CW565" i="1" s="1"/>
  <c r="CX565" i="1" s="1"/>
  <c r="CY565" i="1" s="1"/>
  <c r="CN199" i="1"/>
  <c r="CO199" i="1" s="1"/>
  <c r="CP199" i="1" s="1"/>
  <c r="CQ199" i="1" s="1"/>
  <c r="CR199" i="1" s="1"/>
  <c r="CS199" i="1" s="1"/>
  <c r="CT199" i="1" s="1"/>
  <c r="CU199" i="1" s="1"/>
  <c r="CV199" i="1" s="1"/>
  <c r="CW199" i="1" s="1"/>
  <c r="CX199" i="1" s="1"/>
  <c r="CY199" i="1" s="1"/>
  <c r="CN313" i="1"/>
  <c r="CO313" i="1" s="1"/>
  <c r="CP313" i="1" s="1"/>
  <c r="CQ313" i="1" s="1"/>
  <c r="CR313" i="1" s="1"/>
  <c r="CS313" i="1" s="1"/>
  <c r="CT313" i="1" s="1"/>
  <c r="CU313" i="1" s="1"/>
  <c r="CV313" i="1" s="1"/>
  <c r="CW313" i="1" s="1"/>
  <c r="CX313" i="1" s="1"/>
  <c r="CY313" i="1" s="1"/>
  <c r="BK514" i="1"/>
  <c r="BL514" i="1" s="1"/>
  <c r="BM514" i="1" s="1"/>
  <c r="BN514" i="1" s="1"/>
  <c r="BO514" i="1" s="1"/>
  <c r="BP514" i="1" s="1"/>
  <c r="BQ514" i="1" s="1"/>
  <c r="BR514" i="1" s="1"/>
  <c r="BS514" i="1" s="1"/>
  <c r="BT514" i="1" s="1"/>
  <c r="BK268" i="1"/>
  <c r="BL268" i="1" s="1"/>
  <c r="BM268" i="1" s="1"/>
  <c r="BN268" i="1" s="1"/>
  <c r="BO268" i="1" s="1"/>
  <c r="BP268" i="1" s="1"/>
  <c r="BQ268" i="1" s="1"/>
  <c r="BR268" i="1" s="1"/>
  <c r="BS268" i="1" s="1"/>
  <c r="BT268" i="1" s="1"/>
  <c r="BK4" i="1"/>
  <c r="BK398" i="1"/>
  <c r="BK387" i="1"/>
  <c r="BL387" i="1" s="1"/>
  <c r="BM387" i="1" s="1"/>
  <c r="BN387" i="1" s="1"/>
  <c r="BO387" i="1" s="1"/>
  <c r="BP387" i="1" s="1"/>
  <c r="BQ387" i="1" s="1"/>
  <c r="BR387" i="1" s="1"/>
  <c r="BS387" i="1" s="1"/>
  <c r="BT387" i="1" s="1"/>
  <c r="BK415" i="1"/>
  <c r="BL415" i="1" s="1"/>
  <c r="BM415" i="1" s="1"/>
  <c r="BN415" i="1" s="1"/>
  <c r="BO415" i="1" s="1"/>
  <c r="BP415" i="1" s="1"/>
  <c r="BQ415" i="1" s="1"/>
  <c r="BR415" i="1" s="1"/>
  <c r="BS415" i="1" s="1"/>
  <c r="BT415" i="1" s="1"/>
  <c r="BK417" i="1"/>
  <c r="BG578" i="1"/>
  <c r="BJ579" i="1"/>
  <c r="BV421" i="1"/>
  <c r="BU147" i="1"/>
  <c r="BY147" i="1" s="1"/>
  <c r="BZ147" i="1" s="1"/>
  <c r="CA147" i="1" s="1"/>
  <c r="CB147" i="1" s="1"/>
  <c r="CC147" i="1" s="1"/>
  <c r="CD147" i="1" s="1"/>
  <c r="CE147" i="1" s="1"/>
  <c r="CF147" i="1" s="1"/>
  <c r="CG147" i="1" s="1"/>
  <c r="CH147" i="1" s="1"/>
  <c r="CI147" i="1" s="1"/>
  <c r="CJ147" i="1" s="1"/>
  <c r="BU580" i="1"/>
  <c r="BY580" i="1" s="1"/>
  <c r="BZ580" i="1" s="1"/>
  <c r="CA580" i="1" s="1"/>
  <c r="CB580" i="1" s="1"/>
  <c r="CC580" i="1" s="1"/>
  <c r="CD580" i="1" s="1"/>
  <c r="CE580" i="1" s="1"/>
  <c r="CF580" i="1" s="1"/>
  <c r="CG580" i="1" s="1"/>
  <c r="CH580" i="1" s="1"/>
  <c r="CI580" i="1" s="1"/>
  <c r="CJ580" i="1" s="1"/>
  <c r="BU514" i="1"/>
  <c r="BY514" i="1" s="1"/>
  <c r="BZ514" i="1" s="1"/>
  <c r="CA514" i="1" s="1"/>
  <c r="CB514" i="1" s="1"/>
  <c r="CC514" i="1" s="1"/>
  <c r="CD514" i="1" s="1"/>
  <c r="CE514" i="1" s="1"/>
  <c r="CF514" i="1" s="1"/>
  <c r="CG514" i="1" s="1"/>
  <c r="CH514" i="1" s="1"/>
  <c r="CI514" i="1" s="1"/>
  <c r="CJ514" i="1" s="1"/>
  <c r="CK421" i="1"/>
  <c r="CO421" i="1"/>
  <c r="CP421" i="1" s="1"/>
  <c r="CQ421" i="1" s="1"/>
  <c r="CR421" i="1" s="1"/>
  <c r="CS421" i="1" s="1"/>
  <c r="CT421" i="1" s="1"/>
  <c r="CU421" i="1" s="1"/>
  <c r="CV421" i="1" s="1"/>
  <c r="CW421" i="1" s="1"/>
  <c r="CX421" i="1" s="1"/>
  <c r="CY421" i="1" s="1"/>
  <c r="BL108" i="1"/>
  <c r="BL264" i="1"/>
  <c r="BL384" i="1"/>
  <c r="BM384" i="1" s="1"/>
  <c r="BN384" i="1" s="1"/>
  <c r="BO384" i="1" s="1"/>
  <c r="BP384" i="1" s="1"/>
  <c r="BQ384" i="1" s="1"/>
  <c r="BR384" i="1" s="1"/>
  <c r="BS384" i="1" s="1"/>
  <c r="BT384" i="1" s="1"/>
  <c r="BL386" i="1"/>
  <c r="BL374" i="1"/>
  <c r="BM374" i="1" s="1"/>
  <c r="BN374" i="1" s="1"/>
  <c r="BO374" i="1" s="1"/>
  <c r="BP374" i="1" s="1"/>
  <c r="BQ374" i="1" s="1"/>
  <c r="BR374" i="1" s="1"/>
  <c r="BS374" i="1" s="1"/>
  <c r="BT374" i="1" s="1"/>
  <c r="BL375" i="1"/>
  <c r="BM375" i="1" s="1"/>
  <c r="BN375" i="1" s="1"/>
  <c r="BO375" i="1" s="1"/>
  <c r="BP375" i="1" s="1"/>
  <c r="BQ375" i="1" s="1"/>
  <c r="BR375" i="1" s="1"/>
  <c r="BS375" i="1" s="1"/>
  <c r="BT375" i="1" s="1"/>
  <c r="BL355" i="1"/>
  <c r="BM355" i="1" s="1"/>
  <c r="BN355" i="1" s="1"/>
  <c r="BO355" i="1" s="1"/>
  <c r="BP355" i="1" s="1"/>
  <c r="BQ355" i="1" s="1"/>
  <c r="BR355" i="1" s="1"/>
  <c r="BS355" i="1" s="1"/>
  <c r="BT355" i="1" s="1"/>
  <c r="BL253" i="1"/>
  <c r="BM253" i="1" s="1"/>
  <c r="BN253" i="1" s="1"/>
  <c r="BV253" i="1" s="1"/>
  <c r="BL76" i="1"/>
  <c r="BM76" i="1" s="1"/>
  <c r="BN76" i="1" s="1"/>
  <c r="BO76" i="1" s="1"/>
  <c r="BP76" i="1" s="1"/>
  <c r="BQ76" i="1" s="1"/>
  <c r="BR76" i="1" s="1"/>
  <c r="BS76" i="1" s="1"/>
  <c r="BT76" i="1" s="1"/>
  <c r="BL408" i="1"/>
  <c r="BM408" i="1" s="1"/>
  <c r="BN408" i="1" s="1"/>
  <c r="BO408" i="1" s="1"/>
  <c r="BP408" i="1" s="1"/>
  <c r="BQ408" i="1" s="1"/>
  <c r="BR408" i="1" s="1"/>
  <c r="BS408" i="1" s="1"/>
  <c r="BT408" i="1" s="1"/>
  <c r="BL105" i="1"/>
  <c r="BM105" i="1" s="1"/>
  <c r="BN105" i="1" s="1"/>
  <c r="BO105" i="1" s="1"/>
  <c r="BP105" i="1" s="1"/>
  <c r="BQ105" i="1" s="1"/>
  <c r="BR105" i="1" s="1"/>
  <c r="BS105" i="1" s="1"/>
  <c r="BT105" i="1" s="1"/>
  <c r="BL77" i="1"/>
  <c r="BM77" i="1" s="1"/>
  <c r="BN77" i="1" s="1"/>
  <c r="BO77" i="1" s="1"/>
  <c r="BP77" i="1" s="1"/>
  <c r="BQ77" i="1" s="1"/>
  <c r="BR77" i="1" s="1"/>
  <c r="BS77" i="1" s="1"/>
  <c r="BT77" i="1" s="1"/>
  <c r="BL388" i="1"/>
  <c r="BM388" i="1" s="1"/>
  <c r="BN388" i="1" s="1"/>
  <c r="BO388" i="1" s="1"/>
  <c r="BP388" i="1" s="1"/>
  <c r="BQ388" i="1" s="1"/>
  <c r="BR388" i="1" s="1"/>
  <c r="BS388" i="1" s="1"/>
  <c r="BT388" i="1" s="1"/>
  <c r="BL4" i="1"/>
  <c r="BM4" i="1" s="1"/>
  <c r="BN4" i="1" s="1"/>
  <c r="BO4" i="1" s="1"/>
  <c r="BP4" i="1" s="1"/>
  <c r="BQ4" i="1" s="1"/>
  <c r="BR4" i="1" s="1"/>
  <c r="BS4" i="1" s="1"/>
  <c r="BT4" i="1" s="1"/>
  <c r="BL504" i="1"/>
  <c r="BM504" i="1" s="1"/>
  <c r="BN504" i="1" s="1"/>
  <c r="BO504" i="1" s="1"/>
  <c r="BP504" i="1" s="1"/>
  <c r="BQ504" i="1" s="1"/>
  <c r="BR504" i="1" s="1"/>
  <c r="BS504" i="1" s="1"/>
  <c r="BT504" i="1" s="1"/>
  <c r="BL395" i="1"/>
  <c r="BM395" i="1" s="1"/>
  <c r="BN395" i="1" s="1"/>
  <c r="BO395" i="1" s="1"/>
  <c r="BP395" i="1" s="1"/>
  <c r="BQ395" i="1" s="1"/>
  <c r="BR395" i="1" s="1"/>
  <c r="BS395" i="1" s="1"/>
  <c r="BT395" i="1" s="1"/>
  <c r="BL263" i="1"/>
  <c r="BM263" i="1" s="1"/>
  <c r="BN263" i="1" s="1"/>
  <c r="BO263" i="1" s="1"/>
  <c r="BP263" i="1" s="1"/>
  <c r="BQ263" i="1" s="1"/>
  <c r="BR263" i="1" s="1"/>
  <c r="BS263" i="1" s="1"/>
  <c r="BT263" i="1" s="1"/>
  <c r="BL398" i="1"/>
  <c r="BM398" i="1" s="1"/>
  <c r="BN398" i="1" s="1"/>
  <c r="BO398" i="1" s="1"/>
  <c r="BP398" i="1" s="1"/>
  <c r="BQ398" i="1" s="1"/>
  <c r="BR398" i="1" s="1"/>
  <c r="BS398" i="1" s="1"/>
  <c r="BT398" i="1" s="1"/>
  <c r="BL377" i="1"/>
  <c r="BM377" i="1" s="1"/>
  <c r="BN377" i="1" s="1"/>
  <c r="BO377" i="1" s="1"/>
  <c r="BP377" i="1" s="1"/>
  <c r="BQ377" i="1" s="1"/>
  <c r="BR377" i="1" s="1"/>
  <c r="BS377" i="1" s="1"/>
  <c r="BT377" i="1" s="1"/>
  <c r="BL346" i="1"/>
  <c r="BM346" i="1" s="1"/>
  <c r="BN346" i="1" s="1"/>
  <c r="BO346" i="1" s="1"/>
  <c r="BP346" i="1" s="1"/>
  <c r="BQ346" i="1" s="1"/>
  <c r="BR346" i="1" s="1"/>
  <c r="BS346" i="1" s="1"/>
  <c r="BT346" i="1" s="1"/>
  <c r="BL390" i="1"/>
  <c r="BM390" i="1" s="1"/>
  <c r="BN390" i="1" s="1"/>
  <c r="BO390" i="1" s="1"/>
  <c r="BP390" i="1" s="1"/>
  <c r="BQ390" i="1" s="1"/>
  <c r="BR390" i="1" s="1"/>
  <c r="BS390" i="1" s="1"/>
  <c r="BT390" i="1" s="1"/>
  <c r="BL258" i="1"/>
  <c r="BM258" i="1" s="1"/>
  <c r="BN258" i="1" s="1"/>
  <c r="BV258" i="1" s="1"/>
  <c r="BL21" i="1"/>
  <c r="BM21" i="1" s="1"/>
  <c r="BN21" i="1" s="1"/>
  <c r="BO21" i="1" s="1"/>
  <c r="BP21" i="1" s="1"/>
  <c r="BQ21" i="1" s="1"/>
  <c r="BR21" i="1" s="1"/>
  <c r="BS21" i="1" s="1"/>
  <c r="BT21" i="1" s="1"/>
  <c r="BL276" i="1"/>
  <c r="BM276" i="1" s="1"/>
  <c r="BN276" i="1" s="1"/>
  <c r="BO276" i="1" s="1"/>
  <c r="BP276" i="1" s="1"/>
  <c r="BQ276" i="1" s="1"/>
  <c r="BR276" i="1" s="1"/>
  <c r="BS276" i="1" s="1"/>
  <c r="BT276" i="1" s="1"/>
  <c r="BL204" i="1"/>
  <c r="BM204" i="1" s="1"/>
  <c r="BN204" i="1" s="1"/>
  <c r="BO204" i="1" s="1"/>
  <c r="BP204" i="1" s="1"/>
  <c r="BQ204" i="1" s="1"/>
  <c r="BR204" i="1" s="1"/>
  <c r="BS204" i="1" s="1"/>
  <c r="BT204" i="1" s="1"/>
  <c r="BL417" i="1"/>
  <c r="BM417" i="1" s="1"/>
  <c r="BN417" i="1" s="1"/>
  <c r="BO417" i="1" s="1"/>
  <c r="BP417" i="1" s="1"/>
  <c r="BQ417" i="1" s="1"/>
  <c r="BR417" i="1" s="1"/>
  <c r="BS417" i="1" s="1"/>
  <c r="BT417" i="1" s="1"/>
  <c r="BL382" i="1"/>
  <c r="BK579" i="1"/>
  <c r="BK578" i="1"/>
  <c r="H12" i="5"/>
  <c r="H16" i="5"/>
  <c r="M16" i="5" s="1"/>
  <c r="H20" i="5"/>
  <c r="H22" i="5"/>
  <c r="M22" i="5" s="1"/>
  <c r="H38" i="5"/>
  <c r="H48" i="5"/>
  <c r="M48" i="5" s="1"/>
  <c r="H51" i="5"/>
  <c r="M51" i="5" s="1"/>
  <c r="H55" i="5"/>
  <c r="M55" i="5" s="1"/>
  <c r="H59" i="5"/>
  <c r="M59" i="5" s="1"/>
  <c r="H63" i="5"/>
  <c r="M63" i="5" s="1"/>
  <c r="H67" i="5"/>
  <c r="M67" i="5" s="1"/>
  <c r="H71" i="5"/>
  <c r="M71" i="5" s="1"/>
  <c r="H75" i="5"/>
  <c r="H79" i="5"/>
  <c r="M79" i="5" s="1"/>
  <c r="H83" i="5"/>
  <c r="M83" i="5" s="1"/>
  <c r="H87" i="5"/>
  <c r="M87" i="5" s="1"/>
  <c r="H91" i="5"/>
  <c r="M91" i="5" s="1"/>
  <c r="H95" i="5"/>
  <c r="M95" i="5" s="1"/>
  <c r="H102" i="5"/>
  <c r="M102" i="5" s="1"/>
  <c r="H106" i="5"/>
  <c r="M106" i="5" s="1"/>
  <c r="H110" i="5"/>
  <c r="M110" i="5" s="1"/>
  <c r="H116" i="5"/>
  <c r="M116" i="5" s="1"/>
  <c r="H126" i="5"/>
  <c r="M126" i="5" s="1"/>
  <c r="H130" i="5"/>
  <c r="M130" i="5" s="1"/>
  <c r="H134" i="5"/>
  <c r="M134" i="5" s="1"/>
  <c r="H138" i="5"/>
  <c r="M138" i="5" s="1"/>
  <c r="H142" i="5"/>
  <c r="M142" i="5" s="1"/>
  <c r="N146" i="5"/>
  <c r="O146" i="5"/>
  <c r="P146" i="5" s="1"/>
  <c r="Q146" i="5" s="1"/>
  <c r="R146" i="5" s="1"/>
  <c r="S146" i="5" s="1"/>
  <c r="T146" i="5" s="1"/>
  <c r="U146" i="5" s="1"/>
  <c r="V146" i="5" s="1"/>
  <c r="W146" i="5" s="1"/>
  <c r="X146" i="5" s="1"/>
  <c r="Y146" i="5" s="1"/>
  <c r="Z146" i="5" s="1"/>
  <c r="AD146" i="5" s="1"/>
  <c r="H149" i="5"/>
  <c r="M149" i="5" s="1"/>
  <c r="H153" i="5"/>
  <c r="M153" i="5" s="1"/>
  <c r="H156" i="5"/>
  <c r="M156" i="5" s="1"/>
  <c r="H160" i="5"/>
  <c r="M160" i="5" s="1"/>
  <c r="H163" i="5"/>
  <c r="M163" i="5" s="1"/>
  <c r="H169" i="5"/>
  <c r="M169" i="5" s="1"/>
  <c r="H181" i="5"/>
  <c r="M181" i="5" s="1"/>
  <c r="H185" i="5"/>
  <c r="M185" i="5" s="1"/>
  <c r="H189" i="5"/>
  <c r="M189" i="5" s="1"/>
  <c r="H195" i="5"/>
  <c r="M195" i="5" s="1"/>
  <c r="H201" i="5"/>
  <c r="M201" i="5" s="1"/>
  <c r="H205" i="5"/>
  <c r="M205" i="5" s="1"/>
  <c r="H209" i="5"/>
  <c r="M209" i="5" s="1"/>
  <c r="H213" i="5"/>
  <c r="M213" i="5" s="1"/>
  <c r="H217" i="5"/>
  <c r="M217" i="5" s="1"/>
  <c r="H221" i="5"/>
  <c r="M221" i="5" s="1"/>
  <c r="H225" i="5"/>
  <c r="M225" i="5" s="1"/>
  <c r="H229" i="5"/>
  <c r="M229" i="5" s="1"/>
  <c r="H233" i="5"/>
  <c r="M233" i="5" s="1"/>
  <c r="H237" i="5"/>
  <c r="M237" i="5" s="1"/>
  <c r="H241" i="5"/>
  <c r="M241" i="5" s="1"/>
  <c r="H245" i="5"/>
  <c r="M245" i="5" s="1"/>
  <c r="H249" i="5"/>
  <c r="M249" i="5" s="1"/>
  <c r="H253" i="5"/>
  <c r="M253" i="5" s="1"/>
  <c r="H257" i="5"/>
  <c r="M257" i="5" s="1"/>
  <c r="H261" i="5"/>
  <c r="M261" i="5" s="1"/>
  <c r="H265" i="5"/>
  <c r="M265" i="5" s="1"/>
  <c r="H269" i="5"/>
  <c r="M269" i="5" s="1"/>
  <c r="H273" i="5"/>
  <c r="M273" i="5" s="1"/>
  <c r="H277" i="5"/>
  <c r="M277" i="5" s="1"/>
  <c r="H281" i="5"/>
  <c r="M281" i="5" s="1"/>
  <c r="H286" i="5"/>
  <c r="M286" i="5" s="1"/>
  <c r="H290" i="5"/>
  <c r="H300" i="5"/>
  <c r="M300" i="5" s="1"/>
  <c r="H317" i="5"/>
  <c r="M317" i="5" s="1"/>
  <c r="H329" i="5"/>
  <c r="H333" i="5"/>
  <c r="H337" i="5"/>
  <c r="M337" i="5" s="1"/>
  <c r="H346" i="5"/>
  <c r="M346" i="5" s="1"/>
  <c r="H349" i="5"/>
  <c r="M349" i="5" s="1"/>
  <c r="H353" i="5"/>
  <c r="M353" i="5" s="1"/>
  <c r="H357" i="5"/>
  <c r="M357" i="5" s="1"/>
  <c r="H361" i="5"/>
  <c r="M361" i="5" s="1"/>
  <c r="H365" i="5"/>
  <c r="M365" i="5" s="1"/>
  <c r="H368" i="5"/>
  <c r="H386" i="5"/>
  <c r="M386" i="5" s="1"/>
  <c r="H401" i="5"/>
  <c r="M401" i="5" s="1"/>
  <c r="H404" i="5"/>
  <c r="M404" i="5" s="1"/>
  <c r="H413" i="5"/>
  <c r="M413" i="5" s="1"/>
  <c r="H418" i="5"/>
  <c r="M418" i="5" s="1"/>
  <c r="H422" i="5"/>
  <c r="M422" i="5" s="1"/>
  <c r="H429" i="5"/>
  <c r="M429" i="5" s="1"/>
  <c r="H433" i="5"/>
  <c r="M433" i="5" s="1"/>
  <c r="H437" i="5"/>
  <c r="M437" i="5" s="1"/>
  <c r="H441" i="5"/>
  <c r="M441" i="5" s="1"/>
  <c r="H445" i="5"/>
  <c r="M445" i="5" s="1"/>
  <c r="H449" i="5"/>
  <c r="M449" i="5" s="1"/>
  <c r="H453" i="5"/>
  <c r="M453" i="5" s="1"/>
  <c r="H457" i="5"/>
  <c r="M457" i="5" s="1"/>
  <c r="H461" i="5"/>
  <c r="M461" i="5" s="1"/>
  <c r="H465" i="5"/>
  <c r="M465" i="5" s="1"/>
  <c r="H469" i="5"/>
  <c r="M469" i="5" s="1"/>
  <c r="H473" i="5"/>
  <c r="M473" i="5" s="1"/>
  <c r="H477" i="5"/>
  <c r="M477" i="5" s="1"/>
  <c r="H481" i="5"/>
  <c r="M481" i="5" s="1"/>
  <c r="H485" i="5"/>
  <c r="M485" i="5" s="1"/>
  <c r="H489" i="5"/>
  <c r="M489" i="5" s="1"/>
  <c r="H493" i="5"/>
  <c r="M493" i="5" s="1"/>
  <c r="H497" i="5"/>
  <c r="M497" i="5" s="1"/>
  <c r="H505" i="5"/>
  <c r="M505" i="5" s="1"/>
  <c r="H515" i="5"/>
  <c r="M515" i="5" s="1"/>
  <c r="H521" i="5"/>
  <c r="M521" i="5" s="1"/>
  <c r="H525" i="5"/>
  <c r="M525" i="5" s="1"/>
  <c r="H529" i="5"/>
  <c r="M529" i="5" s="1"/>
  <c r="O529" i="5" s="1"/>
  <c r="H533" i="5"/>
  <c r="M533" i="5" s="1"/>
  <c r="H537" i="5"/>
  <c r="M537" i="5" s="1"/>
  <c r="O537" i="5" s="1"/>
  <c r="H541" i="5"/>
  <c r="M541" i="5" s="1"/>
  <c r="H545" i="5"/>
  <c r="M545" i="5" s="1"/>
  <c r="O545" i="5" s="1"/>
  <c r="H549" i="5"/>
  <c r="M549" i="5" s="1"/>
  <c r="O549" i="5" s="1"/>
  <c r="H553" i="5"/>
  <c r="M553" i="5" s="1"/>
  <c r="H557" i="5"/>
  <c r="H561" i="5"/>
  <c r="M561" i="5" s="1"/>
  <c r="H568" i="5"/>
  <c r="M568" i="5" s="1"/>
  <c r="H572" i="5"/>
  <c r="M572" i="5" s="1"/>
  <c r="H584" i="5"/>
  <c r="M584" i="5" s="1"/>
  <c r="H11" i="5"/>
  <c r="H24" i="5"/>
  <c r="H44" i="5"/>
  <c r="M44" i="5" s="1"/>
  <c r="H47" i="5"/>
  <c r="H50" i="5"/>
  <c r="M50" i="5" s="1"/>
  <c r="H62" i="5"/>
  <c r="M62" i="5" s="1"/>
  <c r="H70" i="5"/>
  <c r="M70" i="5" s="1"/>
  <c r="H74" i="5"/>
  <c r="M74" i="5" s="1"/>
  <c r="H78" i="5"/>
  <c r="M78" i="5" s="1"/>
  <c r="H82" i="5"/>
  <c r="M82" i="5" s="1"/>
  <c r="H86" i="5"/>
  <c r="M86" i="5" s="1"/>
  <c r="H90" i="5"/>
  <c r="M90" i="5" s="1"/>
  <c r="H94" i="5"/>
  <c r="M94" i="5" s="1"/>
  <c r="H101" i="5"/>
  <c r="M101" i="5" s="1"/>
  <c r="H105" i="5"/>
  <c r="M105" i="5" s="1"/>
  <c r="H109" i="5"/>
  <c r="M109" i="5" s="1"/>
  <c r="H113" i="5"/>
  <c r="M113" i="5" s="1"/>
  <c r="H115" i="5"/>
  <c r="M115" i="5" s="1"/>
  <c r="H125" i="5"/>
  <c r="M125" i="5" s="1"/>
  <c r="H129" i="5"/>
  <c r="M129" i="5" s="1"/>
  <c r="H133" i="5"/>
  <c r="M133" i="5" s="1"/>
  <c r="H137" i="5"/>
  <c r="M137" i="5" s="1"/>
  <c r="H141" i="5"/>
  <c r="M141" i="5" s="1"/>
  <c r="H145" i="5"/>
  <c r="M145" i="5" s="1"/>
  <c r="H152" i="5"/>
  <c r="M152" i="5" s="1"/>
  <c r="H159" i="5"/>
  <c r="M159" i="5" s="1"/>
  <c r="H162" i="5"/>
  <c r="M162" i="5" s="1"/>
  <c r="H168" i="5"/>
  <c r="M168" i="5" s="1"/>
  <c r="H172" i="5"/>
  <c r="M172" i="5" s="1"/>
  <c r="H175" i="5"/>
  <c r="M175" i="5" s="1"/>
  <c r="H184" i="5"/>
  <c r="M184" i="5" s="1"/>
  <c r="H188" i="5"/>
  <c r="M188" i="5" s="1"/>
  <c r="H192" i="5"/>
  <c r="M192" i="5" s="1"/>
  <c r="H197" i="5"/>
  <c r="M197" i="5" s="1"/>
  <c r="H204" i="5"/>
  <c r="M204" i="5" s="1"/>
  <c r="H208" i="5"/>
  <c r="M208" i="5" s="1"/>
  <c r="H212" i="5"/>
  <c r="M212" i="5" s="1"/>
  <c r="H216" i="5"/>
  <c r="M216" i="5" s="1"/>
  <c r="H220" i="5"/>
  <c r="M220" i="5" s="1"/>
  <c r="H224" i="5"/>
  <c r="H228" i="5"/>
  <c r="M228" i="5" s="1"/>
  <c r="H232" i="5"/>
  <c r="M232" i="5" s="1"/>
  <c r="H236" i="5"/>
  <c r="M236" i="5" s="1"/>
  <c r="H240" i="5"/>
  <c r="M240" i="5" s="1"/>
  <c r="H244" i="5"/>
  <c r="M244" i="5" s="1"/>
  <c r="H248" i="5"/>
  <c r="M248" i="5" s="1"/>
  <c r="H252" i="5"/>
  <c r="M252" i="5" s="1"/>
  <c r="H256" i="5"/>
  <c r="M256" i="5" s="1"/>
  <c r="H260" i="5"/>
  <c r="M260" i="5" s="1"/>
  <c r="H264" i="5"/>
  <c r="M264" i="5" s="1"/>
  <c r="H268" i="5"/>
  <c r="M268" i="5" s="1"/>
  <c r="H272" i="5"/>
  <c r="M272" i="5" s="1"/>
  <c r="H276" i="5"/>
  <c r="M276" i="5" s="1"/>
  <c r="H280" i="5"/>
  <c r="M280" i="5" s="1"/>
  <c r="H289" i="5"/>
  <c r="H296" i="5"/>
  <c r="M296" i="5" s="1"/>
  <c r="H299" i="5"/>
  <c r="M299" i="5" s="1"/>
  <c r="H303" i="5"/>
  <c r="M303" i="5" s="1"/>
  <c r="H316" i="5"/>
  <c r="M316" i="5" s="1"/>
  <c r="H328" i="5"/>
  <c r="H332" i="5"/>
  <c r="H336" i="5"/>
  <c r="H340" i="5"/>
  <c r="M340" i="5" s="1"/>
  <c r="H345" i="5"/>
  <c r="M345" i="5" s="1"/>
  <c r="H352" i="5"/>
  <c r="M352" i="5" s="1"/>
  <c r="H356" i="5"/>
  <c r="M356" i="5" s="1"/>
  <c r="H360" i="5"/>
  <c r="M360" i="5" s="1"/>
  <c r="H364" i="5"/>
  <c r="M364" i="5" s="1"/>
  <c r="H376" i="5"/>
  <c r="M376" i="5" s="1"/>
  <c r="H385" i="5"/>
  <c r="M385" i="5" s="1"/>
  <c r="H389" i="5"/>
  <c r="M389" i="5" s="1"/>
  <c r="H397" i="5"/>
  <c r="M397" i="5" s="1"/>
  <c r="H400" i="5"/>
  <c r="M400" i="5" s="1"/>
  <c r="H403" i="5"/>
  <c r="M403" i="5" s="1"/>
  <c r="H409" i="5"/>
  <c r="M409" i="5" s="1"/>
  <c r="H412" i="5"/>
  <c r="M412" i="5" s="1"/>
  <c r="H421" i="5"/>
  <c r="M421" i="5" s="1"/>
  <c r="H428" i="5"/>
  <c r="M428" i="5" s="1"/>
  <c r="H432" i="5"/>
  <c r="M432" i="5" s="1"/>
  <c r="H436" i="5"/>
  <c r="M436" i="5" s="1"/>
  <c r="H440" i="5"/>
  <c r="M440" i="5" s="1"/>
  <c r="H444" i="5"/>
  <c r="M444" i="5" s="1"/>
  <c r="H448" i="5"/>
  <c r="M448" i="5" s="1"/>
  <c r="H452" i="5"/>
  <c r="M452" i="5" s="1"/>
  <c r="H456" i="5"/>
  <c r="M456" i="5" s="1"/>
  <c r="H460" i="5"/>
  <c r="M460" i="5" s="1"/>
  <c r="H464" i="5"/>
  <c r="M464" i="5" s="1"/>
  <c r="H468" i="5"/>
  <c r="M468" i="5" s="1"/>
  <c r="H472" i="5"/>
  <c r="M472" i="5" s="1"/>
  <c r="H476" i="5"/>
  <c r="M476" i="5" s="1"/>
  <c r="H480" i="5"/>
  <c r="M480" i="5" s="1"/>
  <c r="H484" i="5"/>
  <c r="M484" i="5" s="1"/>
  <c r="H488" i="5"/>
  <c r="M488" i="5" s="1"/>
  <c r="H492" i="5"/>
  <c r="M492" i="5" s="1"/>
  <c r="H496" i="5"/>
  <c r="M496" i="5" s="1"/>
  <c r="H504" i="5"/>
  <c r="M504" i="5" s="1"/>
  <c r="H514" i="5"/>
  <c r="M514" i="5" s="1"/>
  <c r="H524" i="5"/>
  <c r="M524" i="5" s="1"/>
  <c r="H528" i="5"/>
  <c r="M528" i="5" s="1"/>
  <c r="O528" i="5" s="1"/>
  <c r="H532" i="5"/>
  <c r="M532" i="5" s="1"/>
  <c r="H536" i="5"/>
  <c r="M536" i="5" s="1"/>
  <c r="O536" i="5" s="1"/>
  <c r="H540" i="5"/>
  <c r="M540" i="5" s="1"/>
  <c r="O540" i="5" s="1"/>
  <c r="H544" i="5"/>
  <c r="M544" i="5" s="1"/>
  <c r="O544" i="5" s="1"/>
  <c r="H548" i="5"/>
  <c r="M548" i="5" s="1"/>
  <c r="O548" i="5" s="1"/>
  <c r="H552" i="5"/>
  <c r="M552" i="5" s="1"/>
  <c r="H556" i="5"/>
  <c r="H560" i="5"/>
  <c r="M560" i="5" s="1"/>
  <c r="H567" i="5"/>
  <c r="M567" i="5" s="1"/>
  <c r="H571" i="5"/>
  <c r="M571" i="5" s="1"/>
  <c r="H575" i="5"/>
  <c r="M575" i="5" s="1"/>
  <c r="H583" i="5"/>
  <c r="M583" i="5" s="1"/>
  <c r="H587" i="5"/>
  <c r="E7" i="5"/>
  <c r="H8" i="5"/>
  <c r="M8" i="5" s="1"/>
  <c r="H15" i="5"/>
  <c r="M15" i="5" s="1"/>
  <c r="H27" i="5"/>
  <c r="H58" i="5"/>
  <c r="M58" i="5" s="1"/>
  <c r="H66" i="5"/>
  <c r="M66" i="5" s="1"/>
  <c r="H6" i="5"/>
  <c r="M6" i="5" s="1"/>
  <c r="H36" i="5"/>
  <c r="H43" i="5"/>
  <c r="M43" i="5" s="1"/>
  <c r="H46" i="5"/>
  <c r="M46" i="5" s="1"/>
  <c r="H61" i="5"/>
  <c r="M61" i="5" s="1"/>
  <c r="H69" i="5"/>
  <c r="M69" i="5" s="1"/>
  <c r="H77" i="5"/>
  <c r="M77" i="5" s="1"/>
  <c r="H81" i="5"/>
  <c r="M81" i="5" s="1"/>
  <c r="H85" i="5"/>
  <c r="M85" i="5" s="1"/>
  <c r="H93" i="5"/>
  <c r="M93" i="5" s="1"/>
  <c r="H97" i="5"/>
  <c r="M97" i="5" s="1"/>
  <c r="H100" i="5"/>
  <c r="M100" i="5" s="1"/>
  <c r="H104" i="5"/>
  <c r="M104" i="5" s="1"/>
  <c r="H108" i="5"/>
  <c r="M108" i="5" s="1"/>
  <c r="H112" i="5"/>
  <c r="M112" i="5" s="1"/>
  <c r="H118" i="5"/>
  <c r="M118" i="5" s="1"/>
  <c r="H121" i="5"/>
  <c r="M121" i="5" s="1"/>
  <c r="H124" i="5"/>
  <c r="M124" i="5" s="1"/>
  <c r="H128" i="5"/>
  <c r="M128" i="5" s="1"/>
  <c r="H132" i="5"/>
  <c r="M132" i="5" s="1"/>
  <c r="H136" i="5"/>
  <c r="M136" i="5" s="1"/>
  <c r="H140" i="5"/>
  <c r="M140" i="5" s="1"/>
  <c r="H144" i="5"/>
  <c r="M144" i="5" s="1"/>
  <c r="H151" i="5"/>
  <c r="M151" i="5" s="1"/>
  <c r="H158" i="5"/>
  <c r="M158" i="5" s="1"/>
  <c r="H165" i="5"/>
  <c r="M165" i="5" s="1"/>
  <c r="H171" i="5"/>
  <c r="M171" i="5" s="1"/>
  <c r="H174" i="5"/>
  <c r="M174" i="5" s="1"/>
  <c r="H177" i="5"/>
  <c r="M177" i="5" s="1"/>
  <c r="H183" i="5"/>
  <c r="M183" i="5" s="1"/>
  <c r="H187" i="5"/>
  <c r="M187" i="5" s="1"/>
  <c r="H191" i="5"/>
  <c r="M191" i="5" s="1"/>
  <c r="H203" i="5"/>
  <c r="M203" i="5" s="1"/>
  <c r="H207" i="5"/>
  <c r="M207" i="5" s="1"/>
  <c r="H211" i="5"/>
  <c r="M211" i="5" s="1"/>
  <c r="H215" i="5"/>
  <c r="M215" i="5" s="1"/>
  <c r="H219" i="5"/>
  <c r="M219" i="5" s="1"/>
  <c r="H223" i="5"/>
  <c r="M223" i="5" s="1"/>
  <c r="H227" i="5"/>
  <c r="H231" i="5"/>
  <c r="M231" i="5" s="1"/>
  <c r="H235" i="5"/>
  <c r="M235" i="5" s="1"/>
  <c r="H239" i="5"/>
  <c r="M239" i="5" s="1"/>
  <c r="H243" i="5"/>
  <c r="M243" i="5" s="1"/>
  <c r="H247" i="5"/>
  <c r="M247" i="5" s="1"/>
  <c r="H251" i="5"/>
  <c r="M251" i="5" s="1"/>
  <c r="H255" i="5"/>
  <c r="M255" i="5" s="1"/>
  <c r="H259" i="5"/>
  <c r="M259" i="5" s="1"/>
  <c r="H263" i="5"/>
  <c r="M263" i="5" s="1"/>
  <c r="H267" i="5"/>
  <c r="M267" i="5" s="1"/>
  <c r="H271" i="5"/>
  <c r="M271" i="5" s="1"/>
  <c r="H275" i="5"/>
  <c r="M275" i="5" s="1"/>
  <c r="H279" i="5"/>
  <c r="M279" i="5" s="1"/>
  <c r="H288" i="5"/>
  <c r="M288" i="5" s="1"/>
  <c r="H292" i="5"/>
  <c r="H295" i="5"/>
  <c r="M295" i="5" s="1"/>
  <c r="H298" i="5"/>
  <c r="M298" i="5" s="1"/>
  <c r="H302" i="5"/>
  <c r="M302" i="5" s="1"/>
  <c r="H305" i="5"/>
  <c r="M305" i="5" s="1"/>
  <c r="H308" i="5"/>
  <c r="M308" i="5" s="1"/>
  <c r="H319" i="5"/>
  <c r="M319" i="5" s="1"/>
  <c r="H327" i="5"/>
  <c r="M327" i="5" s="1"/>
  <c r="H331" i="5"/>
  <c r="H335" i="5"/>
  <c r="H339" i="5"/>
  <c r="M339" i="5" s="1"/>
  <c r="H342" i="5"/>
  <c r="M342" i="5" s="1"/>
  <c r="H351" i="5"/>
  <c r="M351" i="5" s="1"/>
  <c r="H355" i="5"/>
  <c r="M355" i="5" s="1"/>
  <c r="H359" i="5"/>
  <c r="M359" i="5" s="1"/>
  <c r="H363" i="5"/>
  <c r="M363" i="5" s="1"/>
  <c r="H370" i="5"/>
  <c r="M370" i="5" s="1"/>
  <c r="H375" i="5"/>
  <c r="M375" i="5" s="1"/>
  <c r="H378" i="5"/>
  <c r="M378" i="5" s="1"/>
  <c r="H381" i="5"/>
  <c r="M381" i="5" s="1"/>
  <c r="H384" i="5"/>
  <c r="M384" i="5" s="1"/>
  <c r="H388" i="5"/>
  <c r="M388" i="5" s="1"/>
  <c r="H396" i="5"/>
  <c r="M396" i="5" s="1"/>
  <c r="H399" i="5"/>
  <c r="M399" i="5" s="1"/>
  <c r="H406" i="5"/>
  <c r="M406" i="5" s="1"/>
  <c r="H411" i="5"/>
  <c r="M411" i="5" s="1"/>
  <c r="H420" i="5"/>
  <c r="H424" i="5"/>
  <c r="M424" i="5" s="1"/>
  <c r="H427" i="5"/>
  <c r="M427" i="5" s="1"/>
  <c r="H431" i="5"/>
  <c r="M431" i="5" s="1"/>
  <c r="H435" i="5"/>
  <c r="M435" i="5" s="1"/>
  <c r="H439" i="5"/>
  <c r="M439" i="5" s="1"/>
  <c r="H443" i="5"/>
  <c r="M443" i="5" s="1"/>
  <c r="H447" i="5"/>
  <c r="M447" i="5" s="1"/>
  <c r="H451" i="5"/>
  <c r="M451" i="5" s="1"/>
  <c r="H455" i="5"/>
  <c r="M455" i="5" s="1"/>
  <c r="H459" i="5"/>
  <c r="M459" i="5" s="1"/>
  <c r="H463" i="5"/>
  <c r="M463" i="5" s="1"/>
  <c r="H467" i="5"/>
  <c r="M467" i="5" s="1"/>
  <c r="H471" i="5"/>
  <c r="M471" i="5" s="1"/>
  <c r="H475" i="5"/>
  <c r="M475" i="5" s="1"/>
  <c r="H479" i="5"/>
  <c r="M479" i="5" s="1"/>
  <c r="H483" i="5"/>
  <c r="M483" i="5" s="1"/>
  <c r="H487" i="5"/>
  <c r="M487" i="5" s="1"/>
  <c r="H491" i="5"/>
  <c r="M491" i="5" s="1"/>
  <c r="H495" i="5"/>
  <c r="M495" i="5" s="1"/>
  <c r="H503" i="5"/>
  <c r="M503" i="5" s="1"/>
  <c r="H507" i="5"/>
  <c r="M507" i="5" s="1"/>
  <c r="H510" i="5"/>
  <c r="M510" i="5" s="1"/>
  <c r="H513" i="5"/>
  <c r="M513" i="5" s="1"/>
  <c r="H517" i="5"/>
  <c r="M517" i="5" s="1"/>
  <c r="H523" i="5"/>
  <c r="M523" i="5" s="1"/>
  <c r="H527" i="5"/>
  <c r="M527" i="5" s="1"/>
  <c r="O527" i="5" s="1"/>
  <c r="H531" i="5"/>
  <c r="M531" i="5" s="1"/>
  <c r="H535" i="5"/>
  <c r="M535" i="5" s="1"/>
  <c r="H539" i="5"/>
  <c r="M539" i="5" s="1"/>
  <c r="O539" i="5" s="1"/>
  <c r="H543" i="5"/>
  <c r="M543" i="5" s="1"/>
  <c r="O543" i="5" s="1"/>
  <c r="H547" i="5"/>
  <c r="M547" i="5" s="1"/>
  <c r="O547" i="5" s="1"/>
  <c r="H551" i="5"/>
  <c r="M551" i="5" s="1"/>
  <c r="H555" i="5"/>
  <c r="H559" i="5"/>
  <c r="H563" i="5"/>
  <c r="M563" i="5" s="1"/>
  <c r="H566" i="5"/>
  <c r="M566" i="5" s="1"/>
  <c r="H570" i="5"/>
  <c r="M570" i="5" s="1"/>
  <c r="H574" i="5"/>
  <c r="M574" i="5" s="1"/>
  <c r="H586" i="5"/>
  <c r="M586" i="5" s="1"/>
  <c r="H7" i="5"/>
  <c r="M7" i="5" s="1"/>
  <c r="H19" i="5"/>
  <c r="M19" i="5" s="1"/>
  <c r="H37" i="5"/>
  <c r="H54" i="5"/>
  <c r="M54" i="5" s="1"/>
  <c r="H10" i="5"/>
  <c r="M10" i="5" s="1"/>
  <c r="H14" i="5"/>
  <c r="M14" i="5" s="1"/>
  <c r="H18" i="5"/>
  <c r="M18" i="5" s="1"/>
  <c r="H40" i="5"/>
  <c r="M40" i="5" s="1"/>
  <c r="H57" i="5"/>
  <c r="M57" i="5" s="1"/>
  <c r="H65" i="5"/>
  <c r="M65" i="5" s="1"/>
  <c r="H73" i="5"/>
  <c r="H89" i="5"/>
  <c r="M89" i="5" s="1"/>
  <c r="H5" i="5"/>
  <c r="M5" i="5" s="1"/>
  <c r="H9" i="5"/>
  <c r="M9" i="5" s="1"/>
  <c r="H13" i="5"/>
  <c r="M13" i="5" s="1"/>
  <c r="H17" i="5"/>
  <c r="M17" i="5" s="1"/>
  <c r="H35" i="5"/>
  <c r="H39" i="5"/>
  <c r="H42" i="5"/>
  <c r="M42" i="5" s="1"/>
  <c r="H52" i="5"/>
  <c r="M52" i="5" s="1"/>
  <c r="H56" i="5"/>
  <c r="M56" i="5" s="1"/>
  <c r="H60" i="5"/>
  <c r="M60" i="5" s="1"/>
  <c r="H64" i="5"/>
  <c r="M64" i="5" s="1"/>
  <c r="H68" i="5"/>
  <c r="M68" i="5" s="1"/>
  <c r="H72" i="5"/>
  <c r="M72" i="5" s="1"/>
  <c r="H76" i="5"/>
  <c r="M76" i="5" s="1"/>
  <c r="H80" i="5"/>
  <c r="M80" i="5" s="1"/>
  <c r="H84" i="5"/>
  <c r="M84" i="5" s="1"/>
  <c r="H88" i="5"/>
  <c r="M88" i="5" s="1"/>
  <c r="H92" i="5"/>
  <c r="M92" i="5" s="1"/>
  <c r="H96" i="5"/>
  <c r="M96" i="5" s="1"/>
  <c r="AR99" i="5"/>
  <c r="N99" i="5"/>
  <c r="O99" i="5"/>
  <c r="P99" i="5" s="1"/>
  <c r="Q99" i="5" s="1"/>
  <c r="R99" i="5" s="1"/>
  <c r="S99" i="5" s="1"/>
  <c r="T99" i="5" s="1"/>
  <c r="U99" i="5" s="1"/>
  <c r="V99" i="5" s="1"/>
  <c r="W99" i="5" s="1"/>
  <c r="X99" i="5" s="1"/>
  <c r="Y99" i="5" s="1"/>
  <c r="Z99" i="5" s="1"/>
  <c r="AD99" i="5" s="1"/>
  <c r="AE99" i="5" s="1"/>
  <c r="AF99" i="5" s="1"/>
  <c r="AG99" i="5" s="1"/>
  <c r="AH99" i="5" s="1"/>
  <c r="AI99" i="5" s="1"/>
  <c r="AJ99" i="5" s="1"/>
  <c r="AK99" i="5" s="1"/>
  <c r="AL99" i="5" s="1"/>
  <c r="AM99" i="5" s="1"/>
  <c r="AN99" i="5" s="1"/>
  <c r="AO99" i="5" s="1"/>
  <c r="AS99" i="5" s="1"/>
  <c r="AT99" i="5" s="1"/>
  <c r="AU99" i="5" s="1"/>
  <c r="AV99" i="5" s="1"/>
  <c r="AW99" i="5" s="1"/>
  <c r="AX99" i="5" s="1"/>
  <c r="AY99" i="5" s="1"/>
  <c r="AZ99" i="5" s="1"/>
  <c r="BA99" i="5" s="1"/>
  <c r="BB99" i="5" s="1"/>
  <c r="BC99" i="5" s="1"/>
  <c r="BD99" i="5" s="1"/>
  <c r="AC99" i="5"/>
  <c r="H103" i="5"/>
  <c r="M103" i="5" s="1"/>
  <c r="H107" i="5"/>
  <c r="M107" i="5" s="1"/>
  <c r="H111" i="5"/>
  <c r="M111" i="5" s="1"/>
  <c r="H117" i="5"/>
  <c r="M117" i="5" s="1"/>
  <c r="H120" i="5"/>
  <c r="M120" i="5" s="1"/>
  <c r="H123" i="5"/>
  <c r="M123" i="5" s="1"/>
  <c r="H127" i="5"/>
  <c r="M127" i="5" s="1"/>
  <c r="H131" i="5"/>
  <c r="M131" i="5" s="1"/>
  <c r="H135" i="5"/>
  <c r="M135" i="5" s="1"/>
  <c r="H139" i="5"/>
  <c r="M139" i="5" s="1"/>
  <c r="H143" i="5"/>
  <c r="M143" i="5" s="1"/>
  <c r="H147" i="5"/>
  <c r="M147" i="5" s="1"/>
  <c r="H150" i="5"/>
  <c r="M150" i="5" s="1"/>
  <c r="H154" i="5"/>
  <c r="M154" i="5" s="1"/>
  <c r="H157" i="5"/>
  <c r="M157" i="5" s="1"/>
  <c r="H164" i="5"/>
  <c r="M164" i="5" s="1"/>
  <c r="H170" i="5"/>
  <c r="M170" i="5" s="1"/>
  <c r="H179" i="5"/>
  <c r="M179" i="5" s="1"/>
  <c r="H182" i="5"/>
  <c r="M182" i="5" s="1"/>
  <c r="H186" i="5"/>
  <c r="M186" i="5" s="1"/>
  <c r="H190" i="5"/>
  <c r="M190" i="5" s="1"/>
  <c r="H199" i="5"/>
  <c r="H202" i="5"/>
  <c r="M202" i="5" s="1"/>
  <c r="H206" i="5"/>
  <c r="M206" i="5" s="1"/>
  <c r="H210" i="5"/>
  <c r="M210" i="5" s="1"/>
  <c r="H214" i="5"/>
  <c r="M214" i="5" s="1"/>
  <c r="H218" i="5"/>
  <c r="M218" i="5" s="1"/>
  <c r="H222" i="5"/>
  <c r="M222" i="5" s="1"/>
  <c r="H226" i="5"/>
  <c r="H230" i="5"/>
  <c r="M230" i="5" s="1"/>
  <c r="H234" i="5"/>
  <c r="M234" i="5" s="1"/>
  <c r="H238" i="5"/>
  <c r="M238" i="5" s="1"/>
  <c r="H242" i="5"/>
  <c r="M242" i="5" s="1"/>
  <c r="H246" i="5"/>
  <c r="M246" i="5" s="1"/>
  <c r="H250" i="5"/>
  <c r="M250" i="5" s="1"/>
  <c r="H254" i="5"/>
  <c r="M254" i="5" s="1"/>
  <c r="H258" i="5"/>
  <c r="M258" i="5" s="1"/>
  <c r="H262" i="5"/>
  <c r="M262" i="5" s="1"/>
  <c r="H266" i="5"/>
  <c r="M266" i="5" s="1"/>
  <c r="H270" i="5"/>
  <c r="M270" i="5" s="1"/>
  <c r="H274" i="5"/>
  <c r="M274" i="5" s="1"/>
  <c r="H278" i="5"/>
  <c r="M278" i="5" s="1"/>
  <c r="H282" i="5"/>
  <c r="M282" i="5" s="1"/>
  <c r="H287" i="5"/>
  <c r="M287" i="5" s="1"/>
  <c r="H291" i="5"/>
  <c r="H294" i="5"/>
  <c r="M294" i="5" s="1"/>
  <c r="H301" i="5"/>
  <c r="M301" i="5" s="1"/>
  <c r="H307" i="5"/>
  <c r="M307" i="5" s="1"/>
  <c r="H310" i="5"/>
  <c r="M310" i="5" s="1"/>
  <c r="H318" i="5"/>
  <c r="M318" i="5" s="1"/>
  <c r="H323" i="5"/>
  <c r="M323" i="5" s="1"/>
  <c r="H326" i="5"/>
  <c r="M326" i="5" s="1"/>
  <c r="H330" i="5"/>
  <c r="H334" i="5"/>
  <c r="H338" i="5"/>
  <c r="M338" i="5" s="1"/>
  <c r="H347" i="5"/>
  <c r="M347" i="5" s="1"/>
  <c r="H350" i="5"/>
  <c r="M350" i="5" s="1"/>
  <c r="H354" i="5"/>
  <c r="M354" i="5" s="1"/>
  <c r="H358" i="5"/>
  <c r="M358" i="5" s="1"/>
  <c r="H362" i="5"/>
  <c r="M362" i="5" s="1"/>
  <c r="H366" i="5"/>
  <c r="M366" i="5" s="1"/>
  <c r="H369" i="5"/>
  <c r="M369" i="5" s="1"/>
  <c r="H372" i="5"/>
  <c r="M372" i="5" s="1"/>
  <c r="H380" i="5"/>
  <c r="M380" i="5" s="1"/>
  <c r="H383" i="5"/>
  <c r="M383" i="5" s="1"/>
  <c r="H387" i="5"/>
  <c r="M387" i="5" s="1"/>
  <c r="H391" i="5"/>
  <c r="M391" i="5" s="1"/>
  <c r="H405" i="5"/>
  <c r="M405" i="5" s="1"/>
  <c r="H416" i="5"/>
  <c r="M416" i="5" s="1"/>
  <c r="H419" i="5"/>
  <c r="H423" i="5"/>
  <c r="M423" i="5" s="1"/>
  <c r="H426" i="5"/>
  <c r="M426" i="5" s="1"/>
  <c r="H430" i="5"/>
  <c r="M430" i="5" s="1"/>
  <c r="H434" i="5"/>
  <c r="M434" i="5" s="1"/>
  <c r="H438" i="5"/>
  <c r="M438" i="5" s="1"/>
  <c r="H442" i="5"/>
  <c r="M442" i="5" s="1"/>
  <c r="H446" i="5"/>
  <c r="M446" i="5" s="1"/>
  <c r="H450" i="5"/>
  <c r="M450" i="5" s="1"/>
  <c r="H454" i="5"/>
  <c r="M454" i="5" s="1"/>
  <c r="H458" i="5"/>
  <c r="M458" i="5" s="1"/>
  <c r="H462" i="5"/>
  <c r="M462" i="5" s="1"/>
  <c r="H466" i="5"/>
  <c r="M466" i="5" s="1"/>
  <c r="H470" i="5"/>
  <c r="M470" i="5" s="1"/>
  <c r="H474" i="5"/>
  <c r="M474" i="5" s="1"/>
  <c r="H478" i="5"/>
  <c r="M478" i="5" s="1"/>
  <c r="H482" i="5"/>
  <c r="M482" i="5" s="1"/>
  <c r="H486" i="5"/>
  <c r="M486" i="5" s="1"/>
  <c r="H490" i="5"/>
  <c r="M490" i="5" s="1"/>
  <c r="H494" i="5"/>
  <c r="M494" i="5" s="1"/>
  <c r="H498" i="5"/>
  <c r="M498" i="5" s="1"/>
  <c r="H506" i="5"/>
  <c r="M506" i="5" s="1"/>
  <c r="H509" i="5"/>
  <c r="M509" i="5" s="1"/>
  <c r="H512" i="5"/>
  <c r="H516" i="5"/>
  <c r="M516" i="5" s="1"/>
  <c r="H519" i="5"/>
  <c r="M519" i="5" s="1"/>
  <c r="H522" i="5"/>
  <c r="M522" i="5" s="1"/>
  <c r="H526" i="5"/>
  <c r="M526" i="5" s="1"/>
  <c r="H530" i="5"/>
  <c r="M530" i="5" s="1"/>
  <c r="H534" i="5"/>
  <c r="M534" i="5" s="1"/>
  <c r="H538" i="5"/>
  <c r="M538" i="5" s="1"/>
  <c r="O538" i="5" s="1"/>
  <c r="H542" i="5"/>
  <c r="M542" i="5" s="1"/>
  <c r="O542" i="5" s="1"/>
  <c r="H546" i="5"/>
  <c r="M546" i="5" s="1"/>
  <c r="O546" i="5" s="1"/>
  <c r="H550" i="5"/>
  <c r="M550" i="5" s="1"/>
  <c r="O550" i="5" s="1"/>
  <c r="H554" i="5"/>
  <c r="H558" i="5"/>
  <c r="H562" i="5"/>
  <c r="M562" i="5" s="1"/>
  <c r="H565" i="5"/>
  <c r="M565" i="5" s="1"/>
  <c r="H569" i="5"/>
  <c r="M569" i="5" s="1"/>
  <c r="H573" i="5"/>
  <c r="M573" i="5" s="1"/>
  <c r="H585" i="5"/>
  <c r="M585" i="5" s="1"/>
  <c r="CN514" i="1" l="1"/>
  <c r="CN580" i="1"/>
  <c r="CO580" i="1" s="1"/>
  <c r="CP580" i="1" s="1"/>
  <c r="CQ580" i="1" s="1"/>
  <c r="CR580" i="1" s="1"/>
  <c r="CS580" i="1" s="1"/>
  <c r="CT580" i="1" s="1"/>
  <c r="CU580" i="1" s="1"/>
  <c r="CV580" i="1" s="1"/>
  <c r="CW580" i="1" s="1"/>
  <c r="CX580" i="1" s="1"/>
  <c r="CY580" i="1" s="1"/>
  <c r="CN147" i="1"/>
  <c r="BV580" i="1"/>
  <c r="BV147" i="1"/>
  <c r="BU276" i="1"/>
  <c r="BY276" i="1" s="1"/>
  <c r="BZ276" i="1" s="1"/>
  <c r="CA276" i="1" s="1"/>
  <c r="CB276" i="1" s="1"/>
  <c r="CC276" i="1" s="1"/>
  <c r="CD276" i="1" s="1"/>
  <c r="CE276" i="1" s="1"/>
  <c r="CF276" i="1" s="1"/>
  <c r="CG276" i="1" s="1"/>
  <c r="CH276" i="1" s="1"/>
  <c r="CI276" i="1" s="1"/>
  <c r="CJ276" i="1" s="1"/>
  <c r="BU398" i="1"/>
  <c r="BY398" i="1" s="1"/>
  <c r="BZ398" i="1" s="1"/>
  <c r="CA398" i="1" s="1"/>
  <c r="CB398" i="1" s="1"/>
  <c r="CC398" i="1" s="1"/>
  <c r="CD398" i="1" s="1"/>
  <c r="CE398" i="1" s="1"/>
  <c r="CF398" i="1" s="1"/>
  <c r="CG398" i="1" s="1"/>
  <c r="CH398" i="1" s="1"/>
  <c r="CI398" i="1" s="1"/>
  <c r="CJ398" i="1" s="1"/>
  <c r="BU4" i="1"/>
  <c r="BY4" i="1" s="1"/>
  <c r="BU384" i="1"/>
  <c r="BY384" i="1" s="1"/>
  <c r="BZ384" i="1" s="1"/>
  <c r="CA384" i="1" s="1"/>
  <c r="CB384" i="1" s="1"/>
  <c r="CC384" i="1" s="1"/>
  <c r="CD384" i="1" s="1"/>
  <c r="CE384" i="1" s="1"/>
  <c r="CF384" i="1" s="1"/>
  <c r="CG384" i="1" s="1"/>
  <c r="CH384" i="1" s="1"/>
  <c r="CI384" i="1" s="1"/>
  <c r="CJ384" i="1" s="1"/>
  <c r="BU21" i="1"/>
  <c r="BY21" i="1" s="1"/>
  <c r="BZ21" i="1" s="1"/>
  <c r="CA21" i="1" s="1"/>
  <c r="CB21" i="1" s="1"/>
  <c r="CC21" i="1" s="1"/>
  <c r="CD21" i="1" s="1"/>
  <c r="CE21" i="1" s="1"/>
  <c r="CF21" i="1" s="1"/>
  <c r="CG21" i="1" s="1"/>
  <c r="CH21" i="1" s="1"/>
  <c r="CI21" i="1" s="1"/>
  <c r="CJ21" i="1" s="1"/>
  <c r="BU263" i="1"/>
  <c r="BY263" i="1" s="1"/>
  <c r="BZ263" i="1" s="1"/>
  <c r="CA263" i="1" s="1"/>
  <c r="CB263" i="1" s="1"/>
  <c r="CC263" i="1" s="1"/>
  <c r="CD263" i="1" s="1"/>
  <c r="CE263" i="1" s="1"/>
  <c r="CF263" i="1" s="1"/>
  <c r="CG263" i="1" s="1"/>
  <c r="CH263" i="1" s="1"/>
  <c r="CI263" i="1" s="1"/>
  <c r="CJ263" i="1" s="1"/>
  <c r="BU388" i="1"/>
  <c r="BY388" i="1" s="1"/>
  <c r="BZ388" i="1" s="1"/>
  <c r="CA388" i="1" s="1"/>
  <c r="CB388" i="1" s="1"/>
  <c r="CC388" i="1" s="1"/>
  <c r="CD388" i="1" s="1"/>
  <c r="CE388" i="1" s="1"/>
  <c r="CF388" i="1" s="1"/>
  <c r="CG388" i="1" s="1"/>
  <c r="CH388" i="1" s="1"/>
  <c r="CI388" i="1" s="1"/>
  <c r="CJ388" i="1" s="1"/>
  <c r="BU355" i="1"/>
  <c r="BY355" i="1" s="1"/>
  <c r="BU395" i="1"/>
  <c r="BY395" i="1" s="1"/>
  <c r="BZ395" i="1" s="1"/>
  <c r="CA395" i="1" s="1"/>
  <c r="CB395" i="1" s="1"/>
  <c r="CC395" i="1" s="1"/>
  <c r="CD395" i="1" s="1"/>
  <c r="CE395" i="1" s="1"/>
  <c r="CF395" i="1" s="1"/>
  <c r="CG395" i="1" s="1"/>
  <c r="CH395" i="1" s="1"/>
  <c r="CI395" i="1" s="1"/>
  <c r="CJ395" i="1" s="1"/>
  <c r="BU77" i="1"/>
  <c r="BY77" i="1" s="1"/>
  <c r="BZ77" i="1" s="1"/>
  <c r="CA77" i="1" s="1"/>
  <c r="CB77" i="1" s="1"/>
  <c r="CC77" i="1" s="1"/>
  <c r="CD77" i="1" s="1"/>
  <c r="CE77" i="1" s="1"/>
  <c r="CF77" i="1" s="1"/>
  <c r="CG77" i="1" s="1"/>
  <c r="CH77" i="1" s="1"/>
  <c r="CI77" i="1" s="1"/>
  <c r="CJ77" i="1" s="1"/>
  <c r="BU375" i="1"/>
  <c r="BY375" i="1" s="1"/>
  <c r="BZ375" i="1" s="1"/>
  <c r="CA375" i="1" s="1"/>
  <c r="CB375" i="1" s="1"/>
  <c r="CC375" i="1" s="1"/>
  <c r="CD375" i="1" s="1"/>
  <c r="CE375" i="1" s="1"/>
  <c r="CF375" i="1" s="1"/>
  <c r="CG375" i="1" s="1"/>
  <c r="CH375" i="1" s="1"/>
  <c r="CI375" i="1" s="1"/>
  <c r="CJ375" i="1" s="1"/>
  <c r="BU390" i="1"/>
  <c r="BY390" i="1" s="1"/>
  <c r="BZ390" i="1" s="1"/>
  <c r="CA390" i="1" s="1"/>
  <c r="CB390" i="1" s="1"/>
  <c r="CC390" i="1" s="1"/>
  <c r="CD390" i="1" s="1"/>
  <c r="CE390" i="1" s="1"/>
  <c r="CF390" i="1" s="1"/>
  <c r="CG390" i="1" s="1"/>
  <c r="CH390" i="1" s="1"/>
  <c r="CI390" i="1" s="1"/>
  <c r="CJ390" i="1" s="1"/>
  <c r="BU268" i="1"/>
  <c r="BY268" i="1" s="1"/>
  <c r="BZ268" i="1" s="1"/>
  <c r="CA268" i="1" s="1"/>
  <c r="CB268" i="1" s="1"/>
  <c r="CC268" i="1" s="1"/>
  <c r="CD268" i="1" s="1"/>
  <c r="CE268" i="1" s="1"/>
  <c r="CF268" i="1" s="1"/>
  <c r="CG268" i="1" s="1"/>
  <c r="CH268" i="1" s="1"/>
  <c r="CI268" i="1" s="1"/>
  <c r="CJ268" i="1" s="1"/>
  <c r="BU105" i="1"/>
  <c r="BY105" i="1" s="1"/>
  <c r="BU374" i="1"/>
  <c r="BY374" i="1" s="1"/>
  <c r="BZ374" i="1" s="1"/>
  <c r="CA374" i="1" s="1"/>
  <c r="CB374" i="1" s="1"/>
  <c r="CC374" i="1" s="1"/>
  <c r="CD374" i="1" s="1"/>
  <c r="CE374" i="1" s="1"/>
  <c r="CF374" i="1" s="1"/>
  <c r="CG374" i="1" s="1"/>
  <c r="CH374" i="1" s="1"/>
  <c r="CI374" i="1" s="1"/>
  <c r="CJ374" i="1" s="1"/>
  <c r="BU417" i="1"/>
  <c r="BY417" i="1" s="1"/>
  <c r="BZ417" i="1" s="1"/>
  <c r="CA417" i="1" s="1"/>
  <c r="CB417" i="1" s="1"/>
  <c r="CC417" i="1" s="1"/>
  <c r="CD417" i="1" s="1"/>
  <c r="CE417" i="1" s="1"/>
  <c r="CF417" i="1" s="1"/>
  <c r="CG417" i="1" s="1"/>
  <c r="CH417" i="1" s="1"/>
  <c r="CI417" i="1" s="1"/>
  <c r="CJ417" i="1" s="1"/>
  <c r="BU346" i="1"/>
  <c r="BY346" i="1" s="1"/>
  <c r="BZ346" i="1" s="1"/>
  <c r="CA346" i="1" s="1"/>
  <c r="CB346" i="1" s="1"/>
  <c r="CC346" i="1" s="1"/>
  <c r="CD346" i="1" s="1"/>
  <c r="CE346" i="1" s="1"/>
  <c r="CF346" i="1" s="1"/>
  <c r="CG346" i="1" s="1"/>
  <c r="CH346" i="1" s="1"/>
  <c r="CI346" i="1" s="1"/>
  <c r="CJ346" i="1" s="1"/>
  <c r="BU504" i="1"/>
  <c r="BY504" i="1" s="1"/>
  <c r="BZ504" i="1" s="1"/>
  <c r="CA504" i="1" s="1"/>
  <c r="CB504" i="1" s="1"/>
  <c r="CC504" i="1" s="1"/>
  <c r="CD504" i="1" s="1"/>
  <c r="CE504" i="1" s="1"/>
  <c r="CF504" i="1" s="1"/>
  <c r="CG504" i="1" s="1"/>
  <c r="CH504" i="1" s="1"/>
  <c r="CI504" i="1" s="1"/>
  <c r="CJ504" i="1" s="1"/>
  <c r="BU408" i="1"/>
  <c r="BY408" i="1" s="1"/>
  <c r="BZ408" i="1" s="1"/>
  <c r="CA408" i="1" s="1"/>
  <c r="CB408" i="1" s="1"/>
  <c r="CC408" i="1" s="1"/>
  <c r="CD408" i="1" s="1"/>
  <c r="CE408" i="1" s="1"/>
  <c r="CF408" i="1" s="1"/>
  <c r="CG408" i="1" s="1"/>
  <c r="CH408" i="1" s="1"/>
  <c r="CI408" i="1" s="1"/>
  <c r="CJ408" i="1" s="1"/>
  <c r="BU387" i="1"/>
  <c r="BY387" i="1" s="1"/>
  <c r="BZ387" i="1" s="1"/>
  <c r="CA387" i="1" s="1"/>
  <c r="CB387" i="1" s="1"/>
  <c r="CC387" i="1" s="1"/>
  <c r="CD387" i="1" s="1"/>
  <c r="CE387" i="1" s="1"/>
  <c r="CF387" i="1" s="1"/>
  <c r="CG387" i="1" s="1"/>
  <c r="CH387" i="1" s="1"/>
  <c r="CI387" i="1" s="1"/>
  <c r="CJ387" i="1" s="1"/>
  <c r="BV514" i="1"/>
  <c r="BU204" i="1"/>
  <c r="BY204" i="1" s="1"/>
  <c r="BZ204" i="1" s="1"/>
  <c r="CA204" i="1" s="1"/>
  <c r="CB204" i="1" s="1"/>
  <c r="CC204" i="1" s="1"/>
  <c r="CD204" i="1" s="1"/>
  <c r="CE204" i="1" s="1"/>
  <c r="CF204" i="1" s="1"/>
  <c r="CG204" i="1" s="1"/>
  <c r="CH204" i="1" s="1"/>
  <c r="CI204" i="1" s="1"/>
  <c r="CJ204" i="1" s="1"/>
  <c r="BU377" i="1"/>
  <c r="BY377" i="1" s="1"/>
  <c r="BZ377" i="1" s="1"/>
  <c r="CA377" i="1" s="1"/>
  <c r="CB377" i="1" s="1"/>
  <c r="CC377" i="1" s="1"/>
  <c r="CD377" i="1" s="1"/>
  <c r="CE377" i="1" s="1"/>
  <c r="CF377" i="1" s="1"/>
  <c r="CG377" i="1" s="1"/>
  <c r="CH377" i="1" s="1"/>
  <c r="CI377" i="1" s="1"/>
  <c r="CJ377" i="1" s="1"/>
  <c r="BU415" i="1"/>
  <c r="BY415" i="1" s="1"/>
  <c r="BZ415" i="1" s="1"/>
  <c r="CA415" i="1" s="1"/>
  <c r="CB415" i="1" s="1"/>
  <c r="CC415" i="1" s="1"/>
  <c r="CD415" i="1" s="1"/>
  <c r="CE415" i="1" s="1"/>
  <c r="CF415" i="1" s="1"/>
  <c r="CG415" i="1" s="1"/>
  <c r="CH415" i="1" s="1"/>
  <c r="CI415" i="1" s="1"/>
  <c r="CJ415" i="1" s="1"/>
  <c r="BU76" i="1"/>
  <c r="BY76" i="1" s="1"/>
  <c r="BZ76" i="1" s="1"/>
  <c r="CA76" i="1" s="1"/>
  <c r="CB76" i="1" s="1"/>
  <c r="CC76" i="1" s="1"/>
  <c r="CD76" i="1" s="1"/>
  <c r="CE76" i="1" s="1"/>
  <c r="CF76" i="1" s="1"/>
  <c r="CG76" i="1" s="1"/>
  <c r="CH76" i="1" s="1"/>
  <c r="CI76" i="1" s="1"/>
  <c r="CJ76" i="1" s="1"/>
  <c r="BZ355" i="1"/>
  <c r="CA355" i="1" s="1"/>
  <c r="CB355" i="1" s="1"/>
  <c r="CC355" i="1" s="1"/>
  <c r="CD355" i="1" s="1"/>
  <c r="CE355" i="1" s="1"/>
  <c r="CF355" i="1" s="1"/>
  <c r="CG355" i="1" s="1"/>
  <c r="CH355" i="1" s="1"/>
  <c r="CI355" i="1" s="1"/>
  <c r="CJ355" i="1" s="1"/>
  <c r="CK514" i="1"/>
  <c r="CO514" i="1"/>
  <c r="CP514" i="1" s="1"/>
  <c r="CQ514" i="1" s="1"/>
  <c r="CR514" i="1" s="1"/>
  <c r="CS514" i="1" s="1"/>
  <c r="CT514" i="1" s="1"/>
  <c r="CU514" i="1" s="1"/>
  <c r="CV514" i="1" s="1"/>
  <c r="CW514" i="1" s="1"/>
  <c r="CX514" i="1" s="1"/>
  <c r="CY514" i="1" s="1"/>
  <c r="BM382" i="1"/>
  <c r="BN382" i="1" s="1"/>
  <c r="BO382" i="1" s="1"/>
  <c r="BP382" i="1" s="1"/>
  <c r="BQ382" i="1" s="1"/>
  <c r="BR382" i="1" s="1"/>
  <c r="BS382" i="1" s="1"/>
  <c r="BT382" i="1" s="1"/>
  <c r="CZ421" i="1"/>
  <c r="BV388" i="1"/>
  <c r="BZ105" i="1"/>
  <c r="CA105" i="1" s="1"/>
  <c r="CB105" i="1" s="1"/>
  <c r="CC105" i="1" s="1"/>
  <c r="CD105" i="1" s="1"/>
  <c r="CE105" i="1" s="1"/>
  <c r="CF105" i="1" s="1"/>
  <c r="CG105" i="1" s="1"/>
  <c r="CH105" i="1" s="1"/>
  <c r="CI105" i="1" s="1"/>
  <c r="CJ105" i="1" s="1"/>
  <c r="BM386" i="1"/>
  <c r="BN386" i="1" s="1"/>
  <c r="BO386" i="1" s="1"/>
  <c r="BP386" i="1" s="1"/>
  <c r="BQ386" i="1" s="1"/>
  <c r="BR386" i="1" s="1"/>
  <c r="BS386" i="1" s="1"/>
  <c r="BT386" i="1" s="1"/>
  <c r="CK580" i="1"/>
  <c r="BV105" i="1"/>
  <c r="BV377" i="1"/>
  <c r="BM264" i="1"/>
  <c r="BN264" i="1" s="1"/>
  <c r="BO264" i="1" s="1"/>
  <c r="BP264" i="1" s="1"/>
  <c r="BQ264" i="1" s="1"/>
  <c r="BR264" i="1" s="1"/>
  <c r="BS264" i="1" s="1"/>
  <c r="BT264" i="1" s="1"/>
  <c r="CK147" i="1"/>
  <c r="BV398" i="1"/>
  <c r="BM108" i="1"/>
  <c r="BN108" i="1" s="1"/>
  <c r="BO108" i="1" s="1"/>
  <c r="BP108" i="1" s="1"/>
  <c r="BQ108" i="1" s="1"/>
  <c r="BR108" i="1" s="1"/>
  <c r="BS108" i="1" s="1"/>
  <c r="BT108" i="1" s="1"/>
  <c r="CO147" i="1"/>
  <c r="CP147" i="1" s="1"/>
  <c r="CQ147" i="1" s="1"/>
  <c r="CR147" i="1" s="1"/>
  <c r="CS147" i="1" s="1"/>
  <c r="CT147" i="1" s="1"/>
  <c r="CU147" i="1" s="1"/>
  <c r="CV147" i="1" s="1"/>
  <c r="CW147" i="1" s="1"/>
  <c r="CX147" i="1" s="1"/>
  <c r="CY147" i="1" s="1"/>
  <c r="BL578" i="1"/>
  <c r="BM578" i="1" s="1"/>
  <c r="BN578" i="1" s="1"/>
  <c r="BO578" i="1" s="1"/>
  <c r="BP578" i="1" s="1"/>
  <c r="BQ578" i="1" s="1"/>
  <c r="BR578" i="1" s="1"/>
  <c r="BS578" i="1" s="1"/>
  <c r="BT578" i="1" s="1"/>
  <c r="BL579" i="1"/>
  <c r="BM579" i="1" s="1"/>
  <c r="BN579" i="1" s="1"/>
  <c r="BO579" i="1" s="1"/>
  <c r="BP579" i="1" s="1"/>
  <c r="BQ579" i="1" s="1"/>
  <c r="BR579" i="1" s="1"/>
  <c r="BS579" i="1" s="1"/>
  <c r="BT579" i="1" s="1"/>
  <c r="O526" i="5"/>
  <c r="P526" i="5" s="1"/>
  <c r="Q526" i="5" s="1"/>
  <c r="R526" i="5" s="1"/>
  <c r="O40" i="5"/>
  <c r="N40" i="5" s="1"/>
  <c r="O586" i="5"/>
  <c r="P586" i="5" s="1"/>
  <c r="Q586" i="5" s="1"/>
  <c r="R586" i="5" s="1"/>
  <c r="S586" i="5" s="1"/>
  <c r="O342" i="5"/>
  <c r="N342" i="5" s="1"/>
  <c r="O302" i="5"/>
  <c r="N302" i="5" s="1"/>
  <c r="O514" i="5"/>
  <c r="P514" i="5" s="1"/>
  <c r="Q514" i="5" s="1"/>
  <c r="R514" i="5" s="1"/>
  <c r="S514" i="5" s="1"/>
  <c r="T514" i="5" s="1"/>
  <c r="U514" i="5" s="1"/>
  <c r="V514" i="5" s="1"/>
  <c r="W514" i="5" s="1"/>
  <c r="O421" i="5"/>
  <c r="N421" i="5" s="1"/>
  <c r="O244" i="5"/>
  <c r="P244" i="5" s="1"/>
  <c r="Q244" i="5" s="1"/>
  <c r="R244" i="5" s="1"/>
  <c r="S244" i="5" s="1"/>
  <c r="T244" i="5" s="1"/>
  <c r="U244" i="5" s="1"/>
  <c r="V244" i="5" s="1"/>
  <c r="W244" i="5" s="1"/>
  <c r="O245" i="5"/>
  <c r="P245" i="5" s="1"/>
  <c r="Q245" i="5" s="1"/>
  <c r="R245" i="5" s="1"/>
  <c r="S245" i="5" s="1"/>
  <c r="T245" i="5" s="1"/>
  <c r="U245" i="5" s="1"/>
  <c r="V245" i="5" s="1"/>
  <c r="W245" i="5" s="1"/>
  <c r="O246" i="5"/>
  <c r="P246" i="5" s="1"/>
  <c r="Q246" i="5" s="1"/>
  <c r="R246" i="5" s="1"/>
  <c r="S246" i="5" s="1"/>
  <c r="T246" i="5" s="1"/>
  <c r="U246" i="5" s="1"/>
  <c r="V246" i="5" s="1"/>
  <c r="W246" i="5" s="1"/>
  <c r="O42" i="5"/>
  <c r="O566" i="5"/>
  <c r="N566" i="5" s="1"/>
  <c r="O535" i="5"/>
  <c r="N535" i="5" s="1"/>
  <c r="O247" i="5"/>
  <c r="P247" i="5" s="1"/>
  <c r="Q247" i="5" s="1"/>
  <c r="R247" i="5" s="1"/>
  <c r="S247" i="5" s="1"/>
  <c r="T247" i="5" s="1"/>
  <c r="U247" i="5" s="1"/>
  <c r="V247" i="5" s="1"/>
  <c r="W247" i="5" s="1"/>
  <c r="O100" i="5"/>
  <c r="N100" i="5" s="1"/>
  <c r="O303" i="5"/>
  <c r="N303" i="5" s="1"/>
  <c r="O248" i="5"/>
  <c r="N248" i="5" s="1"/>
  <c r="O541" i="5"/>
  <c r="N541" i="5" s="1"/>
  <c r="O102" i="5"/>
  <c r="N573" i="5"/>
  <c r="O573" i="5"/>
  <c r="P573" i="5" s="1"/>
  <c r="Q573" i="5" s="1"/>
  <c r="R573" i="5" s="1"/>
  <c r="S573" i="5" s="1"/>
  <c r="T573" i="5" s="1"/>
  <c r="U573" i="5" s="1"/>
  <c r="V573" i="5" s="1"/>
  <c r="W573" i="5" s="1"/>
  <c r="X573" i="5" s="1"/>
  <c r="Y573" i="5" s="1"/>
  <c r="Z573" i="5" s="1"/>
  <c r="AD573" i="5" s="1"/>
  <c r="AC565" i="5"/>
  <c r="N565" i="5"/>
  <c r="O565" i="5"/>
  <c r="P565" i="5" s="1"/>
  <c r="Q565" i="5" s="1"/>
  <c r="R565" i="5" s="1"/>
  <c r="S565" i="5" s="1"/>
  <c r="T565" i="5" s="1"/>
  <c r="U565" i="5" s="1"/>
  <c r="V565" i="5" s="1"/>
  <c r="W565" i="5" s="1"/>
  <c r="X565" i="5" s="1"/>
  <c r="Y565" i="5" s="1"/>
  <c r="Z565" i="5" s="1"/>
  <c r="AD565" i="5" s="1"/>
  <c r="AE565" i="5" s="1"/>
  <c r="AF565" i="5" s="1"/>
  <c r="AG565" i="5" s="1"/>
  <c r="AH565" i="5" s="1"/>
  <c r="AI565" i="5" s="1"/>
  <c r="AJ565" i="5" s="1"/>
  <c r="AK565" i="5" s="1"/>
  <c r="AL565" i="5" s="1"/>
  <c r="AM565" i="5" s="1"/>
  <c r="AN565" i="5" s="1"/>
  <c r="AO565" i="5" s="1"/>
  <c r="AS565" i="5" s="1"/>
  <c r="P550" i="5"/>
  <c r="Q550" i="5" s="1"/>
  <c r="R550" i="5" s="1"/>
  <c r="S550" i="5" s="1"/>
  <c r="T550" i="5" s="1"/>
  <c r="U550" i="5" s="1"/>
  <c r="V550" i="5" s="1"/>
  <c r="W550" i="5" s="1"/>
  <c r="X550" i="5" s="1"/>
  <c r="Y550" i="5" s="1"/>
  <c r="Z550" i="5" s="1"/>
  <c r="N550" i="5"/>
  <c r="N542" i="5"/>
  <c r="P542" i="5"/>
  <c r="Q542" i="5" s="1"/>
  <c r="R542" i="5" s="1"/>
  <c r="S542" i="5" s="1"/>
  <c r="T542" i="5" s="1"/>
  <c r="U542" i="5" s="1"/>
  <c r="V542" i="5" s="1"/>
  <c r="W542" i="5" s="1"/>
  <c r="X542" i="5" s="1"/>
  <c r="Y542" i="5" s="1"/>
  <c r="Z542" i="5" s="1"/>
  <c r="N534" i="5"/>
  <c r="AC534" i="5"/>
  <c r="AR534" i="5" s="1"/>
  <c r="O534" i="5"/>
  <c r="AC519" i="5"/>
  <c r="N519" i="5"/>
  <c r="M518" i="5"/>
  <c r="O519" i="5"/>
  <c r="O506" i="5"/>
  <c r="AC506" i="5"/>
  <c r="AR506" i="5"/>
  <c r="N506" i="5"/>
  <c r="N494" i="5"/>
  <c r="O494" i="5"/>
  <c r="P494" i="5" s="1"/>
  <c r="Q494" i="5" s="1"/>
  <c r="R494" i="5" s="1"/>
  <c r="S494" i="5" s="1"/>
  <c r="T494" i="5" s="1"/>
  <c r="U494" i="5" s="1"/>
  <c r="V494" i="5" s="1"/>
  <c r="W494" i="5" s="1"/>
  <c r="X494" i="5" s="1"/>
  <c r="Y494" i="5" s="1"/>
  <c r="Z494" i="5" s="1"/>
  <c r="AD494" i="5" s="1"/>
  <c r="N486" i="5"/>
  <c r="O486" i="5"/>
  <c r="P486" i="5" s="1"/>
  <c r="Q486" i="5" s="1"/>
  <c r="R486" i="5" s="1"/>
  <c r="S486" i="5" s="1"/>
  <c r="T486" i="5" s="1"/>
  <c r="U486" i="5" s="1"/>
  <c r="V486" i="5" s="1"/>
  <c r="W486" i="5" s="1"/>
  <c r="X486" i="5" s="1"/>
  <c r="Y486" i="5" s="1"/>
  <c r="Z486" i="5" s="1"/>
  <c r="AD486" i="5" s="1"/>
  <c r="AE486" i="5" s="1"/>
  <c r="AF486" i="5" s="1"/>
  <c r="AG486" i="5" s="1"/>
  <c r="AH486" i="5" s="1"/>
  <c r="AI486" i="5" s="1"/>
  <c r="AJ486" i="5" s="1"/>
  <c r="AK486" i="5" s="1"/>
  <c r="AL486" i="5" s="1"/>
  <c r="AM486" i="5" s="1"/>
  <c r="AN486" i="5" s="1"/>
  <c r="AO486" i="5" s="1"/>
  <c r="AS486" i="5" s="1"/>
  <c r="AC486" i="5"/>
  <c r="AC478" i="5"/>
  <c r="AR478" i="5"/>
  <c r="N478" i="5"/>
  <c r="O478" i="5"/>
  <c r="P478" i="5" s="1"/>
  <c r="Q478" i="5" s="1"/>
  <c r="R478" i="5" s="1"/>
  <c r="S478" i="5" s="1"/>
  <c r="T478" i="5" s="1"/>
  <c r="U478" i="5" s="1"/>
  <c r="V478" i="5" s="1"/>
  <c r="W478" i="5" s="1"/>
  <c r="X478" i="5" s="1"/>
  <c r="Y478" i="5" s="1"/>
  <c r="Z478" i="5" s="1"/>
  <c r="AD478" i="5" s="1"/>
  <c r="AE478" i="5" s="1"/>
  <c r="AF478" i="5" s="1"/>
  <c r="AG478" i="5" s="1"/>
  <c r="AH478" i="5" s="1"/>
  <c r="AI478" i="5" s="1"/>
  <c r="AJ478" i="5" s="1"/>
  <c r="AK478" i="5" s="1"/>
  <c r="AL478" i="5" s="1"/>
  <c r="AM478" i="5" s="1"/>
  <c r="AN478" i="5" s="1"/>
  <c r="AO478" i="5" s="1"/>
  <c r="AS478" i="5" s="1"/>
  <c r="AT478" i="5" s="1"/>
  <c r="AU478" i="5" s="1"/>
  <c r="AV478" i="5" s="1"/>
  <c r="AW478" i="5" s="1"/>
  <c r="AX478" i="5" s="1"/>
  <c r="AY478" i="5" s="1"/>
  <c r="AZ478" i="5" s="1"/>
  <c r="BA478" i="5" s="1"/>
  <c r="BB478" i="5" s="1"/>
  <c r="BC478" i="5" s="1"/>
  <c r="BD478" i="5" s="1"/>
  <c r="AR470" i="5"/>
  <c r="N470" i="5"/>
  <c r="AC470" i="5"/>
  <c r="O470" i="5"/>
  <c r="AR462" i="5"/>
  <c r="AC462" i="5"/>
  <c r="N462" i="5"/>
  <c r="O462" i="5"/>
  <c r="P462" i="5" s="1"/>
  <c r="Q462" i="5" s="1"/>
  <c r="R462" i="5" s="1"/>
  <c r="S462" i="5" s="1"/>
  <c r="T462" i="5" s="1"/>
  <c r="U462" i="5" s="1"/>
  <c r="V462" i="5" s="1"/>
  <c r="W462" i="5" s="1"/>
  <c r="X462" i="5" s="1"/>
  <c r="Y462" i="5" s="1"/>
  <c r="Z462" i="5" s="1"/>
  <c r="AD462" i="5" s="1"/>
  <c r="AE462" i="5" s="1"/>
  <c r="AF462" i="5" s="1"/>
  <c r="AG462" i="5" s="1"/>
  <c r="AH462" i="5" s="1"/>
  <c r="AI462" i="5" s="1"/>
  <c r="AJ462" i="5" s="1"/>
  <c r="AK462" i="5" s="1"/>
  <c r="AL462" i="5" s="1"/>
  <c r="AM462" i="5" s="1"/>
  <c r="AN462" i="5" s="1"/>
  <c r="AO462" i="5" s="1"/>
  <c r="AS462" i="5" s="1"/>
  <c r="AT462" i="5" s="1"/>
  <c r="AU462" i="5" s="1"/>
  <c r="AV462" i="5" s="1"/>
  <c r="AW462" i="5" s="1"/>
  <c r="AX462" i="5" s="1"/>
  <c r="AY462" i="5" s="1"/>
  <c r="AZ462" i="5" s="1"/>
  <c r="BA462" i="5" s="1"/>
  <c r="BB462" i="5" s="1"/>
  <c r="BC462" i="5" s="1"/>
  <c r="BD462" i="5" s="1"/>
  <c r="AC454" i="5"/>
  <c r="N454" i="5"/>
  <c r="O454" i="5"/>
  <c r="P454" i="5" s="1"/>
  <c r="Q454" i="5" s="1"/>
  <c r="R454" i="5" s="1"/>
  <c r="S454" i="5" s="1"/>
  <c r="T454" i="5" s="1"/>
  <c r="U454" i="5" s="1"/>
  <c r="V454" i="5" s="1"/>
  <c r="W454" i="5" s="1"/>
  <c r="X454" i="5" s="1"/>
  <c r="Y454" i="5" s="1"/>
  <c r="Z454" i="5" s="1"/>
  <c r="AD454" i="5" s="1"/>
  <c r="AE454" i="5" s="1"/>
  <c r="AF454" i="5" s="1"/>
  <c r="AG454" i="5" s="1"/>
  <c r="AH454" i="5" s="1"/>
  <c r="AI454" i="5" s="1"/>
  <c r="AJ454" i="5" s="1"/>
  <c r="AK454" i="5" s="1"/>
  <c r="AL454" i="5" s="1"/>
  <c r="AM454" i="5" s="1"/>
  <c r="AN454" i="5" s="1"/>
  <c r="AO454" i="5" s="1"/>
  <c r="AS454" i="5" s="1"/>
  <c r="AC446" i="5"/>
  <c r="O446" i="5"/>
  <c r="P446" i="5" s="1"/>
  <c r="Q446" i="5" s="1"/>
  <c r="R446" i="5" s="1"/>
  <c r="S446" i="5" s="1"/>
  <c r="T446" i="5" s="1"/>
  <c r="U446" i="5" s="1"/>
  <c r="V446" i="5" s="1"/>
  <c r="W446" i="5" s="1"/>
  <c r="X446" i="5" s="1"/>
  <c r="Y446" i="5" s="1"/>
  <c r="Z446" i="5" s="1"/>
  <c r="AD446" i="5" s="1"/>
  <c r="AE446" i="5" s="1"/>
  <c r="AF446" i="5" s="1"/>
  <c r="AG446" i="5" s="1"/>
  <c r="AH446" i="5" s="1"/>
  <c r="AI446" i="5" s="1"/>
  <c r="AJ446" i="5" s="1"/>
  <c r="AK446" i="5" s="1"/>
  <c r="AL446" i="5" s="1"/>
  <c r="AM446" i="5" s="1"/>
  <c r="AN446" i="5" s="1"/>
  <c r="AO446" i="5" s="1"/>
  <c r="AS446" i="5" s="1"/>
  <c r="AT446" i="5" s="1"/>
  <c r="AU446" i="5" s="1"/>
  <c r="AV446" i="5" s="1"/>
  <c r="AW446" i="5" s="1"/>
  <c r="AX446" i="5" s="1"/>
  <c r="AY446" i="5" s="1"/>
  <c r="AZ446" i="5" s="1"/>
  <c r="BA446" i="5" s="1"/>
  <c r="BB446" i="5" s="1"/>
  <c r="BC446" i="5" s="1"/>
  <c r="BD446" i="5" s="1"/>
  <c r="N446" i="5"/>
  <c r="AR446" i="5"/>
  <c r="N438" i="5"/>
  <c r="O438" i="5"/>
  <c r="P438" i="5" s="1"/>
  <c r="Q438" i="5" s="1"/>
  <c r="R438" i="5" s="1"/>
  <c r="S438" i="5" s="1"/>
  <c r="T438" i="5" s="1"/>
  <c r="U438" i="5" s="1"/>
  <c r="V438" i="5" s="1"/>
  <c r="W438" i="5" s="1"/>
  <c r="X438" i="5" s="1"/>
  <c r="Y438" i="5" s="1"/>
  <c r="Z438" i="5" s="1"/>
  <c r="AD438" i="5" s="1"/>
  <c r="O430" i="5"/>
  <c r="N430" i="5"/>
  <c r="AC430" i="5"/>
  <c r="AR430" i="5"/>
  <c r="N423" i="5"/>
  <c r="AC423" i="5"/>
  <c r="O423" i="5"/>
  <c r="AR423" i="5"/>
  <c r="AR416" i="5"/>
  <c r="N416" i="5"/>
  <c r="AC416" i="5"/>
  <c r="O416" i="5"/>
  <c r="AR391" i="5"/>
  <c r="N391" i="5"/>
  <c r="AC391" i="5"/>
  <c r="O391" i="5"/>
  <c r="AC383" i="5"/>
  <c r="AR383" i="5"/>
  <c r="N383" i="5"/>
  <c r="O383" i="5"/>
  <c r="AC372" i="5"/>
  <c r="AR372" i="5"/>
  <c r="O372" i="5"/>
  <c r="N372" i="5"/>
  <c r="AR366" i="5"/>
  <c r="N366" i="5"/>
  <c r="AC366" i="5"/>
  <c r="O366" i="5"/>
  <c r="P366" i="5" s="1"/>
  <c r="Q366" i="5" s="1"/>
  <c r="R366" i="5" s="1"/>
  <c r="S366" i="5" s="1"/>
  <c r="T366" i="5" s="1"/>
  <c r="U366" i="5" s="1"/>
  <c r="V366" i="5" s="1"/>
  <c r="W366" i="5" s="1"/>
  <c r="X366" i="5" s="1"/>
  <c r="Y366" i="5" s="1"/>
  <c r="Z366" i="5" s="1"/>
  <c r="AD366" i="5" s="1"/>
  <c r="AE366" i="5" s="1"/>
  <c r="AF366" i="5" s="1"/>
  <c r="AG366" i="5" s="1"/>
  <c r="AH366" i="5" s="1"/>
  <c r="AI366" i="5" s="1"/>
  <c r="AJ366" i="5" s="1"/>
  <c r="AK366" i="5" s="1"/>
  <c r="AL366" i="5" s="1"/>
  <c r="AM366" i="5" s="1"/>
  <c r="AN366" i="5" s="1"/>
  <c r="AO366" i="5" s="1"/>
  <c r="AS366" i="5" s="1"/>
  <c r="AT366" i="5" s="1"/>
  <c r="AU366" i="5" s="1"/>
  <c r="AV366" i="5" s="1"/>
  <c r="AW366" i="5" s="1"/>
  <c r="AX366" i="5" s="1"/>
  <c r="AY366" i="5" s="1"/>
  <c r="AZ366" i="5" s="1"/>
  <c r="BA366" i="5" s="1"/>
  <c r="BB366" i="5" s="1"/>
  <c r="BC366" i="5" s="1"/>
  <c r="BD366" i="5" s="1"/>
  <c r="AC358" i="5"/>
  <c r="AR358" i="5"/>
  <c r="N358" i="5"/>
  <c r="O358" i="5"/>
  <c r="P358" i="5" s="1"/>
  <c r="Q358" i="5" s="1"/>
  <c r="R358" i="5" s="1"/>
  <c r="S358" i="5" s="1"/>
  <c r="T358" i="5" s="1"/>
  <c r="U358" i="5" s="1"/>
  <c r="V358" i="5" s="1"/>
  <c r="W358" i="5" s="1"/>
  <c r="X358" i="5" s="1"/>
  <c r="Y358" i="5" s="1"/>
  <c r="Z358" i="5" s="1"/>
  <c r="AD358" i="5" s="1"/>
  <c r="AE358" i="5" s="1"/>
  <c r="AF358" i="5" s="1"/>
  <c r="AG358" i="5" s="1"/>
  <c r="AH358" i="5" s="1"/>
  <c r="AI358" i="5" s="1"/>
  <c r="AJ358" i="5" s="1"/>
  <c r="AK358" i="5" s="1"/>
  <c r="AL358" i="5" s="1"/>
  <c r="AM358" i="5" s="1"/>
  <c r="AN358" i="5" s="1"/>
  <c r="AO358" i="5" s="1"/>
  <c r="AS358" i="5" s="1"/>
  <c r="AT358" i="5" s="1"/>
  <c r="AU358" i="5" s="1"/>
  <c r="AV358" i="5" s="1"/>
  <c r="AW358" i="5" s="1"/>
  <c r="AX358" i="5" s="1"/>
  <c r="AY358" i="5" s="1"/>
  <c r="AZ358" i="5" s="1"/>
  <c r="BA358" i="5" s="1"/>
  <c r="BB358" i="5" s="1"/>
  <c r="BC358" i="5" s="1"/>
  <c r="BD358" i="5" s="1"/>
  <c r="AC350" i="5"/>
  <c r="N350" i="5"/>
  <c r="AR350" i="5"/>
  <c r="O350" i="5"/>
  <c r="P350" i="5" s="1"/>
  <c r="Q350" i="5" s="1"/>
  <c r="R350" i="5" s="1"/>
  <c r="S350" i="5" s="1"/>
  <c r="T350" i="5" s="1"/>
  <c r="U350" i="5" s="1"/>
  <c r="V350" i="5" s="1"/>
  <c r="W350" i="5" s="1"/>
  <c r="X350" i="5" s="1"/>
  <c r="Y350" i="5" s="1"/>
  <c r="Z350" i="5" s="1"/>
  <c r="AD350" i="5" s="1"/>
  <c r="AE350" i="5" s="1"/>
  <c r="AF350" i="5" s="1"/>
  <c r="AG350" i="5" s="1"/>
  <c r="AH350" i="5" s="1"/>
  <c r="AI350" i="5" s="1"/>
  <c r="AJ350" i="5" s="1"/>
  <c r="AK350" i="5" s="1"/>
  <c r="AL350" i="5" s="1"/>
  <c r="AM350" i="5" s="1"/>
  <c r="AN350" i="5" s="1"/>
  <c r="AO350" i="5" s="1"/>
  <c r="AS350" i="5" s="1"/>
  <c r="AT350" i="5" s="1"/>
  <c r="AU350" i="5" s="1"/>
  <c r="AV350" i="5" s="1"/>
  <c r="AW350" i="5" s="1"/>
  <c r="AX350" i="5" s="1"/>
  <c r="AY350" i="5" s="1"/>
  <c r="AZ350" i="5" s="1"/>
  <c r="BA350" i="5" s="1"/>
  <c r="BB350" i="5" s="1"/>
  <c r="BC350" i="5" s="1"/>
  <c r="BD350" i="5" s="1"/>
  <c r="N338" i="5"/>
  <c r="AC338" i="5"/>
  <c r="O338" i="5"/>
  <c r="P338" i="5" s="1"/>
  <c r="Q338" i="5" s="1"/>
  <c r="R338" i="5" s="1"/>
  <c r="S338" i="5" s="1"/>
  <c r="T338" i="5" s="1"/>
  <c r="U338" i="5" s="1"/>
  <c r="V338" i="5" s="1"/>
  <c r="W338" i="5" s="1"/>
  <c r="X338" i="5" s="1"/>
  <c r="Y338" i="5" s="1"/>
  <c r="Z338" i="5" s="1"/>
  <c r="AD338" i="5" s="1"/>
  <c r="AE338" i="5" s="1"/>
  <c r="AF338" i="5" s="1"/>
  <c r="AG338" i="5" s="1"/>
  <c r="AH338" i="5" s="1"/>
  <c r="AI338" i="5" s="1"/>
  <c r="AJ338" i="5" s="1"/>
  <c r="AK338" i="5" s="1"/>
  <c r="AL338" i="5" s="1"/>
  <c r="AM338" i="5" s="1"/>
  <c r="AN338" i="5" s="1"/>
  <c r="AO338" i="5" s="1"/>
  <c r="AS338" i="5" s="1"/>
  <c r="AC323" i="5"/>
  <c r="N323" i="5"/>
  <c r="AR323" i="5"/>
  <c r="O323" i="5"/>
  <c r="P323" i="5" s="1"/>
  <c r="Q323" i="5" s="1"/>
  <c r="R323" i="5" s="1"/>
  <c r="S323" i="5" s="1"/>
  <c r="T323" i="5" s="1"/>
  <c r="U323" i="5" s="1"/>
  <c r="V323" i="5" s="1"/>
  <c r="W323" i="5" s="1"/>
  <c r="X323" i="5" s="1"/>
  <c r="Y323" i="5" s="1"/>
  <c r="Z323" i="5" s="1"/>
  <c r="AD323" i="5" s="1"/>
  <c r="AE323" i="5" s="1"/>
  <c r="AF323" i="5" s="1"/>
  <c r="AG323" i="5" s="1"/>
  <c r="AH323" i="5" s="1"/>
  <c r="AI323" i="5" s="1"/>
  <c r="AJ323" i="5" s="1"/>
  <c r="AK323" i="5" s="1"/>
  <c r="AL323" i="5" s="1"/>
  <c r="AM323" i="5" s="1"/>
  <c r="AN323" i="5" s="1"/>
  <c r="AO323" i="5" s="1"/>
  <c r="AS323" i="5" s="1"/>
  <c r="AT323" i="5" s="1"/>
  <c r="AU323" i="5" s="1"/>
  <c r="AV323" i="5" s="1"/>
  <c r="AW323" i="5" s="1"/>
  <c r="AX323" i="5" s="1"/>
  <c r="AY323" i="5" s="1"/>
  <c r="AZ323" i="5" s="1"/>
  <c r="BA323" i="5" s="1"/>
  <c r="BB323" i="5" s="1"/>
  <c r="BC323" i="5" s="1"/>
  <c r="BD323" i="5" s="1"/>
  <c r="AR310" i="5"/>
  <c r="AC310" i="5"/>
  <c r="O310" i="5"/>
  <c r="P310" i="5" s="1"/>
  <c r="Q310" i="5" s="1"/>
  <c r="R310" i="5" s="1"/>
  <c r="S310" i="5" s="1"/>
  <c r="T310" i="5" s="1"/>
  <c r="U310" i="5" s="1"/>
  <c r="V310" i="5" s="1"/>
  <c r="W310" i="5" s="1"/>
  <c r="X310" i="5" s="1"/>
  <c r="Y310" i="5" s="1"/>
  <c r="Z310" i="5" s="1"/>
  <c r="AD310" i="5" s="1"/>
  <c r="AE310" i="5" s="1"/>
  <c r="AF310" i="5" s="1"/>
  <c r="AG310" i="5" s="1"/>
  <c r="AH310" i="5" s="1"/>
  <c r="AI310" i="5" s="1"/>
  <c r="AJ310" i="5" s="1"/>
  <c r="AK310" i="5" s="1"/>
  <c r="AL310" i="5" s="1"/>
  <c r="AM310" i="5" s="1"/>
  <c r="AN310" i="5" s="1"/>
  <c r="AO310" i="5" s="1"/>
  <c r="AS310" i="5" s="1"/>
  <c r="AT310" i="5" s="1"/>
  <c r="AU310" i="5" s="1"/>
  <c r="AV310" i="5" s="1"/>
  <c r="AW310" i="5" s="1"/>
  <c r="AX310" i="5" s="1"/>
  <c r="AY310" i="5" s="1"/>
  <c r="AZ310" i="5" s="1"/>
  <c r="BA310" i="5" s="1"/>
  <c r="BB310" i="5" s="1"/>
  <c r="BC310" i="5" s="1"/>
  <c r="BD310" i="5" s="1"/>
  <c r="N310" i="5"/>
  <c r="AC301" i="5"/>
  <c r="AR301" i="5"/>
  <c r="O301" i="5"/>
  <c r="N301" i="5"/>
  <c r="N282" i="5"/>
  <c r="AC282" i="5"/>
  <c r="O282" i="5"/>
  <c r="P282" i="5" s="1"/>
  <c r="Q282" i="5" s="1"/>
  <c r="R282" i="5" s="1"/>
  <c r="S282" i="5" s="1"/>
  <c r="T282" i="5" s="1"/>
  <c r="U282" i="5" s="1"/>
  <c r="V282" i="5" s="1"/>
  <c r="W282" i="5" s="1"/>
  <c r="X282" i="5" s="1"/>
  <c r="Y282" i="5" s="1"/>
  <c r="Z282" i="5" s="1"/>
  <c r="AD282" i="5" s="1"/>
  <c r="AE282" i="5" s="1"/>
  <c r="AF282" i="5" s="1"/>
  <c r="AG282" i="5" s="1"/>
  <c r="AH282" i="5" s="1"/>
  <c r="AI282" i="5" s="1"/>
  <c r="AJ282" i="5" s="1"/>
  <c r="AK282" i="5" s="1"/>
  <c r="AL282" i="5" s="1"/>
  <c r="AM282" i="5" s="1"/>
  <c r="AN282" i="5" s="1"/>
  <c r="AO282" i="5" s="1"/>
  <c r="AS282" i="5" s="1"/>
  <c r="AT282" i="5" s="1"/>
  <c r="AU282" i="5" s="1"/>
  <c r="AV282" i="5" s="1"/>
  <c r="AW282" i="5" s="1"/>
  <c r="AX282" i="5" s="1"/>
  <c r="AY282" i="5" s="1"/>
  <c r="AZ282" i="5" s="1"/>
  <c r="BA282" i="5" s="1"/>
  <c r="BB282" i="5" s="1"/>
  <c r="BC282" i="5" s="1"/>
  <c r="BD282" i="5" s="1"/>
  <c r="AR282" i="5"/>
  <c r="AC274" i="5"/>
  <c r="N274" i="5"/>
  <c r="O274" i="5"/>
  <c r="AR274" i="5"/>
  <c r="AR266" i="5"/>
  <c r="AC266" i="5"/>
  <c r="N266" i="5"/>
  <c r="O266" i="5"/>
  <c r="AR258" i="5"/>
  <c r="N258" i="5"/>
  <c r="O258" i="5"/>
  <c r="AC258" i="5"/>
  <c r="N250" i="5"/>
  <c r="AC250" i="5"/>
  <c r="O250" i="5"/>
  <c r="P250" i="5" s="1"/>
  <c r="Q250" i="5" s="1"/>
  <c r="R250" i="5" s="1"/>
  <c r="S250" i="5" s="1"/>
  <c r="T250" i="5" s="1"/>
  <c r="U250" i="5" s="1"/>
  <c r="V250" i="5" s="1"/>
  <c r="W250" i="5" s="1"/>
  <c r="X250" i="5" s="1"/>
  <c r="Y250" i="5" s="1"/>
  <c r="Z250" i="5" s="1"/>
  <c r="AD250" i="5" s="1"/>
  <c r="AE250" i="5" s="1"/>
  <c r="AF250" i="5" s="1"/>
  <c r="AG250" i="5" s="1"/>
  <c r="AH250" i="5" s="1"/>
  <c r="AI250" i="5" s="1"/>
  <c r="AJ250" i="5" s="1"/>
  <c r="AK250" i="5" s="1"/>
  <c r="AL250" i="5" s="1"/>
  <c r="AM250" i="5" s="1"/>
  <c r="AN250" i="5" s="1"/>
  <c r="AO250" i="5" s="1"/>
  <c r="AC242" i="5"/>
  <c r="N242" i="5"/>
  <c r="O242" i="5"/>
  <c r="P242" i="5" s="1"/>
  <c r="Q242" i="5" s="1"/>
  <c r="R242" i="5" s="1"/>
  <c r="S242" i="5" s="1"/>
  <c r="T242" i="5" s="1"/>
  <c r="U242" i="5" s="1"/>
  <c r="V242" i="5" s="1"/>
  <c r="W242" i="5" s="1"/>
  <c r="X242" i="5" s="1"/>
  <c r="Y242" i="5" s="1"/>
  <c r="Z242" i="5" s="1"/>
  <c r="AD242" i="5" s="1"/>
  <c r="AE242" i="5" s="1"/>
  <c r="AF242" i="5" s="1"/>
  <c r="AG242" i="5" s="1"/>
  <c r="AH242" i="5" s="1"/>
  <c r="AI242" i="5" s="1"/>
  <c r="AJ242" i="5" s="1"/>
  <c r="AK242" i="5" s="1"/>
  <c r="AL242" i="5" s="1"/>
  <c r="AM242" i="5" s="1"/>
  <c r="AN242" i="5" s="1"/>
  <c r="AO242" i="5" s="1"/>
  <c r="AC234" i="5"/>
  <c r="AR234" i="5"/>
  <c r="N234" i="5"/>
  <c r="O234" i="5"/>
  <c r="P234" i="5" s="1"/>
  <c r="Q234" i="5" s="1"/>
  <c r="R234" i="5" s="1"/>
  <c r="S234" i="5" s="1"/>
  <c r="T234" i="5" s="1"/>
  <c r="U234" i="5" s="1"/>
  <c r="V234" i="5" s="1"/>
  <c r="W234" i="5" s="1"/>
  <c r="X234" i="5" s="1"/>
  <c r="Y234" i="5" s="1"/>
  <c r="Z234" i="5" s="1"/>
  <c r="AD234" i="5" s="1"/>
  <c r="AE234" i="5" s="1"/>
  <c r="AF234" i="5" s="1"/>
  <c r="AG234" i="5" s="1"/>
  <c r="AH234" i="5" s="1"/>
  <c r="AI234" i="5" s="1"/>
  <c r="AJ234" i="5" s="1"/>
  <c r="AK234" i="5" s="1"/>
  <c r="AL234" i="5" s="1"/>
  <c r="AM234" i="5" s="1"/>
  <c r="AN234" i="5" s="1"/>
  <c r="AO234" i="5" s="1"/>
  <c r="AS234" i="5" s="1"/>
  <c r="AT234" i="5" s="1"/>
  <c r="AU234" i="5" s="1"/>
  <c r="AV234" i="5" s="1"/>
  <c r="AW234" i="5" s="1"/>
  <c r="AX234" i="5" s="1"/>
  <c r="AY234" i="5" s="1"/>
  <c r="AZ234" i="5" s="1"/>
  <c r="BA234" i="5" s="1"/>
  <c r="BB234" i="5" s="1"/>
  <c r="BC234" i="5" s="1"/>
  <c r="BD234" i="5" s="1"/>
  <c r="AR218" i="5"/>
  <c r="N218" i="5"/>
  <c r="AC218" i="5"/>
  <c r="O218" i="5"/>
  <c r="AR210" i="5"/>
  <c r="N210" i="5"/>
  <c r="AC210" i="5"/>
  <c r="O210" i="5"/>
  <c r="N202" i="5"/>
  <c r="O202" i="5"/>
  <c r="P202" i="5" s="1"/>
  <c r="Q202" i="5" s="1"/>
  <c r="R202" i="5" s="1"/>
  <c r="S202" i="5" s="1"/>
  <c r="T202" i="5" s="1"/>
  <c r="U202" i="5" s="1"/>
  <c r="V202" i="5" s="1"/>
  <c r="W202" i="5" s="1"/>
  <c r="X202" i="5" s="1"/>
  <c r="Y202" i="5" s="1"/>
  <c r="Z202" i="5" s="1"/>
  <c r="AD202" i="5" s="1"/>
  <c r="AE202" i="5" s="1"/>
  <c r="AF202" i="5" s="1"/>
  <c r="AG202" i="5" s="1"/>
  <c r="AH202" i="5" s="1"/>
  <c r="AI202" i="5" s="1"/>
  <c r="AJ202" i="5" s="1"/>
  <c r="AK202" i="5" s="1"/>
  <c r="N190" i="5"/>
  <c r="AC190" i="5"/>
  <c r="AR190" i="5"/>
  <c r="O190" i="5"/>
  <c r="N182" i="5"/>
  <c r="AC182" i="5"/>
  <c r="AR182" i="5"/>
  <c r="O182" i="5"/>
  <c r="N170" i="5"/>
  <c r="AR170" i="5"/>
  <c r="AC170" i="5"/>
  <c r="O170" i="5"/>
  <c r="P170" i="5" s="1"/>
  <c r="Q170" i="5" s="1"/>
  <c r="R170" i="5" s="1"/>
  <c r="S170" i="5" s="1"/>
  <c r="T170" i="5" s="1"/>
  <c r="U170" i="5" s="1"/>
  <c r="V170" i="5" s="1"/>
  <c r="W170" i="5" s="1"/>
  <c r="X170" i="5" s="1"/>
  <c r="Y170" i="5" s="1"/>
  <c r="Z170" i="5" s="1"/>
  <c r="AD170" i="5" s="1"/>
  <c r="AE170" i="5" s="1"/>
  <c r="AF170" i="5" s="1"/>
  <c r="AG170" i="5" s="1"/>
  <c r="AH170" i="5" s="1"/>
  <c r="AI170" i="5" s="1"/>
  <c r="AJ170" i="5" s="1"/>
  <c r="AK170" i="5" s="1"/>
  <c r="AL170" i="5" s="1"/>
  <c r="AM170" i="5" s="1"/>
  <c r="AN170" i="5" s="1"/>
  <c r="AO170" i="5" s="1"/>
  <c r="AS170" i="5" s="1"/>
  <c r="AT170" i="5" s="1"/>
  <c r="AU170" i="5" s="1"/>
  <c r="AV170" i="5" s="1"/>
  <c r="AW170" i="5" s="1"/>
  <c r="AX170" i="5" s="1"/>
  <c r="AY170" i="5" s="1"/>
  <c r="AZ170" i="5" s="1"/>
  <c r="BA170" i="5" s="1"/>
  <c r="BB170" i="5" s="1"/>
  <c r="BC170" i="5" s="1"/>
  <c r="BD170" i="5" s="1"/>
  <c r="AR157" i="5"/>
  <c r="N157" i="5"/>
  <c r="AC157" i="5"/>
  <c r="O157" i="5"/>
  <c r="N150" i="5"/>
  <c r="O150" i="5"/>
  <c r="P150" i="5" s="1"/>
  <c r="Q150" i="5" s="1"/>
  <c r="R150" i="5" s="1"/>
  <c r="S150" i="5" s="1"/>
  <c r="T150" i="5" s="1"/>
  <c r="U150" i="5" s="1"/>
  <c r="V150" i="5" s="1"/>
  <c r="W150" i="5" s="1"/>
  <c r="X150" i="5" s="1"/>
  <c r="Y150" i="5" s="1"/>
  <c r="AC143" i="5"/>
  <c r="O143" i="5"/>
  <c r="P143" i="5" s="1"/>
  <c r="Q143" i="5" s="1"/>
  <c r="R143" i="5" s="1"/>
  <c r="S143" i="5" s="1"/>
  <c r="T143" i="5" s="1"/>
  <c r="U143" i="5" s="1"/>
  <c r="V143" i="5" s="1"/>
  <c r="W143" i="5" s="1"/>
  <c r="X143" i="5" s="1"/>
  <c r="Y143" i="5" s="1"/>
  <c r="Z143" i="5" s="1"/>
  <c r="AD143" i="5" s="1"/>
  <c r="AE143" i="5" s="1"/>
  <c r="AF143" i="5" s="1"/>
  <c r="AG143" i="5" s="1"/>
  <c r="AH143" i="5" s="1"/>
  <c r="AI143" i="5" s="1"/>
  <c r="AJ143" i="5" s="1"/>
  <c r="AK143" i="5" s="1"/>
  <c r="AL143" i="5" s="1"/>
  <c r="AM143" i="5" s="1"/>
  <c r="AN143" i="5" s="1"/>
  <c r="AO143" i="5" s="1"/>
  <c r="AS143" i="5" s="1"/>
  <c r="AT143" i="5" s="1"/>
  <c r="AU143" i="5" s="1"/>
  <c r="AV143" i="5" s="1"/>
  <c r="AW143" i="5" s="1"/>
  <c r="AX143" i="5" s="1"/>
  <c r="AY143" i="5" s="1"/>
  <c r="AZ143" i="5" s="1"/>
  <c r="BA143" i="5" s="1"/>
  <c r="BB143" i="5" s="1"/>
  <c r="BC143" i="5" s="1"/>
  <c r="BD143" i="5" s="1"/>
  <c r="AR143" i="5"/>
  <c r="N143" i="5"/>
  <c r="N135" i="5"/>
  <c r="AR135" i="5"/>
  <c r="AC135" i="5"/>
  <c r="O135" i="5"/>
  <c r="P135" i="5" s="1"/>
  <c r="Q135" i="5" s="1"/>
  <c r="R135" i="5" s="1"/>
  <c r="S135" i="5" s="1"/>
  <c r="T135" i="5" s="1"/>
  <c r="U135" i="5" s="1"/>
  <c r="V135" i="5" s="1"/>
  <c r="W135" i="5" s="1"/>
  <c r="X135" i="5" s="1"/>
  <c r="Y135" i="5" s="1"/>
  <c r="Z135" i="5" s="1"/>
  <c r="AD135" i="5" s="1"/>
  <c r="AE135" i="5" s="1"/>
  <c r="AF135" i="5" s="1"/>
  <c r="AG135" i="5" s="1"/>
  <c r="AH135" i="5" s="1"/>
  <c r="AI135" i="5" s="1"/>
  <c r="AJ135" i="5" s="1"/>
  <c r="AK135" i="5" s="1"/>
  <c r="AL135" i="5" s="1"/>
  <c r="AM135" i="5" s="1"/>
  <c r="AN135" i="5" s="1"/>
  <c r="AO135" i="5" s="1"/>
  <c r="AS135" i="5" s="1"/>
  <c r="AT135" i="5" s="1"/>
  <c r="AU135" i="5" s="1"/>
  <c r="AV135" i="5" s="1"/>
  <c r="AW135" i="5" s="1"/>
  <c r="AX135" i="5" s="1"/>
  <c r="AY135" i="5" s="1"/>
  <c r="AZ135" i="5" s="1"/>
  <c r="BA135" i="5" s="1"/>
  <c r="BB135" i="5" s="1"/>
  <c r="BC135" i="5" s="1"/>
  <c r="BD135" i="5" s="1"/>
  <c r="AR127" i="5"/>
  <c r="AC127" i="5"/>
  <c r="N127" i="5"/>
  <c r="O127" i="5"/>
  <c r="P127" i="5" s="1"/>
  <c r="Q127" i="5" s="1"/>
  <c r="R127" i="5" s="1"/>
  <c r="S127" i="5" s="1"/>
  <c r="T127" i="5" s="1"/>
  <c r="U127" i="5" s="1"/>
  <c r="V127" i="5" s="1"/>
  <c r="W127" i="5" s="1"/>
  <c r="X127" i="5" s="1"/>
  <c r="Y127" i="5" s="1"/>
  <c r="Z127" i="5" s="1"/>
  <c r="AD127" i="5" s="1"/>
  <c r="AE127" i="5" s="1"/>
  <c r="AF127" i="5" s="1"/>
  <c r="AG127" i="5" s="1"/>
  <c r="AH127" i="5" s="1"/>
  <c r="AI127" i="5" s="1"/>
  <c r="AJ127" i="5" s="1"/>
  <c r="AK127" i="5" s="1"/>
  <c r="AL127" i="5" s="1"/>
  <c r="AM127" i="5" s="1"/>
  <c r="AN127" i="5" s="1"/>
  <c r="AO127" i="5" s="1"/>
  <c r="AS127" i="5" s="1"/>
  <c r="AT127" i="5" s="1"/>
  <c r="AU127" i="5" s="1"/>
  <c r="AV127" i="5" s="1"/>
  <c r="AW127" i="5" s="1"/>
  <c r="AX127" i="5" s="1"/>
  <c r="AY127" i="5" s="1"/>
  <c r="AZ127" i="5" s="1"/>
  <c r="BA127" i="5" s="1"/>
  <c r="BB127" i="5" s="1"/>
  <c r="BC127" i="5" s="1"/>
  <c r="BD127" i="5" s="1"/>
  <c r="AC120" i="5"/>
  <c r="N120" i="5"/>
  <c r="AR120" i="5"/>
  <c r="O120" i="5"/>
  <c r="N111" i="5"/>
  <c r="O111" i="5"/>
  <c r="P111" i="5" s="1"/>
  <c r="Q111" i="5" s="1"/>
  <c r="R111" i="5" s="1"/>
  <c r="S111" i="5" s="1"/>
  <c r="T111" i="5" s="1"/>
  <c r="U111" i="5" s="1"/>
  <c r="V111" i="5" s="1"/>
  <c r="W111" i="5" s="1"/>
  <c r="X111" i="5" s="1"/>
  <c r="Y111" i="5" s="1"/>
  <c r="Z111" i="5" s="1"/>
  <c r="AD111" i="5" s="1"/>
  <c r="AR103" i="5"/>
  <c r="N103" i="5"/>
  <c r="AC103" i="5"/>
  <c r="O103" i="5"/>
  <c r="P103" i="5" s="1"/>
  <c r="Q103" i="5" s="1"/>
  <c r="R103" i="5" s="1"/>
  <c r="S103" i="5" s="1"/>
  <c r="T103" i="5" s="1"/>
  <c r="U103" i="5" s="1"/>
  <c r="V103" i="5" s="1"/>
  <c r="W103" i="5" s="1"/>
  <c r="X103" i="5" s="1"/>
  <c r="Y103" i="5" s="1"/>
  <c r="Z103" i="5" s="1"/>
  <c r="AD103" i="5" s="1"/>
  <c r="AE103" i="5" s="1"/>
  <c r="AF103" i="5" s="1"/>
  <c r="AG103" i="5" s="1"/>
  <c r="AH103" i="5" s="1"/>
  <c r="AI103" i="5" s="1"/>
  <c r="AJ103" i="5" s="1"/>
  <c r="AK103" i="5" s="1"/>
  <c r="AL103" i="5" s="1"/>
  <c r="AM103" i="5" s="1"/>
  <c r="AN103" i="5" s="1"/>
  <c r="AO103" i="5" s="1"/>
  <c r="AS103" i="5" s="1"/>
  <c r="AT103" i="5" s="1"/>
  <c r="AU103" i="5" s="1"/>
  <c r="AV103" i="5" s="1"/>
  <c r="AW103" i="5" s="1"/>
  <c r="AX103" i="5" s="1"/>
  <c r="AY103" i="5" s="1"/>
  <c r="AZ103" i="5" s="1"/>
  <c r="BA103" i="5" s="1"/>
  <c r="BB103" i="5" s="1"/>
  <c r="BC103" i="5" s="1"/>
  <c r="BD103" i="5" s="1"/>
  <c r="AR92" i="5"/>
  <c r="N92" i="5"/>
  <c r="AC92" i="5"/>
  <c r="O92" i="5"/>
  <c r="N84" i="5"/>
  <c r="AR84" i="5"/>
  <c r="AC84" i="5"/>
  <c r="O84" i="5"/>
  <c r="P84" i="5" s="1"/>
  <c r="Q84" i="5" s="1"/>
  <c r="R84" i="5" s="1"/>
  <c r="S84" i="5" s="1"/>
  <c r="T84" i="5" s="1"/>
  <c r="U84" i="5" s="1"/>
  <c r="V84" i="5" s="1"/>
  <c r="W84" i="5" s="1"/>
  <c r="X84" i="5" s="1"/>
  <c r="Y84" i="5" s="1"/>
  <c r="Z84" i="5" s="1"/>
  <c r="AD84" i="5" s="1"/>
  <c r="AE84" i="5" s="1"/>
  <c r="AF84" i="5" s="1"/>
  <c r="AG84" i="5" s="1"/>
  <c r="AH84" i="5" s="1"/>
  <c r="AI84" i="5" s="1"/>
  <c r="AJ84" i="5" s="1"/>
  <c r="AK84" i="5" s="1"/>
  <c r="AL84" i="5" s="1"/>
  <c r="AM84" i="5" s="1"/>
  <c r="AN84" i="5" s="1"/>
  <c r="AO84" i="5" s="1"/>
  <c r="AS84" i="5" s="1"/>
  <c r="AT84" i="5" s="1"/>
  <c r="AU84" i="5" s="1"/>
  <c r="AV84" i="5" s="1"/>
  <c r="AW84" i="5" s="1"/>
  <c r="AX84" i="5" s="1"/>
  <c r="AY84" i="5" s="1"/>
  <c r="AZ84" i="5" s="1"/>
  <c r="BA84" i="5" s="1"/>
  <c r="BB84" i="5" s="1"/>
  <c r="BC84" i="5" s="1"/>
  <c r="BD84" i="5" s="1"/>
  <c r="AC76" i="5"/>
  <c r="AR76" i="5"/>
  <c r="N76" i="5"/>
  <c r="O76" i="5"/>
  <c r="AR68" i="5"/>
  <c r="N68" i="5"/>
  <c r="AC68" i="5"/>
  <c r="O68" i="5"/>
  <c r="AC60" i="5"/>
  <c r="N60" i="5"/>
  <c r="O60" i="5"/>
  <c r="P60" i="5" s="1"/>
  <c r="Q60" i="5" s="1"/>
  <c r="R60" i="5" s="1"/>
  <c r="S60" i="5" s="1"/>
  <c r="T60" i="5" s="1"/>
  <c r="U60" i="5" s="1"/>
  <c r="V60" i="5" s="1"/>
  <c r="W60" i="5" s="1"/>
  <c r="X60" i="5" s="1"/>
  <c r="Y60" i="5" s="1"/>
  <c r="Z60" i="5" s="1"/>
  <c r="AD60" i="5" s="1"/>
  <c r="AE60" i="5" s="1"/>
  <c r="AF60" i="5" s="1"/>
  <c r="AG60" i="5" s="1"/>
  <c r="AH60" i="5" s="1"/>
  <c r="AI60" i="5" s="1"/>
  <c r="AJ60" i="5" s="1"/>
  <c r="AK60" i="5" s="1"/>
  <c r="AL60" i="5" s="1"/>
  <c r="AM60" i="5" s="1"/>
  <c r="AN60" i="5" s="1"/>
  <c r="AO60" i="5" s="1"/>
  <c r="AS60" i="5" s="1"/>
  <c r="AR52" i="5"/>
  <c r="AC52" i="5"/>
  <c r="O52" i="5"/>
  <c r="P52" i="5" s="1"/>
  <c r="Q52" i="5" s="1"/>
  <c r="R52" i="5" s="1"/>
  <c r="S52" i="5" s="1"/>
  <c r="T52" i="5" s="1"/>
  <c r="U52" i="5" s="1"/>
  <c r="V52" i="5" s="1"/>
  <c r="W52" i="5" s="1"/>
  <c r="X52" i="5" s="1"/>
  <c r="Y52" i="5" s="1"/>
  <c r="Z52" i="5" s="1"/>
  <c r="AD52" i="5" s="1"/>
  <c r="AE52" i="5" s="1"/>
  <c r="AF52" i="5" s="1"/>
  <c r="AG52" i="5" s="1"/>
  <c r="AH52" i="5" s="1"/>
  <c r="AI52" i="5" s="1"/>
  <c r="AJ52" i="5" s="1"/>
  <c r="AK52" i="5" s="1"/>
  <c r="AL52" i="5" s="1"/>
  <c r="AM52" i="5" s="1"/>
  <c r="AN52" i="5" s="1"/>
  <c r="AO52" i="5" s="1"/>
  <c r="AS52" i="5" s="1"/>
  <c r="AT52" i="5" s="1"/>
  <c r="AU52" i="5" s="1"/>
  <c r="AV52" i="5" s="1"/>
  <c r="AW52" i="5" s="1"/>
  <c r="AX52" i="5" s="1"/>
  <c r="AY52" i="5" s="1"/>
  <c r="AZ52" i="5" s="1"/>
  <c r="BA52" i="5" s="1"/>
  <c r="BB52" i="5" s="1"/>
  <c r="BC52" i="5" s="1"/>
  <c r="BD52" i="5" s="1"/>
  <c r="N52" i="5"/>
  <c r="AR17" i="5"/>
  <c r="AC17" i="5"/>
  <c r="N17" i="5"/>
  <c r="O17" i="5"/>
  <c r="P17" i="5" s="1"/>
  <c r="Q17" i="5" s="1"/>
  <c r="R17" i="5" s="1"/>
  <c r="S17" i="5" s="1"/>
  <c r="T17" i="5" s="1"/>
  <c r="U17" i="5" s="1"/>
  <c r="V17" i="5" s="1"/>
  <c r="W17" i="5" s="1"/>
  <c r="X17" i="5" s="1"/>
  <c r="Y17" i="5" s="1"/>
  <c r="Z17" i="5" s="1"/>
  <c r="AD17" i="5" s="1"/>
  <c r="AE17" i="5" s="1"/>
  <c r="AF17" i="5" s="1"/>
  <c r="AG17" i="5" s="1"/>
  <c r="AH17" i="5" s="1"/>
  <c r="AI17" i="5" s="1"/>
  <c r="AJ17" i="5" s="1"/>
  <c r="AK17" i="5" s="1"/>
  <c r="AL17" i="5" s="1"/>
  <c r="AM17" i="5" s="1"/>
  <c r="AN17" i="5" s="1"/>
  <c r="AO17" i="5" s="1"/>
  <c r="AS17" i="5" s="1"/>
  <c r="AT17" i="5" s="1"/>
  <c r="AU17" i="5" s="1"/>
  <c r="AV17" i="5" s="1"/>
  <c r="AW17" i="5" s="1"/>
  <c r="AX17" i="5" s="1"/>
  <c r="AY17" i="5" s="1"/>
  <c r="AZ17" i="5" s="1"/>
  <c r="BA17" i="5" s="1"/>
  <c r="BB17" i="5" s="1"/>
  <c r="BC17" i="5" s="1"/>
  <c r="BD17" i="5" s="1"/>
  <c r="AR9" i="5"/>
  <c r="AC9" i="5"/>
  <c r="O9" i="5"/>
  <c r="P9" i="5" s="1"/>
  <c r="Q9" i="5" s="1"/>
  <c r="R9" i="5" s="1"/>
  <c r="S9" i="5" s="1"/>
  <c r="T9" i="5" s="1"/>
  <c r="U9" i="5" s="1"/>
  <c r="V9" i="5" s="1"/>
  <c r="W9" i="5" s="1"/>
  <c r="X9" i="5" s="1"/>
  <c r="Y9" i="5" s="1"/>
  <c r="Z9" i="5" s="1"/>
  <c r="AD9" i="5" s="1"/>
  <c r="AE9" i="5" s="1"/>
  <c r="AF9" i="5" s="1"/>
  <c r="AG9" i="5" s="1"/>
  <c r="AH9" i="5" s="1"/>
  <c r="AI9" i="5" s="1"/>
  <c r="AJ9" i="5" s="1"/>
  <c r="AK9" i="5" s="1"/>
  <c r="AL9" i="5" s="1"/>
  <c r="AM9" i="5" s="1"/>
  <c r="AN9" i="5" s="1"/>
  <c r="AO9" i="5" s="1"/>
  <c r="AS9" i="5" s="1"/>
  <c r="AT9" i="5" s="1"/>
  <c r="AU9" i="5" s="1"/>
  <c r="AV9" i="5" s="1"/>
  <c r="AW9" i="5" s="1"/>
  <c r="AX9" i="5" s="1"/>
  <c r="AY9" i="5" s="1"/>
  <c r="AZ9" i="5" s="1"/>
  <c r="BA9" i="5" s="1"/>
  <c r="BB9" i="5" s="1"/>
  <c r="BC9" i="5" s="1"/>
  <c r="BD9" i="5" s="1"/>
  <c r="N9" i="5"/>
  <c r="AC89" i="5"/>
  <c r="AR89" i="5"/>
  <c r="N89" i="5"/>
  <c r="O89" i="5"/>
  <c r="P89" i="5" s="1"/>
  <c r="Q89" i="5" s="1"/>
  <c r="R89" i="5" s="1"/>
  <c r="S89" i="5" s="1"/>
  <c r="T89" i="5" s="1"/>
  <c r="U89" i="5" s="1"/>
  <c r="V89" i="5" s="1"/>
  <c r="W89" i="5" s="1"/>
  <c r="X89" i="5" s="1"/>
  <c r="Y89" i="5" s="1"/>
  <c r="Z89" i="5" s="1"/>
  <c r="AD89" i="5" s="1"/>
  <c r="AE89" i="5" s="1"/>
  <c r="AF89" i="5" s="1"/>
  <c r="AG89" i="5" s="1"/>
  <c r="AH89" i="5" s="1"/>
  <c r="AI89" i="5" s="1"/>
  <c r="AJ89" i="5" s="1"/>
  <c r="AK89" i="5" s="1"/>
  <c r="AL89" i="5" s="1"/>
  <c r="AM89" i="5" s="1"/>
  <c r="AN89" i="5" s="1"/>
  <c r="AO89" i="5" s="1"/>
  <c r="AS89" i="5" s="1"/>
  <c r="AT89" i="5" s="1"/>
  <c r="AU89" i="5" s="1"/>
  <c r="AV89" i="5" s="1"/>
  <c r="AW89" i="5" s="1"/>
  <c r="AX89" i="5" s="1"/>
  <c r="AY89" i="5" s="1"/>
  <c r="AZ89" i="5" s="1"/>
  <c r="BA89" i="5" s="1"/>
  <c r="BB89" i="5" s="1"/>
  <c r="BC89" i="5" s="1"/>
  <c r="BD89" i="5" s="1"/>
  <c r="AR65" i="5"/>
  <c r="O65" i="5"/>
  <c r="N65" i="5"/>
  <c r="AC65" i="5"/>
  <c r="N14" i="5"/>
  <c r="O14" i="5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D14" i="5" s="1"/>
  <c r="AR54" i="5"/>
  <c r="N54" i="5"/>
  <c r="AC54" i="5"/>
  <c r="O54" i="5"/>
  <c r="P54" i="5" s="1"/>
  <c r="Q54" i="5" s="1"/>
  <c r="R54" i="5" s="1"/>
  <c r="S54" i="5" s="1"/>
  <c r="T54" i="5" s="1"/>
  <c r="U54" i="5" s="1"/>
  <c r="V54" i="5" s="1"/>
  <c r="W54" i="5" s="1"/>
  <c r="X54" i="5" s="1"/>
  <c r="Y54" i="5" s="1"/>
  <c r="Z54" i="5" s="1"/>
  <c r="AD54" i="5" s="1"/>
  <c r="AE54" i="5" s="1"/>
  <c r="AF54" i="5" s="1"/>
  <c r="AG54" i="5" s="1"/>
  <c r="AH54" i="5" s="1"/>
  <c r="AI54" i="5" s="1"/>
  <c r="AJ54" i="5" s="1"/>
  <c r="AK54" i="5" s="1"/>
  <c r="AL54" i="5" s="1"/>
  <c r="AM54" i="5" s="1"/>
  <c r="AN54" i="5" s="1"/>
  <c r="AO54" i="5" s="1"/>
  <c r="AS54" i="5" s="1"/>
  <c r="AT54" i="5" s="1"/>
  <c r="AU54" i="5" s="1"/>
  <c r="AV54" i="5" s="1"/>
  <c r="AW54" i="5" s="1"/>
  <c r="AX54" i="5" s="1"/>
  <c r="AY54" i="5" s="1"/>
  <c r="AZ54" i="5" s="1"/>
  <c r="BA54" i="5" s="1"/>
  <c r="BB54" i="5" s="1"/>
  <c r="BC54" i="5" s="1"/>
  <c r="BD54" i="5" s="1"/>
  <c r="N19" i="5"/>
  <c r="O19" i="5"/>
  <c r="P19" i="5" s="1"/>
  <c r="Q19" i="5" s="1"/>
  <c r="R19" i="5" s="1"/>
  <c r="S19" i="5" s="1"/>
  <c r="T19" i="5" s="1"/>
  <c r="U19" i="5" s="1"/>
  <c r="V19" i="5" s="1"/>
  <c r="W19" i="5" s="1"/>
  <c r="X19" i="5" s="1"/>
  <c r="Y19" i="5" s="1"/>
  <c r="Z19" i="5" s="1"/>
  <c r="AD19" i="5" s="1"/>
  <c r="AC570" i="5"/>
  <c r="AR570" i="5" s="1"/>
  <c r="N570" i="5"/>
  <c r="O570" i="5"/>
  <c r="P570" i="5" s="1"/>
  <c r="Q570" i="5" s="1"/>
  <c r="R570" i="5" s="1"/>
  <c r="S570" i="5" s="1"/>
  <c r="T570" i="5" s="1"/>
  <c r="U570" i="5" s="1"/>
  <c r="V570" i="5" s="1"/>
  <c r="W570" i="5" s="1"/>
  <c r="X570" i="5" s="1"/>
  <c r="Y570" i="5" s="1"/>
  <c r="Z570" i="5" s="1"/>
  <c r="AD570" i="5" s="1"/>
  <c r="AE570" i="5" s="1"/>
  <c r="AF570" i="5" s="1"/>
  <c r="AG570" i="5" s="1"/>
  <c r="AH570" i="5" s="1"/>
  <c r="AI570" i="5" s="1"/>
  <c r="AJ570" i="5" s="1"/>
  <c r="AK570" i="5" s="1"/>
  <c r="AL570" i="5" s="1"/>
  <c r="AM570" i="5" s="1"/>
  <c r="AN570" i="5" s="1"/>
  <c r="AO570" i="5" s="1"/>
  <c r="AS570" i="5" s="1"/>
  <c r="AT570" i="5" s="1"/>
  <c r="AU570" i="5" s="1"/>
  <c r="AV570" i="5" s="1"/>
  <c r="AW570" i="5" s="1"/>
  <c r="AX570" i="5" s="1"/>
  <c r="AY570" i="5" s="1"/>
  <c r="AZ570" i="5" s="1"/>
  <c r="BA570" i="5" s="1"/>
  <c r="BB570" i="5" s="1"/>
  <c r="BC570" i="5" s="1"/>
  <c r="BD570" i="5" s="1"/>
  <c r="AC563" i="5"/>
  <c r="AR563" i="5" s="1"/>
  <c r="N563" i="5"/>
  <c r="O563" i="5"/>
  <c r="P563" i="5" s="1"/>
  <c r="Q563" i="5" s="1"/>
  <c r="R563" i="5" s="1"/>
  <c r="S563" i="5" s="1"/>
  <c r="T563" i="5" s="1"/>
  <c r="U563" i="5" s="1"/>
  <c r="V563" i="5" s="1"/>
  <c r="W563" i="5" s="1"/>
  <c r="X563" i="5" s="1"/>
  <c r="Y563" i="5" s="1"/>
  <c r="Z563" i="5" s="1"/>
  <c r="AD563" i="5" s="1"/>
  <c r="AE563" i="5" s="1"/>
  <c r="AF563" i="5" s="1"/>
  <c r="AG563" i="5" s="1"/>
  <c r="AH563" i="5" s="1"/>
  <c r="AI563" i="5" s="1"/>
  <c r="AJ563" i="5" s="1"/>
  <c r="AK563" i="5" s="1"/>
  <c r="AL563" i="5" s="1"/>
  <c r="AM563" i="5" s="1"/>
  <c r="AN563" i="5" s="1"/>
  <c r="AO563" i="5" s="1"/>
  <c r="AS563" i="5" s="1"/>
  <c r="AT563" i="5" s="1"/>
  <c r="AU563" i="5" s="1"/>
  <c r="AV563" i="5" s="1"/>
  <c r="AW563" i="5" s="1"/>
  <c r="AX563" i="5" s="1"/>
  <c r="AY563" i="5" s="1"/>
  <c r="AZ563" i="5" s="1"/>
  <c r="BA563" i="5" s="1"/>
  <c r="BB563" i="5" s="1"/>
  <c r="BC563" i="5" s="1"/>
  <c r="BD563" i="5" s="1"/>
  <c r="N547" i="5"/>
  <c r="P547" i="5"/>
  <c r="Q547" i="5" s="1"/>
  <c r="R547" i="5" s="1"/>
  <c r="S547" i="5" s="1"/>
  <c r="T547" i="5" s="1"/>
  <c r="U547" i="5" s="1"/>
  <c r="V547" i="5" s="1"/>
  <c r="W547" i="5" s="1"/>
  <c r="X547" i="5" s="1"/>
  <c r="Y547" i="5" s="1"/>
  <c r="Z547" i="5" s="1"/>
  <c r="N539" i="5"/>
  <c r="P539" i="5"/>
  <c r="Q539" i="5" s="1"/>
  <c r="R539" i="5" s="1"/>
  <c r="S539" i="5" s="1"/>
  <c r="T539" i="5" s="1"/>
  <c r="U539" i="5" s="1"/>
  <c r="V539" i="5" s="1"/>
  <c r="W539" i="5" s="1"/>
  <c r="X539" i="5" s="1"/>
  <c r="Y539" i="5" s="1"/>
  <c r="N531" i="5"/>
  <c r="AC531" i="5"/>
  <c r="AR531" i="5" s="1"/>
  <c r="O531" i="5"/>
  <c r="P531" i="5" s="1"/>
  <c r="Q531" i="5" s="1"/>
  <c r="R531" i="5" s="1"/>
  <c r="S531" i="5" s="1"/>
  <c r="T531" i="5" s="1"/>
  <c r="U531" i="5" s="1"/>
  <c r="V531" i="5" s="1"/>
  <c r="W531" i="5" s="1"/>
  <c r="X531" i="5" s="1"/>
  <c r="Y531" i="5" s="1"/>
  <c r="Z531" i="5" s="1"/>
  <c r="AD531" i="5" s="1"/>
  <c r="AE531" i="5" s="1"/>
  <c r="AF531" i="5" s="1"/>
  <c r="AG531" i="5" s="1"/>
  <c r="AH531" i="5" s="1"/>
  <c r="AI531" i="5" s="1"/>
  <c r="AJ531" i="5" s="1"/>
  <c r="AK531" i="5" s="1"/>
  <c r="AL531" i="5" s="1"/>
  <c r="AM531" i="5" s="1"/>
  <c r="AN531" i="5" s="1"/>
  <c r="AO531" i="5" s="1"/>
  <c r="AS531" i="5" s="1"/>
  <c r="AT531" i="5" s="1"/>
  <c r="AU531" i="5" s="1"/>
  <c r="AV531" i="5" s="1"/>
  <c r="AW531" i="5" s="1"/>
  <c r="AX531" i="5" s="1"/>
  <c r="AY531" i="5" s="1"/>
  <c r="AZ531" i="5" s="1"/>
  <c r="BA531" i="5" s="1"/>
  <c r="BB531" i="5" s="1"/>
  <c r="BC531" i="5" s="1"/>
  <c r="BD531" i="5" s="1"/>
  <c r="N523" i="5"/>
  <c r="AC523" i="5"/>
  <c r="AR523" i="5" s="1"/>
  <c r="O523" i="5"/>
  <c r="P523" i="5" s="1"/>
  <c r="Q523" i="5" s="1"/>
  <c r="R523" i="5" s="1"/>
  <c r="S523" i="5" s="1"/>
  <c r="T523" i="5" s="1"/>
  <c r="U523" i="5" s="1"/>
  <c r="V523" i="5" s="1"/>
  <c r="W523" i="5" s="1"/>
  <c r="X523" i="5" s="1"/>
  <c r="Y523" i="5" s="1"/>
  <c r="Z523" i="5" s="1"/>
  <c r="AD523" i="5" s="1"/>
  <c r="AE523" i="5" s="1"/>
  <c r="AF523" i="5" s="1"/>
  <c r="AG523" i="5" s="1"/>
  <c r="AH523" i="5" s="1"/>
  <c r="AI523" i="5" s="1"/>
  <c r="AJ523" i="5" s="1"/>
  <c r="AK523" i="5" s="1"/>
  <c r="AL523" i="5" s="1"/>
  <c r="AM523" i="5" s="1"/>
  <c r="AN523" i="5" s="1"/>
  <c r="AO523" i="5" s="1"/>
  <c r="AS523" i="5" s="1"/>
  <c r="AT523" i="5" s="1"/>
  <c r="AU523" i="5" s="1"/>
  <c r="AV523" i="5" s="1"/>
  <c r="AW523" i="5" s="1"/>
  <c r="AX523" i="5" s="1"/>
  <c r="AY523" i="5" s="1"/>
  <c r="AZ523" i="5" s="1"/>
  <c r="BA523" i="5" s="1"/>
  <c r="BB523" i="5" s="1"/>
  <c r="BC523" i="5" s="1"/>
  <c r="BD523" i="5" s="1"/>
  <c r="N513" i="5"/>
  <c r="AC513" i="5"/>
  <c r="M511" i="5"/>
  <c r="O513" i="5"/>
  <c r="AR507" i="5"/>
  <c r="AC507" i="5"/>
  <c r="N507" i="5"/>
  <c r="O507" i="5"/>
  <c r="AC495" i="5"/>
  <c r="N495" i="5"/>
  <c r="AR495" i="5"/>
  <c r="O495" i="5"/>
  <c r="P495" i="5" s="1"/>
  <c r="Q495" i="5" s="1"/>
  <c r="R495" i="5" s="1"/>
  <c r="S495" i="5" s="1"/>
  <c r="T495" i="5" s="1"/>
  <c r="U495" i="5" s="1"/>
  <c r="V495" i="5" s="1"/>
  <c r="W495" i="5" s="1"/>
  <c r="X495" i="5" s="1"/>
  <c r="Y495" i="5" s="1"/>
  <c r="Z495" i="5" s="1"/>
  <c r="AD495" i="5" s="1"/>
  <c r="AE495" i="5" s="1"/>
  <c r="AF495" i="5" s="1"/>
  <c r="AG495" i="5" s="1"/>
  <c r="AH495" i="5" s="1"/>
  <c r="AI495" i="5" s="1"/>
  <c r="AJ495" i="5" s="1"/>
  <c r="AK495" i="5" s="1"/>
  <c r="AL495" i="5" s="1"/>
  <c r="AM495" i="5" s="1"/>
  <c r="AN495" i="5" s="1"/>
  <c r="AO495" i="5" s="1"/>
  <c r="AS495" i="5" s="1"/>
  <c r="AT495" i="5" s="1"/>
  <c r="AU495" i="5" s="1"/>
  <c r="AV495" i="5" s="1"/>
  <c r="AW495" i="5" s="1"/>
  <c r="AX495" i="5" s="1"/>
  <c r="AY495" i="5" s="1"/>
  <c r="AZ495" i="5" s="1"/>
  <c r="BA495" i="5" s="1"/>
  <c r="BB495" i="5" s="1"/>
  <c r="BC495" i="5" s="1"/>
  <c r="BD495" i="5" s="1"/>
  <c r="AC487" i="5"/>
  <c r="AR487" i="5"/>
  <c r="N487" i="5"/>
  <c r="O487" i="5"/>
  <c r="AR479" i="5"/>
  <c r="AC479" i="5"/>
  <c r="O479" i="5"/>
  <c r="P479" i="5" s="1"/>
  <c r="Q479" i="5" s="1"/>
  <c r="R479" i="5" s="1"/>
  <c r="S479" i="5" s="1"/>
  <c r="T479" i="5" s="1"/>
  <c r="U479" i="5" s="1"/>
  <c r="V479" i="5" s="1"/>
  <c r="W479" i="5" s="1"/>
  <c r="X479" i="5" s="1"/>
  <c r="Y479" i="5" s="1"/>
  <c r="Z479" i="5" s="1"/>
  <c r="AD479" i="5" s="1"/>
  <c r="AE479" i="5" s="1"/>
  <c r="AF479" i="5" s="1"/>
  <c r="AG479" i="5" s="1"/>
  <c r="AH479" i="5" s="1"/>
  <c r="AI479" i="5" s="1"/>
  <c r="AJ479" i="5" s="1"/>
  <c r="AK479" i="5" s="1"/>
  <c r="AL479" i="5" s="1"/>
  <c r="AM479" i="5" s="1"/>
  <c r="AN479" i="5" s="1"/>
  <c r="AO479" i="5" s="1"/>
  <c r="AS479" i="5" s="1"/>
  <c r="AT479" i="5" s="1"/>
  <c r="AU479" i="5" s="1"/>
  <c r="AV479" i="5" s="1"/>
  <c r="AW479" i="5" s="1"/>
  <c r="AX479" i="5" s="1"/>
  <c r="AY479" i="5" s="1"/>
  <c r="AZ479" i="5" s="1"/>
  <c r="BA479" i="5" s="1"/>
  <c r="BB479" i="5" s="1"/>
  <c r="BC479" i="5" s="1"/>
  <c r="BD479" i="5" s="1"/>
  <c r="N479" i="5"/>
  <c r="N471" i="5"/>
  <c r="AR471" i="5"/>
  <c r="AC471" i="5"/>
  <c r="O471" i="5"/>
  <c r="N463" i="5"/>
  <c r="AR463" i="5"/>
  <c r="AC463" i="5"/>
  <c r="O463" i="5"/>
  <c r="P463" i="5" s="1"/>
  <c r="Q463" i="5" s="1"/>
  <c r="R463" i="5" s="1"/>
  <c r="S463" i="5" s="1"/>
  <c r="T463" i="5" s="1"/>
  <c r="U463" i="5" s="1"/>
  <c r="V463" i="5" s="1"/>
  <c r="W463" i="5" s="1"/>
  <c r="X463" i="5" s="1"/>
  <c r="Y463" i="5" s="1"/>
  <c r="Z463" i="5" s="1"/>
  <c r="AD463" i="5" s="1"/>
  <c r="AE463" i="5" s="1"/>
  <c r="AF463" i="5" s="1"/>
  <c r="AG463" i="5" s="1"/>
  <c r="AH463" i="5" s="1"/>
  <c r="AI463" i="5" s="1"/>
  <c r="AJ463" i="5" s="1"/>
  <c r="AK463" i="5" s="1"/>
  <c r="AL463" i="5" s="1"/>
  <c r="AM463" i="5" s="1"/>
  <c r="AN463" i="5" s="1"/>
  <c r="AO463" i="5" s="1"/>
  <c r="AS463" i="5" s="1"/>
  <c r="AT463" i="5" s="1"/>
  <c r="AU463" i="5" s="1"/>
  <c r="AV463" i="5" s="1"/>
  <c r="AW463" i="5" s="1"/>
  <c r="AX463" i="5" s="1"/>
  <c r="AY463" i="5" s="1"/>
  <c r="AZ463" i="5" s="1"/>
  <c r="BA463" i="5" s="1"/>
  <c r="BB463" i="5" s="1"/>
  <c r="BC463" i="5" s="1"/>
  <c r="BD463" i="5" s="1"/>
  <c r="AC455" i="5"/>
  <c r="N455" i="5"/>
  <c r="AR455" i="5"/>
  <c r="O455" i="5"/>
  <c r="P455" i="5" s="1"/>
  <c r="Q455" i="5" s="1"/>
  <c r="R455" i="5" s="1"/>
  <c r="S455" i="5" s="1"/>
  <c r="T455" i="5" s="1"/>
  <c r="U455" i="5" s="1"/>
  <c r="V455" i="5" s="1"/>
  <c r="W455" i="5" s="1"/>
  <c r="X455" i="5" s="1"/>
  <c r="Y455" i="5" s="1"/>
  <c r="Z455" i="5" s="1"/>
  <c r="AD455" i="5" s="1"/>
  <c r="AE455" i="5" s="1"/>
  <c r="AF455" i="5" s="1"/>
  <c r="AG455" i="5" s="1"/>
  <c r="AH455" i="5" s="1"/>
  <c r="AI455" i="5" s="1"/>
  <c r="AJ455" i="5" s="1"/>
  <c r="AK455" i="5" s="1"/>
  <c r="AL455" i="5" s="1"/>
  <c r="AM455" i="5" s="1"/>
  <c r="AN455" i="5" s="1"/>
  <c r="AO455" i="5" s="1"/>
  <c r="AS455" i="5" s="1"/>
  <c r="AT455" i="5" s="1"/>
  <c r="AU455" i="5" s="1"/>
  <c r="AV455" i="5" s="1"/>
  <c r="AW455" i="5" s="1"/>
  <c r="AX455" i="5" s="1"/>
  <c r="AY455" i="5" s="1"/>
  <c r="AZ455" i="5" s="1"/>
  <c r="BA455" i="5" s="1"/>
  <c r="BB455" i="5" s="1"/>
  <c r="BC455" i="5" s="1"/>
  <c r="BD455" i="5" s="1"/>
  <c r="N447" i="5"/>
  <c r="AR447" i="5"/>
  <c r="AC447" i="5"/>
  <c r="O447" i="5"/>
  <c r="P447" i="5" s="1"/>
  <c r="Q447" i="5" s="1"/>
  <c r="R447" i="5" s="1"/>
  <c r="S447" i="5" s="1"/>
  <c r="T447" i="5" s="1"/>
  <c r="U447" i="5" s="1"/>
  <c r="V447" i="5" s="1"/>
  <c r="W447" i="5" s="1"/>
  <c r="X447" i="5" s="1"/>
  <c r="Y447" i="5" s="1"/>
  <c r="Z447" i="5" s="1"/>
  <c r="AD447" i="5" s="1"/>
  <c r="AE447" i="5" s="1"/>
  <c r="AF447" i="5" s="1"/>
  <c r="AG447" i="5" s="1"/>
  <c r="AH447" i="5" s="1"/>
  <c r="AI447" i="5" s="1"/>
  <c r="AJ447" i="5" s="1"/>
  <c r="AK447" i="5" s="1"/>
  <c r="AL447" i="5" s="1"/>
  <c r="AM447" i="5" s="1"/>
  <c r="AN447" i="5" s="1"/>
  <c r="AO447" i="5" s="1"/>
  <c r="AS447" i="5" s="1"/>
  <c r="AT447" i="5" s="1"/>
  <c r="AU447" i="5" s="1"/>
  <c r="AV447" i="5" s="1"/>
  <c r="AW447" i="5" s="1"/>
  <c r="AX447" i="5" s="1"/>
  <c r="AY447" i="5" s="1"/>
  <c r="AZ447" i="5" s="1"/>
  <c r="BA447" i="5" s="1"/>
  <c r="BB447" i="5" s="1"/>
  <c r="BC447" i="5" s="1"/>
  <c r="BD447" i="5" s="1"/>
  <c r="N439" i="5"/>
  <c r="O439" i="5"/>
  <c r="P439" i="5" s="1"/>
  <c r="Q439" i="5" s="1"/>
  <c r="R439" i="5" s="1"/>
  <c r="S439" i="5" s="1"/>
  <c r="T439" i="5" s="1"/>
  <c r="U439" i="5" s="1"/>
  <c r="V439" i="5" s="1"/>
  <c r="W439" i="5" s="1"/>
  <c r="X439" i="5" s="1"/>
  <c r="Y439" i="5" s="1"/>
  <c r="Z439" i="5" s="1"/>
  <c r="AD439" i="5" s="1"/>
  <c r="AC431" i="5"/>
  <c r="AR431" i="5"/>
  <c r="O431" i="5"/>
  <c r="N431" i="5"/>
  <c r="N424" i="5"/>
  <c r="AC424" i="5"/>
  <c r="O424" i="5"/>
  <c r="N411" i="5"/>
  <c r="AC411" i="5"/>
  <c r="AR411" i="5"/>
  <c r="O411" i="5"/>
  <c r="AC399" i="5"/>
  <c r="AR399" i="5"/>
  <c r="N399" i="5"/>
  <c r="O399" i="5"/>
  <c r="AR388" i="5"/>
  <c r="N388" i="5"/>
  <c r="AC388" i="5"/>
  <c r="O388" i="5"/>
  <c r="N381" i="5"/>
  <c r="O381" i="5"/>
  <c r="AC375" i="5"/>
  <c r="AR375" i="5"/>
  <c r="N375" i="5"/>
  <c r="O375" i="5"/>
  <c r="AC363" i="5"/>
  <c r="AR363" i="5"/>
  <c r="N363" i="5"/>
  <c r="O363" i="5"/>
  <c r="AC355" i="5"/>
  <c r="N355" i="5"/>
  <c r="AR355" i="5"/>
  <c r="O355" i="5"/>
  <c r="AC327" i="5"/>
  <c r="AR327" i="5"/>
  <c r="N327" i="5"/>
  <c r="O327" i="5"/>
  <c r="P327" i="5" s="1"/>
  <c r="Q327" i="5" s="1"/>
  <c r="R327" i="5" s="1"/>
  <c r="S327" i="5" s="1"/>
  <c r="T327" i="5" s="1"/>
  <c r="U327" i="5" s="1"/>
  <c r="V327" i="5" s="1"/>
  <c r="W327" i="5" s="1"/>
  <c r="X327" i="5" s="1"/>
  <c r="Y327" i="5" s="1"/>
  <c r="Z327" i="5" s="1"/>
  <c r="AD327" i="5" s="1"/>
  <c r="AE327" i="5" s="1"/>
  <c r="AF327" i="5" s="1"/>
  <c r="AG327" i="5" s="1"/>
  <c r="AH327" i="5" s="1"/>
  <c r="AI327" i="5" s="1"/>
  <c r="AJ327" i="5" s="1"/>
  <c r="AK327" i="5" s="1"/>
  <c r="AL327" i="5" s="1"/>
  <c r="AM327" i="5" s="1"/>
  <c r="AN327" i="5" s="1"/>
  <c r="AO327" i="5" s="1"/>
  <c r="AS327" i="5" s="1"/>
  <c r="AT327" i="5" s="1"/>
  <c r="AU327" i="5" s="1"/>
  <c r="AV327" i="5" s="1"/>
  <c r="AW327" i="5" s="1"/>
  <c r="AX327" i="5" s="1"/>
  <c r="AY327" i="5" s="1"/>
  <c r="AZ327" i="5" s="1"/>
  <c r="BA327" i="5" s="1"/>
  <c r="AC308" i="5"/>
  <c r="N308" i="5"/>
  <c r="AR308" i="5"/>
  <c r="O308" i="5"/>
  <c r="O295" i="5"/>
  <c r="AC295" i="5"/>
  <c r="AR295" i="5"/>
  <c r="N295" i="5"/>
  <c r="AR288" i="5"/>
  <c r="N288" i="5"/>
  <c r="AC288" i="5"/>
  <c r="O288" i="5"/>
  <c r="P288" i="5" s="1"/>
  <c r="Q288" i="5" s="1"/>
  <c r="R288" i="5" s="1"/>
  <c r="S288" i="5" s="1"/>
  <c r="T288" i="5" s="1"/>
  <c r="U288" i="5" s="1"/>
  <c r="V288" i="5" s="1"/>
  <c r="W288" i="5" s="1"/>
  <c r="X288" i="5" s="1"/>
  <c r="Y288" i="5" s="1"/>
  <c r="Z288" i="5" s="1"/>
  <c r="AD288" i="5" s="1"/>
  <c r="AE288" i="5" s="1"/>
  <c r="AF288" i="5" s="1"/>
  <c r="AG288" i="5" s="1"/>
  <c r="AH288" i="5" s="1"/>
  <c r="AI288" i="5" s="1"/>
  <c r="AJ288" i="5" s="1"/>
  <c r="AK288" i="5" s="1"/>
  <c r="AL288" i="5" s="1"/>
  <c r="AM288" i="5" s="1"/>
  <c r="AN288" i="5" s="1"/>
  <c r="AO288" i="5" s="1"/>
  <c r="AS288" i="5" s="1"/>
  <c r="AT288" i="5" s="1"/>
  <c r="AU288" i="5" s="1"/>
  <c r="AV288" i="5" s="1"/>
  <c r="AW288" i="5" s="1"/>
  <c r="AX288" i="5" s="1"/>
  <c r="AY288" i="5" s="1"/>
  <c r="AZ288" i="5" s="1"/>
  <c r="BA288" i="5" s="1"/>
  <c r="BB288" i="5" s="1"/>
  <c r="BC288" i="5" s="1"/>
  <c r="BD288" i="5" s="1"/>
  <c r="AR275" i="5"/>
  <c r="N275" i="5"/>
  <c r="AC275" i="5"/>
  <c r="O275" i="5"/>
  <c r="AR267" i="5"/>
  <c r="N267" i="5"/>
  <c r="AC267" i="5"/>
  <c r="O267" i="5"/>
  <c r="AC259" i="5"/>
  <c r="N259" i="5"/>
  <c r="AR259" i="5"/>
  <c r="O259" i="5"/>
  <c r="N251" i="5"/>
  <c r="AC251" i="5"/>
  <c r="O251" i="5"/>
  <c r="P251" i="5" s="1"/>
  <c r="Q251" i="5" s="1"/>
  <c r="R251" i="5" s="1"/>
  <c r="S251" i="5" s="1"/>
  <c r="T251" i="5" s="1"/>
  <c r="U251" i="5" s="1"/>
  <c r="V251" i="5" s="1"/>
  <c r="W251" i="5" s="1"/>
  <c r="X251" i="5" s="1"/>
  <c r="Y251" i="5" s="1"/>
  <c r="Z251" i="5" s="1"/>
  <c r="AD251" i="5" s="1"/>
  <c r="AE251" i="5" s="1"/>
  <c r="AF251" i="5" s="1"/>
  <c r="AG251" i="5" s="1"/>
  <c r="AH251" i="5" s="1"/>
  <c r="AI251" i="5" s="1"/>
  <c r="AJ251" i="5" s="1"/>
  <c r="AK251" i="5" s="1"/>
  <c r="AL251" i="5" s="1"/>
  <c r="AM251" i="5" s="1"/>
  <c r="AN251" i="5" s="1"/>
  <c r="AO251" i="5" s="1"/>
  <c r="AC243" i="5"/>
  <c r="N243" i="5"/>
  <c r="O243" i="5"/>
  <c r="P243" i="5" s="1"/>
  <c r="Q243" i="5" s="1"/>
  <c r="R243" i="5" s="1"/>
  <c r="S243" i="5" s="1"/>
  <c r="T243" i="5" s="1"/>
  <c r="U243" i="5" s="1"/>
  <c r="V243" i="5" s="1"/>
  <c r="W243" i="5" s="1"/>
  <c r="X243" i="5" s="1"/>
  <c r="Y243" i="5" s="1"/>
  <c r="Z243" i="5" s="1"/>
  <c r="AD243" i="5" s="1"/>
  <c r="AE243" i="5" s="1"/>
  <c r="AF243" i="5" s="1"/>
  <c r="AG243" i="5" s="1"/>
  <c r="AH243" i="5" s="1"/>
  <c r="AI243" i="5" s="1"/>
  <c r="AJ243" i="5" s="1"/>
  <c r="AK243" i="5" s="1"/>
  <c r="AL243" i="5" s="1"/>
  <c r="AM243" i="5" s="1"/>
  <c r="AN243" i="5" s="1"/>
  <c r="AO243" i="5" s="1"/>
  <c r="AR235" i="5"/>
  <c r="N235" i="5"/>
  <c r="AC235" i="5"/>
  <c r="O235" i="5"/>
  <c r="P235" i="5" s="1"/>
  <c r="Q235" i="5" s="1"/>
  <c r="R235" i="5" s="1"/>
  <c r="S235" i="5" s="1"/>
  <c r="T235" i="5" s="1"/>
  <c r="U235" i="5" s="1"/>
  <c r="V235" i="5" s="1"/>
  <c r="W235" i="5" s="1"/>
  <c r="X235" i="5" s="1"/>
  <c r="Y235" i="5" s="1"/>
  <c r="Z235" i="5" s="1"/>
  <c r="AD235" i="5" s="1"/>
  <c r="AE235" i="5" s="1"/>
  <c r="AF235" i="5" s="1"/>
  <c r="AG235" i="5" s="1"/>
  <c r="AH235" i="5" s="1"/>
  <c r="AI235" i="5" s="1"/>
  <c r="AJ235" i="5" s="1"/>
  <c r="AK235" i="5" s="1"/>
  <c r="AL235" i="5" s="1"/>
  <c r="AM235" i="5" s="1"/>
  <c r="AN235" i="5" s="1"/>
  <c r="AO235" i="5" s="1"/>
  <c r="AS235" i="5" s="1"/>
  <c r="AT235" i="5" s="1"/>
  <c r="AU235" i="5" s="1"/>
  <c r="AV235" i="5" s="1"/>
  <c r="AW235" i="5" s="1"/>
  <c r="AX235" i="5" s="1"/>
  <c r="AY235" i="5" s="1"/>
  <c r="AZ235" i="5" s="1"/>
  <c r="BA235" i="5" s="1"/>
  <c r="BB235" i="5" s="1"/>
  <c r="BC235" i="5" s="1"/>
  <c r="BD235" i="5" s="1"/>
  <c r="AC219" i="5"/>
  <c r="AR219" i="5"/>
  <c r="N219" i="5"/>
  <c r="O219" i="5"/>
  <c r="AC211" i="5"/>
  <c r="AR211" i="5"/>
  <c r="N211" i="5"/>
  <c r="O211" i="5"/>
  <c r="AC203" i="5"/>
  <c r="AR203" i="5"/>
  <c r="N203" i="5"/>
  <c r="O203" i="5"/>
  <c r="AR187" i="5"/>
  <c r="N187" i="5"/>
  <c r="AC187" i="5"/>
  <c r="O187" i="5"/>
  <c r="N177" i="5"/>
  <c r="AC177" i="5"/>
  <c r="AR177" i="5"/>
  <c r="O177" i="5"/>
  <c r="AR171" i="5"/>
  <c r="N171" i="5"/>
  <c r="AC171" i="5"/>
  <c r="O171" i="5"/>
  <c r="AC158" i="5"/>
  <c r="AR158" i="5"/>
  <c r="O158" i="5"/>
  <c r="N158" i="5"/>
  <c r="AR144" i="5"/>
  <c r="N144" i="5"/>
  <c r="AC144" i="5"/>
  <c r="O144" i="5"/>
  <c r="P144" i="5" s="1"/>
  <c r="Q144" i="5" s="1"/>
  <c r="R144" i="5" s="1"/>
  <c r="S144" i="5" s="1"/>
  <c r="T144" i="5" s="1"/>
  <c r="U144" i="5" s="1"/>
  <c r="V144" i="5" s="1"/>
  <c r="W144" i="5" s="1"/>
  <c r="X144" i="5" s="1"/>
  <c r="Y144" i="5" s="1"/>
  <c r="Z144" i="5" s="1"/>
  <c r="AD144" i="5" s="1"/>
  <c r="AE144" i="5" s="1"/>
  <c r="AF144" i="5" s="1"/>
  <c r="AG144" i="5" s="1"/>
  <c r="AH144" i="5" s="1"/>
  <c r="AI144" i="5" s="1"/>
  <c r="AJ144" i="5" s="1"/>
  <c r="AK144" i="5" s="1"/>
  <c r="AL144" i="5" s="1"/>
  <c r="AM144" i="5" s="1"/>
  <c r="AN144" i="5" s="1"/>
  <c r="AO144" i="5" s="1"/>
  <c r="AS144" i="5" s="1"/>
  <c r="AT144" i="5" s="1"/>
  <c r="AU144" i="5" s="1"/>
  <c r="AV144" i="5" s="1"/>
  <c r="AW144" i="5" s="1"/>
  <c r="AX144" i="5" s="1"/>
  <c r="AY144" i="5" s="1"/>
  <c r="AZ144" i="5" s="1"/>
  <c r="BA144" i="5" s="1"/>
  <c r="BB144" i="5" s="1"/>
  <c r="BC144" i="5" s="1"/>
  <c r="BD144" i="5" s="1"/>
  <c r="AR136" i="5"/>
  <c r="AC136" i="5"/>
  <c r="N136" i="5"/>
  <c r="O136" i="5"/>
  <c r="P136" i="5" s="1"/>
  <c r="Q136" i="5" s="1"/>
  <c r="R136" i="5" s="1"/>
  <c r="S136" i="5" s="1"/>
  <c r="T136" i="5" s="1"/>
  <c r="U136" i="5" s="1"/>
  <c r="V136" i="5" s="1"/>
  <c r="W136" i="5" s="1"/>
  <c r="X136" i="5" s="1"/>
  <c r="Y136" i="5" s="1"/>
  <c r="Z136" i="5" s="1"/>
  <c r="AD136" i="5" s="1"/>
  <c r="AE136" i="5" s="1"/>
  <c r="AF136" i="5" s="1"/>
  <c r="AG136" i="5" s="1"/>
  <c r="AH136" i="5" s="1"/>
  <c r="AI136" i="5" s="1"/>
  <c r="AJ136" i="5" s="1"/>
  <c r="AK136" i="5" s="1"/>
  <c r="AL136" i="5" s="1"/>
  <c r="AM136" i="5" s="1"/>
  <c r="AN136" i="5" s="1"/>
  <c r="AO136" i="5" s="1"/>
  <c r="AS136" i="5" s="1"/>
  <c r="AT136" i="5" s="1"/>
  <c r="AU136" i="5" s="1"/>
  <c r="AV136" i="5" s="1"/>
  <c r="AW136" i="5" s="1"/>
  <c r="AX136" i="5" s="1"/>
  <c r="AY136" i="5" s="1"/>
  <c r="AZ136" i="5" s="1"/>
  <c r="BA136" i="5" s="1"/>
  <c r="BB136" i="5" s="1"/>
  <c r="BC136" i="5" s="1"/>
  <c r="BD136" i="5" s="1"/>
  <c r="AR128" i="5"/>
  <c r="AC128" i="5"/>
  <c r="O128" i="5"/>
  <c r="P128" i="5" s="1"/>
  <c r="Q128" i="5" s="1"/>
  <c r="R128" i="5" s="1"/>
  <c r="S128" i="5" s="1"/>
  <c r="T128" i="5" s="1"/>
  <c r="U128" i="5" s="1"/>
  <c r="V128" i="5" s="1"/>
  <c r="W128" i="5" s="1"/>
  <c r="X128" i="5" s="1"/>
  <c r="Y128" i="5" s="1"/>
  <c r="Z128" i="5" s="1"/>
  <c r="AD128" i="5" s="1"/>
  <c r="AE128" i="5" s="1"/>
  <c r="AF128" i="5" s="1"/>
  <c r="AG128" i="5" s="1"/>
  <c r="AH128" i="5" s="1"/>
  <c r="AI128" i="5" s="1"/>
  <c r="AJ128" i="5" s="1"/>
  <c r="AK128" i="5" s="1"/>
  <c r="AL128" i="5" s="1"/>
  <c r="AM128" i="5" s="1"/>
  <c r="AN128" i="5" s="1"/>
  <c r="AO128" i="5" s="1"/>
  <c r="AS128" i="5" s="1"/>
  <c r="AT128" i="5" s="1"/>
  <c r="AU128" i="5" s="1"/>
  <c r="AV128" i="5" s="1"/>
  <c r="AW128" i="5" s="1"/>
  <c r="AX128" i="5" s="1"/>
  <c r="AY128" i="5" s="1"/>
  <c r="AZ128" i="5" s="1"/>
  <c r="BA128" i="5" s="1"/>
  <c r="BB128" i="5" s="1"/>
  <c r="BC128" i="5" s="1"/>
  <c r="BD128" i="5" s="1"/>
  <c r="N128" i="5"/>
  <c r="AR121" i="5"/>
  <c r="N121" i="5"/>
  <c r="AC121" i="5"/>
  <c r="O121" i="5"/>
  <c r="N112" i="5"/>
  <c r="O112" i="5"/>
  <c r="AR104" i="5"/>
  <c r="AC104" i="5"/>
  <c r="N104" i="5"/>
  <c r="O104" i="5"/>
  <c r="P104" i="5" s="1"/>
  <c r="Q104" i="5" s="1"/>
  <c r="R104" i="5" s="1"/>
  <c r="S104" i="5" s="1"/>
  <c r="T104" i="5" s="1"/>
  <c r="U104" i="5" s="1"/>
  <c r="V104" i="5" s="1"/>
  <c r="W104" i="5" s="1"/>
  <c r="X104" i="5" s="1"/>
  <c r="Y104" i="5" s="1"/>
  <c r="Z104" i="5" s="1"/>
  <c r="AD104" i="5" s="1"/>
  <c r="AE104" i="5" s="1"/>
  <c r="AF104" i="5" s="1"/>
  <c r="AG104" i="5" s="1"/>
  <c r="AH104" i="5" s="1"/>
  <c r="AI104" i="5" s="1"/>
  <c r="AJ104" i="5" s="1"/>
  <c r="AK104" i="5" s="1"/>
  <c r="AL104" i="5" s="1"/>
  <c r="AM104" i="5" s="1"/>
  <c r="AN104" i="5" s="1"/>
  <c r="AO104" i="5" s="1"/>
  <c r="AS104" i="5" s="1"/>
  <c r="AT104" i="5" s="1"/>
  <c r="AU104" i="5" s="1"/>
  <c r="AV104" i="5" s="1"/>
  <c r="AW104" i="5" s="1"/>
  <c r="AX104" i="5" s="1"/>
  <c r="AY104" i="5" s="1"/>
  <c r="AZ104" i="5" s="1"/>
  <c r="BA104" i="5" s="1"/>
  <c r="BB104" i="5" s="1"/>
  <c r="BC104" i="5" s="1"/>
  <c r="BD104" i="5" s="1"/>
  <c r="AC97" i="5"/>
  <c r="AR97" i="5"/>
  <c r="N97" i="5"/>
  <c r="O97" i="5"/>
  <c r="P97" i="5" s="1"/>
  <c r="Q97" i="5" s="1"/>
  <c r="R97" i="5" s="1"/>
  <c r="S97" i="5" s="1"/>
  <c r="T97" i="5" s="1"/>
  <c r="U97" i="5" s="1"/>
  <c r="V97" i="5" s="1"/>
  <c r="W97" i="5" s="1"/>
  <c r="X97" i="5" s="1"/>
  <c r="Y97" i="5" s="1"/>
  <c r="Z97" i="5" s="1"/>
  <c r="AD97" i="5" s="1"/>
  <c r="AE97" i="5" s="1"/>
  <c r="AF97" i="5" s="1"/>
  <c r="AG97" i="5" s="1"/>
  <c r="AH97" i="5" s="1"/>
  <c r="AI97" i="5" s="1"/>
  <c r="AJ97" i="5" s="1"/>
  <c r="AK97" i="5" s="1"/>
  <c r="AL97" i="5" s="1"/>
  <c r="AM97" i="5" s="1"/>
  <c r="AN97" i="5" s="1"/>
  <c r="AO97" i="5" s="1"/>
  <c r="AS97" i="5" s="1"/>
  <c r="AT97" i="5" s="1"/>
  <c r="AU97" i="5" s="1"/>
  <c r="AV97" i="5" s="1"/>
  <c r="AW97" i="5" s="1"/>
  <c r="AX97" i="5" s="1"/>
  <c r="AY97" i="5" s="1"/>
  <c r="AZ97" i="5" s="1"/>
  <c r="BA97" i="5" s="1"/>
  <c r="BB97" i="5" s="1"/>
  <c r="BC97" i="5" s="1"/>
  <c r="BD97" i="5" s="1"/>
  <c r="AC85" i="5"/>
  <c r="AR85" i="5"/>
  <c r="N85" i="5"/>
  <c r="O85" i="5"/>
  <c r="P85" i="5" s="1"/>
  <c r="Q85" i="5" s="1"/>
  <c r="R85" i="5" s="1"/>
  <c r="S85" i="5" s="1"/>
  <c r="T85" i="5" s="1"/>
  <c r="U85" i="5" s="1"/>
  <c r="V85" i="5" s="1"/>
  <c r="W85" i="5" s="1"/>
  <c r="X85" i="5" s="1"/>
  <c r="Y85" i="5" s="1"/>
  <c r="Z85" i="5" s="1"/>
  <c r="AD85" i="5" s="1"/>
  <c r="AE85" i="5" s="1"/>
  <c r="AF85" i="5" s="1"/>
  <c r="AG85" i="5" s="1"/>
  <c r="AH85" i="5" s="1"/>
  <c r="AI85" i="5" s="1"/>
  <c r="AJ85" i="5" s="1"/>
  <c r="AK85" i="5" s="1"/>
  <c r="AL85" i="5" s="1"/>
  <c r="AM85" i="5" s="1"/>
  <c r="AN85" i="5" s="1"/>
  <c r="AO85" i="5" s="1"/>
  <c r="AS85" i="5" s="1"/>
  <c r="AT85" i="5" s="1"/>
  <c r="AU85" i="5" s="1"/>
  <c r="AV85" i="5" s="1"/>
  <c r="AW85" i="5" s="1"/>
  <c r="AX85" i="5" s="1"/>
  <c r="AY85" i="5" s="1"/>
  <c r="AZ85" i="5" s="1"/>
  <c r="BA85" i="5" s="1"/>
  <c r="BB85" i="5" s="1"/>
  <c r="BC85" i="5" s="1"/>
  <c r="BD85" i="5" s="1"/>
  <c r="AR77" i="5"/>
  <c r="N77" i="5"/>
  <c r="AC77" i="5"/>
  <c r="O77" i="5"/>
  <c r="AR61" i="5"/>
  <c r="N61" i="5"/>
  <c r="AC61" i="5"/>
  <c r="O61" i="5"/>
  <c r="P61" i="5" s="1"/>
  <c r="Q61" i="5" s="1"/>
  <c r="R61" i="5" s="1"/>
  <c r="S61" i="5" s="1"/>
  <c r="T61" i="5" s="1"/>
  <c r="U61" i="5" s="1"/>
  <c r="V61" i="5" s="1"/>
  <c r="W61" i="5" s="1"/>
  <c r="X61" i="5" s="1"/>
  <c r="Y61" i="5" s="1"/>
  <c r="Z61" i="5" s="1"/>
  <c r="AD61" i="5" s="1"/>
  <c r="AE61" i="5" s="1"/>
  <c r="AF61" i="5" s="1"/>
  <c r="AG61" i="5" s="1"/>
  <c r="AH61" i="5" s="1"/>
  <c r="AI61" i="5" s="1"/>
  <c r="AJ61" i="5" s="1"/>
  <c r="AK61" i="5" s="1"/>
  <c r="AL61" i="5" s="1"/>
  <c r="AM61" i="5" s="1"/>
  <c r="AN61" i="5" s="1"/>
  <c r="AO61" i="5" s="1"/>
  <c r="AS61" i="5" s="1"/>
  <c r="AT61" i="5" s="1"/>
  <c r="AU61" i="5" s="1"/>
  <c r="AV61" i="5" s="1"/>
  <c r="AW61" i="5" s="1"/>
  <c r="AX61" i="5" s="1"/>
  <c r="AY61" i="5" s="1"/>
  <c r="AZ61" i="5" s="1"/>
  <c r="BA61" i="5" s="1"/>
  <c r="BB61" i="5" s="1"/>
  <c r="BC61" i="5" s="1"/>
  <c r="BD61" i="5" s="1"/>
  <c r="AC43" i="5"/>
  <c r="O43" i="5"/>
  <c r="AR43" i="5"/>
  <c r="N43" i="5"/>
  <c r="N6" i="5"/>
  <c r="O6" i="5"/>
  <c r="P6" i="5" s="1"/>
  <c r="Q6" i="5" s="1"/>
  <c r="R6" i="5" s="1"/>
  <c r="S6" i="5" s="1"/>
  <c r="T6" i="5" s="1"/>
  <c r="U6" i="5" s="1"/>
  <c r="V6" i="5" s="1"/>
  <c r="W6" i="5" s="1"/>
  <c r="X6" i="5" s="1"/>
  <c r="Y6" i="5" s="1"/>
  <c r="Z6" i="5" s="1"/>
  <c r="AD6" i="5" s="1"/>
  <c r="AE6" i="5" s="1"/>
  <c r="AF6" i="5" s="1"/>
  <c r="AG6" i="5" s="1"/>
  <c r="AH6" i="5" s="1"/>
  <c r="AI6" i="5" s="1"/>
  <c r="AJ6" i="5" s="1"/>
  <c r="AK6" i="5" s="1"/>
  <c r="AL6" i="5" s="1"/>
  <c r="AM6" i="5" s="1"/>
  <c r="AN6" i="5" s="1"/>
  <c r="AO6" i="5" s="1"/>
  <c r="AS6" i="5" s="1"/>
  <c r="AT6" i="5" s="1"/>
  <c r="AU6" i="5" s="1"/>
  <c r="AV6" i="5" s="1"/>
  <c r="AW6" i="5" s="1"/>
  <c r="AX6" i="5" s="1"/>
  <c r="AY6" i="5" s="1"/>
  <c r="AZ6" i="5" s="1"/>
  <c r="BA6" i="5" s="1"/>
  <c r="BB6" i="5" s="1"/>
  <c r="BC6" i="5" s="1"/>
  <c r="BD6" i="5" s="1"/>
  <c r="AR6" i="5"/>
  <c r="AC6" i="5"/>
  <c r="AC58" i="5"/>
  <c r="O58" i="5"/>
  <c r="P58" i="5" s="1"/>
  <c r="Q58" i="5" s="1"/>
  <c r="R58" i="5" s="1"/>
  <c r="S58" i="5" s="1"/>
  <c r="T58" i="5" s="1"/>
  <c r="U58" i="5" s="1"/>
  <c r="V58" i="5" s="1"/>
  <c r="W58" i="5" s="1"/>
  <c r="X58" i="5" s="1"/>
  <c r="Y58" i="5" s="1"/>
  <c r="Z58" i="5" s="1"/>
  <c r="AD58" i="5" s="1"/>
  <c r="AE58" i="5" s="1"/>
  <c r="AF58" i="5" s="1"/>
  <c r="AG58" i="5" s="1"/>
  <c r="AH58" i="5" s="1"/>
  <c r="AI58" i="5" s="1"/>
  <c r="AJ58" i="5" s="1"/>
  <c r="AK58" i="5" s="1"/>
  <c r="AL58" i="5" s="1"/>
  <c r="AM58" i="5" s="1"/>
  <c r="AN58" i="5" s="1"/>
  <c r="AO58" i="5" s="1"/>
  <c r="AS58" i="5" s="1"/>
  <c r="AT58" i="5" s="1"/>
  <c r="AU58" i="5" s="1"/>
  <c r="AV58" i="5" s="1"/>
  <c r="AW58" i="5" s="1"/>
  <c r="AX58" i="5" s="1"/>
  <c r="AY58" i="5" s="1"/>
  <c r="AZ58" i="5" s="1"/>
  <c r="BA58" i="5" s="1"/>
  <c r="BB58" i="5" s="1"/>
  <c r="BC58" i="5" s="1"/>
  <c r="BD58" i="5" s="1"/>
  <c r="AR58" i="5"/>
  <c r="N58" i="5"/>
  <c r="AC15" i="5"/>
  <c r="O15" i="5"/>
  <c r="P15" i="5" s="1"/>
  <c r="Q15" i="5" s="1"/>
  <c r="R15" i="5" s="1"/>
  <c r="S15" i="5" s="1"/>
  <c r="T15" i="5" s="1"/>
  <c r="U15" i="5" s="1"/>
  <c r="V15" i="5" s="1"/>
  <c r="W15" i="5" s="1"/>
  <c r="X15" i="5" s="1"/>
  <c r="Y15" i="5" s="1"/>
  <c r="Z15" i="5" s="1"/>
  <c r="AD15" i="5" s="1"/>
  <c r="AE15" i="5" s="1"/>
  <c r="AF15" i="5" s="1"/>
  <c r="AG15" i="5" s="1"/>
  <c r="AH15" i="5" s="1"/>
  <c r="AI15" i="5" s="1"/>
  <c r="AJ15" i="5" s="1"/>
  <c r="AK15" i="5" s="1"/>
  <c r="AL15" i="5" s="1"/>
  <c r="AM15" i="5" s="1"/>
  <c r="AN15" i="5" s="1"/>
  <c r="AO15" i="5" s="1"/>
  <c r="AS15" i="5" s="1"/>
  <c r="AT15" i="5" s="1"/>
  <c r="AU15" i="5" s="1"/>
  <c r="AV15" i="5" s="1"/>
  <c r="AW15" i="5" s="1"/>
  <c r="AX15" i="5" s="1"/>
  <c r="AY15" i="5" s="1"/>
  <c r="AZ15" i="5" s="1"/>
  <c r="BA15" i="5" s="1"/>
  <c r="BB15" i="5" s="1"/>
  <c r="BC15" i="5" s="1"/>
  <c r="BD15" i="5" s="1"/>
  <c r="AR15" i="5"/>
  <c r="N15" i="5"/>
  <c r="N583" i="5"/>
  <c r="O583" i="5"/>
  <c r="M576" i="5"/>
  <c r="AC571" i="5"/>
  <c r="AR571" i="5" s="1"/>
  <c r="N571" i="5"/>
  <c r="O571" i="5"/>
  <c r="P571" i="5" s="1"/>
  <c r="Q571" i="5" s="1"/>
  <c r="R571" i="5" s="1"/>
  <c r="S571" i="5" s="1"/>
  <c r="T571" i="5" s="1"/>
  <c r="U571" i="5" s="1"/>
  <c r="V571" i="5" s="1"/>
  <c r="W571" i="5" s="1"/>
  <c r="X571" i="5" s="1"/>
  <c r="Y571" i="5" s="1"/>
  <c r="Z571" i="5" s="1"/>
  <c r="AD571" i="5" s="1"/>
  <c r="AE571" i="5" s="1"/>
  <c r="AF571" i="5" s="1"/>
  <c r="AG571" i="5" s="1"/>
  <c r="AH571" i="5" s="1"/>
  <c r="AI571" i="5" s="1"/>
  <c r="AJ571" i="5" s="1"/>
  <c r="AK571" i="5" s="1"/>
  <c r="AL571" i="5" s="1"/>
  <c r="AM571" i="5" s="1"/>
  <c r="AN571" i="5" s="1"/>
  <c r="AO571" i="5" s="1"/>
  <c r="AS571" i="5" s="1"/>
  <c r="AT571" i="5" s="1"/>
  <c r="AU571" i="5" s="1"/>
  <c r="AV571" i="5" s="1"/>
  <c r="AW571" i="5" s="1"/>
  <c r="AX571" i="5" s="1"/>
  <c r="AY571" i="5" s="1"/>
  <c r="AZ571" i="5" s="1"/>
  <c r="BA571" i="5" s="1"/>
  <c r="BB571" i="5" s="1"/>
  <c r="BC571" i="5" s="1"/>
  <c r="BD571" i="5" s="1"/>
  <c r="N560" i="5"/>
  <c r="AC560" i="5"/>
  <c r="AR560" i="5" s="1"/>
  <c r="O560" i="5"/>
  <c r="P560" i="5" s="1"/>
  <c r="Q560" i="5" s="1"/>
  <c r="R560" i="5" s="1"/>
  <c r="S560" i="5" s="1"/>
  <c r="T560" i="5" s="1"/>
  <c r="U560" i="5" s="1"/>
  <c r="V560" i="5" s="1"/>
  <c r="W560" i="5" s="1"/>
  <c r="X560" i="5" s="1"/>
  <c r="Y560" i="5" s="1"/>
  <c r="Z560" i="5" s="1"/>
  <c r="AD560" i="5" s="1"/>
  <c r="AE560" i="5" s="1"/>
  <c r="AF560" i="5" s="1"/>
  <c r="AG560" i="5" s="1"/>
  <c r="AH560" i="5" s="1"/>
  <c r="AI560" i="5" s="1"/>
  <c r="AJ560" i="5" s="1"/>
  <c r="AK560" i="5" s="1"/>
  <c r="AL560" i="5" s="1"/>
  <c r="AM560" i="5" s="1"/>
  <c r="AN560" i="5" s="1"/>
  <c r="AO560" i="5" s="1"/>
  <c r="AS560" i="5" s="1"/>
  <c r="AT560" i="5" s="1"/>
  <c r="AU560" i="5" s="1"/>
  <c r="AV560" i="5" s="1"/>
  <c r="AW560" i="5" s="1"/>
  <c r="AX560" i="5" s="1"/>
  <c r="AY560" i="5" s="1"/>
  <c r="AZ560" i="5" s="1"/>
  <c r="BA560" i="5" s="1"/>
  <c r="BB560" i="5" s="1"/>
  <c r="BC560" i="5" s="1"/>
  <c r="BD560" i="5" s="1"/>
  <c r="O552" i="5"/>
  <c r="P552" i="5" s="1"/>
  <c r="Q552" i="5" s="1"/>
  <c r="R552" i="5" s="1"/>
  <c r="S552" i="5" s="1"/>
  <c r="T552" i="5" s="1"/>
  <c r="U552" i="5" s="1"/>
  <c r="V552" i="5" s="1"/>
  <c r="W552" i="5" s="1"/>
  <c r="X552" i="5" s="1"/>
  <c r="Y552" i="5" s="1"/>
  <c r="Z552" i="5" s="1"/>
  <c r="AD552" i="5" s="1"/>
  <c r="N552" i="5"/>
  <c r="P544" i="5"/>
  <c r="Q544" i="5" s="1"/>
  <c r="R544" i="5" s="1"/>
  <c r="S544" i="5" s="1"/>
  <c r="T544" i="5" s="1"/>
  <c r="U544" i="5" s="1"/>
  <c r="V544" i="5" s="1"/>
  <c r="W544" i="5" s="1"/>
  <c r="X544" i="5" s="1"/>
  <c r="Y544" i="5" s="1"/>
  <c r="Z544" i="5" s="1"/>
  <c r="N544" i="5"/>
  <c r="P536" i="5"/>
  <c r="Q536" i="5" s="1"/>
  <c r="R536" i="5" s="1"/>
  <c r="S536" i="5" s="1"/>
  <c r="T536" i="5" s="1"/>
  <c r="U536" i="5" s="1"/>
  <c r="V536" i="5" s="1"/>
  <c r="W536" i="5" s="1"/>
  <c r="X536" i="5" s="1"/>
  <c r="Y536" i="5" s="1"/>
  <c r="N536" i="5"/>
  <c r="N528" i="5"/>
  <c r="P528" i="5"/>
  <c r="Q528" i="5" s="1"/>
  <c r="R528" i="5" s="1"/>
  <c r="N496" i="5"/>
  <c r="O496" i="5"/>
  <c r="P496" i="5" s="1"/>
  <c r="Q496" i="5" s="1"/>
  <c r="R496" i="5" s="1"/>
  <c r="S496" i="5" s="1"/>
  <c r="T496" i="5" s="1"/>
  <c r="U496" i="5" s="1"/>
  <c r="V496" i="5" s="1"/>
  <c r="W496" i="5" s="1"/>
  <c r="X496" i="5" s="1"/>
  <c r="Y496" i="5" s="1"/>
  <c r="Z496" i="5" s="1"/>
  <c r="AD496" i="5" s="1"/>
  <c r="N488" i="5"/>
  <c r="AC488" i="5"/>
  <c r="AR488" i="5"/>
  <c r="O488" i="5"/>
  <c r="P488" i="5" s="1"/>
  <c r="Q488" i="5" s="1"/>
  <c r="R488" i="5" s="1"/>
  <c r="S488" i="5" s="1"/>
  <c r="T488" i="5" s="1"/>
  <c r="U488" i="5" s="1"/>
  <c r="V488" i="5" s="1"/>
  <c r="W488" i="5" s="1"/>
  <c r="X488" i="5" s="1"/>
  <c r="Y488" i="5" s="1"/>
  <c r="Z488" i="5" s="1"/>
  <c r="AD488" i="5" s="1"/>
  <c r="AE488" i="5" s="1"/>
  <c r="AF488" i="5" s="1"/>
  <c r="AG488" i="5" s="1"/>
  <c r="AH488" i="5" s="1"/>
  <c r="AI488" i="5" s="1"/>
  <c r="AJ488" i="5" s="1"/>
  <c r="AK488" i="5" s="1"/>
  <c r="AL488" i="5" s="1"/>
  <c r="AM488" i="5" s="1"/>
  <c r="AN488" i="5" s="1"/>
  <c r="AO488" i="5" s="1"/>
  <c r="AS488" i="5" s="1"/>
  <c r="AT488" i="5" s="1"/>
  <c r="AU488" i="5" s="1"/>
  <c r="AV488" i="5" s="1"/>
  <c r="AW488" i="5" s="1"/>
  <c r="AX488" i="5" s="1"/>
  <c r="AY488" i="5" s="1"/>
  <c r="AZ488" i="5" s="1"/>
  <c r="BA488" i="5" s="1"/>
  <c r="BB488" i="5" s="1"/>
  <c r="BC488" i="5" s="1"/>
  <c r="BD488" i="5" s="1"/>
  <c r="AC480" i="5"/>
  <c r="AR480" i="5"/>
  <c r="N480" i="5"/>
  <c r="O480" i="5"/>
  <c r="P480" i="5" s="1"/>
  <c r="Q480" i="5" s="1"/>
  <c r="R480" i="5" s="1"/>
  <c r="S480" i="5" s="1"/>
  <c r="T480" i="5" s="1"/>
  <c r="U480" i="5" s="1"/>
  <c r="V480" i="5" s="1"/>
  <c r="W480" i="5" s="1"/>
  <c r="X480" i="5" s="1"/>
  <c r="Y480" i="5" s="1"/>
  <c r="Z480" i="5" s="1"/>
  <c r="AD480" i="5" s="1"/>
  <c r="AE480" i="5" s="1"/>
  <c r="AF480" i="5" s="1"/>
  <c r="AG480" i="5" s="1"/>
  <c r="AH480" i="5" s="1"/>
  <c r="AI480" i="5" s="1"/>
  <c r="AJ480" i="5" s="1"/>
  <c r="AK480" i="5" s="1"/>
  <c r="AL480" i="5" s="1"/>
  <c r="AM480" i="5" s="1"/>
  <c r="AN480" i="5" s="1"/>
  <c r="AO480" i="5" s="1"/>
  <c r="AS480" i="5" s="1"/>
  <c r="AT480" i="5" s="1"/>
  <c r="AU480" i="5" s="1"/>
  <c r="AV480" i="5" s="1"/>
  <c r="AW480" i="5" s="1"/>
  <c r="AX480" i="5" s="1"/>
  <c r="AY480" i="5" s="1"/>
  <c r="AZ480" i="5" s="1"/>
  <c r="BA480" i="5" s="1"/>
  <c r="BB480" i="5" s="1"/>
  <c r="BC480" i="5" s="1"/>
  <c r="BD480" i="5" s="1"/>
  <c r="N472" i="5"/>
  <c r="AR472" i="5"/>
  <c r="AC472" i="5"/>
  <c r="O472" i="5"/>
  <c r="AC464" i="5"/>
  <c r="AR464" i="5"/>
  <c r="N464" i="5"/>
  <c r="O464" i="5"/>
  <c r="P464" i="5" s="1"/>
  <c r="Q464" i="5" s="1"/>
  <c r="R464" i="5" s="1"/>
  <c r="S464" i="5" s="1"/>
  <c r="T464" i="5" s="1"/>
  <c r="U464" i="5" s="1"/>
  <c r="V464" i="5" s="1"/>
  <c r="W464" i="5" s="1"/>
  <c r="X464" i="5" s="1"/>
  <c r="Y464" i="5" s="1"/>
  <c r="Z464" i="5" s="1"/>
  <c r="AD464" i="5" s="1"/>
  <c r="AE464" i="5" s="1"/>
  <c r="AF464" i="5" s="1"/>
  <c r="AG464" i="5" s="1"/>
  <c r="AH464" i="5" s="1"/>
  <c r="AI464" i="5" s="1"/>
  <c r="AJ464" i="5" s="1"/>
  <c r="AK464" i="5" s="1"/>
  <c r="AL464" i="5" s="1"/>
  <c r="AM464" i="5" s="1"/>
  <c r="AN464" i="5" s="1"/>
  <c r="AO464" i="5" s="1"/>
  <c r="AS464" i="5" s="1"/>
  <c r="AT464" i="5" s="1"/>
  <c r="AU464" i="5" s="1"/>
  <c r="AV464" i="5" s="1"/>
  <c r="AW464" i="5" s="1"/>
  <c r="AX464" i="5" s="1"/>
  <c r="AY464" i="5" s="1"/>
  <c r="AZ464" i="5" s="1"/>
  <c r="BA464" i="5" s="1"/>
  <c r="BB464" i="5" s="1"/>
  <c r="BC464" i="5" s="1"/>
  <c r="BD464" i="5" s="1"/>
  <c r="AR456" i="5"/>
  <c r="N456" i="5"/>
  <c r="AC456" i="5"/>
  <c r="O456" i="5"/>
  <c r="P456" i="5" s="1"/>
  <c r="Q456" i="5" s="1"/>
  <c r="R456" i="5" s="1"/>
  <c r="S456" i="5" s="1"/>
  <c r="T456" i="5" s="1"/>
  <c r="U456" i="5" s="1"/>
  <c r="V456" i="5" s="1"/>
  <c r="W456" i="5" s="1"/>
  <c r="X456" i="5" s="1"/>
  <c r="Y456" i="5" s="1"/>
  <c r="Z456" i="5" s="1"/>
  <c r="AD456" i="5" s="1"/>
  <c r="AE456" i="5" s="1"/>
  <c r="AF456" i="5" s="1"/>
  <c r="AG456" i="5" s="1"/>
  <c r="AH456" i="5" s="1"/>
  <c r="AI456" i="5" s="1"/>
  <c r="AJ456" i="5" s="1"/>
  <c r="AK456" i="5" s="1"/>
  <c r="AL456" i="5" s="1"/>
  <c r="AM456" i="5" s="1"/>
  <c r="AN456" i="5" s="1"/>
  <c r="AO456" i="5" s="1"/>
  <c r="AS456" i="5" s="1"/>
  <c r="AT456" i="5" s="1"/>
  <c r="AU456" i="5" s="1"/>
  <c r="AV456" i="5" s="1"/>
  <c r="AW456" i="5" s="1"/>
  <c r="AX456" i="5" s="1"/>
  <c r="AY456" i="5" s="1"/>
  <c r="AZ456" i="5" s="1"/>
  <c r="BA456" i="5" s="1"/>
  <c r="BB456" i="5" s="1"/>
  <c r="BC456" i="5" s="1"/>
  <c r="BD456" i="5" s="1"/>
  <c r="AC448" i="5"/>
  <c r="AR448" i="5"/>
  <c r="N448" i="5"/>
  <c r="O448" i="5"/>
  <c r="P448" i="5" s="1"/>
  <c r="Q448" i="5" s="1"/>
  <c r="R448" i="5" s="1"/>
  <c r="S448" i="5" s="1"/>
  <c r="T448" i="5" s="1"/>
  <c r="U448" i="5" s="1"/>
  <c r="V448" i="5" s="1"/>
  <c r="W448" i="5" s="1"/>
  <c r="X448" i="5" s="1"/>
  <c r="Y448" i="5" s="1"/>
  <c r="Z448" i="5" s="1"/>
  <c r="AD448" i="5" s="1"/>
  <c r="AE448" i="5" s="1"/>
  <c r="AF448" i="5" s="1"/>
  <c r="AG448" i="5" s="1"/>
  <c r="AH448" i="5" s="1"/>
  <c r="AI448" i="5" s="1"/>
  <c r="AJ448" i="5" s="1"/>
  <c r="AK448" i="5" s="1"/>
  <c r="AL448" i="5" s="1"/>
  <c r="AM448" i="5" s="1"/>
  <c r="AN448" i="5" s="1"/>
  <c r="AO448" i="5" s="1"/>
  <c r="AS448" i="5" s="1"/>
  <c r="AT448" i="5" s="1"/>
  <c r="AU448" i="5" s="1"/>
  <c r="AV448" i="5" s="1"/>
  <c r="AW448" i="5" s="1"/>
  <c r="AX448" i="5" s="1"/>
  <c r="AY448" i="5" s="1"/>
  <c r="AZ448" i="5" s="1"/>
  <c r="BA448" i="5" s="1"/>
  <c r="BB448" i="5" s="1"/>
  <c r="BC448" i="5" s="1"/>
  <c r="BD448" i="5" s="1"/>
  <c r="N440" i="5"/>
  <c r="O440" i="5"/>
  <c r="P440" i="5" s="1"/>
  <c r="Q440" i="5" s="1"/>
  <c r="R440" i="5" s="1"/>
  <c r="S440" i="5" s="1"/>
  <c r="T440" i="5" s="1"/>
  <c r="U440" i="5" s="1"/>
  <c r="V440" i="5" s="1"/>
  <c r="W440" i="5" s="1"/>
  <c r="X440" i="5" s="1"/>
  <c r="Y440" i="5" s="1"/>
  <c r="Z440" i="5" s="1"/>
  <c r="AD440" i="5" s="1"/>
  <c r="P421" i="5"/>
  <c r="Q421" i="5" s="1"/>
  <c r="R421" i="5" s="1"/>
  <c r="S421" i="5" s="1"/>
  <c r="T421" i="5" s="1"/>
  <c r="U421" i="5" s="1"/>
  <c r="V421" i="5" s="1"/>
  <c r="W421" i="5" s="1"/>
  <c r="X421" i="5" s="1"/>
  <c r="AC409" i="5"/>
  <c r="AR409" i="5"/>
  <c r="N409" i="5"/>
  <c r="O409" i="5"/>
  <c r="AC400" i="5"/>
  <c r="N400" i="5"/>
  <c r="O400" i="5"/>
  <c r="AR400" i="5"/>
  <c r="N389" i="5"/>
  <c r="AR389" i="5"/>
  <c r="AC389" i="5"/>
  <c r="O389" i="5"/>
  <c r="AR376" i="5"/>
  <c r="AC376" i="5"/>
  <c r="N376" i="5"/>
  <c r="O376" i="5"/>
  <c r="AR360" i="5"/>
  <c r="N360" i="5"/>
  <c r="AC360" i="5"/>
  <c r="O360" i="5"/>
  <c r="AR352" i="5"/>
  <c r="N352" i="5"/>
  <c r="AC352" i="5"/>
  <c r="O352" i="5"/>
  <c r="O340" i="5"/>
  <c r="P340" i="5" s="1"/>
  <c r="Q340" i="5" s="1"/>
  <c r="R340" i="5" s="1"/>
  <c r="N340" i="5"/>
  <c r="N316" i="5"/>
  <c r="AC316" i="5"/>
  <c r="AR316" i="5"/>
  <c r="O316" i="5"/>
  <c r="P316" i="5" s="1"/>
  <c r="Q316" i="5" s="1"/>
  <c r="R316" i="5" s="1"/>
  <c r="S316" i="5" s="1"/>
  <c r="T316" i="5" s="1"/>
  <c r="U316" i="5" s="1"/>
  <c r="V316" i="5" s="1"/>
  <c r="W316" i="5" s="1"/>
  <c r="X316" i="5" s="1"/>
  <c r="Y316" i="5" s="1"/>
  <c r="Z316" i="5" s="1"/>
  <c r="AD316" i="5" s="1"/>
  <c r="AE316" i="5" s="1"/>
  <c r="AF316" i="5" s="1"/>
  <c r="AG316" i="5" s="1"/>
  <c r="AH316" i="5" s="1"/>
  <c r="AI316" i="5" s="1"/>
  <c r="AJ316" i="5" s="1"/>
  <c r="AK316" i="5" s="1"/>
  <c r="AL316" i="5" s="1"/>
  <c r="AM316" i="5" s="1"/>
  <c r="AN316" i="5" s="1"/>
  <c r="AO316" i="5" s="1"/>
  <c r="AS316" i="5" s="1"/>
  <c r="AT316" i="5" s="1"/>
  <c r="AU316" i="5" s="1"/>
  <c r="AV316" i="5" s="1"/>
  <c r="AW316" i="5" s="1"/>
  <c r="AX316" i="5" s="1"/>
  <c r="AY316" i="5" s="1"/>
  <c r="AZ316" i="5" s="1"/>
  <c r="BA316" i="5" s="1"/>
  <c r="BB316" i="5" s="1"/>
  <c r="BC316" i="5" s="1"/>
  <c r="BD316" i="5" s="1"/>
  <c r="AC299" i="5"/>
  <c r="AR299" i="5"/>
  <c r="O299" i="5"/>
  <c r="N299" i="5"/>
  <c r="AC276" i="5"/>
  <c r="O276" i="5"/>
  <c r="N276" i="5"/>
  <c r="AR276" i="5"/>
  <c r="N268" i="5"/>
  <c r="AR268" i="5"/>
  <c r="AC268" i="5"/>
  <c r="O268" i="5"/>
  <c r="AR260" i="5"/>
  <c r="N260" i="5"/>
  <c r="AC260" i="5"/>
  <c r="O260" i="5"/>
  <c r="N252" i="5"/>
  <c r="AC252" i="5"/>
  <c r="O252" i="5"/>
  <c r="P252" i="5" s="1"/>
  <c r="Q252" i="5" s="1"/>
  <c r="R252" i="5" s="1"/>
  <c r="S252" i="5" s="1"/>
  <c r="T252" i="5" s="1"/>
  <c r="U252" i="5" s="1"/>
  <c r="V252" i="5" s="1"/>
  <c r="W252" i="5" s="1"/>
  <c r="X252" i="5" s="1"/>
  <c r="Y252" i="5" s="1"/>
  <c r="Z252" i="5" s="1"/>
  <c r="AD252" i="5" s="1"/>
  <c r="AE252" i="5" s="1"/>
  <c r="AF252" i="5" s="1"/>
  <c r="AG252" i="5" s="1"/>
  <c r="AH252" i="5" s="1"/>
  <c r="AI252" i="5" s="1"/>
  <c r="AJ252" i="5" s="1"/>
  <c r="AK252" i="5" s="1"/>
  <c r="AL252" i="5" s="1"/>
  <c r="AM252" i="5" s="1"/>
  <c r="AN252" i="5" s="1"/>
  <c r="AO252" i="5" s="1"/>
  <c r="N244" i="5"/>
  <c r="AC236" i="5"/>
  <c r="AR236" i="5"/>
  <c r="N236" i="5"/>
  <c r="O236" i="5"/>
  <c r="P236" i="5" s="1"/>
  <c r="Q236" i="5" s="1"/>
  <c r="R236" i="5" s="1"/>
  <c r="S236" i="5" s="1"/>
  <c r="T236" i="5" s="1"/>
  <c r="U236" i="5" s="1"/>
  <c r="V236" i="5" s="1"/>
  <c r="W236" i="5" s="1"/>
  <c r="X236" i="5" s="1"/>
  <c r="Y236" i="5" s="1"/>
  <c r="Z236" i="5" s="1"/>
  <c r="AD236" i="5" s="1"/>
  <c r="AE236" i="5" s="1"/>
  <c r="AF236" i="5" s="1"/>
  <c r="AG236" i="5" s="1"/>
  <c r="AH236" i="5" s="1"/>
  <c r="AI236" i="5" s="1"/>
  <c r="AJ236" i="5" s="1"/>
  <c r="AK236" i="5" s="1"/>
  <c r="AL236" i="5" s="1"/>
  <c r="AM236" i="5" s="1"/>
  <c r="AN236" i="5" s="1"/>
  <c r="AO236" i="5" s="1"/>
  <c r="AS236" i="5" s="1"/>
  <c r="AT236" i="5" s="1"/>
  <c r="AU236" i="5" s="1"/>
  <c r="AV236" i="5" s="1"/>
  <c r="AW236" i="5" s="1"/>
  <c r="AX236" i="5" s="1"/>
  <c r="AY236" i="5" s="1"/>
  <c r="AZ236" i="5" s="1"/>
  <c r="BA236" i="5" s="1"/>
  <c r="BB236" i="5" s="1"/>
  <c r="BC236" i="5" s="1"/>
  <c r="BD236" i="5" s="1"/>
  <c r="AC228" i="5"/>
  <c r="AR228" i="5"/>
  <c r="N228" i="5"/>
  <c r="O228" i="5"/>
  <c r="P228" i="5" s="1"/>
  <c r="Q228" i="5" s="1"/>
  <c r="R228" i="5" s="1"/>
  <c r="S228" i="5" s="1"/>
  <c r="T228" i="5" s="1"/>
  <c r="U228" i="5" s="1"/>
  <c r="V228" i="5" s="1"/>
  <c r="W228" i="5" s="1"/>
  <c r="X228" i="5" s="1"/>
  <c r="Y228" i="5" s="1"/>
  <c r="Z228" i="5" s="1"/>
  <c r="AD228" i="5" s="1"/>
  <c r="AE228" i="5" s="1"/>
  <c r="AF228" i="5" s="1"/>
  <c r="AG228" i="5" s="1"/>
  <c r="AH228" i="5" s="1"/>
  <c r="AI228" i="5" s="1"/>
  <c r="AJ228" i="5" s="1"/>
  <c r="AK228" i="5" s="1"/>
  <c r="AL228" i="5" s="1"/>
  <c r="AM228" i="5" s="1"/>
  <c r="AN228" i="5" s="1"/>
  <c r="AO228" i="5" s="1"/>
  <c r="AS228" i="5" s="1"/>
  <c r="AT228" i="5" s="1"/>
  <c r="AU228" i="5" s="1"/>
  <c r="AV228" i="5" s="1"/>
  <c r="AW228" i="5" s="1"/>
  <c r="AX228" i="5" s="1"/>
  <c r="AY228" i="5" s="1"/>
  <c r="AZ228" i="5" s="1"/>
  <c r="BA228" i="5" s="1"/>
  <c r="BB228" i="5" s="1"/>
  <c r="BC228" i="5" s="1"/>
  <c r="BD228" i="5" s="1"/>
  <c r="N220" i="5"/>
  <c r="O220" i="5"/>
  <c r="P220" i="5" s="1"/>
  <c r="Q220" i="5" s="1"/>
  <c r="R220" i="5" s="1"/>
  <c r="S220" i="5" s="1"/>
  <c r="T220" i="5" s="1"/>
  <c r="U220" i="5" s="1"/>
  <c r="V220" i="5" s="1"/>
  <c r="W220" i="5" s="1"/>
  <c r="X220" i="5" s="1"/>
  <c r="Y220" i="5" s="1"/>
  <c r="Z220" i="5" s="1"/>
  <c r="AD220" i="5" s="1"/>
  <c r="AR212" i="5"/>
  <c r="N212" i="5"/>
  <c r="AC212" i="5"/>
  <c r="O212" i="5"/>
  <c r="AR204" i="5"/>
  <c r="N204" i="5"/>
  <c r="AC204" i="5"/>
  <c r="O204" i="5"/>
  <c r="AR192" i="5"/>
  <c r="N192" i="5"/>
  <c r="AC192" i="5"/>
  <c r="O192" i="5"/>
  <c r="AC184" i="5"/>
  <c r="AR184" i="5"/>
  <c r="N184" i="5"/>
  <c r="O184" i="5"/>
  <c r="AC172" i="5"/>
  <c r="AR172" i="5"/>
  <c r="N172" i="5"/>
  <c r="O172" i="5"/>
  <c r="N162" i="5"/>
  <c r="AR162" i="5"/>
  <c r="O162" i="5"/>
  <c r="P162" i="5" s="1"/>
  <c r="Q162" i="5" s="1"/>
  <c r="R162" i="5" s="1"/>
  <c r="S162" i="5" s="1"/>
  <c r="T162" i="5" s="1"/>
  <c r="U162" i="5" s="1"/>
  <c r="V162" i="5" s="1"/>
  <c r="W162" i="5" s="1"/>
  <c r="X162" i="5" s="1"/>
  <c r="Y162" i="5" s="1"/>
  <c r="Z162" i="5" s="1"/>
  <c r="AD162" i="5" s="1"/>
  <c r="AE162" i="5" s="1"/>
  <c r="AF162" i="5" s="1"/>
  <c r="AG162" i="5" s="1"/>
  <c r="AH162" i="5" s="1"/>
  <c r="AI162" i="5" s="1"/>
  <c r="AJ162" i="5" s="1"/>
  <c r="AK162" i="5" s="1"/>
  <c r="AL162" i="5" s="1"/>
  <c r="AM162" i="5" s="1"/>
  <c r="AN162" i="5" s="1"/>
  <c r="AO162" i="5" s="1"/>
  <c r="AS162" i="5" s="1"/>
  <c r="AC162" i="5"/>
  <c r="N152" i="5"/>
  <c r="O152" i="5"/>
  <c r="P152" i="5" s="1"/>
  <c r="Q152" i="5" s="1"/>
  <c r="R152" i="5" s="1"/>
  <c r="S152" i="5" s="1"/>
  <c r="T152" i="5" s="1"/>
  <c r="U152" i="5" s="1"/>
  <c r="V152" i="5" s="1"/>
  <c r="W152" i="5" s="1"/>
  <c r="X152" i="5" s="1"/>
  <c r="Y152" i="5" s="1"/>
  <c r="AR141" i="5"/>
  <c r="AC141" i="5"/>
  <c r="O141" i="5"/>
  <c r="P141" i="5" s="1"/>
  <c r="Q141" i="5" s="1"/>
  <c r="R141" i="5" s="1"/>
  <c r="S141" i="5" s="1"/>
  <c r="T141" i="5" s="1"/>
  <c r="U141" i="5" s="1"/>
  <c r="V141" i="5" s="1"/>
  <c r="W141" i="5" s="1"/>
  <c r="X141" i="5" s="1"/>
  <c r="Y141" i="5" s="1"/>
  <c r="Z141" i="5" s="1"/>
  <c r="AD141" i="5" s="1"/>
  <c r="AE141" i="5" s="1"/>
  <c r="AF141" i="5" s="1"/>
  <c r="AG141" i="5" s="1"/>
  <c r="AH141" i="5" s="1"/>
  <c r="AI141" i="5" s="1"/>
  <c r="AJ141" i="5" s="1"/>
  <c r="AK141" i="5" s="1"/>
  <c r="AL141" i="5" s="1"/>
  <c r="AM141" i="5" s="1"/>
  <c r="AN141" i="5" s="1"/>
  <c r="AO141" i="5" s="1"/>
  <c r="AS141" i="5" s="1"/>
  <c r="AT141" i="5" s="1"/>
  <c r="AU141" i="5" s="1"/>
  <c r="AV141" i="5" s="1"/>
  <c r="AW141" i="5" s="1"/>
  <c r="AX141" i="5" s="1"/>
  <c r="AY141" i="5" s="1"/>
  <c r="AZ141" i="5" s="1"/>
  <c r="BA141" i="5" s="1"/>
  <c r="BB141" i="5" s="1"/>
  <c r="BC141" i="5" s="1"/>
  <c r="BD141" i="5" s="1"/>
  <c r="N141" i="5"/>
  <c r="N133" i="5"/>
  <c r="AR133" i="5"/>
  <c r="O133" i="5"/>
  <c r="P133" i="5" s="1"/>
  <c r="Q133" i="5" s="1"/>
  <c r="R133" i="5" s="1"/>
  <c r="S133" i="5" s="1"/>
  <c r="T133" i="5" s="1"/>
  <c r="U133" i="5" s="1"/>
  <c r="V133" i="5" s="1"/>
  <c r="W133" i="5" s="1"/>
  <c r="X133" i="5" s="1"/>
  <c r="Y133" i="5" s="1"/>
  <c r="Z133" i="5" s="1"/>
  <c r="AD133" i="5" s="1"/>
  <c r="AE133" i="5" s="1"/>
  <c r="AF133" i="5" s="1"/>
  <c r="AG133" i="5" s="1"/>
  <c r="AH133" i="5" s="1"/>
  <c r="AI133" i="5" s="1"/>
  <c r="AJ133" i="5" s="1"/>
  <c r="AK133" i="5" s="1"/>
  <c r="AL133" i="5" s="1"/>
  <c r="AM133" i="5" s="1"/>
  <c r="AN133" i="5" s="1"/>
  <c r="AO133" i="5" s="1"/>
  <c r="AS133" i="5" s="1"/>
  <c r="AT133" i="5" s="1"/>
  <c r="AU133" i="5" s="1"/>
  <c r="AV133" i="5" s="1"/>
  <c r="AW133" i="5" s="1"/>
  <c r="AX133" i="5" s="1"/>
  <c r="AY133" i="5" s="1"/>
  <c r="AZ133" i="5" s="1"/>
  <c r="BA133" i="5" s="1"/>
  <c r="BB133" i="5" s="1"/>
  <c r="BC133" i="5" s="1"/>
  <c r="BD133" i="5" s="1"/>
  <c r="AC133" i="5"/>
  <c r="AR125" i="5"/>
  <c r="AC125" i="5"/>
  <c r="N125" i="5"/>
  <c r="O125" i="5"/>
  <c r="P125" i="5" s="1"/>
  <c r="Q125" i="5" s="1"/>
  <c r="R125" i="5" s="1"/>
  <c r="S125" i="5" s="1"/>
  <c r="T125" i="5" s="1"/>
  <c r="U125" i="5" s="1"/>
  <c r="V125" i="5" s="1"/>
  <c r="W125" i="5" s="1"/>
  <c r="X125" i="5" s="1"/>
  <c r="Y125" i="5" s="1"/>
  <c r="Z125" i="5" s="1"/>
  <c r="AD125" i="5" s="1"/>
  <c r="AE125" i="5" s="1"/>
  <c r="AF125" i="5" s="1"/>
  <c r="AG125" i="5" s="1"/>
  <c r="AH125" i="5" s="1"/>
  <c r="AI125" i="5" s="1"/>
  <c r="AJ125" i="5" s="1"/>
  <c r="AK125" i="5" s="1"/>
  <c r="AL125" i="5" s="1"/>
  <c r="AM125" i="5" s="1"/>
  <c r="AN125" i="5" s="1"/>
  <c r="AO125" i="5" s="1"/>
  <c r="AS125" i="5" s="1"/>
  <c r="AT125" i="5" s="1"/>
  <c r="AU125" i="5" s="1"/>
  <c r="AV125" i="5" s="1"/>
  <c r="AW125" i="5" s="1"/>
  <c r="AX125" i="5" s="1"/>
  <c r="AY125" i="5" s="1"/>
  <c r="AZ125" i="5" s="1"/>
  <c r="BA125" i="5" s="1"/>
  <c r="BB125" i="5" s="1"/>
  <c r="BC125" i="5" s="1"/>
  <c r="BD125" i="5" s="1"/>
  <c r="AC113" i="5"/>
  <c r="AR113" i="5"/>
  <c r="N113" i="5"/>
  <c r="O113" i="5"/>
  <c r="N105" i="5"/>
  <c r="O105" i="5"/>
  <c r="P105" i="5" s="1"/>
  <c r="Q105" i="5" s="1"/>
  <c r="R105" i="5" s="1"/>
  <c r="S105" i="5" s="1"/>
  <c r="T105" i="5" s="1"/>
  <c r="U105" i="5" s="1"/>
  <c r="V105" i="5" s="1"/>
  <c r="W105" i="5" s="1"/>
  <c r="X105" i="5" s="1"/>
  <c r="Y105" i="5" s="1"/>
  <c r="Z105" i="5" s="1"/>
  <c r="AD105" i="5" s="1"/>
  <c r="AC94" i="5"/>
  <c r="O94" i="5"/>
  <c r="P94" i="5" s="1"/>
  <c r="Q94" i="5" s="1"/>
  <c r="R94" i="5" s="1"/>
  <c r="S94" i="5" s="1"/>
  <c r="T94" i="5" s="1"/>
  <c r="U94" i="5" s="1"/>
  <c r="V94" i="5" s="1"/>
  <c r="W94" i="5" s="1"/>
  <c r="X94" i="5" s="1"/>
  <c r="Y94" i="5" s="1"/>
  <c r="Z94" i="5" s="1"/>
  <c r="AD94" i="5" s="1"/>
  <c r="AE94" i="5" s="1"/>
  <c r="AF94" i="5" s="1"/>
  <c r="AG94" i="5" s="1"/>
  <c r="AH94" i="5" s="1"/>
  <c r="AI94" i="5" s="1"/>
  <c r="AJ94" i="5" s="1"/>
  <c r="AK94" i="5" s="1"/>
  <c r="AL94" i="5" s="1"/>
  <c r="AM94" i="5" s="1"/>
  <c r="AN94" i="5" s="1"/>
  <c r="AO94" i="5" s="1"/>
  <c r="AS94" i="5" s="1"/>
  <c r="AT94" i="5" s="1"/>
  <c r="AU94" i="5" s="1"/>
  <c r="AV94" i="5" s="1"/>
  <c r="AW94" i="5" s="1"/>
  <c r="AX94" i="5" s="1"/>
  <c r="AY94" i="5" s="1"/>
  <c r="AZ94" i="5" s="1"/>
  <c r="BA94" i="5" s="1"/>
  <c r="BB94" i="5" s="1"/>
  <c r="BC94" i="5" s="1"/>
  <c r="BD94" i="5" s="1"/>
  <c r="AR94" i="5"/>
  <c r="N94" i="5"/>
  <c r="AR86" i="5"/>
  <c r="N86" i="5"/>
  <c r="AC86" i="5"/>
  <c r="O86" i="5"/>
  <c r="P86" i="5" s="1"/>
  <c r="Q86" i="5" s="1"/>
  <c r="R86" i="5" s="1"/>
  <c r="S86" i="5" s="1"/>
  <c r="T86" i="5" s="1"/>
  <c r="U86" i="5" s="1"/>
  <c r="V86" i="5" s="1"/>
  <c r="W86" i="5" s="1"/>
  <c r="X86" i="5" s="1"/>
  <c r="Y86" i="5" s="1"/>
  <c r="Z86" i="5" s="1"/>
  <c r="AD86" i="5" s="1"/>
  <c r="AE86" i="5" s="1"/>
  <c r="AF86" i="5" s="1"/>
  <c r="AG86" i="5" s="1"/>
  <c r="AH86" i="5" s="1"/>
  <c r="AI86" i="5" s="1"/>
  <c r="AJ86" i="5" s="1"/>
  <c r="AK86" i="5" s="1"/>
  <c r="AL86" i="5" s="1"/>
  <c r="AM86" i="5" s="1"/>
  <c r="AN86" i="5" s="1"/>
  <c r="AO86" i="5" s="1"/>
  <c r="AS86" i="5" s="1"/>
  <c r="AT86" i="5" s="1"/>
  <c r="AU86" i="5" s="1"/>
  <c r="AV86" i="5" s="1"/>
  <c r="AW86" i="5" s="1"/>
  <c r="AX86" i="5" s="1"/>
  <c r="AY86" i="5" s="1"/>
  <c r="AZ86" i="5" s="1"/>
  <c r="BA86" i="5" s="1"/>
  <c r="BB86" i="5" s="1"/>
  <c r="BC86" i="5" s="1"/>
  <c r="BD86" i="5" s="1"/>
  <c r="AC78" i="5"/>
  <c r="AR78" i="5"/>
  <c r="N78" i="5"/>
  <c r="O78" i="5"/>
  <c r="AR70" i="5"/>
  <c r="O70" i="5"/>
  <c r="N70" i="5"/>
  <c r="AC70" i="5"/>
  <c r="AC50" i="5"/>
  <c r="AR50" i="5"/>
  <c r="O50" i="5"/>
  <c r="N50" i="5"/>
  <c r="AC44" i="5"/>
  <c r="AR44" i="5"/>
  <c r="N44" i="5"/>
  <c r="O44" i="5"/>
  <c r="P44" i="5" s="1"/>
  <c r="Q44" i="5" s="1"/>
  <c r="R44" i="5" s="1"/>
  <c r="S44" i="5" s="1"/>
  <c r="T44" i="5" s="1"/>
  <c r="U44" i="5" s="1"/>
  <c r="V44" i="5" s="1"/>
  <c r="W44" i="5" s="1"/>
  <c r="X44" i="5" s="1"/>
  <c r="Y44" i="5" s="1"/>
  <c r="Z44" i="5" s="1"/>
  <c r="AD44" i="5" s="1"/>
  <c r="AE44" i="5" s="1"/>
  <c r="AF44" i="5" s="1"/>
  <c r="AG44" i="5" s="1"/>
  <c r="AH44" i="5" s="1"/>
  <c r="AI44" i="5" s="1"/>
  <c r="AJ44" i="5" s="1"/>
  <c r="AK44" i="5" s="1"/>
  <c r="AL44" i="5" s="1"/>
  <c r="AM44" i="5" s="1"/>
  <c r="AN44" i="5" s="1"/>
  <c r="AO44" i="5" s="1"/>
  <c r="AS44" i="5" s="1"/>
  <c r="N572" i="5"/>
  <c r="AC572" i="5"/>
  <c r="AR572" i="5" s="1"/>
  <c r="O572" i="5"/>
  <c r="P572" i="5" s="1"/>
  <c r="Q572" i="5" s="1"/>
  <c r="R572" i="5" s="1"/>
  <c r="S572" i="5" s="1"/>
  <c r="T572" i="5" s="1"/>
  <c r="U572" i="5" s="1"/>
  <c r="V572" i="5" s="1"/>
  <c r="W572" i="5" s="1"/>
  <c r="X572" i="5" s="1"/>
  <c r="Y572" i="5" s="1"/>
  <c r="Z572" i="5" s="1"/>
  <c r="AD572" i="5" s="1"/>
  <c r="AE572" i="5" s="1"/>
  <c r="AF572" i="5" s="1"/>
  <c r="AG572" i="5" s="1"/>
  <c r="AH572" i="5" s="1"/>
  <c r="AI572" i="5" s="1"/>
  <c r="AJ572" i="5" s="1"/>
  <c r="AK572" i="5" s="1"/>
  <c r="AL572" i="5" s="1"/>
  <c r="AM572" i="5" s="1"/>
  <c r="AN572" i="5" s="1"/>
  <c r="AO572" i="5" s="1"/>
  <c r="AS572" i="5" s="1"/>
  <c r="AT572" i="5" s="1"/>
  <c r="AU572" i="5" s="1"/>
  <c r="AV572" i="5" s="1"/>
  <c r="AW572" i="5" s="1"/>
  <c r="AX572" i="5" s="1"/>
  <c r="AY572" i="5" s="1"/>
  <c r="AZ572" i="5" s="1"/>
  <c r="BA572" i="5" s="1"/>
  <c r="BB572" i="5" s="1"/>
  <c r="BC572" i="5" s="1"/>
  <c r="BD572" i="5" s="1"/>
  <c r="AC561" i="5"/>
  <c r="AR561" i="5" s="1"/>
  <c r="N561" i="5"/>
  <c r="O561" i="5"/>
  <c r="P561" i="5" s="1"/>
  <c r="Q561" i="5" s="1"/>
  <c r="R561" i="5" s="1"/>
  <c r="S561" i="5" s="1"/>
  <c r="T561" i="5" s="1"/>
  <c r="U561" i="5" s="1"/>
  <c r="V561" i="5" s="1"/>
  <c r="W561" i="5" s="1"/>
  <c r="X561" i="5" s="1"/>
  <c r="Y561" i="5" s="1"/>
  <c r="Z561" i="5" s="1"/>
  <c r="AD561" i="5" s="1"/>
  <c r="AE561" i="5" s="1"/>
  <c r="AF561" i="5" s="1"/>
  <c r="AG561" i="5" s="1"/>
  <c r="AH561" i="5" s="1"/>
  <c r="AI561" i="5" s="1"/>
  <c r="AJ561" i="5" s="1"/>
  <c r="AK561" i="5" s="1"/>
  <c r="AL561" i="5" s="1"/>
  <c r="AM561" i="5" s="1"/>
  <c r="AN561" i="5" s="1"/>
  <c r="AO561" i="5" s="1"/>
  <c r="AS561" i="5" s="1"/>
  <c r="AT561" i="5" s="1"/>
  <c r="AU561" i="5" s="1"/>
  <c r="AV561" i="5" s="1"/>
  <c r="AW561" i="5" s="1"/>
  <c r="AX561" i="5" s="1"/>
  <c r="AY561" i="5" s="1"/>
  <c r="AZ561" i="5" s="1"/>
  <c r="BA561" i="5" s="1"/>
  <c r="BB561" i="5" s="1"/>
  <c r="BC561" i="5" s="1"/>
  <c r="BD561" i="5" s="1"/>
  <c r="N553" i="5"/>
  <c r="O553" i="5"/>
  <c r="P553" i="5" s="1"/>
  <c r="Q553" i="5" s="1"/>
  <c r="R553" i="5" s="1"/>
  <c r="S553" i="5" s="1"/>
  <c r="T553" i="5" s="1"/>
  <c r="U553" i="5" s="1"/>
  <c r="V553" i="5" s="1"/>
  <c r="W553" i="5" s="1"/>
  <c r="X553" i="5" s="1"/>
  <c r="Y553" i="5" s="1"/>
  <c r="Z553" i="5" s="1"/>
  <c r="AD553" i="5" s="1"/>
  <c r="N545" i="5"/>
  <c r="P545" i="5"/>
  <c r="Q545" i="5" s="1"/>
  <c r="R545" i="5" s="1"/>
  <c r="S545" i="5" s="1"/>
  <c r="T545" i="5" s="1"/>
  <c r="U545" i="5" s="1"/>
  <c r="V545" i="5" s="1"/>
  <c r="W545" i="5" s="1"/>
  <c r="X545" i="5" s="1"/>
  <c r="Y545" i="5" s="1"/>
  <c r="Z545" i="5" s="1"/>
  <c r="P537" i="5"/>
  <c r="Q537" i="5" s="1"/>
  <c r="R537" i="5" s="1"/>
  <c r="S537" i="5" s="1"/>
  <c r="T537" i="5" s="1"/>
  <c r="U537" i="5" s="1"/>
  <c r="V537" i="5" s="1"/>
  <c r="W537" i="5" s="1"/>
  <c r="X537" i="5" s="1"/>
  <c r="Y537" i="5" s="1"/>
  <c r="N537" i="5"/>
  <c r="N529" i="5"/>
  <c r="P529" i="5"/>
  <c r="Q529" i="5" s="1"/>
  <c r="R529" i="5" s="1"/>
  <c r="N521" i="5"/>
  <c r="O521" i="5"/>
  <c r="P521" i="5" s="1"/>
  <c r="Q521" i="5" s="1"/>
  <c r="R521" i="5" s="1"/>
  <c r="S521" i="5" s="1"/>
  <c r="T521" i="5" s="1"/>
  <c r="U521" i="5" s="1"/>
  <c r="V521" i="5" s="1"/>
  <c r="W521" i="5" s="1"/>
  <c r="X521" i="5" s="1"/>
  <c r="Y521" i="5" s="1"/>
  <c r="Z521" i="5" s="1"/>
  <c r="AD521" i="5" s="1"/>
  <c r="AE521" i="5" s="1"/>
  <c r="AF521" i="5" s="1"/>
  <c r="AG521" i="5" s="1"/>
  <c r="AH521" i="5" s="1"/>
  <c r="AI521" i="5" s="1"/>
  <c r="AJ521" i="5" s="1"/>
  <c r="AK521" i="5" s="1"/>
  <c r="AL521" i="5" s="1"/>
  <c r="AM521" i="5" s="1"/>
  <c r="AN521" i="5" s="1"/>
  <c r="AO521" i="5" s="1"/>
  <c r="AS521" i="5" s="1"/>
  <c r="AT521" i="5" s="1"/>
  <c r="AU521" i="5" s="1"/>
  <c r="AV521" i="5" s="1"/>
  <c r="AW521" i="5" s="1"/>
  <c r="AX521" i="5" s="1"/>
  <c r="AY521" i="5" s="1"/>
  <c r="AZ521" i="5" s="1"/>
  <c r="BA521" i="5" s="1"/>
  <c r="BB521" i="5" s="1"/>
  <c r="BC521" i="5" s="1"/>
  <c r="BD521" i="5" s="1"/>
  <c r="AC521" i="5"/>
  <c r="AR521" i="5" s="1"/>
  <c r="AR505" i="5"/>
  <c r="N505" i="5"/>
  <c r="AC505" i="5"/>
  <c r="O505" i="5"/>
  <c r="N493" i="5"/>
  <c r="O493" i="5"/>
  <c r="P493" i="5" s="1"/>
  <c r="Q493" i="5" s="1"/>
  <c r="R493" i="5" s="1"/>
  <c r="S493" i="5" s="1"/>
  <c r="T493" i="5" s="1"/>
  <c r="U493" i="5" s="1"/>
  <c r="V493" i="5" s="1"/>
  <c r="W493" i="5" s="1"/>
  <c r="X493" i="5" s="1"/>
  <c r="Y493" i="5" s="1"/>
  <c r="Z493" i="5" s="1"/>
  <c r="AD493" i="5" s="1"/>
  <c r="AC485" i="5"/>
  <c r="N485" i="5"/>
  <c r="O485" i="5"/>
  <c r="P485" i="5" s="1"/>
  <c r="Q485" i="5" s="1"/>
  <c r="R485" i="5" s="1"/>
  <c r="S485" i="5" s="1"/>
  <c r="T485" i="5" s="1"/>
  <c r="U485" i="5" s="1"/>
  <c r="V485" i="5" s="1"/>
  <c r="W485" i="5" s="1"/>
  <c r="X485" i="5" s="1"/>
  <c r="Y485" i="5" s="1"/>
  <c r="Z485" i="5" s="1"/>
  <c r="AD485" i="5" s="1"/>
  <c r="AE485" i="5" s="1"/>
  <c r="AF485" i="5" s="1"/>
  <c r="AG485" i="5" s="1"/>
  <c r="AH485" i="5" s="1"/>
  <c r="AI485" i="5" s="1"/>
  <c r="AJ485" i="5" s="1"/>
  <c r="AK485" i="5" s="1"/>
  <c r="AL485" i="5" s="1"/>
  <c r="AM485" i="5" s="1"/>
  <c r="AN485" i="5" s="1"/>
  <c r="AO485" i="5" s="1"/>
  <c r="AS485" i="5" s="1"/>
  <c r="AR477" i="5"/>
  <c r="AC477" i="5"/>
  <c r="N477" i="5"/>
  <c r="O477" i="5"/>
  <c r="AC469" i="5"/>
  <c r="AR469" i="5"/>
  <c r="N469" i="5"/>
  <c r="O469" i="5"/>
  <c r="AR461" i="5"/>
  <c r="N461" i="5"/>
  <c r="AC461" i="5"/>
  <c r="O461" i="5"/>
  <c r="P461" i="5" s="1"/>
  <c r="Q461" i="5" s="1"/>
  <c r="R461" i="5" s="1"/>
  <c r="S461" i="5" s="1"/>
  <c r="T461" i="5" s="1"/>
  <c r="U461" i="5" s="1"/>
  <c r="V461" i="5" s="1"/>
  <c r="W461" i="5" s="1"/>
  <c r="X461" i="5" s="1"/>
  <c r="Y461" i="5" s="1"/>
  <c r="Z461" i="5" s="1"/>
  <c r="AD461" i="5" s="1"/>
  <c r="AE461" i="5" s="1"/>
  <c r="AF461" i="5" s="1"/>
  <c r="AG461" i="5" s="1"/>
  <c r="AH461" i="5" s="1"/>
  <c r="AI461" i="5" s="1"/>
  <c r="AJ461" i="5" s="1"/>
  <c r="AK461" i="5" s="1"/>
  <c r="AL461" i="5" s="1"/>
  <c r="AM461" i="5" s="1"/>
  <c r="AN461" i="5" s="1"/>
  <c r="AO461" i="5" s="1"/>
  <c r="AS461" i="5" s="1"/>
  <c r="AT461" i="5" s="1"/>
  <c r="AU461" i="5" s="1"/>
  <c r="AV461" i="5" s="1"/>
  <c r="AW461" i="5" s="1"/>
  <c r="AX461" i="5" s="1"/>
  <c r="AY461" i="5" s="1"/>
  <c r="AZ461" i="5" s="1"/>
  <c r="BA461" i="5" s="1"/>
  <c r="BB461" i="5" s="1"/>
  <c r="BC461" i="5" s="1"/>
  <c r="BD461" i="5" s="1"/>
  <c r="N453" i="5"/>
  <c r="AC453" i="5"/>
  <c r="AR453" i="5"/>
  <c r="O453" i="5"/>
  <c r="P453" i="5" s="1"/>
  <c r="Q453" i="5" s="1"/>
  <c r="R453" i="5" s="1"/>
  <c r="S453" i="5" s="1"/>
  <c r="T453" i="5" s="1"/>
  <c r="U453" i="5" s="1"/>
  <c r="V453" i="5" s="1"/>
  <c r="W453" i="5" s="1"/>
  <c r="X453" i="5" s="1"/>
  <c r="Y453" i="5" s="1"/>
  <c r="Z453" i="5" s="1"/>
  <c r="AD453" i="5" s="1"/>
  <c r="AE453" i="5" s="1"/>
  <c r="AF453" i="5" s="1"/>
  <c r="AG453" i="5" s="1"/>
  <c r="AH453" i="5" s="1"/>
  <c r="AI453" i="5" s="1"/>
  <c r="AJ453" i="5" s="1"/>
  <c r="AK453" i="5" s="1"/>
  <c r="AL453" i="5" s="1"/>
  <c r="AM453" i="5" s="1"/>
  <c r="AN453" i="5" s="1"/>
  <c r="AO453" i="5" s="1"/>
  <c r="AS453" i="5" s="1"/>
  <c r="AT453" i="5" s="1"/>
  <c r="AU453" i="5" s="1"/>
  <c r="AV453" i="5" s="1"/>
  <c r="AW453" i="5" s="1"/>
  <c r="AX453" i="5" s="1"/>
  <c r="AY453" i="5" s="1"/>
  <c r="AZ453" i="5" s="1"/>
  <c r="BA453" i="5" s="1"/>
  <c r="BB453" i="5" s="1"/>
  <c r="BC453" i="5" s="1"/>
  <c r="BD453" i="5" s="1"/>
  <c r="N445" i="5"/>
  <c r="O445" i="5"/>
  <c r="P445" i="5" s="1"/>
  <c r="Q445" i="5" s="1"/>
  <c r="R445" i="5" s="1"/>
  <c r="S445" i="5" s="1"/>
  <c r="T445" i="5" s="1"/>
  <c r="U445" i="5" s="1"/>
  <c r="V445" i="5" s="1"/>
  <c r="W445" i="5" s="1"/>
  <c r="X445" i="5" s="1"/>
  <c r="Y445" i="5" s="1"/>
  <c r="Z445" i="5" s="1"/>
  <c r="AD445" i="5" s="1"/>
  <c r="N437" i="5"/>
  <c r="AC437" i="5"/>
  <c r="O437" i="5"/>
  <c r="P437" i="5" s="1"/>
  <c r="Q437" i="5" s="1"/>
  <c r="R437" i="5" s="1"/>
  <c r="S437" i="5" s="1"/>
  <c r="T437" i="5" s="1"/>
  <c r="U437" i="5" s="1"/>
  <c r="V437" i="5" s="1"/>
  <c r="W437" i="5" s="1"/>
  <c r="X437" i="5" s="1"/>
  <c r="Y437" i="5" s="1"/>
  <c r="Z437" i="5" s="1"/>
  <c r="AD437" i="5" s="1"/>
  <c r="AE437" i="5" s="1"/>
  <c r="AF437" i="5" s="1"/>
  <c r="AG437" i="5" s="1"/>
  <c r="AH437" i="5" s="1"/>
  <c r="AI437" i="5" s="1"/>
  <c r="AJ437" i="5" s="1"/>
  <c r="AK437" i="5" s="1"/>
  <c r="AL437" i="5" s="1"/>
  <c r="AM437" i="5" s="1"/>
  <c r="AN437" i="5" s="1"/>
  <c r="AO437" i="5" s="1"/>
  <c r="AS437" i="5" s="1"/>
  <c r="AR429" i="5"/>
  <c r="N429" i="5"/>
  <c r="AC429" i="5"/>
  <c r="O429" i="5"/>
  <c r="AR418" i="5"/>
  <c r="N418" i="5"/>
  <c r="AC418" i="5"/>
  <c r="O418" i="5"/>
  <c r="AR404" i="5"/>
  <c r="AC404" i="5"/>
  <c r="N404" i="5"/>
  <c r="O404" i="5"/>
  <c r="AC386" i="5"/>
  <c r="AR386" i="5"/>
  <c r="N386" i="5"/>
  <c r="O386" i="5"/>
  <c r="N365" i="5"/>
  <c r="O365" i="5"/>
  <c r="P365" i="5" s="1"/>
  <c r="Q365" i="5" s="1"/>
  <c r="R365" i="5" s="1"/>
  <c r="S365" i="5" s="1"/>
  <c r="T365" i="5" s="1"/>
  <c r="U365" i="5" s="1"/>
  <c r="V365" i="5" s="1"/>
  <c r="W365" i="5" s="1"/>
  <c r="X365" i="5" s="1"/>
  <c r="Y365" i="5" s="1"/>
  <c r="Z365" i="5" s="1"/>
  <c r="AD365" i="5" s="1"/>
  <c r="N357" i="5"/>
  <c r="AC357" i="5"/>
  <c r="AR357" i="5"/>
  <c r="O357" i="5"/>
  <c r="N349" i="5"/>
  <c r="AR349" i="5"/>
  <c r="AC349" i="5"/>
  <c r="O349" i="5"/>
  <c r="P349" i="5" s="1"/>
  <c r="Q349" i="5" s="1"/>
  <c r="R349" i="5" s="1"/>
  <c r="S349" i="5" s="1"/>
  <c r="T349" i="5" s="1"/>
  <c r="U349" i="5" s="1"/>
  <c r="V349" i="5" s="1"/>
  <c r="W349" i="5" s="1"/>
  <c r="X349" i="5" s="1"/>
  <c r="Y349" i="5" s="1"/>
  <c r="Z349" i="5" s="1"/>
  <c r="AD349" i="5" s="1"/>
  <c r="AE349" i="5" s="1"/>
  <c r="AF349" i="5" s="1"/>
  <c r="AG349" i="5" s="1"/>
  <c r="AH349" i="5" s="1"/>
  <c r="AI349" i="5" s="1"/>
  <c r="AJ349" i="5" s="1"/>
  <c r="AK349" i="5" s="1"/>
  <c r="AL349" i="5" s="1"/>
  <c r="AM349" i="5" s="1"/>
  <c r="AN349" i="5" s="1"/>
  <c r="AO349" i="5" s="1"/>
  <c r="AS349" i="5" s="1"/>
  <c r="AT349" i="5" s="1"/>
  <c r="AU349" i="5" s="1"/>
  <c r="AV349" i="5" s="1"/>
  <c r="AW349" i="5" s="1"/>
  <c r="AX349" i="5" s="1"/>
  <c r="AY349" i="5" s="1"/>
  <c r="AZ349" i="5" s="1"/>
  <c r="BA349" i="5" s="1"/>
  <c r="BB349" i="5" s="1"/>
  <c r="BC349" i="5" s="1"/>
  <c r="BD349" i="5" s="1"/>
  <c r="N337" i="5"/>
  <c r="O337" i="5"/>
  <c r="P337" i="5" s="1"/>
  <c r="Q337" i="5" s="1"/>
  <c r="R337" i="5" s="1"/>
  <c r="S337" i="5" s="1"/>
  <c r="T337" i="5" s="1"/>
  <c r="U337" i="5" s="1"/>
  <c r="V337" i="5" s="1"/>
  <c r="W337" i="5" s="1"/>
  <c r="X337" i="5" s="1"/>
  <c r="Y337" i="5" s="1"/>
  <c r="Z337" i="5" s="1"/>
  <c r="AD337" i="5" s="1"/>
  <c r="AE337" i="5" s="1"/>
  <c r="AF337" i="5" s="1"/>
  <c r="AG337" i="5" s="1"/>
  <c r="AH337" i="5" s="1"/>
  <c r="AI337" i="5" s="1"/>
  <c r="AJ337" i="5" s="1"/>
  <c r="AK337" i="5" s="1"/>
  <c r="AL337" i="5" s="1"/>
  <c r="AM337" i="5" s="1"/>
  <c r="AN337" i="5" s="1"/>
  <c r="AO337" i="5" s="1"/>
  <c r="AS337" i="5" s="1"/>
  <c r="AC337" i="5"/>
  <c r="AR300" i="5"/>
  <c r="N300" i="5"/>
  <c r="AC300" i="5"/>
  <c r="O300" i="5"/>
  <c r="AR286" i="5"/>
  <c r="O286" i="5"/>
  <c r="N286" i="5"/>
  <c r="AC286" i="5"/>
  <c r="AR277" i="5"/>
  <c r="N277" i="5"/>
  <c r="AC277" i="5"/>
  <c r="O277" i="5"/>
  <c r="N269" i="5"/>
  <c r="AR269" i="5"/>
  <c r="AC269" i="5"/>
  <c r="O269" i="5"/>
  <c r="AC261" i="5"/>
  <c r="O261" i="5"/>
  <c r="AR261" i="5"/>
  <c r="N261" i="5"/>
  <c r="AC253" i="5"/>
  <c r="N253" i="5"/>
  <c r="O253" i="5"/>
  <c r="P253" i="5" s="1"/>
  <c r="Q253" i="5" s="1"/>
  <c r="R253" i="5" s="1"/>
  <c r="S253" i="5" s="1"/>
  <c r="T253" i="5" s="1"/>
  <c r="U253" i="5" s="1"/>
  <c r="V253" i="5" s="1"/>
  <c r="W253" i="5" s="1"/>
  <c r="X253" i="5" s="1"/>
  <c r="Y253" i="5" s="1"/>
  <c r="Z253" i="5" s="1"/>
  <c r="AD253" i="5" s="1"/>
  <c r="AE253" i="5" s="1"/>
  <c r="AF253" i="5" s="1"/>
  <c r="AG253" i="5" s="1"/>
  <c r="AH253" i="5" s="1"/>
  <c r="AI253" i="5" s="1"/>
  <c r="AJ253" i="5" s="1"/>
  <c r="AK253" i="5" s="1"/>
  <c r="AL253" i="5" s="1"/>
  <c r="AM253" i="5" s="1"/>
  <c r="AN253" i="5" s="1"/>
  <c r="AO253" i="5" s="1"/>
  <c r="N245" i="5"/>
  <c r="N237" i="5"/>
  <c r="AR237" i="5"/>
  <c r="AC237" i="5"/>
  <c r="O237" i="5"/>
  <c r="P237" i="5" s="1"/>
  <c r="Q237" i="5" s="1"/>
  <c r="R237" i="5" s="1"/>
  <c r="S237" i="5" s="1"/>
  <c r="T237" i="5" s="1"/>
  <c r="U237" i="5" s="1"/>
  <c r="V237" i="5" s="1"/>
  <c r="W237" i="5" s="1"/>
  <c r="X237" i="5" s="1"/>
  <c r="Y237" i="5" s="1"/>
  <c r="Z237" i="5" s="1"/>
  <c r="AD237" i="5" s="1"/>
  <c r="AE237" i="5" s="1"/>
  <c r="AF237" i="5" s="1"/>
  <c r="AG237" i="5" s="1"/>
  <c r="AH237" i="5" s="1"/>
  <c r="AI237" i="5" s="1"/>
  <c r="AJ237" i="5" s="1"/>
  <c r="AK237" i="5" s="1"/>
  <c r="AL237" i="5" s="1"/>
  <c r="AM237" i="5" s="1"/>
  <c r="AN237" i="5" s="1"/>
  <c r="AO237" i="5" s="1"/>
  <c r="AS237" i="5" s="1"/>
  <c r="AT237" i="5" s="1"/>
  <c r="AU237" i="5" s="1"/>
  <c r="AV237" i="5" s="1"/>
  <c r="AW237" i="5" s="1"/>
  <c r="AX237" i="5" s="1"/>
  <c r="AY237" i="5" s="1"/>
  <c r="AZ237" i="5" s="1"/>
  <c r="BA237" i="5" s="1"/>
  <c r="BB237" i="5" s="1"/>
  <c r="BC237" i="5" s="1"/>
  <c r="BD237" i="5" s="1"/>
  <c r="N229" i="5"/>
  <c r="AR229" i="5"/>
  <c r="AC229" i="5"/>
  <c r="O229" i="5"/>
  <c r="P229" i="5" s="1"/>
  <c r="Q229" i="5" s="1"/>
  <c r="R229" i="5" s="1"/>
  <c r="S229" i="5" s="1"/>
  <c r="T229" i="5" s="1"/>
  <c r="U229" i="5" s="1"/>
  <c r="V229" i="5" s="1"/>
  <c r="W229" i="5" s="1"/>
  <c r="X229" i="5" s="1"/>
  <c r="Y229" i="5" s="1"/>
  <c r="Z229" i="5" s="1"/>
  <c r="AD229" i="5" s="1"/>
  <c r="AE229" i="5" s="1"/>
  <c r="AF229" i="5" s="1"/>
  <c r="AG229" i="5" s="1"/>
  <c r="AH229" i="5" s="1"/>
  <c r="AI229" i="5" s="1"/>
  <c r="AJ229" i="5" s="1"/>
  <c r="AK229" i="5" s="1"/>
  <c r="AL229" i="5" s="1"/>
  <c r="AM229" i="5" s="1"/>
  <c r="AN229" i="5" s="1"/>
  <c r="AO229" i="5" s="1"/>
  <c r="AS229" i="5" s="1"/>
  <c r="AT229" i="5" s="1"/>
  <c r="AU229" i="5" s="1"/>
  <c r="AV229" i="5" s="1"/>
  <c r="AW229" i="5" s="1"/>
  <c r="AX229" i="5" s="1"/>
  <c r="AY229" i="5" s="1"/>
  <c r="AZ229" i="5" s="1"/>
  <c r="BA229" i="5" s="1"/>
  <c r="BB229" i="5" s="1"/>
  <c r="BC229" i="5" s="1"/>
  <c r="BD229" i="5" s="1"/>
  <c r="AC221" i="5"/>
  <c r="AR221" i="5"/>
  <c r="N221" i="5"/>
  <c r="O221" i="5"/>
  <c r="P221" i="5" s="1"/>
  <c r="Q221" i="5" s="1"/>
  <c r="R221" i="5" s="1"/>
  <c r="S221" i="5" s="1"/>
  <c r="T221" i="5" s="1"/>
  <c r="U221" i="5" s="1"/>
  <c r="V221" i="5" s="1"/>
  <c r="W221" i="5" s="1"/>
  <c r="X221" i="5" s="1"/>
  <c r="Y221" i="5" s="1"/>
  <c r="Z221" i="5" s="1"/>
  <c r="AD221" i="5" s="1"/>
  <c r="AE221" i="5" s="1"/>
  <c r="AF221" i="5" s="1"/>
  <c r="AG221" i="5" s="1"/>
  <c r="AH221" i="5" s="1"/>
  <c r="AI221" i="5" s="1"/>
  <c r="AJ221" i="5" s="1"/>
  <c r="AK221" i="5" s="1"/>
  <c r="AL221" i="5" s="1"/>
  <c r="AM221" i="5" s="1"/>
  <c r="AN221" i="5" s="1"/>
  <c r="AO221" i="5" s="1"/>
  <c r="AS221" i="5" s="1"/>
  <c r="AT221" i="5" s="1"/>
  <c r="AU221" i="5" s="1"/>
  <c r="AV221" i="5" s="1"/>
  <c r="AW221" i="5" s="1"/>
  <c r="AX221" i="5" s="1"/>
  <c r="AC213" i="5"/>
  <c r="AR213" i="5"/>
  <c r="N213" i="5"/>
  <c r="O213" i="5"/>
  <c r="AC205" i="5"/>
  <c r="AR205" i="5"/>
  <c r="N205" i="5"/>
  <c r="O205" i="5"/>
  <c r="AR195" i="5"/>
  <c r="N195" i="5"/>
  <c r="AC195" i="5"/>
  <c r="O195" i="5"/>
  <c r="P195" i="5" s="1"/>
  <c r="Q195" i="5" s="1"/>
  <c r="R195" i="5" s="1"/>
  <c r="S195" i="5" s="1"/>
  <c r="T195" i="5" s="1"/>
  <c r="U195" i="5" s="1"/>
  <c r="V195" i="5" s="1"/>
  <c r="W195" i="5" s="1"/>
  <c r="X195" i="5" s="1"/>
  <c r="Y195" i="5" s="1"/>
  <c r="Z195" i="5" s="1"/>
  <c r="AD195" i="5" s="1"/>
  <c r="AE195" i="5" s="1"/>
  <c r="AF195" i="5" s="1"/>
  <c r="AG195" i="5" s="1"/>
  <c r="AH195" i="5" s="1"/>
  <c r="AI195" i="5" s="1"/>
  <c r="AJ195" i="5" s="1"/>
  <c r="AK195" i="5" s="1"/>
  <c r="AL195" i="5" s="1"/>
  <c r="AM195" i="5" s="1"/>
  <c r="AN195" i="5" s="1"/>
  <c r="AO195" i="5" s="1"/>
  <c r="AS195" i="5" s="1"/>
  <c r="AT195" i="5" s="1"/>
  <c r="AU195" i="5" s="1"/>
  <c r="AV195" i="5" s="1"/>
  <c r="AW195" i="5" s="1"/>
  <c r="AX195" i="5" s="1"/>
  <c r="AY195" i="5" s="1"/>
  <c r="AZ195" i="5" s="1"/>
  <c r="BA195" i="5" s="1"/>
  <c r="BB195" i="5" s="1"/>
  <c r="BC195" i="5" s="1"/>
  <c r="BD195" i="5" s="1"/>
  <c r="N185" i="5"/>
  <c r="AC185" i="5"/>
  <c r="AR185" i="5"/>
  <c r="O185" i="5"/>
  <c r="AC169" i="5"/>
  <c r="AR169" i="5"/>
  <c r="N169" i="5"/>
  <c r="O169" i="5"/>
  <c r="P169" i="5" s="1"/>
  <c r="Q169" i="5" s="1"/>
  <c r="R169" i="5" s="1"/>
  <c r="S169" i="5" s="1"/>
  <c r="T169" i="5" s="1"/>
  <c r="U169" i="5" s="1"/>
  <c r="V169" i="5" s="1"/>
  <c r="W169" i="5" s="1"/>
  <c r="X169" i="5" s="1"/>
  <c r="Y169" i="5" s="1"/>
  <c r="Z169" i="5" s="1"/>
  <c r="AD169" i="5" s="1"/>
  <c r="AE169" i="5" s="1"/>
  <c r="AF169" i="5" s="1"/>
  <c r="AG169" i="5" s="1"/>
  <c r="AH169" i="5" s="1"/>
  <c r="AI169" i="5" s="1"/>
  <c r="AJ169" i="5" s="1"/>
  <c r="AK169" i="5" s="1"/>
  <c r="AL169" i="5" s="1"/>
  <c r="AM169" i="5" s="1"/>
  <c r="AN169" i="5" s="1"/>
  <c r="AO169" i="5" s="1"/>
  <c r="AS169" i="5" s="1"/>
  <c r="AT169" i="5" s="1"/>
  <c r="AU169" i="5" s="1"/>
  <c r="AV169" i="5" s="1"/>
  <c r="AW169" i="5" s="1"/>
  <c r="AX169" i="5" s="1"/>
  <c r="AY169" i="5" s="1"/>
  <c r="AZ169" i="5" s="1"/>
  <c r="BA169" i="5" s="1"/>
  <c r="BB169" i="5" s="1"/>
  <c r="BC169" i="5" s="1"/>
  <c r="BD169" i="5" s="1"/>
  <c r="O160" i="5"/>
  <c r="N160" i="5"/>
  <c r="AC160" i="5"/>
  <c r="AR160" i="5"/>
  <c r="N153" i="5"/>
  <c r="O153" i="5"/>
  <c r="P153" i="5" s="1"/>
  <c r="Q153" i="5" s="1"/>
  <c r="R153" i="5" s="1"/>
  <c r="S153" i="5" s="1"/>
  <c r="T153" i="5" s="1"/>
  <c r="U153" i="5" s="1"/>
  <c r="V153" i="5" s="1"/>
  <c r="W153" i="5" s="1"/>
  <c r="X153" i="5" s="1"/>
  <c r="Y153" i="5" s="1"/>
  <c r="AE146" i="5"/>
  <c r="AF146" i="5" s="1"/>
  <c r="AG146" i="5" s="1"/>
  <c r="AH146" i="5" s="1"/>
  <c r="AI146" i="5" s="1"/>
  <c r="AJ146" i="5" s="1"/>
  <c r="AK146" i="5" s="1"/>
  <c r="AC146" i="5"/>
  <c r="AR138" i="5"/>
  <c r="AC138" i="5"/>
  <c r="O138" i="5"/>
  <c r="P138" i="5" s="1"/>
  <c r="Q138" i="5" s="1"/>
  <c r="R138" i="5" s="1"/>
  <c r="S138" i="5" s="1"/>
  <c r="T138" i="5" s="1"/>
  <c r="U138" i="5" s="1"/>
  <c r="V138" i="5" s="1"/>
  <c r="W138" i="5" s="1"/>
  <c r="X138" i="5" s="1"/>
  <c r="Y138" i="5" s="1"/>
  <c r="Z138" i="5" s="1"/>
  <c r="AD138" i="5" s="1"/>
  <c r="AE138" i="5" s="1"/>
  <c r="AF138" i="5" s="1"/>
  <c r="AG138" i="5" s="1"/>
  <c r="AH138" i="5" s="1"/>
  <c r="AI138" i="5" s="1"/>
  <c r="AJ138" i="5" s="1"/>
  <c r="AK138" i="5" s="1"/>
  <c r="AL138" i="5" s="1"/>
  <c r="AM138" i="5" s="1"/>
  <c r="AN138" i="5" s="1"/>
  <c r="AO138" i="5" s="1"/>
  <c r="AS138" i="5" s="1"/>
  <c r="AT138" i="5" s="1"/>
  <c r="AU138" i="5" s="1"/>
  <c r="AV138" i="5" s="1"/>
  <c r="AW138" i="5" s="1"/>
  <c r="AX138" i="5" s="1"/>
  <c r="AY138" i="5" s="1"/>
  <c r="AZ138" i="5" s="1"/>
  <c r="BA138" i="5" s="1"/>
  <c r="BB138" i="5" s="1"/>
  <c r="BC138" i="5" s="1"/>
  <c r="BD138" i="5" s="1"/>
  <c r="N138" i="5"/>
  <c r="AR130" i="5"/>
  <c r="AC130" i="5"/>
  <c r="O130" i="5"/>
  <c r="P130" i="5" s="1"/>
  <c r="Q130" i="5" s="1"/>
  <c r="R130" i="5" s="1"/>
  <c r="S130" i="5" s="1"/>
  <c r="T130" i="5" s="1"/>
  <c r="U130" i="5" s="1"/>
  <c r="V130" i="5" s="1"/>
  <c r="W130" i="5" s="1"/>
  <c r="X130" i="5" s="1"/>
  <c r="Y130" i="5" s="1"/>
  <c r="Z130" i="5" s="1"/>
  <c r="AD130" i="5" s="1"/>
  <c r="AE130" i="5" s="1"/>
  <c r="AF130" i="5" s="1"/>
  <c r="AG130" i="5" s="1"/>
  <c r="AH130" i="5" s="1"/>
  <c r="AI130" i="5" s="1"/>
  <c r="AJ130" i="5" s="1"/>
  <c r="AK130" i="5" s="1"/>
  <c r="AL130" i="5" s="1"/>
  <c r="AM130" i="5" s="1"/>
  <c r="AN130" i="5" s="1"/>
  <c r="AO130" i="5" s="1"/>
  <c r="AS130" i="5" s="1"/>
  <c r="AT130" i="5" s="1"/>
  <c r="AU130" i="5" s="1"/>
  <c r="AV130" i="5" s="1"/>
  <c r="AW130" i="5" s="1"/>
  <c r="AX130" i="5" s="1"/>
  <c r="AY130" i="5" s="1"/>
  <c r="AZ130" i="5" s="1"/>
  <c r="BA130" i="5" s="1"/>
  <c r="BB130" i="5" s="1"/>
  <c r="BC130" i="5" s="1"/>
  <c r="BD130" i="5" s="1"/>
  <c r="N130" i="5"/>
  <c r="N116" i="5"/>
  <c r="O116" i="5"/>
  <c r="P116" i="5" s="1"/>
  <c r="Q116" i="5" s="1"/>
  <c r="R116" i="5" s="1"/>
  <c r="S116" i="5" s="1"/>
  <c r="T116" i="5" s="1"/>
  <c r="U116" i="5" s="1"/>
  <c r="V116" i="5" s="1"/>
  <c r="W116" i="5" s="1"/>
  <c r="X116" i="5" s="1"/>
  <c r="Y116" i="5" s="1"/>
  <c r="Z116" i="5" s="1"/>
  <c r="AD116" i="5" s="1"/>
  <c r="AR106" i="5"/>
  <c r="N106" i="5"/>
  <c r="AC106" i="5"/>
  <c r="O106" i="5"/>
  <c r="N95" i="5"/>
  <c r="AR95" i="5"/>
  <c r="O95" i="5"/>
  <c r="P95" i="5" s="1"/>
  <c r="Q95" i="5" s="1"/>
  <c r="R95" i="5" s="1"/>
  <c r="S95" i="5" s="1"/>
  <c r="T95" i="5" s="1"/>
  <c r="U95" i="5" s="1"/>
  <c r="V95" i="5" s="1"/>
  <c r="W95" i="5" s="1"/>
  <c r="X95" i="5" s="1"/>
  <c r="Y95" i="5" s="1"/>
  <c r="Z95" i="5" s="1"/>
  <c r="AD95" i="5" s="1"/>
  <c r="AE95" i="5" s="1"/>
  <c r="AF95" i="5" s="1"/>
  <c r="AG95" i="5" s="1"/>
  <c r="AH95" i="5" s="1"/>
  <c r="AI95" i="5" s="1"/>
  <c r="AJ95" i="5" s="1"/>
  <c r="AK95" i="5" s="1"/>
  <c r="AL95" i="5" s="1"/>
  <c r="AM95" i="5" s="1"/>
  <c r="AN95" i="5" s="1"/>
  <c r="AO95" i="5" s="1"/>
  <c r="AS95" i="5" s="1"/>
  <c r="AT95" i="5" s="1"/>
  <c r="AU95" i="5" s="1"/>
  <c r="AV95" i="5" s="1"/>
  <c r="AW95" i="5" s="1"/>
  <c r="AX95" i="5" s="1"/>
  <c r="AY95" i="5" s="1"/>
  <c r="AZ95" i="5" s="1"/>
  <c r="BA95" i="5" s="1"/>
  <c r="BB95" i="5" s="1"/>
  <c r="BC95" i="5" s="1"/>
  <c r="BD95" i="5" s="1"/>
  <c r="AC95" i="5"/>
  <c r="AC87" i="5"/>
  <c r="AR87" i="5"/>
  <c r="N87" i="5"/>
  <c r="O87" i="5"/>
  <c r="P87" i="5" s="1"/>
  <c r="Q87" i="5" s="1"/>
  <c r="R87" i="5" s="1"/>
  <c r="S87" i="5" s="1"/>
  <c r="T87" i="5" s="1"/>
  <c r="U87" i="5" s="1"/>
  <c r="V87" i="5" s="1"/>
  <c r="W87" i="5" s="1"/>
  <c r="X87" i="5" s="1"/>
  <c r="Y87" i="5" s="1"/>
  <c r="Z87" i="5" s="1"/>
  <c r="AD87" i="5" s="1"/>
  <c r="AE87" i="5" s="1"/>
  <c r="AF87" i="5" s="1"/>
  <c r="AG87" i="5" s="1"/>
  <c r="AH87" i="5" s="1"/>
  <c r="AI87" i="5" s="1"/>
  <c r="AJ87" i="5" s="1"/>
  <c r="AK87" i="5" s="1"/>
  <c r="AL87" i="5" s="1"/>
  <c r="AM87" i="5" s="1"/>
  <c r="AN87" i="5" s="1"/>
  <c r="AO87" i="5" s="1"/>
  <c r="AS87" i="5" s="1"/>
  <c r="AT87" i="5" s="1"/>
  <c r="AU87" i="5" s="1"/>
  <c r="AV87" i="5" s="1"/>
  <c r="AW87" i="5" s="1"/>
  <c r="AX87" i="5" s="1"/>
  <c r="AY87" i="5" s="1"/>
  <c r="AZ87" i="5" s="1"/>
  <c r="BA87" i="5" s="1"/>
  <c r="BB87" i="5" s="1"/>
  <c r="BC87" i="5" s="1"/>
  <c r="BD87" i="5" s="1"/>
  <c r="AR79" i="5"/>
  <c r="N79" i="5"/>
  <c r="AC79" i="5"/>
  <c r="O79" i="5"/>
  <c r="AC71" i="5"/>
  <c r="AR71" i="5"/>
  <c r="N71" i="5"/>
  <c r="O71" i="5"/>
  <c r="N63" i="5"/>
  <c r="AR63" i="5"/>
  <c r="AC63" i="5"/>
  <c r="O63" i="5"/>
  <c r="P63" i="5" s="1"/>
  <c r="Q63" i="5" s="1"/>
  <c r="R63" i="5" s="1"/>
  <c r="S63" i="5" s="1"/>
  <c r="T63" i="5" s="1"/>
  <c r="U63" i="5" s="1"/>
  <c r="V63" i="5" s="1"/>
  <c r="W63" i="5" s="1"/>
  <c r="X63" i="5" s="1"/>
  <c r="Y63" i="5" s="1"/>
  <c r="Z63" i="5" s="1"/>
  <c r="AD63" i="5" s="1"/>
  <c r="AE63" i="5" s="1"/>
  <c r="AF63" i="5" s="1"/>
  <c r="AG63" i="5" s="1"/>
  <c r="AH63" i="5" s="1"/>
  <c r="AI63" i="5" s="1"/>
  <c r="AJ63" i="5" s="1"/>
  <c r="AK63" i="5" s="1"/>
  <c r="AL63" i="5" s="1"/>
  <c r="AM63" i="5" s="1"/>
  <c r="AN63" i="5" s="1"/>
  <c r="AO63" i="5" s="1"/>
  <c r="AS63" i="5" s="1"/>
  <c r="AT63" i="5" s="1"/>
  <c r="AU63" i="5" s="1"/>
  <c r="AV63" i="5" s="1"/>
  <c r="AW63" i="5" s="1"/>
  <c r="AX63" i="5" s="1"/>
  <c r="AY63" i="5" s="1"/>
  <c r="AZ63" i="5" s="1"/>
  <c r="BA63" i="5" s="1"/>
  <c r="BB63" i="5" s="1"/>
  <c r="BC63" i="5" s="1"/>
  <c r="BD63" i="5" s="1"/>
  <c r="AR55" i="5"/>
  <c r="O55" i="5"/>
  <c r="N55" i="5"/>
  <c r="AC55" i="5"/>
  <c r="O48" i="5"/>
  <c r="P48" i="5" s="1"/>
  <c r="Q48" i="5" s="1"/>
  <c r="R48" i="5" s="1"/>
  <c r="S48" i="5" s="1"/>
  <c r="T48" i="5" s="1"/>
  <c r="U48" i="5" s="1"/>
  <c r="V48" i="5" s="1"/>
  <c r="W48" i="5" s="1"/>
  <c r="X48" i="5" s="1"/>
  <c r="Y48" i="5" s="1"/>
  <c r="Z48" i="5" s="1"/>
  <c r="AD48" i="5" s="1"/>
  <c r="N48" i="5"/>
  <c r="O22" i="5"/>
  <c r="AC22" i="5"/>
  <c r="AR22" i="5"/>
  <c r="N22" i="5"/>
  <c r="AC16" i="5"/>
  <c r="O16" i="5"/>
  <c r="P16" i="5" s="1"/>
  <c r="Q16" i="5" s="1"/>
  <c r="R16" i="5" s="1"/>
  <c r="S16" i="5" s="1"/>
  <c r="T16" i="5" s="1"/>
  <c r="U16" i="5" s="1"/>
  <c r="V16" i="5" s="1"/>
  <c r="W16" i="5" s="1"/>
  <c r="X16" i="5" s="1"/>
  <c r="Y16" i="5" s="1"/>
  <c r="Z16" i="5" s="1"/>
  <c r="AD16" i="5" s="1"/>
  <c r="AE16" i="5" s="1"/>
  <c r="AF16" i="5" s="1"/>
  <c r="AG16" i="5" s="1"/>
  <c r="AH16" i="5" s="1"/>
  <c r="AI16" i="5" s="1"/>
  <c r="AJ16" i="5" s="1"/>
  <c r="AK16" i="5" s="1"/>
  <c r="AL16" i="5" s="1"/>
  <c r="AM16" i="5" s="1"/>
  <c r="AN16" i="5" s="1"/>
  <c r="AO16" i="5" s="1"/>
  <c r="AS16" i="5" s="1"/>
  <c r="AT16" i="5" s="1"/>
  <c r="AU16" i="5" s="1"/>
  <c r="AV16" i="5" s="1"/>
  <c r="AW16" i="5" s="1"/>
  <c r="AX16" i="5" s="1"/>
  <c r="AY16" i="5" s="1"/>
  <c r="AZ16" i="5" s="1"/>
  <c r="BA16" i="5" s="1"/>
  <c r="BB16" i="5" s="1"/>
  <c r="BC16" i="5" s="1"/>
  <c r="BD16" i="5" s="1"/>
  <c r="N16" i="5"/>
  <c r="AR16" i="5"/>
  <c r="N585" i="5"/>
  <c r="O585" i="5"/>
  <c r="P585" i="5" s="1"/>
  <c r="Q585" i="5" s="1"/>
  <c r="R585" i="5" s="1"/>
  <c r="S585" i="5" s="1"/>
  <c r="T585" i="5" s="1"/>
  <c r="U585" i="5" s="1"/>
  <c r="V585" i="5" s="1"/>
  <c r="W585" i="5" s="1"/>
  <c r="X585" i="5" s="1"/>
  <c r="Y585" i="5" s="1"/>
  <c r="Z585" i="5" s="1"/>
  <c r="AD585" i="5" s="1"/>
  <c r="AE585" i="5" s="1"/>
  <c r="AF585" i="5" s="1"/>
  <c r="AG585" i="5" s="1"/>
  <c r="AH585" i="5" s="1"/>
  <c r="AI585" i="5" s="1"/>
  <c r="AJ585" i="5" s="1"/>
  <c r="AK585" i="5" s="1"/>
  <c r="AL585" i="5" s="1"/>
  <c r="AM585" i="5" s="1"/>
  <c r="AN585" i="5" s="1"/>
  <c r="AO585" i="5" s="1"/>
  <c r="AS585" i="5" s="1"/>
  <c r="AT585" i="5" s="1"/>
  <c r="AU585" i="5" s="1"/>
  <c r="AV585" i="5" s="1"/>
  <c r="AW585" i="5" s="1"/>
  <c r="AX585" i="5" s="1"/>
  <c r="AY585" i="5" s="1"/>
  <c r="AZ585" i="5" s="1"/>
  <c r="BA585" i="5" s="1"/>
  <c r="BB585" i="5" s="1"/>
  <c r="BC585" i="5" s="1"/>
  <c r="BD585" i="5" s="1"/>
  <c r="N569" i="5"/>
  <c r="AC569" i="5"/>
  <c r="AR569" i="5" s="1"/>
  <c r="O569" i="5"/>
  <c r="P569" i="5" s="1"/>
  <c r="Q569" i="5" s="1"/>
  <c r="R569" i="5" s="1"/>
  <c r="S569" i="5" s="1"/>
  <c r="T569" i="5" s="1"/>
  <c r="U569" i="5" s="1"/>
  <c r="V569" i="5" s="1"/>
  <c r="W569" i="5" s="1"/>
  <c r="X569" i="5" s="1"/>
  <c r="Y569" i="5" s="1"/>
  <c r="Z569" i="5" s="1"/>
  <c r="AD569" i="5" s="1"/>
  <c r="AE569" i="5" s="1"/>
  <c r="AF569" i="5" s="1"/>
  <c r="AG569" i="5" s="1"/>
  <c r="AH569" i="5" s="1"/>
  <c r="AI569" i="5" s="1"/>
  <c r="AJ569" i="5" s="1"/>
  <c r="AK569" i="5" s="1"/>
  <c r="AL569" i="5" s="1"/>
  <c r="AM569" i="5" s="1"/>
  <c r="AN569" i="5" s="1"/>
  <c r="AO569" i="5" s="1"/>
  <c r="AS569" i="5" s="1"/>
  <c r="AT569" i="5" s="1"/>
  <c r="AU569" i="5" s="1"/>
  <c r="AV569" i="5" s="1"/>
  <c r="AW569" i="5" s="1"/>
  <c r="AX569" i="5" s="1"/>
  <c r="AY569" i="5" s="1"/>
  <c r="AZ569" i="5" s="1"/>
  <c r="BA569" i="5" s="1"/>
  <c r="BB569" i="5" s="1"/>
  <c r="BC569" i="5" s="1"/>
  <c r="BD569" i="5" s="1"/>
  <c r="N562" i="5"/>
  <c r="AC562" i="5"/>
  <c r="AR562" i="5" s="1"/>
  <c r="O562" i="5"/>
  <c r="P562" i="5" s="1"/>
  <c r="Q562" i="5" s="1"/>
  <c r="R562" i="5" s="1"/>
  <c r="S562" i="5" s="1"/>
  <c r="T562" i="5" s="1"/>
  <c r="U562" i="5" s="1"/>
  <c r="V562" i="5" s="1"/>
  <c r="W562" i="5" s="1"/>
  <c r="X562" i="5" s="1"/>
  <c r="Y562" i="5" s="1"/>
  <c r="Z562" i="5" s="1"/>
  <c r="AD562" i="5" s="1"/>
  <c r="AE562" i="5" s="1"/>
  <c r="AF562" i="5" s="1"/>
  <c r="AG562" i="5" s="1"/>
  <c r="AH562" i="5" s="1"/>
  <c r="AI562" i="5" s="1"/>
  <c r="AJ562" i="5" s="1"/>
  <c r="AK562" i="5" s="1"/>
  <c r="AL562" i="5" s="1"/>
  <c r="AM562" i="5" s="1"/>
  <c r="AN562" i="5" s="1"/>
  <c r="AO562" i="5" s="1"/>
  <c r="AS562" i="5" s="1"/>
  <c r="AT562" i="5" s="1"/>
  <c r="AU562" i="5" s="1"/>
  <c r="AV562" i="5" s="1"/>
  <c r="AW562" i="5" s="1"/>
  <c r="AX562" i="5" s="1"/>
  <c r="AY562" i="5" s="1"/>
  <c r="AZ562" i="5" s="1"/>
  <c r="BA562" i="5" s="1"/>
  <c r="BB562" i="5" s="1"/>
  <c r="BC562" i="5" s="1"/>
  <c r="BD562" i="5" s="1"/>
  <c r="P546" i="5"/>
  <c r="Q546" i="5" s="1"/>
  <c r="R546" i="5" s="1"/>
  <c r="S546" i="5" s="1"/>
  <c r="T546" i="5" s="1"/>
  <c r="U546" i="5" s="1"/>
  <c r="V546" i="5" s="1"/>
  <c r="W546" i="5" s="1"/>
  <c r="X546" i="5" s="1"/>
  <c r="Y546" i="5" s="1"/>
  <c r="Z546" i="5" s="1"/>
  <c r="N546" i="5"/>
  <c r="N538" i="5"/>
  <c r="P538" i="5"/>
  <c r="Q538" i="5" s="1"/>
  <c r="R538" i="5" s="1"/>
  <c r="S538" i="5" s="1"/>
  <c r="T538" i="5" s="1"/>
  <c r="U538" i="5" s="1"/>
  <c r="V538" i="5" s="1"/>
  <c r="W538" i="5" s="1"/>
  <c r="X538" i="5" s="1"/>
  <c r="Y538" i="5" s="1"/>
  <c r="N530" i="5"/>
  <c r="AC530" i="5"/>
  <c r="AR530" i="5" s="1"/>
  <c r="O530" i="5"/>
  <c r="P530" i="5" s="1"/>
  <c r="Q530" i="5" s="1"/>
  <c r="R530" i="5" s="1"/>
  <c r="S530" i="5" s="1"/>
  <c r="T530" i="5" s="1"/>
  <c r="U530" i="5" s="1"/>
  <c r="V530" i="5" s="1"/>
  <c r="W530" i="5" s="1"/>
  <c r="X530" i="5" s="1"/>
  <c r="Y530" i="5" s="1"/>
  <c r="Z530" i="5" s="1"/>
  <c r="AD530" i="5" s="1"/>
  <c r="AE530" i="5" s="1"/>
  <c r="AF530" i="5" s="1"/>
  <c r="AG530" i="5" s="1"/>
  <c r="AH530" i="5" s="1"/>
  <c r="AI530" i="5" s="1"/>
  <c r="AJ530" i="5" s="1"/>
  <c r="AK530" i="5" s="1"/>
  <c r="AL530" i="5" s="1"/>
  <c r="AM530" i="5" s="1"/>
  <c r="AN530" i="5" s="1"/>
  <c r="AO530" i="5" s="1"/>
  <c r="AS530" i="5" s="1"/>
  <c r="AT530" i="5" s="1"/>
  <c r="AU530" i="5" s="1"/>
  <c r="AV530" i="5" s="1"/>
  <c r="AW530" i="5" s="1"/>
  <c r="AX530" i="5" s="1"/>
  <c r="AY530" i="5" s="1"/>
  <c r="AZ530" i="5" s="1"/>
  <c r="BA530" i="5" s="1"/>
  <c r="BB530" i="5" s="1"/>
  <c r="BC530" i="5" s="1"/>
  <c r="BD530" i="5" s="1"/>
  <c r="N522" i="5"/>
  <c r="AC522" i="5"/>
  <c r="AR522" i="5" s="1"/>
  <c r="O522" i="5"/>
  <c r="P522" i="5" s="1"/>
  <c r="Q522" i="5" s="1"/>
  <c r="R522" i="5" s="1"/>
  <c r="S522" i="5" s="1"/>
  <c r="T522" i="5" s="1"/>
  <c r="U522" i="5" s="1"/>
  <c r="V522" i="5" s="1"/>
  <c r="W522" i="5" s="1"/>
  <c r="X522" i="5" s="1"/>
  <c r="Y522" i="5" s="1"/>
  <c r="Z522" i="5" s="1"/>
  <c r="AD522" i="5" s="1"/>
  <c r="AE522" i="5" s="1"/>
  <c r="AF522" i="5" s="1"/>
  <c r="AG522" i="5" s="1"/>
  <c r="AH522" i="5" s="1"/>
  <c r="AI522" i="5" s="1"/>
  <c r="AJ522" i="5" s="1"/>
  <c r="AK522" i="5" s="1"/>
  <c r="AL522" i="5" s="1"/>
  <c r="AM522" i="5" s="1"/>
  <c r="AN522" i="5" s="1"/>
  <c r="AO522" i="5" s="1"/>
  <c r="AS522" i="5" s="1"/>
  <c r="AT522" i="5" s="1"/>
  <c r="AU522" i="5" s="1"/>
  <c r="AV522" i="5" s="1"/>
  <c r="AW522" i="5" s="1"/>
  <c r="AX522" i="5" s="1"/>
  <c r="AY522" i="5" s="1"/>
  <c r="AZ522" i="5" s="1"/>
  <c r="BA522" i="5" s="1"/>
  <c r="BB522" i="5" s="1"/>
  <c r="BC522" i="5" s="1"/>
  <c r="BD522" i="5" s="1"/>
  <c r="AC516" i="5"/>
  <c r="AR516" i="5" s="1"/>
  <c r="N516" i="5"/>
  <c r="O516" i="5"/>
  <c r="N509" i="5"/>
  <c r="M508" i="5"/>
  <c r="AR509" i="5"/>
  <c r="AC509" i="5"/>
  <c r="O509" i="5"/>
  <c r="AR498" i="5"/>
  <c r="N498" i="5"/>
  <c r="O498" i="5"/>
  <c r="AC498" i="5"/>
  <c r="N490" i="5"/>
  <c r="O490" i="5"/>
  <c r="P490" i="5" s="1"/>
  <c r="Q490" i="5" s="1"/>
  <c r="R490" i="5" s="1"/>
  <c r="S490" i="5" s="1"/>
  <c r="T490" i="5" s="1"/>
  <c r="U490" i="5" s="1"/>
  <c r="V490" i="5" s="1"/>
  <c r="W490" i="5" s="1"/>
  <c r="X490" i="5" s="1"/>
  <c r="Y490" i="5" s="1"/>
  <c r="Z490" i="5" s="1"/>
  <c r="AD490" i="5" s="1"/>
  <c r="AC482" i="5"/>
  <c r="N482" i="5"/>
  <c r="AR482" i="5"/>
  <c r="O482" i="5"/>
  <c r="P482" i="5" s="1"/>
  <c r="Q482" i="5" s="1"/>
  <c r="R482" i="5" s="1"/>
  <c r="S482" i="5" s="1"/>
  <c r="T482" i="5" s="1"/>
  <c r="U482" i="5" s="1"/>
  <c r="V482" i="5" s="1"/>
  <c r="W482" i="5" s="1"/>
  <c r="X482" i="5" s="1"/>
  <c r="Y482" i="5" s="1"/>
  <c r="Z482" i="5" s="1"/>
  <c r="AD482" i="5" s="1"/>
  <c r="AE482" i="5" s="1"/>
  <c r="AF482" i="5" s="1"/>
  <c r="AG482" i="5" s="1"/>
  <c r="AH482" i="5" s="1"/>
  <c r="AI482" i="5" s="1"/>
  <c r="AJ482" i="5" s="1"/>
  <c r="AK482" i="5" s="1"/>
  <c r="AL482" i="5" s="1"/>
  <c r="AM482" i="5" s="1"/>
  <c r="AN482" i="5" s="1"/>
  <c r="AO482" i="5" s="1"/>
  <c r="AS482" i="5" s="1"/>
  <c r="AT482" i="5" s="1"/>
  <c r="AU482" i="5" s="1"/>
  <c r="AV482" i="5" s="1"/>
  <c r="AW482" i="5" s="1"/>
  <c r="AX482" i="5" s="1"/>
  <c r="AY482" i="5" s="1"/>
  <c r="AZ482" i="5" s="1"/>
  <c r="BA482" i="5" s="1"/>
  <c r="BB482" i="5" s="1"/>
  <c r="BC482" i="5" s="1"/>
  <c r="BD482" i="5" s="1"/>
  <c r="AR474" i="5"/>
  <c r="AC474" i="5"/>
  <c r="N474" i="5"/>
  <c r="O474" i="5"/>
  <c r="AR466" i="5"/>
  <c r="N466" i="5"/>
  <c r="AC466" i="5"/>
  <c r="O466" i="5"/>
  <c r="P466" i="5" s="1"/>
  <c r="Q466" i="5" s="1"/>
  <c r="R466" i="5" s="1"/>
  <c r="S466" i="5" s="1"/>
  <c r="T466" i="5" s="1"/>
  <c r="U466" i="5" s="1"/>
  <c r="V466" i="5" s="1"/>
  <c r="W466" i="5" s="1"/>
  <c r="X466" i="5" s="1"/>
  <c r="Y466" i="5" s="1"/>
  <c r="Z466" i="5" s="1"/>
  <c r="AD466" i="5" s="1"/>
  <c r="AE466" i="5" s="1"/>
  <c r="AF466" i="5" s="1"/>
  <c r="AG466" i="5" s="1"/>
  <c r="AH466" i="5" s="1"/>
  <c r="AI466" i="5" s="1"/>
  <c r="AJ466" i="5" s="1"/>
  <c r="AK466" i="5" s="1"/>
  <c r="AL466" i="5" s="1"/>
  <c r="AM466" i="5" s="1"/>
  <c r="AN466" i="5" s="1"/>
  <c r="AO466" i="5" s="1"/>
  <c r="AS466" i="5" s="1"/>
  <c r="AT466" i="5" s="1"/>
  <c r="AU466" i="5" s="1"/>
  <c r="AV466" i="5" s="1"/>
  <c r="AW466" i="5" s="1"/>
  <c r="AX466" i="5" s="1"/>
  <c r="AY466" i="5" s="1"/>
  <c r="AZ466" i="5" s="1"/>
  <c r="BA466" i="5" s="1"/>
  <c r="BB466" i="5" s="1"/>
  <c r="BC466" i="5" s="1"/>
  <c r="BD466" i="5" s="1"/>
  <c r="N458" i="5"/>
  <c r="AR458" i="5"/>
  <c r="AC458" i="5"/>
  <c r="O458" i="5"/>
  <c r="P458" i="5" s="1"/>
  <c r="Q458" i="5" s="1"/>
  <c r="R458" i="5" s="1"/>
  <c r="S458" i="5" s="1"/>
  <c r="T458" i="5" s="1"/>
  <c r="U458" i="5" s="1"/>
  <c r="V458" i="5" s="1"/>
  <c r="W458" i="5" s="1"/>
  <c r="X458" i="5" s="1"/>
  <c r="Y458" i="5" s="1"/>
  <c r="Z458" i="5" s="1"/>
  <c r="AD458" i="5" s="1"/>
  <c r="AE458" i="5" s="1"/>
  <c r="AF458" i="5" s="1"/>
  <c r="AG458" i="5" s="1"/>
  <c r="AH458" i="5" s="1"/>
  <c r="AI458" i="5" s="1"/>
  <c r="AJ458" i="5" s="1"/>
  <c r="AK458" i="5" s="1"/>
  <c r="AL458" i="5" s="1"/>
  <c r="AM458" i="5" s="1"/>
  <c r="AN458" i="5" s="1"/>
  <c r="AO458" i="5" s="1"/>
  <c r="AS458" i="5" s="1"/>
  <c r="AT458" i="5" s="1"/>
  <c r="AU458" i="5" s="1"/>
  <c r="AV458" i="5" s="1"/>
  <c r="AW458" i="5" s="1"/>
  <c r="AX458" i="5" s="1"/>
  <c r="AY458" i="5" s="1"/>
  <c r="AZ458" i="5" s="1"/>
  <c r="BA458" i="5" s="1"/>
  <c r="BB458" i="5" s="1"/>
  <c r="BC458" i="5" s="1"/>
  <c r="BD458" i="5" s="1"/>
  <c r="AC450" i="5"/>
  <c r="N450" i="5"/>
  <c r="AR450" i="5"/>
  <c r="O450" i="5"/>
  <c r="P450" i="5" s="1"/>
  <c r="Q450" i="5" s="1"/>
  <c r="R450" i="5" s="1"/>
  <c r="S450" i="5" s="1"/>
  <c r="T450" i="5" s="1"/>
  <c r="U450" i="5" s="1"/>
  <c r="V450" i="5" s="1"/>
  <c r="W450" i="5" s="1"/>
  <c r="X450" i="5" s="1"/>
  <c r="Y450" i="5" s="1"/>
  <c r="Z450" i="5" s="1"/>
  <c r="AD450" i="5" s="1"/>
  <c r="AE450" i="5" s="1"/>
  <c r="AF450" i="5" s="1"/>
  <c r="AG450" i="5" s="1"/>
  <c r="AH450" i="5" s="1"/>
  <c r="AI450" i="5" s="1"/>
  <c r="AJ450" i="5" s="1"/>
  <c r="AK450" i="5" s="1"/>
  <c r="AL450" i="5" s="1"/>
  <c r="AM450" i="5" s="1"/>
  <c r="AN450" i="5" s="1"/>
  <c r="AO450" i="5" s="1"/>
  <c r="AS450" i="5" s="1"/>
  <c r="AT450" i="5" s="1"/>
  <c r="AU450" i="5" s="1"/>
  <c r="AV450" i="5" s="1"/>
  <c r="AW450" i="5" s="1"/>
  <c r="AX450" i="5" s="1"/>
  <c r="AY450" i="5" s="1"/>
  <c r="AZ450" i="5" s="1"/>
  <c r="BA450" i="5" s="1"/>
  <c r="BB450" i="5" s="1"/>
  <c r="BC450" i="5" s="1"/>
  <c r="BD450" i="5" s="1"/>
  <c r="AC442" i="5"/>
  <c r="AR442" i="5"/>
  <c r="N442" i="5"/>
  <c r="O442" i="5"/>
  <c r="P442" i="5" s="1"/>
  <c r="Q442" i="5" s="1"/>
  <c r="R442" i="5" s="1"/>
  <c r="S442" i="5" s="1"/>
  <c r="T442" i="5" s="1"/>
  <c r="U442" i="5" s="1"/>
  <c r="V442" i="5" s="1"/>
  <c r="W442" i="5" s="1"/>
  <c r="X442" i="5" s="1"/>
  <c r="Y442" i="5" s="1"/>
  <c r="Z442" i="5" s="1"/>
  <c r="AD442" i="5" s="1"/>
  <c r="AE442" i="5" s="1"/>
  <c r="AF442" i="5" s="1"/>
  <c r="AG442" i="5" s="1"/>
  <c r="AH442" i="5" s="1"/>
  <c r="AI442" i="5" s="1"/>
  <c r="AJ442" i="5" s="1"/>
  <c r="AK442" i="5" s="1"/>
  <c r="AL442" i="5" s="1"/>
  <c r="AM442" i="5" s="1"/>
  <c r="AN442" i="5" s="1"/>
  <c r="AO442" i="5" s="1"/>
  <c r="AS442" i="5" s="1"/>
  <c r="AT442" i="5" s="1"/>
  <c r="AU442" i="5" s="1"/>
  <c r="AV442" i="5" s="1"/>
  <c r="AW442" i="5" s="1"/>
  <c r="AX442" i="5" s="1"/>
  <c r="AY442" i="5" s="1"/>
  <c r="AZ442" i="5" s="1"/>
  <c r="BA442" i="5" s="1"/>
  <c r="BB442" i="5" s="1"/>
  <c r="BC442" i="5" s="1"/>
  <c r="BD442" i="5" s="1"/>
  <c r="N434" i="5"/>
  <c r="AC434" i="5"/>
  <c r="O434" i="5"/>
  <c r="P434" i="5" s="1"/>
  <c r="Q434" i="5" s="1"/>
  <c r="R434" i="5" s="1"/>
  <c r="S434" i="5" s="1"/>
  <c r="T434" i="5" s="1"/>
  <c r="U434" i="5" s="1"/>
  <c r="V434" i="5" s="1"/>
  <c r="W434" i="5" s="1"/>
  <c r="X434" i="5" s="1"/>
  <c r="Y434" i="5" s="1"/>
  <c r="Z434" i="5" s="1"/>
  <c r="AD434" i="5" s="1"/>
  <c r="AE434" i="5" s="1"/>
  <c r="AF434" i="5" s="1"/>
  <c r="AG434" i="5" s="1"/>
  <c r="AH434" i="5" s="1"/>
  <c r="AI434" i="5" s="1"/>
  <c r="AJ434" i="5" s="1"/>
  <c r="AK434" i="5" s="1"/>
  <c r="AL434" i="5" s="1"/>
  <c r="AM434" i="5" s="1"/>
  <c r="AN434" i="5" s="1"/>
  <c r="AO434" i="5" s="1"/>
  <c r="AS434" i="5" s="1"/>
  <c r="AT434" i="5" s="1"/>
  <c r="AU434" i="5" s="1"/>
  <c r="AV434" i="5" s="1"/>
  <c r="AW434" i="5" s="1"/>
  <c r="AX434" i="5" s="1"/>
  <c r="AY434" i="5" s="1"/>
  <c r="AZ434" i="5" s="1"/>
  <c r="BA434" i="5" s="1"/>
  <c r="BB434" i="5" s="1"/>
  <c r="BC434" i="5" s="1"/>
  <c r="BD434" i="5" s="1"/>
  <c r="AR434" i="5"/>
  <c r="N426" i="5"/>
  <c r="O426" i="5"/>
  <c r="N405" i="5"/>
  <c r="O405" i="5"/>
  <c r="AR405" i="5"/>
  <c r="AC405" i="5"/>
  <c r="AR387" i="5"/>
  <c r="AC387" i="5"/>
  <c r="N387" i="5"/>
  <c r="O387" i="5"/>
  <c r="AR380" i="5"/>
  <c r="AC380" i="5"/>
  <c r="N380" i="5"/>
  <c r="O380" i="5"/>
  <c r="AC369" i="5"/>
  <c r="AR369" i="5"/>
  <c r="N369" i="5"/>
  <c r="O369" i="5"/>
  <c r="AC362" i="5"/>
  <c r="AR362" i="5"/>
  <c r="N362" i="5"/>
  <c r="O362" i="5"/>
  <c r="N354" i="5"/>
  <c r="O354" i="5"/>
  <c r="AR347" i="5"/>
  <c r="N347" i="5"/>
  <c r="AC347" i="5"/>
  <c r="O347" i="5"/>
  <c r="N326" i="5"/>
  <c r="AR326" i="5"/>
  <c r="AC326" i="5"/>
  <c r="O326" i="5"/>
  <c r="P326" i="5" s="1"/>
  <c r="Q326" i="5" s="1"/>
  <c r="R326" i="5" s="1"/>
  <c r="S326" i="5" s="1"/>
  <c r="T326" i="5" s="1"/>
  <c r="U326" i="5" s="1"/>
  <c r="V326" i="5" s="1"/>
  <c r="W326" i="5" s="1"/>
  <c r="X326" i="5" s="1"/>
  <c r="Y326" i="5" s="1"/>
  <c r="Z326" i="5" s="1"/>
  <c r="AD326" i="5" s="1"/>
  <c r="AE326" i="5" s="1"/>
  <c r="AF326" i="5" s="1"/>
  <c r="AG326" i="5" s="1"/>
  <c r="AH326" i="5" s="1"/>
  <c r="AI326" i="5" s="1"/>
  <c r="AJ326" i="5" s="1"/>
  <c r="AK326" i="5" s="1"/>
  <c r="AL326" i="5" s="1"/>
  <c r="AM326" i="5" s="1"/>
  <c r="AN326" i="5" s="1"/>
  <c r="AO326" i="5" s="1"/>
  <c r="AS326" i="5" s="1"/>
  <c r="AT326" i="5" s="1"/>
  <c r="AU326" i="5" s="1"/>
  <c r="AV326" i="5" s="1"/>
  <c r="AW326" i="5" s="1"/>
  <c r="AX326" i="5" s="1"/>
  <c r="AY326" i="5" s="1"/>
  <c r="AZ326" i="5" s="1"/>
  <c r="BA326" i="5" s="1"/>
  <c r="BB326" i="5" s="1"/>
  <c r="AR318" i="5"/>
  <c r="O318" i="5"/>
  <c r="P318" i="5" s="1"/>
  <c r="Q318" i="5" s="1"/>
  <c r="R318" i="5" s="1"/>
  <c r="S318" i="5" s="1"/>
  <c r="T318" i="5" s="1"/>
  <c r="U318" i="5" s="1"/>
  <c r="V318" i="5" s="1"/>
  <c r="W318" i="5" s="1"/>
  <c r="X318" i="5" s="1"/>
  <c r="Y318" i="5" s="1"/>
  <c r="Z318" i="5" s="1"/>
  <c r="AD318" i="5" s="1"/>
  <c r="AE318" i="5" s="1"/>
  <c r="AF318" i="5" s="1"/>
  <c r="AG318" i="5" s="1"/>
  <c r="AH318" i="5" s="1"/>
  <c r="AI318" i="5" s="1"/>
  <c r="AJ318" i="5" s="1"/>
  <c r="AK318" i="5" s="1"/>
  <c r="AL318" i="5" s="1"/>
  <c r="AM318" i="5" s="1"/>
  <c r="AN318" i="5" s="1"/>
  <c r="AO318" i="5" s="1"/>
  <c r="AS318" i="5" s="1"/>
  <c r="AT318" i="5" s="1"/>
  <c r="AU318" i="5" s="1"/>
  <c r="AV318" i="5" s="1"/>
  <c r="AW318" i="5" s="1"/>
  <c r="AX318" i="5" s="1"/>
  <c r="AY318" i="5" s="1"/>
  <c r="AZ318" i="5" s="1"/>
  <c r="BA318" i="5" s="1"/>
  <c r="BB318" i="5" s="1"/>
  <c r="BC318" i="5" s="1"/>
  <c r="BD318" i="5" s="1"/>
  <c r="N318" i="5"/>
  <c r="AC318" i="5"/>
  <c r="AC307" i="5"/>
  <c r="AR307" i="5"/>
  <c r="N307" i="5"/>
  <c r="O307" i="5"/>
  <c r="AR294" i="5"/>
  <c r="N294" i="5"/>
  <c r="O294" i="5"/>
  <c r="AC294" i="5"/>
  <c r="AC287" i="5"/>
  <c r="AR287" i="5"/>
  <c r="N287" i="5"/>
  <c r="O287" i="5"/>
  <c r="AC278" i="5"/>
  <c r="AR278" i="5"/>
  <c r="O278" i="5"/>
  <c r="N278" i="5"/>
  <c r="AC270" i="5"/>
  <c r="O270" i="5"/>
  <c r="AR270" i="5"/>
  <c r="N270" i="5"/>
  <c r="AR262" i="5"/>
  <c r="N262" i="5"/>
  <c r="AC262" i="5"/>
  <c r="O262" i="5"/>
  <c r="AR254" i="5"/>
  <c r="N254" i="5"/>
  <c r="AC254" i="5"/>
  <c r="O254" i="5"/>
  <c r="AC238" i="5"/>
  <c r="N238" i="5"/>
  <c r="AR238" i="5"/>
  <c r="O238" i="5"/>
  <c r="P238" i="5" s="1"/>
  <c r="Q238" i="5" s="1"/>
  <c r="R238" i="5" s="1"/>
  <c r="S238" i="5" s="1"/>
  <c r="T238" i="5" s="1"/>
  <c r="U238" i="5" s="1"/>
  <c r="V238" i="5" s="1"/>
  <c r="W238" i="5" s="1"/>
  <c r="X238" i="5" s="1"/>
  <c r="Y238" i="5" s="1"/>
  <c r="Z238" i="5" s="1"/>
  <c r="AD238" i="5" s="1"/>
  <c r="AE238" i="5" s="1"/>
  <c r="AF238" i="5" s="1"/>
  <c r="AG238" i="5" s="1"/>
  <c r="AH238" i="5" s="1"/>
  <c r="AI238" i="5" s="1"/>
  <c r="AJ238" i="5" s="1"/>
  <c r="AK238" i="5" s="1"/>
  <c r="AL238" i="5" s="1"/>
  <c r="AM238" i="5" s="1"/>
  <c r="AN238" i="5" s="1"/>
  <c r="AO238" i="5" s="1"/>
  <c r="AS238" i="5" s="1"/>
  <c r="AT238" i="5" s="1"/>
  <c r="AU238" i="5" s="1"/>
  <c r="AV238" i="5" s="1"/>
  <c r="AW238" i="5" s="1"/>
  <c r="AX238" i="5" s="1"/>
  <c r="AY238" i="5" s="1"/>
  <c r="AZ238" i="5" s="1"/>
  <c r="BA238" i="5" s="1"/>
  <c r="BB238" i="5" s="1"/>
  <c r="BC238" i="5" s="1"/>
  <c r="BD238" i="5" s="1"/>
  <c r="AC230" i="5"/>
  <c r="N230" i="5"/>
  <c r="AR230" i="5"/>
  <c r="O230" i="5"/>
  <c r="P230" i="5" s="1"/>
  <c r="Q230" i="5" s="1"/>
  <c r="R230" i="5" s="1"/>
  <c r="S230" i="5" s="1"/>
  <c r="T230" i="5" s="1"/>
  <c r="U230" i="5" s="1"/>
  <c r="V230" i="5" s="1"/>
  <c r="W230" i="5" s="1"/>
  <c r="X230" i="5" s="1"/>
  <c r="Y230" i="5" s="1"/>
  <c r="Z230" i="5" s="1"/>
  <c r="AD230" i="5" s="1"/>
  <c r="AE230" i="5" s="1"/>
  <c r="AF230" i="5" s="1"/>
  <c r="AG230" i="5" s="1"/>
  <c r="AH230" i="5" s="1"/>
  <c r="AI230" i="5" s="1"/>
  <c r="AJ230" i="5" s="1"/>
  <c r="AK230" i="5" s="1"/>
  <c r="AL230" i="5" s="1"/>
  <c r="AM230" i="5" s="1"/>
  <c r="AN230" i="5" s="1"/>
  <c r="AO230" i="5" s="1"/>
  <c r="AS230" i="5" s="1"/>
  <c r="AT230" i="5" s="1"/>
  <c r="AU230" i="5" s="1"/>
  <c r="AV230" i="5" s="1"/>
  <c r="AW230" i="5" s="1"/>
  <c r="AX230" i="5" s="1"/>
  <c r="AY230" i="5" s="1"/>
  <c r="AZ230" i="5" s="1"/>
  <c r="BA230" i="5" s="1"/>
  <c r="BB230" i="5" s="1"/>
  <c r="BC230" i="5" s="1"/>
  <c r="BD230" i="5" s="1"/>
  <c r="AR222" i="5"/>
  <c r="N222" i="5"/>
  <c r="AC222" i="5"/>
  <c r="O222" i="5"/>
  <c r="P222" i="5" s="1"/>
  <c r="Q222" i="5" s="1"/>
  <c r="R222" i="5" s="1"/>
  <c r="S222" i="5" s="1"/>
  <c r="T222" i="5" s="1"/>
  <c r="U222" i="5" s="1"/>
  <c r="V222" i="5" s="1"/>
  <c r="W222" i="5" s="1"/>
  <c r="X222" i="5" s="1"/>
  <c r="Y222" i="5" s="1"/>
  <c r="Z222" i="5" s="1"/>
  <c r="AD222" i="5" s="1"/>
  <c r="AE222" i="5" s="1"/>
  <c r="AF222" i="5" s="1"/>
  <c r="AG222" i="5" s="1"/>
  <c r="AH222" i="5" s="1"/>
  <c r="AI222" i="5" s="1"/>
  <c r="AJ222" i="5" s="1"/>
  <c r="AK222" i="5" s="1"/>
  <c r="AL222" i="5" s="1"/>
  <c r="AM222" i="5" s="1"/>
  <c r="AN222" i="5" s="1"/>
  <c r="AO222" i="5" s="1"/>
  <c r="AS222" i="5" s="1"/>
  <c r="AT222" i="5" s="1"/>
  <c r="AU222" i="5" s="1"/>
  <c r="AV222" i="5" s="1"/>
  <c r="AW222" i="5" s="1"/>
  <c r="AX222" i="5" s="1"/>
  <c r="AY222" i="5" s="1"/>
  <c r="AZ222" i="5" s="1"/>
  <c r="BA222" i="5" s="1"/>
  <c r="BB222" i="5" s="1"/>
  <c r="BC222" i="5" s="1"/>
  <c r="BD222" i="5" s="1"/>
  <c r="AR214" i="5"/>
  <c r="N214" i="5"/>
  <c r="AC214" i="5"/>
  <c r="O214" i="5"/>
  <c r="AR206" i="5"/>
  <c r="N206" i="5"/>
  <c r="AC206" i="5"/>
  <c r="O206" i="5"/>
  <c r="N186" i="5"/>
  <c r="AC186" i="5"/>
  <c r="AR186" i="5"/>
  <c r="O186" i="5"/>
  <c r="AR179" i="5"/>
  <c r="N179" i="5"/>
  <c r="AC179" i="5"/>
  <c r="O179" i="5"/>
  <c r="AR164" i="5"/>
  <c r="N164" i="5"/>
  <c r="AC164" i="5"/>
  <c r="O164" i="5"/>
  <c r="P164" i="5" s="1"/>
  <c r="Q164" i="5" s="1"/>
  <c r="R164" i="5" s="1"/>
  <c r="S164" i="5" s="1"/>
  <c r="T164" i="5" s="1"/>
  <c r="U164" i="5" s="1"/>
  <c r="V164" i="5" s="1"/>
  <c r="W164" i="5" s="1"/>
  <c r="X164" i="5" s="1"/>
  <c r="Y164" i="5" s="1"/>
  <c r="Z164" i="5" s="1"/>
  <c r="AD164" i="5" s="1"/>
  <c r="AE164" i="5" s="1"/>
  <c r="AF164" i="5" s="1"/>
  <c r="AG164" i="5" s="1"/>
  <c r="AH164" i="5" s="1"/>
  <c r="AI164" i="5" s="1"/>
  <c r="AJ164" i="5" s="1"/>
  <c r="AK164" i="5" s="1"/>
  <c r="AL164" i="5" s="1"/>
  <c r="AM164" i="5" s="1"/>
  <c r="AN164" i="5" s="1"/>
  <c r="AO164" i="5" s="1"/>
  <c r="AS164" i="5" s="1"/>
  <c r="AT164" i="5" s="1"/>
  <c r="AU164" i="5" s="1"/>
  <c r="AV164" i="5" s="1"/>
  <c r="AW164" i="5" s="1"/>
  <c r="AX164" i="5" s="1"/>
  <c r="AY164" i="5" s="1"/>
  <c r="AZ164" i="5" s="1"/>
  <c r="BA164" i="5" s="1"/>
  <c r="BB164" i="5" s="1"/>
  <c r="BC164" i="5" s="1"/>
  <c r="BD164" i="5" s="1"/>
  <c r="N154" i="5"/>
  <c r="AR154" i="5"/>
  <c r="AC154" i="5"/>
  <c r="O154" i="5"/>
  <c r="P154" i="5" s="1"/>
  <c r="Q154" i="5" s="1"/>
  <c r="R154" i="5" s="1"/>
  <c r="S154" i="5" s="1"/>
  <c r="T154" i="5" s="1"/>
  <c r="U154" i="5" s="1"/>
  <c r="V154" i="5" s="1"/>
  <c r="W154" i="5" s="1"/>
  <c r="X154" i="5" s="1"/>
  <c r="Y154" i="5" s="1"/>
  <c r="Z154" i="5" s="1"/>
  <c r="AD154" i="5" s="1"/>
  <c r="AE154" i="5" s="1"/>
  <c r="AF154" i="5" s="1"/>
  <c r="AG154" i="5" s="1"/>
  <c r="AH154" i="5" s="1"/>
  <c r="AI154" i="5" s="1"/>
  <c r="AJ154" i="5" s="1"/>
  <c r="AK154" i="5" s="1"/>
  <c r="AL154" i="5" s="1"/>
  <c r="AM154" i="5" s="1"/>
  <c r="AN154" i="5" s="1"/>
  <c r="AO154" i="5" s="1"/>
  <c r="AS154" i="5" s="1"/>
  <c r="AT154" i="5" s="1"/>
  <c r="AU154" i="5" s="1"/>
  <c r="AV154" i="5" s="1"/>
  <c r="AW154" i="5" s="1"/>
  <c r="AX154" i="5" s="1"/>
  <c r="AY154" i="5" s="1"/>
  <c r="AZ154" i="5" s="1"/>
  <c r="BA154" i="5" s="1"/>
  <c r="BB154" i="5" s="1"/>
  <c r="BC154" i="5" s="1"/>
  <c r="BD154" i="5" s="1"/>
  <c r="N147" i="5"/>
  <c r="AR147" i="5"/>
  <c r="AC147" i="5"/>
  <c r="O147" i="5"/>
  <c r="P147" i="5" s="1"/>
  <c r="Q147" i="5" s="1"/>
  <c r="R147" i="5" s="1"/>
  <c r="S147" i="5" s="1"/>
  <c r="T147" i="5" s="1"/>
  <c r="U147" i="5" s="1"/>
  <c r="V147" i="5" s="1"/>
  <c r="W147" i="5" s="1"/>
  <c r="X147" i="5" s="1"/>
  <c r="Y147" i="5" s="1"/>
  <c r="Z147" i="5" s="1"/>
  <c r="AD147" i="5" s="1"/>
  <c r="AE147" i="5" s="1"/>
  <c r="AF147" i="5" s="1"/>
  <c r="AG147" i="5" s="1"/>
  <c r="AH147" i="5" s="1"/>
  <c r="AI147" i="5" s="1"/>
  <c r="AJ147" i="5" s="1"/>
  <c r="AK147" i="5" s="1"/>
  <c r="AL147" i="5" s="1"/>
  <c r="AM147" i="5" s="1"/>
  <c r="AN147" i="5" s="1"/>
  <c r="AO147" i="5" s="1"/>
  <c r="AS147" i="5" s="1"/>
  <c r="AT147" i="5" s="1"/>
  <c r="AU147" i="5" s="1"/>
  <c r="AV147" i="5" s="1"/>
  <c r="AW147" i="5" s="1"/>
  <c r="AX147" i="5" s="1"/>
  <c r="AY147" i="5" s="1"/>
  <c r="AZ147" i="5" s="1"/>
  <c r="BA147" i="5" s="1"/>
  <c r="BB147" i="5" s="1"/>
  <c r="BC147" i="5" s="1"/>
  <c r="BD147" i="5" s="1"/>
  <c r="AR139" i="5"/>
  <c r="AC139" i="5"/>
  <c r="O139" i="5"/>
  <c r="P139" i="5" s="1"/>
  <c r="Q139" i="5" s="1"/>
  <c r="R139" i="5" s="1"/>
  <c r="S139" i="5" s="1"/>
  <c r="T139" i="5" s="1"/>
  <c r="U139" i="5" s="1"/>
  <c r="V139" i="5" s="1"/>
  <c r="W139" i="5" s="1"/>
  <c r="X139" i="5" s="1"/>
  <c r="Y139" i="5" s="1"/>
  <c r="Z139" i="5" s="1"/>
  <c r="AD139" i="5" s="1"/>
  <c r="AE139" i="5" s="1"/>
  <c r="AF139" i="5" s="1"/>
  <c r="AG139" i="5" s="1"/>
  <c r="AH139" i="5" s="1"/>
  <c r="AI139" i="5" s="1"/>
  <c r="AJ139" i="5" s="1"/>
  <c r="AK139" i="5" s="1"/>
  <c r="AL139" i="5" s="1"/>
  <c r="AM139" i="5" s="1"/>
  <c r="AN139" i="5" s="1"/>
  <c r="AO139" i="5" s="1"/>
  <c r="AS139" i="5" s="1"/>
  <c r="AT139" i="5" s="1"/>
  <c r="AU139" i="5" s="1"/>
  <c r="AV139" i="5" s="1"/>
  <c r="AW139" i="5" s="1"/>
  <c r="AX139" i="5" s="1"/>
  <c r="AY139" i="5" s="1"/>
  <c r="AZ139" i="5" s="1"/>
  <c r="BA139" i="5" s="1"/>
  <c r="BB139" i="5" s="1"/>
  <c r="BC139" i="5" s="1"/>
  <c r="BD139" i="5" s="1"/>
  <c r="N139" i="5"/>
  <c r="N131" i="5"/>
  <c r="AR131" i="5"/>
  <c r="AC131" i="5"/>
  <c r="O131" i="5"/>
  <c r="P131" i="5" s="1"/>
  <c r="Q131" i="5" s="1"/>
  <c r="R131" i="5" s="1"/>
  <c r="S131" i="5" s="1"/>
  <c r="T131" i="5" s="1"/>
  <c r="U131" i="5" s="1"/>
  <c r="V131" i="5" s="1"/>
  <c r="W131" i="5" s="1"/>
  <c r="X131" i="5" s="1"/>
  <c r="Y131" i="5" s="1"/>
  <c r="Z131" i="5" s="1"/>
  <c r="AD131" i="5" s="1"/>
  <c r="AE131" i="5" s="1"/>
  <c r="AF131" i="5" s="1"/>
  <c r="AG131" i="5" s="1"/>
  <c r="AH131" i="5" s="1"/>
  <c r="AI131" i="5" s="1"/>
  <c r="AJ131" i="5" s="1"/>
  <c r="AK131" i="5" s="1"/>
  <c r="AL131" i="5" s="1"/>
  <c r="AM131" i="5" s="1"/>
  <c r="AN131" i="5" s="1"/>
  <c r="AO131" i="5" s="1"/>
  <c r="AS131" i="5" s="1"/>
  <c r="AT131" i="5" s="1"/>
  <c r="AU131" i="5" s="1"/>
  <c r="AV131" i="5" s="1"/>
  <c r="AW131" i="5" s="1"/>
  <c r="AX131" i="5" s="1"/>
  <c r="AY131" i="5" s="1"/>
  <c r="AZ131" i="5" s="1"/>
  <c r="BA131" i="5" s="1"/>
  <c r="BB131" i="5" s="1"/>
  <c r="BC131" i="5" s="1"/>
  <c r="BD131" i="5" s="1"/>
  <c r="AC123" i="5"/>
  <c r="N123" i="5"/>
  <c r="AR123" i="5"/>
  <c r="O123" i="5"/>
  <c r="P123" i="5" s="1"/>
  <c r="Q123" i="5" s="1"/>
  <c r="R123" i="5" s="1"/>
  <c r="S123" i="5" s="1"/>
  <c r="T123" i="5" s="1"/>
  <c r="U123" i="5" s="1"/>
  <c r="V123" i="5" s="1"/>
  <c r="W123" i="5" s="1"/>
  <c r="X123" i="5" s="1"/>
  <c r="Y123" i="5" s="1"/>
  <c r="Z123" i="5" s="1"/>
  <c r="AD123" i="5" s="1"/>
  <c r="AE123" i="5" s="1"/>
  <c r="AF123" i="5" s="1"/>
  <c r="AG123" i="5" s="1"/>
  <c r="AH123" i="5" s="1"/>
  <c r="AI123" i="5" s="1"/>
  <c r="AJ123" i="5" s="1"/>
  <c r="AK123" i="5" s="1"/>
  <c r="AL123" i="5" s="1"/>
  <c r="AM123" i="5" s="1"/>
  <c r="AN123" i="5" s="1"/>
  <c r="AO123" i="5" s="1"/>
  <c r="AS123" i="5" s="1"/>
  <c r="AT123" i="5" s="1"/>
  <c r="AU123" i="5" s="1"/>
  <c r="AV123" i="5" s="1"/>
  <c r="AW123" i="5" s="1"/>
  <c r="AX123" i="5" s="1"/>
  <c r="AY123" i="5" s="1"/>
  <c r="AZ123" i="5" s="1"/>
  <c r="BA123" i="5" s="1"/>
  <c r="BB123" i="5" s="1"/>
  <c r="BC123" i="5" s="1"/>
  <c r="BD123" i="5" s="1"/>
  <c r="N117" i="5"/>
  <c r="AR117" i="5"/>
  <c r="O117" i="5"/>
  <c r="P117" i="5" s="1"/>
  <c r="Q117" i="5" s="1"/>
  <c r="R117" i="5" s="1"/>
  <c r="S117" i="5" s="1"/>
  <c r="T117" i="5" s="1"/>
  <c r="U117" i="5" s="1"/>
  <c r="V117" i="5" s="1"/>
  <c r="W117" i="5" s="1"/>
  <c r="X117" i="5" s="1"/>
  <c r="Y117" i="5" s="1"/>
  <c r="Z117" i="5" s="1"/>
  <c r="AD117" i="5" s="1"/>
  <c r="AE117" i="5" s="1"/>
  <c r="AF117" i="5" s="1"/>
  <c r="AG117" i="5" s="1"/>
  <c r="AH117" i="5" s="1"/>
  <c r="AI117" i="5" s="1"/>
  <c r="AJ117" i="5" s="1"/>
  <c r="AK117" i="5" s="1"/>
  <c r="AL117" i="5" s="1"/>
  <c r="AM117" i="5" s="1"/>
  <c r="AN117" i="5" s="1"/>
  <c r="AO117" i="5" s="1"/>
  <c r="AS117" i="5" s="1"/>
  <c r="AT117" i="5" s="1"/>
  <c r="AU117" i="5" s="1"/>
  <c r="AV117" i="5" s="1"/>
  <c r="AW117" i="5" s="1"/>
  <c r="AX117" i="5" s="1"/>
  <c r="AY117" i="5" s="1"/>
  <c r="AZ117" i="5" s="1"/>
  <c r="BA117" i="5" s="1"/>
  <c r="BB117" i="5" s="1"/>
  <c r="BC117" i="5" s="1"/>
  <c r="BD117" i="5" s="1"/>
  <c r="AC117" i="5"/>
  <c r="AR107" i="5"/>
  <c r="AC107" i="5"/>
  <c r="N107" i="5"/>
  <c r="O107" i="5"/>
  <c r="P107" i="5" s="1"/>
  <c r="Q107" i="5" s="1"/>
  <c r="R107" i="5" s="1"/>
  <c r="S107" i="5" s="1"/>
  <c r="T107" i="5" s="1"/>
  <c r="U107" i="5" s="1"/>
  <c r="V107" i="5" s="1"/>
  <c r="W107" i="5" s="1"/>
  <c r="X107" i="5" s="1"/>
  <c r="Y107" i="5" s="1"/>
  <c r="Z107" i="5" s="1"/>
  <c r="AD107" i="5" s="1"/>
  <c r="AE107" i="5" s="1"/>
  <c r="AF107" i="5" s="1"/>
  <c r="AG107" i="5" s="1"/>
  <c r="AH107" i="5" s="1"/>
  <c r="AI107" i="5" s="1"/>
  <c r="AJ107" i="5" s="1"/>
  <c r="AK107" i="5" s="1"/>
  <c r="AL107" i="5" s="1"/>
  <c r="AM107" i="5" s="1"/>
  <c r="AN107" i="5" s="1"/>
  <c r="AO107" i="5" s="1"/>
  <c r="AS107" i="5" s="1"/>
  <c r="AT107" i="5" s="1"/>
  <c r="AU107" i="5" s="1"/>
  <c r="AV107" i="5" s="1"/>
  <c r="AW107" i="5" s="1"/>
  <c r="AX107" i="5" s="1"/>
  <c r="AY107" i="5" s="1"/>
  <c r="AZ107" i="5" s="1"/>
  <c r="BA107" i="5" s="1"/>
  <c r="BB107" i="5" s="1"/>
  <c r="BC107" i="5" s="1"/>
  <c r="BD107" i="5" s="1"/>
  <c r="N96" i="5"/>
  <c r="AC96" i="5"/>
  <c r="AR96" i="5"/>
  <c r="O96" i="5"/>
  <c r="N88" i="5"/>
  <c r="AR88" i="5"/>
  <c r="AC88" i="5"/>
  <c r="O88" i="5"/>
  <c r="P88" i="5" s="1"/>
  <c r="Q88" i="5" s="1"/>
  <c r="R88" i="5" s="1"/>
  <c r="S88" i="5" s="1"/>
  <c r="T88" i="5" s="1"/>
  <c r="U88" i="5" s="1"/>
  <c r="V88" i="5" s="1"/>
  <c r="W88" i="5" s="1"/>
  <c r="X88" i="5" s="1"/>
  <c r="Y88" i="5" s="1"/>
  <c r="Z88" i="5" s="1"/>
  <c r="AD88" i="5" s="1"/>
  <c r="AE88" i="5" s="1"/>
  <c r="AF88" i="5" s="1"/>
  <c r="AG88" i="5" s="1"/>
  <c r="AH88" i="5" s="1"/>
  <c r="AI88" i="5" s="1"/>
  <c r="AJ88" i="5" s="1"/>
  <c r="AK88" i="5" s="1"/>
  <c r="AL88" i="5" s="1"/>
  <c r="AM88" i="5" s="1"/>
  <c r="AN88" i="5" s="1"/>
  <c r="AO88" i="5" s="1"/>
  <c r="AS88" i="5" s="1"/>
  <c r="AT88" i="5" s="1"/>
  <c r="AU88" i="5" s="1"/>
  <c r="AV88" i="5" s="1"/>
  <c r="AW88" i="5" s="1"/>
  <c r="AX88" i="5" s="1"/>
  <c r="AY88" i="5" s="1"/>
  <c r="AZ88" i="5" s="1"/>
  <c r="BA88" i="5" s="1"/>
  <c r="BB88" i="5" s="1"/>
  <c r="BC88" i="5" s="1"/>
  <c r="BD88" i="5" s="1"/>
  <c r="AC80" i="5"/>
  <c r="AR80" i="5"/>
  <c r="N80" i="5"/>
  <c r="O80" i="5"/>
  <c r="AC72" i="5"/>
  <c r="N72" i="5"/>
  <c r="AR72" i="5"/>
  <c r="O72" i="5"/>
  <c r="AC64" i="5"/>
  <c r="AR64" i="5"/>
  <c r="N64" i="5"/>
  <c r="O64" i="5"/>
  <c r="AC56" i="5"/>
  <c r="N56" i="5"/>
  <c r="AR56" i="5"/>
  <c r="O56" i="5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D56" i="5" s="1"/>
  <c r="AE56" i="5" s="1"/>
  <c r="AF56" i="5" s="1"/>
  <c r="AG56" i="5" s="1"/>
  <c r="AH56" i="5" s="1"/>
  <c r="AI56" i="5" s="1"/>
  <c r="AJ56" i="5" s="1"/>
  <c r="AK56" i="5" s="1"/>
  <c r="AL56" i="5" s="1"/>
  <c r="AM56" i="5" s="1"/>
  <c r="AN56" i="5" s="1"/>
  <c r="AO56" i="5" s="1"/>
  <c r="AS56" i="5" s="1"/>
  <c r="AT56" i="5" s="1"/>
  <c r="AU56" i="5" s="1"/>
  <c r="AV56" i="5" s="1"/>
  <c r="AW56" i="5" s="1"/>
  <c r="AX56" i="5" s="1"/>
  <c r="AY56" i="5" s="1"/>
  <c r="AZ56" i="5" s="1"/>
  <c r="BA56" i="5" s="1"/>
  <c r="BB56" i="5" s="1"/>
  <c r="BC56" i="5" s="1"/>
  <c r="BD56" i="5" s="1"/>
  <c r="N42" i="5"/>
  <c r="P42" i="5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R13" i="5"/>
  <c r="N13" i="5"/>
  <c r="AC13" i="5"/>
  <c r="O13" i="5"/>
  <c r="AR5" i="5"/>
  <c r="O5" i="5"/>
  <c r="N5" i="5"/>
  <c r="M4" i="5"/>
  <c r="AC5" i="5"/>
  <c r="AR57" i="5"/>
  <c r="AC57" i="5"/>
  <c r="N57" i="5"/>
  <c r="O57" i="5"/>
  <c r="P57" i="5" s="1"/>
  <c r="Q57" i="5" s="1"/>
  <c r="R57" i="5" s="1"/>
  <c r="S57" i="5" s="1"/>
  <c r="T57" i="5" s="1"/>
  <c r="U57" i="5" s="1"/>
  <c r="V57" i="5" s="1"/>
  <c r="W57" i="5" s="1"/>
  <c r="X57" i="5" s="1"/>
  <c r="Y57" i="5" s="1"/>
  <c r="Z57" i="5" s="1"/>
  <c r="AD57" i="5" s="1"/>
  <c r="AE57" i="5" s="1"/>
  <c r="AF57" i="5" s="1"/>
  <c r="AG57" i="5" s="1"/>
  <c r="AH57" i="5" s="1"/>
  <c r="AI57" i="5" s="1"/>
  <c r="AJ57" i="5" s="1"/>
  <c r="AK57" i="5" s="1"/>
  <c r="AL57" i="5" s="1"/>
  <c r="AM57" i="5" s="1"/>
  <c r="AN57" i="5" s="1"/>
  <c r="AO57" i="5" s="1"/>
  <c r="AS57" i="5" s="1"/>
  <c r="AT57" i="5" s="1"/>
  <c r="AU57" i="5" s="1"/>
  <c r="AV57" i="5" s="1"/>
  <c r="AW57" i="5" s="1"/>
  <c r="AX57" i="5" s="1"/>
  <c r="AY57" i="5" s="1"/>
  <c r="AZ57" i="5" s="1"/>
  <c r="BA57" i="5" s="1"/>
  <c r="BB57" i="5" s="1"/>
  <c r="BC57" i="5" s="1"/>
  <c r="BD57" i="5" s="1"/>
  <c r="N18" i="5"/>
  <c r="AC18" i="5"/>
  <c r="O18" i="5"/>
  <c r="P18" i="5" s="1"/>
  <c r="Q18" i="5" s="1"/>
  <c r="R18" i="5" s="1"/>
  <c r="S18" i="5" s="1"/>
  <c r="T18" i="5" s="1"/>
  <c r="U18" i="5" s="1"/>
  <c r="V18" i="5" s="1"/>
  <c r="W18" i="5" s="1"/>
  <c r="X18" i="5" s="1"/>
  <c r="Y18" i="5" s="1"/>
  <c r="Z18" i="5" s="1"/>
  <c r="AD18" i="5" s="1"/>
  <c r="AE18" i="5" s="1"/>
  <c r="AF18" i="5" s="1"/>
  <c r="AG18" i="5" s="1"/>
  <c r="AH18" i="5" s="1"/>
  <c r="AI18" i="5" s="1"/>
  <c r="AJ18" i="5" s="1"/>
  <c r="AK18" i="5" s="1"/>
  <c r="AL18" i="5" s="1"/>
  <c r="AM18" i="5" s="1"/>
  <c r="AN18" i="5" s="1"/>
  <c r="AO18" i="5" s="1"/>
  <c r="AS18" i="5" s="1"/>
  <c r="AC10" i="5"/>
  <c r="AR10" i="5"/>
  <c r="N10" i="5"/>
  <c r="O10" i="5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D10" i="5" s="1"/>
  <c r="AE10" i="5" s="1"/>
  <c r="AF10" i="5" s="1"/>
  <c r="AG10" i="5" s="1"/>
  <c r="AH10" i="5" s="1"/>
  <c r="AI10" i="5" s="1"/>
  <c r="AJ10" i="5" s="1"/>
  <c r="AK10" i="5" s="1"/>
  <c r="AL10" i="5" s="1"/>
  <c r="AM10" i="5" s="1"/>
  <c r="AN10" i="5" s="1"/>
  <c r="AO10" i="5" s="1"/>
  <c r="AS10" i="5" s="1"/>
  <c r="AT10" i="5" s="1"/>
  <c r="AU10" i="5" s="1"/>
  <c r="AV10" i="5" s="1"/>
  <c r="AW10" i="5" s="1"/>
  <c r="AX10" i="5" s="1"/>
  <c r="AY10" i="5" s="1"/>
  <c r="AZ10" i="5" s="1"/>
  <c r="BA10" i="5" s="1"/>
  <c r="BB10" i="5" s="1"/>
  <c r="BC10" i="5" s="1"/>
  <c r="BD10" i="5" s="1"/>
  <c r="N7" i="5"/>
  <c r="AC7" i="5"/>
  <c r="O7" i="5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D7" i="5" s="1"/>
  <c r="AE7" i="5" s="1"/>
  <c r="AF7" i="5" s="1"/>
  <c r="AG7" i="5" s="1"/>
  <c r="AH7" i="5" s="1"/>
  <c r="AI7" i="5" s="1"/>
  <c r="AJ7" i="5" s="1"/>
  <c r="AK7" i="5" s="1"/>
  <c r="AL7" i="5" s="1"/>
  <c r="AM7" i="5" s="1"/>
  <c r="AN7" i="5" s="1"/>
  <c r="AO7" i="5" s="1"/>
  <c r="AS7" i="5" s="1"/>
  <c r="AT7" i="5" s="1"/>
  <c r="AU7" i="5" s="1"/>
  <c r="AV7" i="5" s="1"/>
  <c r="AW7" i="5" s="1"/>
  <c r="AX7" i="5" s="1"/>
  <c r="AY7" i="5" s="1"/>
  <c r="AZ7" i="5" s="1"/>
  <c r="BA7" i="5" s="1"/>
  <c r="BB7" i="5" s="1"/>
  <c r="BC7" i="5" s="1"/>
  <c r="BD7" i="5" s="1"/>
  <c r="AR7" i="5"/>
  <c r="N574" i="5"/>
  <c r="AC574" i="5"/>
  <c r="O574" i="5"/>
  <c r="O551" i="5"/>
  <c r="P551" i="5" s="1"/>
  <c r="Q551" i="5" s="1"/>
  <c r="R551" i="5" s="1"/>
  <c r="S551" i="5" s="1"/>
  <c r="T551" i="5" s="1"/>
  <c r="U551" i="5" s="1"/>
  <c r="V551" i="5" s="1"/>
  <c r="W551" i="5" s="1"/>
  <c r="X551" i="5" s="1"/>
  <c r="Y551" i="5" s="1"/>
  <c r="Z551" i="5" s="1"/>
  <c r="AD551" i="5" s="1"/>
  <c r="N551" i="5"/>
  <c r="N543" i="5"/>
  <c r="P543" i="5"/>
  <c r="Q543" i="5" s="1"/>
  <c r="R543" i="5" s="1"/>
  <c r="S543" i="5" s="1"/>
  <c r="T543" i="5" s="1"/>
  <c r="U543" i="5" s="1"/>
  <c r="V543" i="5" s="1"/>
  <c r="W543" i="5" s="1"/>
  <c r="X543" i="5" s="1"/>
  <c r="Y543" i="5" s="1"/>
  <c r="Z543" i="5" s="1"/>
  <c r="N527" i="5"/>
  <c r="P527" i="5"/>
  <c r="Q527" i="5" s="1"/>
  <c r="R527" i="5" s="1"/>
  <c r="AC517" i="5"/>
  <c r="AR517" i="5" s="1"/>
  <c r="N517" i="5"/>
  <c r="O517" i="5"/>
  <c r="P517" i="5" s="1"/>
  <c r="Q517" i="5" s="1"/>
  <c r="R517" i="5" s="1"/>
  <c r="S517" i="5" s="1"/>
  <c r="T517" i="5" s="1"/>
  <c r="U517" i="5" s="1"/>
  <c r="V517" i="5" s="1"/>
  <c r="W517" i="5" s="1"/>
  <c r="X517" i="5" s="1"/>
  <c r="Y517" i="5" s="1"/>
  <c r="Z517" i="5" s="1"/>
  <c r="AD517" i="5" s="1"/>
  <c r="AE517" i="5" s="1"/>
  <c r="AF517" i="5" s="1"/>
  <c r="AG517" i="5" s="1"/>
  <c r="AH517" i="5" s="1"/>
  <c r="AI517" i="5" s="1"/>
  <c r="AJ517" i="5" s="1"/>
  <c r="AK517" i="5" s="1"/>
  <c r="AL517" i="5" s="1"/>
  <c r="AM517" i="5" s="1"/>
  <c r="AN517" i="5" s="1"/>
  <c r="AO517" i="5" s="1"/>
  <c r="AS517" i="5" s="1"/>
  <c r="AT517" i="5" s="1"/>
  <c r="AU517" i="5" s="1"/>
  <c r="AV517" i="5" s="1"/>
  <c r="AW517" i="5" s="1"/>
  <c r="AX517" i="5" s="1"/>
  <c r="AY517" i="5" s="1"/>
  <c r="AZ517" i="5" s="1"/>
  <c r="BA517" i="5" s="1"/>
  <c r="BB517" i="5" s="1"/>
  <c r="BC517" i="5" s="1"/>
  <c r="BD517" i="5" s="1"/>
  <c r="AC510" i="5"/>
  <c r="AR510" i="5"/>
  <c r="N510" i="5"/>
  <c r="O510" i="5"/>
  <c r="P510" i="5" s="1"/>
  <c r="Q510" i="5" s="1"/>
  <c r="R510" i="5" s="1"/>
  <c r="S510" i="5" s="1"/>
  <c r="T510" i="5" s="1"/>
  <c r="U510" i="5" s="1"/>
  <c r="V510" i="5" s="1"/>
  <c r="W510" i="5" s="1"/>
  <c r="X510" i="5" s="1"/>
  <c r="Y510" i="5" s="1"/>
  <c r="Z510" i="5" s="1"/>
  <c r="AD510" i="5" s="1"/>
  <c r="AE510" i="5" s="1"/>
  <c r="AF510" i="5" s="1"/>
  <c r="AG510" i="5" s="1"/>
  <c r="AH510" i="5" s="1"/>
  <c r="AI510" i="5" s="1"/>
  <c r="AJ510" i="5" s="1"/>
  <c r="AK510" i="5" s="1"/>
  <c r="AL510" i="5" s="1"/>
  <c r="AM510" i="5" s="1"/>
  <c r="AN510" i="5" s="1"/>
  <c r="AO510" i="5" s="1"/>
  <c r="AS510" i="5" s="1"/>
  <c r="AT510" i="5" s="1"/>
  <c r="AU510" i="5" s="1"/>
  <c r="AV510" i="5" s="1"/>
  <c r="AW510" i="5" s="1"/>
  <c r="AX510" i="5" s="1"/>
  <c r="AY510" i="5" s="1"/>
  <c r="AZ510" i="5" s="1"/>
  <c r="BA510" i="5" s="1"/>
  <c r="BB510" i="5" s="1"/>
  <c r="BC510" i="5" s="1"/>
  <c r="BD510" i="5" s="1"/>
  <c r="AC503" i="5"/>
  <c r="O503" i="5"/>
  <c r="N503" i="5"/>
  <c r="AR503" i="5"/>
  <c r="N491" i="5"/>
  <c r="O491" i="5"/>
  <c r="P491" i="5" s="1"/>
  <c r="Q491" i="5" s="1"/>
  <c r="R491" i="5" s="1"/>
  <c r="S491" i="5" s="1"/>
  <c r="T491" i="5" s="1"/>
  <c r="U491" i="5" s="1"/>
  <c r="V491" i="5" s="1"/>
  <c r="W491" i="5" s="1"/>
  <c r="X491" i="5" s="1"/>
  <c r="Y491" i="5" s="1"/>
  <c r="Z491" i="5" s="1"/>
  <c r="AD491" i="5" s="1"/>
  <c r="AR483" i="5"/>
  <c r="AC483" i="5"/>
  <c r="N483" i="5"/>
  <c r="O483" i="5"/>
  <c r="P483" i="5" s="1"/>
  <c r="Q483" i="5" s="1"/>
  <c r="R483" i="5" s="1"/>
  <c r="S483" i="5" s="1"/>
  <c r="T483" i="5" s="1"/>
  <c r="U483" i="5" s="1"/>
  <c r="V483" i="5" s="1"/>
  <c r="W483" i="5" s="1"/>
  <c r="X483" i="5" s="1"/>
  <c r="Y483" i="5" s="1"/>
  <c r="Z483" i="5" s="1"/>
  <c r="AD483" i="5" s="1"/>
  <c r="AE483" i="5" s="1"/>
  <c r="AF483" i="5" s="1"/>
  <c r="AG483" i="5" s="1"/>
  <c r="AH483" i="5" s="1"/>
  <c r="AI483" i="5" s="1"/>
  <c r="AJ483" i="5" s="1"/>
  <c r="AK483" i="5" s="1"/>
  <c r="AL483" i="5" s="1"/>
  <c r="AM483" i="5" s="1"/>
  <c r="AN483" i="5" s="1"/>
  <c r="AO483" i="5" s="1"/>
  <c r="AS483" i="5" s="1"/>
  <c r="AT483" i="5" s="1"/>
  <c r="AU483" i="5" s="1"/>
  <c r="AV483" i="5" s="1"/>
  <c r="AW483" i="5" s="1"/>
  <c r="AX483" i="5" s="1"/>
  <c r="AY483" i="5" s="1"/>
  <c r="AZ483" i="5" s="1"/>
  <c r="BA483" i="5" s="1"/>
  <c r="BB483" i="5" s="1"/>
  <c r="BC483" i="5" s="1"/>
  <c r="BD483" i="5" s="1"/>
  <c r="AR475" i="5"/>
  <c r="AC475" i="5"/>
  <c r="N475" i="5"/>
  <c r="O475" i="5"/>
  <c r="AC467" i="5"/>
  <c r="N467" i="5"/>
  <c r="AR467" i="5"/>
  <c r="O467" i="5"/>
  <c r="P467" i="5" s="1"/>
  <c r="Q467" i="5" s="1"/>
  <c r="R467" i="5" s="1"/>
  <c r="S467" i="5" s="1"/>
  <c r="T467" i="5" s="1"/>
  <c r="U467" i="5" s="1"/>
  <c r="V467" i="5" s="1"/>
  <c r="W467" i="5" s="1"/>
  <c r="X467" i="5" s="1"/>
  <c r="Y467" i="5" s="1"/>
  <c r="Z467" i="5" s="1"/>
  <c r="AD467" i="5" s="1"/>
  <c r="AE467" i="5" s="1"/>
  <c r="AF467" i="5" s="1"/>
  <c r="AG467" i="5" s="1"/>
  <c r="AH467" i="5" s="1"/>
  <c r="AI467" i="5" s="1"/>
  <c r="AJ467" i="5" s="1"/>
  <c r="AK467" i="5" s="1"/>
  <c r="AL467" i="5" s="1"/>
  <c r="AM467" i="5" s="1"/>
  <c r="AN467" i="5" s="1"/>
  <c r="AO467" i="5" s="1"/>
  <c r="AS467" i="5" s="1"/>
  <c r="AT467" i="5" s="1"/>
  <c r="AU467" i="5" s="1"/>
  <c r="AV467" i="5" s="1"/>
  <c r="AW467" i="5" s="1"/>
  <c r="AX467" i="5" s="1"/>
  <c r="AY467" i="5" s="1"/>
  <c r="AZ467" i="5" s="1"/>
  <c r="BA467" i="5" s="1"/>
  <c r="BB467" i="5" s="1"/>
  <c r="BC467" i="5" s="1"/>
  <c r="BD467" i="5" s="1"/>
  <c r="AC459" i="5"/>
  <c r="N459" i="5"/>
  <c r="O459" i="5"/>
  <c r="P459" i="5" s="1"/>
  <c r="Q459" i="5" s="1"/>
  <c r="R459" i="5" s="1"/>
  <c r="S459" i="5" s="1"/>
  <c r="T459" i="5" s="1"/>
  <c r="U459" i="5" s="1"/>
  <c r="V459" i="5" s="1"/>
  <c r="W459" i="5" s="1"/>
  <c r="X459" i="5" s="1"/>
  <c r="Y459" i="5" s="1"/>
  <c r="Z459" i="5" s="1"/>
  <c r="AD459" i="5" s="1"/>
  <c r="AE459" i="5" s="1"/>
  <c r="AF459" i="5" s="1"/>
  <c r="AG459" i="5" s="1"/>
  <c r="AH459" i="5" s="1"/>
  <c r="AI459" i="5" s="1"/>
  <c r="AJ459" i="5" s="1"/>
  <c r="AK459" i="5" s="1"/>
  <c r="AL459" i="5" s="1"/>
  <c r="AM459" i="5" s="1"/>
  <c r="AN459" i="5" s="1"/>
  <c r="AO459" i="5" s="1"/>
  <c r="AS459" i="5" s="1"/>
  <c r="AR451" i="5"/>
  <c r="AC451" i="5"/>
  <c r="O451" i="5"/>
  <c r="P451" i="5" s="1"/>
  <c r="Q451" i="5" s="1"/>
  <c r="R451" i="5" s="1"/>
  <c r="S451" i="5" s="1"/>
  <c r="T451" i="5" s="1"/>
  <c r="U451" i="5" s="1"/>
  <c r="V451" i="5" s="1"/>
  <c r="W451" i="5" s="1"/>
  <c r="X451" i="5" s="1"/>
  <c r="Y451" i="5" s="1"/>
  <c r="Z451" i="5" s="1"/>
  <c r="AD451" i="5" s="1"/>
  <c r="AE451" i="5" s="1"/>
  <c r="AF451" i="5" s="1"/>
  <c r="AG451" i="5" s="1"/>
  <c r="AH451" i="5" s="1"/>
  <c r="AI451" i="5" s="1"/>
  <c r="AJ451" i="5" s="1"/>
  <c r="AK451" i="5" s="1"/>
  <c r="AL451" i="5" s="1"/>
  <c r="AM451" i="5" s="1"/>
  <c r="AN451" i="5" s="1"/>
  <c r="AO451" i="5" s="1"/>
  <c r="AS451" i="5" s="1"/>
  <c r="AT451" i="5" s="1"/>
  <c r="AU451" i="5" s="1"/>
  <c r="AV451" i="5" s="1"/>
  <c r="AW451" i="5" s="1"/>
  <c r="AX451" i="5" s="1"/>
  <c r="AY451" i="5" s="1"/>
  <c r="AZ451" i="5" s="1"/>
  <c r="BA451" i="5" s="1"/>
  <c r="BB451" i="5" s="1"/>
  <c r="BC451" i="5" s="1"/>
  <c r="BD451" i="5" s="1"/>
  <c r="N451" i="5"/>
  <c r="AR443" i="5"/>
  <c r="AC443" i="5"/>
  <c r="O443" i="5"/>
  <c r="P443" i="5" s="1"/>
  <c r="Q443" i="5" s="1"/>
  <c r="R443" i="5" s="1"/>
  <c r="S443" i="5" s="1"/>
  <c r="T443" i="5" s="1"/>
  <c r="U443" i="5" s="1"/>
  <c r="V443" i="5" s="1"/>
  <c r="W443" i="5" s="1"/>
  <c r="X443" i="5" s="1"/>
  <c r="Y443" i="5" s="1"/>
  <c r="Z443" i="5" s="1"/>
  <c r="AD443" i="5" s="1"/>
  <c r="AE443" i="5" s="1"/>
  <c r="AF443" i="5" s="1"/>
  <c r="AG443" i="5" s="1"/>
  <c r="AH443" i="5" s="1"/>
  <c r="AI443" i="5" s="1"/>
  <c r="AJ443" i="5" s="1"/>
  <c r="AK443" i="5" s="1"/>
  <c r="AL443" i="5" s="1"/>
  <c r="AM443" i="5" s="1"/>
  <c r="AN443" i="5" s="1"/>
  <c r="AO443" i="5" s="1"/>
  <c r="AS443" i="5" s="1"/>
  <c r="AT443" i="5" s="1"/>
  <c r="AU443" i="5" s="1"/>
  <c r="AV443" i="5" s="1"/>
  <c r="AW443" i="5" s="1"/>
  <c r="AX443" i="5" s="1"/>
  <c r="AY443" i="5" s="1"/>
  <c r="AZ443" i="5" s="1"/>
  <c r="BA443" i="5" s="1"/>
  <c r="BB443" i="5" s="1"/>
  <c r="BC443" i="5" s="1"/>
  <c r="BD443" i="5" s="1"/>
  <c r="N443" i="5"/>
  <c r="AC435" i="5"/>
  <c r="N435" i="5"/>
  <c r="AR435" i="5"/>
  <c r="O435" i="5"/>
  <c r="P435" i="5" s="1"/>
  <c r="Q435" i="5" s="1"/>
  <c r="R435" i="5" s="1"/>
  <c r="S435" i="5" s="1"/>
  <c r="T435" i="5" s="1"/>
  <c r="U435" i="5" s="1"/>
  <c r="V435" i="5" s="1"/>
  <c r="W435" i="5" s="1"/>
  <c r="X435" i="5" s="1"/>
  <c r="Y435" i="5" s="1"/>
  <c r="Z435" i="5" s="1"/>
  <c r="AD435" i="5" s="1"/>
  <c r="AE435" i="5" s="1"/>
  <c r="AF435" i="5" s="1"/>
  <c r="AG435" i="5" s="1"/>
  <c r="AH435" i="5" s="1"/>
  <c r="AI435" i="5" s="1"/>
  <c r="AJ435" i="5" s="1"/>
  <c r="AK435" i="5" s="1"/>
  <c r="AL435" i="5" s="1"/>
  <c r="AM435" i="5" s="1"/>
  <c r="AN435" i="5" s="1"/>
  <c r="AO435" i="5" s="1"/>
  <c r="AS435" i="5" s="1"/>
  <c r="AT435" i="5" s="1"/>
  <c r="AU435" i="5" s="1"/>
  <c r="AV435" i="5" s="1"/>
  <c r="AW435" i="5" s="1"/>
  <c r="AX435" i="5" s="1"/>
  <c r="AY435" i="5" s="1"/>
  <c r="AZ435" i="5" s="1"/>
  <c r="BA435" i="5" s="1"/>
  <c r="BB435" i="5" s="1"/>
  <c r="BC435" i="5" s="1"/>
  <c r="BD435" i="5" s="1"/>
  <c r="O427" i="5"/>
  <c r="AR427" i="5"/>
  <c r="N427" i="5"/>
  <c r="AC427" i="5"/>
  <c r="AR406" i="5"/>
  <c r="AC406" i="5"/>
  <c r="N406" i="5"/>
  <c r="O406" i="5"/>
  <c r="AR396" i="5"/>
  <c r="N396" i="5"/>
  <c r="AC396" i="5"/>
  <c r="O396" i="5"/>
  <c r="AR384" i="5"/>
  <c r="AC384" i="5"/>
  <c r="N384" i="5"/>
  <c r="O384" i="5"/>
  <c r="AC378" i="5"/>
  <c r="AR378" i="5"/>
  <c r="N378" i="5"/>
  <c r="O378" i="5"/>
  <c r="AR370" i="5"/>
  <c r="N370" i="5"/>
  <c r="AC370" i="5"/>
  <c r="O370" i="5"/>
  <c r="N359" i="5"/>
  <c r="AC359" i="5"/>
  <c r="AR359" i="5"/>
  <c r="O359" i="5"/>
  <c r="P359" i="5" s="1"/>
  <c r="Q359" i="5" s="1"/>
  <c r="R359" i="5" s="1"/>
  <c r="S359" i="5" s="1"/>
  <c r="T359" i="5" s="1"/>
  <c r="U359" i="5" s="1"/>
  <c r="V359" i="5" s="1"/>
  <c r="W359" i="5" s="1"/>
  <c r="X359" i="5" s="1"/>
  <c r="Y359" i="5" s="1"/>
  <c r="Z359" i="5" s="1"/>
  <c r="AD359" i="5" s="1"/>
  <c r="AE359" i="5" s="1"/>
  <c r="AF359" i="5" s="1"/>
  <c r="AG359" i="5" s="1"/>
  <c r="AH359" i="5" s="1"/>
  <c r="AI359" i="5" s="1"/>
  <c r="AJ359" i="5" s="1"/>
  <c r="AK359" i="5" s="1"/>
  <c r="AL359" i="5" s="1"/>
  <c r="AM359" i="5" s="1"/>
  <c r="AN359" i="5" s="1"/>
  <c r="AO359" i="5" s="1"/>
  <c r="AS359" i="5" s="1"/>
  <c r="AT359" i="5" s="1"/>
  <c r="AU359" i="5" s="1"/>
  <c r="AV359" i="5" s="1"/>
  <c r="AW359" i="5" s="1"/>
  <c r="AX359" i="5" s="1"/>
  <c r="AY359" i="5" s="1"/>
  <c r="AZ359" i="5" s="1"/>
  <c r="BA359" i="5" s="1"/>
  <c r="BB359" i="5" s="1"/>
  <c r="BC359" i="5" s="1"/>
  <c r="BD359" i="5" s="1"/>
  <c r="AR351" i="5"/>
  <c r="N351" i="5"/>
  <c r="AC351" i="5"/>
  <c r="O351" i="5"/>
  <c r="P351" i="5" s="1"/>
  <c r="Q351" i="5" s="1"/>
  <c r="R351" i="5" s="1"/>
  <c r="S351" i="5" s="1"/>
  <c r="T351" i="5" s="1"/>
  <c r="U351" i="5" s="1"/>
  <c r="V351" i="5" s="1"/>
  <c r="W351" i="5" s="1"/>
  <c r="X351" i="5" s="1"/>
  <c r="Y351" i="5" s="1"/>
  <c r="Z351" i="5" s="1"/>
  <c r="AD351" i="5" s="1"/>
  <c r="AE351" i="5" s="1"/>
  <c r="AF351" i="5" s="1"/>
  <c r="AG351" i="5" s="1"/>
  <c r="AH351" i="5" s="1"/>
  <c r="AI351" i="5" s="1"/>
  <c r="AJ351" i="5" s="1"/>
  <c r="AK351" i="5" s="1"/>
  <c r="AL351" i="5" s="1"/>
  <c r="AM351" i="5" s="1"/>
  <c r="AN351" i="5" s="1"/>
  <c r="AO351" i="5" s="1"/>
  <c r="AS351" i="5" s="1"/>
  <c r="AT351" i="5" s="1"/>
  <c r="AU351" i="5" s="1"/>
  <c r="AV351" i="5" s="1"/>
  <c r="AW351" i="5" s="1"/>
  <c r="AX351" i="5" s="1"/>
  <c r="AY351" i="5" s="1"/>
  <c r="AZ351" i="5" s="1"/>
  <c r="BA351" i="5" s="1"/>
  <c r="BB351" i="5" s="1"/>
  <c r="BC351" i="5" s="1"/>
  <c r="BD351" i="5" s="1"/>
  <c r="AC339" i="5"/>
  <c r="AR339" i="5"/>
  <c r="N339" i="5"/>
  <c r="O339" i="5"/>
  <c r="P339" i="5" s="1"/>
  <c r="Q339" i="5" s="1"/>
  <c r="R339" i="5" s="1"/>
  <c r="S339" i="5" s="1"/>
  <c r="T339" i="5" s="1"/>
  <c r="U339" i="5" s="1"/>
  <c r="V339" i="5" s="1"/>
  <c r="W339" i="5" s="1"/>
  <c r="X339" i="5" s="1"/>
  <c r="Y339" i="5" s="1"/>
  <c r="Z339" i="5" s="1"/>
  <c r="AD339" i="5" s="1"/>
  <c r="AE339" i="5" s="1"/>
  <c r="AF339" i="5" s="1"/>
  <c r="AG339" i="5" s="1"/>
  <c r="AH339" i="5" s="1"/>
  <c r="AI339" i="5" s="1"/>
  <c r="AJ339" i="5" s="1"/>
  <c r="AK339" i="5" s="1"/>
  <c r="AL339" i="5" s="1"/>
  <c r="AM339" i="5" s="1"/>
  <c r="AN339" i="5" s="1"/>
  <c r="AO339" i="5" s="1"/>
  <c r="AS339" i="5" s="1"/>
  <c r="AT339" i="5" s="1"/>
  <c r="AU339" i="5" s="1"/>
  <c r="AV339" i="5" s="1"/>
  <c r="AW339" i="5" s="1"/>
  <c r="AX339" i="5" s="1"/>
  <c r="AY339" i="5" s="1"/>
  <c r="AZ339" i="5" s="1"/>
  <c r="BA339" i="5" s="1"/>
  <c r="BB339" i="5" s="1"/>
  <c r="BC339" i="5" s="1"/>
  <c r="BD339" i="5" s="1"/>
  <c r="N319" i="5"/>
  <c r="O319" i="5"/>
  <c r="P319" i="5" s="1"/>
  <c r="Q319" i="5" s="1"/>
  <c r="R319" i="5" s="1"/>
  <c r="S319" i="5" s="1"/>
  <c r="T319" i="5" s="1"/>
  <c r="U319" i="5" s="1"/>
  <c r="V319" i="5" s="1"/>
  <c r="W319" i="5" s="1"/>
  <c r="X319" i="5" s="1"/>
  <c r="Y319" i="5" s="1"/>
  <c r="Z319" i="5" s="1"/>
  <c r="AD319" i="5" s="1"/>
  <c r="O305" i="5"/>
  <c r="AC305" i="5"/>
  <c r="AR305" i="5"/>
  <c r="N305" i="5"/>
  <c r="AR298" i="5"/>
  <c r="N298" i="5"/>
  <c r="AC298" i="5"/>
  <c r="O298" i="5"/>
  <c r="AR279" i="5"/>
  <c r="N279" i="5"/>
  <c r="AC279" i="5"/>
  <c r="O279" i="5"/>
  <c r="AR271" i="5"/>
  <c r="N271" i="5"/>
  <c r="AC271" i="5"/>
  <c r="O271" i="5"/>
  <c r="O263" i="5"/>
  <c r="AC263" i="5"/>
  <c r="AR263" i="5"/>
  <c r="N263" i="5"/>
  <c r="AC255" i="5"/>
  <c r="AR255" i="5"/>
  <c r="O255" i="5"/>
  <c r="N255" i="5"/>
  <c r="AR239" i="5"/>
  <c r="N239" i="5"/>
  <c r="AC239" i="5"/>
  <c r="O239" i="5"/>
  <c r="P239" i="5" s="1"/>
  <c r="Q239" i="5" s="1"/>
  <c r="R239" i="5" s="1"/>
  <c r="S239" i="5" s="1"/>
  <c r="T239" i="5" s="1"/>
  <c r="U239" i="5" s="1"/>
  <c r="V239" i="5" s="1"/>
  <c r="W239" i="5" s="1"/>
  <c r="X239" i="5" s="1"/>
  <c r="Y239" i="5" s="1"/>
  <c r="Z239" i="5" s="1"/>
  <c r="AD239" i="5" s="1"/>
  <c r="AE239" i="5" s="1"/>
  <c r="AF239" i="5" s="1"/>
  <c r="AG239" i="5" s="1"/>
  <c r="AH239" i="5" s="1"/>
  <c r="AI239" i="5" s="1"/>
  <c r="AJ239" i="5" s="1"/>
  <c r="AK239" i="5" s="1"/>
  <c r="AL239" i="5" s="1"/>
  <c r="AM239" i="5" s="1"/>
  <c r="AN239" i="5" s="1"/>
  <c r="AO239" i="5" s="1"/>
  <c r="AS239" i="5" s="1"/>
  <c r="AT239" i="5" s="1"/>
  <c r="AU239" i="5" s="1"/>
  <c r="AV239" i="5" s="1"/>
  <c r="AW239" i="5" s="1"/>
  <c r="AX239" i="5" s="1"/>
  <c r="AY239" i="5" s="1"/>
  <c r="AZ239" i="5" s="1"/>
  <c r="BA239" i="5" s="1"/>
  <c r="BB239" i="5" s="1"/>
  <c r="BC239" i="5" s="1"/>
  <c r="BD239" i="5" s="1"/>
  <c r="AR231" i="5"/>
  <c r="N231" i="5"/>
  <c r="AC231" i="5"/>
  <c r="O231" i="5"/>
  <c r="P231" i="5" s="1"/>
  <c r="Q231" i="5" s="1"/>
  <c r="R231" i="5" s="1"/>
  <c r="S231" i="5" s="1"/>
  <c r="T231" i="5" s="1"/>
  <c r="U231" i="5" s="1"/>
  <c r="V231" i="5" s="1"/>
  <c r="W231" i="5" s="1"/>
  <c r="X231" i="5" s="1"/>
  <c r="Y231" i="5" s="1"/>
  <c r="Z231" i="5" s="1"/>
  <c r="AD231" i="5" s="1"/>
  <c r="AE231" i="5" s="1"/>
  <c r="AF231" i="5" s="1"/>
  <c r="AG231" i="5" s="1"/>
  <c r="AH231" i="5" s="1"/>
  <c r="AI231" i="5" s="1"/>
  <c r="AJ231" i="5" s="1"/>
  <c r="AK231" i="5" s="1"/>
  <c r="AL231" i="5" s="1"/>
  <c r="AM231" i="5" s="1"/>
  <c r="AN231" i="5" s="1"/>
  <c r="AO231" i="5" s="1"/>
  <c r="AS231" i="5" s="1"/>
  <c r="AT231" i="5" s="1"/>
  <c r="AU231" i="5" s="1"/>
  <c r="AV231" i="5" s="1"/>
  <c r="AW231" i="5" s="1"/>
  <c r="AX231" i="5" s="1"/>
  <c r="AY231" i="5" s="1"/>
  <c r="AZ231" i="5" s="1"/>
  <c r="BA231" i="5" s="1"/>
  <c r="BB231" i="5" s="1"/>
  <c r="BC231" i="5" s="1"/>
  <c r="BD231" i="5" s="1"/>
  <c r="AC223" i="5"/>
  <c r="AR223" i="5"/>
  <c r="N223" i="5"/>
  <c r="O223" i="5"/>
  <c r="P223" i="5" s="1"/>
  <c r="Q223" i="5" s="1"/>
  <c r="R223" i="5" s="1"/>
  <c r="S223" i="5" s="1"/>
  <c r="T223" i="5" s="1"/>
  <c r="U223" i="5" s="1"/>
  <c r="V223" i="5" s="1"/>
  <c r="W223" i="5" s="1"/>
  <c r="X223" i="5" s="1"/>
  <c r="Y223" i="5" s="1"/>
  <c r="Z223" i="5" s="1"/>
  <c r="AD223" i="5" s="1"/>
  <c r="AE223" i="5" s="1"/>
  <c r="AF223" i="5" s="1"/>
  <c r="AG223" i="5" s="1"/>
  <c r="AH223" i="5" s="1"/>
  <c r="AI223" i="5" s="1"/>
  <c r="AJ223" i="5" s="1"/>
  <c r="AK223" i="5" s="1"/>
  <c r="AL223" i="5" s="1"/>
  <c r="AM223" i="5" s="1"/>
  <c r="AN223" i="5" s="1"/>
  <c r="AO223" i="5" s="1"/>
  <c r="AS223" i="5" s="1"/>
  <c r="AT223" i="5" s="1"/>
  <c r="AU223" i="5" s="1"/>
  <c r="AV223" i="5" s="1"/>
  <c r="AW223" i="5" s="1"/>
  <c r="AX223" i="5" s="1"/>
  <c r="AY223" i="5" s="1"/>
  <c r="AZ223" i="5" s="1"/>
  <c r="BA223" i="5" s="1"/>
  <c r="BB223" i="5" s="1"/>
  <c r="BC223" i="5" s="1"/>
  <c r="BD223" i="5" s="1"/>
  <c r="AC215" i="5"/>
  <c r="AR215" i="5"/>
  <c r="N215" i="5"/>
  <c r="O215" i="5"/>
  <c r="AC207" i="5"/>
  <c r="AR207" i="5"/>
  <c r="N207" i="5"/>
  <c r="O207" i="5"/>
  <c r="AR183" i="5"/>
  <c r="N183" i="5"/>
  <c r="AC183" i="5"/>
  <c r="O183" i="5"/>
  <c r="N174" i="5"/>
  <c r="AC174" i="5"/>
  <c r="AR174" i="5"/>
  <c r="O174" i="5"/>
  <c r="AC165" i="5"/>
  <c r="N165" i="5"/>
  <c r="AR165" i="5"/>
  <c r="O165" i="5"/>
  <c r="P165" i="5" s="1"/>
  <c r="Q165" i="5" s="1"/>
  <c r="R165" i="5" s="1"/>
  <c r="S165" i="5" s="1"/>
  <c r="T165" i="5" s="1"/>
  <c r="U165" i="5" s="1"/>
  <c r="V165" i="5" s="1"/>
  <c r="W165" i="5" s="1"/>
  <c r="X165" i="5" s="1"/>
  <c r="Y165" i="5" s="1"/>
  <c r="Z165" i="5" s="1"/>
  <c r="AD165" i="5" s="1"/>
  <c r="AE165" i="5" s="1"/>
  <c r="AF165" i="5" s="1"/>
  <c r="AG165" i="5" s="1"/>
  <c r="AH165" i="5" s="1"/>
  <c r="AI165" i="5" s="1"/>
  <c r="AJ165" i="5" s="1"/>
  <c r="AK165" i="5" s="1"/>
  <c r="AL165" i="5" s="1"/>
  <c r="AM165" i="5" s="1"/>
  <c r="AN165" i="5" s="1"/>
  <c r="AO165" i="5" s="1"/>
  <c r="AS165" i="5" s="1"/>
  <c r="AT165" i="5" s="1"/>
  <c r="AU165" i="5" s="1"/>
  <c r="AV165" i="5" s="1"/>
  <c r="AW165" i="5" s="1"/>
  <c r="AX165" i="5" s="1"/>
  <c r="AY165" i="5" s="1"/>
  <c r="AZ165" i="5" s="1"/>
  <c r="BA165" i="5" s="1"/>
  <c r="BB165" i="5" s="1"/>
  <c r="BC165" i="5" s="1"/>
  <c r="BD165" i="5" s="1"/>
  <c r="N151" i="5"/>
  <c r="O151" i="5"/>
  <c r="P151" i="5" s="1"/>
  <c r="Q151" i="5" s="1"/>
  <c r="R151" i="5" s="1"/>
  <c r="S151" i="5" s="1"/>
  <c r="T151" i="5" s="1"/>
  <c r="U151" i="5" s="1"/>
  <c r="V151" i="5" s="1"/>
  <c r="W151" i="5" s="1"/>
  <c r="X151" i="5" s="1"/>
  <c r="Y151" i="5" s="1"/>
  <c r="AR140" i="5"/>
  <c r="AC140" i="5"/>
  <c r="O140" i="5"/>
  <c r="P140" i="5" s="1"/>
  <c r="Q140" i="5" s="1"/>
  <c r="R140" i="5" s="1"/>
  <c r="S140" i="5" s="1"/>
  <c r="T140" i="5" s="1"/>
  <c r="U140" i="5" s="1"/>
  <c r="V140" i="5" s="1"/>
  <c r="W140" i="5" s="1"/>
  <c r="X140" i="5" s="1"/>
  <c r="Y140" i="5" s="1"/>
  <c r="Z140" i="5" s="1"/>
  <c r="AD140" i="5" s="1"/>
  <c r="AE140" i="5" s="1"/>
  <c r="AF140" i="5" s="1"/>
  <c r="AG140" i="5" s="1"/>
  <c r="AH140" i="5" s="1"/>
  <c r="AI140" i="5" s="1"/>
  <c r="AJ140" i="5" s="1"/>
  <c r="AK140" i="5" s="1"/>
  <c r="AL140" i="5" s="1"/>
  <c r="AM140" i="5" s="1"/>
  <c r="AN140" i="5" s="1"/>
  <c r="AO140" i="5" s="1"/>
  <c r="AS140" i="5" s="1"/>
  <c r="AT140" i="5" s="1"/>
  <c r="AU140" i="5" s="1"/>
  <c r="AV140" i="5" s="1"/>
  <c r="AW140" i="5" s="1"/>
  <c r="AX140" i="5" s="1"/>
  <c r="AY140" i="5" s="1"/>
  <c r="AZ140" i="5" s="1"/>
  <c r="BA140" i="5" s="1"/>
  <c r="BB140" i="5" s="1"/>
  <c r="BC140" i="5" s="1"/>
  <c r="BD140" i="5" s="1"/>
  <c r="N140" i="5"/>
  <c r="N132" i="5"/>
  <c r="AR132" i="5"/>
  <c r="O132" i="5"/>
  <c r="P132" i="5" s="1"/>
  <c r="Q132" i="5" s="1"/>
  <c r="R132" i="5" s="1"/>
  <c r="S132" i="5" s="1"/>
  <c r="T132" i="5" s="1"/>
  <c r="U132" i="5" s="1"/>
  <c r="V132" i="5" s="1"/>
  <c r="W132" i="5" s="1"/>
  <c r="X132" i="5" s="1"/>
  <c r="Y132" i="5" s="1"/>
  <c r="Z132" i="5" s="1"/>
  <c r="AD132" i="5" s="1"/>
  <c r="AE132" i="5" s="1"/>
  <c r="AF132" i="5" s="1"/>
  <c r="AG132" i="5" s="1"/>
  <c r="AH132" i="5" s="1"/>
  <c r="AI132" i="5" s="1"/>
  <c r="AJ132" i="5" s="1"/>
  <c r="AK132" i="5" s="1"/>
  <c r="AL132" i="5" s="1"/>
  <c r="AM132" i="5" s="1"/>
  <c r="AN132" i="5" s="1"/>
  <c r="AO132" i="5" s="1"/>
  <c r="AS132" i="5" s="1"/>
  <c r="AT132" i="5" s="1"/>
  <c r="AU132" i="5" s="1"/>
  <c r="AV132" i="5" s="1"/>
  <c r="AW132" i="5" s="1"/>
  <c r="AX132" i="5" s="1"/>
  <c r="AY132" i="5" s="1"/>
  <c r="AZ132" i="5" s="1"/>
  <c r="BA132" i="5" s="1"/>
  <c r="BB132" i="5" s="1"/>
  <c r="BC132" i="5" s="1"/>
  <c r="BD132" i="5" s="1"/>
  <c r="AC132" i="5"/>
  <c r="AC124" i="5"/>
  <c r="O124" i="5"/>
  <c r="P124" i="5" s="1"/>
  <c r="Q124" i="5" s="1"/>
  <c r="R124" i="5" s="1"/>
  <c r="S124" i="5" s="1"/>
  <c r="T124" i="5" s="1"/>
  <c r="U124" i="5" s="1"/>
  <c r="V124" i="5" s="1"/>
  <c r="W124" i="5" s="1"/>
  <c r="X124" i="5" s="1"/>
  <c r="Y124" i="5" s="1"/>
  <c r="Z124" i="5" s="1"/>
  <c r="AD124" i="5" s="1"/>
  <c r="AE124" i="5" s="1"/>
  <c r="AF124" i="5" s="1"/>
  <c r="AG124" i="5" s="1"/>
  <c r="AH124" i="5" s="1"/>
  <c r="AI124" i="5" s="1"/>
  <c r="AJ124" i="5" s="1"/>
  <c r="AK124" i="5" s="1"/>
  <c r="AL124" i="5" s="1"/>
  <c r="AM124" i="5" s="1"/>
  <c r="AN124" i="5" s="1"/>
  <c r="AO124" i="5" s="1"/>
  <c r="AS124" i="5" s="1"/>
  <c r="AT124" i="5" s="1"/>
  <c r="AU124" i="5" s="1"/>
  <c r="AV124" i="5" s="1"/>
  <c r="AW124" i="5" s="1"/>
  <c r="AX124" i="5" s="1"/>
  <c r="AY124" i="5" s="1"/>
  <c r="AZ124" i="5" s="1"/>
  <c r="BA124" i="5" s="1"/>
  <c r="BB124" i="5" s="1"/>
  <c r="BC124" i="5" s="1"/>
  <c r="BD124" i="5" s="1"/>
  <c r="N124" i="5"/>
  <c r="AR124" i="5"/>
  <c r="AR118" i="5"/>
  <c r="N118" i="5"/>
  <c r="AC118" i="5"/>
  <c r="O118" i="5"/>
  <c r="AR108" i="5"/>
  <c r="AC108" i="5"/>
  <c r="N108" i="5"/>
  <c r="O108" i="5"/>
  <c r="P108" i="5" s="1"/>
  <c r="Q108" i="5" s="1"/>
  <c r="R108" i="5" s="1"/>
  <c r="S108" i="5" s="1"/>
  <c r="T108" i="5" s="1"/>
  <c r="U108" i="5" s="1"/>
  <c r="V108" i="5" s="1"/>
  <c r="W108" i="5" s="1"/>
  <c r="X108" i="5" s="1"/>
  <c r="Y108" i="5" s="1"/>
  <c r="Z108" i="5" s="1"/>
  <c r="AD108" i="5" s="1"/>
  <c r="AE108" i="5" s="1"/>
  <c r="AF108" i="5" s="1"/>
  <c r="AG108" i="5" s="1"/>
  <c r="AH108" i="5" s="1"/>
  <c r="AI108" i="5" s="1"/>
  <c r="AJ108" i="5" s="1"/>
  <c r="AK108" i="5" s="1"/>
  <c r="AL108" i="5" s="1"/>
  <c r="AM108" i="5" s="1"/>
  <c r="AN108" i="5" s="1"/>
  <c r="AO108" i="5" s="1"/>
  <c r="AS108" i="5" s="1"/>
  <c r="AT108" i="5" s="1"/>
  <c r="AU108" i="5" s="1"/>
  <c r="AV108" i="5" s="1"/>
  <c r="AW108" i="5" s="1"/>
  <c r="AX108" i="5" s="1"/>
  <c r="AY108" i="5" s="1"/>
  <c r="AZ108" i="5" s="1"/>
  <c r="BA108" i="5" s="1"/>
  <c r="BB108" i="5" s="1"/>
  <c r="BC108" i="5" s="1"/>
  <c r="BD108" i="5" s="1"/>
  <c r="P100" i="5"/>
  <c r="Q100" i="5" s="1"/>
  <c r="R100" i="5" s="1"/>
  <c r="S100" i="5" s="1"/>
  <c r="T100" i="5" s="1"/>
  <c r="U100" i="5" s="1"/>
  <c r="V100" i="5" s="1"/>
  <c r="W100" i="5" s="1"/>
  <c r="AC93" i="5"/>
  <c r="AR93" i="5"/>
  <c r="N93" i="5"/>
  <c r="O93" i="5"/>
  <c r="AR81" i="5"/>
  <c r="N81" i="5"/>
  <c r="AC81" i="5"/>
  <c r="O81" i="5"/>
  <c r="AC69" i="5"/>
  <c r="AR69" i="5"/>
  <c r="O69" i="5"/>
  <c r="N69" i="5"/>
  <c r="AC46" i="5"/>
  <c r="O46" i="5"/>
  <c r="P46" i="5" s="1"/>
  <c r="Q46" i="5" s="1"/>
  <c r="R46" i="5" s="1"/>
  <c r="S46" i="5" s="1"/>
  <c r="T46" i="5" s="1"/>
  <c r="U46" i="5" s="1"/>
  <c r="V46" i="5" s="1"/>
  <c r="W46" i="5" s="1"/>
  <c r="X46" i="5" s="1"/>
  <c r="Y46" i="5" s="1"/>
  <c r="Z46" i="5" s="1"/>
  <c r="AD46" i="5" s="1"/>
  <c r="AE46" i="5" s="1"/>
  <c r="AF46" i="5" s="1"/>
  <c r="AG46" i="5" s="1"/>
  <c r="AH46" i="5" s="1"/>
  <c r="AI46" i="5" s="1"/>
  <c r="AJ46" i="5" s="1"/>
  <c r="AK46" i="5" s="1"/>
  <c r="AL46" i="5" s="1"/>
  <c r="AM46" i="5" s="1"/>
  <c r="AN46" i="5" s="1"/>
  <c r="AO46" i="5" s="1"/>
  <c r="AS46" i="5" s="1"/>
  <c r="N46" i="5"/>
  <c r="AR66" i="5"/>
  <c r="N66" i="5"/>
  <c r="O66" i="5"/>
  <c r="AC66" i="5"/>
  <c r="AC8" i="5"/>
  <c r="N8" i="5"/>
  <c r="AR8" i="5"/>
  <c r="O8" i="5"/>
  <c r="P8" i="5" s="1"/>
  <c r="Q8" i="5" s="1"/>
  <c r="R8" i="5" s="1"/>
  <c r="S8" i="5" s="1"/>
  <c r="T8" i="5" s="1"/>
  <c r="U8" i="5" s="1"/>
  <c r="V8" i="5" s="1"/>
  <c r="W8" i="5" s="1"/>
  <c r="X8" i="5" s="1"/>
  <c r="Y8" i="5" s="1"/>
  <c r="Z8" i="5" s="1"/>
  <c r="AD8" i="5" s="1"/>
  <c r="AE8" i="5" s="1"/>
  <c r="AF8" i="5" s="1"/>
  <c r="AG8" i="5" s="1"/>
  <c r="AH8" i="5" s="1"/>
  <c r="AI8" i="5" s="1"/>
  <c r="AJ8" i="5" s="1"/>
  <c r="AK8" i="5" s="1"/>
  <c r="AL8" i="5" s="1"/>
  <c r="AM8" i="5" s="1"/>
  <c r="AN8" i="5" s="1"/>
  <c r="AO8" i="5" s="1"/>
  <c r="AS8" i="5" s="1"/>
  <c r="N575" i="5"/>
  <c r="O575" i="5"/>
  <c r="P575" i="5" s="1"/>
  <c r="Q575" i="5" s="1"/>
  <c r="R575" i="5" s="1"/>
  <c r="S575" i="5" s="1"/>
  <c r="T575" i="5" s="1"/>
  <c r="U575" i="5" s="1"/>
  <c r="V575" i="5" s="1"/>
  <c r="W575" i="5" s="1"/>
  <c r="X575" i="5" s="1"/>
  <c r="Y575" i="5" s="1"/>
  <c r="Z575" i="5" s="1"/>
  <c r="AD575" i="5" s="1"/>
  <c r="N567" i="5"/>
  <c r="AC567" i="5"/>
  <c r="AR567" i="5" s="1"/>
  <c r="O567" i="5"/>
  <c r="P567" i="5" s="1"/>
  <c r="Q567" i="5" s="1"/>
  <c r="R567" i="5" s="1"/>
  <c r="S567" i="5" s="1"/>
  <c r="T567" i="5" s="1"/>
  <c r="U567" i="5" s="1"/>
  <c r="V567" i="5" s="1"/>
  <c r="W567" i="5" s="1"/>
  <c r="X567" i="5" s="1"/>
  <c r="Y567" i="5" s="1"/>
  <c r="Z567" i="5" s="1"/>
  <c r="AD567" i="5" s="1"/>
  <c r="AE567" i="5" s="1"/>
  <c r="AF567" i="5" s="1"/>
  <c r="AG567" i="5" s="1"/>
  <c r="AH567" i="5" s="1"/>
  <c r="AI567" i="5" s="1"/>
  <c r="AJ567" i="5" s="1"/>
  <c r="AK567" i="5" s="1"/>
  <c r="AL567" i="5" s="1"/>
  <c r="AM567" i="5" s="1"/>
  <c r="AN567" i="5" s="1"/>
  <c r="AO567" i="5" s="1"/>
  <c r="AS567" i="5" s="1"/>
  <c r="AT567" i="5" s="1"/>
  <c r="AU567" i="5" s="1"/>
  <c r="AV567" i="5" s="1"/>
  <c r="AW567" i="5" s="1"/>
  <c r="AX567" i="5" s="1"/>
  <c r="AY567" i="5" s="1"/>
  <c r="AZ567" i="5" s="1"/>
  <c r="BA567" i="5" s="1"/>
  <c r="BB567" i="5" s="1"/>
  <c r="BC567" i="5" s="1"/>
  <c r="BD567" i="5" s="1"/>
  <c r="P548" i="5"/>
  <c r="Q548" i="5" s="1"/>
  <c r="R548" i="5" s="1"/>
  <c r="S548" i="5" s="1"/>
  <c r="T548" i="5" s="1"/>
  <c r="U548" i="5" s="1"/>
  <c r="V548" i="5" s="1"/>
  <c r="W548" i="5" s="1"/>
  <c r="X548" i="5" s="1"/>
  <c r="Y548" i="5" s="1"/>
  <c r="Z548" i="5" s="1"/>
  <c r="N548" i="5"/>
  <c r="N540" i="5"/>
  <c r="P540" i="5"/>
  <c r="Q540" i="5" s="1"/>
  <c r="R540" i="5" s="1"/>
  <c r="S540" i="5" s="1"/>
  <c r="T540" i="5" s="1"/>
  <c r="U540" i="5" s="1"/>
  <c r="V540" i="5" s="1"/>
  <c r="W540" i="5" s="1"/>
  <c r="X540" i="5" s="1"/>
  <c r="Y540" i="5" s="1"/>
  <c r="AC532" i="5"/>
  <c r="AR532" i="5" s="1"/>
  <c r="N532" i="5"/>
  <c r="O532" i="5"/>
  <c r="P532" i="5" s="1"/>
  <c r="Q532" i="5" s="1"/>
  <c r="R532" i="5" s="1"/>
  <c r="S532" i="5" s="1"/>
  <c r="T532" i="5" s="1"/>
  <c r="U532" i="5" s="1"/>
  <c r="V532" i="5" s="1"/>
  <c r="W532" i="5" s="1"/>
  <c r="X532" i="5" s="1"/>
  <c r="Y532" i="5" s="1"/>
  <c r="Z532" i="5" s="1"/>
  <c r="AD532" i="5" s="1"/>
  <c r="AE532" i="5" s="1"/>
  <c r="AF532" i="5" s="1"/>
  <c r="AG532" i="5" s="1"/>
  <c r="AH532" i="5" s="1"/>
  <c r="AI532" i="5" s="1"/>
  <c r="AJ532" i="5" s="1"/>
  <c r="AK532" i="5" s="1"/>
  <c r="AL532" i="5" s="1"/>
  <c r="AM532" i="5" s="1"/>
  <c r="AN532" i="5" s="1"/>
  <c r="AO532" i="5" s="1"/>
  <c r="AS532" i="5" s="1"/>
  <c r="AT532" i="5" s="1"/>
  <c r="AU532" i="5" s="1"/>
  <c r="AV532" i="5" s="1"/>
  <c r="AW532" i="5" s="1"/>
  <c r="AX532" i="5" s="1"/>
  <c r="AY532" i="5" s="1"/>
  <c r="AZ532" i="5" s="1"/>
  <c r="BA532" i="5" s="1"/>
  <c r="BB532" i="5" s="1"/>
  <c r="BC532" i="5" s="1"/>
  <c r="BD532" i="5" s="1"/>
  <c r="AC524" i="5"/>
  <c r="AR524" i="5" s="1"/>
  <c r="N524" i="5"/>
  <c r="O524" i="5"/>
  <c r="P524" i="5" s="1"/>
  <c r="Q524" i="5" s="1"/>
  <c r="R524" i="5" s="1"/>
  <c r="S524" i="5" s="1"/>
  <c r="T524" i="5" s="1"/>
  <c r="U524" i="5" s="1"/>
  <c r="V524" i="5" s="1"/>
  <c r="W524" i="5" s="1"/>
  <c r="X524" i="5" s="1"/>
  <c r="Y524" i="5" s="1"/>
  <c r="Z524" i="5" s="1"/>
  <c r="AD524" i="5" s="1"/>
  <c r="AE524" i="5" s="1"/>
  <c r="AF524" i="5" s="1"/>
  <c r="AG524" i="5" s="1"/>
  <c r="AH524" i="5" s="1"/>
  <c r="AI524" i="5" s="1"/>
  <c r="AJ524" i="5" s="1"/>
  <c r="AK524" i="5" s="1"/>
  <c r="AL524" i="5" s="1"/>
  <c r="AM524" i="5" s="1"/>
  <c r="AN524" i="5" s="1"/>
  <c r="AO524" i="5" s="1"/>
  <c r="AS524" i="5" s="1"/>
  <c r="AT524" i="5" s="1"/>
  <c r="AU524" i="5" s="1"/>
  <c r="AV524" i="5" s="1"/>
  <c r="AW524" i="5" s="1"/>
  <c r="AX524" i="5" s="1"/>
  <c r="AY524" i="5" s="1"/>
  <c r="AZ524" i="5" s="1"/>
  <c r="BA524" i="5" s="1"/>
  <c r="BB524" i="5" s="1"/>
  <c r="BC524" i="5" s="1"/>
  <c r="BD524" i="5" s="1"/>
  <c r="N504" i="5"/>
  <c r="AR504" i="5"/>
  <c r="AC504" i="5"/>
  <c r="O504" i="5"/>
  <c r="P504" i="5" s="1"/>
  <c r="Q504" i="5" s="1"/>
  <c r="R504" i="5" s="1"/>
  <c r="S504" i="5" s="1"/>
  <c r="T504" i="5" s="1"/>
  <c r="U504" i="5" s="1"/>
  <c r="V504" i="5" s="1"/>
  <c r="W504" i="5" s="1"/>
  <c r="X504" i="5" s="1"/>
  <c r="Y504" i="5" s="1"/>
  <c r="Z504" i="5" s="1"/>
  <c r="AD504" i="5" s="1"/>
  <c r="AE504" i="5" s="1"/>
  <c r="AF504" i="5" s="1"/>
  <c r="AG504" i="5" s="1"/>
  <c r="AH504" i="5" s="1"/>
  <c r="AI504" i="5" s="1"/>
  <c r="AJ504" i="5" s="1"/>
  <c r="AK504" i="5" s="1"/>
  <c r="AL504" i="5" s="1"/>
  <c r="AM504" i="5" s="1"/>
  <c r="AN504" i="5" s="1"/>
  <c r="AO504" i="5" s="1"/>
  <c r="AS504" i="5" s="1"/>
  <c r="AT504" i="5" s="1"/>
  <c r="AU504" i="5" s="1"/>
  <c r="AV504" i="5" s="1"/>
  <c r="AW504" i="5" s="1"/>
  <c r="AX504" i="5" s="1"/>
  <c r="AY504" i="5" s="1"/>
  <c r="AZ504" i="5" s="1"/>
  <c r="BA504" i="5" s="1"/>
  <c r="BB504" i="5" s="1"/>
  <c r="BC504" i="5" s="1"/>
  <c r="BD504" i="5" s="1"/>
  <c r="N492" i="5"/>
  <c r="O492" i="5"/>
  <c r="P492" i="5" s="1"/>
  <c r="Q492" i="5" s="1"/>
  <c r="R492" i="5" s="1"/>
  <c r="S492" i="5" s="1"/>
  <c r="T492" i="5" s="1"/>
  <c r="U492" i="5" s="1"/>
  <c r="V492" i="5" s="1"/>
  <c r="W492" i="5" s="1"/>
  <c r="X492" i="5" s="1"/>
  <c r="Y492" i="5" s="1"/>
  <c r="Z492" i="5" s="1"/>
  <c r="AD492" i="5" s="1"/>
  <c r="N484" i="5"/>
  <c r="AC484" i="5"/>
  <c r="O484" i="5"/>
  <c r="P484" i="5" s="1"/>
  <c r="Q484" i="5" s="1"/>
  <c r="R484" i="5" s="1"/>
  <c r="S484" i="5" s="1"/>
  <c r="T484" i="5" s="1"/>
  <c r="U484" i="5" s="1"/>
  <c r="V484" i="5" s="1"/>
  <c r="W484" i="5" s="1"/>
  <c r="X484" i="5" s="1"/>
  <c r="Y484" i="5" s="1"/>
  <c r="Z484" i="5" s="1"/>
  <c r="AD484" i="5" s="1"/>
  <c r="AE484" i="5" s="1"/>
  <c r="AF484" i="5" s="1"/>
  <c r="AG484" i="5" s="1"/>
  <c r="AH484" i="5" s="1"/>
  <c r="AI484" i="5" s="1"/>
  <c r="AJ484" i="5" s="1"/>
  <c r="AK484" i="5" s="1"/>
  <c r="AL484" i="5" s="1"/>
  <c r="AM484" i="5" s="1"/>
  <c r="AN484" i="5" s="1"/>
  <c r="AO484" i="5" s="1"/>
  <c r="AS484" i="5" s="1"/>
  <c r="AC476" i="5"/>
  <c r="AR476" i="5"/>
  <c r="N476" i="5"/>
  <c r="O476" i="5"/>
  <c r="AR468" i="5"/>
  <c r="N468" i="5"/>
  <c r="AC468" i="5"/>
  <c r="O468" i="5"/>
  <c r="AC460" i="5"/>
  <c r="AR460" i="5"/>
  <c r="N460" i="5"/>
  <c r="O460" i="5"/>
  <c r="P460" i="5" s="1"/>
  <c r="Q460" i="5" s="1"/>
  <c r="R460" i="5" s="1"/>
  <c r="S460" i="5" s="1"/>
  <c r="T460" i="5" s="1"/>
  <c r="U460" i="5" s="1"/>
  <c r="V460" i="5" s="1"/>
  <c r="W460" i="5" s="1"/>
  <c r="X460" i="5" s="1"/>
  <c r="Y460" i="5" s="1"/>
  <c r="Z460" i="5" s="1"/>
  <c r="AD460" i="5" s="1"/>
  <c r="AE460" i="5" s="1"/>
  <c r="AF460" i="5" s="1"/>
  <c r="AG460" i="5" s="1"/>
  <c r="AH460" i="5" s="1"/>
  <c r="AI460" i="5" s="1"/>
  <c r="AJ460" i="5" s="1"/>
  <c r="AK460" i="5" s="1"/>
  <c r="AL460" i="5" s="1"/>
  <c r="AM460" i="5" s="1"/>
  <c r="AN460" i="5" s="1"/>
  <c r="AO460" i="5" s="1"/>
  <c r="AS460" i="5" s="1"/>
  <c r="AT460" i="5" s="1"/>
  <c r="AU460" i="5" s="1"/>
  <c r="AV460" i="5" s="1"/>
  <c r="AW460" i="5" s="1"/>
  <c r="AX460" i="5" s="1"/>
  <c r="AY460" i="5" s="1"/>
  <c r="AZ460" i="5" s="1"/>
  <c r="BA460" i="5" s="1"/>
  <c r="BB460" i="5" s="1"/>
  <c r="BC460" i="5" s="1"/>
  <c r="BD460" i="5" s="1"/>
  <c r="O452" i="5"/>
  <c r="P452" i="5" s="1"/>
  <c r="Q452" i="5" s="1"/>
  <c r="R452" i="5" s="1"/>
  <c r="S452" i="5" s="1"/>
  <c r="T452" i="5" s="1"/>
  <c r="U452" i="5" s="1"/>
  <c r="V452" i="5" s="1"/>
  <c r="W452" i="5" s="1"/>
  <c r="X452" i="5" s="1"/>
  <c r="Y452" i="5" s="1"/>
  <c r="Z452" i="5" s="1"/>
  <c r="AD452" i="5" s="1"/>
  <c r="AE452" i="5" s="1"/>
  <c r="AF452" i="5" s="1"/>
  <c r="AG452" i="5" s="1"/>
  <c r="AH452" i="5" s="1"/>
  <c r="AI452" i="5" s="1"/>
  <c r="AJ452" i="5" s="1"/>
  <c r="AK452" i="5" s="1"/>
  <c r="AL452" i="5" s="1"/>
  <c r="AM452" i="5" s="1"/>
  <c r="AN452" i="5" s="1"/>
  <c r="AO452" i="5" s="1"/>
  <c r="AS452" i="5" s="1"/>
  <c r="AT452" i="5" s="1"/>
  <c r="AU452" i="5" s="1"/>
  <c r="AV452" i="5" s="1"/>
  <c r="AW452" i="5" s="1"/>
  <c r="AX452" i="5" s="1"/>
  <c r="AY452" i="5" s="1"/>
  <c r="AZ452" i="5" s="1"/>
  <c r="BA452" i="5" s="1"/>
  <c r="BB452" i="5" s="1"/>
  <c r="BC452" i="5" s="1"/>
  <c r="BD452" i="5" s="1"/>
  <c r="AR452" i="5"/>
  <c r="AC452" i="5"/>
  <c r="N452" i="5"/>
  <c r="AC444" i="5"/>
  <c r="AR444" i="5"/>
  <c r="N444" i="5"/>
  <c r="O444" i="5"/>
  <c r="P444" i="5" s="1"/>
  <c r="Q444" i="5" s="1"/>
  <c r="R444" i="5" s="1"/>
  <c r="S444" i="5" s="1"/>
  <c r="T444" i="5" s="1"/>
  <c r="U444" i="5" s="1"/>
  <c r="V444" i="5" s="1"/>
  <c r="W444" i="5" s="1"/>
  <c r="X444" i="5" s="1"/>
  <c r="Y444" i="5" s="1"/>
  <c r="Z444" i="5" s="1"/>
  <c r="AD444" i="5" s="1"/>
  <c r="AE444" i="5" s="1"/>
  <c r="AF444" i="5" s="1"/>
  <c r="AG444" i="5" s="1"/>
  <c r="AH444" i="5" s="1"/>
  <c r="AI444" i="5" s="1"/>
  <c r="AJ444" i="5" s="1"/>
  <c r="AK444" i="5" s="1"/>
  <c r="AL444" i="5" s="1"/>
  <c r="AM444" i="5" s="1"/>
  <c r="AN444" i="5" s="1"/>
  <c r="AO444" i="5" s="1"/>
  <c r="AS444" i="5" s="1"/>
  <c r="AT444" i="5" s="1"/>
  <c r="AU444" i="5" s="1"/>
  <c r="AV444" i="5" s="1"/>
  <c r="AW444" i="5" s="1"/>
  <c r="AX444" i="5" s="1"/>
  <c r="AY444" i="5" s="1"/>
  <c r="AZ444" i="5" s="1"/>
  <c r="BA444" i="5" s="1"/>
  <c r="BB444" i="5" s="1"/>
  <c r="BC444" i="5" s="1"/>
  <c r="BD444" i="5" s="1"/>
  <c r="N436" i="5"/>
  <c r="AC436" i="5"/>
  <c r="O436" i="5"/>
  <c r="P436" i="5" s="1"/>
  <c r="Q436" i="5" s="1"/>
  <c r="R436" i="5" s="1"/>
  <c r="S436" i="5" s="1"/>
  <c r="T436" i="5" s="1"/>
  <c r="U436" i="5" s="1"/>
  <c r="V436" i="5" s="1"/>
  <c r="W436" i="5" s="1"/>
  <c r="X436" i="5" s="1"/>
  <c r="Y436" i="5" s="1"/>
  <c r="Z436" i="5" s="1"/>
  <c r="AD436" i="5" s="1"/>
  <c r="AE436" i="5" s="1"/>
  <c r="AF436" i="5" s="1"/>
  <c r="AG436" i="5" s="1"/>
  <c r="AH436" i="5" s="1"/>
  <c r="AI436" i="5" s="1"/>
  <c r="AJ436" i="5" s="1"/>
  <c r="AK436" i="5" s="1"/>
  <c r="AL436" i="5" s="1"/>
  <c r="AM436" i="5" s="1"/>
  <c r="AN436" i="5" s="1"/>
  <c r="AO436" i="5" s="1"/>
  <c r="AS436" i="5" s="1"/>
  <c r="N428" i="5"/>
  <c r="AR428" i="5"/>
  <c r="AC428" i="5"/>
  <c r="O428" i="5"/>
  <c r="AC412" i="5"/>
  <c r="N412" i="5"/>
  <c r="O412" i="5"/>
  <c r="AR412" i="5"/>
  <c r="AC403" i="5"/>
  <c r="AR403" i="5"/>
  <c r="N403" i="5"/>
  <c r="O403" i="5"/>
  <c r="AC397" i="5"/>
  <c r="O397" i="5"/>
  <c r="AR397" i="5"/>
  <c r="N397" i="5"/>
  <c r="AR385" i="5"/>
  <c r="AC385" i="5"/>
  <c r="N385" i="5"/>
  <c r="O385" i="5"/>
  <c r="AR364" i="5"/>
  <c r="N364" i="5"/>
  <c r="AC364" i="5"/>
  <c r="O364" i="5"/>
  <c r="N356" i="5"/>
  <c r="AC356" i="5"/>
  <c r="AR356" i="5"/>
  <c r="O356" i="5"/>
  <c r="AR345" i="5"/>
  <c r="N345" i="5"/>
  <c r="AC345" i="5"/>
  <c r="O345" i="5"/>
  <c r="P345" i="5" s="1"/>
  <c r="Q345" i="5" s="1"/>
  <c r="R345" i="5" s="1"/>
  <c r="S345" i="5" s="1"/>
  <c r="T345" i="5" s="1"/>
  <c r="U345" i="5" s="1"/>
  <c r="V345" i="5" s="1"/>
  <c r="W345" i="5" s="1"/>
  <c r="X345" i="5" s="1"/>
  <c r="Y345" i="5" s="1"/>
  <c r="Z345" i="5" s="1"/>
  <c r="AD345" i="5" s="1"/>
  <c r="AE345" i="5" s="1"/>
  <c r="AF345" i="5" s="1"/>
  <c r="AG345" i="5" s="1"/>
  <c r="AH345" i="5" s="1"/>
  <c r="AI345" i="5" s="1"/>
  <c r="AJ345" i="5" s="1"/>
  <c r="AK345" i="5" s="1"/>
  <c r="AL345" i="5" s="1"/>
  <c r="AM345" i="5" s="1"/>
  <c r="AN345" i="5" s="1"/>
  <c r="AO345" i="5" s="1"/>
  <c r="AS345" i="5" s="1"/>
  <c r="AT345" i="5" s="1"/>
  <c r="AU345" i="5" s="1"/>
  <c r="AV345" i="5" s="1"/>
  <c r="AW345" i="5" s="1"/>
  <c r="AX345" i="5" s="1"/>
  <c r="AY345" i="5" s="1"/>
  <c r="AZ345" i="5" s="1"/>
  <c r="BA345" i="5" s="1"/>
  <c r="BB345" i="5" s="1"/>
  <c r="BC345" i="5" s="1"/>
  <c r="BD345" i="5" s="1"/>
  <c r="AC296" i="5"/>
  <c r="N296" i="5"/>
  <c r="O296" i="5"/>
  <c r="AR296" i="5"/>
  <c r="O280" i="5"/>
  <c r="AC280" i="5"/>
  <c r="AR280" i="5"/>
  <c r="N280" i="5"/>
  <c r="AC272" i="5"/>
  <c r="AR272" i="5"/>
  <c r="N272" i="5"/>
  <c r="O272" i="5"/>
  <c r="AR264" i="5"/>
  <c r="AC264" i="5"/>
  <c r="N264" i="5"/>
  <c r="O264" i="5"/>
  <c r="AR256" i="5"/>
  <c r="N256" i="5"/>
  <c r="AC256" i="5"/>
  <c r="O256" i="5"/>
  <c r="AC240" i="5"/>
  <c r="AR240" i="5"/>
  <c r="N240" i="5"/>
  <c r="O240" i="5"/>
  <c r="P240" i="5" s="1"/>
  <c r="Q240" i="5" s="1"/>
  <c r="R240" i="5" s="1"/>
  <c r="S240" i="5" s="1"/>
  <c r="T240" i="5" s="1"/>
  <c r="U240" i="5" s="1"/>
  <c r="V240" i="5" s="1"/>
  <c r="W240" i="5" s="1"/>
  <c r="X240" i="5" s="1"/>
  <c r="Y240" i="5" s="1"/>
  <c r="Z240" i="5" s="1"/>
  <c r="AD240" i="5" s="1"/>
  <c r="AE240" i="5" s="1"/>
  <c r="AF240" i="5" s="1"/>
  <c r="AG240" i="5" s="1"/>
  <c r="AH240" i="5" s="1"/>
  <c r="AI240" i="5" s="1"/>
  <c r="AJ240" i="5" s="1"/>
  <c r="AK240" i="5" s="1"/>
  <c r="AL240" i="5" s="1"/>
  <c r="AM240" i="5" s="1"/>
  <c r="AN240" i="5" s="1"/>
  <c r="AO240" i="5" s="1"/>
  <c r="AS240" i="5" s="1"/>
  <c r="AT240" i="5" s="1"/>
  <c r="AU240" i="5" s="1"/>
  <c r="AV240" i="5" s="1"/>
  <c r="AW240" i="5" s="1"/>
  <c r="AX240" i="5" s="1"/>
  <c r="AY240" i="5" s="1"/>
  <c r="AZ240" i="5" s="1"/>
  <c r="BA240" i="5" s="1"/>
  <c r="BB240" i="5" s="1"/>
  <c r="BC240" i="5" s="1"/>
  <c r="BD240" i="5" s="1"/>
  <c r="AC232" i="5"/>
  <c r="AR232" i="5"/>
  <c r="N232" i="5"/>
  <c r="O232" i="5"/>
  <c r="P232" i="5" s="1"/>
  <c r="Q232" i="5" s="1"/>
  <c r="R232" i="5" s="1"/>
  <c r="S232" i="5" s="1"/>
  <c r="T232" i="5" s="1"/>
  <c r="U232" i="5" s="1"/>
  <c r="V232" i="5" s="1"/>
  <c r="W232" i="5" s="1"/>
  <c r="X232" i="5" s="1"/>
  <c r="Y232" i="5" s="1"/>
  <c r="Z232" i="5" s="1"/>
  <c r="AD232" i="5" s="1"/>
  <c r="AE232" i="5" s="1"/>
  <c r="AF232" i="5" s="1"/>
  <c r="AG232" i="5" s="1"/>
  <c r="AH232" i="5" s="1"/>
  <c r="AI232" i="5" s="1"/>
  <c r="AJ232" i="5" s="1"/>
  <c r="AK232" i="5" s="1"/>
  <c r="AL232" i="5" s="1"/>
  <c r="AM232" i="5" s="1"/>
  <c r="AN232" i="5" s="1"/>
  <c r="AO232" i="5" s="1"/>
  <c r="AS232" i="5" s="1"/>
  <c r="AT232" i="5" s="1"/>
  <c r="AU232" i="5" s="1"/>
  <c r="AV232" i="5" s="1"/>
  <c r="AW232" i="5" s="1"/>
  <c r="AX232" i="5" s="1"/>
  <c r="AY232" i="5" s="1"/>
  <c r="AZ232" i="5" s="1"/>
  <c r="BA232" i="5" s="1"/>
  <c r="BB232" i="5" s="1"/>
  <c r="BC232" i="5" s="1"/>
  <c r="BD232" i="5" s="1"/>
  <c r="AR216" i="5"/>
  <c r="N216" i="5"/>
  <c r="AC216" i="5"/>
  <c r="O216" i="5"/>
  <c r="AR208" i="5"/>
  <c r="N208" i="5"/>
  <c r="AC208" i="5"/>
  <c r="O208" i="5"/>
  <c r="AC197" i="5"/>
  <c r="AR197" i="5"/>
  <c r="N197" i="5"/>
  <c r="O197" i="5"/>
  <c r="P197" i="5" s="1"/>
  <c r="Q197" i="5" s="1"/>
  <c r="R197" i="5" s="1"/>
  <c r="S197" i="5" s="1"/>
  <c r="T197" i="5" s="1"/>
  <c r="U197" i="5" s="1"/>
  <c r="V197" i="5" s="1"/>
  <c r="W197" i="5" s="1"/>
  <c r="X197" i="5" s="1"/>
  <c r="Y197" i="5" s="1"/>
  <c r="Z197" i="5" s="1"/>
  <c r="AD197" i="5" s="1"/>
  <c r="AE197" i="5" s="1"/>
  <c r="AF197" i="5" s="1"/>
  <c r="AG197" i="5" s="1"/>
  <c r="AH197" i="5" s="1"/>
  <c r="AI197" i="5" s="1"/>
  <c r="AJ197" i="5" s="1"/>
  <c r="AK197" i="5" s="1"/>
  <c r="AL197" i="5" s="1"/>
  <c r="AM197" i="5" s="1"/>
  <c r="AN197" i="5" s="1"/>
  <c r="AO197" i="5" s="1"/>
  <c r="AS197" i="5" s="1"/>
  <c r="AT197" i="5" s="1"/>
  <c r="AU197" i="5" s="1"/>
  <c r="AV197" i="5" s="1"/>
  <c r="AW197" i="5" s="1"/>
  <c r="AX197" i="5" s="1"/>
  <c r="AY197" i="5" s="1"/>
  <c r="AZ197" i="5" s="1"/>
  <c r="BA197" i="5" s="1"/>
  <c r="BB197" i="5" s="1"/>
  <c r="BC197" i="5" s="1"/>
  <c r="BD197" i="5" s="1"/>
  <c r="AC188" i="5"/>
  <c r="AR188" i="5"/>
  <c r="N188" i="5"/>
  <c r="O188" i="5"/>
  <c r="AR175" i="5"/>
  <c r="N175" i="5"/>
  <c r="AC175" i="5"/>
  <c r="O175" i="5"/>
  <c r="AR168" i="5"/>
  <c r="N168" i="5"/>
  <c r="AC168" i="5"/>
  <c r="O168" i="5"/>
  <c r="P168" i="5" s="1"/>
  <c r="Q168" i="5" s="1"/>
  <c r="R168" i="5" s="1"/>
  <c r="S168" i="5" s="1"/>
  <c r="T168" i="5" s="1"/>
  <c r="U168" i="5" s="1"/>
  <c r="V168" i="5" s="1"/>
  <c r="W168" i="5" s="1"/>
  <c r="X168" i="5" s="1"/>
  <c r="Y168" i="5" s="1"/>
  <c r="Z168" i="5" s="1"/>
  <c r="AD168" i="5" s="1"/>
  <c r="AE168" i="5" s="1"/>
  <c r="AF168" i="5" s="1"/>
  <c r="AG168" i="5" s="1"/>
  <c r="AH168" i="5" s="1"/>
  <c r="AI168" i="5" s="1"/>
  <c r="AJ168" i="5" s="1"/>
  <c r="AK168" i="5" s="1"/>
  <c r="AL168" i="5" s="1"/>
  <c r="AM168" i="5" s="1"/>
  <c r="AN168" i="5" s="1"/>
  <c r="AO168" i="5" s="1"/>
  <c r="AS168" i="5" s="1"/>
  <c r="AT168" i="5" s="1"/>
  <c r="AU168" i="5" s="1"/>
  <c r="AV168" i="5" s="1"/>
  <c r="AW168" i="5" s="1"/>
  <c r="AX168" i="5" s="1"/>
  <c r="AY168" i="5" s="1"/>
  <c r="AZ168" i="5" s="1"/>
  <c r="BA168" i="5" s="1"/>
  <c r="BB168" i="5" s="1"/>
  <c r="BC168" i="5" s="1"/>
  <c r="BD168" i="5" s="1"/>
  <c r="AR159" i="5"/>
  <c r="N159" i="5"/>
  <c r="AC159" i="5"/>
  <c r="O159" i="5"/>
  <c r="N145" i="5"/>
  <c r="O145" i="5"/>
  <c r="P145" i="5" s="1"/>
  <c r="Q145" i="5" s="1"/>
  <c r="R145" i="5" s="1"/>
  <c r="S145" i="5" s="1"/>
  <c r="AR137" i="5"/>
  <c r="AC137" i="5"/>
  <c r="N137" i="5"/>
  <c r="O137" i="5"/>
  <c r="P137" i="5" s="1"/>
  <c r="Q137" i="5" s="1"/>
  <c r="R137" i="5" s="1"/>
  <c r="S137" i="5" s="1"/>
  <c r="T137" i="5" s="1"/>
  <c r="U137" i="5" s="1"/>
  <c r="V137" i="5" s="1"/>
  <c r="W137" i="5" s="1"/>
  <c r="X137" i="5" s="1"/>
  <c r="Y137" i="5" s="1"/>
  <c r="Z137" i="5" s="1"/>
  <c r="AD137" i="5" s="1"/>
  <c r="AE137" i="5" s="1"/>
  <c r="AF137" i="5" s="1"/>
  <c r="AG137" i="5" s="1"/>
  <c r="AH137" i="5" s="1"/>
  <c r="AI137" i="5" s="1"/>
  <c r="AJ137" i="5" s="1"/>
  <c r="AK137" i="5" s="1"/>
  <c r="AL137" i="5" s="1"/>
  <c r="AM137" i="5" s="1"/>
  <c r="AN137" i="5" s="1"/>
  <c r="AO137" i="5" s="1"/>
  <c r="AS137" i="5" s="1"/>
  <c r="AT137" i="5" s="1"/>
  <c r="AU137" i="5" s="1"/>
  <c r="AV137" i="5" s="1"/>
  <c r="AW137" i="5" s="1"/>
  <c r="AX137" i="5" s="1"/>
  <c r="AY137" i="5" s="1"/>
  <c r="AZ137" i="5" s="1"/>
  <c r="BA137" i="5" s="1"/>
  <c r="BB137" i="5" s="1"/>
  <c r="BC137" i="5" s="1"/>
  <c r="BD137" i="5" s="1"/>
  <c r="AR129" i="5"/>
  <c r="AC129" i="5"/>
  <c r="O129" i="5"/>
  <c r="P129" i="5" s="1"/>
  <c r="Q129" i="5" s="1"/>
  <c r="R129" i="5" s="1"/>
  <c r="S129" i="5" s="1"/>
  <c r="T129" i="5" s="1"/>
  <c r="U129" i="5" s="1"/>
  <c r="V129" i="5" s="1"/>
  <c r="W129" i="5" s="1"/>
  <c r="X129" i="5" s="1"/>
  <c r="Y129" i="5" s="1"/>
  <c r="Z129" i="5" s="1"/>
  <c r="AD129" i="5" s="1"/>
  <c r="AE129" i="5" s="1"/>
  <c r="AF129" i="5" s="1"/>
  <c r="AG129" i="5" s="1"/>
  <c r="AH129" i="5" s="1"/>
  <c r="AI129" i="5" s="1"/>
  <c r="AJ129" i="5" s="1"/>
  <c r="AK129" i="5" s="1"/>
  <c r="AL129" i="5" s="1"/>
  <c r="AM129" i="5" s="1"/>
  <c r="AN129" i="5" s="1"/>
  <c r="AO129" i="5" s="1"/>
  <c r="AS129" i="5" s="1"/>
  <c r="AT129" i="5" s="1"/>
  <c r="AU129" i="5" s="1"/>
  <c r="AV129" i="5" s="1"/>
  <c r="AW129" i="5" s="1"/>
  <c r="AX129" i="5" s="1"/>
  <c r="AY129" i="5" s="1"/>
  <c r="AZ129" i="5" s="1"/>
  <c r="BA129" i="5" s="1"/>
  <c r="BB129" i="5" s="1"/>
  <c r="BC129" i="5" s="1"/>
  <c r="BD129" i="5" s="1"/>
  <c r="N129" i="5"/>
  <c r="AR115" i="5"/>
  <c r="N115" i="5"/>
  <c r="AC115" i="5"/>
  <c r="O115" i="5"/>
  <c r="AR109" i="5"/>
  <c r="N109" i="5"/>
  <c r="AC109" i="5"/>
  <c r="O109" i="5"/>
  <c r="AC101" i="5"/>
  <c r="AR101" i="5"/>
  <c r="N101" i="5"/>
  <c r="O101" i="5"/>
  <c r="P101" i="5" s="1"/>
  <c r="Q101" i="5" s="1"/>
  <c r="R101" i="5" s="1"/>
  <c r="S101" i="5" s="1"/>
  <c r="T101" i="5" s="1"/>
  <c r="U101" i="5" s="1"/>
  <c r="V101" i="5" s="1"/>
  <c r="W101" i="5" s="1"/>
  <c r="X101" i="5" s="1"/>
  <c r="Y101" i="5" s="1"/>
  <c r="Z101" i="5" s="1"/>
  <c r="AD101" i="5" s="1"/>
  <c r="AE101" i="5" s="1"/>
  <c r="AF101" i="5" s="1"/>
  <c r="AG101" i="5" s="1"/>
  <c r="AH101" i="5" s="1"/>
  <c r="AI101" i="5" s="1"/>
  <c r="AJ101" i="5" s="1"/>
  <c r="AK101" i="5" s="1"/>
  <c r="AL101" i="5" s="1"/>
  <c r="AM101" i="5" s="1"/>
  <c r="AN101" i="5" s="1"/>
  <c r="AO101" i="5" s="1"/>
  <c r="AS101" i="5" s="1"/>
  <c r="AT101" i="5" s="1"/>
  <c r="AU101" i="5" s="1"/>
  <c r="AV101" i="5" s="1"/>
  <c r="AW101" i="5" s="1"/>
  <c r="AX101" i="5" s="1"/>
  <c r="AY101" i="5" s="1"/>
  <c r="AZ101" i="5" s="1"/>
  <c r="BA101" i="5" s="1"/>
  <c r="BB101" i="5" s="1"/>
  <c r="BC101" i="5" s="1"/>
  <c r="BD101" i="5" s="1"/>
  <c r="AR90" i="5"/>
  <c r="N90" i="5"/>
  <c r="O90" i="5"/>
  <c r="P90" i="5" s="1"/>
  <c r="Q90" i="5" s="1"/>
  <c r="R90" i="5" s="1"/>
  <c r="S90" i="5" s="1"/>
  <c r="T90" i="5" s="1"/>
  <c r="U90" i="5" s="1"/>
  <c r="V90" i="5" s="1"/>
  <c r="W90" i="5" s="1"/>
  <c r="X90" i="5" s="1"/>
  <c r="Y90" i="5" s="1"/>
  <c r="Z90" i="5" s="1"/>
  <c r="AD90" i="5" s="1"/>
  <c r="AE90" i="5" s="1"/>
  <c r="AF90" i="5" s="1"/>
  <c r="AG90" i="5" s="1"/>
  <c r="AH90" i="5" s="1"/>
  <c r="AI90" i="5" s="1"/>
  <c r="AJ90" i="5" s="1"/>
  <c r="AK90" i="5" s="1"/>
  <c r="AL90" i="5" s="1"/>
  <c r="AM90" i="5" s="1"/>
  <c r="AN90" i="5" s="1"/>
  <c r="AO90" i="5" s="1"/>
  <c r="AS90" i="5" s="1"/>
  <c r="AT90" i="5" s="1"/>
  <c r="AU90" i="5" s="1"/>
  <c r="AV90" i="5" s="1"/>
  <c r="AW90" i="5" s="1"/>
  <c r="AX90" i="5" s="1"/>
  <c r="AY90" i="5" s="1"/>
  <c r="AZ90" i="5" s="1"/>
  <c r="BA90" i="5" s="1"/>
  <c r="BB90" i="5" s="1"/>
  <c r="BC90" i="5" s="1"/>
  <c r="BD90" i="5" s="1"/>
  <c r="AC90" i="5"/>
  <c r="AR82" i="5"/>
  <c r="N82" i="5"/>
  <c r="O82" i="5"/>
  <c r="P82" i="5" s="1"/>
  <c r="Q82" i="5" s="1"/>
  <c r="R82" i="5" s="1"/>
  <c r="S82" i="5" s="1"/>
  <c r="T82" i="5" s="1"/>
  <c r="U82" i="5" s="1"/>
  <c r="V82" i="5" s="1"/>
  <c r="W82" i="5" s="1"/>
  <c r="X82" i="5" s="1"/>
  <c r="Y82" i="5" s="1"/>
  <c r="Z82" i="5" s="1"/>
  <c r="AD82" i="5" s="1"/>
  <c r="AE82" i="5" s="1"/>
  <c r="AF82" i="5" s="1"/>
  <c r="AG82" i="5" s="1"/>
  <c r="AH82" i="5" s="1"/>
  <c r="AI82" i="5" s="1"/>
  <c r="AJ82" i="5" s="1"/>
  <c r="AK82" i="5" s="1"/>
  <c r="AL82" i="5" s="1"/>
  <c r="AM82" i="5" s="1"/>
  <c r="AN82" i="5" s="1"/>
  <c r="AO82" i="5" s="1"/>
  <c r="AS82" i="5" s="1"/>
  <c r="AT82" i="5" s="1"/>
  <c r="AU82" i="5" s="1"/>
  <c r="AV82" i="5" s="1"/>
  <c r="AW82" i="5" s="1"/>
  <c r="AX82" i="5" s="1"/>
  <c r="AY82" i="5" s="1"/>
  <c r="AZ82" i="5" s="1"/>
  <c r="BA82" i="5" s="1"/>
  <c r="BB82" i="5" s="1"/>
  <c r="BC82" i="5" s="1"/>
  <c r="BD82" i="5" s="1"/>
  <c r="AC82" i="5"/>
  <c r="AC74" i="5"/>
  <c r="AR74" i="5"/>
  <c r="N74" i="5"/>
  <c r="O74" i="5"/>
  <c r="O62" i="5"/>
  <c r="P62" i="5" s="1"/>
  <c r="Q62" i="5" s="1"/>
  <c r="R62" i="5" s="1"/>
  <c r="S62" i="5" s="1"/>
  <c r="T62" i="5" s="1"/>
  <c r="U62" i="5" s="1"/>
  <c r="V62" i="5" s="1"/>
  <c r="W62" i="5" s="1"/>
  <c r="X62" i="5" s="1"/>
  <c r="Y62" i="5" s="1"/>
  <c r="Z62" i="5" s="1"/>
  <c r="AD62" i="5" s="1"/>
  <c r="AE62" i="5" s="1"/>
  <c r="AF62" i="5" s="1"/>
  <c r="AG62" i="5" s="1"/>
  <c r="AH62" i="5" s="1"/>
  <c r="AI62" i="5" s="1"/>
  <c r="AJ62" i="5" s="1"/>
  <c r="AK62" i="5" s="1"/>
  <c r="AL62" i="5" s="1"/>
  <c r="AM62" i="5" s="1"/>
  <c r="AN62" i="5" s="1"/>
  <c r="AO62" i="5" s="1"/>
  <c r="AS62" i="5" s="1"/>
  <c r="AT62" i="5" s="1"/>
  <c r="AU62" i="5" s="1"/>
  <c r="AV62" i="5" s="1"/>
  <c r="AW62" i="5" s="1"/>
  <c r="AX62" i="5" s="1"/>
  <c r="AY62" i="5" s="1"/>
  <c r="AZ62" i="5" s="1"/>
  <c r="BA62" i="5" s="1"/>
  <c r="BB62" i="5" s="1"/>
  <c r="BC62" i="5" s="1"/>
  <c r="BD62" i="5" s="1"/>
  <c r="AR62" i="5"/>
  <c r="N62" i="5"/>
  <c r="AC62" i="5"/>
  <c r="N584" i="5"/>
  <c r="O584" i="5"/>
  <c r="P584" i="5" s="1"/>
  <c r="Q584" i="5" s="1"/>
  <c r="R584" i="5" s="1"/>
  <c r="S584" i="5" s="1"/>
  <c r="T584" i="5" s="1"/>
  <c r="U584" i="5" s="1"/>
  <c r="V584" i="5" s="1"/>
  <c r="W584" i="5" s="1"/>
  <c r="X584" i="5" s="1"/>
  <c r="Y584" i="5" s="1"/>
  <c r="Z584" i="5" s="1"/>
  <c r="AD584" i="5" s="1"/>
  <c r="AE584" i="5" s="1"/>
  <c r="AF584" i="5" s="1"/>
  <c r="AG584" i="5" s="1"/>
  <c r="AH584" i="5" s="1"/>
  <c r="AI584" i="5" s="1"/>
  <c r="AJ584" i="5" s="1"/>
  <c r="AK584" i="5" s="1"/>
  <c r="AL584" i="5" s="1"/>
  <c r="AM584" i="5" s="1"/>
  <c r="AN584" i="5" s="1"/>
  <c r="AO584" i="5" s="1"/>
  <c r="AS584" i="5" s="1"/>
  <c r="AT584" i="5" s="1"/>
  <c r="AU584" i="5" s="1"/>
  <c r="AV584" i="5" s="1"/>
  <c r="AW584" i="5" s="1"/>
  <c r="AX584" i="5" s="1"/>
  <c r="AY584" i="5" s="1"/>
  <c r="AZ584" i="5" s="1"/>
  <c r="BA584" i="5" s="1"/>
  <c r="BB584" i="5" s="1"/>
  <c r="BC584" i="5" s="1"/>
  <c r="BD584" i="5" s="1"/>
  <c r="N568" i="5"/>
  <c r="AC568" i="5"/>
  <c r="AR568" i="5" s="1"/>
  <c r="O568" i="5"/>
  <c r="P568" i="5" s="1"/>
  <c r="Q568" i="5" s="1"/>
  <c r="R568" i="5" s="1"/>
  <c r="S568" i="5" s="1"/>
  <c r="T568" i="5" s="1"/>
  <c r="U568" i="5" s="1"/>
  <c r="V568" i="5" s="1"/>
  <c r="W568" i="5" s="1"/>
  <c r="X568" i="5" s="1"/>
  <c r="Y568" i="5" s="1"/>
  <c r="Z568" i="5" s="1"/>
  <c r="AD568" i="5" s="1"/>
  <c r="AE568" i="5" s="1"/>
  <c r="AF568" i="5" s="1"/>
  <c r="AG568" i="5" s="1"/>
  <c r="AH568" i="5" s="1"/>
  <c r="AI568" i="5" s="1"/>
  <c r="AJ568" i="5" s="1"/>
  <c r="AK568" i="5" s="1"/>
  <c r="AL568" i="5" s="1"/>
  <c r="AM568" i="5" s="1"/>
  <c r="AN568" i="5" s="1"/>
  <c r="AO568" i="5" s="1"/>
  <c r="AS568" i="5" s="1"/>
  <c r="AT568" i="5" s="1"/>
  <c r="AU568" i="5" s="1"/>
  <c r="AV568" i="5" s="1"/>
  <c r="AW568" i="5" s="1"/>
  <c r="AX568" i="5" s="1"/>
  <c r="AY568" i="5" s="1"/>
  <c r="AZ568" i="5" s="1"/>
  <c r="BA568" i="5" s="1"/>
  <c r="BB568" i="5" s="1"/>
  <c r="BC568" i="5" s="1"/>
  <c r="BD568" i="5" s="1"/>
  <c r="N549" i="5"/>
  <c r="P549" i="5"/>
  <c r="Q549" i="5" s="1"/>
  <c r="R549" i="5" s="1"/>
  <c r="S549" i="5" s="1"/>
  <c r="T549" i="5" s="1"/>
  <c r="U549" i="5" s="1"/>
  <c r="V549" i="5" s="1"/>
  <c r="W549" i="5" s="1"/>
  <c r="X549" i="5" s="1"/>
  <c r="Y549" i="5" s="1"/>
  <c r="Z549" i="5" s="1"/>
  <c r="N533" i="5"/>
  <c r="AC533" i="5"/>
  <c r="AR533" i="5" s="1"/>
  <c r="O533" i="5"/>
  <c r="P533" i="5" s="1"/>
  <c r="Q533" i="5" s="1"/>
  <c r="R533" i="5" s="1"/>
  <c r="S533" i="5" s="1"/>
  <c r="T533" i="5" s="1"/>
  <c r="U533" i="5" s="1"/>
  <c r="V533" i="5" s="1"/>
  <c r="W533" i="5" s="1"/>
  <c r="X533" i="5" s="1"/>
  <c r="Y533" i="5" s="1"/>
  <c r="Z533" i="5" s="1"/>
  <c r="AD533" i="5" s="1"/>
  <c r="AE533" i="5" s="1"/>
  <c r="AF533" i="5" s="1"/>
  <c r="AG533" i="5" s="1"/>
  <c r="AH533" i="5" s="1"/>
  <c r="AI533" i="5" s="1"/>
  <c r="AJ533" i="5" s="1"/>
  <c r="AK533" i="5" s="1"/>
  <c r="AL533" i="5" s="1"/>
  <c r="AM533" i="5" s="1"/>
  <c r="AN533" i="5" s="1"/>
  <c r="AO533" i="5" s="1"/>
  <c r="AS533" i="5" s="1"/>
  <c r="AT533" i="5" s="1"/>
  <c r="AU533" i="5" s="1"/>
  <c r="AV533" i="5" s="1"/>
  <c r="AW533" i="5" s="1"/>
  <c r="AX533" i="5" s="1"/>
  <c r="AY533" i="5" s="1"/>
  <c r="AZ533" i="5" s="1"/>
  <c r="BA533" i="5" s="1"/>
  <c r="BB533" i="5" s="1"/>
  <c r="BC533" i="5" s="1"/>
  <c r="BD533" i="5" s="1"/>
  <c r="AC525" i="5"/>
  <c r="AR525" i="5" s="1"/>
  <c r="O525" i="5"/>
  <c r="P525" i="5" s="1"/>
  <c r="Q525" i="5" s="1"/>
  <c r="R525" i="5" s="1"/>
  <c r="S525" i="5" s="1"/>
  <c r="T525" i="5" s="1"/>
  <c r="U525" i="5" s="1"/>
  <c r="V525" i="5" s="1"/>
  <c r="W525" i="5" s="1"/>
  <c r="X525" i="5" s="1"/>
  <c r="Y525" i="5" s="1"/>
  <c r="Z525" i="5" s="1"/>
  <c r="AD525" i="5" s="1"/>
  <c r="AE525" i="5" s="1"/>
  <c r="AF525" i="5" s="1"/>
  <c r="AG525" i="5" s="1"/>
  <c r="AH525" i="5" s="1"/>
  <c r="AI525" i="5" s="1"/>
  <c r="AJ525" i="5" s="1"/>
  <c r="AK525" i="5" s="1"/>
  <c r="AL525" i="5" s="1"/>
  <c r="AM525" i="5" s="1"/>
  <c r="AN525" i="5" s="1"/>
  <c r="AO525" i="5" s="1"/>
  <c r="AS525" i="5" s="1"/>
  <c r="AT525" i="5" s="1"/>
  <c r="AU525" i="5" s="1"/>
  <c r="AV525" i="5" s="1"/>
  <c r="AW525" i="5" s="1"/>
  <c r="AX525" i="5" s="1"/>
  <c r="AY525" i="5" s="1"/>
  <c r="AZ525" i="5" s="1"/>
  <c r="BA525" i="5" s="1"/>
  <c r="BB525" i="5" s="1"/>
  <c r="BC525" i="5" s="1"/>
  <c r="BD525" i="5" s="1"/>
  <c r="N525" i="5"/>
  <c r="AC515" i="5"/>
  <c r="N515" i="5"/>
  <c r="O515" i="5"/>
  <c r="N497" i="5"/>
  <c r="O497" i="5"/>
  <c r="P497" i="5" s="1"/>
  <c r="Q497" i="5" s="1"/>
  <c r="R497" i="5" s="1"/>
  <c r="S497" i="5" s="1"/>
  <c r="T497" i="5" s="1"/>
  <c r="U497" i="5" s="1"/>
  <c r="V497" i="5" s="1"/>
  <c r="W497" i="5" s="1"/>
  <c r="X497" i="5" s="1"/>
  <c r="Y497" i="5" s="1"/>
  <c r="Z497" i="5" s="1"/>
  <c r="AD497" i="5" s="1"/>
  <c r="N489" i="5"/>
  <c r="AR489" i="5"/>
  <c r="AC489" i="5"/>
  <c r="O489" i="5"/>
  <c r="P489" i="5" s="1"/>
  <c r="Q489" i="5" s="1"/>
  <c r="R489" i="5" s="1"/>
  <c r="S489" i="5" s="1"/>
  <c r="T489" i="5" s="1"/>
  <c r="U489" i="5" s="1"/>
  <c r="V489" i="5" s="1"/>
  <c r="W489" i="5" s="1"/>
  <c r="X489" i="5" s="1"/>
  <c r="Y489" i="5" s="1"/>
  <c r="Z489" i="5" s="1"/>
  <c r="AD489" i="5" s="1"/>
  <c r="AE489" i="5" s="1"/>
  <c r="AF489" i="5" s="1"/>
  <c r="AG489" i="5" s="1"/>
  <c r="AH489" i="5" s="1"/>
  <c r="AI489" i="5" s="1"/>
  <c r="AJ489" i="5" s="1"/>
  <c r="AK489" i="5" s="1"/>
  <c r="AL489" i="5" s="1"/>
  <c r="AM489" i="5" s="1"/>
  <c r="AN489" i="5" s="1"/>
  <c r="AO489" i="5" s="1"/>
  <c r="AS489" i="5" s="1"/>
  <c r="AT489" i="5" s="1"/>
  <c r="AU489" i="5" s="1"/>
  <c r="AV489" i="5" s="1"/>
  <c r="AW489" i="5" s="1"/>
  <c r="AX489" i="5" s="1"/>
  <c r="AY489" i="5" s="1"/>
  <c r="AZ489" i="5" s="1"/>
  <c r="BA489" i="5" s="1"/>
  <c r="BB489" i="5" s="1"/>
  <c r="BC489" i="5" s="1"/>
  <c r="BD489" i="5" s="1"/>
  <c r="N481" i="5"/>
  <c r="AC481" i="5"/>
  <c r="O481" i="5"/>
  <c r="P481" i="5" s="1"/>
  <c r="Q481" i="5" s="1"/>
  <c r="R481" i="5" s="1"/>
  <c r="S481" i="5" s="1"/>
  <c r="T481" i="5" s="1"/>
  <c r="U481" i="5" s="1"/>
  <c r="V481" i="5" s="1"/>
  <c r="W481" i="5" s="1"/>
  <c r="X481" i="5" s="1"/>
  <c r="Y481" i="5" s="1"/>
  <c r="Z481" i="5" s="1"/>
  <c r="AD481" i="5" s="1"/>
  <c r="AE481" i="5" s="1"/>
  <c r="AF481" i="5" s="1"/>
  <c r="AG481" i="5" s="1"/>
  <c r="AH481" i="5" s="1"/>
  <c r="AI481" i="5" s="1"/>
  <c r="AJ481" i="5" s="1"/>
  <c r="AK481" i="5" s="1"/>
  <c r="AL481" i="5" s="1"/>
  <c r="AM481" i="5" s="1"/>
  <c r="AN481" i="5" s="1"/>
  <c r="AO481" i="5" s="1"/>
  <c r="AS481" i="5" s="1"/>
  <c r="AT481" i="5" s="1"/>
  <c r="AU481" i="5" s="1"/>
  <c r="AV481" i="5" s="1"/>
  <c r="AW481" i="5" s="1"/>
  <c r="AX481" i="5" s="1"/>
  <c r="AY481" i="5" s="1"/>
  <c r="AZ481" i="5" s="1"/>
  <c r="BA481" i="5" s="1"/>
  <c r="BB481" i="5" s="1"/>
  <c r="BC481" i="5" s="1"/>
  <c r="BD481" i="5" s="1"/>
  <c r="AR481" i="5"/>
  <c r="AC473" i="5"/>
  <c r="AR473" i="5"/>
  <c r="N473" i="5"/>
  <c r="O473" i="5"/>
  <c r="AC457" i="5"/>
  <c r="N457" i="5"/>
  <c r="O457" i="5"/>
  <c r="P457" i="5" s="1"/>
  <c r="Q457" i="5" s="1"/>
  <c r="R457" i="5" s="1"/>
  <c r="S457" i="5" s="1"/>
  <c r="T457" i="5" s="1"/>
  <c r="U457" i="5" s="1"/>
  <c r="V457" i="5" s="1"/>
  <c r="W457" i="5" s="1"/>
  <c r="X457" i="5" s="1"/>
  <c r="Y457" i="5" s="1"/>
  <c r="Z457" i="5" s="1"/>
  <c r="AD457" i="5" s="1"/>
  <c r="AE457" i="5" s="1"/>
  <c r="AF457" i="5" s="1"/>
  <c r="AG457" i="5" s="1"/>
  <c r="AH457" i="5" s="1"/>
  <c r="AI457" i="5" s="1"/>
  <c r="AJ457" i="5" s="1"/>
  <c r="AK457" i="5" s="1"/>
  <c r="AL457" i="5" s="1"/>
  <c r="AM457" i="5" s="1"/>
  <c r="AN457" i="5" s="1"/>
  <c r="AO457" i="5" s="1"/>
  <c r="AS457" i="5" s="1"/>
  <c r="AT457" i="5" s="1"/>
  <c r="AU457" i="5" s="1"/>
  <c r="AV457" i="5" s="1"/>
  <c r="AW457" i="5" s="1"/>
  <c r="AX457" i="5" s="1"/>
  <c r="AY457" i="5" s="1"/>
  <c r="AZ457" i="5" s="1"/>
  <c r="BA457" i="5" s="1"/>
  <c r="BB457" i="5" s="1"/>
  <c r="BC457" i="5" s="1"/>
  <c r="BD457" i="5" s="1"/>
  <c r="AR457" i="5"/>
  <c r="N449" i="5"/>
  <c r="O449" i="5"/>
  <c r="P449" i="5" s="1"/>
  <c r="Q449" i="5" s="1"/>
  <c r="R449" i="5" s="1"/>
  <c r="S449" i="5" s="1"/>
  <c r="T449" i="5" s="1"/>
  <c r="U449" i="5" s="1"/>
  <c r="V449" i="5" s="1"/>
  <c r="W449" i="5" s="1"/>
  <c r="X449" i="5" s="1"/>
  <c r="Y449" i="5" s="1"/>
  <c r="Z449" i="5" s="1"/>
  <c r="AD449" i="5" s="1"/>
  <c r="N441" i="5"/>
  <c r="O441" i="5"/>
  <c r="P441" i="5" s="1"/>
  <c r="Q441" i="5" s="1"/>
  <c r="R441" i="5" s="1"/>
  <c r="S441" i="5" s="1"/>
  <c r="T441" i="5" s="1"/>
  <c r="U441" i="5" s="1"/>
  <c r="V441" i="5" s="1"/>
  <c r="W441" i="5" s="1"/>
  <c r="X441" i="5" s="1"/>
  <c r="Y441" i="5" s="1"/>
  <c r="Z441" i="5" s="1"/>
  <c r="AD441" i="5" s="1"/>
  <c r="AC433" i="5"/>
  <c r="AR433" i="5"/>
  <c r="N433" i="5"/>
  <c r="O433" i="5"/>
  <c r="P433" i="5" s="1"/>
  <c r="Q433" i="5" s="1"/>
  <c r="R433" i="5" s="1"/>
  <c r="S433" i="5" s="1"/>
  <c r="T433" i="5" s="1"/>
  <c r="U433" i="5" s="1"/>
  <c r="V433" i="5" s="1"/>
  <c r="W433" i="5" s="1"/>
  <c r="X433" i="5" s="1"/>
  <c r="Y433" i="5" s="1"/>
  <c r="Z433" i="5" s="1"/>
  <c r="AD433" i="5" s="1"/>
  <c r="AE433" i="5" s="1"/>
  <c r="AF433" i="5" s="1"/>
  <c r="AG433" i="5" s="1"/>
  <c r="AH433" i="5" s="1"/>
  <c r="AI433" i="5" s="1"/>
  <c r="AJ433" i="5" s="1"/>
  <c r="AK433" i="5" s="1"/>
  <c r="AL433" i="5" s="1"/>
  <c r="AM433" i="5" s="1"/>
  <c r="AN433" i="5" s="1"/>
  <c r="AO433" i="5" s="1"/>
  <c r="AS433" i="5" s="1"/>
  <c r="AT433" i="5" s="1"/>
  <c r="AU433" i="5" s="1"/>
  <c r="AV433" i="5" s="1"/>
  <c r="AW433" i="5" s="1"/>
  <c r="AX433" i="5" s="1"/>
  <c r="AY433" i="5" s="1"/>
  <c r="AZ433" i="5" s="1"/>
  <c r="BA433" i="5" s="1"/>
  <c r="BB433" i="5" s="1"/>
  <c r="BC433" i="5" s="1"/>
  <c r="BD433" i="5" s="1"/>
  <c r="AC422" i="5"/>
  <c r="N422" i="5"/>
  <c r="O422" i="5"/>
  <c r="AR422" i="5"/>
  <c r="N413" i="5"/>
  <c r="AC413" i="5"/>
  <c r="O413" i="5"/>
  <c r="N401" i="5"/>
  <c r="O401" i="5"/>
  <c r="AR361" i="5"/>
  <c r="AC361" i="5"/>
  <c r="N361" i="5"/>
  <c r="O361" i="5"/>
  <c r="P361" i="5" s="1"/>
  <c r="Q361" i="5" s="1"/>
  <c r="R361" i="5" s="1"/>
  <c r="S361" i="5" s="1"/>
  <c r="T361" i="5" s="1"/>
  <c r="U361" i="5" s="1"/>
  <c r="V361" i="5" s="1"/>
  <c r="W361" i="5" s="1"/>
  <c r="X361" i="5" s="1"/>
  <c r="Y361" i="5" s="1"/>
  <c r="Z361" i="5" s="1"/>
  <c r="AD361" i="5" s="1"/>
  <c r="AE361" i="5" s="1"/>
  <c r="AF361" i="5" s="1"/>
  <c r="AG361" i="5" s="1"/>
  <c r="AH361" i="5" s="1"/>
  <c r="AI361" i="5" s="1"/>
  <c r="AJ361" i="5" s="1"/>
  <c r="AK361" i="5" s="1"/>
  <c r="AL361" i="5" s="1"/>
  <c r="AM361" i="5" s="1"/>
  <c r="AN361" i="5" s="1"/>
  <c r="AO361" i="5" s="1"/>
  <c r="AS361" i="5" s="1"/>
  <c r="AT361" i="5" s="1"/>
  <c r="AU361" i="5" s="1"/>
  <c r="AV361" i="5" s="1"/>
  <c r="AW361" i="5" s="1"/>
  <c r="AX361" i="5" s="1"/>
  <c r="AY361" i="5" s="1"/>
  <c r="AZ361" i="5" s="1"/>
  <c r="BA361" i="5" s="1"/>
  <c r="BB361" i="5" s="1"/>
  <c r="BC361" i="5" s="1"/>
  <c r="BD361" i="5" s="1"/>
  <c r="AC353" i="5"/>
  <c r="AR353" i="5"/>
  <c r="N353" i="5"/>
  <c r="O353" i="5"/>
  <c r="N346" i="5"/>
  <c r="O346" i="5"/>
  <c r="P346" i="5" s="1"/>
  <c r="Q346" i="5" s="1"/>
  <c r="R346" i="5" s="1"/>
  <c r="S346" i="5" s="1"/>
  <c r="T346" i="5" s="1"/>
  <c r="U346" i="5" s="1"/>
  <c r="V346" i="5" s="1"/>
  <c r="W346" i="5" s="1"/>
  <c r="X346" i="5" s="1"/>
  <c r="Y346" i="5" s="1"/>
  <c r="Z346" i="5" s="1"/>
  <c r="AD346" i="5" s="1"/>
  <c r="AC317" i="5"/>
  <c r="N317" i="5"/>
  <c r="AR317" i="5"/>
  <c r="O317" i="5"/>
  <c r="P317" i="5" s="1"/>
  <c r="Q317" i="5" s="1"/>
  <c r="R317" i="5" s="1"/>
  <c r="S317" i="5" s="1"/>
  <c r="T317" i="5" s="1"/>
  <c r="U317" i="5" s="1"/>
  <c r="V317" i="5" s="1"/>
  <c r="W317" i="5" s="1"/>
  <c r="X317" i="5" s="1"/>
  <c r="Y317" i="5" s="1"/>
  <c r="Z317" i="5" s="1"/>
  <c r="AD317" i="5" s="1"/>
  <c r="AE317" i="5" s="1"/>
  <c r="AF317" i="5" s="1"/>
  <c r="AG317" i="5" s="1"/>
  <c r="AH317" i="5" s="1"/>
  <c r="AI317" i="5" s="1"/>
  <c r="AJ317" i="5" s="1"/>
  <c r="AK317" i="5" s="1"/>
  <c r="AL317" i="5" s="1"/>
  <c r="AM317" i="5" s="1"/>
  <c r="AN317" i="5" s="1"/>
  <c r="AO317" i="5" s="1"/>
  <c r="AS317" i="5" s="1"/>
  <c r="AT317" i="5" s="1"/>
  <c r="AU317" i="5" s="1"/>
  <c r="AV317" i="5" s="1"/>
  <c r="AW317" i="5" s="1"/>
  <c r="AX317" i="5" s="1"/>
  <c r="AY317" i="5" s="1"/>
  <c r="AZ317" i="5" s="1"/>
  <c r="BA317" i="5" s="1"/>
  <c r="BB317" i="5" s="1"/>
  <c r="BC317" i="5" s="1"/>
  <c r="BD317" i="5" s="1"/>
  <c r="AC281" i="5"/>
  <c r="AR281" i="5"/>
  <c r="O281" i="5"/>
  <c r="N281" i="5"/>
  <c r="AR273" i="5"/>
  <c r="N273" i="5"/>
  <c r="O273" i="5"/>
  <c r="AC273" i="5"/>
  <c r="AC265" i="5"/>
  <c r="AR265" i="5"/>
  <c r="N265" i="5"/>
  <c r="O265" i="5"/>
  <c r="AC257" i="5"/>
  <c r="N257" i="5"/>
  <c r="AR257" i="5"/>
  <c r="O257" i="5"/>
  <c r="AC249" i="5"/>
  <c r="N249" i="5"/>
  <c r="O249" i="5"/>
  <c r="P249" i="5" s="1"/>
  <c r="Q249" i="5" s="1"/>
  <c r="R249" i="5" s="1"/>
  <c r="S249" i="5" s="1"/>
  <c r="T249" i="5" s="1"/>
  <c r="U249" i="5" s="1"/>
  <c r="V249" i="5" s="1"/>
  <c r="W249" i="5" s="1"/>
  <c r="X249" i="5" s="1"/>
  <c r="Y249" i="5" s="1"/>
  <c r="Z249" i="5" s="1"/>
  <c r="AD249" i="5" s="1"/>
  <c r="AE249" i="5" s="1"/>
  <c r="AF249" i="5" s="1"/>
  <c r="AG249" i="5" s="1"/>
  <c r="AH249" i="5" s="1"/>
  <c r="AI249" i="5" s="1"/>
  <c r="AJ249" i="5" s="1"/>
  <c r="AK249" i="5" s="1"/>
  <c r="AL249" i="5" s="1"/>
  <c r="AM249" i="5" s="1"/>
  <c r="AN249" i="5" s="1"/>
  <c r="AO249" i="5" s="1"/>
  <c r="N241" i="5"/>
  <c r="AR241" i="5"/>
  <c r="AC241" i="5"/>
  <c r="O241" i="5"/>
  <c r="P241" i="5" s="1"/>
  <c r="Q241" i="5" s="1"/>
  <c r="R241" i="5" s="1"/>
  <c r="S241" i="5" s="1"/>
  <c r="T241" i="5" s="1"/>
  <c r="U241" i="5" s="1"/>
  <c r="V241" i="5" s="1"/>
  <c r="W241" i="5" s="1"/>
  <c r="X241" i="5" s="1"/>
  <c r="Y241" i="5" s="1"/>
  <c r="Z241" i="5" s="1"/>
  <c r="AD241" i="5" s="1"/>
  <c r="AE241" i="5" s="1"/>
  <c r="AF241" i="5" s="1"/>
  <c r="AG241" i="5" s="1"/>
  <c r="AH241" i="5" s="1"/>
  <c r="AI241" i="5" s="1"/>
  <c r="AJ241" i="5" s="1"/>
  <c r="AK241" i="5" s="1"/>
  <c r="AL241" i="5" s="1"/>
  <c r="AM241" i="5" s="1"/>
  <c r="AN241" i="5" s="1"/>
  <c r="AO241" i="5" s="1"/>
  <c r="AS241" i="5" s="1"/>
  <c r="AT241" i="5" s="1"/>
  <c r="AU241" i="5" s="1"/>
  <c r="AV241" i="5" s="1"/>
  <c r="AW241" i="5" s="1"/>
  <c r="AX241" i="5" s="1"/>
  <c r="AY241" i="5" s="1"/>
  <c r="AZ241" i="5" s="1"/>
  <c r="BA241" i="5" s="1"/>
  <c r="BB241" i="5" s="1"/>
  <c r="BC241" i="5" s="1"/>
  <c r="BD241" i="5" s="1"/>
  <c r="N233" i="5"/>
  <c r="AR233" i="5"/>
  <c r="AC233" i="5"/>
  <c r="O233" i="5"/>
  <c r="P233" i="5" s="1"/>
  <c r="Q233" i="5" s="1"/>
  <c r="R233" i="5" s="1"/>
  <c r="S233" i="5" s="1"/>
  <c r="T233" i="5" s="1"/>
  <c r="U233" i="5" s="1"/>
  <c r="V233" i="5" s="1"/>
  <c r="W233" i="5" s="1"/>
  <c r="X233" i="5" s="1"/>
  <c r="Y233" i="5" s="1"/>
  <c r="Z233" i="5" s="1"/>
  <c r="AD233" i="5" s="1"/>
  <c r="AE233" i="5" s="1"/>
  <c r="AF233" i="5" s="1"/>
  <c r="AG233" i="5" s="1"/>
  <c r="AH233" i="5" s="1"/>
  <c r="AI233" i="5" s="1"/>
  <c r="AJ233" i="5" s="1"/>
  <c r="AK233" i="5" s="1"/>
  <c r="AL233" i="5" s="1"/>
  <c r="AM233" i="5" s="1"/>
  <c r="AN233" i="5" s="1"/>
  <c r="AO233" i="5" s="1"/>
  <c r="AS233" i="5" s="1"/>
  <c r="AT233" i="5" s="1"/>
  <c r="AU233" i="5" s="1"/>
  <c r="AV233" i="5" s="1"/>
  <c r="AW233" i="5" s="1"/>
  <c r="AX233" i="5" s="1"/>
  <c r="AY233" i="5" s="1"/>
  <c r="AZ233" i="5" s="1"/>
  <c r="BA233" i="5" s="1"/>
  <c r="BB233" i="5" s="1"/>
  <c r="BC233" i="5" s="1"/>
  <c r="BD233" i="5" s="1"/>
  <c r="AR225" i="5"/>
  <c r="N225" i="5"/>
  <c r="AC225" i="5"/>
  <c r="O225" i="5"/>
  <c r="P225" i="5" s="1"/>
  <c r="Q225" i="5" s="1"/>
  <c r="R225" i="5" s="1"/>
  <c r="S225" i="5" s="1"/>
  <c r="T225" i="5" s="1"/>
  <c r="U225" i="5" s="1"/>
  <c r="V225" i="5" s="1"/>
  <c r="W225" i="5" s="1"/>
  <c r="X225" i="5" s="1"/>
  <c r="Y225" i="5" s="1"/>
  <c r="Z225" i="5" s="1"/>
  <c r="AD225" i="5" s="1"/>
  <c r="AE225" i="5" s="1"/>
  <c r="AF225" i="5" s="1"/>
  <c r="AG225" i="5" s="1"/>
  <c r="AH225" i="5" s="1"/>
  <c r="AI225" i="5" s="1"/>
  <c r="AJ225" i="5" s="1"/>
  <c r="AK225" i="5" s="1"/>
  <c r="AL225" i="5" s="1"/>
  <c r="AM225" i="5" s="1"/>
  <c r="AN225" i="5" s="1"/>
  <c r="AO225" i="5" s="1"/>
  <c r="AS225" i="5" s="1"/>
  <c r="AT225" i="5" s="1"/>
  <c r="AU225" i="5" s="1"/>
  <c r="AV225" i="5" s="1"/>
  <c r="AW225" i="5" s="1"/>
  <c r="AX225" i="5" s="1"/>
  <c r="AY225" i="5" s="1"/>
  <c r="AZ225" i="5" s="1"/>
  <c r="BA225" i="5" s="1"/>
  <c r="BB225" i="5" s="1"/>
  <c r="BC225" i="5" s="1"/>
  <c r="BD225" i="5" s="1"/>
  <c r="AC217" i="5"/>
  <c r="AR217" i="5"/>
  <c r="N217" i="5"/>
  <c r="O217" i="5"/>
  <c r="AC209" i="5"/>
  <c r="AR209" i="5"/>
  <c r="N209" i="5"/>
  <c r="O209" i="5"/>
  <c r="AC201" i="5"/>
  <c r="AR201" i="5"/>
  <c r="N201" i="5"/>
  <c r="O201" i="5"/>
  <c r="N189" i="5"/>
  <c r="AC189" i="5"/>
  <c r="AR189" i="5"/>
  <c r="O189" i="5"/>
  <c r="N181" i="5"/>
  <c r="AC181" i="5"/>
  <c r="AR181" i="5"/>
  <c r="O181" i="5"/>
  <c r="AC163" i="5"/>
  <c r="AR163" i="5"/>
  <c r="N163" i="5"/>
  <c r="O163" i="5"/>
  <c r="P163" i="5" s="1"/>
  <c r="Q163" i="5" s="1"/>
  <c r="R163" i="5" s="1"/>
  <c r="S163" i="5" s="1"/>
  <c r="T163" i="5" s="1"/>
  <c r="U163" i="5" s="1"/>
  <c r="V163" i="5" s="1"/>
  <c r="W163" i="5" s="1"/>
  <c r="X163" i="5" s="1"/>
  <c r="Y163" i="5" s="1"/>
  <c r="Z163" i="5" s="1"/>
  <c r="AD163" i="5" s="1"/>
  <c r="AE163" i="5" s="1"/>
  <c r="AF163" i="5" s="1"/>
  <c r="AG163" i="5" s="1"/>
  <c r="AH163" i="5" s="1"/>
  <c r="AI163" i="5" s="1"/>
  <c r="AJ163" i="5" s="1"/>
  <c r="AK163" i="5" s="1"/>
  <c r="AL163" i="5" s="1"/>
  <c r="AM163" i="5" s="1"/>
  <c r="AN163" i="5" s="1"/>
  <c r="AO163" i="5" s="1"/>
  <c r="AS163" i="5" s="1"/>
  <c r="AT163" i="5" s="1"/>
  <c r="AU163" i="5" s="1"/>
  <c r="AV163" i="5" s="1"/>
  <c r="AW163" i="5" s="1"/>
  <c r="AX163" i="5" s="1"/>
  <c r="AY163" i="5" s="1"/>
  <c r="AZ163" i="5" s="1"/>
  <c r="BA163" i="5" s="1"/>
  <c r="BB163" i="5" s="1"/>
  <c r="BC163" i="5" s="1"/>
  <c r="BD163" i="5" s="1"/>
  <c r="M155" i="5"/>
  <c r="AC156" i="5"/>
  <c r="AR156" i="5"/>
  <c r="O156" i="5"/>
  <c r="N156" i="5"/>
  <c r="O149" i="5"/>
  <c r="P149" i="5" s="1"/>
  <c r="Q149" i="5" s="1"/>
  <c r="R149" i="5" s="1"/>
  <c r="S149" i="5" s="1"/>
  <c r="T149" i="5" s="1"/>
  <c r="U149" i="5" s="1"/>
  <c r="V149" i="5" s="1"/>
  <c r="W149" i="5" s="1"/>
  <c r="X149" i="5" s="1"/>
  <c r="Y149" i="5" s="1"/>
  <c r="Z149" i="5" s="1"/>
  <c r="AD149" i="5" s="1"/>
  <c r="AE149" i="5" s="1"/>
  <c r="AF149" i="5" s="1"/>
  <c r="AG149" i="5" s="1"/>
  <c r="AH149" i="5" s="1"/>
  <c r="AI149" i="5" s="1"/>
  <c r="AJ149" i="5" s="1"/>
  <c r="AK149" i="5" s="1"/>
  <c r="AL149" i="5" s="1"/>
  <c r="AM149" i="5" s="1"/>
  <c r="AN149" i="5" s="1"/>
  <c r="AO149" i="5" s="1"/>
  <c r="AS149" i="5" s="1"/>
  <c r="AT149" i="5" s="1"/>
  <c r="AU149" i="5" s="1"/>
  <c r="AV149" i="5" s="1"/>
  <c r="AW149" i="5" s="1"/>
  <c r="AX149" i="5" s="1"/>
  <c r="AY149" i="5" s="1"/>
  <c r="AZ149" i="5" s="1"/>
  <c r="BA149" i="5" s="1"/>
  <c r="BB149" i="5" s="1"/>
  <c r="BC149" i="5" s="1"/>
  <c r="BD149" i="5" s="1"/>
  <c r="AR149" i="5"/>
  <c r="N149" i="5"/>
  <c r="AC149" i="5"/>
  <c r="AR142" i="5"/>
  <c r="N142" i="5"/>
  <c r="AC142" i="5"/>
  <c r="O142" i="5"/>
  <c r="P142" i="5" s="1"/>
  <c r="Q142" i="5" s="1"/>
  <c r="R142" i="5" s="1"/>
  <c r="S142" i="5" s="1"/>
  <c r="T142" i="5" s="1"/>
  <c r="U142" i="5" s="1"/>
  <c r="V142" i="5" s="1"/>
  <c r="W142" i="5" s="1"/>
  <c r="X142" i="5" s="1"/>
  <c r="Y142" i="5" s="1"/>
  <c r="Z142" i="5" s="1"/>
  <c r="AD142" i="5" s="1"/>
  <c r="AE142" i="5" s="1"/>
  <c r="AF142" i="5" s="1"/>
  <c r="AG142" i="5" s="1"/>
  <c r="AH142" i="5" s="1"/>
  <c r="AI142" i="5" s="1"/>
  <c r="AJ142" i="5" s="1"/>
  <c r="AK142" i="5" s="1"/>
  <c r="AL142" i="5" s="1"/>
  <c r="AM142" i="5" s="1"/>
  <c r="AN142" i="5" s="1"/>
  <c r="AO142" i="5" s="1"/>
  <c r="AS142" i="5" s="1"/>
  <c r="AT142" i="5" s="1"/>
  <c r="AU142" i="5" s="1"/>
  <c r="AV142" i="5" s="1"/>
  <c r="AW142" i="5" s="1"/>
  <c r="AX142" i="5" s="1"/>
  <c r="AY142" i="5" s="1"/>
  <c r="AZ142" i="5" s="1"/>
  <c r="BA142" i="5" s="1"/>
  <c r="BB142" i="5" s="1"/>
  <c r="BC142" i="5" s="1"/>
  <c r="BD142" i="5" s="1"/>
  <c r="N134" i="5"/>
  <c r="AR134" i="5"/>
  <c r="O134" i="5"/>
  <c r="P134" i="5" s="1"/>
  <c r="Q134" i="5" s="1"/>
  <c r="R134" i="5" s="1"/>
  <c r="S134" i="5" s="1"/>
  <c r="T134" i="5" s="1"/>
  <c r="U134" i="5" s="1"/>
  <c r="V134" i="5" s="1"/>
  <c r="W134" i="5" s="1"/>
  <c r="X134" i="5" s="1"/>
  <c r="Y134" i="5" s="1"/>
  <c r="Z134" i="5" s="1"/>
  <c r="AD134" i="5" s="1"/>
  <c r="AE134" i="5" s="1"/>
  <c r="AF134" i="5" s="1"/>
  <c r="AG134" i="5" s="1"/>
  <c r="AH134" i="5" s="1"/>
  <c r="AI134" i="5" s="1"/>
  <c r="AJ134" i="5" s="1"/>
  <c r="AK134" i="5" s="1"/>
  <c r="AL134" i="5" s="1"/>
  <c r="AM134" i="5" s="1"/>
  <c r="AN134" i="5" s="1"/>
  <c r="AO134" i="5" s="1"/>
  <c r="AS134" i="5" s="1"/>
  <c r="AT134" i="5" s="1"/>
  <c r="AU134" i="5" s="1"/>
  <c r="AV134" i="5" s="1"/>
  <c r="AW134" i="5" s="1"/>
  <c r="AX134" i="5" s="1"/>
  <c r="AY134" i="5" s="1"/>
  <c r="AZ134" i="5" s="1"/>
  <c r="BA134" i="5" s="1"/>
  <c r="BB134" i="5" s="1"/>
  <c r="BC134" i="5" s="1"/>
  <c r="BD134" i="5" s="1"/>
  <c r="AC134" i="5"/>
  <c r="AR126" i="5"/>
  <c r="AC126" i="5"/>
  <c r="O126" i="5"/>
  <c r="P126" i="5" s="1"/>
  <c r="Q126" i="5" s="1"/>
  <c r="R126" i="5" s="1"/>
  <c r="S126" i="5" s="1"/>
  <c r="T126" i="5" s="1"/>
  <c r="U126" i="5" s="1"/>
  <c r="V126" i="5" s="1"/>
  <c r="W126" i="5" s="1"/>
  <c r="X126" i="5" s="1"/>
  <c r="Y126" i="5" s="1"/>
  <c r="Z126" i="5" s="1"/>
  <c r="AD126" i="5" s="1"/>
  <c r="AE126" i="5" s="1"/>
  <c r="AF126" i="5" s="1"/>
  <c r="AG126" i="5" s="1"/>
  <c r="AH126" i="5" s="1"/>
  <c r="AI126" i="5" s="1"/>
  <c r="AJ126" i="5" s="1"/>
  <c r="AK126" i="5" s="1"/>
  <c r="AL126" i="5" s="1"/>
  <c r="AM126" i="5" s="1"/>
  <c r="AN126" i="5" s="1"/>
  <c r="AO126" i="5" s="1"/>
  <c r="AS126" i="5" s="1"/>
  <c r="AT126" i="5" s="1"/>
  <c r="AU126" i="5" s="1"/>
  <c r="AV126" i="5" s="1"/>
  <c r="AW126" i="5" s="1"/>
  <c r="AX126" i="5" s="1"/>
  <c r="AY126" i="5" s="1"/>
  <c r="AZ126" i="5" s="1"/>
  <c r="BA126" i="5" s="1"/>
  <c r="BB126" i="5" s="1"/>
  <c r="BC126" i="5" s="1"/>
  <c r="BD126" i="5" s="1"/>
  <c r="N126" i="5"/>
  <c r="N110" i="5"/>
  <c r="O110" i="5"/>
  <c r="P110" i="5" s="1"/>
  <c r="Q110" i="5" s="1"/>
  <c r="R110" i="5" s="1"/>
  <c r="S110" i="5" s="1"/>
  <c r="T110" i="5" s="1"/>
  <c r="U110" i="5" s="1"/>
  <c r="V110" i="5" s="1"/>
  <c r="W110" i="5" s="1"/>
  <c r="X110" i="5" s="1"/>
  <c r="Y110" i="5" s="1"/>
  <c r="Z110" i="5" s="1"/>
  <c r="AD110" i="5" s="1"/>
  <c r="P102" i="5"/>
  <c r="Q102" i="5" s="1"/>
  <c r="N102" i="5"/>
  <c r="AC91" i="5"/>
  <c r="N91" i="5"/>
  <c r="AR91" i="5"/>
  <c r="O91" i="5"/>
  <c r="P91" i="5" s="1"/>
  <c r="Q91" i="5" s="1"/>
  <c r="R91" i="5" s="1"/>
  <c r="S91" i="5" s="1"/>
  <c r="T91" i="5" s="1"/>
  <c r="U91" i="5" s="1"/>
  <c r="V91" i="5" s="1"/>
  <c r="W91" i="5" s="1"/>
  <c r="X91" i="5" s="1"/>
  <c r="Y91" i="5" s="1"/>
  <c r="Z91" i="5" s="1"/>
  <c r="AD91" i="5" s="1"/>
  <c r="AE91" i="5" s="1"/>
  <c r="AF91" i="5" s="1"/>
  <c r="AG91" i="5" s="1"/>
  <c r="AH91" i="5" s="1"/>
  <c r="AI91" i="5" s="1"/>
  <c r="AJ91" i="5" s="1"/>
  <c r="AK91" i="5" s="1"/>
  <c r="AL91" i="5" s="1"/>
  <c r="AM91" i="5" s="1"/>
  <c r="AN91" i="5" s="1"/>
  <c r="AO91" i="5" s="1"/>
  <c r="AS91" i="5" s="1"/>
  <c r="AT91" i="5" s="1"/>
  <c r="AU91" i="5" s="1"/>
  <c r="AV91" i="5" s="1"/>
  <c r="AW91" i="5" s="1"/>
  <c r="AX91" i="5" s="1"/>
  <c r="AY91" i="5" s="1"/>
  <c r="AZ91" i="5" s="1"/>
  <c r="BA91" i="5" s="1"/>
  <c r="BB91" i="5" s="1"/>
  <c r="BC91" i="5" s="1"/>
  <c r="BD91" i="5" s="1"/>
  <c r="AC83" i="5"/>
  <c r="N83" i="5"/>
  <c r="AR83" i="5"/>
  <c r="O83" i="5"/>
  <c r="P83" i="5" s="1"/>
  <c r="Q83" i="5" s="1"/>
  <c r="R83" i="5" s="1"/>
  <c r="S83" i="5" s="1"/>
  <c r="T83" i="5" s="1"/>
  <c r="U83" i="5" s="1"/>
  <c r="V83" i="5" s="1"/>
  <c r="W83" i="5" s="1"/>
  <c r="X83" i="5" s="1"/>
  <c r="Y83" i="5" s="1"/>
  <c r="Z83" i="5" s="1"/>
  <c r="AD83" i="5" s="1"/>
  <c r="AE83" i="5" s="1"/>
  <c r="AF83" i="5" s="1"/>
  <c r="AG83" i="5" s="1"/>
  <c r="AH83" i="5" s="1"/>
  <c r="AI83" i="5" s="1"/>
  <c r="AJ83" i="5" s="1"/>
  <c r="AK83" i="5" s="1"/>
  <c r="AL83" i="5" s="1"/>
  <c r="AM83" i="5" s="1"/>
  <c r="AN83" i="5" s="1"/>
  <c r="AO83" i="5" s="1"/>
  <c r="AS83" i="5" s="1"/>
  <c r="AT83" i="5" s="1"/>
  <c r="AU83" i="5" s="1"/>
  <c r="AV83" i="5" s="1"/>
  <c r="AW83" i="5" s="1"/>
  <c r="AX83" i="5" s="1"/>
  <c r="AY83" i="5" s="1"/>
  <c r="AZ83" i="5" s="1"/>
  <c r="BA83" i="5" s="1"/>
  <c r="BB83" i="5" s="1"/>
  <c r="BC83" i="5" s="1"/>
  <c r="BD83" i="5" s="1"/>
  <c r="AC67" i="5"/>
  <c r="AR67" i="5"/>
  <c r="O67" i="5"/>
  <c r="N67" i="5"/>
  <c r="N59" i="5"/>
  <c r="AC59" i="5"/>
  <c r="AR59" i="5"/>
  <c r="O59" i="5"/>
  <c r="P59" i="5" s="1"/>
  <c r="Q59" i="5" s="1"/>
  <c r="R59" i="5" s="1"/>
  <c r="S59" i="5" s="1"/>
  <c r="T59" i="5" s="1"/>
  <c r="U59" i="5" s="1"/>
  <c r="V59" i="5" s="1"/>
  <c r="W59" i="5" s="1"/>
  <c r="X59" i="5" s="1"/>
  <c r="Y59" i="5" s="1"/>
  <c r="Z59" i="5" s="1"/>
  <c r="AD59" i="5" s="1"/>
  <c r="AE59" i="5" s="1"/>
  <c r="AF59" i="5" s="1"/>
  <c r="AG59" i="5" s="1"/>
  <c r="AH59" i="5" s="1"/>
  <c r="AI59" i="5" s="1"/>
  <c r="AJ59" i="5" s="1"/>
  <c r="AK59" i="5" s="1"/>
  <c r="AL59" i="5" s="1"/>
  <c r="AM59" i="5" s="1"/>
  <c r="AN59" i="5" s="1"/>
  <c r="AO59" i="5" s="1"/>
  <c r="AS59" i="5" s="1"/>
  <c r="AT59" i="5" s="1"/>
  <c r="AU59" i="5" s="1"/>
  <c r="AV59" i="5" s="1"/>
  <c r="AW59" i="5" s="1"/>
  <c r="AX59" i="5" s="1"/>
  <c r="AY59" i="5" s="1"/>
  <c r="AZ59" i="5" s="1"/>
  <c r="BA59" i="5" s="1"/>
  <c r="BB59" i="5" s="1"/>
  <c r="BC59" i="5" s="1"/>
  <c r="BD59" i="5" s="1"/>
  <c r="AR51" i="5"/>
  <c r="N51" i="5"/>
  <c r="AC51" i="5"/>
  <c r="O51" i="5"/>
  <c r="CN374" i="1" l="1"/>
  <c r="CN395" i="1"/>
  <c r="CN105" i="1"/>
  <c r="CN355" i="1"/>
  <c r="CN387" i="1"/>
  <c r="CN398" i="1"/>
  <c r="CO398" i="1" s="1"/>
  <c r="CP398" i="1" s="1"/>
  <c r="CQ398" i="1" s="1"/>
  <c r="CR398" i="1" s="1"/>
  <c r="CS398" i="1" s="1"/>
  <c r="CT398" i="1" s="1"/>
  <c r="CU398" i="1" s="1"/>
  <c r="CV398" i="1" s="1"/>
  <c r="CW398" i="1" s="1"/>
  <c r="CX398" i="1" s="1"/>
  <c r="CY398" i="1" s="1"/>
  <c r="CN76" i="1"/>
  <c r="CN408" i="1"/>
  <c r="CN268" i="1"/>
  <c r="CN388" i="1"/>
  <c r="CN276" i="1"/>
  <c r="CN415" i="1"/>
  <c r="CO415" i="1" s="1"/>
  <c r="CP415" i="1" s="1"/>
  <c r="CQ415" i="1" s="1"/>
  <c r="CR415" i="1" s="1"/>
  <c r="CS415" i="1" s="1"/>
  <c r="CT415" i="1" s="1"/>
  <c r="CU415" i="1" s="1"/>
  <c r="CV415" i="1" s="1"/>
  <c r="CW415" i="1" s="1"/>
  <c r="CX415" i="1" s="1"/>
  <c r="CY415" i="1" s="1"/>
  <c r="CN504" i="1"/>
  <c r="CN390" i="1"/>
  <c r="CN263" i="1"/>
  <c r="CN377" i="1"/>
  <c r="CN346" i="1"/>
  <c r="CN375" i="1"/>
  <c r="CO375" i="1" s="1"/>
  <c r="CP375" i="1" s="1"/>
  <c r="CQ375" i="1" s="1"/>
  <c r="CR375" i="1" s="1"/>
  <c r="CS375" i="1" s="1"/>
  <c r="CT375" i="1" s="1"/>
  <c r="CU375" i="1" s="1"/>
  <c r="CV375" i="1" s="1"/>
  <c r="CW375" i="1" s="1"/>
  <c r="CX375" i="1" s="1"/>
  <c r="CY375" i="1" s="1"/>
  <c r="CN21" i="1"/>
  <c r="CN204" i="1"/>
  <c r="CN417" i="1"/>
  <c r="CN77" i="1"/>
  <c r="CN384" i="1"/>
  <c r="BV375" i="1"/>
  <c r="BV355" i="1"/>
  <c r="BV387" i="1"/>
  <c r="BV346" i="1"/>
  <c r="BV21" i="1"/>
  <c r="BV390" i="1"/>
  <c r="BV204" i="1"/>
  <c r="BV384" i="1"/>
  <c r="BV395" i="1"/>
  <c r="BV4" i="1"/>
  <c r="BV268" i="1"/>
  <c r="BV408" i="1"/>
  <c r="BV374" i="1"/>
  <c r="BV276" i="1"/>
  <c r="BV263" i="1"/>
  <c r="BV76" i="1"/>
  <c r="BV417" i="1"/>
  <c r="BV77" i="1"/>
  <c r="BU382" i="1"/>
  <c r="BY382" i="1" s="1"/>
  <c r="BZ382" i="1" s="1"/>
  <c r="CA382" i="1" s="1"/>
  <c r="CB382" i="1" s="1"/>
  <c r="CC382" i="1" s="1"/>
  <c r="CD382" i="1" s="1"/>
  <c r="CE382" i="1" s="1"/>
  <c r="CF382" i="1" s="1"/>
  <c r="CG382" i="1" s="1"/>
  <c r="CH382" i="1" s="1"/>
  <c r="CI382" i="1" s="1"/>
  <c r="CJ382" i="1" s="1"/>
  <c r="BU579" i="1"/>
  <c r="BY579" i="1" s="1"/>
  <c r="BZ579" i="1" s="1"/>
  <c r="CA579" i="1" s="1"/>
  <c r="CB579" i="1" s="1"/>
  <c r="CC579" i="1" s="1"/>
  <c r="CD579" i="1" s="1"/>
  <c r="CE579" i="1" s="1"/>
  <c r="CF579" i="1" s="1"/>
  <c r="CG579" i="1" s="1"/>
  <c r="CH579" i="1" s="1"/>
  <c r="CI579" i="1" s="1"/>
  <c r="CJ579" i="1" s="1"/>
  <c r="BU386" i="1"/>
  <c r="BY386" i="1" s="1"/>
  <c r="BZ386" i="1" s="1"/>
  <c r="CA386" i="1" s="1"/>
  <c r="CB386" i="1" s="1"/>
  <c r="CC386" i="1" s="1"/>
  <c r="CD386" i="1" s="1"/>
  <c r="CE386" i="1" s="1"/>
  <c r="CF386" i="1" s="1"/>
  <c r="CG386" i="1" s="1"/>
  <c r="CH386" i="1" s="1"/>
  <c r="CI386" i="1" s="1"/>
  <c r="CJ386" i="1" s="1"/>
  <c r="BU578" i="1"/>
  <c r="BY578" i="1" s="1"/>
  <c r="BU108" i="1"/>
  <c r="BY108" i="1" s="1"/>
  <c r="BZ108" i="1" s="1"/>
  <c r="CA108" i="1" s="1"/>
  <c r="CB108" i="1" s="1"/>
  <c r="CC108" i="1" s="1"/>
  <c r="CD108" i="1" s="1"/>
  <c r="CE108" i="1" s="1"/>
  <c r="CF108" i="1" s="1"/>
  <c r="CG108" i="1" s="1"/>
  <c r="CH108" i="1" s="1"/>
  <c r="CI108" i="1" s="1"/>
  <c r="CJ108" i="1" s="1"/>
  <c r="BU264" i="1"/>
  <c r="BY264" i="1" s="1"/>
  <c r="BZ264" i="1" s="1"/>
  <c r="CA264" i="1" s="1"/>
  <c r="CB264" i="1" s="1"/>
  <c r="CC264" i="1" s="1"/>
  <c r="CD264" i="1" s="1"/>
  <c r="CE264" i="1" s="1"/>
  <c r="CF264" i="1" s="1"/>
  <c r="CG264" i="1" s="1"/>
  <c r="CH264" i="1" s="1"/>
  <c r="CI264" i="1" s="1"/>
  <c r="CJ264" i="1" s="1"/>
  <c r="BV415" i="1"/>
  <c r="BV504" i="1"/>
  <c r="BV386" i="1"/>
  <c r="CK21" i="1"/>
  <c r="CK76" i="1"/>
  <c r="CZ514" i="1"/>
  <c r="CK377" i="1"/>
  <c r="CK105" i="1"/>
  <c r="CZ147" i="1"/>
  <c r="CK77" i="1"/>
  <c r="CK263" i="1"/>
  <c r="CK388" i="1"/>
  <c r="CK417" i="1"/>
  <c r="CK390" i="1"/>
  <c r="CK384" i="1"/>
  <c r="CO268" i="1"/>
  <c r="CP268" i="1" s="1"/>
  <c r="CQ268" i="1" s="1"/>
  <c r="CR268" i="1" s="1"/>
  <c r="CS268" i="1" s="1"/>
  <c r="CT268" i="1" s="1"/>
  <c r="CU268" i="1" s="1"/>
  <c r="CV268" i="1" s="1"/>
  <c r="CW268" i="1" s="1"/>
  <c r="CX268" i="1" s="1"/>
  <c r="CY268" i="1" s="1"/>
  <c r="CO387" i="1"/>
  <c r="CP387" i="1" s="1"/>
  <c r="CQ387" i="1" s="1"/>
  <c r="CR387" i="1" s="1"/>
  <c r="CS387" i="1" s="1"/>
  <c r="CT387" i="1" s="1"/>
  <c r="CU387" i="1" s="1"/>
  <c r="CV387" i="1" s="1"/>
  <c r="CW387" i="1" s="1"/>
  <c r="CX387" i="1" s="1"/>
  <c r="CY387" i="1" s="1"/>
  <c r="CK355" i="1"/>
  <c r="CO384" i="1"/>
  <c r="CP384" i="1" s="1"/>
  <c r="CQ384" i="1" s="1"/>
  <c r="CR384" i="1" s="1"/>
  <c r="CS384" i="1" s="1"/>
  <c r="CT384" i="1" s="1"/>
  <c r="CU384" i="1" s="1"/>
  <c r="CV384" i="1" s="1"/>
  <c r="CW384" i="1" s="1"/>
  <c r="CX384" i="1" s="1"/>
  <c r="CY384" i="1" s="1"/>
  <c r="CO263" i="1"/>
  <c r="CP263" i="1" s="1"/>
  <c r="CQ263" i="1" s="1"/>
  <c r="CR263" i="1" s="1"/>
  <c r="CS263" i="1" s="1"/>
  <c r="CT263" i="1" s="1"/>
  <c r="CU263" i="1" s="1"/>
  <c r="CV263" i="1" s="1"/>
  <c r="CW263" i="1" s="1"/>
  <c r="CX263" i="1" s="1"/>
  <c r="CY263" i="1" s="1"/>
  <c r="BZ4" i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O355" i="1"/>
  <c r="CP355" i="1" s="1"/>
  <c r="CQ355" i="1" s="1"/>
  <c r="CR355" i="1" s="1"/>
  <c r="CS355" i="1" s="1"/>
  <c r="CT355" i="1" s="1"/>
  <c r="CU355" i="1" s="1"/>
  <c r="CV355" i="1" s="1"/>
  <c r="CW355" i="1" s="1"/>
  <c r="CX355" i="1" s="1"/>
  <c r="CY355" i="1" s="1"/>
  <c r="CO21" i="1"/>
  <c r="CP21" i="1" s="1"/>
  <c r="CQ21" i="1" s="1"/>
  <c r="CR21" i="1" s="1"/>
  <c r="CS21" i="1" s="1"/>
  <c r="CT21" i="1" s="1"/>
  <c r="CU21" i="1" s="1"/>
  <c r="CV21" i="1" s="1"/>
  <c r="CW21" i="1" s="1"/>
  <c r="CX21" i="1" s="1"/>
  <c r="CY21" i="1" s="1"/>
  <c r="CK408" i="1"/>
  <c r="CK204" i="1"/>
  <c r="CO77" i="1"/>
  <c r="CP77" i="1" s="1"/>
  <c r="CQ77" i="1" s="1"/>
  <c r="CR77" i="1" s="1"/>
  <c r="CS77" i="1" s="1"/>
  <c r="CT77" i="1" s="1"/>
  <c r="CU77" i="1" s="1"/>
  <c r="CV77" i="1" s="1"/>
  <c r="CW77" i="1" s="1"/>
  <c r="CX77" i="1" s="1"/>
  <c r="CY77" i="1" s="1"/>
  <c r="CK374" i="1"/>
  <c r="CK415" i="1"/>
  <c r="BZ578" i="1"/>
  <c r="CA578" i="1" s="1"/>
  <c r="CB578" i="1" s="1"/>
  <c r="CC578" i="1" s="1"/>
  <c r="CD578" i="1" s="1"/>
  <c r="CE578" i="1" s="1"/>
  <c r="CF578" i="1" s="1"/>
  <c r="CG578" i="1" s="1"/>
  <c r="CH578" i="1" s="1"/>
  <c r="CI578" i="1" s="1"/>
  <c r="CJ578" i="1" s="1"/>
  <c r="CO408" i="1"/>
  <c r="CP408" i="1" s="1"/>
  <c r="CQ408" i="1" s="1"/>
  <c r="CR408" i="1" s="1"/>
  <c r="CS408" i="1" s="1"/>
  <c r="CT408" i="1" s="1"/>
  <c r="CU408" i="1" s="1"/>
  <c r="CV408" i="1" s="1"/>
  <c r="CW408" i="1" s="1"/>
  <c r="CX408" i="1" s="1"/>
  <c r="CY408" i="1" s="1"/>
  <c r="CO204" i="1"/>
  <c r="CP204" i="1" s="1"/>
  <c r="CQ204" i="1" s="1"/>
  <c r="CR204" i="1" s="1"/>
  <c r="CS204" i="1" s="1"/>
  <c r="CT204" i="1" s="1"/>
  <c r="CU204" i="1" s="1"/>
  <c r="CV204" i="1" s="1"/>
  <c r="CW204" i="1" s="1"/>
  <c r="CX204" i="1" s="1"/>
  <c r="CY204" i="1" s="1"/>
  <c r="CK398" i="1"/>
  <c r="CO374" i="1"/>
  <c r="CP374" i="1" s="1"/>
  <c r="CQ374" i="1" s="1"/>
  <c r="CR374" i="1" s="1"/>
  <c r="CS374" i="1" s="1"/>
  <c r="CT374" i="1" s="1"/>
  <c r="CU374" i="1" s="1"/>
  <c r="CV374" i="1" s="1"/>
  <c r="CW374" i="1" s="1"/>
  <c r="CX374" i="1" s="1"/>
  <c r="CY374" i="1" s="1"/>
  <c r="CK346" i="1"/>
  <c r="CK504" i="1"/>
  <c r="CK395" i="1"/>
  <c r="CO346" i="1"/>
  <c r="CP346" i="1" s="1"/>
  <c r="CQ346" i="1" s="1"/>
  <c r="CR346" i="1" s="1"/>
  <c r="CS346" i="1" s="1"/>
  <c r="CT346" i="1" s="1"/>
  <c r="CU346" i="1" s="1"/>
  <c r="CV346" i="1" s="1"/>
  <c r="CW346" i="1" s="1"/>
  <c r="CX346" i="1" s="1"/>
  <c r="CY346" i="1" s="1"/>
  <c r="CO504" i="1"/>
  <c r="CP504" i="1" s="1"/>
  <c r="CQ504" i="1" s="1"/>
  <c r="CR504" i="1" s="1"/>
  <c r="CS504" i="1" s="1"/>
  <c r="CT504" i="1" s="1"/>
  <c r="CU504" i="1" s="1"/>
  <c r="CV504" i="1" s="1"/>
  <c r="CW504" i="1" s="1"/>
  <c r="CX504" i="1" s="1"/>
  <c r="CY504" i="1" s="1"/>
  <c r="CO395" i="1"/>
  <c r="CP395" i="1" s="1"/>
  <c r="CQ395" i="1" s="1"/>
  <c r="CR395" i="1" s="1"/>
  <c r="CS395" i="1" s="1"/>
  <c r="CT395" i="1" s="1"/>
  <c r="CU395" i="1" s="1"/>
  <c r="CV395" i="1" s="1"/>
  <c r="CW395" i="1" s="1"/>
  <c r="CX395" i="1" s="1"/>
  <c r="CY395" i="1" s="1"/>
  <c r="CO388" i="1"/>
  <c r="CP388" i="1" s="1"/>
  <c r="CQ388" i="1" s="1"/>
  <c r="CR388" i="1" s="1"/>
  <c r="CS388" i="1" s="1"/>
  <c r="CT388" i="1" s="1"/>
  <c r="CU388" i="1" s="1"/>
  <c r="CV388" i="1" s="1"/>
  <c r="CW388" i="1" s="1"/>
  <c r="CX388" i="1" s="1"/>
  <c r="CY388" i="1" s="1"/>
  <c r="CO390" i="1"/>
  <c r="CP390" i="1" s="1"/>
  <c r="CQ390" i="1" s="1"/>
  <c r="CR390" i="1" s="1"/>
  <c r="CS390" i="1" s="1"/>
  <c r="CT390" i="1" s="1"/>
  <c r="CU390" i="1" s="1"/>
  <c r="CV390" i="1" s="1"/>
  <c r="CW390" i="1" s="1"/>
  <c r="CX390" i="1" s="1"/>
  <c r="CY390" i="1" s="1"/>
  <c r="CO76" i="1"/>
  <c r="CP76" i="1" s="1"/>
  <c r="CQ76" i="1" s="1"/>
  <c r="CR76" i="1" s="1"/>
  <c r="CS76" i="1" s="1"/>
  <c r="CT76" i="1" s="1"/>
  <c r="CU76" i="1" s="1"/>
  <c r="CV76" i="1" s="1"/>
  <c r="CW76" i="1" s="1"/>
  <c r="CX76" i="1" s="1"/>
  <c r="CY76" i="1" s="1"/>
  <c r="CZ580" i="1"/>
  <c r="CK276" i="1"/>
  <c r="CO417" i="1"/>
  <c r="CP417" i="1" s="1"/>
  <c r="CQ417" i="1" s="1"/>
  <c r="CR417" i="1" s="1"/>
  <c r="CS417" i="1" s="1"/>
  <c r="CT417" i="1" s="1"/>
  <c r="CU417" i="1" s="1"/>
  <c r="CV417" i="1" s="1"/>
  <c r="CW417" i="1" s="1"/>
  <c r="CX417" i="1" s="1"/>
  <c r="CY417" i="1" s="1"/>
  <c r="CK268" i="1"/>
  <c r="CO276" i="1"/>
  <c r="CP276" i="1" s="1"/>
  <c r="CQ276" i="1" s="1"/>
  <c r="CR276" i="1" s="1"/>
  <c r="CS276" i="1" s="1"/>
  <c r="CT276" i="1" s="1"/>
  <c r="CU276" i="1" s="1"/>
  <c r="CV276" i="1" s="1"/>
  <c r="CW276" i="1" s="1"/>
  <c r="CX276" i="1" s="1"/>
  <c r="CY276" i="1" s="1"/>
  <c r="CO105" i="1"/>
  <c r="CP105" i="1" s="1"/>
  <c r="CQ105" i="1" s="1"/>
  <c r="CR105" i="1" s="1"/>
  <c r="CS105" i="1" s="1"/>
  <c r="CT105" i="1" s="1"/>
  <c r="CU105" i="1" s="1"/>
  <c r="CV105" i="1" s="1"/>
  <c r="CW105" i="1" s="1"/>
  <c r="CX105" i="1" s="1"/>
  <c r="CY105" i="1" s="1"/>
  <c r="CK387" i="1"/>
  <c r="CO377" i="1"/>
  <c r="CP377" i="1" s="1"/>
  <c r="CQ377" i="1" s="1"/>
  <c r="CR377" i="1" s="1"/>
  <c r="CS377" i="1" s="1"/>
  <c r="CT377" i="1" s="1"/>
  <c r="CU377" i="1" s="1"/>
  <c r="CV377" i="1" s="1"/>
  <c r="CW377" i="1" s="1"/>
  <c r="CX377" i="1" s="1"/>
  <c r="CY377" i="1" s="1"/>
  <c r="CK375" i="1"/>
  <c r="BV578" i="1"/>
  <c r="P535" i="5"/>
  <c r="Q535" i="5" s="1"/>
  <c r="R535" i="5" s="1"/>
  <c r="S535" i="5" s="1"/>
  <c r="T535" i="5" s="1"/>
  <c r="U535" i="5" s="1"/>
  <c r="V535" i="5" s="1"/>
  <c r="W535" i="5" s="1"/>
  <c r="X535" i="5" s="1"/>
  <c r="Y535" i="5" s="1"/>
  <c r="N586" i="5"/>
  <c r="P303" i="5"/>
  <c r="Q303" i="5" s="1"/>
  <c r="R303" i="5" s="1"/>
  <c r="S303" i="5" s="1"/>
  <c r="T303" i="5" s="1"/>
  <c r="P566" i="5"/>
  <c r="P342" i="5"/>
  <c r="Q342" i="5" s="1"/>
  <c r="R342" i="5" s="1"/>
  <c r="S342" i="5" s="1"/>
  <c r="T342" i="5" s="1"/>
  <c r="U342" i="5" s="1"/>
  <c r="V342" i="5" s="1"/>
  <c r="W342" i="5" s="1"/>
  <c r="P541" i="5"/>
  <c r="Q541" i="5" s="1"/>
  <c r="R541" i="5" s="1"/>
  <c r="S541" i="5" s="1"/>
  <c r="T541" i="5" s="1"/>
  <c r="U541" i="5" s="1"/>
  <c r="V541" i="5" s="1"/>
  <c r="W541" i="5" s="1"/>
  <c r="X541" i="5" s="1"/>
  <c r="Y541" i="5" s="1"/>
  <c r="Z541" i="5" s="1"/>
  <c r="N246" i="5"/>
  <c r="N247" i="5"/>
  <c r="N514" i="5"/>
  <c r="N526" i="5"/>
  <c r="AC585" i="5"/>
  <c r="AR585" i="5" s="1"/>
  <c r="AC584" i="5"/>
  <c r="AR584" i="5" s="1"/>
  <c r="P302" i="5"/>
  <c r="Q302" i="5" s="1"/>
  <c r="R302" i="5" s="1"/>
  <c r="P248" i="5"/>
  <c r="Q248" i="5" s="1"/>
  <c r="R248" i="5" s="1"/>
  <c r="S248" i="5" s="1"/>
  <c r="T248" i="5" s="1"/>
  <c r="U248" i="5" s="1"/>
  <c r="V248" i="5" s="1"/>
  <c r="W248" i="5" s="1"/>
  <c r="P40" i="5"/>
  <c r="Q40" i="5" s="1"/>
  <c r="R40" i="5" s="1"/>
  <c r="S40" i="5" s="1"/>
  <c r="T40" i="5" s="1"/>
  <c r="U40" i="5" s="1"/>
  <c r="V40" i="5" s="1"/>
  <c r="W40" i="5" s="1"/>
  <c r="X40" i="5" s="1"/>
  <c r="Y40" i="5" s="1"/>
  <c r="Z40" i="5" s="1"/>
  <c r="AC511" i="5"/>
  <c r="AC518" i="5"/>
  <c r="AA514" i="5"/>
  <c r="AC110" i="5"/>
  <c r="AC667" i="5" s="1"/>
  <c r="AE110" i="5"/>
  <c r="AF110" i="5" s="1"/>
  <c r="P353" i="5"/>
  <c r="Q353" i="5" s="1"/>
  <c r="R353" i="5" s="1"/>
  <c r="S353" i="5" s="1"/>
  <c r="T353" i="5" s="1"/>
  <c r="U353" i="5" s="1"/>
  <c r="V353" i="5" s="1"/>
  <c r="W353" i="5" s="1"/>
  <c r="X353" i="5" s="1"/>
  <c r="Y353" i="5" s="1"/>
  <c r="Z353" i="5" s="1"/>
  <c r="AD353" i="5" s="1"/>
  <c r="P401" i="5"/>
  <c r="Q401" i="5" s="1"/>
  <c r="R401" i="5" s="1"/>
  <c r="S401" i="5" s="1"/>
  <c r="T401" i="5" s="1"/>
  <c r="U401" i="5" s="1"/>
  <c r="V401" i="5" s="1"/>
  <c r="W401" i="5" s="1"/>
  <c r="X401" i="5" s="1"/>
  <c r="Y401" i="5" s="1"/>
  <c r="Z401" i="5" s="1"/>
  <c r="AD401" i="5" s="1"/>
  <c r="P280" i="5"/>
  <c r="Q280" i="5" s="1"/>
  <c r="R280" i="5" s="1"/>
  <c r="S280" i="5" s="1"/>
  <c r="T280" i="5" s="1"/>
  <c r="U280" i="5" s="1"/>
  <c r="V280" i="5" s="1"/>
  <c r="W280" i="5" s="1"/>
  <c r="X280" i="5" s="1"/>
  <c r="Y280" i="5" s="1"/>
  <c r="Z280" i="5" s="1"/>
  <c r="AD280" i="5" s="1"/>
  <c r="P356" i="5"/>
  <c r="Q356" i="5" s="1"/>
  <c r="R356" i="5" s="1"/>
  <c r="S356" i="5" s="1"/>
  <c r="T356" i="5" s="1"/>
  <c r="U356" i="5" s="1"/>
  <c r="V356" i="5" s="1"/>
  <c r="W356" i="5" s="1"/>
  <c r="X356" i="5" s="1"/>
  <c r="Y356" i="5" s="1"/>
  <c r="Z356" i="5" s="1"/>
  <c r="AD356" i="5" s="1"/>
  <c r="P364" i="5"/>
  <c r="Q364" i="5" s="1"/>
  <c r="R364" i="5" s="1"/>
  <c r="S364" i="5" s="1"/>
  <c r="T364" i="5" s="1"/>
  <c r="U364" i="5" s="1"/>
  <c r="V364" i="5" s="1"/>
  <c r="W364" i="5" s="1"/>
  <c r="X364" i="5" s="1"/>
  <c r="Y364" i="5" s="1"/>
  <c r="Z364" i="5" s="1"/>
  <c r="AD364" i="5" s="1"/>
  <c r="P385" i="5"/>
  <c r="Q385" i="5" s="1"/>
  <c r="R385" i="5" s="1"/>
  <c r="S385" i="5" s="1"/>
  <c r="T385" i="5" s="1"/>
  <c r="U385" i="5" s="1"/>
  <c r="V385" i="5" s="1"/>
  <c r="W385" i="5" s="1"/>
  <c r="X385" i="5" s="1"/>
  <c r="Y385" i="5" s="1"/>
  <c r="Z385" i="5" s="1"/>
  <c r="AD385" i="5" s="1"/>
  <c r="P403" i="5"/>
  <c r="Q403" i="5" s="1"/>
  <c r="R403" i="5" s="1"/>
  <c r="S403" i="5" s="1"/>
  <c r="T403" i="5" s="1"/>
  <c r="U403" i="5" s="1"/>
  <c r="V403" i="5" s="1"/>
  <c r="W403" i="5" s="1"/>
  <c r="X403" i="5" s="1"/>
  <c r="Y403" i="5" s="1"/>
  <c r="Z403" i="5" s="1"/>
  <c r="AD403" i="5" s="1"/>
  <c r="P428" i="5"/>
  <c r="Q428" i="5" s="1"/>
  <c r="R428" i="5" s="1"/>
  <c r="S428" i="5" s="1"/>
  <c r="T428" i="5" s="1"/>
  <c r="U428" i="5" s="1"/>
  <c r="V428" i="5" s="1"/>
  <c r="W428" i="5" s="1"/>
  <c r="X428" i="5" s="1"/>
  <c r="Y428" i="5" s="1"/>
  <c r="Z428" i="5" s="1"/>
  <c r="AD428" i="5" s="1"/>
  <c r="AT436" i="5"/>
  <c r="AU436" i="5" s="1"/>
  <c r="AV436" i="5" s="1"/>
  <c r="AW436" i="5" s="1"/>
  <c r="AX436" i="5" s="1"/>
  <c r="AY436" i="5" s="1"/>
  <c r="AR436" i="5"/>
  <c r="P66" i="5"/>
  <c r="Q66" i="5" s="1"/>
  <c r="R66" i="5" s="1"/>
  <c r="S66" i="5" s="1"/>
  <c r="T66" i="5" s="1"/>
  <c r="U66" i="5" s="1"/>
  <c r="V66" i="5" s="1"/>
  <c r="W66" i="5" s="1"/>
  <c r="X66" i="5" s="1"/>
  <c r="Y66" i="5" s="1"/>
  <c r="Z66" i="5" s="1"/>
  <c r="AD66" i="5" s="1"/>
  <c r="AR46" i="5"/>
  <c r="AT46" i="5"/>
  <c r="AU46" i="5" s="1"/>
  <c r="AV46" i="5" s="1"/>
  <c r="AW46" i="5" s="1"/>
  <c r="AX46" i="5" s="1"/>
  <c r="AY46" i="5" s="1"/>
  <c r="P118" i="5"/>
  <c r="Q118" i="5" s="1"/>
  <c r="R118" i="5" s="1"/>
  <c r="S118" i="5" s="1"/>
  <c r="T118" i="5" s="1"/>
  <c r="U118" i="5" s="1"/>
  <c r="V118" i="5" s="1"/>
  <c r="W118" i="5" s="1"/>
  <c r="X118" i="5" s="1"/>
  <c r="Y118" i="5" s="1"/>
  <c r="Z118" i="5" s="1"/>
  <c r="AD118" i="5" s="1"/>
  <c r="P271" i="5"/>
  <c r="Q271" i="5" s="1"/>
  <c r="R271" i="5" s="1"/>
  <c r="S271" i="5" s="1"/>
  <c r="T271" i="5" s="1"/>
  <c r="U271" i="5" s="1"/>
  <c r="V271" i="5" s="1"/>
  <c r="W271" i="5" s="1"/>
  <c r="X271" i="5" s="1"/>
  <c r="Y271" i="5" s="1"/>
  <c r="Z271" i="5" s="1"/>
  <c r="AD271" i="5" s="1"/>
  <c r="P279" i="5"/>
  <c r="Q279" i="5" s="1"/>
  <c r="R279" i="5" s="1"/>
  <c r="S279" i="5" s="1"/>
  <c r="T279" i="5" s="1"/>
  <c r="U279" i="5" s="1"/>
  <c r="V279" i="5" s="1"/>
  <c r="W279" i="5" s="1"/>
  <c r="X279" i="5" s="1"/>
  <c r="Y279" i="5" s="1"/>
  <c r="Z279" i="5" s="1"/>
  <c r="AD279" i="5" s="1"/>
  <c r="P298" i="5"/>
  <c r="Q298" i="5" s="1"/>
  <c r="R298" i="5" s="1"/>
  <c r="S298" i="5" s="1"/>
  <c r="T298" i="5" s="1"/>
  <c r="U298" i="5" s="1"/>
  <c r="V298" i="5" s="1"/>
  <c r="W298" i="5" s="1"/>
  <c r="X298" i="5" s="1"/>
  <c r="Y298" i="5" s="1"/>
  <c r="Z298" i="5" s="1"/>
  <c r="AD298" i="5" s="1"/>
  <c r="AE319" i="5"/>
  <c r="AF319" i="5" s="1"/>
  <c r="AG319" i="5" s="1"/>
  <c r="AH319" i="5" s="1"/>
  <c r="AI319" i="5" s="1"/>
  <c r="AJ319" i="5" s="1"/>
  <c r="AK319" i="5" s="1"/>
  <c r="AL319" i="5" s="1"/>
  <c r="AM319" i="5" s="1"/>
  <c r="AC319" i="5"/>
  <c r="P574" i="5"/>
  <c r="Q574" i="5" s="1"/>
  <c r="R574" i="5" s="1"/>
  <c r="S574" i="5" s="1"/>
  <c r="T574" i="5" s="1"/>
  <c r="U574" i="5" s="1"/>
  <c r="V574" i="5" s="1"/>
  <c r="W574" i="5" s="1"/>
  <c r="X574" i="5" s="1"/>
  <c r="Y574" i="5" s="1"/>
  <c r="Z574" i="5" s="1"/>
  <c r="AD574" i="5" s="1"/>
  <c r="N662" i="5"/>
  <c r="N4" i="5"/>
  <c r="AC663" i="5"/>
  <c r="P278" i="5"/>
  <c r="Q278" i="5" s="1"/>
  <c r="R278" i="5" s="1"/>
  <c r="S278" i="5" s="1"/>
  <c r="T278" i="5" s="1"/>
  <c r="U278" i="5" s="1"/>
  <c r="V278" i="5" s="1"/>
  <c r="W278" i="5" s="1"/>
  <c r="X278" i="5" s="1"/>
  <c r="Y278" i="5" s="1"/>
  <c r="Z278" i="5" s="1"/>
  <c r="AD278" i="5" s="1"/>
  <c r="P294" i="5"/>
  <c r="Q294" i="5" s="1"/>
  <c r="R294" i="5" s="1"/>
  <c r="S294" i="5" s="1"/>
  <c r="T294" i="5" s="1"/>
  <c r="U294" i="5" s="1"/>
  <c r="V294" i="5" s="1"/>
  <c r="W294" i="5" s="1"/>
  <c r="X294" i="5" s="1"/>
  <c r="Y294" i="5" s="1"/>
  <c r="Z294" i="5" s="1"/>
  <c r="AD294" i="5" s="1"/>
  <c r="P55" i="5"/>
  <c r="Q55" i="5" s="1"/>
  <c r="R55" i="5" s="1"/>
  <c r="S55" i="5" s="1"/>
  <c r="T55" i="5" s="1"/>
  <c r="U55" i="5" s="1"/>
  <c r="V55" i="5" s="1"/>
  <c r="W55" i="5" s="1"/>
  <c r="X55" i="5" s="1"/>
  <c r="Y55" i="5" s="1"/>
  <c r="Z55" i="5" s="1"/>
  <c r="AD55" i="5" s="1"/>
  <c r="P185" i="5"/>
  <c r="Q185" i="5" s="1"/>
  <c r="R185" i="5" s="1"/>
  <c r="S185" i="5" s="1"/>
  <c r="T185" i="5" s="1"/>
  <c r="U185" i="5" s="1"/>
  <c r="V185" i="5" s="1"/>
  <c r="W185" i="5" s="1"/>
  <c r="X185" i="5" s="1"/>
  <c r="Y185" i="5" s="1"/>
  <c r="Z185" i="5" s="1"/>
  <c r="AD185" i="5" s="1"/>
  <c r="P205" i="5"/>
  <c r="Q205" i="5" s="1"/>
  <c r="R205" i="5" s="1"/>
  <c r="S205" i="5" s="1"/>
  <c r="T205" i="5" s="1"/>
  <c r="U205" i="5" s="1"/>
  <c r="V205" i="5" s="1"/>
  <c r="W205" i="5" s="1"/>
  <c r="X205" i="5" s="1"/>
  <c r="Y205" i="5" s="1"/>
  <c r="Z205" i="5" s="1"/>
  <c r="AD205" i="5" s="1"/>
  <c r="P213" i="5"/>
  <c r="Q213" i="5" s="1"/>
  <c r="R213" i="5" s="1"/>
  <c r="S213" i="5" s="1"/>
  <c r="T213" i="5" s="1"/>
  <c r="U213" i="5" s="1"/>
  <c r="V213" i="5" s="1"/>
  <c r="W213" i="5" s="1"/>
  <c r="X213" i="5" s="1"/>
  <c r="Y213" i="5" s="1"/>
  <c r="Z213" i="5" s="1"/>
  <c r="AD213" i="5" s="1"/>
  <c r="P357" i="5"/>
  <c r="Q357" i="5" s="1"/>
  <c r="R357" i="5" s="1"/>
  <c r="S357" i="5" s="1"/>
  <c r="T357" i="5" s="1"/>
  <c r="U357" i="5" s="1"/>
  <c r="V357" i="5" s="1"/>
  <c r="W357" i="5" s="1"/>
  <c r="X357" i="5" s="1"/>
  <c r="Y357" i="5" s="1"/>
  <c r="Z357" i="5" s="1"/>
  <c r="AD357" i="5" s="1"/>
  <c r="AC365" i="5"/>
  <c r="AE365" i="5"/>
  <c r="AF365" i="5" s="1"/>
  <c r="AG365" i="5" s="1"/>
  <c r="AH365" i="5" s="1"/>
  <c r="AI365" i="5" s="1"/>
  <c r="AJ365" i="5" s="1"/>
  <c r="AK365" i="5" s="1"/>
  <c r="P505" i="5"/>
  <c r="Q505" i="5" s="1"/>
  <c r="R505" i="5" s="1"/>
  <c r="S505" i="5" s="1"/>
  <c r="T505" i="5" s="1"/>
  <c r="U505" i="5" s="1"/>
  <c r="V505" i="5" s="1"/>
  <c r="W505" i="5" s="1"/>
  <c r="X505" i="5" s="1"/>
  <c r="Y505" i="5" s="1"/>
  <c r="Z505" i="5" s="1"/>
  <c r="AD505" i="5" s="1"/>
  <c r="N661" i="5"/>
  <c r="P260" i="5"/>
  <c r="Q260" i="5" s="1"/>
  <c r="R260" i="5" s="1"/>
  <c r="S260" i="5" s="1"/>
  <c r="T260" i="5" s="1"/>
  <c r="U260" i="5" s="1"/>
  <c r="V260" i="5" s="1"/>
  <c r="W260" i="5" s="1"/>
  <c r="X260" i="5" s="1"/>
  <c r="Y260" i="5" s="1"/>
  <c r="Z260" i="5" s="1"/>
  <c r="AD260" i="5" s="1"/>
  <c r="P268" i="5"/>
  <c r="Q268" i="5" s="1"/>
  <c r="R268" i="5" s="1"/>
  <c r="S268" i="5" s="1"/>
  <c r="T268" i="5" s="1"/>
  <c r="U268" i="5" s="1"/>
  <c r="V268" i="5" s="1"/>
  <c r="W268" i="5" s="1"/>
  <c r="X268" i="5" s="1"/>
  <c r="Y268" i="5" s="1"/>
  <c r="Z268" i="5" s="1"/>
  <c r="AD268" i="5" s="1"/>
  <c r="AC583" i="5"/>
  <c r="P158" i="5"/>
  <c r="Q158" i="5" s="1"/>
  <c r="R158" i="5" s="1"/>
  <c r="S158" i="5" s="1"/>
  <c r="T158" i="5" s="1"/>
  <c r="U158" i="5" s="1"/>
  <c r="V158" i="5" s="1"/>
  <c r="W158" i="5" s="1"/>
  <c r="X158" i="5" s="1"/>
  <c r="Y158" i="5" s="1"/>
  <c r="Z158" i="5" s="1"/>
  <c r="AD158" i="5" s="1"/>
  <c r="P295" i="5"/>
  <c r="Q295" i="5" s="1"/>
  <c r="R295" i="5" s="1"/>
  <c r="S295" i="5" s="1"/>
  <c r="T295" i="5" s="1"/>
  <c r="U295" i="5" s="1"/>
  <c r="V295" i="5" s="1"/>
  <c r="W295" i="5" s="1"/>
  <c r="X295" i="5" s="1"/>
  <c r="Y295" i="5" s="1"/>
  <c r="Z295" i="5" s="1"/>
  <c r="AD295" i="5" s="1"/>
  <c r="P308" i="5"/>
  <c r="Q308" i="5" s="1"/>
  <c r="R308" i="5" s="1"/>
  <c r="S308" i="5" s="1"/>
  <c r="T308" i="5" s="1"/>
  <c r="U308" i="5" s="1"/>
  <c r="V308" i="5" s="1"/>
  <c r="W308" i="5" s="1"/>
  <c r="X308" i="5" s="1"/>
  <c r="Y308" i="5" s="1"/>
  <c r="Z308" i="5" s="1"/>
  <c r="AD308" i="5" s="1"/>
  <c r="AC439" i="5"/>
  <c r="AE439" i="5"/>
  <c r="AF439" i="5" s="1"/>
  <c r="AG439" i="5" s="1"/>
  <c r="AH439" i="5" s="1"/>
  <c r="AI439" i="5" s="1"/>
  <c r="AJ439" i="5" s="1"/>
  <c r="AK439" i="5" s="1"/>
  <c r="AL439" i="5" s="1"/>
  <c r="AM439" i="5" s="1"/>
  <c r="AN439" i="5" s="1"/>
  <c r="AO439" i="5" s="1"/>
  <c r="AR513" i="5"/>
  <c r="AC668" i="5"/>
  <c r="AE19" i="5"/>
  <c r="AF19" i="5" s="1"/>
  <c r="AG19" i="5" s="1"/>
  <c r="AH19" i="5" s="1"/>
  <c r="AI19" i="5" s="1"/>
  <c r="AJ19" i="5" s="1"/>
  <c r="AK19" i="5" s="1"/>
  <c r="AC19" i="5"/>
  <c r="P65" i="5"/>
  <c r="Q65" i="5" s="1"/>
  <c r="R65" i="5" s="1"/>
  <c r="S65" i="5" s="1"/>
  <c r="T65" i="5" s="1"/>
  <c r="U65" i="5" s="1"/>
  <c r="V65" i="5" s="1"/>
  <c r="W65" i="5" s="1"/>
  <c r="X65" i="5" s="1"/>
  <c r="Y65" i="5" s="1"/>
  <c r="Z65" i="5" s="1"/>
  <c r="AD65" i="5" s="1"/>
  <c r="P383" i="5"/>
  <c r="Q383" i="5" s="1"/>
  <c r="R383" i="5" s="1"/>
  <c r="S383" i="5" s="1"/>
  <c r="T383" i="5" s="1"/>
  <c r="U383" i="5" s="1"/>
  <c r="V383" i="5" s="1"/>
  <c r="W383" i="5" s="1"/>
  <c r="X383" i="5" s="1"/>
  <c r="Y383" i="5" s="1"/>
  <c r="Z383" i="5" s="1"/>
  <c r="AD383" i="5" s="1"/>
  <c r="P391" i="5"/>
  <c r="Q391" i="5" s="1"/>
  <c r="R391" i="5" s="1"/>
  <c r="S391" i="5" s="1"/>
  <c r="T391" i="5" s="1"/>
  <c r="U391" i="5" s="1"/>
  <c r="V391" i="5" s="1"/>
  <c r="W391" i="5" s="1"/>
  <c r="X391" i="5" s="1"/>
  <c r="Y391" i="5" s="1"/>
  <c r="Z391" i="5" s="1"/>
  <c r="AD391" i="5" s="1"/>
  <c r="P416" i="5"/>
  <c r="Q416" i="5" s="1"/>
  <c r="R416" i="5" s="1"/>
  <c r="S416" i="5" s="1"/>
  <c r="T416" i="5" s="1"/>
  <c r="U416" i="5" s="1"/>
  <c r="V416" i="5" s="1"/>
  <c r="W416" i="5" s="1"/>
  <c r="X416" i="5" s="1"/>
  <c r="Y416" i="5" s="1"/>
  <c r="Z416" i="5" s="1"/>
  <c r="AD416" i="5" s="1"/>
  <c r="AE438" i="5"/>
  <c r="AF438" i="5" s="1"/>
  <c r="AG438" i="5" s="1"/>
  <c r="AH438" i="5" s="1"/>
  <c r="AI438" i="5" s="1"/>
  <c r="AJ438" i="5" s="1"/>
  <c r="AK438" i="5" s="1"/>
  <c r="AL438" i="5" s="1"/>
  <c r="AM438" i="5" s="1"/>
  <c r="AN438" i="5" s="1"/>
  <c r="AO438" i="5" s="1"/>
  <c r="AC438" i="5"/>
  <c r="AE494" i="5"/>
  <c r="AF494" i="5" s="1"/>
  <c r="AG494" i="5" s="1"/>
  <c r="AH494" i="5" s="1"/>
  <c r="AI494" i="5" s="1"/>
  <c r="AJ494" i="5" s="1"/>
  <c r="AK494" i="5" s="1"/>
  <c r="AL494" i="5" s="1"/>
  <c r="AM494" i="5" s="1"/>
  <c r="AN494" i="5" s="1"/>
  <c r="AC494" i="5"/>
  <c r="P534" i="5"/>
  <c r="Q534" i="5" s="1"/>
  <c r="R534" i="5" s="1"/>
  <c r="S534" i="5" s="1"/>
  <c r="T534" i="5" s="1"/>
  <c r="U534" i="5" s="1"/>
  <c r="V534" i="5" s="1"/>
  <c r="W534" i="5" s="1"/>
  <c r="X534" i="5" s="1"/>
  <c r="Y534" i="5" s="1"/>
  <c r="Z534" i="5" s="1"/>
  <c r="AD534" i="5" s="1"/>
  <c r="AE441" i="5"/>
  <c r="AF441" i="5" s="1"/>
  <c r="AG441" i="5" s="1"/>
  <c r="AH441" i="5" s="1"/>
  <c r="AI441" i="5" s="1"/>
  <c r="AJ441" i="5" s="1"/>
  <c r="AK441" i="5" s="1"/>
  <c r="AL441" i="5" s="1"/>
  <c r="AM441" i="5" s="1"/>
  <c r="AN441" i="5" s="1"/>
  <c r="AO441" i="5" s="1"/>
  <c r="AC441" i="5"/>
  <c r="P473" i="5"/>
  <c r="Q473" i="5" s="1"/>
  <c r="R473" i="5" s="1"/>
  <c r="S473" i="5" s="1"/>
  <c r="T473" i="5" s="1"/>
  <c r="U473" i="5" s="1"/>
  <c r="V473" i="5" s="1"/>
  <c r="W473" i="5" s="1"/>
  <c r="X473" i="5" s="1"/>
  <c r="Y473" i="5" s="1"/>
  <c r="Z473" i="5" s="1"/>
  <c r="AD473" i="5" s="1"/>
  <c r="AC497" i="5"/>
  <c r="AE497" i="5"/>
  <c r="AF497" i="5" s="1"/>
  <c r="AG497" i="5" s="1"/>
  <c r="AH497" i="5" s="1"/>
  <c r="AI497" i="5" s="1"/>
  <c r="AJ497" i="5" s="1"/>
  <c r="AK497" i="5" s="1"/>
  <c r="AL497" i="5" s="1"/>
  <c r="AM497" i="5" s="1"/>
  <c r="AN497" i="5" s="1"/>
  <c r="P74" i="5"/>
  <c r="Q74" i="5" s="1"/>
  <c r="R74" i="5" s="1"/>
  <c r="S74" i="5" s="1"/>
  <c r="T74" i="5" s="1"/>
  <c r="U74" i="5" s="1"/>
  <c r="V74" i="5" s="1"/>
  <c r="W74" i="5" s="1"/>
  <c r="X74" i="5" s="1"/>
  <c r="Y74" i="5" s="1"/>
  <c r="Z74" i="5" s="1"/>
  <c r="AD74" i="5" s="1"/>
  <c r="P109" i="5"/>
  <c r="Q109" i="5" s="1"/>
  <c r="R109" i="5" s="1"/>
  <c r="S109" i="5" s="1"/>
  <c r="T109" i="5" s="1"/>
  <c r="U109" i="5" s="1"/>
  <c r="V109" i="5" s="1"/>
  <c r="W109" i="5" s="1"/>
  <c r="X109" i="5" s="1"/>
  <c r="Y109" i="5" s="1"/>
  <c r="Z109" i="5" s="1"/>
  <c r="AD109" i="5" s="1"/>
  <c r="P115" i="5"/>
  <c r="Q115" i="5" s="1"/>
  <c r="R115" i="5" s="1"/>
  <c r="S115" i="5" s="1"/>
  <c r="T115" i="5" s="1"/>
  <c r="U115" i="5" s="1"/>
  <c r="V115" i="5" s="1"/>
  <c r="W115" i="5" s="1"/>
  <c r="X115" i="5" s="1"/>
  <c r="Y115" i="5" s="1"/>
  <c r="Z115" i="5" s="1"/>
  <c r="AD115" i="5" s="1"/>
  <c r="P256" i="5"/>
  <c r="Q256" i="5" s="1"/>
  <c r="R256" i="5" s="1"/>
  <c r="S256" i="5" s="1"/>
  <c r="T256" i="5" s="1"/>
  <c r="U256" i="5" s="1"/>
  <c r="V256" i="5" s="1"/>
  <c r="W256" i="5" s="1"/>
  <c r="X256" i="5" s="1"/>
  <c r="Y256" i="5" s="1"/>
  <c r="Z256" i="5" s="1"/>
  <c r="AD256" i="5" s="1"/>
  <c r="P264" i="5"/>
  <c r="Q264" i="5" s="1"/>
  <c r="R264" i="5" s="1"/>
  <c r="S264" i="5" s="1"/>
  <c r="T264" i="5" s="1"/>
  <c r="U264" i="5" s="1"/>
  <c r="V264" i="5" s="1"/>
  <c r="W264" i="5" s="1"/>
  <c r="X264" i="5" s="1"/>
  <c r="Y264" i="5" s="1"/>
  <c r="Z264" i="5" s="1"/>
  <c r="AD264" i="5" s="1"/>
  <c r="P272" i="5"/>
  <c r="Q272" i="5" s="1"/>
  <c r="R272" i="5" s="1"/>
  <c r="S272" i="5" s="1"/>
  <c r="T272" i="5" s="1"/>
  <c r="U272" i="5" s="1"/>
  <c r="V272" i="5" s="1"/>
  <c r="W272" i="5" s="1"/>
  <c r="X272" i="5" s="1"/>
  <c r="Y272" i="5" s="1"/>
  <c r="Z272" i="5" s="1"/>
  <c r="AD272" i="5" s="1"/>
  <c r="P412" i="5"/>
  <c r="Q412" i="5" s="1"/>
  <c r="R412" i="5" s="1"/>
  <c r="S412" i="5" s="1"/>
  <c r="T412" i="5" s="1"/>
  <c r="U412" i="5" s="1"/>
  <c r="V412" i="5" s="1"/>
  <c r="W412" i="5" s="1"/>
  <c r="X412" i="5" s="1"/>
  <c r="Y412" i="5" s="1"/>
  <c r="Z412" i="5" s="1"/>
  <c r="AD412" i="5" s="1"/>
  <c r="AC575" i="5"/>
  <c r="AE575" i="5"/>
  <c r="AF575" i="5" s="1"/>
  <c r="AG575" i="5" s="1"/>
  <c r="AH575" i="5" s="1"/>
  <c r="AI575" i="5" s="1"/>
  <c r="AJ575" i="5" s="1"/>
  <c r="AK575" i="5" s="1"/>
  <c r="AL575" i="5" s="1"/>
  <c r="AM575" i="5" s="1"/>
  <c r="AN575" i="5" s="1"/>
  <c r="N670" i="5"/>
  <c r="P255" i="5"/>
  <c r="Q255" i="5" s="1"/>
  <c r="R255" i="5" s="1"/>
  <c r="S255" i="5" s="1"/>
  <c r="T255" i="5" s="1"/>
  <c r="U255" i="5" s="1"/>
  <c r="V255" i="5" s="1"/>
  <c r="W255" i="5" s="1"/>
  <c r="X255" i="5" s="1"/>
  <c r="Y255" i="5" s="1"/>
  <c r="Z255" i="5" s="1"/>
  <c r="AD255" i="5" s="1"/>
  <c r="P427" i="5"/>
  <c r="Q427" i="5" s="1"/>
  <c r="R427" i="5" s="1"/>
  <c r="S427" i="5" s="1"/>
  <c r="T427" i="5" s="1"/>
  <c r="U427" i="5" s="1"/>
  <c r="V427" i="5" s="1"/>
  <c r="W427" i="5" s="1"/>
  <c r="X427" i="5" s="1"/>
  <c r="Y427" i="5" s="1"/>
  <c r="Z427" i="5" s="1"/>
  <c r="AD427" i="5" s="1"/>
  <c r="P475" i="5"/>
  <c r="Q475" i="5" s="1"/>
  <c r="R475" i="5" s="1"/>
  <c r="S475" i="5" s="1"/>
  <c r="T475" i="5" s="1"/>
  <c r="U475" i="5" s="1"/>
  <c r="V475" i="5" s="1"/>
  <c r="W475" i="5" s="1"/>
  <c r="X475" i="5" s="1"/>
  <c r="Y475" i="5" s="1"/>
  <c r="Z475" i="5" s="1"/>
  <c r="AD475" i="5" s="1"/>
  <c r="AE491" i="5"/>
  <c r="AF491" i="5" s="1"/>
  <c r="AG491" i="5" s="1"/>
  <c r="AH491" i="5" s="1"/>
  <c r="AI491" i="5" s="1"/>
  <c r="AJ491" i="5" s="1"/>
  <c r="AK491" i="5" s="1"/>
  <c r="AL491" i="5" s="1"/>
  <c r="AC491" i="5"/>
  <c r="P503" i="5"/>
  <c r="Q503" i="5" s="1"/>
  <c r="R503" i="5" s="1"/>
  <c r="S503" i="5" s="1"/>
  <c r="T503" i="5" s="1"/>
  <c r="U503" i="5" s="1"/>
  <c r="V503" i="5" s="1"/>
  <c r="W503" i="5" s="1"/>
  <c r="X503" i="5" s="1"/>
  <c r="Y503" i="5" s="1"/>
  <c r="Z503" i="5" s="1"/>
  <c r="AD503" i="5" s="1"/>
  <c r="AC551" i="5"/>
  <c r="AE551" i="5"/>
  <c r="AF551" i="5" s="1"/>
  <c r="AG551" i="5" s="1"/>
  <c r="AH551" i="5" s="1"/>
  <c r="P5" i="5"/>
  <c r="O4" i="5"/>
  <c r="N663" i="5"/>
  <c r="P64" i="5"/>
  <c r="Q64" i="5" s="1"/>
  <c r="R64" i="5" s="1"/>
  <c r="S64" i="5" s="1"/>
  <c r="T64" i="5" s="1"/>
  <c r="U64" i="5" s="1"/>
  <c r="V64" i="5" s="1"/>
  <c r="W64" i="5" s="1"/>
  <c r="X64" i="5" s="1"/>
  <c r="Y64" i="5" s="1"/>
  <c r="Z64" i="5" s="1"/>
  <c r="AD64" i="5" s="1"/>
  <c r="P72" i="5"/>
  <c r="Q72" i="5" s="1"/>
  <c r="R72" i="5" s="1"/>
  <c r="S72" i="5" s="1"/>
  <c r="T72" i="5" s="1"/>
  <c r="U72" i="5" s="1"/>
  <c r="V72" i="5" s="1"/>
  <c r="W72" i="5" s="1"/>
  <c r="X72" i="5" s="1"/>
  <c r="Y72" i="5" s="1"/>
  <c r="Z72" i="5" s="1"/>
  <c r="AD72" i="5" s="1"/>
  <c r="P80" i="5"/>
  <c r="Q80" i="5" s="1"/>
  <c r="R80" i="5" s="1"/>
  <c r="S80" i="5" s="1"/>
  <c r="T80" i="5" s="1"/>
  <c r="U80" i="5" s="1"/>
  <c r="V80" i="5" s="1"/>
  <c r="W80" i="5" s="1"/>
  <c r="X80" i="5" s="1"/>
  <c r="Y80" i="5" s="1"/>
  <c r="Z80" i="5" s="1"/>
  <c r="AD80" i="5" s="1"/>
  <c r="P96" i="5"/>
  <c r="Q96" i="5" s="1"/>
  <c r="R96" i="5" s="1"/>
  <c r="S96" i="5" s="1"/>
  <c r="T96" i="5" s="1"/>
  <c r="U96" i="5" s="1"/>
  <c r="V96" i="5" s="1"/>
  <c r="W96" i="5" s="1"/>
  <c r="X96" i="5" s="1"/>
  <c r="Y96" i="5" s="1"/>
  <c r="Z96" i="5" s="1"/>
  <c r="AD96" i="5" s="1"/>
  <c r="P179" i="5"/>
  <c r="Q179" i="5" s="1"/>
  <c r="R179" i="5" s="1"/>
  <c r="S179" i="5" s="1"/>
  <c r="T179" i="5" s="1"/>
  <c r="U179" i="5" s="1"/>
  <c r="V179" i="5" s="1"/>
  <c r="W179" i="5" s="1"/>
  <c r="X179" i="5" s="1"/>
  <c r="Y179" i="5" s="1"/>
  <c r="Z179" i="5" s="1"/>
  <c r="AD179" i="5" s="1"/>
  <c r="P186" i="5"/>
  <c r="Q186" i="5" s="1"/>
  <c r="R186" i="5" s="1"/>
  <c r="S186" i="5" s="1"/>
  <c r="T186" i="5" s="1"/>
  <c r="U186" i="5" s="1"/>
  <c r="V186" i="5" s="1"/>
  <c r="W186" i="5" s="1"/>
  <c r="X186" i="5" s="1"/>
  <c r="Y186" i="5" s="1"/>
  <c r="Z186" i="5" s="1"/>
  <c r="AD186" i="5" s="1"/>
  <c r="P206" i="5"/>
  <c r="Q206" i="5" s="1"/>
  <c r="R206" i="5" s="1"/>
  <c r="S206" i="5" s="1"/>
  <c r="T206" i="5" s="1"/>
  <c r="U206" i="5" s="1"/>
  <c r="V206" i="5" s="1"/>
  <c r="W206" i="5" s="1"/>
  <c r="X206" i="5" s="1"/>
  <c r="Y206" i="5" s="1"/>
  <c r="Z206" i="5" s="1"/>
  <c r="AD206" i="5" s="1"/>
  <c r="P214" i="5"/>
  <c r="Q214" i="5" s="1"/>
  <c r="R214" i="5" s="1"/>
  <c r="S214" i="5" s="1"/>
  <c r="T214" i="5" s="1"/>
  <c r="U214" i="5" s="1"/>
  <c r="V214" i="5" s="1"/>
  <c r="W214" i="5" s="1"/>
  <c r="X214" i="5" s="1"/>
  <c r="Y214" i="5" s="1"/>
  <c r="Z214" i="5" s="1"/>
  <c r="AD214" i="5" s="1"/>
  <c r="P270" i="5"/>
  <c r="Q270" i="5" s="1"/>
  <c r="R270" i="5" s="1"/>
  <c r="S270" i="5" s="1"/>
  <c r="T270" i="5" s="1"/>
  <c r="U270" i="5" s="1"/>
  <c r="V270" i="5" s="1"/>
  <c r="W270" i="5" s="1"/>
  <c r="X270" i="5" s="1"/>
  <c r="Y270" i="5" s="1"/>
  <c r="Z270" i="5" s="1"/>
  <c r="AD270" i="5" s="1"/>
  <c r="P362" i="5"/>
  <c r="Q362" i="5" s="1"/>
  <c r="R362" i="5" s="1"/>
  <c r="S362" i="5" s="1"/>
  <c r="T362" i="5" s="1"/>
  <c r="U362" i="5" s="1"/>
  <c r="V362" i="5" s="1"/>
  <c r="W362" i="5" s="1"/>
  <c r="X362" i="5" s="1"/>
  <c r="Y362" i="5" s="1"/>
  <c r="Z362" i="5" s="1"/>
  <c r="AD362" i="5" s="1"/>
  <c r="P369" i="5"/>
  <c r="Q369" i="5" s="1"/>
  <c r="R369" i="5" s="1"/>
  <c r="S369" i="5" s="1"/>
  <c r="T369" i="5" s="1"/>
  <c r="U369" i="5" s="1"/>
  <c r="V369" i="5" s="1"/>
  <c r="W369" i="5" s="1"/>
  <c r="X369" i="5" s="1"/>
  <c r="Y369" i="5" s="1"/>
  <c r="Z369" i="5" s="1"/>
  <c r="AD369" i="5" s="1"/>
  <c r="P380" i="5"/>
  <c r="Q380" i="5" s="1"/>
  <c r="R380" i="5" s="1"/>
  <c r="S380" i="5" s="1"/>
  <c r="T380" i="5" s="1"/>
  <c r="U380" i="5" s="1"/>
  <c r="V380" i="5" s="1"/>
  <c r="W380" i="5" s="1"/>
  <c r="X380" i="5" s="1"/>
  <c r="Y380" i="5" s="1"/>
  <c r="Z380" i="5" s="1"/>
  <c r="AD380" i="5" s="1"/>
  <c r="P387" i="5"/>
  <c r="Q387" i="5" s="1"/>
  <c r="R387" i="5" s="1"/>
  <c r="S387" i="5" s="1"/>
  <c r="T387" i="5" s="1"/>
  <c r="U387" i="5" s="1"/>
  <c r="V387" i="5" s="1"/>
  <c r="W387" i="5" s="1"/>
  <c r="X387" i="5" s="1"/>
  <c r="Y387" i="5" s="1"/>
  <c r="Z387" i="5" s="1"/>
  <c r="AD387" i="5" s="1"/>
  <c r="P426" i="5"/>
  <c r="Q426" i="5" s="1"/>
  <c r="R426" i="5" s="1"/>
  <c r="S426" i="5" s="1"/>
  <c r="T426" i="5" s="1"/>
  <c r="U426" i="5" s="1"/>
  <c r="V426" i="5" s="1"/>
  <c r="W426" i="5" s="1"/>
  <c r="X426" i="5" s="1"/>
  <c r="Y426" i="5" s="1"/>
  <c r="Z426" i="5" s="1"/>
  <c r="AD426" i="5" s="1"/>
  <c r="O508" i="5"/>
  <c r="O155" i="5" s="1"/>
  <c r="P509" i="5"/>
  <c r="P507" i="5"/>
  <c r="Q507" i="5" s="1"/>
  <c r="R507" i="5" s="1"/>
  <c r="S507" i="5" s="1"/>
  <c r="T507" i="5" s="1"/>
  <c r="U507" i="5" s="1"/>
  <c r="V507" i="5" s="1"/>
  <c r="W507" i="5" s="1"/>
  <c r="X507" i="5" s="1"/>
  <c r="Y507" i="5" s="1"/>
  <c r="Z507" i="5" s="1"/>
  <c r="AD507" i="5" s="1"/>
  <c r="AE507" i="5" s="1"/>
  <c r="AF507" i="5" s="1"/>
  <c r="AG507" i="5" s="1"/>
  <c r="AH507" i="5" s="1"/>
  <c r="AI507" i="5" s="1"/>
  <c r="AJ507" i="5" s="1"/>
  <c r="AK507" i="5" s="1"/>
  <c r="AL507" i="5" s="1"/>
  <c r="AM507" i="5" s="1"/>
  <c r="AN507" i="5" s="1"/>
  <c r="AO507" i="5" s="1"/>
  <c r="AS507" i="5" s="1"/>
  <c r="AT507" i="5" s="1"/>
  <c r="AU507" i="5" s="1"/>
  <c r="AV507" i="5" s="1"/>
  <c r="AW507" i="5" s="1"/>
  <c r="AX507" i="5" s="1"/>
  <c r="AY507" i="5" s="1"/>
  <c r="AZ507" i="5" s="1"/>
  <c r="BA507" i="5" s="1"/>
  <c r="BB507" i="5" s="1"/>
  <c r="BC507" i="5" s="1"/>
  <c r="BD507" i="5" s="1"/>
  <c r="N666" i="5"/>
  <c r="N680" i="5" s="1"/>
  <c r="N508" i="5"/>
  <c r="AC48" i="5"/>
  <c r="AE48" i="5"/>
  <c r="AF48" i="5" s="1"/>
  <c r="P269" i="5"/>
  <c r="Q269" i="5" s="1"/>
  <c r="R269" i="5" s="1"/>
  <c r="S269" i="5" s="1"/>
  <c r="T269" i="5" s="1"/>
  <c r="U269" i="5" s="1"/>
  <c r="V269" i="5" s="1"/>
  <c r="W269" i="5" s="1"/>
  <c r="X269" i="5" s="1"/>
  <c r="Y269" i="5" s="1"/>
  <c r="Z269" i="5" s="1"/>
  <c r="AD269" i="5" s="1"/>
  <c r="P277" i="5"/>
  <c r="Q277" i="5" s="1"/>
  <c r="R277" i="5" s="1"/>
  <c r="S277" i="5" s="1"/>
  <c r="T277" i="5" s="1"/>
  <c r="U277" i="5" s="1"/>
  <c r="V277" i="5" s="1"/>
  <c r="W277" i="5" s="1"/>
  <c r="X277" i="5" s="1"/>
  <c r="Y277" i="5" s="1"/>
  <c r="Z277" i="5" s="1"/>
  <c r="AD277" i="5" s="1"/>
  <c r="P300" i="5"/>
  <c r="Q300" i="5" s="1"/>
  <c r="R300" i="5" s="1"/>
  <c r="S300" i="5" s="1"/>
  <c r="T300" i="5" s="1"/>
  <c r="U300" i="5" s="1"/>
  <c r="V300" i="5" s="1"/>
  <c r="W300" i="5" s="1"/>
  <c r="X300" i="5" s="1"/>
  <c r="Y300" i="5" s="1"/>
  <c r="Z300" i="5" s="1"/>
  <c r="AD300" i="5" s="1"/>
  <c r="AC445" i="5"/>
  <c r="AE445" i="5"/>
  <c r="AF445" i="5" s="1"/>
  <c r="AG445" i="5" s="1"/>
  <c r="AH445" i="5" s="1"/>
  <c r="AI445" i="5" s="1"/>
  <c r="AJ445" i="5" s="1"/>
  <c r="AK445" i="5" s="1"/>
  <c r="AE553" i="5"/>
  <c r="AF553" i="5" s="1"/>
  <c r="AG553" i="5" s="1"/>
  <c r="AH553" i="5" s="1"/>
  <c r="AI553" i="5" s="1"/>
  <c r="AC553" i="5"/>
  <c r="AT44" i="5"/>
  <c r="P78" i="5"/>
  <c r="Q78" i="5" s="1"/>
  <c r="R78" i="5" s="1"/>
  <c r="S78" i="5" s="1"/>
  <c r="T78" i="5" s="1"/>
  <c r="U78" i="5" s="1"/>
  <c r="V78" i="5" s="1"/>
  <c r="W78" i="5" s="1"/>
  <c r="X78" i="5" s="1"/>
  <c r="Y78" i="5" s="1"/>
  <c r="Z78" i="5" s="1"/>
  <c r="AD78" i="5" s="1"/>
  <c r="AE105" i="5"/>
  <c r="AC105" i="5"/>
  <c r="AC661" i="5"/>
  <c r="P172" i="5"/>
  <c r="Q172" i="5" s="1"/>
  <c r="R172" i="5" s="1"/>
  <c r="S172" i="5" s="1"/>
  <c r="T172" i="5" s="1"/>
  <c r="U172" i="5" s="1"/>
  <c r="V172" i="5" s="1"/>
  <c r="W172" i="5" s="1"/>
  <c r="X172" i="5" s="1"/>
  <c r="Y172" i="5" s="1"/>
  <c r="Z172" i="5" s="1"/>
  <c r="AD172" i="5" s="1"/>
  <c r="P184" i="5"/>
  <c r="Q184" i="5" s="1"/>
  <c r="R184" i="5" s="1"/>
  <c r="S184" i="5" s="1"/>
  <c r="T184" i="5" s="1"/>
  <c r="U184" i="5" s="1"/>
  <c r="V184" i="5" s="1"/>
  <c r="W184" i="5" s="1"/>
  <c r="X184" i="5" s="1"/>
  <c r="Y184" i="5" s="1"/>
  <c r="Z184" i="5" s="1"/>
  <c r="AD184" i="5" s="1"/>
  <c r="P192" i="5"/>
  <c r="Q192" i="5" s="1"/>
  <c r="R192" i="5" s="1"/>
  <c r="S192" i="5" s="1"/>
  <c r="T192" i="5" s="1"/>
  <c r="U192" i="5" s="1"/>
  <c r="V192" i="5" s="1"/>
  <c r="W192" i="5" s="1"/>
  <c r="X192" i="5" s="1"/>
  <c r="Y192" i="5" s="1"/>
  <c r="Z192" i="5" s="1"/>
  <c r="AD192" i="5" s="1"/>
  <c r="P204" i="5"/>
  <c r="Q204" i="5" s="1"/>
  <c r="R204" i="5" s="1"/>
  <c r="S204" i="5" s="1"/>
  <c r="T204" i="5" s="1"/>
  <c r="U204" i="5" s="1"/>
  <c r="V204" i="5" s="1"/>
  <c r="W204" i="5" s="1"/>
  <c r="X204" i="5" s="1"/>
  <c r="Y204" i="5" s="1"/>
  <c r="Z204" i="5" s="1"/>
  <c r="AD204" i="5" s="1"/>
  <c r="P212" i="5"/>
  <c r="Q212" i="5" s="1"/>
  <c r="R212" i="5" s="1"/>
  <c r="S212" i="5" s="1"/>
  <c r="T212" i="5" s="1"/>
  <c r="U212" i="5" s="1"/>
  <c r="V212" i="5" s="1"/>
  <c r="W212" i="5" s="1"/>
  <c r="X212" i="5" s="1"/>
  <c r="Y212" i="5" s="1"/>
  <c r="Z212" i="5" s="1"/>
  <c r="AD212" i="5" s="1"/>
  <c r="AE220" i="5"/>
  <c r="AF220" i="5" s="1"/>
  <c r="AG220" i="5" s="1"/>
  <c r="AH220" i="5" s="1"/>
  <c r="AI220" i="5" s="1"/>
  <c r="AJ220" i="5" s="1"/>
  <c r="AK220" i="5" s="1"/>
  <c r="AL220" i="5" s="1"/>
  <c r="AM220" i="5" s="1"/>
  <c r="AN220" i="5" s="1"/>
  <c r="AC220" i="5"/>
  <c r="AS252" i="5"/>
  <c r="AT252" i="5" s="1"/>
  <c r="AU252" i="5" s="1"/>
  <c r="AV252" i="5" s="1"/>
  <c r="AW252" i="5" s="1"/>
  <c r="AX252" i="5" s="1"/>
  <c r="AY252" i="5" s="1"/>
  <c r="AR252" i="5"/>
  <c r="P299" i="5"/>
  <c r="Q299" i="5" s="1"/>
  <c r="R299" i="5" s="1"/>
  <c r="S299" i="5" s="1"/>
  <c r="T299" i="5" s="1"/>
  <c r="U299" i="5" s="1"/>
  <c r="V299" i="5" s="1"/>
  <c r="W299" i="5" s="1"/>
  <c r="X299" i="5" s="1"/>
  <c r="Y299" i="5" s="1"/>
  <c r="Z299" i="5" s="1"/>
  <c r="AD299" i="5" s="1"/>
  <c r="AC440" i="5"/>
  <c r="AE440" i="5"/>
  <c r="AF440" i="5" s="1"/>
  <c r="AG440" i="5" s="1"/>
  <c r="AH440" i="5" s="1"/>
  <c r="AI440" i="5" s="1"/>
  <c r="AJ440" i="5" s="1"/>
  <c r="AK440" i="5" s="1"/>
  <c r="AL440" i="5" s="1"/>
  <c r="AM440" i="5" s="1"/>
  <c r="AN440" i="5" s="1"/>
  <c r="P77" i="5"/>
  <c r="Q77" i="5" s="1"/>
  <c r="R77" i="5" s="1"/>
  <c r="S77" i="5" s="1"/>
  <c r="T77" i="5" s="1"/>
  <c r="U77" i="5" s="1"/>
  <c r="V77" i="5" s="1"/>
  <c r="W77" i="5" s="1"/>
  <c r="X77" i="5" s="1"/>
  <c r="Y77" i="5" s="1"/>
  <c r="Z77" i="5" s="1"/>
  <c r="AD77" i="5" s="1"/>
  <c r="P112" i="5"/>
  <c r="Q112" i="5" s="1"/>
  <c r="R112" i="5" s="1"/>
  <c r="S112" i="5" s="1"/>
  <c r="T112" i="5" s="1"/>
  <c r="U112" i="5" s="1"/>
  <c r="V112" i="5" s="1"/>
  <c r="W112" i="5" s="1"/>
  <c r="X112" i="5" s="1"/>
  <c r="Y112" i="5" s="1"/>
  <c r="Z112" i="5" s="1"/>
  <c r="AD112" i="5" s="1"/>
  <c r="P259" i="5"/>
  <c r="Q259" i="5" s="1"/>
  <c r="R259" i="5" s="1"/>
  <c r="S259" i="5" s="1"/>
  <c r="T259" i="5" s="1"/>
  <c r="U259" i="5" s="1"/>
  <c r="V259" i="5" s="1"/>
  <c r="W259" i="5" s="1"/>
  <c r="X259" i="5" s="1"/>
  <c r="Y259" i="5" s="1"/>
  <c r="Z259" i="5" s="1"/>
  <c r="AD259" i="5" s="1"/>
  <c r="P267" i="5"/>
  <c r="Q267" i="5" s="1"/>
  <c r="R267" i="5" s="1"/>
  <c r="S267" i="5" s="1"/>
  <c r="T267" i="5" s="1"/>
  <c r="U267" i="5" s="1"/>
  <c r="V267" i="5" s="1"/>
  <c r="W267" i="5" s="1"/>
  <c r="X267" i="5" s="1"/>
  <c r="Y267" i="5" s="1"/>
  <c r="Z267" i="5" s="1"/>
  <c r="AD267" i="5" s="1"/>
  <c r="P275" i="5"/>
  <c r="Q275" i="5" s="1"/>
  <c r="R275" i="5" s="1"/>
  <c r="S275" i="5" s="1"/>
  <c r="T275" i="5" s="1"/>
  <c r="U275" i="5" s="1"/>
  <c r="V275" i="5" s="1"/>
  <c r="W275" i="5" s="1"/>
  <c r="X275" i="5" s="1"/>
  <c r="Y275" i="5" s="1"/>
  <c r="Z275" i="5" s="1"/>
  <c r="AD275" i="5" s="1"/>
  <c r="P388" i="5"/>
  <c r="Q388" i="5" s="1"/>
  <c r="R388" i="5" s="1"/>
  <c r="S388" i="5" s="1"/>
  <c r="T388" i="5" s="1"/>
  <c r="U388" i="5" s="1"/>
  <c r="V388" i="5" s="1"/>
  <c r="W388" i="5" s="1"/>
  <c r="X388" i="5" s="1"/>
  <c r="Y388" i="5" s="1"/>
  <c r="Z388" i="5" s="1"/>
  <c r="AD388" i="5" s="1"/>
  <c r="P399" i="5"/>
  <c r="Q399" i="5" s="1"/>
  <c r="R399" i="5" s="1"/>
  <c r="S399" i="5" s="1"/>
  <c r="T399" i="5" s="1"/>
  <c r="U399" i="5" s="1"/>
  <c r="V399" i="5" s="1"/>
  <c r="W399" i="5" s="1"/>
  <c r="X399" i="5" s="1"/>
  <c r="Y399" i="5" s="1"/>
  <c r="Z399" i="5" s="1"/>
  <c r="AD399" i="5" s="1"/>
  <c r="P411" i="5"/>
  <c r="Q411" i="5" s="1"/>
  <c r="R411" i="5" s="1"/>
  <c r="S411" i="5" s="1"/>
  <c r="T411" i="5" s="1"/>
  <c r="U411" i="5" s="1"/>
  <c r="V411" i="5" s="1"/>
  <c r="W411" i="5" s="1"/>
  <c r="X411" i="5" s="1"/>
  <c r="Y411" i="5" s="1"/>
  <c r="Z411" i="5" s="1"/>
  <c r="AD411" i="5" s="1"/>
  <c r="P424" i="5"/>
  <c r="Q424" i="5" s="1"/>
  <c r="R424" i="5" s="1"/>
  <c r="S424" i="5" s="1"/>
  <c r="T424" i="5" s="1"/>
  <c r="U424" i="5" s="1"/>
  <c r="V424" i="5" s="1"/>
  <c r="W424" i="5" s="1"/>
  <c r="X424" i="5" s="1"/>
  <c r="Y424" i="5" s="1"/>
  <c r="Z424" i="5" s="1"/>
  <c r="AD424" i="5" s="1"/>
  <c r="P431" i="5"/>
  <c r="Q431" i="5" s="1"/>
  <c r="R431" i="5" s="1"/>
  <c r="S431" i="5" s="1"/>
  <c r="T431" i="5" s="1"/>
  <c r="U431" i="5" s="1"/>
  <c r="V431" i="5" s="1"/>
  <c r="W431" i="5" s="1"/>
  <c r="X431" i="5" s="1"/>
  <c r="Y431" i="5" s="1"/>
  <c r="Z431" i="5" s="1"/>
  <c r="AD431" i="5" s="1"/>
  <c r="N667" i="5"/>
  <c r="P68" i="5"/>
  <c r="Q68" i="5" s="1"/>
  <c r="R68" i="5" s="1"/>
  <c r="S68" i="5" s="1"/>
  <c r="T68" i="5" s="1"/>
  <c r="U68" i="5" s="1"/>
  <c r="V68" i="5" s="1"/>
  <c r="W68" i="5" s="1"/>
  <c r="X68" i="5" s="1"/>
  <c r="Y68" i="5" s="1"/>
  <c r="Z68" i="5" s="1"/>
  <c r="AD68" i="5" s="1"/>
  <c r="P76" i="5"/>
  <c r="Q76" i="5" s="1"/>
  <c r="R76" i="5" s="1"/>
  <c r="S76" i="5" s="1"/>
  <c r="T76" i="5" s="1"/>
  <c r="U76" i="5" s="1"/>
  <c r="V76" i="5" s="1"/>
  <c r="W76" i="5" s="1"/>
  <c r="X76" i="5" s="1"/>
  <c r="Y76" i="5" s="1"/>
  <c r="Z76" i="5" s="1"/>
  <c r="AD76" i="5" s="1"/>
  <c r="P92" i="5"/>
  <c r="Q92" i="5" s="1"/>
  <c r="R92" i="5" s="1"/>
  <c r="S92" i="5" s="1"/>
  <c r="T92" i="5" s="1"/>
  <c r="U92" i="5" s="1"/>
  <c r="V92" i="5" s="1"/>
  <c r="W92" i="5" s="1"/>
  <c r="X92" i="5" s="1"/>
  <c r="Y92" i="5" s="1"/>
  <c r="Z92" i="5" s="1"/>
  <c r="AD92" i="5" s="1"/>
  <c r="AC111" i="5"/>
  <c r="AE111" i="5"/>
  <c r="AF111" i="5" s="1"/>
  <c r="AG111" i="5" s="1"/>
  <c r="AH111" i="5" s="1"/>
  <c r="AI111" i="5" s="1"/>
  <c r="P157" i="5"/>
  <c r="Q157" i="5" s="1"/>
  <c r="R157" i="5" s="1"/>
  <c r="S157" i="5" s="1"/>
  <c r="T157" i="5" s="1"/>
  <c r="U157" i="5" s="1"/>
  <c r="V157" i="5" s="1"/>
  <c r="W157" i="5" s="1"/>
  <c r="X157" i="5" s="1"/>
  <c r="Y157" i="5" s="1"/>
  <c r="Z157" i="5" s="1"/>
  <c r="AD157" i="5" s="1"/>
  <c r="P182" i="5"/>
  <c r="Q182" i="5" s="1"/>
  <c r="R182" i="5" s="1"/>
  <c r="S182" i="5" s="1"/>
  <c r="T182" i="5" s="1"/>
  <c r="U182" i="5" s="1"/>
  <c r="V182" i="5" s="1"/>
  <c r="W182" i="5" s="1"/>
  <c r="X182" i="5" s="1"/>
  <c r="Y182" i="5" s="1"/>
  <c r="Z182" i="5" s="1"/>
  <c r="AD182" i="5" s="1"/>
  <c r="P190" i="5"/>
  <c r="Q190" i="5" s="1"/>
  <c r="R190" i="5" s="1"/>
  <c r="S190" i="5" s="1"/>
  <c r="T190" i="5" s="1"/>
  <c r="U190" i="5" s="1"/>
  <c r="V190" i="5" s="1"/>
  <c r="W190" i="5" s="1"/>
  <c r="X190" i="5" s="1"/>
  <c r="Y190" i="5" s="1"/>
  <c r="Z190" i="5" s="1"/>
  <c r="AD190" i="5" s="1"/>
  <c r="P266" i="5"/>
  <c r="Q266" i="5" s="1"/>
  <c r="R266" i="5" s="1"/>
  <c r="S266" i="5" s="1"/>
  <c r="T266" i="5" s="1"/>
  <c r="U266" i="5" s="1"/>
  <c r="V266" i="5" s="1"/>
  <c r="W266" i="5" s="1"/>
  <c r="X266" i="5" s="1"/>
  <c r="Y266" i="5" s="1"/>
  <c r="Z266" i="5" s="1"/>
  <c r="AD266" i="5" s="1"/>
  <c r="AT338" i="5"/>
  <c r="AU338" i="5" s="1"/>
  <c r="AV338" i="5" s="1"/>
  <c r="AR338" i="5"/>
  <c r="P372" i="5"/>
  <c r="Q372" i="5" s="1"/>
  <c r="R372" i="5" s="1"/>
  <c r="S372" i="5" s="1"/>
  <c r="T372" i="5" s="1"/>
  <c r="U372" i="5" s="1"/>
  <c r="V372" i="5" s="1"/>
  <c r="W372" i="5" s="1"/>
  <c r="X372" i="5" s="1"/>
  <c r="Y372" i="5" s="1"/>
  <c r="Z372" i="5" s="1"/>
  <c r="AD372" i="5" s="1"/>
  <c r="P423" i="5"/>
  <c r="Q423" i="5" s="1"/>
  <c r="R423" i="5" s="1"/>
  <c r="S423" i="5" s="1"/>
  <c r="T423" i="5" s="1"/>
  <c r="U423" i="5" s="1"/>
  <c r="V423" i="5" s="1"/>
  <c r="W423" i="5" s="1"/>
  <c r="X423" i="5" s="1"/>
  <c r="Y423" i="5" s="1"/>
  <c r="Z423" i="5" s="1"/>
  <c r="AD423" i="5" s="1"/>
  <c r="P470" i="5"/>
  <c r="Q470" i="5" s="1"/>
  <c r="R470" i="5" s="1"/>
  <c r="S470" i="5" s="1"/>
  <c r="T470" i="5" s="1"/>
  <c r="U470" i="5" s="1"/>
  <c r="V470" i="5" s="1"/>
  <c r="W470" i="5" s="1"/>
  <c r="X470" i="5" s="1"/>
  <c r="Y470" i="5" s="1"/>
  <c r="Z470" i="5" s="1"/>
  <c r="AD470" i="5" s="1"/>
  <c r="P506" i="5"/>
  <c r="Q506" i="5" s="1"/>
  <c r="R506" i="5" s="1"/>
  <c r="S506" i="5" s="1"/>
  <c r="T506" i="5" s="1"/>
  <c r="U506" i="5" s="1"/>
  <c r="V506" i="5" s="1"/>
  <c r="W506" i="5" s="1"/>
  <c r="X506" i="5" s="1"/>
  <c r="Y506" i="5" s="1"/>
  <c r="Z506" i="5" s="1"/>
  <c r="AD506" i="5" s="1"/>
  <c r="AR519" i="5"/>
  <c r="AR565" i="5"/>
  <c r="P51" i="5"/>
  <c r="Q51" i="5" s="1"/>
  <c r="R51" i="5" s="1"/>
  <c r="S51" i="5" s="1"/>
  <c r="T51" i="5" s="1"/>
  <c r="U51" i="5" s="1"/>
  <c r="V51" i="5" s="1"/>
  <c r="W51" i="5" s="1"/>
  <c r="X51" i="5" s="1"/>
  <c r="Y51" i="5" s="1"/>
  <c r="Z51" i="5" s="1"/>
  <c r="AD51" i="5" s="1"/>
  <c r="P257" i="5"/>
  <c r="Q257" i="5" s="1"/>
  <c r="R257" i="5" s="1"/>
  <c r="S257" i="5" s="1"/>
  <c r="T257" i="5" s="1"/>
  <c r="U257" i="5" s="1"/>
  <c r="V257" i="5" s="1"/>
  <c r="W257" i="5" s="1"/>
  <c r="X257" i="5" s="1"/>
  <c r="Y257" i="5" s="1"/>
  <c r="Z257" i="5" s="1"/>
  <c r="AD257" i="5" s="1"/>
  <c r="P265" i="5"/>
  <c r="Q265" i="5" s="1"/>
  <c r="R265" i="5" s="1"/>
  <c r="S265" i="5" s="1"/>
  <c r="T265" i="5" s="1"/>
  <c r="U265" i="5" s="1"/>
  <c r="V265" i="5" s="1"/>
  <c r="W265" i="5" s="1"/>
  <c r="X265" i="5" s="1"/>
  <c r="Y265" i="5" s="1"/>
  <c r="Z265" i="5" s="1"/>
  <c r="AD265" i="5" s="1"/>
  <c r="AC346" i="5"/>
  <c r="AE346" i="5"/>
  <c r="AF346" i="5" s="1"/>
  <c r="AG346" i="5" s="1"/>
  <c r="AH346" i="5" s="1"/>
  <c r="AI346" i="5" s="1"/>
  <c r="P413" i="5"/>
  <c r="Q413" i="5" s="1"/>
  <c r="R413" i="5" s="1"/>
  <c r="S413" i="5" s="1"/>
  <c r="T413" i="5" s="1"/>
  <c r="U413" i="5" s="1"/>
  <c r="V413" i="5" s="1"/>
  <c r="W413" i="5" s="1"/>
  <c r="X413" i="5" s="1"/>
  <c r="Y413" i="5" s="1"/>
  <c r="Z413" i="5" s="1"/>
  <c r="AD413" i="5" s="1"/>
  <c r="P422" i="5"/>
  <c r="Q422" i="5" s="1"/>
  <c r="R422" i="5" s="1"/>
  <c r="S422" i="5" s="1"/>
  <c r="T422" i="5" s="1"/>
  <c r="U422" i="5" s="1"/>
  <c r="V422" i="5" s="1"/>
  <c r="W422" i="5" s="1"/>
  <c r="X422" i="5" s="1"/>
  <c r="Y422" i="5" s="1"/>
  <c r="Z422" i="5" s="1"/>
  <c r="AD422" i="5" s="1"/>
  <c r="P296" i="5"/>
  <c r="Q296" i="5" s="1"/>
  <c r="R296" i="5" s="1"/>
  <c r="S296" i="5" s="1"/>
  <c r="T296" i="5" s="1"/>
  <c r="U296" i="5" s="1"/>
  <c r="V296" i="5" s="1"/>
  <c r="W296" i="5" s="1"/>
  <c r="X296" i="5" s="1"/>
  <c r="Y296" i="5" s="1"/>
  <c r="Z296" i="5" s="1"/>
  <c r="AD296" i="5" s="1"/>
  <c r="P397" i="5"/>
  <c r="Q397" i="5" s="1"/>
  <c r="R397" i="5" s="1"/>
  <c r="S397" i="5" s="1"/>
  <c r="T397" i="5" s="1"/>
  <c r="U397" i="5" s="1"/>
  <c r="V397" i="5" s="1"/>
  <c r="W397" i="5" s="1"/>
  <c r="X397" i="5" s="1"/>
  <c r="Y397" i="5" s="1"/>
  <c r="Z397" i="5" s="1"/>
  <c r="AD397" i="5" s="1"/>
  <c r="AE492" i="5"/>
  <c r="AF492" i="5" s="1"/>
  <c r="AG492" i="5" s="1"/>
  <c r="AH492" i="5" s="1"/>
  <c r="AI492" i="5" s="1"/>
  <c r="AJ492" i="5" s="1"/>
  <c r="AK492" i="5" s="1"/>
  <c r="AL492" i="5" s="1"/>
  <c r="AM492" i="5" s="1"/>
  <c r="AN492" i="5" s="1"/>
  <c r="AC492" i="5"/>
  <c r="P81" i="5"/>
  <c r="Q81" i="5" s="1"/>
  <c r="R81" i="5" s="1"/>
  <c r="S81" i="5" s="1"/>
  <c r="T81" i="5" s="1"/>
  <c r="U81" i="5" s="1"/>
  <c r="V81" i="5" s="1"/>
  <c r="W81" i="5" s="1"/>
  <c r="X81" i="5" s="1"/>
  <c r="Y81" i="5" s="1"/>
  <c r="Z81" i="5" s="1"/>
  <c r="AD81" i="5" s="1"/>
  <c r="P93" i="5"/>
  <c r="Q93" i="5" s="1"/>
  <c r="R93" i="5" s="1"/>
  <c r="S93" i="5" s="1"/>
  <c r="T93" i="5" s="1"/>
  <c r="U93" i="5" s="1"/>
  <c r="V93" i="5" s="1"/>
  <c r="W93" i="5" s="1"/>
  <c r="X93" i="5" s="1"/>
  <c r="Y93" i="5" s="1"/>
  <c r="Z93" i="5" s="1"/>
  <c r="AD93" i="5" s="1"/>
  <c r="P174" i="5"/>
  <c r="Q174" i="5" s="1"/>
  <c r="R174" i="5" s="1"/>
  <c r="S174" i="5" s="1"/>
  <c r="T174" i="5" s="1"/>
  <c r="U174" i="5" s="1"/>
  <c r="V174" i="5" s="1"/>
  <c r="W174" i="5" s="1"/>
  <c r="X174" i="5" s="1"/>
  <c r="Y174" i="5" s="1"/>
  <c r="Z174" i="5" s="1"/>
  <c r="AD174" i="5" s="1"/>
  <c r="P183" i="5"/>
  <c r="Q183" i="5" s="1"/>
  <c r="R183" i="5" s="1"/>
  <c r="S183" i="5" s="1"/>
  <c r="T183" i="5" s="1"/>
  <c r="U183" i="5" s="1"/>
  <c r="V183" i="5" s="1"/>
  <c r="W183" i="5" s="1"/>
  <c r="X183" i="5" s="1"/>
  <c r="Y183" i="5" s="1"/>
  <c r="Z183" i="5" s="1"/>
  <c r="AD183" i="5" s="1"/>
  <c r="P207" i="5"/>
  <c r="Q207" i="5" s="1"/>
  <c r="R207" i="5" s="1"/>
  <c r="S207" i="5" s="1"/>
  <c r="T207" i="5" s="1"/>
  <c r="U207" i="5" s="1"/>
  <c r="V207" i="5" s="1"/>
  <c r="W207" i="5" s="1"/>
  <c r="X207" i="5" s="1"/>
  <c r="Y207" i="5" s="1"/>
  <c r="Z207" i="5" s="1"/>
  <c r="AD207" i="5" s="1"/>
  <c r="P215" i="5"/>
  <c r="Q215" i="5" s="1"/>
  <c r="R215" i="5" s="1"/>
  <c r="S215" i="5" s="1"/>
  <c r="T215" i="5" s="1"/>
  <c r="U215" i="5" s="1"/>
  <c r="V215" i="5" s="1"/>
  <c r="W215" i="5" s="1"/>
  <c r="X215" i="5" s="1"/>
  <c r="Y215" i="5" s="1"/>
  <c r="Z215" i="5" s="1"/>
  <c r="AD215" i="5" s="1"/>
  <c r="P370" i="5"/>
  <c r="Q370" i="5" s="1"/>
  <c r="R370" i="5" s="1"/>
  <c r="S370" i="5" s="1"/>
  <c r="T370" i="5" s="1"/>
  <c r="U370" i="5" s="1"/>
  <c r="V370" i="5" s="1"/>
  <c r="W370" i="5" s="1"/>
  <c r="X370" i="5" s="1"/>
  <c r="Y370" i="5" s="1"/>
  <c r="Z370" i="5" s="1"/>
  <c r="AD370" i="5" s="1"/>
  <c r="P378" i="5"/>
  <c r="Q378" i="5" s="1"/>
  <c r="R378" i="5" s="1"/>
  <c r="S378" i="5" s="1"/>
  <c r="T378" i="5" s="1"/>
  <c r="U378" i="5" s="1"/>
  <c r="V378" i="5" s="1"/>
  <c r="W378" i="5" s="1"/>
  <c r="X378" i="5" s="1"/>
  <c r="Y378" i="5" s="1"/>
  <c r="Z378" i="5" s="1"/>
  <c r="AD378" i="5" s="1"/>
  <c r="P384" i="5"/>
  <c r="Q384" i="5" s="1"/>
  <c r="R384" i="5" s="1"/>
  <c r="S384" i="5" s="1"/>
  <c r="T384" i="5" s="1"/>
  <c r="U384" i="5" s="1"/>
  <c r="V384" i="5" s="1"/>
  <c r="W384" i="5" s="1"/>
  <c r="X384" i="5" s="1"/>
  <c r="Y384" i="5" s="1"/>
  <c r="Z384" i="5" s="1"/>
  <c r="AD384" i="5" s="1"/>
  <c r="P396" i="5"/>
  <c r="Q396" i="5" s="1"/>
  <c r="R396" i="5" s="1"/>
  <c r="S396" i="5" s="1"/>
  <c r="T396" i="5" s="1"/>
  <c r="U396" i="5" s="1"/>
  <c r="V396" i="5" s="1"/>
  <c r="W396" i="5" s="1"/>
  <c r="X396" i="5" s="1"/>
  <c r="Y396" i="5" s="1"/>
  <c r="Z396" i="5" s="1"/>
  <c r="AD396" i="5" s="1"/>
  <c r="P406" i="5"/>
  <c r="Q406" i="5" s="1"/>
  <c r="R406" i="5" s="1"/>
  <c r="S406" i="5" s="1"/>
  <c r="T406" i="5" s="1"/>
  <c r="U406" i="5" s="1"/>
  <c r="V406" i="5" s="1"/>
  <c r="W406" i="5" s="1"/>
  <c r="X406" i="5" s="1"/>
  <c r="Y406" i="5" s="1"/>
  <c r="Z406" i="5" s="1"/>
  <c r="AD406" i="5" s="1"/>
  <c r="AR459" i="5"/>
  <c r="AT459" i="5"/>
  <c r="AU459" i="5" s="1"/>
  <c r="AV459" i="5" s="1"/>
  <c r="AW459" i="5" s="1"/>
  <c r="AR663" i="5"/>
  <c r="P498" i="5"/>
  <c r="Q498" i="5" s="1"/>
  <c r="R498" i="5" s="1"/>
  <c r="S498" i="5" s="1"/>
  <c r="T498" i="5" s="1"/>
  <c r="U498" i="5" s="1"/>
  <c r="V498" i="5" s="1"/>
  <c r="W498" i="5" s="1"/>
  <c r="X498" i="5" s="1"/>
  <c r="Y498" i="5" s="1"/>
  <c r="Z498" i="5" s="1"/>
  <c r="AD498" i="5" s="1"/>
  <c r="AC666" i="5"/>
  <c r="AC680" i="5" s="1"/>
  <c r="AC508" i="5"/>
  <c r="P516" i="5"/>
  <c r="Q516" i="5" s="1"/>
  <c r="R516" i="5" s="1"/>
  <c r="S516" i="5" s="1"/>
  <c r="T516" i="5" s="1"/>
  <c r="U516" i="5" s="1"/>
  <c r="V516" i="5" s="1"/>
  <c r="W516" i="5" s="1"/>
  <c r="X516" i="5" s="1"/>
  <c r="Y516" i="5" s="1"/>
  <c r="Z516" i="5" s="1"/>
  <c r="AD516" i="5" s="1"/>
  <c r="P71" i="5"/>
  <c r="Q71" i="5" s="1"/>
  <c r="R71" i="5" s="1"/>
  <c r="S71" i="5" s="1"/>
  <c r="T71" i="5" s="1"/>
  <c r="U71" i="5" s="1"/>
  <c r="V71" i="5" s="1"/>
  <c r="W71" i="5" s="1"/>
  <c r="X71" i="5" s="1"/>
  <c r="Y71" i="5" s="1"/>
  <c r="Z71" i="5" s="1"/>
  <c r="AD71" i="5" s="1"/>
  <c r="P79" i="5"/>
  <c r="Q79" i="5" s="1"/>
  <c r="R79" i="5" s="1"/>
  <c r="S79" i="5" s="1"/>
  <c r="T79" i="5" s="1"/>
  <c r="U79" i="5" s="1"/>
  <c r="V79" i="5" s="1"/>
  <c r="W79" i="5" s="1"/>
  <c r="X79" i="5" s="1"/>
  <c r="Y79" i="5" s="1"/>
  <c r="Z79" i="5" s="1"/>
  <c r="AD79" i="5" s="1"/>
  <c r="P106" i="5"/>
  <c r="Q106" i="5" s="1"/>
  <c r="R106" i="5" s="1"/>
  <c r="S106" i="5" s="1"/>
  <c r="T106" i="5" s="1"/>
  <c r="U106" i="5" s="1"/>
  <c r="V106" i="5" s="1"/>
  <c r="W106" i="5" s="1"/>
  <c r="X106" i="5" s="1"/>
  <c r="Y106" i="5" s="1"/>
  <c r="Z106" i="5" s="1"/>
  <c r="AD106" i="5" s="1"/>
  <c r="AE116" i="5"/>
  <c r="AF116" i="5" s="1"/>
  <c r="AG116" i="5" s="1"/>
  <c r="AH116" i="5" s="1"/>
  <c r="AI116" i="5" s="1"/>
  <c r="AJ116" i="5" s="1"/>
  <c r="AK116" i="5" s="1"/>
  <c r="AC116" i="5"/>
  <c r="AR253" i="5"/>
  <c r="AS253" i="5"/>
  <c r="AT253" i="5" s="1"/>
  <c r="AU253" i="5" s="1"/>
  <c r="AV253" i="5" s="1"/>
  <c r="AW253" i="5" s="1"/>
  <c r="AX253" i="5" s="1"/>
  <c r="AY253" i="5" s="1"/>
  <c r="AR337" i="5"/>
  <c r="AT337" i="5"/>
  <c r="AU337" i="5" s="1"/>
  <c r="AV337" i="5" s="1"/>
  <c r="P386" i="5"/>
  <c r="Q386" i="5" s="1"/>
  <c r="R386" i="5" s="1"/>
  <c r="S386" i="5" s="1"/>
  <c r="T386" i="5" s="1"/>
  <c r="U386" i="5" s="1"/>
  <c r="V386" i="5" s="1"/>
  <c r="W386" i="5" s="1"/>
  <c r="X386" i="5" s="1"/>
  <c r="Y386" i="5" s="1"/>
  <c r="Z386" i="5" s="1"/>
  <c r="AD386" i="5" s="1"/>
  <c r="P404" i="5"/>
  <c r="Q404" i="5" s="1"/>
  <c r="R404" i="5" s="1"/>
  <c r="S404" i="5" s="1"/>
  <c r="T404" i="5" s="1"/>
  <c r="U404" i="5" s="1"/>
  <c r="V404" i="5" s="1"/>
  <c r="W404" i="5" s="1"/>
  <c r="X404" i="5" s="1"/>
  <c r="Y404" i="5" s="1"/>
  <c r="Z404" i="5" s="1"/>
  <c r="AD404" i="5" s="1"/>
  <c r="P418" i="5"/>
  <c r="Q418" i="5" s="1"/>
  <c r="R418" i="5" s="1"/>
  <c r="S418" i="5" s="1"/>
  <c r="T418" i="5" s="1"/>
  <c r="U418" i="5" s="1"/>
  <c r="V418" i="5" s="1"/>
  <c r="W418" i="5" s="1"/>
  <c r="X418" i="5" s="1"/>
  <c r="Y418" i="5" s="1"/>
  <c r="Z418" i="5" s="1"/>
  <c r="AD418" i="5" s="1"/>
  <c r="P429" i="5"/>
  <c r="Q429" i="5" s="1"/>
  <c r="R429" i="5" s="1"/>
  <c r="S429" i="5" s="1"/>
  <c r="T429" i="5" s="1"/>
  <c r="U429" i="5" s="1"/>
  <c r="V429" i="5" s="1"/>
  <c r="W429" i="5" s="1"/>
  <c r="X429" i="5" s="1"/>
  <c r="Y429" i="5" s="1"/>
  <c r="Z429" i="5" s="1"/>
  <c r="AD429" i="5" s="1"/>
  <c r="AR437" i="5"/>
  <c r="AT437" i="5"/>
  <c r="AU437" i="5" s="1"/>
  <c r="AV437" i="5" s="1"/>
  <c r="AW437" i="5" s="1"/>
  <c r="AX437" i="5" s="1"/>
  <c r="AY437" i="5" s="1"/>
  <c r="AE493" i="5"/>
  <c r="AF493" i="5" s="1"/>
  <c r="AG493" i="5" s="1"/>
  <c r="AH493" i="5" s="1"/>
  <c r="AI493" i="5" s="1"/>
  <c r="AJ493" i="5" s="1"/>
  <c r="AK493" i="5" s="1"/>
  <c r="AL493" i="5" s="1"/>
  <c r="AM493" i="5" s="1"/>
  <c r="AN493" i="5" s="1"/>
  <c r="AC493" i="5"/>
  <c r="P50" i="5"/>
  <c r="Q50" i="5" s="1"/>
  <c r="R50" i="5" s="1"/>
  <c r="S50" i="5" s="1"/>
  <c r="T50" i="5" s="1"/>
  <c r="U50" i="5" s="1"/>
  <c r="V50" i="5" s="1"/>
  <c r="W50" i="5" s="1"/>
  <c r="X50" i="5" s="1"/>
  <c r="Y50" i="5" s="1"/>
  <c r="Z50" i="5" s="1"/>
  <c r="AD50" i="5" s="1"/>
  <c r="AT162" i="5"/>
  <c r="AS661" i="5"/>
  <c r="P276" i="5"/>
  <c r="Q276" i="5" s="1"/>
  <c r="R276" i="5" s="1"/>
  <c r="S276" i="5" s="1"/>
  <c r="T276" i="5" s="1"/>
  <c r="U276" i="5" s="1"/>
  <c r="V276" i="5" s="1"/>
  <c r="W276" i="5" s="1"/>
  <c r="X276" i="5" s="1"/>
  <c r="Y276" i="5" s="1"/>
  <c r="Z276" i="5" s="1"/>
  <c r="AD276" i="5" s="1"/>
  <c r="P352" i="5"/>
  <c r="Q352" i="5" s="1"/>
  <c r="R352" i="5" s="1"/>
  <c r="S352" i="5" s="1"/>
  <c r="T352" i="5" s="1"/>
  <c r="U352" i="5" s="1"/>
  <c r="V352" i="5" s="1"/>
  <c r="W352" i="5" s="1"/>
  <c r="X352" i="5" s="1"/>
  <c r="Y352" i="5" s="1"/>
  <c r="Z352" i="5" s="1"/>
  <c r="AD352" i="5" s="1"/>
  <c r="P360" i="5"/>
  <c r="Q360" i="5" s="1"/>
  <c r="R360" i="5" s="1"/>
  <c r="S360" i="5" s="1"/>
  <c r="T360" i="5" s="1"/>
  <c r="U360" i="5" s="1"/>
  <c r="V360" i="5" s="1"/>
  <c r="W360" i="5" s="1"/>
  <c r="X360" i="5" s="1"/>
  <c r="Y360" i="5" s="1"/>
  <c r="Z360" i="5" s="1"/>
  <c r="AD360" i="5" s="1"/>
  <c r="P376" i="5"/>
  <c r="Q376" i="5" s="1"/>
  <c r="R376" i="5" s="1"/>
  <c r="S376" i="5" s="1"/>
  <c r="T376" i="5" s="1"/>
  <c r="U376" i="5" s="1"/>
  <c r="V376" i="5" s="1"/>
  <c r="W376" i="5" s="1"/>
  <c r="X376" i="5" s="1"/>
  <c r="Y376" i="5" s="1"/>
  <c r="Z376" i="5" s="1"/>
  <c r="AD376" i="5" s="1"/>
  <c r="P389" i="5"/>
  <c r="Q389" i="5" s="1"/>
  <c r="R389" i="5" s="1"/>
  <c r="S389" i="5" s="1"/>
  <c r="T389" i="5" s="1"/>
  <c r="U389" i="5" s="1"/>
  <c r="V389" i="5" s="1"/>
  <c r="W389" i="5" s="1"/>
  <c r="X389" i="5" s="1"/>
  <c r="Y389" i="5" s="1"/>
  <c r="Z389" i="5" s="1"/>
  <c r="AD389" i="5" s="1"/>
  <c r="P409" i="5"/>
  <c r="Q409" i="5" s="1"/>
  <c r="R409" i="5" s="1"/>
  <c r="S409" i="5" s="1"/>
  <c r="T409" i="5" s="1"/>
  <c r="U409" i="5" s="1"/>
  <c r="V409" i="5" s="1"/>
  <c r="W409" i="5" s="1"/>
  <c r="X409" i="5" s="1"/>
  <c r="Y409" i="5" s="1"/>
  <c r="Z409" i="5" s="1"/>
  <c r="AD409" i="5" s="1"/>
  <c r="AA421" i="5"/>
  <c r="AR251" i="5"/>
  <c r="AS251" i="5"/>
  <c r="AT251" i="5" s="1"/>
  <c r="AU251" i="5" s="1"/>
  <c r="AV251" i="5" s="1"/>
  <c r="AW251" i="5" s="1"/>
  <c r="AX251" i="5" s="1"/>
  <c r="AY251" i="5" s="1"/>
  <c r="P471" i="5"/>
  <c r="Q471" i="5" s="1"/>
  <c r="R471" i="5" s="1"/>
  <c r="S471" i="5" s="1"/>
  <c r="T471" i="5" s="1"/>
  <c r="U471" i="5" s="1"/>
  <c r="V471" i="5" s="1"/>
  <c r="W471" i="5" s="1"/>
  <c r="X471" i="5" s="1"/>
  <c r="Y471" i="5" s="1"/>
  <c r="Z471" i="5" s="1"/>
  <c r="AD471" i="5" s="1"/>
  <c r="P487" i="5"/>
  <c r="Q487" i="5" s="1"/>
  <c r="R487" i="5" s="1"/>
  <c r="S487" i="5" s="1"/>
  <c r="T487" i="5" s="1"/>
  <c r="U487" i="5" s="1"/>
  <c r="V487" i="5" s="1"/>
  <c r="W487" i="5" s="1"/>
  <c r="X487" i="5" s="1"/>
  <c r="Y487" i="5" s="1"/>
  <c r="Z487" i="5" s="1"/>
  <c r="AD487" i="5" s="1"/>
  <c r="O511" i="5"/>
  <c r="P513" i="5"/>
  <c r="AE14" i="5"/>
  <c r="AF14" i="5" s="1"/>
  <c r="AC14" i="5"/>
  <c r="AR60" i="5"/>
  <c r="AT60" i="5"/>
  <c r="AU60" i="5" s="1"/>
  <c r="AV60" i="5" s="1"/>
  <c r="AW60" i="5" s="1"/>
  <c r="AX60" i="5" s="1"/>
  <c r="AY60" i="5" s="1"/>
  <c r="AZ60" i="5" s="1"/>
  <c r="AR250" i="5"/>
  <c r="AS250" i="5"/>
  <c r="AT250" i="5" s="1"/>
  <c r="AU250" i="5" s="1"/>
  <c r="AV250" i="5" s="1"/>
  <c r="AW250" i="5" s="1"/>
  <c r="AX250" i="5" s="1"/>
  <c r="AY250" i="5" s="1"/>
  <c r="P258" i="5"/>
  <c r="Q258" i="5" s="1"/>
  <c r="R258" i="5" s="1"/>
  <c r="S258" i="5" s="1"/>
  <c r="T258" i="5" s="1"/>
  <c r="U258" i="5" s="1"/>
  <c r="V258" i="5" s="1"/>
  <c r="W258" i="5" s="1"/>
  <c r="X258" i="5" s="1"/>
  <c r="Y258" i="5" s="1"/>
  <c r="Z258" i="5" s="1"/>
  <c r="AD258" i="5" s="1"/>
  <c r="P274" i="5"/>
  <c r="Q274" i="5" s="1"/>
  <c r="R274" i="5" s="1"/>
  <c r="S274" i="5" s="1"/>
  <c r="T274" i="5" s="1"/>
  <c r="U274" i="5" s="1"/>
  <c r="V274" i="5" s="1"/>
  <c r="W274" i="5" s="1"/>
  <c r="X274" i="5" s="1"/>
  <c r="Y274" i="5" s="1"/>
  <c r="Z274" i="5" s="1"/>
  <c r="AD274" i="5" s="1"/>
  <c r="P301" i="5"/>
  <c r="Q301" i="5" s="1"/>
  <c r="R301" i="5" s="1"/>
  <c r="S301" i="5" s="1"/>
  <c r="T301" i="5" s="1"/>
  <c r="U301" i="5" s="1"/>
  <c r="V301" i="5" s="1"/>
  <c r="W301" i="5" s="1"/>
  <c r="X301" i="5" s="1"/>
  <c r="Y301" i="5" s="1"/>
  <c r="Z301" i="5" s="1"/>
  <c r="AD301" i="5" s="1"/>
  <c r="AR454" i="5"/>
  <c r="AT454" i="5"/>
  <c r="AU454" i="5" s="1"/>
  <c r="AV454" i="5" s="1"/>
  <c r="AW454" i="5" s="1"/>
  <c r="AR486" i="5"/>
  <c r="AT486" i="5"/>
  <c r="AU486" i="5" s="1"/>
  <c r="AV486" i="5" s="1"/>
  <c r="AW486" i="5" s="1"/>
  <c r="AX486" i="5" s="1"/>
  <c r="AY486" i="5" s="1"/>
  <c r="P519" i="5"/>
  <c r="O518" i="5"/>
  <c r="AC573" i="5"/>
  <c r="AE573" i="5"/>
  <c r="AF573" i="5" s="1"/>
  <c r="P67" i="5"/>
  <c r="Q67" i="5" s="1"/>
  <c r="R67" i="5" s="1"/>
  <c r="S67" i="5" s="1"/>
  <c r="T67" i="5" s="1"/>
  <c r="U67" i="5" s="1"/>
  <c r="V67" i="5" s="1"/>
  <c r="W67" i="5" s="1"/>
  <c r="X67" i="5" s="1"/>
  <c r="Y67" i="5" s="1"/>
  <c r="Z67" i="5" s="1"/>
  <c r="AD67" i="5" s="1"/>
  <c r="P156" i="5"/>
  <c r="P181" i="5"/>
  <c r="Q181" i="5" s="1"/>
  <c r="R181" i="5" s="1"/>
  <c r="S181" i="5" s="1"/>
  <c r="T181" i="5" s="1"/>
  <c r="U181" i="5" s="1"/>
  <c r="V181" i="5" s="1"/>
  <c r="W181" i="5" s="1"/>
  <c r="X181" i="5" s="1"/>
  <c r="Y181" i="5" s="1"/>
  <c r="Z181" i="5" s="1"/>
  <c r="AD181" i="5" s="1"/>
  <c r="P189" i="5"/>
  <c r="Q189" i="5" s="1"/>
  <c r="R189" i="5" s="1"/>
  <c r="S189" i="5" s="1"/>
  <c r="T189" i="5" s="1"/>
  <c r="U189" i="5" s="1"/>
  <c r="V189" i="5" s="1"/>
  <c r="W189" i="5" s="1"/>
  <c r="X189" i="5" s="1"/>
  <c r="Y189" i="5" s="1"/>
  <c r="Z189" i="5" s="1"/>
  <c r="AD189" i="5" s="1"/>
  <c r="P201" i="5"/>
  <c r="Q201" i="5" s="1"/>
  <c r="R201" i="5" s="1"/>
  <c r="S201" i="5" s="1"/>
  <c r="T201" i="5" s="1"/>
  <c r="U201" i="5" s="1"/>
  <c r="V201" i="5" s="1"/>
  <c r="W201" i="5" s="1"/>
  <c r="X201" i="5" s="1"/>
  <c r="Y201" i="5" s="1"/>
  <c r="Z201" i="5" s="1"/>
  <c r="AD201" i="5" s="1"/>
  <c r="P209" i="5"/>
  <c r="Q209" i="5" s="1"/>
  <c r="R209" i="5" s="1"/>
  <c r="S209" i="5" s="1"/>
  <c r="T209" i="5" s="1"/>
  <c r="U209" i="5" s="1"/>
  <c r="V209" i="5" s="1"/>
  <c r="W209" i="5" s="1"/>
  <c r="X209" i="5" s="1"/>
  <c r="Y209" i="5" s="1"/>
  <c r="Z209" i="5" s="1"/>
  <c r="AD209" i="5" s="1"/>
  <c r="P217" i="5"/>
  <c r="Q217" i="5" s="1"/>
  <c r="R217" i="5" s="1"/>
  <c r="S217" i="5" s="1"/>
  <c r="T217" i="5" s="1"/>
  <c r="U217" i="5" s="1"/>
  <c r="V217" i="5" s="1"/>
  <c r="W217" i="5" s="1"/>
  <c r="X217" i="5" s="1"/>
  <c r="Y217" i="5" s="1"/>
  <c r="Z217" i="5" s="1"/>
  <c r="AD217" i="5" s="1"/>
  <c r="AS249" i="5"/>
  <c r="AT249" i="5" s="1"/>
  <c r="AU249" i="5" s="1"/>
  <c r="AV249" i="5" s="1"/>
  <c r="AW249" i="5" s="1"/>
  <c r="AX249" i="5" s="1"/>
  <c r="AR249" i="5"/>
  <c r="P273" i="5"/>
  <c r="Q273" i="5" s="1"/>
  <c r="R273" i="5" s="1"/>
  <c r="S273" i="5" s="1"/>
  <c r="T273" i="5" s="1"/>
  <c r="U273" i="5" s="1"/>
  <c r="V273" i="5" s="1"/>
  <c r="W273" i="5" s="1"/>
  <c r="X273" i="5" s="1"/>
  <c r="Y273" i="5" s="1"/>
  <c r="Z273" i="5" s="1"/>
  <c r="AD273" i="5" s="1"/>
  <c r="P281" i="5"/>
  <c r="Q281" i="5" s="1"/>
  <c r="R281" i="5" s="1"/>
  <c r="S281" i="5" s="1"/>
  <c r="T281" i="5" s="1"/>
  <c r="U281" i="5" s="1"/>
  <c r="V281" i="5" s="1"/>
  <c r="W281" i="5" s="1"/>
  <c r="X281" i="5" s="1"/>
  <c r="Y281" i="5" s="1"/>
  <c r="Z281" i="5" s="1"/>
  <c r="AD281" i="5" s="1"/>
  <c r="AC449" i="5"/>
  <c r="AE449" i="5"/>
  <c r="AF449" i="5" s="1"/>
  <c r="AG449" i="5" s="1"/>
  <c r="AH449" i="5" s="1"/>
  <c r="AI449" i="5" s="1"/>
  <c r="AJ449" i="5" s="1"/>
  <c r="AK449" i="5" s="1"/>
  <c r="AL449" i="5" s="1"/>
  <c r="AM449" i="5" s="1"/>
  <c r="AN449" i="5" s="1"/>
  <c r="P515" i="5"/>
  <c r="Q515" i="5" s="1"/>
  <c r="R515" i="5" s="1"/>
  <c r="S515" i="5" s="1"/>
  <c r="T515" i="5" s="1"/>
  <c r="U515" i="5" s="1"/>
  <c r="V515" i="5" s="1"/>
  <c r="W515" i="5" s="1"/>
  <c r="X515" i="5" s="1"/>
  <c r="Y515" i="5" s="1"/>
  <c r="Z515" i="5" s="1"/>
  <c r="AD515" i="5" s="1"/>
  <c r="P159" i="5"/>
  <c r="Q159" i="5" s="1"/>
  <c r="R159" i="5" s="1"/>
  <c r="S159" i="5" s="1"/>
  <c r="T159" i="5" s="1"/>
  <c r="U159" i="5" s="1"/>
  <c r="V159" i="5" s="1"/>
  <c r="W159" i="5" s="1"/>
  <c r="X159" i="5" s="1"/>
  <c r="Y159" i="5" s="1"/>
  <c r="Z159" i="5" s="1"/>
  <c r="AD159" i="5" s="1"/>
  <c r="P175" i="5"/>
  <c r="Q175" i="5" s="1"/>
  <c r="R175" i="5" s="1"/>
  <c r="S175" i="5" s="1"/>
  <c r="T175" i="5" s="1"/>
  <c r="U175" i="5" s="1"/>
  <c r="V175" i="5" s="1"/>
  <c r="W175" i="5" s="1"/>
  <c r="X175" i="5" s="1"/>
  <c r="Y175" i="5" s="1"/>
  <c r="Z175" i="5" s="1"/>
  <c r="AD175" i="5" s="1"/>
  <c r="P188" i="5"/>
  <c r="Q188" i="5" s="1"/>
  <c r="R188" i="5" s="1"/>
  <c r="S188" i="5" s="1"/>
  <c r="T188" i="5" s="1"/>
  <c r="U188" i="5" s="1"/>
  <c r="V188" i="5" s="1"/>
  <c r="W188" i="5" s="1"/>
  <c r="X188" i="5" s="1"/>
  <c r="Y188" i="5" s="1"/>
  <c r="Z188" i="5" s="1"/>
  <c r="AD188" i="5" s="1"/>
  <c r="P208" i="5"/>
  <c r="Q208" i="5" s="1"/>
  <c r="R208" i="5" s="1"/>
  <c r="S208" i="5" s="1"/>
  <c r="T208" i="5" s="1"/>
  <c r="U208" i="5" s="1"/>
  <c r="V208" i="5" s="1"/>
  <c r="W208" i="5" s="1"/>
  <c r="X208" i="5" s="1"/>
  <c r="Y208" i="5" s="1"/>
  <c r="Z208" i="5" s="1"/>
  <c r="AD208" i="5" s="1"/>
  <c r="P216" i="5"/>
  <c r="Q216" i="5" s="1"/>
  <c r="R216" i="5" s="1"/>
  <c r="S216" i="5" s="1"/>
  <c r="T216" i="5" s="1"/>
  <c r="U216" i="5" s="1"/>
  <c r="V216" i="5" s="1"/>
  <c r="W216" i="5" s="1"/>
  <c r="X216" i="5" s="1"/>
  <c r="Y216" i="5" s="1"/>
  <c r="Z216" i="5" s="1"/>
  <c r="AD216" i="5" s="1"/>
  <c r="P468" i="5"/>
  <c r="Q468" i="5" s="1"/>
  <c r="R468" i="5" s="1"/>
  <c r="S468" i="5" s="1"/>
  <c r="T468" i="5" s="1"/>
  <c r="U468" i="5" s="1"/>
  <c r="V468" i="5" s="1"/>
  <c r="W468" i="5" s="1"/>
  <c r="X468" i="5" s="1"/>
  <c r="Y468" i="5" s="1"/>
  <c r="Z468" i="5" s="1"/>
  <c r="AD468" i="5" s="1"/>
  <c r="P476" i="5"/>
  <c r="Q476" i="5" s="1"/>
  <c r="R476" i="5" s="1"/>
  <c r="S476" i="5" s="1"/>
  <c r="T476" i="5" s="1"/>
  <c r="U476" i="5" s="1"/>
  <c r="V476" i="5" s="1"/>
  <c r="W476" i="5" s="1"/>
  <c r="X476" i="5" s="1"/>
  <c r="Y476" i="5" s="1"/>
  <c r="Z476" i="5" s="1"/>
  <c r="AD476" i="5" s="1"/>
  <c r="AR484" i="5"/>
  <c r="AT484" i="5"/>
  <c r="AU484" i="5" s="1"/>
  <c r="AV484" i="5" s="1"/>
  <c r="AW484" i="5" s="1"/>
  <c r="AX484" i="5" s="1"/>
  <c r="AY484" i="5" s="1"/>
  <c r="AT8" i="5"/>
  <c r="P69" i="5"/>
  <c r="Q69" i="5" s="1"/>
  <c r="R69" i="5" s="1"/>
  <c r="S69" i="5" s="1"/>
  <c r="T69" i="5" s="1"/>
  <c r="U69" i="5" s="1"/>
  <c r="V69" i="5" s="1"/>
  <c r="W69" i="5" s="1"/>
  <c r="X69" i="5" s="1"/>
  <c r="Y69" i="5" s="1"/>
  <c r="Z69" i="5" s="1"/>
  <c r="AD69" i="5" s="1"/>
  <c r="P263" i="5"/>
  <c r="Q263" i="5" s="1"/>
  <c r="R263" i="5" s="1"/>
  <c r="S263" i="5" s="1"/>
  <c r="T263" i="5" s="1"/>
  <c r="U263" i="5" s="1"/>
  <c r="V263" i="5" s="1"/>
  <c r="W263" i="5" s="1"/>
  <c r="X263" i="5" s="1"/>
  <c r="Y263" i="5" s="1"/>
  <c r="Z263" i="5" s="1"/>
  <c r="AD263" i="5" s="1"/>
  <c r="P305" i="5"/>
  <c r="Q305" i="5" s="1"/>
  <c r="R305" i="5" s="1"/>
  <c r="S305" i="5" s="1"/>
  <c r="T305" i="5" s="1"/>
  <c r="U305" i="5" s="1"/>
  <c r="V305" i="5" s="1"/>
  <c r="W305" i="5" s="1"/>
  <c r="X305" i="5" s="1"/>
  <c r="Y305" i="5" s="1"/>
  <c r="Z305" i="5" s="1"/>
  <c r="AD305" i="5" s="1"/>
  <c r="AR18" i="5"/>
  <c r="AR662" i="5" s="1"/>
  <c r="AT18" i="5"/>
  <c r="P13" i="5"/>
  <c r="Q13" i="5" s="1"/>
  <c r="R13" i="5" s="1"/>
  <c r="S13" i="5" s="1"/>
  <c r="T13" i="5" s="1"/>
  <c r="U13" i="5" s="1"/>
  <c r="V13" i="5" s="1"/>
  <c r="W13" i="5" s="1"/>
  <c r="X13" i="5" s="1"/>
  <c r="Y13" i="5" s="1"/>
  <c r="Z13" i="5" s="1"/>
  <c r="AD13" i="5" s="1"/>
  <c r="P254" i="5"/>
  <c r="Q254" i="5" s="1"/>
  <c r="R254" i="5" s="1"/>
  <c r="S254" i="5" s="1"/>
  <c r="T254" i="5" s="1"/>
  <c r="U254" i="5" s="1"/>
  <c r="V254" i="5" s="1"/>
  <c r="W254" i="5" s="1"/>
  <c r="X254" i="5" s="1"/>
  <c r="Y254" i="5" s="1"/>
  <c r="Z254" i="5" s="1"/>
  <c r="AD254" i="5" s="1"/>
  <c r="P262" i="5"/>
  <c r="Q262" i="5" s="1"/>
  <c r="R262" i="5" s="1"/>
  <c r="S262" i="5" s="1"/>
  <c r="T262" i="5" s="1"/>
  <c r="U262" i="5" s="1"/>
  <c r="V262" i="5" s="1"/>
  <c r="W262" i="5" s="1"/>
  <c r="X262" i="5" s="1"/>
  <c r="Y262" i="5" s="1"/>
  <c r="Z262" i="5" s="1"/>
  <c r="AD262" i="5" s="1"/>
  <c r="P287" i="5"/>
  <c r="Q287" i="5" s="1"/>
  <c r="R287" i="5" s="1"/>
  <c r="S287" i="5" s="1"/>
  <c r="T287" i="5" s="1"/>
  <c r="U287" i="5" s="1"/>
  <c r="V287" i="5" s="1"/>
  <c r="W287" i="5" s="1"/>
  <c r="X287" i="5" s="1"/>
  <c r="Y287" i="5" s="1"/>
  <c r="Z287" i="5" s="1"/>
  <c r="AD287" i="5" s="1"/>
  <c r="P307" i="5"/>
  <c r="Q307" i="5" s="1"/>
  <c r="R307" i="5" s="1"/>
  <c r="S307" i="5" s="1"/>
  <c r="T307" i="5" s="1"/>
  <c r="U307" i="5" s="1"/>
  <c r="V307" i="5" s="1"/>
  <c r="W307" i="5" s="1"/>
  <c r="X307" i="5" s="1"/>
  <c r="Y307" i="5" s="1"/>
  <c r="Z307" i="5" s="1"/>
  <c r="AD307" i="5" s="1"/>
  <c r="P347" i="5"/>
  <c r="Q347" i="5" s="1"/>
  <c r="R347" i="5" s="1"/>
  <c r="S347" i="5" s="1"/>
  <c r="T347" i="5" s="1"/>
  <c r="U347" i="5" s="1"/>
  <c r="V347" i="5" s="1"/>
  <c r="W347" i="5" s="1"/>
  <c r="X347" i="5" s="1"/>
  <c r="Y347" i="5" s="1"/>
  <c r="Z347" i="5" s="1"/>
  <c r="AD347" i="5" s="1"/>
  <c r="P354" i="5"/>
  <c r="Q354" i="5" s="1"/>
  <c r="R354" i="5" s="1"/>
  <c r="S354" i="5" s="1"/>
  <c r="T354" i="5" s="1"/>
  <c r="U354" i="5" s="1"/>
  <c r="V354" i="5" s="1"/>
  <c r="W354" i="5" s="1"/>
  <c r="X354" i="5" s="1"/>
  <c r="Y354" i="5" s="1"/>
  <c r="Z354" i="5" s="1"/>
  <c r="AD354" i="5" s="1"/>
  <c r="P405" i="5"/>
  <c r="Q405" i="5" s="1"/>
  <c r="R405" i="5" s="1"/>
  <c r="S405" i="5" s="1"/>
  <c r="T405" i="5" s="1"/>
  <c r="U405" i="5" s="1"/>
  <c r="V405" i="5" s="1"/>
  <c r="W405" i="5" s="1"/>
  <c r="X405" i="5" s="1"/>
  <c r="Y405" i="5" s="1"/>
  <c r="Z405" i="5" s="1"/>
  <c r="AD405" i="5" s="1"/>
  <c r="P474" i="5"/>
  <c r="Q474" i="5" s="1"/>
  <c r="R474" i="5" s="1"/>
  <c r="S474" i="5" s="1"/>
  <c r="T474" i="5" s="1"/>
  <c r="U474" i="5" s="1"/>
  <c r="V474" i="5" s="1"/>
  <c r="W474" i="5" s="1"/>
  <c r="X474" i="5" s="1"/>
  <c r="Y474" i="5" s="1"/>
  <c r="Z474" i="5" s="1"/>
  <c r="AD474" i="5" s="1"/>
  <c r="AC490" i="5"/>
  <c r="AE490" i="5"/>
  <c r="AF490" i="5" s="1"/>
  <c r="AG490" i="5" s="1"/>
  <c r="AH490" i="5" s="1"/>
  <c r="AI490" i="5" s="1"/>
  <c r="AJ490" i="5" s="1"/>
  <c r="AK490" i="5" s="1"/>
  <c r="AL490" i="5" s="1"/>
  <c r="AM490" i="5" s="1"/>
  <c r="AN490" i="5" s="1"/>
  <c r="AO490" i="5" s="1"/>
  <c r="AR666" i="5"/>
  <c r="AR680" i="5" s="1"/>
  <c r="AR508" i="5"/>
  <c r="P22" i="5"/>
  <c r="Q22" i="5" s="1"/>
  <c r="R22" i="5" s="1"/>
  <c r="S22" i="5" s="1"/>
  <c r="T22" i="5" s="1"/>
  <c r="U22" i="5" s="1"/>
  <c r="V22" i="5" s="1"/>
  <c r="W22" i="5" s="1"/>
  <c r="X22" i="5" s="1"/>
  <c r="Y22" i="5" s="1"/>
  <c r="Z22" i="5" s="1"/>
  <c r="AD22" i="5" s="1"/>
  <c r="P160" i="5"/>
  <c r="Q160" i="5" s="1"/>
  <c r="R160" i="5" s="1"/>
  <c r="S160" i="5" s="1"/>
  <c r="T160" i="5" s="1"/>
  <c r="U160" i="5" s="1"/>
  <c r="V160" i="5" s="1"/>
  <c r="W160" i="5" s="1"/>
  <c r="X160" i="5" s="1"/>
  <c r="Y160" i="5" s="1"/>
  <c r="Z160" i="5" s="1"/>
  <c r="AD160" i="5" s="1"/>
  <c r="P261" i="5"/>
  <c r="Q261" i="5" s="1"/>
  <c r="R261" i="5" s="1"/>
  <c r="S261" i="5" s="1"/>
  <c r="T261" i="5" s="1"/>
  <c r="U261" i="5" s="1"/>
  <c r="V261" i="5" s="1"/>
  <c r="W261" i="5" s="1"/>
  <c r="X261" i="5" s="1"/>
  <c r="Y261" i="5" s="1"/>
  <c r="Z261" i="5" s="1"/>
  <c r="AD261" i="5" s="1"/>
  <c r="P286" i="5"/>
  <c r="Q286" i="5" s="1"/>
  <c r="R286" i="5" s="1"/>
  <c r="S286" i="5" s="1"/>
  <c r="T286" i="5" s="1"/>
  <c r="U286" i="5" s="1"/>
  <c r="V286" i="5" s="1"/>
  <c r="W286" i="5" s="1"/>
  <c r="X286" i="5" s="1"/>
  <c r="Y286" i="5" s="1"/>
  <c r="Z286" i="5" s="1"/>
  <c r="AD286" i="5" s="1"/>
  <c r="P469" i="5"/>
  <c r="Q469" i="5" s="1"/>
  <c r="R469" i="5" s="1"/>
  <c r="S469" i="5" s="1"/>
  <c r="T469" i="5" s="1"/>
  <c r="U469" i="5" s="1"/>
  <c r="V469" i="5" s="1"/>
  <c r="W469" i="5" s="1"/>
  <c r="X469" i="5" s="1"/>
  <c r="Y469" i="5" s="1"/>
  <c r="Z469" i="5" s="1"/>
  <c r="AD469" i="5" s="1"/>
  <c r="P477" i="5"/>
  <c r="Q477" i="5" s="1"/>
  <c r="R477" i="5" s="1"/>
  <c r="S477" i="5" s="1"/>
  <c r="T477" i="5" s="1"/>
  <c r="U477" i="5" s="1"/>
  <c r="V477" i="5" s="1"/>
  <c r="W477" i="5" s="1"/>
  <c r="X477" i="5" s="1"/>
  <c r="Y477" i="5" s="1"/>
  <c r="Z477" i="5" s="1"/>
  <c r="AD477" i="5" s="1"/>
  <c r="AR485" i="5"/>
  <c r="AT485" i="5"/>
  <c r="AU485" i="5" s="1"/>
  <c r="AV485" i="5" s="1"/>
  <c r="AW485" i="5" s="1"/>
  <c r="AX485" i="5" s="1"/>
  <c r="AY485" i="5" s="1"/>
  <c r="AR667" i="5"/>
  <c r="P70" i="5"/>
  <c r="Q70" i="5" s="1"/>
  <c r="R70" i="5" s="1"/>
  <c r="S70" i="5" s="1"/>
  <c r="T70" i="5" s="1"/>
  <c r="U70" i="5" s="1"/>
  <c r="V70" i="5" s="1"/>
  <c r="W70" i="5" s="1"/>
  <c r="X70" i="5" s="1"/>
  <c r="Y70" i="5" s="1"/>
  <c r="Z70" i="5" s="1"/>
  <c r="AD70" i="5" s="1"/>
  <c r="P113" i="5"/>
  <c r="Q113" i="5" s="1"/>
  <c r="R113" i="5" s="1"/>
  <c r="S113" i="5" s="1"/>
  <c r="T113" i="5" s="1"/>
  <c r="U113" i="5" s="1"/>
  <c r="V113" i="5" s="1"/>
  <c r="W113" i="5" s="1"/>
  <c r="X113" i="5" s="1"/>
  <c r="Y113" i="5" s="1"/>
  <c r="Z113" i="5" s="1"/>
  <c r="AD113" i="5" s="1"/>
  <c r="AR661" i="5"/>
  <c r="P400" i="5"/>
  <c r="Q400" i="5" s="1"/>
  <c r="R400" i="5" s="1"/>
  <c r="S400" i="5" s="1"/>
  <c r="T400" i="5" s="1"/>
  <c r="U400" i="5" s="1"/>
  <c r="V400" i="5" s="1"/>
  <c r="W400" i="5" s="1"/>
  <c r="X400" i="5" s="1"/>
  <c r="Y400" i="5" s="1"/>
  <c r="Z400" i="5" s="1"/>
  <c r="AD400" i="5" s="1"/>
  <c r="P472" i="5"/>
  <c r="Q472" i="5" s="1"/>
  <c r="R472" i="5" s="1"/>
  <c r="S472" i="5" s="1"/>
  <c r="T472" i="5" s="1"/>
  <c r="U472" i="5" s="1"/>
  <c r="V472" i="5" s="1"/>
  <c r="W472" i="5" s="1"/>
  <c r="X472" i="5" s="1"/>
  <c r="Y472" i="5" s="1"/>
  <c r="Z472" i="5" s="1"/>
  <c r="AD472" i="5" s="1"/>
  <c r="AE496" i="5"/>
  <c r="AF496" i="5" s="1"/>
  <c r="AG496" i="5" s="1"/>
  <c r="AH496" i="5" s="1"/>
  <c r="AI496" i="5" s="1"/>
  <c r="AJ496" i="5" s="1"/>
  <c r="AK496" i="5" s="1"/>
  <c r="AL496" i="5" s="1"/>
  <c r="AM496" i="5" s="1"/>
  <c r="AN496" i="5" s="1"/>
  <c r="AC496" i="5"/>
  <c r="AE552" i="5"/>
  <c r="AF552" i="5" s="1"/>
  <c r="AG552" i="5" s="1"/>
  <c r="AH552" i="5" s="1"/>
  <c r="AC552" i="5"/>
  <c r="P583" i="5"/>
  <c r="O576" i="5"/>
  <c r="P43" i="5"/>
  <c r="Q43" i="5" s="1"/>
  <c r="R43" i="5" s="1"/>
  <c r="S43" i="5" s="1"/>
  <c r="T43" i="5" s="1"/>
  <c r="U43" i="5" s="1"/>
  <c r="V43" i="5" s="1"/>
  <c r="W43" i="5" s="1"/>
  <c r="X43" i="5" s="1"/>
  <c r="Y43" i="5" s="1"/>
  <c r="Z43" i="5" s="1"/>
  <c r="AD43" i="5" s="1"/>
  <c r="P121" i="5"/>
  <c r="Q121" i="5" s="1"/>
  <c r="R121" i="5" s="1"/>
  <c r="S121" i="5" s="1"/>
  <c r="T121" i="5" s="1"/>
  <c r="U121" i="5" s="1"/>
  <c r="V121" i="5" s="1"/>
  <c r="W121" i="5" s="1"/>
  <c r="X121" i="5" s="1"/>
  <c r="Y121" i="5" s="1"/>
  <c r="Z121" i="5" s="1"/>
  <c r="AD121" i="5" s="1"/>
  <c r="P171" i="5"/>
  <c r="Q171" i="5" s="1"/>
  <c r="R171" i="5" s="1"/>
  <c r="S171" i="5" s="1"/>
  <c r="T171" i="5" s="1"/>
  <c r="U171" i="5" s="1"/>
  <c r="V171" i="5" s="1"/>
  <c r="W171" i="5" s="1"/>
  <c r="X171" i="5" s="1"/>
  <c r="Y171" i="5" s="1"/>
  <c r="Z171" i="5" s="1"/>
  <c r="AD171" i="5" s="1"/>
  <c r="P177" i="5"/>
  <c r="Q177" i="5" s="1"/>
  <c r="R177" i="5" s="1"/>
  <c r="S177" i="5" s="1"/>
  <c r="T177" i="5" s="1"/>
  <c r="U177" i="5" s="1"/>
  <c r="V177" i="5" s="1"/>
  <c r="W177" i="5" s="1"/>
  <c r="X177" i="5" s="1"/>
  <c r="Y177" i="5" s="1"/>
  <c r="Z177" i="5" s="1"/>
  <c r="AD177" i="5" s="1"/>
  <c r="P187" i="5"/>
  <c r="Q187" i="5" s="1"/>
  <c r="R187" i="5" s="1"/>
  <c r="S187" i="5" s="1"/>
  <c r="T187" i="5" s="1"/>
  <c r="U187" i="5" s="1"/>
  <c r="V187" i="5" s="1"/>
  <c r="W187" i="5" s="1"/>
  <c r="X187" i="5" s="1"/>
  <c r="Y187" i="5" s="1"/>
  <c r="Z187" i="5" s="1"/>
  <c r="AD187" i="5" s="1"/>
  <c r="P203" i="5"/>
  <c r="Q203" i="5" s="1"/>
  <c r="R203" i="5" s="1"/>
  <c r="S203" i="5" s="1"/>
  <c r="T203" i="5" s="1"/>
  <c r="U203" i="5" s="1"/>
  <c r="V203" i="5" s="1"/>
  <c r="W203" i="5" s="1"/>
  <c r="X203" i="5" s="1"/>
  <c r="Y203" i="5" s="1"/>
  <c r="Z203" i="5" s="1"/>
  <c r="AD203" i="5" s="1"/>
  <c r="P211" i="5"/>
  <c r="Q211" i="5" s="1"/>
  <c r="R211" i="5" s="1"/>
  <c r="S211" i="5" s="1"/>
  <c r="T211" i="5" s="1"/>
  <c r="U211" i="5" s="1"/>
  <c r="V211" i="5" s="1"/>
  <c r="W211" i="5" s="1"/>
  <c r="X211" i="5" s="1"/>
  <c r="Y211" i="5" s="1"/>
  <c r="Z211" i="5" s="1"/>
  <c r="AD211" i="5" s="1"/>
  <c r="P219" i="5"/>
  <c r="Q219" i="5" s="1"/>
  <c r="R219" i="5" s="1"/>
  <c r="S219" i="5" s="1"/>
  <c r="T219" i="5" s="1"/>
  <c r="U219" i="5" s="1"/>
  <c r="V219" i="5" s="1"/>
  <c r="W219" i="5" s="1"/>
  <c r="X219" i="5" s="1"/>
  <c r="Y219" i="5" s="1"/>
  <c r="Z219" i="5" s="1"/>
  <c r="AD219" i="5" s="1"/>
  <c r="AS243" i="5"/>
  <c r="AT243" i="5" s="1"/>
  <c r="AU243" i="5" s="1"/>
  <c r="AV243" i="5" s="1"/>
  <c r="AW243" i="5" s="1"/>
  <c r="AX243" i="5" s="1"/>
  <c r="AY243" i="5" s="1"/>
  <c r="AZ243" i="5" s="1"/>
  <c r="BA243" i="5" s="1"/>
  <c r="AR243" i="5"/>
  <c r="P355" i="5"/>
  <c r="Q355" i="5" s="1"/>
  <c r="R355" i="5" s="1"/>
  <c r="S355" i="5" s="1"/>
  <c r="T355" i="5" s="1"/>
  <c r="U355" i="5" s="1"/>
  <c r="V355" i="5" s="1"/>
  <c r="W355" i="5" s="1"/>
  <c r="X355" i="5" s="1"/>
  <c r="Y355" i="5" s="1"/>
  <c r="Z355" i="5" s="1"/>
  <c r="AD355" i="5" s="1"/>
  <c r="P363" i="5"/>
  <c r="Q363" i="5" s="1"/>
  <c r="R363" i="5" s="1"/>
  <c r="S363" i="5" s="1"/>
  <c r="T363" i="5" s="1"/>
  <c r="U363" i="5" s="1"/>
  <c r="V363" i="5" s="1"/>
  <c r="W363" i="5" s="1"/>
  <c r="X363" i="5" s="1"/>
  <c r="Y363" i="5" s="1"/>
  <c r="Z363" i="5" s="1"/>
  <c r="AD363" i="5" s="1"/>
  <c r="P375" i="5"/>
  <c r="Q375" i="5" s="1"/>
  <c r="R375" i="5" s="1"/>
  <c r="S375" i="5" s="1"/>
  <c r="T375" i="5" s="1"/>
  <c r="U375" i="5" s="1"/>
  <c r="V375" i="5" s="1"/>
  <c r="W375" i="5" s="1"/>
  <c r="X375" i="5" s="1"/>
  <c r="Y375" i="5" s="1"/>
  <c r="Z375" i="5" s="1"/>
  <c r="AD375" i="5" s="1"/>
  <c r="P381" i="5"/>
  <c r="Q381" i="5" s="1"/>
  <c r="R381" i="5" s="1"/>
  <c r="S381" i="5" s="1"/>
  <c r="T381" i="5" s="1"/>
  <c r="U381" i="5" s="1"/>
  <c r="V381" i="5" s="1"/>
  <c r="W381" i="5" s="1"/>
  <c r="X381" i="5" s="1"/>
  <c r="Y381" i="5" s="1"/>
  <c r="Z381" i="5" s="1"/>
  <c r="AD381" i="5" s="1"/>
  <c r="P120" i="5"/>
  <c r="Q120" i="5" s="1"/>
  <c r="R120" i="5" s="1"/>
  <c r="S120" i="5" s="1"/>
  <c r="T120" i="5" s="1"/>
  <c r="U120" i="5" s="1"/>
  <c r="V120" i="5" s="1"/>
  <c r="W120" i="5" s="1"/>
  <c r="X120" i="5" s="1"/>
  <c r="Y120" i="5" s="1"/>
  <c r="Z120" i="5" s="1"/>
  <c r="AD120" i="5" s="1"/>
  <c r="P210" i="5"/>
  <c r="Q210" i="5" s="1"/>
  <c r="R210" i="5" s="1"/>
  <c r="S210" i="5" s="1"/>
  <c r="T210" i="5" s="1"/>
  <c r="U210" i="5" s="1"/>
  <c r="V210" i="5" s="1"/>
  <c r="W210" i="5" s="1"/>
  <c r="X210" i="5" s="1"/>
  <c r="Y210" i="5" s="1"/>
  <c r="Z210" i="5" s="1"/>
  <c r="AD210" i="5" s="1"/>
  <c r="P218" i="5"/>
  <c r="Q218" i="5" s="1"/>
  <c r="R218" i="5" s="1"/>
  <c r="S218" i="5" s="1"/>
  <c r="T218" i="5" s="1"/>
  <c r="U218" i="5" s="1"/>
  <c r="V218" i="5" s="1"/>
  <c r="W218" i="5" s="1"/>
  <c r="X218" i="5" s="1"/>
  <c r="Y218" i="5" s="1"/>
  <c r="Z218" i="5" s="1"/>
  <c r="AD218" i="5" s="1"/>
  <c r="AS242" i="5"/>
  <c r="AT242" i="5" s="1"/>
  <c r="AU242" i="5" s="1"/>
  <c r="AV242" i="5" s="1"/>
  <c r="AW242" i="5" s="1"/>
  <c r="AX242" i="5" s="1"/>
  <c r="AY242" i="5" s="1"/>
  <c r="AZ242" i="5" s="1"/>
  <c r="BA242" i="5" s="1"/>
  <c r="AR242" i="5"/>
  <c r="P430" i="5"/>
  <c r="Q430" i="5" s="1"/>
  <c r="R430" i="5" s="1"/>
  <c r="S430" i="5" s="1"/>
  <c r="T430" i="5" s="1"/>
  <c r="U430" i="5" s="1"/>
  <c r="V430" i="5" s="1"/>
  <c r="W430" i="5" s="1"/>
  <c r="X430" i="5" s="1"/>
  <c r="Y430" i="5" s="1"/>
  <c r="Z430" i="5" s="1"/>
  <c r="AD430" i="5" s="1"/>
  <c r="AT565" i="5"/>
  <c r="CN579" i="1" l="1"/>
  <c r="CN382" i="1"/>
  <c r="CO382" i="1" s="1"/>
  <c r="CP382" i="1" s="1"/>
  <c r="CQ382" i="1" s="1"/>
  <c r="CR382" i="1" s="1"/>
  <c r="CS382" i="1" s="1"/>
  <c r="CT382" i="1" s="1"/>
  <c r="CU382" i="1" s="1"/>
  <c r="CV382" i="1" s="1"/>
  <c r="CW382" i="1" s="1"/>
  <c r="CX382" i="1" s="1"/>
  <c r="CY382" i="1" s="1"/>
  <c r="CN578" i="1"/>
  <c r="CN264" i="1"/>
  <c r="CN108" i="1"/>
  <c r="CN4" i="1"/>
  <c r="CO4" i="1" s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N386" i="1"/>
  <c r="BV579" i="1"/>
  <c r="BV108" i="1"/>
  <c r="BV382" i="1"/>
  <c r="BV264" i="1"/>
  <c r="CZ377" i="1"/>
  <c r="CZ263" i="1"/>
  <c r="CK579" i="1"/>
  <c r="CZ384" i="1"/>
  <c r="CZ77" i="1"/>
  <c r="CK264" i="1"/>
  <c r="CK382" i="1"/>
  <c r="CK108" i="1"/>
  <c r="CZ276" i="1"/>
  <c r="CZ76" i="1"/>
  <c r="CZ395" i="1"/>
  <c r="CK578" i="1"/>
  <c r="CZ21" i="1"/>
  <c r="CZ375" i="1"/>
  <c r="CZ390" i="1"/>
  <c r="CZ504" i="1"/>
  <c r="CO264" i="1"/>
  <c r="CP264" i="1" s="1"/>
  <c r="CQ264" i="1" s="1"/>
  <c r="CR264" i="1" s="1"/>
  <c r="CS264" i="1" s="1"/>
  <c r="CT264" i="1" s="1"/>
  <c r="CU264" i="1" s="1"/>
  <c r="CV264" i="1" s="1"/>
  <c r="CW264" i="1" s="1"/>
  <c r="CX264" i="1" s="1"/>
  <c r="CY264" i="1" s="1"/>
  <c r="CZ204" i="1"/>
  <c r="CZ417" i="1"/>
  <c r="CZ388" i="1"/>
  <c r="CZ346" i="1"/>
  <c r="CZ415" i="1"/>
  <c r="CZ408" i="1"/>
  <c r="CO579" i="1"/>
  <c r="CP579" i="1" s="1"/>
  <c r="CQ579" i="1" s="1"/>
  <c r="CR579" i="1" s="1"/>
  <c r="CS579" i="1" s="1"/>
  <c r="CT579" i="1" s="1"/>
  <c r="CU579" i="1" s="1"/>
  <c r="CV579" i="1" s="1"/>
  <c r="CW579" i="1" s="1"/>
  <c r="CX579" i="1" s="1"/>
  <c r="CY579" i="1" s="1"/>
  <c r="CZ387" i="1"/>
  <c r="CZ355" i="1"/>
  <c r="CZ105" i="1"/>
  <c r="CK386" i="1"/>
  <c r="CZ398" i="1"/>
  <c r="CZ268" i="1"/>
  <c r="CO386" i="1"/>
  <c r="CP386" i="1" s="1"/>
  <c r="CQ386" i="1" s="1"/>
  <c r="CR386" i="1" s="1"/>
  <c r="CS386" i="1" s="1"/>
  <c r="CT386" i="1" s="1"/>
  <c r="CU386" i="1" s="1"/>
  <c r="CV386" i="1" s="1"/>
  <c r="CW386" i="1" s="1"/>
  <c r="CX386" i="1" s="1"/>
  <c r="CY386" i="1" s="1"/>
  <c r="CZ374" i="1"/>
  <c r="CO108" i="1"/>
  <c r="CP108" i="1" s="1"/>
  <c r="CQ108" i="1" s="1"/>
  <c r="CR108" i="1" s="1"/>
  <c r="CS108" i="1" s="1"/>
  <c r="CT108" i="1" s="1"/>
  <c r="CU108" i="1" s="1"/>
  <c r="CV108" i="1" s="1"/>
  <c r="CW108" i="1" s="1"/>
  <c r="CX108" i="1" s="1"/>
  <c r="CY108" i="1" s="1"/>
  <c r="CK4" i="1"/>
  <c r="N576" i="5"/>
  <c r="N665" i="5"/>
  <c r="AA303" i="5"/>
  <c r="AA342" i="5"/>
  <c r="N518" i="5"/>
  <c r="N664" i="5"/>
  <c r="N668" i="5"/>
  <c r="N511" i="5"/>
  <c r="AC665" i="5"/>
  <c r="N155" i="5"/>
  <c r="N669" i="5"/>
  <c r="N679" i="5" s="1"/>
  <c r="AA302" i="5"/>
  <c r="AA205" i="5"/>
  <c r="AA71" i="5"/>
  <c r="AA210" i="5"/>
  <c r="AA360" i="5"/>
  <c r="AA201" i="5"/>
  <c r="AA274" i="5"/>
  <c r="AA471" i="5"/>
  <c r="AA381" i="5"/>
  <c r="AA211" i="5"/>
  <c r="AA159" i="5"/>
  <c r="AA206" i="5"/>
  <c r="AA278" i="5"/>
  <c r="AA468" i="5"/>
  <c r="AA389" i="5"/>
  <c r="AA259" i="5"/>
  <c r="AA256" i="5"/>
  <c r="AA279" i="5"/>
  <c r="AA400" i="5"/>
  <c r="AA208" i="5"/>
  <c r="AA404" i="5"/>
  <c r="AA204" i="5"/>
  <c r="AA72" i="5"/>
  <c r="AA503" i="5"/>
  <c r="AA391" i="5"/>
  <c r="AA217" i="5"/>
  <c r="AA429" i="5"/>
  <c r="AA207" i="5"/>
  <c r="AA93" i="5"/>
  <c r="AA51" i="5"/>
  <c r="AA423" i="5"/>
  <c r="AA77" i="5"/>
  <c r="AA299" i="5"/>
  <c r="AA506" i="5"/>
  <c r="AA157" i="5"/>
  <c r="AA269" i="5"/>
  <c r="AA261" i="5"/>
  <c r="AA190" i="5"/>
  <c r="AA431" i="5"/>
  <c r="AA275" i="5"/>
  <c r="AA300" i="5"/>
  <c r="AA270" i="5"/>
  <c r="AA65" i="5"/>
  <c r="AA218" i="5"/>
  <c r="AA120" i="5"/>
  <c r="AA375" i="5"/>
  <c r="AC664" i="5"/>
  <c r="AA354" i="5"/>
  <c r="AA69" i="5"/>
  <c r="AA216" i="5"/>
  <c r="AA515" i="5"/>
  <c r="AA281" i="5"/>
  <c r="AA301" i="5"/>
  <c r="AA214" i="5"/>
  <c r="AR670" i="5"/>
  <c r="AR678" i="5" s="1"/>
  <c r="AA70" i="5"/>
  <c r="AA498" i="5"/>
  <c r="AA266" i="5"/>
  <c r="AA182" i="5"/>
  <c r="AA68" i="5"/>
  <c r="AA295" i="5"/>
  <c r="AA66" i="5"/>
  <c r="AA355" i="5"/>
  <c r="AA219" i="5"/>
  <c r="AA203" i="5"/>
  <c r="AA469" i="5"/>
  <c r="AA209" i="5"/>
  <c r="AA376" i="5"/>
  <c r="AA352" i="5"/>
  <c r="AA418" i="5"/>
  <c r="AA386" i="5"/>
  <c r="AA215" i="5"/>
  <c r="AA81" i="5"/>
  <c r="AA413" i="5"/>
  <c r="AA265" i="5"/>
  <c r="AA470" i="5"/>
  <c r="AA112" i="5"/>
  <c r="AA212" i="5"/>
  <c r="AA192" i="5"/>
  <c r="AA277" i="5"/>
  <c r="AA80" i="5"/>
  <c r="AA255" i="5"/>
  <c r="AA264" i="5"/>
  <c r="AA115" i="5"/>
  <c r="AA416" i="5"/>
  <c r="AA383" i="5"/>
  <c r="AA213" i="5"/>
  <c r="AE363" i="5"/>
  <c r="AF363" i="5" s="1"/>
  <c r="AG363" i="5" s="1"/>
  <c r="AH363" i="5" s="1"/>
  <c r="AI363" i="5" s="1"/>
  <c r="AJ363" i="5" s="1"/>
  <c r="AK363" i="5" s="1"/>
  <c r="AL363" i="5" s="1"/>
  <c r="AM363" i="5" s="1"/>
  <c r="AN363" i="5" s="1"/>
  <c r="AO363" i="5" s="1"/>
  <c r="AS363" i="5" s="1"/>
  <c r="AE187" i="5"/>
  <c r="AF187" i="5" s="1"/>
  <c r="AG187" i="5" s="1"/>
  <c r="AH187" i="5" s="1"/>
  <c r="AI187" i="5" s="1"/>
  <c r="AJ187" i="5" s="1"/>
  <c r="AK187" i="5" s="1"/>
  <c r="AL187" i="5" s="1"/>
  <c r="AM187" i="5" s="1"/>
  <c r="AN187" i="5" s="1"/>
  <c r="AO187" i="5" s="1"/>
  <c r="AS187" i="5" s="1"/>
  <c r="AE171" i="5"/>
  <c r="AF171" i="5" s="1"/>
  <c r="AG171" i="5" s="1"/>
  <c r="AH171" i="5" s="1"/>
  <c r="AI171" i="5" s="1"/>
  <c r="AJ171" i="5" s="1"/>
  <c r="AK171" i="5" s="1"/>
  <c r="AL171" i="5" s="1"/>
  <c r="AM171" i="5" s="1"/>
  <c r="AN171" i="5" s="1"/>
  <c r="AO171" i="5" s="1"/>
  <c r="AS171" i="5" s="1"/>
  <c r="AE43" i="5"/>
  <c r="AF43" i="5" s="1"/>
  <c r="AG43" i="5" s="1"/>
  <c r="AH43" i="5" s="1"/>
  <c r="AI43" i="5" s="1"/>
  <c r="AJ43" i="5" s="1"/>
  <c r="AK43" i="5" s="1"/>
  <c r="AL43" i="5" s="1"/>
  <c r="AM43" i="5" s="1"/>
  <c r="AN43" i="5" s="1"/>
  <c r="AO43" i="5" s="1"/>
  <c r="AS43" i="5" s="1"/>
  <c r="AE113" i="5"/>
  <c r="AF113" i="5" s="1"/>
  <c r="AG113" i="5" s="1"/>
  <c r="AH113" i="5" s="1"/>
  <c r="AI113" i="5" s="1"/>
  <c r="AJ113" i="5" s="1"/>
  <c r="AK113" i="5" s="1"/>
  <c r="AL113" i="5" s="1"/>
  <c r="AM113" i="5" s="1"/>
  <c r="AN113" i="5" s="1"/>
  <c r="AO113" i="5" s="1"/>
  <c r="AS113" i="5" s="1"/>
  <c r="AE22" i="5"/>
  <c r="AF22" i="5" s="1"/>
  <c r="AG22" i="5" s="1"/>
  <c r="AH22" i="5" s="1"/>
  <c r="AI22" i="5" s="1"/>
  <c r="AJ22" i="5" s="1"/>
  <c r="AK22" i="5" s="1"/>
  <c r="AL22" i="5" s="1"/>
  <c r="AM22" i="5" s="1"/>
  <c r="AN22" i="5" s="1"/>
  <c r="AO22" i="5" s="1"/>
  <c r="AS22" i="5" s="1"/>
  <c r="AE405" i="5"/>
  <c r="AF405" i="5" s="1"/>
  <c r="AG405" i="5" s="1"/>
  <c r="AH405" i="5" s="1"/>
  <c r="AI405" i="5" s="1"/>
  <c r="AJ405" i="5" s="1"/>
  <c r="AK405" i="5" s="1"/>
  <c r="AL405" i="5" s="1"/>
  <c r="AM405" i="5" s="1"/>
  <c r="AN405" i="5" s="1"/>
  <c r="AO405" i="5" s="1"/>
  <c r="AS405" i="5" s="1"/>
  <c r="AE347" i="5"/>
  <c r="AF347" i="5" s="1"/>
  <c r="AG347" i="5" s="1"/>
  <c r="AH347" i="5" s="1"/>
  <c r="AI347" i="5" s="1"/>
  <c r="AJ347" i="5" s="1"/>
  <c r="AK347" i="5" s="1"/>
  <c r="AL347" i="5" s="1"/>
  <c r="AM347" i="5" s="1"/>
  <c r="AN347" i="5" s="1"/>
  <c r="AO347" i="5" s="1"/>
  <c r="AS347" i="5" s="1"/>
  <c r="AE287" i="5"/>
  <c r="AF287" i="5" s="1"/>
  <c r="AG287" i="5" s="1"/>
  <c r="AH287" i="5" s="1"/>
  <c r="AI287" i="5" s="1"/>
  <c r="AJ287" i="5" s="1"/>
  <c r="AK287" i="5" s="1"/>
  <c r="AL287" i="5" s="1"/>
  <c r="AM287" i="5" s="1"/>
  <c r="AN287" i="5" s="1"/>
  <c r="AO287" i="5" s="1"/>
  <c r="AS287" i="5" s="1"/>
  <c r="AE254" i="5"/>
  <c r="AF254" i="5" s="1"/>
  <c r="AG254" i="5" s="1"/>
  <c r="AH254" i="5" s="1"/>
  <c r="AI254" i="5" s="1"/>
  <c r="AJ254" i="5" s="1"/>
  <c r="AK254" i="5" s="1"/>
  <c r="AL254" i="5" s="1"/>
  <c r="AM254" i="5" s="1"/>
  <c r="AN254" i="5" s="1"/>
  <c r="AO254" i="5" s="1"/>
  <c r="AS254" i="5" s="1"/>
  <c r="AE263" i="5"/>
  <c r="AF263" i="5" s="1"/>
  <c r="AG263" i="5" s="1"/>
  <c r="AH263" i="5" s="1"/>
  <c r="AI263" i="5" s="1"/>
  <c r="AJ263" i="5" s="1"/>
  <c r="AK263" i="5" s="1"/>
  <c r="AL263" i="5" s="1"/>
  <c r="AM263" i="5" s="1"/>
  <c r="AN263" i="5" s="1"/>
  <c r="AO263" i="5" s="1"/>
  <c r="AS263" i="5" s="1"/>
  <c r="AU8" i="5"/>
  <c r="AE476" i="5"/>
  <c r="AF476" i="5" s="1"/>
  <c r="AG476" i="5" s="1"/>
  <c r="AH476" i="5" s="1"/>
  <c r="AI476" i="5" s="1"/>
  <c r="AJ476" i="5" s="1"/>
  <c r="AK476" i="5" s="1"/>
  <c r="AL476" i="5" s="1"/>
  <c r="AM476" i="5" s="1"/>
  <c r="AN476" i="5" s="1"/>
  <c r="AO476" i="5" s="1"/>
  <c r="AS476" i="5" s="1"/>
  <c r="AE188" i="5"/>
  <c r="AF188" i="5" s="1"/>
  <c r="AG188" i="5" s="1"/>
  <c r="AH188" i="5" s="1"/>
  <c r="AI188" i="5" s="1"/>
  <c r="AJ188" i="5" s="1"/>
  <c r="AK188" i="5" s="1"/>
  <c r="AL188" i="5" s="1"/>
  <c r="AM188" i="5" s="1"/>
  <c r="AN188" i="5" s="1"/>
  <c r="AO188" i="5" s="1"/>
  <c r="AS188" i="5" s="1"/>
  <c r="AE273" i="5"/>
  <c r="AF273" i="5" s="1"/>
  <c r="AG273" i="5" s="1"/>
  <c r="AH273" i="5" s="1"/>
  <c r="AI273" i="5" s="1"/>
  <c r="AJ273" i="5" s="1"/>
  <c r="AK273" i="5" s="1"/>
  <c r="AL273" i="5" s="1"/>
  <c r="AM273" i="5" s="1"/>
  <c r="AN273" i="5" s="1"/>
  <c r="AO273" i="5" s="1"/>
  <c r="AS273" i="5" s="1"/>
  <c r="AE181" i="5"/>
  <c r="AF181" i="5" s="1"/>
  <c r="AG181" i="5" s="1"/>
  <c r="AH181" i="5" s="1"/>
  <c r="AI181" i="5" s="1"/>
  <c r="AJ181" i="5" s="1"/>
  <c r="AK181" i="5" s="1"/>
  <c r="AL181" i="5" s="1"/>
  <c r="AM181" i="5" s="1"/>
  <c r="AN181" i="5" s="1"/>
  <c r="AO181" i="5" s="1"/>
  <c r="AS181" i="5" s="1"/>
  <c r="AE258" i="5"/>
  <c r="AF258" i="5" s="1"/>
  <c r="AG258" i="5" s="1"/>
  <c r="AH258" i="5" s="1"/>
  <c r="AI258" i="5" s="1"/>
  <c r="AJ258" i="5" s="1"/>
  <c r="AK258" i="5" s="1"/>
  <c r="AL258" i="5" s="1"/>
  <c r="AM258" i="5" s="1"/>
  <c r="AN258" i="5" s="1"/>
  <c r="AO258" i="5" s="1"/>
  <c r="AS258" i="5" s="1"/>
  <c r="P511" i="5"/>
  <c r="Q513" i="5"/>
  <c r="AE276" i="5"/>
  <c r="AF276" i="5" s="1"/>
  <c r="AG276" i="5" s="1"/>
  <c r="AH276" i="5" s="1"/>
  <c r="AI276" i="5" s="1"/>
  <c r="AJ276" i="5" s="1"/>
  <c r="AK276" i="5" s="1"/>
  <c r="AL276" i="5" s="1"/>
  <c r="AM276" i="5" s="1"/>
  <c r="AN276" i="5" s="1"/>
  <c r="AO276" i="5" s="1"/>
  <c r="AS276" i="5" s="1"/>
  <c r="AE50" i="5"/>
  <c r="AF50" i="5" s="1"/>
  <c r="AG50" i="5" s="1"/>
  <c r="AH50" i="5" s="1"/>
  <c r="AI50" i="5" s="1"/>
  <c r="AJ50" i="5" s="1"/>
  <c r="AK50" i="5" s="1"/>
  <c r="AL50" i="5" s="1"/>
  <c r="AM50" i="5" s="1"/>
  <c r="AN50" i="5" s="1"/>
  <c r="AO50" i="5" s="1"/>
  <c r="AS50" i="5" s="1"/>
  <c r="AE106" i="5"/>
  <c r="AF106" i="5" s="1"/>
  <c r="AG106" i="5" s="1"/>
  <c r="AH106" i="5" s="1"/>
  <c r="AI106" i="5" s="1"/>
  <c r="AJ106" i="5" s="1"/>
  <c r="AK106" i="5" s="1"/>
  <c r="AL106" i="5" s="1"/>
  <c r="AM106" i="5" s="1"/>
  <c r="AN106" i="5" s="1"/>
  <c r="AO106" i="5" s="1"/>
  <c r="AS106" i="5" s="1"/>
  <c r="AR4" i="5"/>
  <c r="AE396" i="5"/>
  <c r="AF396" i="5" s="1"/>
  <c r="AG396" i="5" s="1"/>
  <c r="AH396" i="5" s="1"/>
  <c r="AI396" i="5" s="1"/>
  <c r="AJ396" i="5" s="1"/>
  <c r="AK396" i="5" s="1"/>
  <c r="AL396" i="5" s="1"/>
  <c r="AM396" i="5" s="1"/>
  <c r="AN396" i="5" s="1"/>
  <c r="AO396" i="5" s="1"/>
  <c r="AS396" i="5" s="1"/>
  <c r="AE378" i="5"/>
  <c r="AF378" i="5" s="1"/>
  <c r="AG378" i="5" s="1"/>
  <c r="AH378" i="5" s="1"/>
  <c r="AI378" i="5" s="1"/>
  <c r="AJ378" i="5" s="1"/>
  <c r="AK378" i="5" s="1"/>
  <c r="AL378" i="5" s="1"/>
  <c r="AM378" i="5" s="1"/>
  <c r="AN378" i="5" s="1"/>
  <c r="AO378" i="5" s="1"/>
  <c r="AS378" i="5" s="1"/>
  <c r="AE183" i="5"/>
  <c r="AF183" i="5" s="1"/>
  <c r="AG183" i="5" s="1"/>
  <c r="AH183" i="5" s="1"/>
  <c r="AI183" i="5" s="1"/>
  <c r="AJ183" i="5" s="1"/>
  <c r="AK183" i="5" s="1"/>
  <c r="AL183" i="5" s="1"/>
  <c r="AM183" i="5" s="1"/>
  <c r="AN183" i="5" s="1"/>
  <c r="AO183" i="5" s="1"/>
  <c r="AS183" i="5" s="1"/>
  <c r="AC670" i="5"/>
  <c r="AC678" i="5" s="1"/>
  <c r="AE397" i="5"/>
  <c r="AF397" i="5" s="1"/>
  <c r="AG397" i="5" s="1"/>
  <c r="AH397" i="5" s="1"/>
  <c r="AI397" i="5" s="1"/>
  <c r="AJ397" i="5" s="1"/>
  <c r="AK397" i="5" s="1"/>
  <c r="AL397" i="5" s="1"/>
  <c r="AM397" i="5" s="1"/>
  <c r="AN397" i="5" s="1"/>
  <c r="AO397" i="5" s="1"/>
  <c r="AS397" i="5" s="1"/>
  <c r="AE422" i="5"/>
  <c r="AF422" i="5" s="1"/>
  <c r="AG422" i="5" s="1"/>
  <c r="AH422" i="5" s="1"/>
  <c r="AI422" i="5" s="1"/>
  <c r="AJ422" i="5" s="1"/>
  <c r="AK422" i="5" s="1"/>
  <c r="AL422" i="5" s="1"/>
  <c r="AM422" i="5" s="1"/>
  <c r="AN422" i="5" s="1"/>
  <c r="AO422" i="5" s="1"/>
  <c r="AS422" i="5" s="1"/>
  <c r="AE257" i="5"/>
  <c r="AF257" i="5" s="1"/>
  <c r="AG257" i="5" s="1"/>
  <c r="AH257" i="5" s="1"/>
  <c r="AI257" i="5" s="1"/>
  <c r="AJ257" i="5" s="1"/>
  <c r="AK257" i="5" s="1"/>
  <c r="AL257" i="5" s="1"/>
  <c r="AM257" i="5" s="1"/>
  <c r="AN257" i="5" s="1"/>
  <c r="AO257" i="5" s="1"/>
  <c r="AS257" i="5" s="1"/>
  <c r="AE372" i="5"/>
  <c r="AF372" i="5" s="1"/>
  <c r="AG372" i="5" s="1"/>
  <c r="AH372" i="5" s="1"/>
  <c r="AI372" i="5" s="1"/>
  <c r="AJ372" i="5" s="1"/>
  <c r="AK372" i="5" s="1"/>
  <c r="AL372" i="5" s="1"/>
  <c r="AM372" i="5" s="1"/>
  <c r="AN372" i="5" s="1"/>
  <c r="AO372" i="5" s="1"/>
  <c r="AS372" i="5" s="1"/>
  <c r="AE76" i="5"/>
  <c r="AF76" i="5" s="1"/>
  <c r="AG76" i="5" s="1"/>
  <c r="AH76" i="5" s="1"/>
  <c r="AI76" i="5" s="1"/>
  <c r="AJ76" i="5" s="1"/>
  <c r="AK76" i="5" s="1"/>
  <c r="AL76" i="5" s="1"/>
  <c r="AM76" i="5" s="1"/>
  <c r="AN76" i="5" s="1"/>
  <c r="AO76" i="5" s="1"/>
  <c r="AS76" i="5" s="1"/>
  <c r="AE424" i="5"/>
  <c r="AF424" i="5" s="1"/>
  <c r="AG424" i="5" s="1"/>
  <c r="AH424" i="5" s="1"/>
  <c r="AI424" i="5" s="1"/>
  <c r="AJ424" i="5" s="1"/>
  <c r="AK424" i="5" s="1"/>
  <c r="AL424" i="5" s="1"/>
  <c r="AM424" i="5" s="1"/>
  <c r="AN424" i="5" s="1"/>
  <c r="AO424" i="5" s="1"/>
  <c r="AS424" i="5" s="1"/>
  <c r="AE399" i="5"/>
  <c r="AF399" i="5" s="1"/>
  <c r="AG399" i="5" s="1"/>
  <c r="AH399" i="5" s="1"/>
  <c r="AI399" i="5" s="1"/>
  <c r="AJ399" i="5" s="1"/>
  <c r="AK399" i="5" s="1"/>
  <c r="AL399" i="5" s="1"/>
  <c r="AM399" i="5" s="1"/>
  <c r="AN399" i="5" s="1"/>
  <c r="AO399" i="5" s="1"/>
  <c r="AS399" i="5" s="1"/>
  <c r="AE267" i="5"/>
  <c r="AF267" i="5" s="1"/>
  <c r="AG267" i="5" s="1"/>
  <c r="AH267" i="5" s="1"/>
  <c r="AI267" i="5" s="1"/>
  <c r="AJ267" i="5" s="1"/>
  <c r="AK267" i="5" s="1"/>
  <c r="AL267" i="5" s="1"/>
  <c r="AM267" i="5" s="1"/>
  <c r="AN267" i="5" s="1"/>
  <c r="AO267" i="5" s="1"/>
  <c r="AS267" i="5" s="1"/>
  <c r="AE172" i="5"/>
  <c r="AF172" i="5" s="1"/>
  <c r="AG172" i="5" s="1"/>
  <c r="AH172" i="5" s="1"/>
  <c r="AI172" i="5" s="1"/>
  <c r="AJ172" i="5" s="1"/>
  <c r="AK172" i="5" s="1"/>
  <c r="AL172" i="5" s="1"/>
  <c r="AM172" i="5" s="1"/>
  <c r="AN172" i="5" s="1"/>
  <c r="AO172" i="5" s="1"/>
  <c r="AS172" i="5" s="1"/>
  <c r="AU44" i="5"/>
  <c r="Q509" i="5"/>
  <c r="P508" i="5"/>
  <c r="AE387" i="5"/>
  <c r="AF387" i="5" s="1"/>
  <c r="AG387" i="5" s="1"/>
  <c r="AH387" i="5" s="1"/>
  <c r="AI387" i="5" s="1"/>
  <c r="AJ387" i="5" s="1"/>
  <c r="AK387" i="5" s="1"/>
  <c r="AL387" i="5" s="1"/>
  <c r="AM387" i="5" s="1"/>
  <c r="AN387" i="5" s="1"/>
  <c r="AO387" i="5" s="1"/>
  <c r="AS387" i="5" s="1"/>
  <c r="AE369" i="5"/>
  <c r="AF369" i="5" s="1"/>
  <c r="AG369" i="5" s="1"/>
  <c r="AH369" i="5" s="1"/>
  <c r="AI369" i="5" s="1"/>
  <c r="AJ369" i="5" s="1"/>
  <c r="AK369" i="5" s="1"/>
  <c r="AL369" i="5" s="1"/>
  <c r="AM369" i="5" s="1"/>
  <c r="AN369" i="5" s="1"/>
  <c r="AO369" i="5" s="1"/>
  <c r="AS369" i="5" s="1"/>
  <c r="AE179" i="5"/>
  <c r="AF179" i="5" s="1"/>
  <c r="AG179" i="5" s="1"/>
  <c r="AH179" i="5" s="1"/>
  <c r="AI179" i="5" s="1"/>
  <c r="AJ179" i="5" s="1"/>
  <c r="AK179" i="5" s="1"/>
  <c r="AL179" i="5" s="1"/>
  <c r="AM179" i="5" s="1"/>
  <c r="AN179" i="5" s="1"/>
  <c r="AO179" i="5" s="1"/>
  <c r="AS179" i="5" s="1"/>
  <c r="AE64" i="5"/>
  <c r="AF64" i="5" s="1"/>
  <c r="AG64" i="5" s="1"/>
  <c r="AH64" i="5" s="1"/>
  <c r="AI64" i="5" s="1"/>
  <c r="AJ64" i="5" s="1"/>
  <c r="AK64" i="5" s="1"/>
  <c r="AL64" i="5" s="1"/>
  <c r="AM64" i="5" s="1"/>
  <c r="AN64" i="5" s="1"/>
  <c r="AO64" i="5" s="1"/>
  <c r="AS64" i="5" s="1"/>
  <c r="Q5" i="5"/>
  <c r="P4" i="5"/>
  <c r="AE475" i="5"/>
  <c r="AF475" i="5" s="1"/>
  <c r="AG475" i="5" s="1"/>
  <c r="AH475" i="5" s="1"/>
  <c r="AI475" i="5" s="1"/>
  <c r="AJ475" i="5" s="1"/>
  <c r="AK475" i="5" s="1"/>
  <c r="AL475" i="5" s="1"/>
  <c r="AM475" i="5" s="1"/>
  <c r="AN475" i="5" s="1"/>
  <c r="AO475" i="5" s="1"/>
  <c r="AS475" i="5" s="1"/>
  <c r="AE272" i="5"/>
  <c r="AF272" i="5" s="1"/>
  <c r="AG272" i="5" s="1"/>
  <c r="AH272" i="5" s="1"/>
  <c r="AI272" i="5" s="1"/>
  <c r="AJ272" i="5" s="1"/>
  <c r="AK272" i="5" s="1"/>
  <c r="AL272" i="5" s="1"/>
  <c r="AM272" i="5" s="1"/>
  <c r="AN272" i="5" s="1"/>
  <c r="AO272" i="5" s="1"/>
  <c r="AS272" i="5" s="1"/>
  <c r="AE109" i="5"/>
  <c r="AF109" i="5" s="1"/>
  <c r="AG109" i="5" s="1"/>
  <c r="AH109" i="5" s="1"/>
  <c r="AI109" i="5" s="1"/>
  <c r="AJ109" i="5" s="1"/>
  <c r="AK109" i="5" s="1"/>
  <c r="AL109" i="5" s="1"/>
  <c r="AM109" i="5" s="1"/>
  <c r="AN109" i="5" s="1"/>
  <c r="AO109" i="5" s="1"/>
  <c r="AS109" i="5" s="1"/>
  <c r="AE534" i="5"/>
  <c r="AF534" i="5" s="1"/>
  <c r="AG534" i="5" s="1"/>
  <c r="AH534" i="5" s="1"/>
  <c r="AI534" i="5" s="1"/>
  <c r="AJ534" i="5" s="1"/>
  <c r="AK534" i="5" s="1"/>
  <c r="AL534" i="5" s="1"/>
  <c r="AM534" i="5" s="1"/>
  <c r="AN534" i="5" s="1"/>
  <c r="AO534" i="5" s="1"/>
  <c r="AS534" i="5" s="1"/>
  <c r="AR583" i="5"/>
  <c r="AR576" i="5" s="1"/>
  <c r="AC576" i="5"/>
  <c r="AE260" i="5"/>
  <c r="AF260" i="5" s="1"/>
  <c r="AG260" i="5" s="1"/>
  <c r="AH260" i="5" s="1"/>
  <c r="AI260" i="5" s="1"/>
  <c r="AJ260" i="5" s="1"/>
  <c r="AK260" i="5" s="1"/>
  <c r="AL260" i="5" s="1"/>
  <c r="AM260" i="5" s="1"/>
  <c r="AN260" i="5" s="1"/>
  <c r="AO260" i="5" s="1"/>
  <c r="AS260" i="5" s="1"/>
  <c r="AE505" i="5"/>
  <c r="AF505" i="5" s="1"/>
  <c r="AG505" i="5" s="1"/>
  <c r="AH505" i="5" s="1"/>
  <c r="AI505" i="5" s="1"/>
  <c r="AJ505" i="5" s="1"/>
  <c r="AK505" i="5" s="1"/>
  <c r="AL505" i="5" s="1"/>
  <c r="AM505" i="5" s="1"/>
  <c r="AN505" i="5" s="1"/>
  <c r="AO505" i="5" s="1"/>
  <c r="AS505" i="5" s="1"/>
  <c r="AE357" i="5"/>
  <c r="AF357" i="5" s="1"/>
  <c r="AG357" i="5" s="1"/>
  <c r="AH357" i="5" s="1"/>
  <c r="AI357" i="5" s="1"/>
  <c r="AJ357" i="5" s="1"/>
  <c r="AK357" i="5" s="1"/>
  <c r="AL357" i="5" s="1"/>
  <c r="AM357" i="5" s="1"/>
  <c r="AN357" i="5" s="1"/>
  <c r="AO357" i="5" s="1"/>
  <c r="AS357" i="5" s="1"/>
  <c r="AE55" i="5"/>
  <c r="AF55" i="5" s="1"/>
  <c r="AG55" i="5" s="1"/>
  <c r="AH55" i="5" s="1"/>
  <c r="AI55" i="5" s="1"/>
  <c r="AJ55" i="5" s="1"/>
  <c r="AK55" i="5" s="1"/>
  <c r="AL55" i="5" s="1"/>
  <c r="AM55" i="5" s="1"/>
  <c r="AN55" i="5" s="1"/>
  <c r="AO55" i="5" s="1"/>
  <c r="AS55" i="5" s="1"/>
  <c r="AE118" i="5"/>
  <c r="AF118" i="5" s="1"/>
  <c r="AG118" i="5" s="1"/>
  <c r="AH118" i="5" s="1"/>
  <c r="AI118" i="5" s="1"/>
  <c r="AJ118" i="5" s="1"/>
  <c r="AK118" i="5" s="1"/>
  <c r="AL118" i="5" s="1"/>
  <c r="AM118" i="5" s="1"/>
  <c r="AN118" i="5" s="1"/>
  <c r="AO118" i="5" s="1"/>
  <c r="AS118" i="5" s="1"/>
  <c r="AE428" i="5"/>
  <c r="AF428" i="5" s="1"/>
  <c r="AG428" i="5" s="1"/>
  <c r="AH428" i="5" s="1"/>
  <c r="AI428" i="5" s="1"/>
  <c r="AJ428" i="5" s="1"/>
  <c r="AK428" i="5" s="1"/>
  <c r="AL428" i="5" s="1"/>
  <c r="AM428" i="5" s="1"/>
  <c r="AN428" i="5" s="1"/>
  <c r="AO428" i="5" s="1"/>
  <c r="AS428" i="5" s="1"/>
  <c r="AE385" i="5"/>
  <c r="AF385" i="5" s="1"/>
  <c r="AG385" i="5" s="1"/>
  <c r="AH385" i="5" s="1"/>
  <c r="AI385" i="5" s="1"/>
  <c r="AJ385" i="5" s="1"/>
  <c r="AK385" i="5" s="1"/>
  <c r="AL385" i="5" s="1"/>
  <c r="AM385" i="5" s="1"/>
  <c r="AN385" i="5" s="1"/>
  <c r="AO385" i="5" s="1"/>
  <c r="AS385" i="5" s="1"/>
  <c r="AE356" i="5"/>
  <c r="AF356" i="5" s="1"/>
  <c r="AG356" i="5" s="1"/>
  <c r="AH356" i="5" s="1"/>
  <c r="AI356" i="5" s="1"/>
  <c r="AJ356" i="5" s="1"/>
  <c r="AK356" i="5" s="1"/>
  <c r="AL356" i="5" s="1"/>
  <c r="AM356" i="5" s="1"/>
  <c r="AN356" i="5" s="1"/>
  <c r="AO356" i="5" s="1"/>
  <c r="AS356" i="5" s="1"/>
  <c r="AE401" i="5"/>
  <c r="AF401" i="5" s="1"/>
  <c r="AG401" i="5" s="1"/>
  <c r="AH401" i="5" s="1"/>
  <c r="AI401" i="5" s="1"/>
  <c r="AJ401" i="5" s="1"/>
  <c r="AK401" i="5" s="1"/>
  <c r="AL401" i="5" s="1"/>
  <c r="AM401" i="5" s="1"/>
  <c r="AC401" i="5"/>
  <c r="AU565" i="5"/>
  <c r="AE210" i="5"/>
  <c r="AF210" i="5" s="1"/>
  <c r="AG210" i="5" s="1"/>
  <c r="AH210" i="5" s="1"/>
  <c r="AI210" i="5" s="1"/>
  <c r="AJ210" i="5" s="1"/>
  <c r="AK210" i="5" s="1"/>
  <c r="AL210" i="5" s="1"/>
  <c r="AM210" i="5" s="1"/>
  <c r="AN210" i="5" s="1"/>
  <c r="AO210" i="5" s="1"/>
  <c r="AS210" i="5" s="1"/>
  <c r="AE381" i="5"/>
  <c r="AF381" i="5" s="1"/>
  <c r="AG381" i="5" s="1"/>
  <c r="AH381" i="5" s="1"/>
  <c r="AI381" i="5" s="1"/>
  <c r="AJ381" i="5" s="1"/>
  <c r="AK381" i="5" s="1"/>
  <c r="AL381" i="5" s="1"/>
  <c r="AC381" i="5"/>
  <c r="AA363" i="5"/>
  <c r="AE211" i="5"/>
  <c r="AF211" i="5" s="1"/>
  <c r="AG211" i="5" s="1"/>
  <c r="AH211" i="5" s="1"/>
  <c r="AI211" i="5" s="1"/>
  <c r="AJ211" i="5" s="1"/>
  <c r="AK211" i="5" s="1"/>
  <c r="AL211" i="5" s="1"/>
  <c r="AM211" i="5" s="1"/>
  <c r="AN211" i="5" s="1"/>
  <c r="AO211" i="5" s="1"/>
  <c r="AS211" i="5" s="1"/>
  <c r="AA187" i="5"/>
  <c r="AA171" i="5"/>
  <c r="AA43" i="5"/>
  <c r="AE400" i="5"/>
  <c r="AF400" i="5" s="1"/>
  <c r="AG400" i="5" s="1"/>
  <c r="AH400" i="5" s="1"/>
  <c r="AI400" i="5" s="1"/>
  <c r="AJ400" i="5" s="1"/>
  <c r="AK400" i="5" s="1"/>
  <c r="AL400" i="5" s="1"/>
  <c r="AM400" i="5" s="1"/>
  <c r="AN400" i="5" s="1"/>
  <c r="AO400" i="5" s="1"/>
  <c r="AS400" i="5" s="1"/>
  <c r="AE70" i="5"/>
  <c r="AF70" i="5" s="1"/>
  <c r="AG70" i="5" s="1"/>
  <c r="AH70" i="5" s="1"/>
  <c r="AI70" i="5" s="1"/>
  <c r="AJ70" i="5" s="1"/>
  <c r="AK70" i="5" s="1"/>
  <c r="AL70" i="5" s="1"/>
  <c r="AM70" i="5" s="1"/>
  <c r="AN70" i="5" s="1"/>
  <c r="AO70" i="5" s="1"/>
  <c r="AS70" i="5" s="1"/>
  <c r="AE469" i="5"/>
  <c r="AF469" i="5" s="1"/>
  <c r="AG469" i="5" s="1"/>
  <c r="AH469" i="5" s="1"/>
  <c r="AI469" i="5" s="1"/>
  <c r="AJ469" i="5" s="1"/>
  <c r="AK469" i="5" s="1"/>
  <c r="AL469" i="5" s="1"/>
  <c r="AM469" i="5" s="1"/>
  <c r="AN469" i="5" s="1"/>
  <c r="AO469" i="5" s="1"/>
  <c r="AS469" i="5" s="1"/>
  <c r="AE261" i="5"/>
  <c r="AF261" i="5" s="1"/>
  <c r="AG261" i="5" s="1"/>
  <c r="AH261" i="5" s="1"/>
  <c r="AI261" i="5" s="1"/>
  <c r="AJ261" i="5" s="1"/>
  <c r="AK261" i="5" s="1"/>
  <c r="AL261" i="5" s="1"/>
  <c r="AM261" i="5" s="1"/>
  <c r="AN261" i="5" s="1"/>
  <c r="AO261" i="5" s="1"/>
  <c r="AS261" i="5" s="1"/>
  <c r="AA22" i="5"/>
  <c r="AA405" i="5"/>
  <c r="AA347" i="5"/>
  <c r="AA287" i="5"/>
  <c r="AA254" i="5"/>
  <c r="AA263" i="5"/>
  <c r="AA476" i="5"/>
  <c r="AE216" i="5"/>
  <c r="AF216" i="5" s="1"/>
  <c r="AG216" i="5" s="1"/>
  <c r="AH216" i="5" s="1"/>
  <c r="AI216" i="5" s="1"/>
  <c r="AJ216" i="5" s="1"/>
  <c r="AK216" i="5" s="1"/>
  <c r="AL216" i="5" s="1"/>
  <c r="AM216" i="5" s="1"/>
  <c r="AN216" i="5" s="1"/>
  <c r="AO216" i="5" s="1"/>
  <c r="AS216" i="5" s="1"/>
  <c r="AA188" i="5"/>
  <c r="AE159" i="5"/>
  <c r="AF159" i="5" s="1"/>
  <c r="AG159" i="5" s="1"/>
  <c r="AH159" i="5" s="1"/>
  <c r="AI159" i="5" s="1"/>
  <c r="AJ159" i="5" s="1"/>
  <c r="AK159" i="5" s="1"/>
  <c r="AL159" i="5" s="1"/>
  <c r="AM159" i="5" s="1"/>
  <c r="AN159" i="5" s="1"/>
  <c r="AO159" i="5" s="1"/>
  <c r="AS159" i="5" s="1"/>
  <c r="AA273" i="5"/>
  <c r="AE217" i="5"/>
  <c r="AF217" i="5" s="1"/>
  <c r="AG217" i="5" s="1"/>
  <c r="AH217" i="5" s="1"/>
  <c r="AI217" i="5" s="1"/>
  <c r="AJ217" i="5" s="1"/>
  <c r="AK217" i="5" s="1"/>
  <c r="AL217" i="5" s="1"/>
  <c r="AM217" i="5" s="1"/>
  <c r="AN217" i="5" s="1"/>
  <c r="AO217" i="5" s="1"/>
  <c r="AS217" i="5" s="1"/>
  <c r="AE201" i="5"/>
  <c r="AF201" i="5" s="1"/>
  <c r="AG201" i="5" s="1"/>
  <c r="AH201" i="5" s="1"/>
  <c r="AI201" i="5" s="1"/>
  <c r="AJ201" i="5" s="1"/>
  <c r="AK201" i="5" s="1"/>
  <c r="AL201" i="5" s="1"/>
  <c r="AM201" i="5" s="1"/>
  <c r="AN201" i="5" s="1"/>
  <c r="AO201" i="5" s="1"/>
  <c r="AS201" i="5" s="1"/>
  <c r="AA181" i="5"/>
  <c r="AA67" i="5"/>
  <c r="AE301" i="5"/>
  <c r="AF301" i="5" s="1"/>
  <c r="AG301" i="5" s="1"/>
  <c r="AH301" i="5" s="1"/>
  <c r="AI301" i="5" s="1"/>
  <c r="AJ301" i="5" s="1"/>
  <c r="AK301" i="5" s="1"/>
  <c r="AL301" i="5" s="1"/>
  <c r="AM301" i="5" s="1"/>
  <c r="AN301" i="5" s="1"/>
  <c r="AO301" i="5" s="1"/>
  <c r="AS301" i="5" s="1"/>
  <c r="AA258" i="5"/>
  <c r="AE471" i="5"/>
  <c r="AF471" i="5" s="1"/>
  <c r="AG471" i="5" s="1"/>
  <c r="AH471" i="5" s="1"/>
  <c r="AI471" i="5" s="1"/>
  <c r="AJ471" i="5" s="1"/>
  <c r="AK471" i="5" s="1"/>
  <c r="AL471" i="5" s="1"/>
  <c r="AM471" i="5" s="1"/>
  <c r="AN471" i="5" s="1"/>
  <c r="AO471" i="5" s="1"/>
  <c r="AS471" i="5" s="1"/>
  <c r="AA409" i="5"/>
  <c r="AE376" i="5"/>
  <c r="AF376" i="5" s="1"/>
  <c r="AG376" i="5" s="1"/>
  <c r="AH376" i="5" s="1"/>
  <c r="AI376" i="5" s="1"/>
  <c r="AJ376" i="5" s="1"/>
  <c r="AK376" i="5" s="1"/>
  <c r="AL376" i="5" s="1"/>
  <c r="AM376" i="5" s="1"/>
  <c r="AN376" i="5" s="1"/>
  <c r="AO376" i="5" s="1"/>
  <c r="AS376" i="5" s="1"/>
  <c r="AE352" i="5"/>
  <c r="AF352" i="5" s="1"/>
  <c r="AG352" i="5" s="1"/>
  <c r="AH352" i="5" s="1"/>
  <c r="AI352" i="5" s="1"/>
  <c r="AJ352" i="5" s="1"/>
  <c r="AK352" i="5" s="1"/>
  <c r="AL352" i="5" s="1"/>
  <c r="AM352" i="5" s="1"/>
  <c r="AN352" i="5" s="1"/>
  <c r="AO352" i="5" s="1"/>
  <c r="AS352" i="5" s="1"/>
  <c r="AE429" i="5"/>
  <c r="AF429" i="5" s="1"/>
  <c r="AG429" i="5" s="1"/>
  <c r="AH429" i="5" s="1"/>
  <c r="AI429" i="5" s="1"/>
  <c r="AJ429" i="5" s="1"/>
  <c r="AK429" i="5" s="1"/>
  <c r="AL429" i="5" s="1"/>
  <c r="AM429" i="5" s="1"/>
  <c r="AN429" i="5" s="1"/>
  <c r="AO429" i="5" s="1"/>
  <c r="AS429" i="5" s="1"/>
  <c r="AE404" i="5"/>
  <c r="AF404" i="5" s="1"/>
  <c r="AG404" i="5" s="1"/>
  <c r="AH404" i="5" s="1"/>
  <c r="AI404" i="5" s="1"/>
  <c r="AJ404" i="5" s="1"/>
  <c r="AK404" i="5" s="1"/>
  <c r="AL404" i="5" s="1"/>
  <c r="AM404" i="5" s="1"/>
  <c r="AN404" i="5" s="1"/>
  <c r="AO404" i="5" s="1"/>
  <c r="AS404" i="5" s="1"/>
  <c r="AA79" i="5"/>
  <c r="AA516" i="5"/>
  <c r="AE498" i="5"/>
  <c r="AF498" i="5" s="1"/>
  <c r="AG498" i="5" s="1"/>
  <c r="AH498" i="5" s="1"/>
  <c r="AI498" i="5" s="1"/>
  <c r="AJ498" i="5" s="1"/>
  <c r="AK498" i="5" s="1"/>
  <c r="AL498" i="5" s="1"/>
  <c r="AM498" i="5" s="1"/>
  <c r="AN498" i="5" s="1"/>
  <c r="AO498" i="5" s="1"/>
  <c r="AS498" i="5" s="1"/>
  <c r="AA396" i="5"/>
  <c r="AA378" i="5"/>
  <c r="AE215" i="5"/>
  <c r="AF215" i="5" s="1"/>
  <c r="AG215" i="5" s="1"/>
  <c r="AH215" i="5" s="1"/>
  <c r="AI215" i="5" s="1"/>
  <c r="AJ215" i="5" s="1"/>
  <c r="AK215" i="5" s="1"/>
  <c r="AL215" i="5" s="1"/>
  <c r="AM215" i="5" s="1"/>
  <c r="AN215" i="5" s="1"/>
  <c r="AO215" i="5" s="1"/>
  <c r="AS215" i="5" s="1"/>
  <c r="AA183" i="5"/>
  <c r="AE93" i="5"/>
  <c r="AF93" i="5" s="1"/>
  <c r="AG93" i="5" s="1"/>
  <c r="AH93" i="5" s="1"/>
  <c r="AI93" i="5" s="1"/>
  <c r="AJ93" i="5" s="1"/>
  <c r="AK93" i="5" s="1"/>
  <c r="AL93" i="5" s="1"/>
  <c r="AM93" i="5" s="1"/>
  <c r="AN93" i="5" s="1"/>
  <c r="AO93" i="5" s="1"/>
  <c r="AS93" i="5" s="1"/>
  <c r="AA296" i="5"/>
  <c r="AE413" i="5"/>
  <c r="AF413" i="5" s="1"/>
  <c r="AG413" i="5" s="1"/>
  <c r="AH413" i="5" s="1"/>
  <c r="AI413" i="5" s="1"/>
  <c r="AJ413" i="5" s="1"/>
  <c r="AK413" i="5" s="1"/>
  <c r="AL413" i="5" s="1"/>
  <c r="AM413" i="5" s="1"/>
  <c r="AN413" i="5" s="1"/>
  <c r="AO413" i="5" s="1"/>
  <c r="AS413" i="5" s="1"/>
  <c r="AE265" i="5"/>
  <c r="AF265" i="5" s="1"/>
  <c r="AG265" i="5" s="1"/>
  <c r="AH265" i="5" s="1"/>
  <c r="AI265" i="5" s="1"/>
  <c r="AJ265" i="5" s="1"/>
  <c r="AK265" i="5" s="1"/>
  <c r="AL265" i="5" s="1"/>
  <c r="AM265" i="5" s="1"/>
  <c r="AN265" i="5" s="1"/>
  <c r="AO265" i="5" s="1"/>
  <c r="AS265" i="5" s="1"/>
  <c r="AE506" i="5"/>
  <c r="AF506" i="5" s="1"/>
  <c r="AG506" i="5" s="1"/>
  <c r="AH506" i="5" s="1"/>
  <c r="AI506" i="5" s="1"/>
  <c r="AJ506" i="5" s="1"/>
  <c r="AK506" i="5" s="1"/>
  <c r="AL506" i="5" s="1"/>
  <c r="AM506" i="5" s="1"/>
  <c r="AN506" i="5" s="1"/>
  <c r="AO506" i="5" s="1"/>
  <c r="AS506" i="5" s="1"/>
  <c r="AE423" i="5"/>
  <c r="AF423" i="5" s="1"/>
  <c r="AG423" i="5" s="1"/>
  <c r="AH423" i="5" s="1"/>
  <c r="AI423" i="5" s="1"/>
  <c r="AJ423" i="5" s="1"/>
  <c r="AK423" i="5" s="1"/>
  <c r="AL423" i="5" s="1"/>
  <c r="AM423" i="5" s="1"/>
  <c r="AN423" i="5" s="1"/>
  <c r="AO423" i="5" s="1"/>
  <c r="AS423" i="5" s="1"/>
  <c r="AE190" i="5"/>
  <c r="AF190" i="5" s="1"/>
  <c r="AG190" i="5" s="1"/>
  <c r="AH190" i="5" s="1"/>
  <c r="AI190" i="5" s="1"/>
  <c r="AJ190" i="5" s="1"/>
  <c r="AK190" i="5" s="1"/>
  <c r="AL190" i="5" s="1"/>
  <c r="AM190" i="5" s="1"/>
  <c r="AN190" i="5" s="1"/>
  <c r="AO190" i="5" s="1"/>
  <c r="AS190" i="5" s="1"/>
  <c r="AE157" i="5"/>
  <c r="AF157" i="5" s="1"/>
  <c r="AG157" i="5" s="1"/>
  <c r="AH157" i="5" s="1"/>
  <c r="AI157" i="5" s="1"/>
  <c r="AJ157" i="5" s="1"/>
  <c r="AK157" i="5" s="1"/>
  <c r="AL157" i="5" s="1"/>
  <c r="AM157" i="5" s="1"/>
  <c r="AN157" i="5" s="1"/>
  <c r="AO157" i="5" s="1"/>
  <c r="AS157" i="5" s="1"/>
  <c r="AA92" i="5"/>
  <c r="AE68" i="5"/>
  <c r="AF68" i="5" s="1"/>
  <c r="AG68" i="5" s="1"/>
  <c r="AH68" i="5" s="1"/>
  <c r="AI68" i="5" s="1"/>
  <c r="AJ68" i="5" s="1"/>
  <c r="AK68" i="5" s="1"/>
  <c r="AL68" i="5" s="1"/>
  <c r="AM68" i="5" s="1"/>
  <c r="AN68" i="5" s="1"/>
  <c r="AO68" i="5" s="1"/>
  <c r="AS68" i="5" s="1"/>
  <c r="AA424" i="5"/>
  <c r="AA399" i="5"/>
  <c r="AA267" i="5"/>
  <c r="AE112" i="5"/>
  <c r="AF112" i="5" s="1"/>
  <c r="AG112" i="5" s="1"/>
  <c r="AH112" i="5" s="1"/>
  <c r="AI112" i="5" s="1"/>
  <c r="AJ112" i="5" s="1"/>
  <c r="AK112" i="5" s="1"/>
  <c r="AL112" i="5" s="1"/>
  <c r="AC112" i="5"/>
  <c r="AC662" i="5" s="1"/>
  <c r="AE212" i="5"/>
  <c r="AF212" i="5" s="1"/>
  <c r="AG212" i="5" s="1"/>
  <c r="AH212" i="5" s="1"/>
  <c r="AI212" i="5" s="1"/>
  <c r="AJ212" i="5" s="1"/>
  <c r="AK212" i="5" s="1"/>
  <c r="AL212" i="5" s="1"/>
  <c r="AM212" i="5" s="1"/>
  <c r="AN212" i="5" s="1"/>
  <c r="AO212" i="5" s="1"/>
  <c r="AS212" i="5" s="1"/>
  <c r="AE192" i="5"/>
  <c r="AF192" i="5" s="1"/>
  <c r="AG192" i="5" s="1"/>
  <c r="AH192" i="5" s="1"/>
  <c r="AI192" i="5" s="1"/>
  <c r="AJ192" i="5" s="1"/>
  <c r="AK192" i="5" s="1"/>
  <c r="AL192" i="5" s="1"/>
  <c r="AM192" i="5" s="1"/>
  <c r="AN192" i="5" s="1"/>
  <c r="AO192" i="5" s="1"/>
  <c r="AS192" i="5" s="1"/>
  <c r="AA172" i="5"/>
  <c r="AA78" i="5"/>
  <c r="AE300" i="5"/>
  <c r="AF300" i="5" s="1"/>
  <c r="AG300" i="5" s="1"/>
  <c r="AH300" i="5" s="1"/>
  <c r="AI300" i="5" s="1"/>
  <c r="AJ300" i="5" s="1"/>
  <c r="AK300" i="5" s="1"/>
  <c r="AL300" i="5" s="1"/>
  <c r="AM300" i="5" s="1"/>
  <c r="AN300" i="5" s="1"/>
  <c r="AO300" i="5" s="1"/>
  <c r="AS300" i="5" s="1"/>
  <c r="AE269" i="5"/>
  <c r="AF269" i="5" s="1"/>
  <c r="AG269" i="5" s="1"/>
  <c r="AH269" i="5" s="1"/>
  <c r="AI269" i="5" s="1"/>
  <c r="AJ269" i="5" s="1"/>
  <c r="AK269" i="5" s="1"/>
  <c r="AL269" i="5" s="1"/>
  <c r="AM269" i="5" s="1"/>
  <c r="AN269" i="5" s="1"/>
  <c r="AO269" i="5" s="1"/>
  <c r="AS269" i="5" s="1"/>
  <c r="AA387" i="5"/>
  <c r="AA369" i="5"/>
  <c r="AE270" i="5"/>
  <c r="AF270" i="5" s="1"/>
  <c r="AG270" i="5" s="1"/>
  <c r="AH270" i="5" s="1"/>
  <c r="AI270" i="5" s="1"/>
  <c r="AJ270" i="5" s="1"/>
  <c r="AK270" i="5" s="1"/>
  <c r="AL270" i="5" s="1"/>
  <c r="AM270" i="5" s="1"/>
  <c r="AN270" i="5" s="1"/>
  <c r="AO270" i="5" s="1"/>
  <c r="AS270" i="5" s="1"/>
  <c r="AE206" i="5"/>
  <c r="AF206" i="5" s="1"/>
  <c r="AG206" i="5" s="1"/>
  <c r="AH206" i="5" s="1"/>
  <c r="AI206" i="5" s="1"/>
  <c r="AJ206" i="5" s="1"/>
  <c r="AK206" i="5" s="1"/>
  <c r="AL206" i="5" s="1"/>
  <c r="AM206" i="5" s="1"/>
  <c r="AN206" i="5" s="1"/>
  <c r="AO206" i="5" s="1"/>
  <c r="AS206" i="5" s="1"/>
  <c r="AA179" i="5"/>
  <c r="AE80" i="5"/>
  <c r="AF80" i="5" s="1"/>
  <c r="AG80" i="5" s="1"/>
  <c r="AH80" i="5" s="1"/>
  <c r="AI80" i="5" s="1"/>
  <c r="AJ80" i="5" s="1"/>
  <c r="AK80" i="5" s="1"/>
  <c r="AL80" i="5" s="1"/>
  <c r="AM80" i="5" s="1"/>
  <c r="AN80" i="5" s="1"/>
  <c r="AO80" i="5" s="1"/>
  <c r="AS80" i="5" s="1"/>
  <c r="AA64" i="5"/>
  <c r="AE503" i="5"/>
  <c r="AF503" i="5" s="1"/>
  <c r="AG503" i="5" s="1"/>
  <c r="AH503" i="5" s="1"/>
  <c r="AI503" i="5" s="1"/>
  <c r="AJ503" i="5" s="1"/>
  <c r="AK503" i="5" s="1"/>
  <c r="AL503" i="5" s="1"/>
  <c r="AM503" i="5" s="1"/>
  <c r="AN503" i="5" s="1"/>
  <c r="AO503" i="5" s="1"/>
  <c r="AS503" i="5" s="1"/>
  <c r="AA475" i="5"/>
  <c r="AE255" i="5"/>
  <c r="AF255" i="5" s="1"/>
  <c r="AG255" i="5" s="1"/>
  <c r="AH255" i="5" s="1"/>
  <c r="AI255" i="5" s="1"/>
  <c r="AJ255" i="5" s="1"/>
  <c r="AK255" i="5" s="1"/>
  <c r="AL255" i="5" s="1"/>
  <c r="AM255" i="5" s="1"/>
  <c r="AN255" i="5" s="1"/>
  <c r="AO255" i="5" s="1"/>
  <c r="AS255" i="5" s="1"/>
  <c r="AA412" i="5"/>
  <c r="AE264" i="5"/>
  <c r="AF264" i="5" s="1"/>
  <c r="AG264" i="5" s="1"/>
  <c r="AH264" i="5" s="1"/>
  <c r="AI264" i="5" s="1"/>
  <c r="AJ264" i="5" s="1"/>
  <c r="AK264" i="5" s="1"/>
  <c r="AL264" i="5" s="1"/>
  <c r="AM264" i="5" s="1"/>
  <c r="AN264" i="5" s="1"/>
  <c r="AO264" i="5" s="1"/>
  <c r="AS264" i="5" s="1"/>
  <c r="AE115" i="5"/>
  <c r="AF115" i="5" s="1"/>
  <c r="AG115" i="5" s="1"/>
  <c r="AH115" i="5" s="1"/>
  <c r="AI115" i="5" s="1"/>
  <c r="AJ115" i="5" s="1"/>
  <c r="AK115" i="5" s="1"/>
  <c r="AL115" i="5" s="1"/>
  <c r="AM115" i="5" s="1"/>
  <c r="AN115" i="5" s="1"/>
  <c r="AO115" i="5" s="1"/>
  <c r="AS115" i="5" s="1"/>
  <c r="AA74" i="5"/>
  <c r="AA473" i="5"/>
  <c r="AA534" i="5"/>
  <c r="AE391" i="5"/>
  <c r="AF391" i="5" s="1"/>
  <c r="AG391" i="5" s="1"/>
  <c r="AH391" i="5" s="1"/>
  <c r="AI391" i="5" s="1"/>
  <c r="AJ391" i="5" s="1"/>
  <c r="AK391" i="5" s="1"/>
  <c r="AL391" i="5" s="1"/>
  <c r="AM391" i="5" s="1"/>
  <c r="AN391" i="5" s="1"/>
  <c r="AO391" i="5" s="1"/>
  <c r="AS391" i="5" s="1"/>
  <c r="AE65" i="5"/>
  <c r="AF65" i="5" s="1"/>
  <c r="AG65" i="5" s="1"/>
  <c r="AH65" i="5" s="1"/>
  <c r="AI65" i="5" s="1"/>
  <c r="AJ65" i="5" s="1"/>
  <c r="AK65" i="5" s="1"/>
  <c r="AL65" i="5" s="1"/>
  <c r="AM65" i="5" s="1"/>
  <c r="AN65" i="5" s="1"/>
  <c r="AO65" i="5" s="1"/>
  <c r="AS65" i="5" s="1"/>
  <c r="AA308" i="5"/>
  <c r="AA158" i="5"/>
  <c r="AA260" i="5"/>
  <c r="AA505" i="5"/>
  <c r="AA357" i="5"/>
  <c r="AE205" i="5"/>
  <c r="AF205" i="5" s="1"/>
  <c r="AG205" i="5" s="1"/>
  <c r="AH205" i="5" s="1"/>
  <c r="AI205" i="5" s="1"/>
  <c r="AJ205" i="5" s="1"/>
  <c r="AK205" i="5" s="1"/>
  <c r="AL205" i="5" s="1"/>
  <c r="AM205" i="5" s="1"/>
  <c r="AN205" i="5" s="1"/>
  <c r="AO205" i="5" s="1"/>
  <c r="AS205" i="5" s="1"/>
  <c r="AA55" i="5"/>
  <c r="AE278" i="5"/>
  <c r="AF278" i="5" s="1"/>
  <c r="AG278" i="5" s="1"/>
  <c r="AH278" i="5" s="1"/>
  <c r="AI278" i="5" s="1"/>
  <c r="AJ278" i="5" s="1"/>
  <c r="AK278" i="5" s="1"/>
  <c r="AL278" i="5" s="1"/>
  <c r="AM278" i="5" s="1"/>
  <c r="AN278" i="5" s="1"/>
  <c r="AO278" i="5" s="1"/>
  <c r="AS278" i="5" s="1"/>
  <c r="AA574" i="5"/>
  <c r="AA298" i="5"/>
  <c r="AE271" i="5"/>
  <c r="AF271" i="5" s="1"/>
  <c r="AG271" i="5" s="1"/>
  <c r="AH271" i="5" s="1"/>
  <c r="AI271" i="5" s="1"/>
  <c r="AJ271" i="5" s="1"/>
  <c r="AK271" i="5" s="1"/>
  <c r="AL271" i="5" s="1"/>
  <c r="AM271" i="5" s="1"/>
  <c r="AN271" i="5" s="1"/>
  <c r="AO271" i="5" s="1"/>
  <c r="AS271" i="5" s="1"/>
  <c r="AA428" i="5"/>
  <c r="AA385" i="5"/>
  <c r="AA356" i="5"/>
  <c r="AA401" i="5"/>
  <c r="AE430" i="5"/>
  <c r="AF430" i="5" s="1"/>
  <c r="AG430" i="5" s="1"/>
  <c r="AH430" i="5" s="1"/>
  <c r="AI430" i="5" s="1"/>
  <c r="AJ430" i="5" s="1"/>
  <c r="AK430" i="5" s="1"/>
  <c r="AL430" i="5" s="1"/>
  <c r="AM430" i="5" s="1"/>
  <c r="AN430" i="5" s="1"/>
  <c r="AO430" i="5" s="1"/>
  <c r="AS430" i="5" s="1"/>
  <c r="AE177" i="5"/>
  <c r="AF177" i="5" s="1"/>
  <c r="AG177" i="5" s="1"/>
  <c r="AH177" i="5" s="1"/>
  <c r="AI177" i="5" s="1"/>
  <c r="AJ177" i="5" s="1"/>
  <c r="AK177" i="5" s="1"/>
  <c r="AL177" i="5" s="1"/>
  <c r="AM177" i="5" s="1"/>
  <c r="AN177" i="5" s="1"/>
  <c r="AO177" i="5" s="1"/>
  <c r="AS177" i="5" s="1"/>
  <c r="AE121" i="5"/>
  <c r="AF121" i="5" s="1"/>
  <c r="AG121" i="5" s="1"/>
  <c r="AH121" i="5" s="1"/>
  <c r="AI121" i="5" s="1"/>
  <c r="AJ121" i="5" s="1"/>
  <c r="AK121" i="5" s="1"/>
  <c r="AL121" i="5" s="1"/>
  <c r="AM121" i="5" s="1"/>
  <c r="AN121" i="5" s="1"/>
  <c r="AO121" i="5" s="1"/>
  <c r="AS121" i="5" s="1"/>
  <c r="AE472" i="5"/>
  <c r="AF472" i="5" s="1"/>
  <c r="AG472" i="5" s="1"/>
  <c r="AH472" i="5" s="1"/>
  <c r="AI472" i="5" s="1"/>
  <c r="AJ472" i="5" s="1"/>
  <c r="AK472" i="5" s="1"/>
  <c r="AL472" i="5" s="1"/>
  <c r="AM472" i="5" s="1"/>
  <c r="AN472" i="5" s="1"/>
  <c r="AO472" i="5" s="1"/>
  <c r="AS472" i="5" s="1"/>
  <c r="AE477" i="5"/>
  <c r="AF477" i="5" s="1"/>
  <c r="AG477" i="5" s="1"/>
  <c r="AH477" i="5" s="1"/>
  <c r="AI477" i="5" s="1"/>
  <c r="AJ477" i="5" s="1"/>
  <c r="AK477" i="5" s="1"/>
  <c r="AL477" i="5" s="1"/>
  <c r="AM477" i="5" s="1"/>
  <c r="AN477" i="5" s="1"/>
  <c r="AO477" i="5" s="1"/>
  <c r="AS477" i="5" s="1"/>
  <c r="AE286" i="5"/>
  <c r="AF286" i="5" s="1"/>
  <c r="AG286" i="5" s="1"/>
  <c r="AH286" i="5" s="1"/>
  <c r="AI286" i="5" s="1"/>
  <c r="AJ286" i="5" s="1"/>
  <c r="AK286" i="5" s="1"/>
  <c r="AL286" i="5" s="1"/>
  <c r="AM286" i="5" s="1"/>
  <c r="AN286" i="5" s="1"/>
  <c r="AO286" i="5" s="1"/>
  <c r="AS286" i="5" s="1"/>
  <c r="AE160" i="5"/>
  <c r="AF160" i="5" s="1"/>
  <c r="AG160" i="5" s="1"/>
  <c r="AH160" i="5" s="1"/>
  <c r="AI160" i="5" s="1"/>
  <c r="AJ160" i="5" s="1"/>
  <c r="AK160" i="5" s="1"/>
  <c r="AL160" i="5" s="1"/>
  <c r="AM160" i="5" s="1"/>
  <c r="AN160" i="5" s="1"/>
  <c r="AO160" i="5" s="1"/>
  <c r="AS160" i="5" s="1"/>
  <c r="AE474" i="5"/>
  <c r="AF474" i="5" s="1"/>
  <c r="AG474" i="5" s="1"/>
  <c r="AH474" i="5" s="1"/>
  <c r="AI474" i="5" s="1"/>
  <c r="AJ474" i="5" s="1"/>
  <c r="AK474" i="5" s="1"/>
  <c r="AL474" i="5" s="1"/>
  <c r="AM474" i="5" s="1"/>
  <c r="AN474" i="5" s="1"/>
  <c r="AO474" i="5" s="1"/>
  <c r="AS474" i="5" s="1"/>
  <c r="AE307" i="5"/>
  <c r="AF307" i="5" s="1"/>
  <c r="AG307" i="5" s="1"/>
  <c r="AH307" i="5" s="1"/>
  <c r="AI307" i="5" s="1"/>
  <c r="AJ307" i="5" s="1"/>
  <c r="AK307" i="5" s="1"/>
  <c r="AL307" i="5" s="1"/>
  <c r="AM307" i="5" s="1"/>
  <c r="AN307" i="5" s="1"/>
  <c r="AO307" i="5" s="1"/>
  <c r="AS307" i="5" s="1"/>
  <c r="AE262" i="5"/>
  <c r="AF262" i="5" s="1"/>
  <c r="AG262" i="5" s="1"/>
  <c r="AH262" i="5" s="1"/>
  <c r="AI262" i="5" s="1"/>
  <c r="AJ262" i="5" s="1"/>
  <c r="AK262" i="5" s="1"/>
  <c r="AL262" i="5" s="1"/>
  <c r="AM262" i="5" s="1"/>
  <c r="AN262" i="5" s="1"/>
  <c r="AO262" i="5" s="1"/>
  <c r="AS262" i="5" s="1"/>
  <c r="AE13" i="5"/>
  <c r="AF13" i="5" s="1"/>
  <c r="AG13" i="5" s="1"/>
  <c r="AH13" i="5" s="1"/>
  <c r="AI13" i="5" s="1"/>
  <c r="AJ13" i="5" s="1"/>
  <c r="AK13" i="5" s="1"/>
  <c r="AL13" i="5" s="1"/>
  <c r="AM13" i="5" s="1"/>
  <c r="AN13" i="5" s="1"/>
  <c r="AO13" i="5" s="1"/>
  <c r="AS13" i="5" s="1"/>
  <c r="AE305" i="5"/>
  <c r="AF305" i="5" s="1"/>
  <c r="AG305" i="5" s="1"/>
  <c r="AH305" i="5" s="1"/>
  <c r="AI305" i="5" s="1"/>
  <c r="AJ305" i="5" s="1"/>
  <c r="AK305" i="5" s="1"/>
  <c r="AL305" i="5" s="1"/>
  <c r="AM305" i="5" s="1"/>
  <c r="AN305" i="5" s="1"/>
  <c r="AO305" i="5" s="1"/>
  <c r="AS305" i="5" s="1"/>
  <c r="AE175" i="5"/>
  <c r="AF175" i="5" s="1"/>
  <c r="AG175" i="5" s="1"/>
  <c r="AH175" i="5" s="1"/>
  <c r="AI175" i="5" s="1"/>
  <c r="AJ175" i="5" s="1"/>
  <c r="AK175" i="5" s="1"/>
  <c r="AL175" i="5" s="1"/>
  <c r="AM175" i="5" s="1"/>
  <c r="AN175" i="5" s="1"/>
  <c r="AO175" i="5" s="1"/>
  <c r="AS175" i="5" s="1"/>
  <c r="AE189" i="5"/>
  <c r="AF189" i="5" s="1"/>
  <c r="AG189" i="5" s="1"/>
  <c r="AH189" i="5" s="1"/>
  <c r="AI189" i="5" s="1"/>
  <c r="AJ189" i="5" s="1"/>
  <c r="AK189" i="5" s="1"/>
  <c r="AL189" i="5" s="1"/>
  <c r="AM189" i="5" s="1"/>
  <c r="AN189" i="5" s="1"/>
  <c r="AO189" i="5" s="1"/>
  <c r="AS189" i="5" s="1"/>
  <c r="AE67" i="5"/>
  <c r="AF67" i="5" s="1"/>
  <c r="AG67" i="5" s="1"/>
  <c r="AH67" i="5" s="1"/>
  <c r="AI67" i="5" s="1"/>
  <c r="AJ67" i="5" s="1"/>
  <c r="AK67" i="5" s="1"/>
  <c r="AL67" i="5" s="1"/>
  <c r="AM67" i="5" s="1"/>
  <c r="AN67" i="5" s="1"/>
  <c r="AO67" i="5" s="1"/>
  <c r="AS67" i="5" s="1"/>
  <c r="AE487" i="5"/>
  <c r="AF487" i="5" s="1"/>
  <c r="AG487" i="5" s="1"/>
  <c r="AH487" i="5" s="1"/>
  <c r="AI487" i="5" s="1"/>
  <c r="AJ487" i="5" s="1"/>
  <c r="AK487" i="5" s="1"/>
  <c r="AL487" i="5" s="1"/>
  <c r="AM487" i="5" s="1"/>
  <c r="AN487" i="5" s="1"/>
  <c r="AO487" i="5" s="1"/>
  <c r="AS487" i="5" s="1"/>
  <c r="AE409" i="5"/>
  <c r="AF409" i="5" s="1"/>
  <c r="AG409" i="5" s="1"/>
  <c r="AH409" i="5" s="1"/>
  <c r="AI409" i="5" s="1"/>
  <c r="AJ409" i="5" s="1"/>
  <c r="AK409" i="5" s="1"/>
  <c r="AL409" i="5" s="1"/>
  <c r="AM409" i="5" s="1"/>
  <c r="AN409" i="5" s="1"/>
  <c r="AO409" i="5" s="1"/>
  <c r="AS409" i="5" s="1"/>
  <c r="AU162" i="5"/>
  <c r="AT661" i="5"/>
  <c r="AE79" i="5"/>
  <c r="AF79" i="5" s="1"/>
  <c r="AG79" i="5" s="1"/>
  <c r="AH79" i="5" s="1"/>
  <c r="AI79" i="5" s="1"/>
  <c r="AJ79" i="5" s="1"/>
  <c r="AK79" i="5" s="1"/>
  <c r="AL79" i="5" s="1"/>
  <c r="AM79" i="5" s="1"/>
  <c r="AN79" i="5" s="1"/>
  <c r="AO79" i="5" s="1"/>
  <c r="AS79" i="5" s="1"/>
  <c r="AE516" i="5"/>
  <c r="AF516" i="5" s="1"/>
  <c r="AG516" i="5" s="1"/>
  <c r="AH516" i="5" s="1"/>
  <c r="AI516" i="5" s="1"/>
  <c r="AJ516" i="5" s="1"/>
  <c r="AK516" i="5" s="1"/>
  <c r="AL516" i="5" s="1"/>
  <c r="AM516" i="5" s="1"/>
  <c r="AN516" i="5" s="1"/>
  <c r="AO516" i="5" s="1"/>
  <c r="AS516" i="5" s="1"/>
  <c r="AE406" i="5"/>
  <c r="AF406" i="5" s="1"/>
  <c r="AG406" i="5" s="1"/>
  <c r="AH406" i="5" s="1"/>
  <c r="AI406" i="5" s="1"/>
  <c r="AJ406" i="5" s="1"/>
  <c r="AK406" i="5" s="1"/>
  <c r="AL406" i="5" s="1"/>
  <c r="AM406" i="5" s="1"/>
  <c r="AN406" i="5" s="1"/>
  <c r="AO406" i="5" s="1"/>
  <c r="AS406" i="5" s="1"/>
  <c r="AE384" i="5"/>
  <c r="AF384" i="5" s="1"/>
  <c r="AG384" i="5" s="1"/>
  <c r="AH384" i="5" s="1"/>
  <c r="AI384" i="5" s="1"/>
  <c r="AJ384" i="5" s="1"/>
  <c r="AK384" i="5" s="1"/>
  <c r="AL384" i="5" s="1"/>
  <c r="AM384" i="5" s="1"/>
  <c r="AN384" i="5" s="1"/>
  <c r="AO384" i="5" s="1"/>
  <c r="AS384" i="5" s="1"/>
  <c r="AE370" i="5"/>
  <c r="AF370" i="5" s="1"/>
  <c r="AG370" i="5" s="1"/>
  <c r="AH370" i="5" s="1"/>
  <c r="AI370" i="5" s="1"/>
  <c r="AJ370" i="5" s="1"/>
  <c r="AK370" i="5" s="1"/>
  <c r="AL370" i="5" s="1"/>
  <c r="AM370" i="5" s="1"/>
  <c r="AN370" i="5" s="1"/>
  <c r="AO370" i="5" s="1"/>
  <c r="AS370" i="5" s="1"/>
  <c r="AE174" i="5"/>
  <c r="AF174" i="5" s="1"/>
  <c r="AG174" i="5" s="1"/>
  <c r="AH174" i="5" s="1"/>
  <c r="AI174" i="5" s="1"/>
  <c r="AJ174" i="5" s="1"/>
  <c r="AK174" i="5" s="1"/>
  <c r="AL174" i="5" s="1"/>
  <c r="AM174" i="5" s="1"/>
  <c r="AN174" i="5" s="1"/>
  <c r="AO174" i="5" s="1"/>
  <c r="AS174" i="5" s="1"/>
  <c r="AE296" i="5"/>
  <c r="AF296" i="5" s="1"/>
  <c r="AG296" i="5" s="1"/>
  <c r="AH296" i="5" s="1"/>
  <c r="AI296" i="5" s="1"/>
  <c r="AJ296" i="5" s="1"/>
  <c r="AK296" i="5" s="1"/>
  <c r="AL296" i="5" s="1"/>
  <c r="AM296" i="5" s="1"/>
  <c r="AN296" i="5" s="1"/>
  <c r="AO296" i="5" s="1"/>
  <c r="AS296" i="5" s="1"/>
  <c r="AE92" i="5"/>
  <c r="AF92" i="5" s="1"/>
  <c r="AG92" i="5" s="1"/>
  <c r="AH92" i="5" s="1"/>
  <c r="AI92" i="5" s="1"/>
  <c r="AJ92" i="5" s="1"/>
  <c r="AK92" i="5" s="1"/>
  <c r="AL92" i="5" s="1"/>
  <c r="AM92" i="5" s="1"/>
  <c r="AN92" i="5" s="1"/>
  <c r="AO92" i="5" s="1"/>
  <c r="AS92" i="5" s="1"/>
  <c r="AE411" i="5"/>
  <c r="AF411" i="5" s="1"/>
  <c r="AG411" i="5" s="1"/>
  <c r="AH411" i="5" s="1"/>
  <c r="AI411" i="5" s="1"/>
  <c r="AJ411" i="5" s="1"/>
  <c r="AK411" i="5" s="1"/>
  <c r="AL411" i="5" s="1"/>
  <c r="AM411" i="5" s="1"/>
  <c r="AN411" i="5" s="1"/>
  <c r="AO411" i="5" s="1"/>
  <c r="AS411" i="5" s="1"/>
  <c r="AE388" i="5"/>
  <c r="AF388" i="5" s="1"/>
  <c r="AG388" i="5" s="1"/>
  <c r="AH388" i="5" s="1"/>
  <c r="AI388" i="5" s="1"/>
  <c r="AJ388" i="5" s="1"/>
  <c r="AK388" i="5" s="1"/>
  <c r="AL388" i="5" s="1"/>
  <c r="AM388" i="5" s="1"/>
  <c r="AN388" i="5" s="1"/>
  <c r="AO388" i="5" s="1"/>
  <c r="AS388" i="5" s="1"/>
  <c r="AE184" i="5"/>
  <c r="AF184" i="5" s="1"/>
  <c r="AG184" i="5" s="1"/>
  <c r="AH184" i="5" s="1"/>
  <c r="AI184" i="5" s="1"/>
  <c r="AJ184" i="5" s="1"/>
  <c r="AK184" i="5" s="1"/>
  <c r="AL184" i="5" s="1"/>
  <c r="AM184" i="5" s="1"/>
  <c r="AN184" i="5" s="1"/>
  <c r="AO184" i="5" s="1"/>
  <c r="AS184" i="5" s="1"/>
  <c r="AE78" i="5"/>
  <c r="AF78" i="5" s="1"/>
  <c r="AG78" i="5" s="1"/>
  <c r="AH78" i="5" s="1"/>
  <c r="AI78" i="5" s="1"/>
  <c r="AJ78" i="5" s="1"/>
  <c r="AK78" i="5" s="1"/>
  <c r="AL78" i="5" s="1"/>
  <c r="AM78" i="5" s="1"/>
  <c r="AN78" i="5" s="1"/>
  <c r="AO78" i="5" s="1"/>
  <c r="AS78" i="5" s="1"/>
  <c r="AE426" i="5"/>
  <c r="AF426" i="5" s="1"/>
  <c r="AG426" i="5" s="1"/>
  <c r="AH426" i="5" s="1"/>
  <c r="AI426" i="5" s="1"/>
  <c r="AJ426" i="5" s="1"/>
  <c r="AK426" i="5" s="1"/>
  <c r="AL426" i="5" s="1"/>
  <c r="AC426" i="5"/>
  <c r="AE380" i="5"/>
  <c r="AF380" i="5" s="1"/>
  <c r="AG380" i="5" s="1"/>
  <c r="AH380" i="5" s="1"/>
  <c r="AI380" i="5" s="1"/>
  <c r="AJ380" i="5" s="1"/>
  <c r="AK380" i="5" s="1"/>
  <c r="AL380" i="5" s="1"/>
  <c r="AM380" i="5" s="1"/>
  <c r="AN380" i="5" s="1"/>
  <c r="AO380" i="5" s="1"/>
  <c r="AS380" i="5" s="1"/>
  <c r="AE362" i="5"/>
  <c r="AF362" i="5" s="1"/>
  <c r="AG362" i="5" s="1"/>
  <c r="AH362" i="5" s="1"/>
  <c r="AI362" i="5" s="1"/>
  <c r="AJ362" i="5" s="1"/>
  <c r="AK362" i="5" s="1"/>
  <c r="AL362" i="5" s="1"/>
  <c r="AM362" i="5" s="1"/>
  <c r="AN362" i="5" s="1"/>
  <c r="AO362" i="5" s="1"/>
  <c r="AS362" i="5" s="1"/>
  <c r="AE186" i="5"/>
  <c r="AF186" i="5" s="1"/>
  <c r="AG186" i="5" s="1"/>
  <c r="AH186" i="5" s="1"/>
  <c r="AI186" i="5" s="1"/>
  <c r="AJ186" i="5" s="1"/>
  <c r="AK186" i="5" s="1"/>
  <c r="AL186" i="5" s="1"/>
  <c r="AM186" i="5" s="1"/>
  <c r="AN186" i="5" s="1"/>
  <c r="AO186" i="5" s="1"/>
  <c r="AS186" i="5" s="1"/>
  <c r="AE96" i="5"/>
  <c r="AF96" i="5" s="1"/>
  <c r="AG96" i="5" s="1"/>
  <c r="AH96" i="5" s="1"/>
  <c r="AI96" i="5" s="1"/>
  <c r="AJ96" i="5" s="1"/>
  <c r="AK96" i="5" s="1"/>
  <c r="AL96" i="5" s="1"/>
  <c r="AM96" i="5" s="1"/>
  <c r="AN96" i="5" s="1"/>
  <c r="AO96" i="5" s="1"/>
  <c r="AS96" i="5" s="1"/>
  <c r="N678" i="5"/>
  <c r="AE427" i="5"/>
  <c r="AF427" i="5" s="1"/>
  <c r="AG427" i="5" s="1"/>
  <c r="AH427" i="5" s="1"/>
  <c r="AI427" i="5" s="1"/>
  <c r="AJ427" i="5" s="1"/>
  <c r="AK427" i="5" s="1"/>
  <c r="AL427" i="5" s="1"/>
  <c r="AM427" i="5" s="1"/>
  <c r="AN427" i="5" s="1"/>
  <c r="AO427" i="5" s="1"/>
  <c r="AS427" i="5" s="1"/>
  <c r="AE412" i="5"/>
  <c r="AF412" i="5" s="1"/>
  <c r="AG412" i="5" s="1"/>
  <c r="AH412" i="5" s="1"/>
  <c r="AI412" i="5" s="1"/>
  <c r="AJ412" i="5" s="1"/>
  <c r="AK412" i="5" s="1"/>
  <c r="AL412" i="5" s="1"/>
  <c r="AM412" i="5" s="1"/>
  <c r="AN412" i="5" s="1"/>
  <c r="AO412" i="5" s="1"/>
  <c r="AS412" i="5" s="1"/>
  <c r="AE74" i="5"/>
  <c r="AF74" i="5" s="1"/>
  <c r="AG74" i="5" s="1"/>
  <c r="AH74" i="5" s="1"/>
  <c r="AI74" i="5" s="1"/>
  <c r="AJ74" i="5" s="1"/>
  <c r="AK74" i="5" s="1"/>
  <c r="AL74" i="5" s="1"/>
  <c r="AM74" i="5" s="1"/>
  <c r="AN74" i="5" s="1"/>
  <c r="AO74" i="5" s="1"/>
  <c r="AS74" i="5" s="1"/>
  <c r="AE473" i="5"/>
  <c r="AF473" i="5" s="1"/>
  <c r="AG473" i="5" s="1"/>
  <c r="AH473" i="5" s="1"/>
  <c r="AI473" i="5" s="1"/>
  <c r="AJ473" i="5" s="1"/>
  <c r="AK473" i="5" s="1"/>
  <c r="AL473" i="5" s="1"/>
  <c r="AM473" i="5" s="1"/>
  <c r="AN473" i="5" s="1"/>
  <c r="AO473" i="5" s="1"/>
  <c r="AS473" i="5" s="1"/>
  <c r="AE308" i="5"/>
  <c r="AF308" i="5" s="1"/>
  <c r="AG308" i="5" s="1"/>
  <c r="AH308" i="5" s="1"/>
  <c r="AI308" i="5" s="1"/>
  <c r="AJ308" i="5" s="1"/>
  <c r="AK308" i="5" s="1"/>
  <c r="AL308" i="5" s="1"/>
  <c r="AM308" i="5" s="1"/>
  <c r="AN308" i="5" s="1"/>
  <c r="AO308" i="5" s="1"/>
  <c r="AS308" i="5" s="1"/>
  <c r="AE158" i="5"/>
  <c r="AF158" i="5" s="1"/>
  <c r="AG158" i="5" s="1"/>
  <c r="AH158" i="5" s="1"/>
  <c r="AI158" i="5" s="1"/>
  <c r="AJ158" i="5" s="1"/>
  <c r="AK158" i="5" s="1"/>
  <c r="AL158" i="5" s="1"/>
  <c r="AM158" i="5" s="1"/>
  <c r="AN158" i="5" s="1"/>
  <c r="AO158" i="5" s="1"/>
  <c r="AS158" i="5" s="1"/>
  <c r="AE268" i="5"/>
  <c r="AF268" i="5" s="1"/>
  <c r="AG268" i="5" s="1"/>
  <c r="AH268" i="5" s="1"/>
  <c r="AI268" i="5" s="1"/>
  <c r="AJ268" i="5" s="1"/>
  <c r="AK268" i="5" s="1"/>
  <c r="AL268" i="5" s="1"/>
  <c r="AM268" i="5" s="1"/>
  <c r="AN268" i="5" s="1"/>
  <c r="AO268" i="5" s="1"/>
  <c r="AS268" i="5" s="1"/>
  <c r="AE185" i="5"/>
  <c r="AF185" i="5" s="1"/>
  <c r="AG185" i="5" s="1"/>
  <c r="AH185" i="5" s="1"/>
  <c r="AI185" i="5" s="1"/>
  <c r="AJ185" i="5" s="1"/>
  <c r="AK185" i="5" s="1"/>
  <c r="AL185" i="5" s="1"/>
  <c r="AM185" i="5" s="1"/>
  <c r="AN185" i="5" s="1"/>
  <c r="AO185" i="5" s="1"/>
  <c r="AS185" i="5" s="1"/>
  <c r="AE294" i="5"/>
  <c r="AF294" i="5" s="1"/>
  <c r="AG294" i="5" s="1"/>
  <c r="AH294" i="5" s="1"/>
  <c r="AI294" i="5" s="1"/>
  <c r="AJ294" i="5" s="1"/>
  <c r="AK294" i="5" s="1"/>
  <c r="AL294" i="5" s="1"/>
  <c r="AM294" i="5" s="1"/>
  <c r="AN294" i="5" s="1"/>
  <c r="AO294" i="5" s="1"/>
  <c r="AS294" i="5" s="1"/>
  <c r="AE574" i="5"/>
  <c r="AF574" i="5" s="1"/>
  <c r="AG574" i="5" s="1"/>
  <c r="AH574" i="5" s="1"/>
  <c r="AI574" i="5" s="1"/>
  <c r="AJ574" i="5" s="1"/>
  <c r="AK574" i="5" s="1"/>
  <c r="AL574" i="5" s="1"/>
  <c r="AM574" i="5" s="1"/>
  <c r="AN574" i="5" s="1"/>
  <c r="AO574" i="5" s="1"/>
  <c r="AS574" i="5" s="1"/>
  <c r="AE298" i="5"/>
  <c r="AF298" i="5" s="1"/>
  <c r="AG298" i="5" s="1"/>
  <c r="AH298" i="5" s="1"/>
  <c r="AI298" i="5" s="1"/>
  <c r="AJ298" i="5" s="1"/>
  <c r="AK298" i="5" s="1"/>
  <c r="AL298" i="5" s="1"/>
  <c r="AM298" i="5" s="1"/>
  <c r="AN298" i="5" s="1"/>
  <c r="AO298" i="5" s="1"/>
  <c r="AS298" i="5" s="1"/>
  <c r="AA271" i="5"/>
  <c r="AE403" i="5"/>
  <c r="AF403" i="5" s="1"/>
  <c r="AG403" i="5" s="1"/>
  <c r="AH403" i="5" s="1"/>
  <c r="AI403" i="5" s="1"/>
  <c r="AJ403" i="5" s="1"/>
  <c r="AK403" i="5" s="1"/>
  <c r="AL403" i="5" s="1"/>
  <c r="AM403" i="5" s="1"/>
  <c r="AN403" i="5" s="1"/>
  <c r="AO403" i="5" s="1"/>
  <c r="AS403" i="5" s="1"/>
  <c r="AE364" i="5"/>
  <c r="AF364" i="5" s="1"/>
  <c r="AG364" i="5" s="1"/>
  <c r="AH364" i="5" s="1"/>
  <c r="AI364" i="5" s="1"/>
  <c r="AJ364" i="5" s="1"/>
  <c r="AK364" i="5" s="1"/>
  <c r="AL364" i="5" s="1"/>
  <c r="AM364" i="5" s="1"/>
  <c r="AN364" i="5" s="1"/>
  <c r="AO364" i="5" s="1"/>
  <c r="AS364" i="5" s="1"/>
  <c r="AE280" i="5"/>
  <c r="AF280" i="5" s="1"/>
  <c r="AG280" i="5" s="1"/>
  <c r="AH280" i="5" s="1"/>
  <c r="AI280" i="5" s="1"/>
  <c r="AJ280" i="5" s="1"/>
  <c r="AK280" i="5" s="1"/>
  <c r="AL280" i="5" s="1"/>
  <c r="AM280" i="5" s="1"/>
  <c r="AN280" i="5" s="1"/>
  <c r="AO280" i="5" s="1"/>
  <c r="AS280" i="5" s="1"/>
  <c r="AE353" i="5"/>
  <c r="AF353" i="5" s="1"/>
  <c r="AG353" i="5" s="1"/>
  <c r="AH353" i="5" s="1"/>
  <c r="AI353" i="5" s="1"/>
  <c r="AJ353" i="5" s="1"/>
  <c r="AK353" i="5" s="1"/>
  <c r="AL353" i="5" s="1"/>
  <c r="AM353" i="5" s="1"/>
  <c r="AN353" i="5" s="1"/>
  <c r="AO353" i="5" s="1"/>
  <c r="AS353" i="5" s="1"/>
  <c r="AA430" i="5"/>
  <c r="AE218" i="5"/>
  <c r="AF218" i="5" s="1"/>
  <c r="AG218" i="5" s="1"/>
  <c r="AH218" i="5" s="1"/>
  <c r="AI218" i="5" s="1"/>
  <c r="AJ218" i="5" s="1"/>
  <c r="AK218" i="5" s="1"/>
  <c r="AL218" i="5" s="1"/>
  <c r="AM218" i="5" s="1"/>
  <c r="AN218" i="5" s="1"/>
  <c r="AO218" i="5" s="1"/>
  <c r="AS218" i="5" s="1"/>
  <c r="AE120" i="5"/>
  <c r="AF120" i="5" s="1"/>
  <c r="AG120" i="5" s="1"/>
  <c r="AH120" i="5" s="1"/>
  <c r="AI120" i="5" s="1"/>
  <c r="AJ120" i="5" s="1"/>
  <c r="AK120" i="5" s="1"/>
  <c r="AL120" i="5" s="1"/>
  <c r="AM120" i="5" s="1"/>
  <c r="AN120" i="5" s="1"/>
  <c r="AO120" i="5" s="1"/>
  <c r="AS120" i="5" s="1"/>
  <c r="AE375" i="5"/>
  <c r="AF375" i="5" s="1"/>
  <c r="AG375" i="5" s="1"/>
  <c r="AH375" i="5" s="1"/>
  <c r="AI375" i="5" s="1"/>
  <c r="AJ375" i="5" s="1"/>
  <c r="AK375" i="5" s="1"/>
  <c r="AL375" i="5" s="1"/>
  <c r="AM375" i="5" s="1"/>
  <c r="AN375" i="5" s="1"/>
  <c r="AO375" i="5" s="1"/>
  <c r="AS375" i="5" s="1"/>
  <c r="AE355" i="5"/>
  <c r="AF355" i="5" s="1"/>
  <c r="AG355" i="5" s="1"/>
  <c r="AH355" i="5" s="1"/>
  <c r="AI355" i="5" s="1"/>
  <c r="AJ355" i="5" s="1"/>
  <c r="AK355" i="5" s="1"/>
  <c r="AL355" i="5" s="1"/>
  <c r="AM355" i="5" s="1"/>
  <c r="AN355" i="5" s="1"/>
  <c r="AO355" i="5" s="1"/>
  <c r="AS355" i="5" s="1"/>
  <c r="AE219" i="5"/>
  <c r="AF219" i="5" s="1"/>
  <c r="AG219" i="5" s="1"/>
  <c r="AH219" i="5" s="1"/>
  <c r="AI219" i="5" s="1"/>
  <c r="AJ219" i="5" s="1"/>
  <c r="AK219" i="5" s="1"/>
  <c r="AL219" i="5" s="1"/>
  <c r="AM219" i="5" s="1"/>
  <c r="AN219" i="5" s="1"/>
  <c r="AO219" i="5" s="1"/>
  <c r="AS219" i="5" s="1"/>
  <c r="AE203" i="5"/>
  <c r="AF203" i="5" s="1"/>
  <c r="AG203" i="5" s="1"/>
  <c r="AH203" i="5" s="1"/>
  <c r="AI203" i="5" s="1"/>
  <c r="AJ203" i="5" s="1"/>
  <c r="AK203" i="5" s="1"/>
  <c r="AL203" i="5" s="1"/>
  <c r="AM203" i="5" s="1"/>
  <c r="AN203" i="5" s="1"/>
  <c r="AO203" i="5" s="1"/>
  <c r="AS203" i="5" s="1"/>
  <c r="AA177" i="5"/>
  <c r="AA121" i="5"/>
  <c r="Q583" i="5"/>
  <c r="P576" i="5"/>
  <c r="AA472" i="5"/>
  <c r="AA113" i="5"/>
  <c r="AA477" i="5"/>
  <c r="AA286" i="5"/>
  <c r="AA160" i="5"/>
  <c r="AA474" i="5"/>
  <c r="AE354" i="5"/>
  <c r="AF354" i="5" s="1"/>
  <c r="AG354" i="5" s="1"/>
  <c r="AH354" i="5" s="1"/>
  <c r="AI354" i="5" s="1"/>
  <c r="AJ354" i="5" s="1"/>
  <c r="AK354" i="5" s="1"/>
  <c r="AC354" i="5"/>
  <c r="AA307" i="5"/>
  <c r="AA262" i="5"/>
  <c r="AA13" i="5"/>
  <c r="AA305" i="5"/>
  <c r="AE69" i="5"/>
  <c r="AF69" i="5" s="1"/>
  <c r="AG69" i="5" s="1"/>
  <c r="AH69" i="5" s="1"/>
  <c r="AI69" i="5" s="1"/>
  <c r="AJ69" i="5" s="1"/>
  <c r="AK69" i="5" s="1"/>
  <c r="AL69" i="5" s="1"/>
  <c r="AM69" i="5" s="1"/>
  <c r="AN69" i="5" s="1"/>
  <c r="AO69" i="5" s="1"/>
  <c r="AS69" i="5" s="1"/>
  <c r="AE468" i="5"/>
  <c r="AF468" i="5" s="1"/>
  <c r="AG468" i="5" s="1"/>
  <c r="AH468" i="5" s="1"/>
  <c r="AI468" i="5" s="1"/>
  <c r="AJ468" i="5" s="1"/>
  <c r="AK468" i="5" s="1"/>
  <c r="AL468" i="5" s="1"/>
  <c r="AM468" i="5" s="1"/>
  <c r="AN468" i="5" s="1"/>
  <c r="AO468" i="5" s="1"/>
  <c r="AS468" i="5" s="1"/>
  <c r="AE208" i="5"/>
  <c r="AF208" i="5" s="1"/>
  <c r="AG208" i="5" s="1"/>
  <c r="AH208" i="5" s="1"/>
  <c r="AI208" i="5" s="1"/>
  <c r="AJ208" i="5" s="1"/>
  <c r="AK208" i="5" s="1"/>
  <c r="AL208" i="5" s="1"/>
  <c r="AM208" i="5" s="1"/>
  <c r="AN208" i="5" s="1"/>
  <c r="AO208" i="5" s="1"/>
  <c r="AS208" i="5" s="1"/>
  <c r="AA175" i="5"/>
  <c r="AE515" i="5"/>
  <c r="AF515" i="5" s="1"/>
  <c r="AG515" i="5" s="1"/>
  <c r="AH515" i="5" s="1"/>
  <c r="AI515" i="5" s="1"/>
  <c r="AJ515" i="5" s="1"/>
  <c r="AK515" i="5" s="1"/>
  <c r="AL515" i="5" s="1"/>
  <c r="AM515" i="5" s="1"/>
  <c r="AN515" i="5" s="1"/>
  <c r="AO515" i="5" s="1"/>
  <c r="AS515" i="5" s="1"/>
  <c r="AE281" i="5"/>
  <c r="AF281" i="5" s="1"/>
  <c r="AG281" i="5" s="1"/>
  <c r="AH281" i="5" s="1"/>
  <c r="AI281" i="5" s="1"/>
  <c r="AJ281" i="5" s="1"/>
  <c r="AK281" i="5" s="1"/>
  <c r="AL281" i="5" s="1"/>
  <c r="AM281" i="5" s="1"/>
  <c r="AN281" i="5" s="1"/>
  <c r="AO281" i="5" s="1"/>
  <c r="AS281" i="5" s="1"/>
  <c r="AE209" i="5"/>
  <c r="AF209" i="5" s="1"/>
  <c r="AG209" i="5" s="1"/>
  <c r="AH209" i="5" s="1"/>
  <c r="AI209" i="5" s="1"/>
  <c r="AJ209" i="5" s="1"/>
  <c r="AK209" i="5" s="1"/>
  <c r="AL209" i="5" s="1"/>
  <c r="AM209" i="5" s="1"/>
  <c r="AN209" i="5" s="1"/>
  <c r="AO209" i="5" s="1"/>
  <c r="AS209" i="5" s="1"/>
  <c r="AA189" i="5"/>
  <c r="Q156" i="5"/>
  <c r="P155" i="5"/>
  <c r="P518" i="5"/>
  <c r="Q519" i="5"/>
  <c r="AE274" i="5"/>
  <c r="AF274" i="5" s="1"/>
  <c r="AG274" i="5" s="1"/>
  <c r="AH274" i="5" s="1"/>
  <c r="AI274" i="5" s="1"/>
  <c r="AJ274" i="5" s="1"/>
  <c r="AK274" i="5" s="1"/>
  <c r="AL274" i="5" s="1"/>
  <c r="AM274" i="5" s="1"/>
  <c r="AN274" i="5" s="1"/>
  <c r="AO274" i="5" s="1"/>
  <c r="AS274" i="5" s="1"/>
  <c r="AA487" i="5"/>
  <c r="AE389" i="5"/>
  <c r="AF389" i="5" s="1"/>
  <c r="AG389" i="5" s="1"/>
  <c r="AH389" i="5" s="1"/>
  <c r="AI389" i="5" s="1"/>
  <c r="AJ389" i="5" s="1"/>
  <c r="AK389" i="5" s="1"/>
  <c r="AL389" i="5" s="1"/>
  <c r="AM389" i="5" s="1"/>
  <c r="AN389" i="5" s="1"/>
  <c r="AO389" i="5" s="1"/>
  <c r="AS389" i="5" s="1"/>
  <c r="AE360" i="5"/>
  <c r="AF360" i="5" s="1"/>
  <c r="AG360" i="5" s="1"/>
  <c r="AH360" i="5" s="1"/>
  <c r="AI360" i="5" s="1"/>
  <c r="AJ360" i="5" s="1"/>
  <c r="AK360" i="5" s="1"/>
  <c r="AL360" i="5" s="1"/>
  <c r="AM360" i="5" s="1"/>
  <c r="AN360" i="5" s="1"/>
  <c r="AO360" i="5" s="1"/>
  <c r="AS360" i="5" s="1"/>
  <c r="AA276" i="5"/>
  <c r="AA50" i="5"/>
  <c r="AE418" i="5"/>
  <c r="AF418" i="5" s="1"/>
  <c r="AG418" i="5" s="1"/>
  <c r="AH418" i="5" s="1"/>
  <c r="AI418" i="5" s="1"/>
  <c r="AJ418" i="5" s="1"/>
  <c r="AK418" i="5" s="1"/>
  <c r="AL418" i="5" s="1"/>
  <c r="AM418" i="5" s="1"/>
  <c r="AN418" i="5" s="1"/>
  <c r="AO418" i="5" s="1"/>
  <c r="AS418" i="5" s="1"/>
  <c r="AE386" i="5"/>
  <c r="AF386" i="5" s="1"/>
  <c r="AG386" i="5" s="1"/>
  <c r="AH386" i="5" s="1"/>
  <c r="AI386" i="5" s="1"/>
  <c r="AJ386" i="5" s="1"/>
  <c r="AK386" i="5" s="1"/>
  <c r="AL386" i="5" s="1"/>
  <c r="AM386" i="5" s="1"/>
  <c r="AN386" i="5" s="1"/>
  <c r="AO386" i="5" s="1"/>
  <c r="AS386" i="5" s="1"/>
  <c r="AA106" i="5"/>
  <c r="AE71" i="5"/>
  <c r="AF71" i="5" s="1"/>
  <c r="AG71" i="5" s="1"/>
  <c r="AH71" i="5" s="1"/>
  <c r="AI71" i="5" s="1"/>
  <c r="AJ71" i="5" s="1"/>
  <c r="AK71" i="5" s="1"/>
  <c r="AL71" i="5" s="1"/>
  <c r="AM71" i="5" s="1"/>
  <c r="AN71" i="5" s="1"/>
  <c r="AO71" i="5" s="1"/>
  <c r="AS71" i="5" s="1"/>
  <c r="AA406" i="5"/>
  <c r="AA384" i="5"/>
  <c r="AA370" i="5"/>
  <c r="AE207" i="5"/>
  <c r="AF207" i="5" s="1"/>
  <c r="AG207" i="5" s="1"/>
  <c r="AH207" i="5" s="1"/>
  <c r="AI207" i="5" s="1"/>
  <c r="AJ207" i="5" s="1"/>
  <c r="AK207" i="5" s="1"/>
  <c r="AL207" i="5" s="1"/>
  <c r="AM207" i="5" s="1"/>
  <c r="AN207" i="5" s="1"/>
  <c r="AO207" i="5" s="1"/>
  <c r="AS207" i="5" s="1"/>
  <c r="AA174" i="5"/>
  <c r="AE81" i="5"/>
  <c r="AF81" i="5" s="1"/>
  <c r="AG81" i="5" s="1"/>
  <c r="AH81" i="5" s="1"/>
  <c r="AI81" i="5" s="1"/>
  <c r="AJ81" i="5" s="1"/>
  <c r="AK81" i="5" s="1"/>
  <c r="AL81" i="5" s="1"/>
  <c r="AM81" i="5" s="1"/>
  <c r="AN81" i="5" s="1"/>
  <c r="AO81" i="5" s="1"/>
  <c r="AS81" i="5" s="1"/>
  <c r="AA397" i="5"/>
  <c r="AA422" i="5"/>
  <c r="AA257" i="5"/>
  <c r="AE51" i="5"/>
  <c r="AF51" i="5" s="1"/>
  <c r="AG51" i="5" s="1"/>
  <c r="AH51" i="5" s="1"/>
  <c r="AI51" i="5" s="1"/>
  <c r="AJ51" i="5" s="1"/>
  <c r="AK51" i="5" s="1"/>
  <c r="AL51" i="5" s="1"/>
  <c r="AM51" i="5" s="1"/>
  <c r="AN51" i="5" s="1"/>
  <c r="AO51" i="5" s="1"/>
  <c r="AS51" i="5" s="1"/>
  <c r="AE470" i="5"/>
  <c r="AF470" i="5" s="1"/>
  <c r="AG470" i="5" s="1"/>
  <c r="AH470" i="5" s="1"/>
  <c r="AI470" i="5" s="1"/>
  <c r="AJ470" i="5" s="1"/>
  <c r="AK470" i="5" s="1"/>
  <c r="AL470" i="5" s="1"/>
  <c r="AM470" i="5" s="1"/>
  <c r="AN470" i="5" s="1"/>
  <c r="AO470" i="5" s="1"/>
  <c r="AS470" i="5" s="1"/>
  <c r="AA372" i="5"/>
  <c r="AE266" i="5"/>
  <c r="AF266" i="5" s="1"/>
  <c r="AG266" i="5" s="1"/>
  <c r="AH266" i="5" s="1"/>
  <c r="AI266" i="5" s="1"/>
  <c r="AJ266" i="5" s="1"/>
  <c r="AK266" i="5" s="1"/>
  <c r="AL266" i="5" s="1"/>
  <c r="AM266" i="5" s="1"/>
  <c r="AN266" i="5" s="1"/>
  <c r="AO266" i="5" s="1"/>
  <c r="AS266" i="5" s="1"/>
  <c r="AE182" i="5"/>
  <c r="AF182" i="5" s="1"/>
  <c r="AG182" i="5" s="1"/>
  <c r="AH182" i="5" s="1"/>
  <c r="AI182" i="5" s="1"/>
  <c r="AJ182" i="5" s="1"/>
  <c r="AK182" i="5" s="1"/>
  <c r="AL182" i="5" s="1"/>
  <c r="AM182" i="5" s="1"/>
  <c r="AN182" i="5" s="1"/>
  <c r="AO182" i="5" s="1"/>
  <c r="AS182" i="5" s="1"/>
  <c r="AA76" i="5"/>
  <c r="AE431" i="5"/>
  <c r="AF431" i="5" s="1"/>
  <c r="AG431" i="5" s="1"/>
  <c r="AH431" i="5" s="1"/>
  <c r="AI431" i="5" s="1"/>
  <c r="AJ431" i="5" s="1"/>
  <c r="AK431" i="5" s="1"/>
  <c r="AL431" i="5" s="1"/>
  <c r="AM431" i="5" s="1"/>
  <c r="AN431" i="5" s="1"/>
  <c r="AO431" i="5" s="1"/>
  <c r="AS431" i="5" s="1"/>
  <c r="AA411" i="5"/>
  <c r="AA388" i="5"/>
  <c r="AE275" i="5"/>
  <c r="AF275" i="5" s="1"/>
  <c r="AG275" i="5" s="1"/>
  <c r="AH275" i="5" s="1"/>
  <c r="AI275" i="5" s="1"/>
  <c r="AJ275" i="5" s="1"/>
  <c r="AK275" i="5" s="1"/>
  <c r="AL275" i="5" s="1"/>
  <c r="AM275" i="5" s="1"/>
  <c r="AN275" i="5" s="1"/>
  <c r="AO275" i="5" s="1"/>
  <c r="AS275" i="5" s="1"/>
  <c r="AE259" i="5"/>
  <c r="AF259" i="5" s="1"/>
  <c r="AG259" i="5" s="1"/>
  <c r="AH259" i="5" s="1"/>
  <c r="AI259" i="5" s="1"/>
  <c r="AJ259" i="5" s="1"/>
  <c r="AK259" i="5" s="1"/>
  <c r="AL259" i="5" s="1"/>
  <c r="AM259" i="5" s="1"/>
  <c r="AN259" i="5" s="1"/>
  <c r="AO259" i="5" s="1"/>
  <c r="AS259" i="5" s="1"/>
  <c r="AE77" i="5"/>
  <c r="AF77" i="5" s="1"/>
  <c r="AG77" i="5" s="1"/>
  <c r="AH77" i="5" s="1"/>
  <c r="AI77" i="5" s="1"/>
  <c r="AJ77" i="5" s="1"/>
  <c r="AK77" i="5" s="1"/>
  <c r="AL77" i="5" s="1"/>
  <c r="AM77" i="5" s="1"/>
  <c r="AN77" i="5" s="1"/>
  <c r="AO77" i="5" s="1"/>
  <c r="AS77" i="5" s="1"/>
  <c r="AE299" i="5"/>
  <c r="AF299" i="5" s="1"/>
  <c r="AG299" i="5" s="1"/>
  <c r="AH299" i="5" s="1"/>
  <c r="AI299" i="5" s="1"/>
  <c r="AJ299" i="5" s="1"/>
  <c r="AK299" i="5" s="1"/>
  <c r="AL299" i="5" s="1"/>
  <c r="AM299" i="5" s="1"/>
  <c r="AN299" i="5" s="1"/>
  <c r="AO299" i="5" s="1"/>
  <c r="AS299" i="5" s="1"/>
  <c r="AE204" i="5"/>
  <c r="AF204" i="5" s="1"/>
  <c r="AG204" i="5" s="1"/>
  <c r="AH204" i="5" s="1"/>
  <c r="AI204" i="5" s="1"/>
  <c r="AJ204" i="5" s="1"/>
  <c r="AK204" i="5" s="1"/>
  <c r="AL204" i="5" s="1"/>
  <c r="AM204" i="5" s="1"/>
  <c r="AN204" i="5" s="1"/>
  <c r="AO204" i="5" s="1"/>
  <c r="AS204" i="5" s="1"/>
  <c r="AA184" i="5"/>
  <c r="AE277" i="5"/>
  <c r="AF277" i="5" s="1"/>
  <c r="AG277" i="5" s="1"/>
  <c r="AH277" i="5" s="1"/>
  <c r="AI277" i="5" s="1"/>
  <c r="AJ277" i="5" s="1"/>
  <c r="AK277" i="5" s="1"/>
  <c r="AL277" i="5" s="1"/>
  <c r="AM277" i="5" s="1"/>
  <c r="AN277" i="5" s="1"/>
  <c r="AO277" i="5" s="1"/>
  <c r="AS277" i="5" s="1"/>
  <c r="AA426" i="5"/>
  <c r="AA380" i="5"/>
  <c r="AA362" i="5"/>
  <c r="AE214" i="5"/>
  <c r="AF214" i="5" s="1"/>
  <c r="AG214" i="5" s="1"/>
  <c r="AH214" i="5" s="1"/>
  <c r="AI214" i="5" s="1"/>
  <c r="AJ214" i="5" s="1"/>
  <c r="AK214" i="5" s="1"/>
  <c r="AL214" i="5" s="1"/>
  <c r="AM214" i="5" s="1"/>
  <c r="AN214" i="5" s="1"/>
  <c r="AO214" i="5" s="1"/>
  <c r="AS214" i="5" s="1"/>
  <c r="AA186" i="5"/>
  <c r="AA96" i="5"/>
  <c r="AE72" i="5"/>
  <c r="AF72" i="5" s="1"/>
  <c r="AG72" i="5" s="1"/>
  <c r="AH72" i="5" s="1"/>
  <c r="AI72" i="5" s="1"/>
  <c r="AJ72" i="5" s="1"/>
  <c r="AK72" i="5" s="1"/>
  <c r="AL72" i="5" s="1"/>
  <c r="AM72" i="5" s="1"/>
  <c r="AN72" i="5" s="1"/>
  <c r="AO72" i="5" s="1"/>
  <c r="AS72" i="5" s="1"/>
  <c r="AA427" i="5"/>
  <c r="AA272" i="5"/>
  <c r="AE256" i="5"/>
  <c r="AF256" i="5" s="1"/>
  <c r="AG256" i="5" s="1"/>
  <c r="AH256" i="5" s="1"/>
  <c r="AI256" i="5" s="1"/>
  <c r="AJ256" i="5" s="1"/>
  <c r="AK256" i="5" s="1"/>
  <c r="AL256" i="5" s="1"/>
  <c r="AM256" i="5" s="1"/>
  <c r="AN256" i="5" s="1"/>
  <c r="AO256" i="5" s="1"/>
  <c r="AS256" i="5" s="1"/>
  <c r="AA109" i="5"/>
  <c r="AE416" i="5"/>
  <c r="AF416" i="5" s="1"/>
  <c r="AG416" i="5" s="1"/>
  <c r="AH416" i="5" s="1"/>
  <c r="AI416" i="5" s="1"/>
  <c r="AJ416" i="5" s="1"/>
  <c r="AK416" i="5" s="1"/>
  <c r="AL416" i="5" s="1"/>
  <c r="AM416" i="5" s="1"/>
  <c r="AN416" i="5" s="1"/>
  <c r="AO416" i="5" s="1"/>
  <c r="AS416" i="5" s="1"/>
  <c r="AE383" i="5"/>
  <c r="AF383" i="5" s="1"/>
  <c r="AG383" i="5" s="1"/>
  <c r="AH383" i="5" s="1"/>
  <c r="AI383" i="5" s="1"/>
  <c r="AJ383" i="5" s="1"/>
  <c r="AK383" i="5" s="1"/>
  <c r="AL383" i="5" s="1"/>
  <c r="AM383" i="5" s="1"/>
  <c r="AN383" i="5" s="1"/>
  <c r="AO383" i="5" s="1"/>
  <c r="AS383" i="5" s="1"/>
  <c r="AE295" i="5"/>
  <c r="AF295" i="5" s="1"/>
  <c r="AG295" i="5" s="1"/>
  <c r="AH295" i="5" s="1"/>
  <c r="AI295" i="5" s="1"/>
  <c r="AJ295" i="5" s="1"/>
  <c r="AK295" i="5" s="1"/>
  <c r="AL295" i="5" s="1"/>
  <c r="AM295" i="5" s="1"/>
  <c r="AN295" i="5" s="1"/>
  <c r="AO295" i="5" s="1"/>
  <c r="AS295" i="5" s="1"/>
  <c r="AA268" i="5"/>
  <c r="AE213" i="5"/>
  <c r="AF213" i="5" s="1"/>
  <c r="AG213" i="5" s="1"/>
  <c r="AH213" i="5" s="1"/>
  <c r="AI213" i="5" s="1"/>
  <c r="AJ213" i="5" s="1"/>
  <c r="AK213" i="5" s="1"/>
  <c r="AL213" i="5" s="1"/>
  <c r="AM213" i="5" s="1"/>
  <c r="AN213" i="5" s="1"/>
  <c r="AO213" i="5" s="1"/>
  <c r="AS213" i="5" s="1"/>
  <c r="AA185" i="5"/>
  <c r="AA294" i="5"/>
  <c r="AE279" i="5"/>
  <c r="AF279" i="5" s="1"/>
  <c r="AG279" i="5" s="1"/>
  <c r="AH279" i="5" s="1"/>
  <c r="AI279" i="5" s="1"/>
  <c r="AJ279" i="5" s="1"/>
  <c r="AK279" i="5" s="1"/>
  <c r="AL279" i="5" s="1"/>
  <c r="AM279" i="5" s="1"/>
  <c r="AN279" i="5" s="1"/>
  <c r="AO279" i="5" s="1"/>
  <c r="AS279" i="5" s="1"/>
  <c r="AA118" i="5"/>
  <c r="AE66" i="5"/>
  <c r="AF66" i="5" s="1"/>
  <c r="AG66" i="5" s="1"/>
  <c r="AH66" i="5" s="1"/>
  <c r="AI66" i="5" s="1"/>
  <c r="AJ66" i="5" s="1"/>
  <c r="AK66" i="5" s="1"/>
  <c r="AL66" i="5" s="1"/>
  <c r="AM66" i="5" s="1"/>
  <c r="AN66" i="5" s="1"/>
  <c r="AO66" i="5" s="1"/>
  <c r="AS66" i="5" s="1"/>
  <c r="AA403" i="5"/>
  <c r="AA364" i="5"/>
  <c r="AA280" i="5"/>
  <c r="AA353" i="5"/>
  <c r="CO578" i="1" l="1"/>
  <c r="CP578" i="1" s="1"/>
  <c r="CQ578" i="1" s="1"/>
  <c r="CR578" i="1" s="1"/>
  <c r="CS578" i="1" s="1"/>
  <c r="CT578" i="1" s="1"/>
  <c r="CU578" i="1" s="1"/>
  <c r="CV578" i="1" s="1"/>
  <c r="CW578" i="1" s="1"/>
  <c r="CX578" i="1" s="1"/>
  <c r="CY578" i="1" s="1"/>
  <c r="CZ264" i="1"/>
  <c r="CZ578" i="1"/>
  <c r="CZ4" i="1"/>
  <c r="CZ386" i="1"/>
  <c r="CZ579" i="1"/>
  <c r="CZ108" i="1"/>
  <c r="CZ382" i="1"/>
  <c r="N658" i="5"/>
  <c r="N671" i="5"/>
  <c r="N657" i="5"/>
  <c r="AR665" i="5"/>
  <c r="AA511" i="5"/>
  <c r="AP79" i="5"/>
  <c r="AP263" i="5"/>
  <c r="AC669" i="5"/>
  <c r="AC671" i="5" s="1"/>
  <c r="AP109" i="5"/>
  <c r="AA670" i="5"/>
  <c r="AP219" i="5"/>
  <c r="AP403" i="5"/>
  <c r="AP70" i="5"/>
  <c r="AP381" i="5"/>
  <c r="AP185" i="5"/>
  <c r="AP268" i="5"/>
  <c r="AP262" i="5"/>
  <c r="AP431" i="5"/>
  <c r="AP427" i="5"/>
  <c r="AP426" i="5"/>
  <c r="AP388" i="5"/>
  <c r="AP255" i="5"/>
  <c r="AP80" i="5"/>
  <c r="AP269" i="5"/>
  <c r="AP378" i="5"/>
  <c r="AP258" i="5"/>
  <c r="AP386" i="5"/>
  <c r="AP211" i="5"/>
  <c r="AP424" i="5"/>
  <c r="AP280" i="5"/>
  <c r="AP71" i="5"/>
  <c r="AP418" i="5"/>
  <c r="AP360" i="5"/>
  <c r="AP308" i="5"/>
  <c r="AP487" i="5"/>
  <c r="AP471" i="5"/>
  <c r="AP210" i="5"/>
  <c r="AP401" i="5"/>
  <c r="AP505" i="5"/>
  <c r="AP76" i="5"/>
  <c r="AP273" i="5"/>
  <c r="AP72" i="5"/>
  <c r="AP277" i="5"/>
  <c r="AP274" i="5"/>
  <c r="N681" i="5"/>
  <c r="AP384" i="5"/>
  <c r="AP474" i="5"/>
  <c r="AP115" i="5"/>
  <c r="AP265" i="5"/>
  <c r="AP429" i="5"/>
  <c r="AP201" i="5"/>
  <c r="AP470" i="5"/>
  <c r="AP412" i="5"/>
  <c r="AP118" i="5"/>
  <c r="AP66" i="5"/>
  <c r="AP416" i="5"/>
  <c r="AP81" i="5"/>
  <c r="AP209" i="5"/>
  <c r="AP69" i="5"/>
  <c r="AP218" i="5"/>
  <c r="AP353" i="5"/>
  <c r="AP364" i="5"/>
  <c r="AP298" i="5"/>
  <c r="AP158" i="5"/>
  <c r="AP473" i="5"/>
  <c r="AP184" i="5"/>
  <c r="AP411" i="5"/>
  <c r="AP305" i="5"/>
  <c r="AP121" i="5"/>
  <c r="AP271" i="5"/>
  <c r="AP157" i="5"/>
  <c r="AP506" i="5"/>
  <c r="AP413" i="5"/>
  <c r="AP217" i="5"/>
  <c r="AP469" i="5"/>
  <c r="AP400" i="5"/>
  <c r="AP183" i="5"/>
  <c r="AP347" i="5"/>
  <c r="AP113" i="5"/>
  <c r="AP203" i="5"/>
  <c r="AP391" i="5"/>
  <c r="AP215" i="5"/>
  <c r="AP498" i="5"/>
  <c r="AP376" i="5"/>
  <c r="AP216" i="5"/>
  <c r="AP260" i="5"/>
  <c r="AP106" i="5"/>
  <c r="AP254" i="5"/>
  <c r="AT279" i="5"/>
  <c r="AU279" i="5" s="1"/>
  <c r="AV279" i="5" s="1"/>
  <c r="AW279" i="5" s="1"/>
  <c r="AX279" i="5" s="1"/>
  <c r="AY279" i="5" s="1"/>
  <c r="AZ279" i="5" s="1"/>
  <c r="BA279" i="5" s="1"/>
  <c r="BB279" i="5" s="1"/>
  <c r="BC279" i="5" s="1"/>
  <c r="BD279" i="5" s="1"/>
  <c r="AT295" i="5"/>
  <c r="AU295" i="5" s="1"/>
  <c r="AV295" i="5" s="1"/>
  <c r="AW295" i="5" s="1"/>
  <c r="AX295" i="5" s="1"/>
  <c r="AY295" i="5" s="1"/>
  <c r="AZ295" i="5" s="1"/>
  <c r="BA295" i="5" s="1"/>
  <c r="BB295" i="5" s="1"/>
  <c r="BC295" i="5" s="1"/>
  <c r="BD295" i="5" s="1"/>
  <c r="AT256" i="5"/>
  <c r="AU256" i="5" s="1"/>
  <c r="AV256" i="5" s="1"/>
  <c r="AW256" i="5" s="1"/>
  <c r="AX256" i="5" s="1"/>
  <c r="AY256" i="5" s="1"/>
  <c r="AZ256" i="5" s="1"/>
  <c r="BA256" i="5" s="1"/>
  <c r="BB256" i="5" s="1"/>
  <c r="BC256" i="5" s="1"/>
  <c r="BD256" i="5" s="1"/>
  <c r="AT214" i="5"/>
  <c r="AU214" i="5" s="1"/>
  <c r="AV214" i="5" s="1"/>
  <c r="AW214" i="5" s="1"/>
  <c r="AX214" i="5" s="1"/>
  <c r="AY214" i="5" s="1"/>
  <c r="AZ214" i="5" s="1"/>
  <c r="BA214" i="5" s="1"/>
  <c r="BB214" i="5" s="1"/>
  <c r="BC214" i="5" s="1"/>
  <c r="BD214" i="5" s="1"/>
  <c r="AT204" i="5"/>
  <c r="AU204" i="5" s="1"/>
  <c r="AV204" i="5" s="1"/>
  <c r="AW204" i="5" s="1"/>
  <c r="AX204" i="5" s="1"/>
  <c r="AY204" i="5" s="1"/>
  <c r="AZ204" i="5" s="1"/>
  <c r="BA204" i="5" s="1"/>
  <c r="BB204" i="5" s="1"/>
  <c r="BC204" i="5" s="1"/>
  <c r="BD204" i="5" s="1"/>
  <c r="AT77" i="5"/>
  <c r="AU77" i="5" s="1"/>
  <c r="AV77" i="5" s="1"/>
  <c r="AW77" i="5" s="1"/>
  <c r="AX77" i="5" s="1"/>
  <c r="AY77" i="5" s="1"/>
  <c r="AZ77" i="5" s="1"/>
  <c r="BA77" i="5" s="1"/>
  <c r="BB77" i="5" s="1"/>
  <c r="BC77" i="5" s="1"/>
  <c r="BD77" i="5" s="1"/>
  <c r="AT275" i="5"/>
  <c r="AU275" i="5" s="1"/>
  <c r="AV275" i="5" s="1"/>
  <c r="AW275" i="5" s="1"/>
  <c r="AX275" i="5" s="1"/>
  <c r="AY275" i="5" s="1"/>
  <c r="AZ275" i="5" s="1"/>
  <c r="BA275" i="5" s="1"/>
  <c r="BB275" i="5" s="1"/>
  <c r="BC275" i="5" s="1"/>
  <c r="BD275" i="5" s="1"/>
  <c r="AT266" i="5"/>
  <c r="AU266" i="5" s="1"/>
  <c r="AV266" i="5" s="1"/>
  <c r="AW266" i="5" s="1"/>
  <c r="AX266" i="5" s="1"/>
  <c r="AY266" i="5" s="1"/>
  <c r="AZ266" i="5" s="1"/>
  <c r="BA266" i="5" s="1"/>
  <c r="BB266" i="5" s="1"/>
  <c r="BC266" i="5" s="1"/>
  <c r="BD266" i="5" s="1"/>
  <c r="AT51" i="5"/>
  <c r="AU51" i="5" s="1"/>
  <c r="AV51" i="5" s="1"/>
  <c r="AW51" i="5" s="1"/>
  <c r="AX51" i="5" s="1"/>
  <c r="AY51" i="5" s="1"/>
  <c r="AZ51" i="5" s="1"/>
  <c r="BA51" i="5" s="1"/>
  <c r="BB51" i="5" s="1"/>
  <c r="BC51" i="5" s="1"/>
  <c r="BD51" i="5" s="1"/>
  <c r="AT207" i="5"/>
  <c r="AU207" i="5" s="1"/>
  <c r="AV207" i="5" s="1"/>
  <c r="AW207" i="5" s="1"/>
  <c r="AX207" i="5" s="1"/>
  <c r="AY207" i="5" s="1"/>
  <c r="AZ207" i="5" s="1"/>
  <c r="BA207" i="5" s="1"/>
  <c r="BB207" i="5" s="1"/>
  <c r="BC207" i="5" s="1"/>
  <c r="BD207" i="5" s="1"/>
  <c r="AT389" i="5"/>
  <c r="AU389" i="5" s="1"/>
  <c r="AV389" i="5" s="1"/>
  <c r="AW389" i="5" s="1"/>
  <c r="AX389" i="5" s="1"/>
  <c r="AY389" i="5" s="1"/>
  <c r="AZ389" i="5" s="1"/>
  <c r="BA389" i="5" s="1"/>
  <c r="BB389" i="5" s="1"/>
  <c r="BC389" i="5" s="1"/>
  <c r="BD389" i="5" s="1"/>
  <c r="Q155" i="5"/>
  <c r="R156" i="5"/>
  <c r="AT281" i="5"/>
  <c r="AU281" i="5" s="1"/>
  <c r="AV281" i="5" s="1"/>
  <c r="AW281" i="5" s="1"/>
  <c r="AX281" i="5" s="1"/>
  <c r="AY281" i="5" s="1"/>
  <c r="AZ281" i="5" s="1"/>
  <c r="BA281" i="5" s="1"/>
  <c r="BB281" i="5" s="1"/>
  <c r="BC281" i="5" s="1"/>
  <c r="BD281" i="5" s="1"/>
  <c r="AT468" i="5"/>
  <c r="AU468" i="5" s="1"/>
  <c r="AV468" i="5" s="1"/>
  <c r="AW468" i="5" s="1"/>
  <c r="AX468" i="5" s="1"/>
  <c r="AY468" i="5" s="1"/>
  <c r="AZ468" i="5" s="1"/>
  <c r="BA468" i="5" s="1"/>
  <c r="BB468" i="5" s="1"/>
  <c r="BC468" i="5" s="1"/>
  <c r="BD468" i="5" s="1"/>
  <c r="AA663" i="5"/>
  <c r="AT355" i="5"/>
  <c r="AU355" i="5" s="1"/>
  <c r="AV355" i="5" s="1"/>
  <c r="AW355" i="5" s="1"/>
  <c r="AX355" i="5" s="1"/>
  <c r="AY355" i="5" s="1"/>
  <c r="AZ355" i="5" s="1"/>
  <c r="BA355" i="5" s="1"/>
  <c r="BB355" i="5" s="1"/>
  <c r="BC355" i="5" s="1"/>
  <c r="BD355" i="5" s="1"/>
  <c r="AT120" i="5"/>
  <c r="AU120" i="5" s="1"/>
  <c r="AV120" i="5" s="1"/>
  <c r="AW120" i="5" s="1"/>
  <c r="AX120" i="5" s="1"/>
  <c r="AY120" i="5" s="1"/>
  <c r="AZ120" i="5" s="1"/>
  <c r="BA120" i="5" s="1"/>
  <c r="BB120" i="5" s="1"/>
  <c r="BC120" i="5" s="1"/>
  <c r="BD120" i="5" s="1"/>
  <c r="AR574" i="5"/>
  <c r="BE574" i="5"/>
  <c r="AT294" i="5"/>
  <c r="AU294" i="5" s="1"/>
  <c r="AV294" i="5" s="1"/>
  <c r="AW294" i="5" s="1"/>
  <c r="AX294" i="5" s="1"/>
  <c r="AY294" i="5" s="1"/>
  <c r="AZ294" i="5" s="1"/>
  <c r="BA294" i="5" s="1"/>
  <c r="BB294" i="5" s="1"/>
  <c r="BC294" i="5" s="1"/>
  <c r="BD294" i="5" s="1"/>
  <c r="AT74" i="5"/>
  <c r="AU74" i="5" s="1"/>
  <c r="AV74" i="5" s="1"/>
  <c r="AW74" i="5" s="1"/>
  <c r="AX74" i="5" s="1"/>
  <c r="AY74" i="5" s="1"/>
  <c r="AZ74" i="5" s="1"/>
  <c r="BA74" i="5" s="1"/>
  <c r="BB74" i="5" s="1"/>
  <c r="BC74" i="5" s="1"/>
  <c r="BD74" i="5" s="1"/>
  <c r="AT186" i="5"/>
  <c r="AU186" i="5" s="1"/>
  <c r="AV186" i="5" s="1"/>
  <c r="AW186" i="5" s="1"/>
  <c r="AX186" i="5" s="1"/>
  <c r="AY186" i="5" s="1"/>
  <c r="AZ186" i="5" s="1"/>
  <c r="BA186" i="5" s="1"/>
  <c r="BB186" i="5" s="1"/>
  <c r="BC186" i="5" s="1"/>
  <c r="BD186" i="5" s="1"/>
  <c r="AT380" i="5"/>
  <c r="AU380" i="5" s="1"/>
  <c r="AV380" i="5" s="1"/>
  <c r="AW380" i="5" s="1"/>
  <c r="AX380" i="5" s="1"/>
  <c r="AY380" i="5" s="1"/>
  <c r="AZ380" i="5" s="1"/>
  <c r="BA380" i="5" s="1"/>
  <c r="BB380" i="5" s="1"/>
  <c r="BC380" i="5" s="1"/>
  <c r="BD380" i="5" s="1"/>
  <c r="AT92" i="5"/>
  <c r="AU92" i="5" s="1"/>
  <c r="AV92" i="5" s="1"/>
  <c r="AW92" i="5" s="1"/>
  <c r="AX92" i="5" s="1"/>
  <c r="AY92" i="5" s="1"/>
  <c r="AZ92" i="5" s="1"/>
  <c r="BA92" i="5" s="1"/>
  <c r="BB92" i="5" s="1"/>
  <c r="BC92" i="5" s="1"/>
  <c r="BD92" i="5" s="1"/>
  <c r="AT174" i="5"/>
  <c r="AU174" i="5" s="1"/>
  <c r="AV174" i="5" s="1"/>
  <c r="AW174" i="5" s="1"/>
  <c r="AX174" i="5" s="1"/>
  <c r="AY174" i="5" s="1"/>
  <c r="AZ174" i="5" s="1"/>
  <c r="BA174" i="5" s="1"/>
  <c r="BB174" i="5" s="1"/>
  <c r="BC174" i="5" s="1"/>
  <c r="BD174" i="5" s="1"/>
  <c r="AT516" i="5"/>
  <c r="AU516" i="5" s="1"/>
  <c r="AV516" i="5" s="1"/>
  <c r="AW516" i="5" s="1"/>
  <c r="AX516" i="5" s="1"/>
  <c r="AY516" i="5" s="1"/>
  <c r="AZ516" i="5" s="1"/>
  <c r="BA516" i="5" s="1"/>
  <c r="BB516" i="5" s="1"/>
  <c r="BC516" i="5" s="1"/>
  <c r="BD516" i="5" s="1"/>
  <c r="AT189" i="5"/>
  <c r="AU189" i="5" s="1"/>
  <c r="AV189" i="5" s="1"/>
  <c r="AW189" i="5" s="1"/>
  <c r="AX189" i="5" s="1"/>
  <c r="AY189" i="5" s="1"/>
  <c r="AZ189" i="5" s="1"/>
  <c r="BA189" i="5" s="1"/>
  <c r="BB189" i="5" s="1"/>
  <c r="BC189" i="5" s="1"/>
  <c r="BD189" i="5" s="1"/>
  <c r="AT286" i="5"/>
  <c r="AU286" i="5" s="1"/>
  <c r="AV286" i="5" s="1"/>
  <c r="AW286" i="5" s="1"/>
  <c r="AX286" i="5" s="1"/>
  <c r="AY286" i="5" s="1"/>
  <c r="AZ286" i="5" s="1"/>
  <c r="BA286" i="5" s="1"/>
  <c r="BB286" i="5" s="1"/>
  <c r="BC286" i="5" s="1"/>
  <c r="BD286" i="5" s="1"/>
  <c r="AT430" i="5"/>
  <c r="AU430" i="5" s="1"/>
  <c r="AV430" i="5" s="1"/>
  <c r="AW430" i="5" s="1"/>
  <c r="AX430" i="5" s="1"/>
  <c r="AY430" i="5" s="1"/>
  <c r="AZ430" i="5" s="1"/>
  <c r="BA430" i="5" s="1"/>
  <c r="BB430" i="5" s="1"/>
  <c r="BC430" i="5" s="1"/>
  <c r="BD430" i="5" s="1"/>
  <c r="AT65" i="5"/>
  <c r="AU65" i="5" s="1"/>
  <c r="AV65" i="5" s="1"/>
  <c r="AW65" i="5" s="1"/>
  <c r="AX65" i="5" s="1"/>
  <c r="AY65" i="5" s="1"/>
  <c r="AZ65" i="5" s="1"/>
  <c r="BA65" i="5" s="1"/>
  <c r="BB65" i="5" s="1"/>
  <c r="BC65" i="5" s="1"/>
  <c r="BD65" i="5" s="1"/>
  <c r="AT503" i="5"/>
  <c r="AU503" i="5" s="1"/>
  <c r="AV503" i="5" s="1"/>
  <c r="AW503" i="5" s="1"/>
  <c r="AX503" i="5" s="1"/>
  <c r="AY503" i="5" s="1"/>
  <c r="AZ503" i="5" s="1"/>
  <c r="BA503" i="5" s="1"/>
  <c r="BB503" i="5" s="1"/>
  <c r="BC503" i="5" s="1"/>
  <c r="BD503" i="5" s="1"/>
  <c r="BE503" i="5" s="1"/>
  <c r="AT206" i="5"/>
  <c r="AU206" i="5" s="1"/>
  <c r="AV206" i="5" s="1"/>
  <c r="AW206" i="5" s="1"/>
  <c r="AX206" i="5" s="1"/>
  <c r="AY206" i="5" s="1"/>
  <c r="AZ206" i="5" s="1"/>
  <c r="BA206" i="5" s="1"/>
  <c r="BB206" i="5" s="1"/>
  <c r="BC206" i="5" s="1"/>
  <c r="BD206" i="5" s="1"/>
  <c r="AT300" i="5"/>
  <c r="AU300" i="5" s="1"/>
  <c r="AV300" i="5" s="1"/>
  <c r="AW300" i="5" s="1"/>
  <c r="AX300" i="5" s="1"/>
  <c r="AY300" i="5" s="1"/>
  <c r="AZ300" i="5" s="1"/>
  <c r="BA300" i="5" s="1"/>
  <c r="BB300" i="5" s="1"/>
  <c r="BC300" i="5" s="1"/>
  <c r="BD300" i="5" s="1"/>
  <c r="AT192" i="5"/>
  <c r="AU192" i="5" s="1"/>
  <c r="AV192" i="5" s="1"/>
  <c r="AW192" i="5" s="1"/>
  <c r="AX192" i="5" s="1"/>
  <c r="AY192" i="5" s="1"/>
  <c r="AZ192" i="5" s="1"/>
  <c r="BA192" i="5" s="1"/>
  <c r="BB192" i="5" s="1"/>
  <c r="BC192" i="5" s="1"/>
  <c r="BD192" i="5" s="1"/>
  <c r="AT423" i="5"/>
  <c r="AU423" i="5" s="1"/>
  <c r="AV423" i="5" s="1"/>
  <c r="AW423" i="5" s="1"/>
  <c r="AX423" i="5" s="1"/>
  <c r="AY423" i="5" s="1"/>
  <c r="AZ423" i="5" s="1"/>
  <c r="BA423" i="5" s="1"/>
  <c r="BB423" i="5" s="1"/>
  <c r="BC423" i="5" s="1"/>
  <c r="BD423" i="5" s="1"/>
  <c r="AT404" i="5"/>
  <c r="AU404" i="5" s="1"/>
  <c r="AV404" i="5" s="1"/>
  <c r="AW404" i="5" s="1"/>
  <c r="AX404" i="5" s="1"/>
  <c r="AY404" i="5" s="1"/>
  <c r="AZ404" i="5" s="1"/>
  <c r="BA404" i="5" s="1"/>
  <c r="BB404" i="5" s="1"/>
  <c r="BC404" i="5" s="1"/>
  <c r="BD404" i="5" s="1"/>
  <c r="AT159" i="5"/>
  <c r="AU159" i="5" s="1"/>
  <c r="AV159" i="5" s="1"/>
  <c r="AW159" i="5" s="1"/>
  <c r="AX159" i="5" s="1"/>
  <c r="AY159" i="5" s="1"/>
  <c r="AZ159" i="5" s="1"/>
  <c r="BA159" i="5" s="1"/>
  <c r="BB159" i="5" s="1"/>
  <c r="BC159" i="5" s="1"/>
  <c r="BD159" i="5" s="1"/>
  <c r="AT261" i="5"/>
  <c r="AU261" i="5" s="1"/>
  <c r="AV261" i="5" s="1"/>
  <c r="AW261" i="5" s="1"/>
  <c r="AX261" i="5" s="1"/>
  <c r="AY261" i="5" s="1"/>
  <c r="AZ261" i="5" s="1"/>
  <c r="BA261" i="5" s="1"/>
  <c r="BB261" i="5" s="1"/>
  <c r="BC261" i="5" s="1"/>
  <c r="BD261" i="5" s="1"/>
  <c r="AT356" i="5"/>
  <c r="AU356" i="5" s="1"/>
  <c r="AV356" i="5" s="1"/>
  <c r="AW356" i="5" s="1"/>
  <c r="AX356" i="5" s="1"/>
  <c r="AY356" i="5" s="1"/>
  <c r="AZ356" i="5" s="1"/>
  <c r="BA356" i="5" s="1"/>
  <c r="BB356" i="5" s="1"/>
  <c r="BC356" i="5" s="1"/>
  <c r="BD356" i="5" s="1"/>
  <c r="AT428" i="5"/>
  <c r="AU428" i="5" s="1"/>
  <c r="AV428" i="5" s="1"/>
  <c r="AW428" i="5" s="1"/>
  <c r="AX428" i="5" s="1"/>
  <c r="AY428" i="5" s="1"/>
  <c r="AZ428" i="5" s="1"/>
  <c r="BA428" i="5" s="1"/>
  <c r="BB428" i="5" s="1"/>
  <c r="BC428" i="5" s="1"/>
  <c r="BD428" i="5" s="1"/>
  <c r="AT55" i="5"/>
  <c r="AU55" i="5" s="1"/>
  <c r="AV55" i="5" s="1"/>
  <c r="AW55" i="5" s="1"/>
  <c r="AX55" i="5" s="1"/>
  <c r="AY55" i="5" s="1"/>
  <c r="AZ55" i="5" s="1"/>
  <c r="BA55" i="5" s="1"/>
  <c r="BB55" i="5" s="1"/>
  <c r="BC55" i="5" s="1"/>
  <c r="BD55" i="5" s="1"/>
  <c r="AT475" i="5"/>
  <c r="AU475" i="5" s="1"/>
  <c r="AV475" i="5" s="1"/>
  <c r="AW475" i="5" s="1"/>
  <c r="AX475" i="5" s="1"/>
  <c r="AY475" i="5" s="1"/>
  <c r="AZ475" i="5" s="1"/>
  <c r="BA475" i="5" s="1"/>
  <c r="BB475" i="5" s="1"/>
  <c r="BC475" i="5" s="1"/>
  <c r="BD475" i="5" s="1"/>
  <c r="AT64" i="5"/>
  <c r="AU64" i="5" s="1"/>
  <c r="AV64" i="5" s="1"/>
  <c r="AW64" i="5" s="1"/>
  <c r="AX64" i="5" s="1"/>
  <c r="AY64" i="5" s="1"/>
  <c r="AZ64" i="5" s="1"/>
  <c r="BA64" i="5" s="1"/>
  <c r="BB64" i="5" s="1"/>
  <c r="BC64" i="5" s="1"/>
  <c r="BD64" i="5" s="1"/>
  <c r="AT369" i="5"/>
  <c r="AU369" i="5" s="1"/>
  <c r="AV369" i="5" s="1"/>
  <c r="AW369" i="5" s="1"/>
  <c r="AX369" i="5" s="1"/>
  <c r="AY369" i="5" s="1"/>
  <c r="AZ369" i="5" s="1"/>
  <c r="BA369" i="5" s="1"/>
  <c r="BB369" i="5" s="1"/>
  <c r="BC369" i="5" s="1"/>
  <c r="BD369" i="5" s="1"/>
  <c r="AT172" i="5"/>
  <c r="AU172" i="5" s="1"/>
  <c r="AV172" i="5" s="1"/>
  <c r="AW172" i="5" s="1"/>
  <c r="AX172" i="5" s="1"/>
  <c r="AY172" i="5" s="1"/>
  <c r="AZ172" i="5" s="1"/>
  <c r="BA172" i="5" s="1"/>
  <c r="BB172" i="5" s="1"/>
  <c r="BC172" i="5" s="1"/>
  <c r="BD172" i="5" s="1"/>
  <c r="AT399" i="5"/>
  <c r="AU399" i="5" s="1"/>
  <c r="AV399" i="5" s="1"/>
  <c r="AW399" i="5" s="1"/>
  <c r="AX399" i="5" s="1"/>
  <c r="AY399" i="5" s="1"/>
  <c r="AZ399" i="5" s="1"/>
  <c r="BA399" i="5" s="1"/>
  <c r="BB399" i="5" s="1"/>
  <c r="BC399" i="5" s="1"/>
  <c r="BD399" i="5" s="1"/>
  <c r="AT257" i="5"/>
  <c r="AU257" i="5" s="1"/>
  <c r="AV257" i="5" s="1"/>
  <c r="AW257" i="5" s="1"/>
  <c r="AX257" i="5" s="1"/>
  <c r="AY257" i="5" s="1"/>
  <c r="AZ257" i="5" s="1"/>
  <c r="BA257" i="5" s="1"/>
  <c r="BB257" i="5" s="1"/>
  <c r="BC257" i="5" s="1"/>
  <c r="BD257" i="5" s="1"/>
  <c r="AT397" i="5"/>
  <c r="AU397" i="5" s="1"/>
  <c r="AV397" i="5" s="1"/>
  <c r="AW397" i="5" s="1"/>
  <c r="AX397" i="5" s="1"/>
  <c r="AY397" i="5" s="1"/>
  <c r="AZ397" i="5" s="1"/>
  <c r="BA397" i="5" s="1"/>
  <c r="BB397" i="5" s="1"/>
  <c r="BC397" i="5" s="1"/>
  <c r="BD397" i="5" s="1"/>
  <c r="AT396" i="5"/>
  <c r="AU396" i="5" s="1"/>
  <c r="AV396" i="5" s="1"/>
  <c r="AW396" i="5" s="1"/>
  <c r="AX396" i="5" s="1"/>
  <c r="AY396" i="5" s="1"/>
  <c r="AZ396" i="5" s="1"/>
  <c r="BA396" i="5" s="1"/>
  <c r="BB396" i="5" s="1"/>
  <c r="BC396" i="5" s="1"/>
  <c r="BD396" i="5" s="1"/>
  <c r="AT50" i="5"/>
  <c r="AS670" i="5"/>
  <c r="R513" i="5"/>
  <c r="Q511" i="5"/>
  <c r="AT181" i="5"/>
  <c r="AU181" i="5" s="1"/>
  <c r="AV181" i="5" s="1"/>
  <c r="AW181" i="5" s="1"/>
  <c r="AX181" i="5" s="1"/>
  <c r="AY181" i="5" s="1"/>
  <c r="AZ181" i="5" s="1"/>
  <c r="BA181" i="5" s="1"/>
  <c r="BB181" i="5" s="1"/>
  <c r="BC181" i="5" s="1"/>
  <c r="BD181" i="5" s="1"/>
  <c r="AT188" i="5"/>
  <c r="AU188" i="5" s="1"/>
  <c r="AV188" i="5" s="1"/>
  <c r="AW188" i="5" s="1"/>
  <c r="AX188" i="5" s="1"/>
  <c r="AY188" i="5" s="1"/>
  <c r="AZ188" i="5" s="1"/>
  <c r="BA188" i="5" s="1"/>
  <c r="BB188" i="5" s="1"/>
  <c r="BC188" i="5" s="1"/>
  <c r="BD188" i="5" s="1"/>
  <c r="AV8" i="5"/>
  <c r="AT22" i="5"/>
  <c r="AU22" i="5" s="1"/>
  <c r="AV22" i="5" s="1"/>
  <c r="AW22" i="5" s="1"/>
  <c r="AX22" i="5" s="1"/>
  <c r="AY22" i="5" s="1"/>
  <c r="AZ22" i="5" s="1"/>
  <c r="BA22" i="5" s="1"/>
  <c r="BB22" i="5" s="1"/>
  <c r="BC22" i="5" s="1"/>
  <c r="BD22" i="5" s="1"/>
  <c r="AT43" i="5"/>
  <c r="AU43" i="5" s="1"/>
  <c r="AV43" i="5" s="1"/>
  <c r="AW43" i="5" s="1"/>
  <c r="AX43" i="5" s="1"/>
  <c r="AY43" i="5" s="1"/>
  <c r="AZ43" i="5" s="1"/>
  <c r="BA43" i="5" s="1"/>
  <c r="BB43" i="5" s="1"/>
  <c r="BC43" i="5" s="1"/>
  <c r="BD43" i="5" s="1"/>
  <c r="AT187" i="5"/>
  <c r="AU187" i="5" s="1"/>
  <c r="AV187" i="5" s="1"/>
  <c r="AW187" i="5" s="1"/>
  <c r="AX187" i="5" s="1"/>
  <c r="AY187" i="5" s="1"/>
  <c r="AZ187" i="5" s="1"/>
  <c r="BA187" i="5" s="1"/>
  <c r="BB187" i="5" s="1"/>
  <c r="BC187" i="5" s="1"/>
  <c r="BD187" i="5" s="1"/>
  <c r="AT66" i="5"/>
  <c r="AU66" i="5" s="1"/>
  <c r="AV66" i="5" s="1"/>
  <c r="AW66" i="5" s="1"/>
  <c r="AX66" i="5" s="1"/>
  <c r="AY66" i="5" s="1"/>
  <c r="AZ66" i="5" s="1"/>
  <c r="BA66" i="5" s="1"/>
  <c r="BB66" i="5" s="1"/>
  <c r="BC66" i="5" s="1"/>
  <c r="BD66" i="5" s="1"/>
  <c r="AP213" i="5"/>
  <c r="AP295" i="5"/>
  <c r="AT416" i="5"/>
  <c r="AU416" i="5" s="1"/>
  <c r="AV416" i="5" s="1"/>
  <c r="AW416" i="5" s="1"/>
  <c r="AX416" i="5" s="1"/>
  <c r="AY416" i="5" s="1"/>
  <c r="AZ416" i="5" s="1"/>
  <c r="BA416" i="5" s="1"/>
  <c r="BB416" i="5" s="1"/>
  <c r="BC416" i="5" s="1"/>
  <c r="BD416" i="5" s="1"/>
  <c r="AT277" i="5"/>
  <c r="AU277" i="5" s="1"/>
  <c r="AV277" i="5" s="1"/>
  <c r="AW277" i="5" s="1"/>
  <c r="AX277" i="5" s="1"/>
  <c r="AY277" i="5" s="1"/>
  <c r="AZ277" i="5" s="1"/>
  <c r="BA277" i="5" s="1"/>
  <c r="BB277" i="5" s="1"/>
  <c r="BC277" i="5" s="1"/>
  <c r="BD277" i="5" s="1"/>
  <c r="AP299" i="5"/>
  <c r="AT259" i="5"/>
  <c r="AU259" i="5" s="1"/>
  <c r="AV259" i="5" s="1"/>
  <c r="AW259" i="5" s="1"/>
  <c r="AX259" i="5" s="1"/>
  <c r="AY259" i="5" s="1"/>
  <c r="AZ259" i="5" s="1"/>
  <c r="BA259" i="5" s="1"/>
  <c r="BB259" i="5" s="1"/>
  <c r="BC259" i="5" s="1"/>
  <c r="BD259" i="5" s="1"/>
  <c r="AA667" i="5"/>
  <c r="AP266" i="5"/>
  <c r="AT81" i="5"/>
  <c r="AU81" i="5" s="1"/>
  <c r="AV81" i="5" s="1"/>
  <c r="AW81" i="5" s="1"/>
  <c r="AX81" i="5" s="1"/>
  <c r="AY81" i="5" s="1"/>
  <c r="AZ81" i="5" s="1"/>
  <c r="BA81" i="5" s="1"/>
  <c r="BB81" i="5" s="1"/>
  <c r="BC81" i="5" s="1"/>
  <c r="BD81" i="5" s="1"/>
  <c r="AT71" i="5"/>
  <c r="AU71" i="5" s="1"/>
  <c r="AV71" i="5" s="1"/>
  <c r="AW71" i="5" s="1"/>
  <c r="AX71" i="5" s="1"/>
  <c r="AY71" i="5" s="1"/>
  <c r="AZ71" i="5" s="1"/>
  <c r="BA71" i="5" s="1"/>
  <c r="BB71" i="5" s="1"/>
  <c r="BC71" i="5" s="1"/>
  <c r="BD71" i="5" s="1"/>
  <c r="AT386" i="5"/>
  <c r="AU386" i="5" s="1"/>
  <c r="AV386" i="5" s="1"/>
  <c r="AW386" i="5" s="1"/>
  <c r="AX386" i="5" s="1"/>
  <c r="AY386" i="5" s="1"/>
  <c r="AZ386" i="5" s="1"/>
  <c r="BA386" i="5" s="1"/>
  <c r="BB386" i="5" s="1"/>
  <c r="BC386" i="5" s="1"/>
  <c r="BD386" i="5" s="1"/>
  <c r="AP389" i="5"/>
  <c r="Q518" i="5"/>
  <c r="R519" i="5"/>
  <c r="AP281" i="5"/>
  <c r="AP208" i="5"/>
  <c r="AT69" i="5"/>
  <c r="AU69" i="5" s="1"/>
  <c r="AV69" i="5" s="1"/>
  <c r="AW69" i="5" s="1"/>
  <c r="AX69" i="5" s="1"/>
  <c r="AY69" i="5" s="1"/>
  <c r="AZ69" i="5" s="1"/>
  <c r="BA69" i="5" s="1"/>
  <c r="BB69" i="5" s="1"/>
  <c r="BC69" i="5" s="1"/>
  <c r="BD69" i="5" s="1"/>
  <c r="AP354" i="5"/>
  <c r="R583" i="5"/>
  <c r="Q576" i="5"/>
  <c r="AT203" i="5"/>
  <c r="AU203" i="5" s="1"/>
  <c r="AV203" i="5" s="1"/>
  <c r="AW203" i="5" s="1"/>
  <c r="AX203" i="5" s="1"/>
  <c r="AY203" i="5" s="1"/>
  <c r="AZ203" i="5" s="1"/>
  <c r="BA203" i="5" s="1"/>
  <c r="BB203" i="5" s="1"/>
  <c r="BC203" i="5" s="1"/>
  <c r="BD203" i="5" s="1"/>
  <c r="AP355" i="5"/>
  <c r="AP120" i="5"/>
  <c r="AT353" i="5"/>
  <c r="AU353" i="5" s="1"/>
  <c r="AV353" i="5" s="1"/>
  <c r="AW353" i="5" s="1"/>
  <c r="AX353" i="5" s="1"/>
  <c r="AY353" i="5" s="1"/>
  <c r="AZ353" i="5" s="1"/>
  <c r="BA353" i="5" s="1"/>
  <c r="BB353" i="5" s="1"/>
  <c r="BC353" i="5" s="1"/>
  <c r="BD353" i="5" s="1"/>
  <c r="AT364" i="5"/>
  <c r="AU364" i="5" s="1"/>
  <c r="AV364" i="5" s="1"/>
  <c r="AW364" i="5" s="1"/>
  <c r="AX364" i="5" s="1"/>
  <c r="AY364" i="5" s="1"/>
  <c r="AZ364" i="5" s="1"/>
  <c r="BA364" i="5" s="1"/>
  <c r="BB364" i="5" s="1"/>
  <c r="BC364" i="5" s="1"/>
  <c r="BD364" i="5" s="1"/>
  <c r="AP574" i="5"/>
  <c r="AT185" i="5"/>
  <c r="AU185" i="5" s="1"/>
  <c r="AV185" i="5" s="1"/>
  <c r="AW185" i="5" s="1"/>
  <c r="AX185" i="5" s="1"/>
  <c r="AY185" i="5" s="1"/>
  <c r="AZ185" i="5" s="1"/>
  <c r="BA185" i="5" s="1"/>
  <c r="BB185" i="5" s="1"/>
  <c r="BC185" i="5" s="1"/>
  <c r="BD185" i="5" s="1"/>
  <c r="AT268" i="5"/>
  <c r="AU268" i="5" s="1"/>
  <c r="AV268" i="5" s="1"/>
  <c r="AW268" i="5" s="1"/>
  <c r="AX268" i="5" s="1"/>
  <c r="AY268" i="5" s="1"/>
  <c r="AZ268" i="5" s="1"/>
  <c r="BA268" i="5" s="1"/>
  <c r="BB268" i="5" s="1"/>
  <c r="BC268" i="5" s="1"/>
  <c r="BD268" i="5" s="1"/>
  <c r="AT308" i="5"/>
  <c r="AU308" i="5" s="1"/>
  <c r="AV308" i="5" s="1"/>
  <c r="AW308" i="5" s="1"/>
  <c r="AX308" i="5" s="1"/>
  <c r="AY308" i="5" s="1"/>
  <c r="AZ308" i="5" s="1"/>
  <c r="BA308" i="5" s="1"/>
  <c r="BB308" i="5" s="1"/>
  <c r="BC308" i="5" s="1"/>
  <c r="BD308" i="5" s="1"/>
  <c r="AT473" i="5"/>
  <c r="AU473" i="5" s="1"/>
  <c r="AV473" i="5" s="1"/>
  <c r="AW473" i="5" s="1"/>
  <c r="AX473" i="5" s="1"/>
  <c r="AY473" i="5" s="1"/>
  <c r="AZ473" i="5" s="1"/>
  <c r="BA473" i="5" s="1"/>
  <c r="BB473" i="5" s="1"/>
  <c r="BC473" i="5" s="1"/>
  <c r="BD473" i="5" s="1"/>
  <c r="AT412" i="5"/>
  <c r="AU412" i="5" s="1"/>
  <c r="AV412" i="5" s="1"/>
  <c r="AW412" i="5" s="1"/>
  <c r="AX412" i="5" s="1"/>
  <c r="AY412" i="5" s="1"/>
  <c r="AZ412" i="5" s="1"/>
  <c r="BA412" i="5" s="1"/>
  <c r="BB412" i="5" s="1"/>
  <c r="BC412" i="5" s="1"/>
  <c r="BD412" i="5" s="1"/>
  <c r="AP186" i="5"/>
  <c r="AP380" i="5"/>
  <c r="AP78" i="5"/>
  <c r="AT184" i="5"/>
  <c r="AU184" i="5" s="1"/>
  <c r="AV184" i="5" s="1"/>
  <c r="AW184" i="5" s="1"/>
  <c r="AX184" i="5" s="1"/>
  <c r="AY184" i="5" s="1"/>
  <c r="AZ184" i="5" s="1"/>
  <c r="BA184" i="5" s="1"/>
  <c r="BB184" i="5" s="1"/>
  <c r="BC184" i="5" s="1"/>
  <c r="BD184" i="5" s="1"/>
  <c r="AT411" i="5"/>
  <c r="AU411" i="5" s="1"/>
  <c r="AV411" i="5" s="1"/>
  <c r="AW411" i="5" s="1"/>
  <c r="AX411" i="5" s="1"/>
  <c r="AY411" i="5" s="1"/>
  <c r="AZ411" i="5" s="1"/>
  <c r="BA411" i="5" s="1"/>
  <c r="BB411" i="5" s="1"/>
  <c r="BC411" i="5" s="1"/>
  <c r="BD411" i="5" s="1"/>
  <c r="AP174" i="5"/>
  <c r="AT384" i="5"/>
  <c r="AU384" i="5" s="1"/>
  <c r="AV384" i="5" s="1"/>
  <c r="AW384" i="5" s="1"/>
  <c r="AX384" i="5" s="1"/>
  <c r="AY384" i="5" s="1"/>
  <c r="AZ384" i="5" s="1"/>
  <c r="BA384" i="5" s="1"/>
  <c r="BB384" i="5" s="1"/>
  <c r="BC384" i="5" s="1"/>
  <c r="BD384" i="5" s="1"/>
  <c r="AP516" i="5"/>
  <c r="AV162" i="5"/>
  <c r="AU661" i="5"/>
  <c r="AT487" i="5"/>
  <c r="AU487" i="5" s="1"/>
  <c r="AV487" i="5" s="1"/>
  <c r="AW487" i="5" s="1"/>
  <c r="AX487" i="5" s="1"/>
  <c r="AY487" i="5" s="1"/>
  <c r="AZ487" i="5" s="1"/>
  <c r="BA487" i="5" s="1"/>
  <c r="BB487" i="5" s="1"/>
  <c r="BC487" i="5" s="1"/>
  <c r="BD487" i="5" s="1"/>
  <c r="AP189" i="5"/>
  <c r="AT305" i="5"/>
  <c r="AU305" i="5" s="1"/>
  <c r="AV305" i="5" s="1"/>
  <c r="AW305" i="5" s="1"/>
  <c r="AX305" i="5" s="1"/>
  <c r="AY305" i="5" s="1"/>
  <c r="AZ305" i="5" s="1"/>
  <c r="BA305" i="5" s="1"/>
  <c r="BB305" i="5" s="1"/>
  <c r="BC305" i="5" s="1"/>
  <c r="BD305" i="5" s="1"/>
  <c r="AT262" i="5"/>
  <c r="AU262" i="5" s="1"/>
  <c r="AV262" i="5" s="1"/>
  <c r="AW262" i="5" s="1"/>
  <c r="AX262" i="5" s="1"/>
  <c r="AY262" i="5" s="1"/>
  <c r="AZ262" i="5" s="1"/>
  <c r="BA262" i="5" s="1"/>
  <c r="BB262" i="5" s="1"/>
  <c r="BC262" i="5" s="1"/>
  <c r="BD262" i="5" s="1"/>
  <c r="AT474" i="5"/>
  <c r="AU474" i="5" s="1"/>
  <c r="AV474" i="5" s="1"/>
  <c r="AW474" i="5" s="1"/>
  <c r="AX474" i="5" s="1"/>
  <c r="AY474" i="5" s="1"/>
  <c r="AZ474" i="5" s="1"/>
  <c r="BA474" i="5" s="1"/>
  <c r="BB474" i="5" s="1"/>
  <c r="BC474" i="5" s="1"/>
  <c r="BD474" i="5" s="1"/>
  <c r="AP286" i="5"/>
  <c r="AT121" i="5"/>
  <c r="AU121" i="5" s="1"/>
  <c r="AV121" i="5" s="1"/>
  <c r="AW121" i="5" s="1"/>
  <c r="AX121" i="5" s="1"/>
  <c r="AY121" i="5" s="1"/>
  <c r="AZ121" i="5" s="1"/>
  <c r="BA121" i="5" s="1"/>
  <c r="BB121" i="5" s="1"/>
  <c r="BC121" i="5" s="1"/>
  <c r="BD121" i="5" s="1"/>
  <c r="AP430" i="5"/>
  <c r="AP205" i="5"/>
  <c r="AP65" i="5"/>
  <c r="AC155" i="5"/>
  <c r="AT115" i="5"/>
  <c r="AU115" i="5" s="1"/>
  <c r="AV115" i="5" s="1"/>
  <c r="AW115" i="5" s="1"/>
  <c r="AX115" i="5" s="1"/>
  <c r="AY115" i="5" s="1"/>
  <c r="AZ115" i="5" s="1"/>
  <c r="BA115" i="5" s="1"/>
  <c r="BB115" i="5" s="1"/>
  <c r="BC115" i="5" s="1"/>
  <c r="BD115" i="5" s="1"/>
  <c r="AT255" i="5"/>
  <c r="AU255" i="5" s="1"/>
  <c r="AV255" i="5" s="1"/>
  <c r="AW255" i="5" s="1"/>
  <c r="AX255" i="5" s="1"/>
  <c r="AY255" i="5" s="1"/>
  <c r="AZ255" i="5" s="1"/>
  <c r="BA255" i="5" s="1"/>
  <c r="BB255" i="5" s="1"/>
  <c r="BC255" i="5" s="1"/>
  <c r="BD255" i="5" s="1"/>
  <c r="AP503" i="5"/>
  <c r="AT80" i="5"/>
  <c r="AU80" i="5" s="1"/>
  <c r="AV80" i="5" s="1"/>
  <c r="AW80" i="5" s="1"/>
  <c r="AX80" i="5" s="1"/>
  <c r="AY80" i="5" s="1"/>
  <c r="AZ80" i="5" s="1"/>
  <c r="BA80" i="5" s="1"/>
  <c r="BB80" i="5" s="1"/>
  <c r="BC80" i="5" s="1"/>
  <c r="BD80" i="5" s="1"/>
  <c r="AP270" i="5"/>
  <c r="AT269" i="5"/>
  <c r="AU269" i="5" s="1"/>
  <c r="AV269" i="5" s="1"/>
  <c r="AW269" i="5" s="1"/>
  <c r="AX269" i="5" s="1"/>
  <c r="AY269" i="5" s="1"/>
  <c r="AZ269" i="5" s="1"/>
  <c r="BA269" i="5" s="1"/>
  <c r="BB269" i="5" s="1"/>
  <c r="BC269" i="5" s="1"/>
  <c r="BD269" i="5" s="1"/>
  <c r="AP212" i="5"/>
  <c r="AP112" i="5"/>
  <c r="AP68" i="5"/>
  <c r="AT157" i="5"/>
  <c r="AU157" i="5" s="1"/>
  <c r="AV157" i="5" s="1"/>
  <c r="AW157" i="5" s="1"/>
  <c r="AX157" i="5" s="1"/>
  <c r="AY157" i="5" s="1"/>
  <c r="AZ157" i="5" s="1"/>
  <c r="BA157" i="5" s="1"/>
  <c r="BB157" i="5" s="1"/>
  <c r="BC157" i="5" s="1"/>
  <c r="BD157" i="5" s="1"/>
  <c r="AP423" i="5"/>
  <c r="AT265" i="5"/>
  <c r="AU265" i="5" s="1"/>
  <c r="AV265" i="5" s="1"/>
  <c r="AW265" i="5" s="1"/>
  <c r="AX265" i="5" s="1"/>
  <c r="AY265" i="5" s="1"/>
  <c r="AZ265" i="5" s="1"/>
  <c r="BA265" i="5" s="1"/>
  <c r="BB265" i="5" s="1"/>
  <c r="BC265" i="5" s="1"/>
  <c r="BD265" i="5" s="1"/>
  <c r="AP93" i="5"/>
  <c r="AT215" i="5"/>
  <c r="AU215" i="5" s="1"/>
  <c r="AV215" i="5" s="1"/>
  <c r="AW215" i="5" s="1"/>
  <c r="AX215" i="5" s="1"/>
  <c r="AY215" i="5" s="1"/>
  <c r="AZ215" i="5" s="1"/>
  <c r="BA215" i="5" s="1"/>
  <c r="BB215" i="5" s="1"/>
  <c r="BC215" i="5" s="1"/>
  <c r="BD215" i="5" s="1"/>
  <c r="AT498" i="5"/>
  <c r="AU498" i="5" s="1"/>
  <c r="AV498" i="5" s="1"/>
  <c r="AW498" i="5" s="1"/>
  <c r="AX498" i="5" s="1"/>
  <c r="AY498" i="5" s="1"/>
  <c r="AZ498" i="5" s="1"/>
  <c r="BA498" i="5" s="1"/>
  <c r="BB498" i="5" s="1"/>
  <c r="BC498" i="5" s="1"/>
  <c r="BD498" i="5" s="1"/>
  <c r="AP404" i="5"/>
  <c r="AT376" i="5"/>
  <c r="AU376" i="5" s="1"/>
  <c r="AV376" i="5" s="1"/>
  <c r="AW376" i="5" s="1"/>
  <c r="AX376" i="5" s="1"/>
  <c r="AY376" i="5" s="1"/>
  <c r="AZ376" i="5" s="1"/>
  <c r="BA376" i="5" s="1"/>
  <c r="BB376" i="5" s="1"/>
  <c r="BC376" i="5" s="1"/>
  <c r="BD376" i="5" s="1"/>
  <c r="AT217" i="5"/>
  <c r="AU217" i="5" s="1"/>
  <c r="AV217" i="5" s="1"/>
  <c r="AW217" i="5" s="1"/>
  <c r="AX217" i="5" s="1"/>
  <c r="AY217" i="5" s="1"/>
  <c r="AZ217" i="5" s="1"/>
  <c r="BA217" i="5" s="1"/>
  <c r="BB217" i="5" s="1"/>
  <c r="BC217" i="5" s="1"/>
  <c r="BD217" i="5" s="1"/>
  <c r="AT469" i="5"/>
  <c r="AU469" i="5" s="1"/>
  <c r="AV469" i="5" s="1"/>
  <c r="AW469" i="5" s="1"/>
  <c r="AX469" i="5" s="1"/>
  <c r="AY469" i="5" s="1"/>
  <c r="AZ469" i="5" s="1"/>
  <c r="BA469" i="5" s="1"/>
  <c r="BB469" i="5" s="1"/>
  <c r="BC469" i="5" s="1"/>
  <c r="BD469" i="5" s="1"/>
  <c r="AT400" i="5"/>
  <c r="AU400" i="5" s="1"/>
  <c r="AV400" i="5" s="1"/>
  <c r="AW400" i="5" s="1"/>
  <c r="AX400" i="5" s="1"/>
  <c r="AY400" i="5" s="1"/>
  <c r="AZ400" i="5" s="1"/>
  <c r="BA400" i="5" s="1"/>
  <c r="BB400" i="5" s="1"/>
  <c r="BC400" i="5" s="1"/>
  <c r="BD400" i="5" s="1"/>
  <c r="AT210" i="5"/>
  <c r="AU210" i="5" s="1"/>
  <c r="AV210" i="5" s="1"/>
  <c r="AW210" i="5" s="1"/>
  <c r="AX210" i="5" s="1"/>
  <c r="AY210" i="5" s="1"/>
  <c r="AZ210" i="5" s="1"/>
  <c r="BA210" i="5" s="1"/>
  <c r="BB210" i="5" s="1"/>
  <c r="BC210" i="5" s="1"/>
  <c r="BD210" i="5" s="1"/>
  <c r="AP356" i="5"/>
  <c r="AP428" i="5"/>
  <c r="AP55" i="5"/>
  <c r="AT505" i="5"/>
  <c r="AU505" i="5" s="1"/>
  <c r="AV505" i="5" s="1"/>
  <c r="AW505" i="5" s="1"/>
  <c r="AX505" i="5" s="1"/>
  <c r="AY505" i="5" s="1"/>
  <c r="AZ505" i="5" s="1"/>
  <c r="BA505" i="5" s="1"/>
  <c r="BB505" i="5" s="1"/>
  <c r="BC505" i="5" s="1"/>
  <c r="BD505" i="5" s="1"/>
  <c r="AT109" i="5"/>
  <c r="AU109" i="5" s="1"/>
  <c r="AV109" i="5" s="1"/>
  <c r="AW109" i="5" s="1"/>
  <c r="AX109" i="5" s="1"/>
  <c r="AY109" i="5" s="1"/>
  <c r="AZ109" i="5" s="1"/>
  <c r="BA109" i="5" s="1"/>
  <c r="BB109" i="5" s="1"/>
  <c r="BC109" i="5" s="1"/>
  <c r="BD109" i="5" s="1"/>
  <c r="AP475" i="5"/>
  <c r="AP64" i="5"/>
  <c r="AP369" i="5"/>
  <c r="R509" i="5"/>
  <c r="Q508" i="5"/>
  <c r="AP172" i="5"/>
  <c r="AP399" i="5"/>
  <c r="AT76" i="5"/>
  <c r="AS667" i="5"/>
  <c r="AP257" i="5"/>
  <c r="AP397" i="5"/>
  <c r="AT378" i="5"/>
  <c r="AU378" i="5" s="1"/>
  <c r="AV378" i="5" s="1"/>
  <c r="AW378" i="5" s="1"/>
  <c r="AX378" i="5" s="1"/>
  <c r="AY378" i="5" s="1"/>
  <c r="AZ378" i="5" s="1"/>
  <c r="BA378" i="5" s="1"/>
  <c r="BB378" i="5" s="1"/>
  <c r="BC378" i="5" s="1"/>
  <c r="BD378" i="5" s="1"/>
  <c r="AP50" i="5"/>
  <c r="AP181" i="5"/>
  <c r="AP188" i="5"/>
  <c r="AT254" i="5"/>
  <c r="AU254" i="5" s="1"/>
  <c r="AV254" i="5" s="1"/>
  <c r="AW254" i="5" s="1"/>
  <c r="AX254" i="5" s="1"/>
  <c r="AY254" i="5" s="1"/>
  <c r="AZ254" i="5" s="1"/>
  <c r="BA254" i="5" s="1"/>
  <c r="BB254" i="5" s="1"/>
  <c r="BC254" i="5" s="1"/>
  <c r="BD254" i="5" s="1"/>
  <c r="AT347" i="5"/>
  <c r="AU347" i="5" s="1"/>
  <c r="AV347" i="5" s="1"/>
  <c r="AW347" i="5" s="1"/>
  <c r="AX347" i="5" s="1"/>
  <c r="AY347" i="5" s="1"/>
  <c r="AZ347" i="5" s="1"/>
  <c r="BA347" i="5" s="1"/>
  <c r="BB347" i="5" s="1"/>
  <c r="BC347" i="5" s="1"/>
  <c r="BD347" i="5" s="1"/>
  <c r="AP22" i="5"/>
  <c r="AP43" i="5"/>
  <c r="AP187" i="5"/>
  <c r="AT213" i="5"/>
  <c r="AU213" i="5" s="1"/>
  <c r="AV213" i="5" s="1"/>
  <c r="AW213" i="5" s="1"/>
  <c r="AX213" i="5" s="1"/>
  <c r="AY213" i="5" s="1"/>
  <c r="AZ213" i="5" s="1"/>
  <c r="BA213" i="5" s="1"/>
  <c r="BB213" i="5" s="1"/>
  <c r="BC213" i="5" s="1"/>
  <c r="BD213" i="5" s="1"/>
  <c r="AT383" i="5"/>
  <c r="AU383" i="5" s="1"/>
  <c r="AV383" i="5" s="1"/>
  <c r="AW383" i="5" s="1"/>
  <c r="AX383" i="5" s="1"/>
  <c r="AY383" i="5" s="1"/>
  <c r="AZ383" i="5" s="1"/>
  <c r="BA383" i="5" s="1"/>
  <c r="BB383" i="5" s="1"/>
  <c r="BC383" i="5" s="1"/>
  <c r="BD383" i="5" s="1"/>
  <c r="AT299" i="5"/>
  <c r="AU299" i="5" s="1"/>
  <c r="AV299" i="5" s="1"/>
  <c r="AW299" i="5" s="1"/>
  <c r="AX299" i="5" s="1"/>
  <c r="AY299" i="5" s="1"/>
  <c r="AZ299" i="5" s="1"/>
  <c r="BA299" i="5" s="1"/>
  <c r="BB299" i="5" s="1"/>
  <c r="BC299" i="5" s="1"/>
  <c r="BD299" i="5" s="1"/>
  <c r="AP259" i="5"/>
  <c r="AT182" i="5"/>
  <c r="AU182" i="5" s="1"/>
  <c r="AV182" i="5" s="1"/>
  <c r="AW182" i="5" s="1"/>
  <c r="AX182" i="5" s="1"/>
  <c r="AY182" i="5" s="1"/>
  <c r="AZ182" i="5" s="1"/>
  <c r="BA182" i="5" s="1"/>
  <c r="BB182" i="5" s="1"/>
  <c r="BC182" i="5" s="1"/>
  <c r="BD182" i="5" s="1"/>
  <c r="AT515" i="5"/>
  <c r="AU515" i="5" s="1"/>
  <c r="AV515" i="5" s="1"/>
  <c r="AW515" i="5" s="1"/>
  <c r="AX515" i="5" s="1"/>
  <c r="AY515" i="5" s="1"/>
  <c r="AR515" i="5"/>
  <c r="AT208" i="5"/>
  <c r="AU208" i="5" s="1"/>
  <c r="AV208" i="5" s="1"/>
  <c r="AW208" i="5" s="1"/>
  <c r="AX208" i="5" s="1"/>
  <c r="AY208" i="5" s="1"/>
  <c r="AZ208" i="5" s="1"/>
  <c r="BA208" i="5" s="1"/>
  <c r="BB208" i="5" s="1"/>
  <c r="BC208" i="5" s="1"/>
  <c r="BD208" i="5" s="1"/>
  <c r="AT375" i="5"/>
  <c r="AU375" i="5" s="1"/>
  <c r="AV375" i="5" s="1"/>
  <c r="AW375" i="5" s="1"/>
  <c r="AX375" i="5" s="1"/>
  <c r="AY375" i="5" s="1"/>
  <c r="AZ375" i="5" s="1"/>
  <c r="BA375" i="5" s="1"/>
  <c r="BB375" i="5" s="1"/>
  <c r="BC375" i="5" s="1"/>
  <c r="BD375" i="5" s="1"/>
  <c r="AT96" i="5"/>
  <c r="AU96" i="5" s="1"/>
  <c r="AV96" i="5" s="1"/>
  <c r="AW96" i="5" s="1"/>
  <c r="AX96" i="5" s="1"/>
  <c r="AY96" i="5" s="1"/>
  <c r="AZ96" i="5" s="1"/>
  <c r="BA96" i="5" s="1"/>
  <c r="BB96" i="5" s="1"/>
  <c r="BC96" i="5" s="1"/>
  <c r="BD96" i="5" s="1"/>
  <c r="AT362" i="5"/>
  <c r="AU362" i="5" s="1"/>
  <c r="AV362" i="5" s="1"/>
  <c r="AW362" i="5" s="1"/>
  <c r="AX362" i="5" s="1"/>
  <c r="AY362" i="5" s="1"/>
  <c r="AZ362" i="5" s="1"/>
  <c r="BA362" i="5" s="1"/>
  <c r="BB362" i="5" s="1"/>
  <c r="BC362" i="5" s="1"/>
  <c r="BD362" i="5" s="1"/>
  <c r="AT78" i="5"/>
  <c r="AU78" i="5" s="1"/>
  <c r="AV78" i="5" s="1"/>
  <c r="AW78" i="5" s="1"/>
  <c r="AX78" i="5" s="1"/>
  <c r="AY78" i="5" s="1"/>
  <c r="AZ78" i="5" s="1"/>
  <c r="BA78" i="5" s="1"/>
  <c r="BB78" i="5" s="1"/>
  <c r="BC78" i="5" s="1"/>
  <c r="BD78" i="5" s="1"/>
  <c r="AT296" i="5"/>
  <c r="AU296" i="5" s="1"/>
  <c r="AV296" i="5" s="1"/>
  <c r="AW296" i="5" s="1"/>
  <c r="AX296" i="5" s="1"/>
  <c r="AY296" i="5" s="1"/>
  <c r="AZ296" i="5" s="1"/>
  <c r="BA296" i="5" s="1"/>
  <c r="BB296" i="5" s="1"/>
  <c r="BC296" i="5" s="1"/>
  <c r="BD296" i="5" s="1"/>
  <c r="AT370" i="5"/>
  <c r="AU370" i="5" s="1"/>
  <c r="AV370" i="5" s="1"/>
  <c r="AW370" i="5" s="1"/>
  <c r="AX370" i="5" s="1"/>
  <c r="AY370" i="5" s="1"/>
  <c r="AZ370" i="5" s="1"/>
  <c r="BA370" i="5" s="1"/>
  <c r="BB370" i="5" s="1"/>
  <c r="BC370" i="5" s="1"/>
  <c r="BD370" i="5" s="1"/>
  <c r="AT406" i="5"/>
  <c r="AU406" i="5" s="1"/>
  <c r="AV406" i="5" s="1"/>
  <c r="AW406" i="5" s="1"/>
  <c r="AX406" i="5" s="1"/>
  <c r="AY406" i="5" s="1"/>
  <c r="AZ406" i="5" s="1"/>
  <c r="BA406" i="5" s="1"/>
  <c r="BB406" i="5" s="1"/>
  <c r="BC406" i="5" s="1"/>
  <c r="BD406" i="5" s="1"/>
  <c r="AT409" i="5"/>
  <c r="AU409" i="5" s="1"/>
  <c r="AV409" i="5" s="1"/>
  <c r="AW409" i="5" s="1"/>
  <c r="AX409" i="5" s="1"/>
  <c r="AY409" i="5" s="1"/>
  <c r="AZ409" i="5" s="1"/>
  <c r="BA409" i="5" s="1"/>
  <c r="BB409" i="5" s="1"/>
  <c r="BC409" i="5" s="1"/>
  <c r="BD409" i="5" s="1"/>
  <c r="AT67" i="5"/>
  <c r="AU67" i="5" s="1"/>
  <c r="AV67" i="5" s="1"/>
  <c r="AW67" i="5" s="1"/>
  <c r="AX67" i="5" s="1"/>
  <c r="AY67" i="5" s="1"/>
  <c r="AZ67" i="5" s="1"/>
  <c r="BA67" i="5" s="1"/>
  <c r="BB67" i="5" s="1"/>
  <c r="BC67" i="5" s="1"/>
  <c r="BD67" i="5" s="1"/>
  <c r="AT175" i="5"/>
  <c r="AU175" i="5" s="1"/>
  <c r="AV175" i="5" s="1"/>
  <c r="AW175" i="5" s="1"/>
  <c r="AX175" i="5" s="1"/>
  <c r="AY175" i="5" s="1"/>
  <c r="AZ175" i="5" s="1"/>
  <c r="BA175" i="5" s="1"/>
  <c r="BB175" i="5" s="1"/>
  <c r="BC175" i="5" s="1"/>
  <c r="BD175" i="5" s="1"/>
  <c r="AS663" i="5"/>
  <c r="AT13" i="5"/>
  <c r="AT307" i="5"/>
  <c r="AU307" i="5" s="1"/>
  <c r="AV307" i="5" s="1"/>
  <c r="AW307" i="5" s="1"/>
  <c r="AX307" i="5" s="1"/>
  <c r="AY307" i="5" s="1"/>
  <c r="AZ307" i="5" s="1"/>
  <c r="BA307" i="5" s="1"/>
  <c r="BB307" i="5" s="1"/>
  <c r="BC307" i="5" s="1"/>
  <c r="BD307" i="5" s="1"/>
  <c r="AT160" i="5"/>
  <c r="AU160" i="5" s="1"/>
  <c r="AV160" i="5" s="1"/>
  <c r="AW160" i="5" s="1"/>
  <c r="AX160" i="5" s="1"/>
  <c r="AY160" i="5" s="1"/>
  <c r="AZ160" i="5" s="1"/>
  <c r="BA160" i="5" s="1"/>
  <c r="BB160" i="5" s="1"/>
  <c r="BC160" i="5" s="1"/>
  <c r="BD160" i="5" s="1"/>
  <c r="AT477" i="5"/>
  <c r="AU477" i="5" s="1"/>
  <c r="AV477" i="5" s="1"/>
  <c r="AW477" i="5" s="1"/>
  <c r="AX477" i="5" s="1"/>
  <c r="AY477" i="5" s="1"/>
  <c r="AZ477" i="5" s="1"/>
  <c r="BA477" i="5" s="1"/>
  <c r="BB477" i="5" s="1"/>
  <c r="BC477" i="5" s="1"/>
  <c r="BD477" i="5" s="1"/>
  <c r="AT472" i="5"/>
  <c r="AU472" i="5" s="1"/>
  <c r="AV472" i="5" s="1"/>
  <c r="AW472" i="5" s="1"/>
  <c r="AX472" i="5" s="1"/>
  <c r="AY472" i="5" s="1"/>
  <c r="AZ472" i="5" s="1"/>
  <c r="BA472" i="5" s="1"/>
  <c r="BB472" i="5" s="1"/>
  <c r="BC472" i="5" s="1"/>
  <c r="BD472" i="5" s="1"/>
  <c r="AT177" i="5"/>
  <c r="AU177" i="5" s="1"/>
  <c r="AV177" i="5" s="1"/>
  <c r="AW177" i="5" s="1"/>
  <c r="AX177" i="5" s="1"/>
  <c r="AY177" i="5" s="1"/>
  <c r="AZ177" i="5" s="1"/>
  <c r="BA177" i="5" s="1"/>
  <c r="BB177" i="5" s="1"/>
  <c r="BC177" i="5" s="1"/>
  <c r="BD177" i="5" s="1"/>
  <c r="AT278" i="5"/>
  <c r="AU278" i="5" s="1"/>
  <c r="AV278" i="5" s="1"/>
  <c r="AW278" i="5" s="1"/>
  <c r="AX278" i="5" s="1"/>
  <c r="AY278" i="5" s="1"/>
  <c r="AZ278" i="5" s="1"/>
  <c r="BA278" i="5" s="1"/>
  <c r="BB278" i="5" s="1"/>
  <c r="BC278" i="5" s="1"/>
  <c r="BD278" i="5" s="1"/>
  <c r="AT205" i="5"/>
  <c r="AU205" i="5" s="1"/>
  <c r="AV205" i="5" s="1"/>
  <c r="AW205" i="5" s="1"/>
  <c r="AX205" i="5" s="1"/>
  <c r="AY205" i="5" s="1"/>
  <c r="AZ205" i="5" s="1"/>
  <c r="BA205" i="5" s="1"/>
  <c r="BB205" i="5" s="1"/>
  <c r="BC205" i="5" s="1"/>
  <c r="BD205" i="5" s="1"/>
  <c r="AT264" i="5"/>
  <c r="AU264" i="5" s="1"/>
  <c r="AV264" i="5" s="1"/>
  <c r="AW264" i="5" s="1"/>
  <c r="AX264" i="5" s="1"/>
  <c r="AY264" i="5" s="1"/>
  <c r="AZ264" i="5" s="1"/>
  <c r="BA264" i="5" s="1"/>
  <c r="BB264" i="5" s="1"/>
  <c r="BC264" i="5" s="1"/>
  <c r="BD264" i="5" s="1"/>
  <c r="AT270" i="5"/>
  <c r="AU270" i="5" s="1"/>
  <c r="AV270" i="5" s="1"/>
  <c r="AW270" i="5" s="1"/>
  <c r="AX270" i="5" s="1"/>
  <c r="AY270" i="5" s="1"/>
  <c r="AZ270" i="5" s="1"/>
  <c r="BA270" i="5" s="1"/>
  <c r="BB270" i="5" s="1"/>
  <c r="BC270" i="5" s="1"/>
  <c r="BD270" i="5" s="1"/>
  <c r="AT212" i="5"/>
  <c r="AU212" i="5" s="1"/>
  <c r="AV212" i="5" s="1"/>
  <c r="AW212" i="5" s="1"/>
  <c r="AX212" i="5" s="1"/>
  <c r="AY212" i="5" s="1"/>
  <c r="AZ212" i="5" s="1"/>
  <c r="BA212" i="5" s="1"/>
  <c r="BB212" i="5" s="1"/>
  <c r="BC212" i="5" s="1"/>
  <c r="BD212" i="5" s="1"/>
  <c r="AT68" i="5"/>
  <c r="AU68" i="5" s="1"/>
  <c r="AV68" i="5" s="1"/>
  <c r="AW68" i="5" s="1"/>
  <c r="AX68" i="5" s="1"/>
  <c r="AY68" i="5" s="1"/>
  <c r="AZ68" i="5" s="1"/>
  <c r="BA68" i="5" s="1"/>
  <c r="BB68" i="5" s="1"/>
  <c r="BC68" i="5" s="1"/>
  <c r="BD68" i="5" s="1"/>
  <c r="AT190" i="5"/>
  <c r="AU190" i="5" s="1"/>
  <c r="AV190" i="5" s="1"/>
  <c r="AW190" i="5" s="1"/>
  <c r="AX190" i="5" s="1"/>
  <c r="AY190" i="5" s="1"/>
  <c r="AZ190" i="5" s="1"/>
  <c r="BA190" i="5" s="1"/>
  <c r="BB190" i="5" s="1"/>
  <c r="BC190" i="5" s="1"/>
  <c r="BD190" i="5" s="1"/>
  <c r="AT93" i="5"/>
  <c r="AU93" i="5" s="1"/>
  <c r="AV93" i="5" s="1"/>
  <c r="AW93" i="5" s="1"/>
  <c r="AX93" i="5" s="1"/>
  <c r="AY93" i="5" s="1"/>
  <c r="AZ93" i="5" s="1"/>
  <c r="BA93" i="5" s="1"/>
  <c r="BB93" i="5" s="1"/>
  <c r="BC93" i="5" s="1"/>
  <c r="BD93" i="5" s="1"/>
  <c r="AT352" i="5"/>
  <c r="AU352" i="5" s="1"/>
  <c r="AV352" i="5" s="1"/>
  <c r="AW352" i="5" s="1"/>
  <c r="AX352" i="5" s="1"/>
  <c r="AY352" i="5" s="1"/>
  <c r="AZ352" i="5" s="1"/>
  <c r="BA352" i="5" s="1"/>
  <c r="BB352" i="5" s="1"/>
  <c r="BC352" i="5" s="1"/>
  <c r="BD352" i="5" s="1"/>
  <c r="AT301" i="5"/>
  <c r="AU301" i="5" s="1"/>
  <c r="AV301" i="5" s="1"/>
  <c r="AW301" i="5" s="1"/>
  <c r="AX301" i="5" s="1"/>
  <c r="AY301" i="5" s="1"/>
  <c r="AZ301" i="5" s="1"/>
  <c r="BA301" i="5" s="1"/>
  <c r="BB301" i="5" s="1"/>
  <c r="BC301" i="5" s="1"/>
  <c r="BD301" i="5" s="1"/>
  <c r="AT385" i="5"/>
  <c r="AU385" i="5" s="1"/>
  <c r="AV385" i="5" s="1"/>
  <c r="AW385" i="5" s="1"/>
  <c r="AX385" i="5" s="1"/>
  <c r="AY385" i="5" s="1"/>
  <c r="AZ385" i="5" s="1"/>
  <c r="BA385" i="5" s="1"/>
  <c r="BB385" i="5" s="1"/>
  <c r="BC385" i="5" s="1"/>
  <c r="BD385" i="5" s="1"/>
  <c r="AT357" i="5"/>
  <c r="AU357" i="5" s="1"/>
  <c r="AV357" i="5" s="1"/>
  <c r="AW357" i="5" s="1"/>
  <c r="AX357" i="5" s="1"/>
  <c r="AY357" i="5" s="1"/>
  <c r="AZ357" i="5" s="1"/>
  <c r="BA357" i="5" s="1"/>
  <c r="BB357" i="5" s="1"/>
  <c r="BC357" i="5" s="1"/>
  <c r="BD357" i="5" s="1"/>
  <c r="AT534" i="5"/>
  <c r="AU534" i="5" s="1"/>
  <c r="AV534" i="5" s="1"/>
  <c r="AW534" i="5" s="1"/>
  <c r="AX534" i="5" s="1"/>
  <c r="AY534" i="5" s="1"/>
  <c r="AZ534" i="5" s="1"/>
  <c r="BA534" i="5" s="1"/>
  <c r="BB534" i="5" s="1"/>
  <c r="BC534" i="5" s="1"/>
  <c r="BD534" i="5" s="1"/>
  <c r="AT272" i="5"/>
  <c r="AU272" i="5" s="1"/>
  <c r="AV272" i="5" s="1"/>
  <c r="AW272" i="5" s="1"/>
  <c r="AX272" i="5" s="1"/>
  <c r="AY272" i="5" s="1"/>
  <c r="AZ272" i="5" s="1"/>
  <c r="BA272" i="5" s="1"/>
  <c r="BB272" i="5" s="1"/>
  <c r="BC272" i="5" s="1"/>
  <c r="BD272" i="5" s="1"/>
  <c r="AT179" i="5"/>
  <c r="AU179" i="5" s="1"/>
  <c r="AV179" i="5" s="1"/>
  <c r="AW179" i="5" s="1"/>
  <c r="AX179" i="5" s="1"/>
  <c r="AY179" i="5" s="1"/>
  <c r="AZ179" i="5" s="1"/>
  <c r="BA179" i="5" s="1"/>
  <c r="BB179" i="5" s="1"/>
  <c r="BC179" i="5" s="1"/>
  <c r="BD179" i="5" s="1"/>
  <c r="AT387" i="5"/>
  <c r="AU387" i="5" s="1"/>
  <c r="AV387" i="5" s="1"/>
  <c r="AW387" i="5" s="1"/>
  <c r="AX387" i="5" s="1"/>
  <c r="AY387" i="5" s="1"/>
  <c r="AZ387" i="5" s="1"/>
  <c r="BA387" i="5" s="1"/>
  <c r="BB387" i="5" s="1"/>
  <c r="BC387" i="5" s="1"/>
  <c r="BD387" i="5" s="1"/>
  <c r="AT267" i="5"/>
  <c r="AU267" i="5" s="1"/>
  <c r="AV267" i="5" s="1"/>
  <c r="AW267" i="5" s="1"/>
  <c r="AX267" i="5" s="1"/>
  <c r="AY267" i="5" s="1"/>
  <c r="AZ267" i="5" s="1"/>
  <c r="BA267" i="5" s="1"/>
  <c r="BB267" i="5" s="1"/>
  <c r="BC267" i="5" s="1"/>
  <c r="BD267" i="5" s="1"/>
  <c r="AT372" i="5"/>
  <c r="AU372" i="5" s="1"/>
  <c r="AV372" i="5" s="1"/>
  <c r="AW372" i="5" s="1"/>
  <c r="AX372" i="5" s="1"/>
  <c r="AY372" i="5" s="1"/>
  <c r="AZ372" i="5" s="1"/>
  <c r="BA372" i="5" s="1"/>
  <c r="BB372" i="5" s="1"/>
  <c r="BC372" i="5" s="1"/>
  <c r="BD372" i="5" s="1"/>
  <c r="AT422" i="5"/>
  <c r="AU422" i="5" s="1"/>
  <c r="AV422" i="5" s="1"/>
  <c r="AW422" i="5" s="1"/>
  <c r="AX422" i="5" s="1"/>
  <c r="AY422" i="5" s="1"/>
  <c r="AZ422" i="5" s="1"/>
  <c r="BA422" i="5" s="1"/>
  <c r="BB422" i="5" s="1"/>
  <c r="BC422" i="5" s="1"/>
  <c r="BD422" i="5" s="1"/>
  <c r="AT276" i="5"/>
  <c r="AU276" i="5" s="1"/>
  <c r="AV276" i="5" s="1"/>
  <c r="AW276" i="5" s="1"/>
  <c r="AX276" i="5" s="1"/>
  <c r="AY276" i="5" s="1"/>
  <c r="AZ276" i="5" s="1"/>
  <c r="BA276" i="5" s="1"/>
  <c r="BB276" i="5" s="1"/>
  <c r="BC276" i="5" s="1"/>
  <c r="BD276" i="5" s="1"/>
  <c r="AT476" i="5"/>
  <c r="AU476" i="5" s="1"/>
  <c r="AV476" i="5" s="1"/>
  <c r="AW476" i="5" s="1"/>
  <c r="AX476" i="5" s="1"/>
  <c r="AY476" i="5" s="1"/>
  <c r="AZ476" i="5" s="1"/>
  <c r="BA476" i="5" s="1"/>
  <c r="BB476" i="5" s="1"/>
  <c r="BC476" i="5" s="1"/>
  <c r="BD476" i="5" s="1"/>
  <c r="AT287" i="5"/>
  <c r="AU287" i="5" s="1"/>
  <c r="AV287" i="5" s="1"/>
  <c r="AW287" i="5" s="1"/>
  <c r="AX287" i="5" s="1"/>
  <c r="AY287" i="5" s="1"/>
  <c r="AZ287" i="5" s="1"/>
  <c r="BA287" i="5" s="1"/>
  <c r="BB287" i="5" s="1"/>
  <c r="BC287" i="5" s="1"/>
  <c r="BD287" i="5" s="1"/>
  <c r="AT405" i="5"/>
  <c r="AU405" i="5" s="1"/>
  <c r="AV405" i="5" s="1"/>
  <c r="AW405" i="5" s="1"/>
  <c r="AX405" i="5" s="1"/>
  <c r="AT171" i="5"/>
  <c r="AU171" i="5" s="1"/>
  <c r="AV171" i="5" s="1"/>
  <c r="AW171" i="5" s="1"/>
  <c r="AX171" i="5" s="1"/>
  <c r="AY171" i="5" s="1"/>
  <c r="AZ171" i="5" s="1"/>
  <c r="BA171" i="5" s="1"/>
  <c r="BB171" i="5" s="1"/>
  <c r="BC171" i="5" s="1"/>
  <c r="BD171" i="5" s="1"/>
  <c r="AT363" i="5"/>
  <c r="AU363" i="5" s="1"/>
  <c r="AV363" i="5" s="1"/>
  <c r="AW363" i="5" s="1"/>
  <c r="AX363" i="5" s="1"/>
  <c r="AY363" i="5" s="1"/>
  <c r="AZ363" i="5" s="1"/>
  <c r="BA363" i="5" s="1"/>
  <c r="BB363" i="5" s="1"/>
  <c r="BC363" i="5" s="1"/>
  <c r="BD363" i="5" s="1"/>
  <c r="AC4" i="5"/>
  <c r="AP279" i="5"/>
  <c r="AP383" i="5"/>
  <c r="AP256" i="5"/>
  <c r="AT72" i="5"/>
  <c r="AU72" i="5" s="1"/>
  <c r="AV72" i="5" s="1"/>
  <c r="AW72" i="5" s="1"/>
  <c r="AX72" i="5" s="1"/>
  <c r="AY72" i="5" s="1"/>
  <c r="AZ72" i="5" s="1"/>
  <c r="BA72" i="5" s="1"/>
  <c r="BB72" i="5" s="1"/>
  <c r="BC72" i="5" s="1"/>
  <c r="BD72" i="5" s="1"/>
  <c r="AP214" i="5"/>
  <c r="AP204" i="5"/>
  <c r="AP77" i="5"/>
  <c r="AP275" i="5"/>
  <c r="AT431" i="5"/>
  <c r="AU431" i="5" s="1"/>
  <c r="AV431" i="5" s="1"/>
  <c r="AW431" i="5" s="1"/>
  <c r="AX431" i="5" s="1"/>
  <c r="AY431" i="5" s="1"/>
  <c r="AZ431" i="5" s="1"/>
  <c r="BA431" i="5" s="1"/>
  <c r="BB431" i="5" s="1"/>
  <c r="BC431" i="5" s="1"/>
  <c r="BD431" i="5" s="1"/>
  <c r="AP182" i="5"/>
  <c r="AT470" i="5"/>
  <c r="AU470" i="5" s="1"/>
  <c r="AV470" i="5" s="1"/>
  <c r="AW470" i="5" s="1"/>
  <c r="AX470" i="5" s="1"/>
  <c r="AY470" i="5" s="1"/>
  <c r="AZ470" i="5" s="1"/>
  <c r="BA470" i="5" s="1"/>
  <c r="BB470" i="5" s="1"/>
  <c r="BC470" i="5" s="1"/>
  <c r="BD470" i="5" s="1"/>
  <c r="AP51" i="5"/>
  <c r="AP207" i="5"/>
  <c r="AT418" i="5"/>
  <c r="AU418" i="5" s="1"/>
  <c r="AV418" i="5" s="1"/>
  <c r="AW418" i="5" s="1"/>
  <c r="AX418" i="5" s="1"/>
  <c r="AY418" i="5" s="1"/>
  <c r="AZ418" i="5" s="1"/>
  <c r="BA418" i="5" s="1"/>
  <c r="BB418" i="5" s="1"/>
  <c r="BC418" i="5" s="1"/>
  <c r="BD418" i="5" s="1"/>
  <c r="AT360" i="5"/>
  <c r="AU360" i="5" s="1"/>
  <c r="AV360" i="5" s="1"/>
  <c r="AW360" i="5" s="1"/>
  <c r="AX360" i="5" s="1"/>
  <c r="AY360" i="5" s="1"/>
  <c r="AZ360" i="5" s="1"/>
  <c r="BA360" i="5" s="1"/>
  <c r="BB360" i="5" s="1"/>
  <c r="BC360" i="5" s="1"/>
  <c r="BD360" i="5" s="1"/>
  <c r="AT274" i="5"/>
  <c r="AU274" i="5" s="1"/>
  <c r="AV274" i="5" s="1"/>
  <c r="AW274" i="5" s="1"/>
  <c r="AX274" i="5" s="1"/>
  <c r="AY274" i="5" s="1"/>
  <c r="AZ274" i="5" s="1"/>
  <c r="BA274" i="5" s="1"/>
  <c r="BB274" i="5" s="1"/>
  <c r="BC274" i="5" s="1"/>
  <c r="BD274" i="5" s="1"/>
  <c r="AT209" i="5"/>
  <c r="AU209" i="5" s="1"/>
  <c r="AV209" i="5" s="1"/>
  <c r="AW209" i="5" s="1"/>
  <c r="AX209" i="5" s="1"/>
  <c r="AY209" i="5" s="1"/>
  <c r="AZ209" i="5" s="1"/>
  <c r="BA209" i="5" s="1"/>
  <c r="BB209" i="5" s="1"/>
  <c r="BC209" i="5" s="1"/>
  <c r="BD209" i="5" s="1"/>
  <c r="AP515" i="5"/>
  <c r="AP468" i="5"/>
  <c r="AT219" i="5"/>
  <c r="AU219" i="5" s="1"/>
  <c r="AV219" i="5" s="1"/>
  <c r="AW219" i="5" s="1"/>
  <c r="AX219" i="5" s="1"/>
  <c r="AY219" i="5" s="1"/>
  <c r="AZ219" i="5" s="1"/>
  <c r="BA219" i="5" s="1"/>
  <c r="BB219" i="5" s="1"/>
  <c r="BC219" i="5" s="1"/>
  <c r="BD219" i="5" s="1"/>
  <c r="AP375" i="5"/>
  <c r="AT218" i="5"/>
  <c r="AU218" i="5" s="1"/>
  <c r="AV218" i="5" s="1"/>
  <c r="AW218" i="5" s="1"/>
  <c r="AX218" i="5" s="1"/>
  <c r="AY218" i="5" s="1"/>
  <c r="AZ218" i="5" s="1"/>
  <c r="BA218" i="5" s="1"/>
  <c r="BB218" i="5" s="1"/>
  <c r="BC218" i="5" s="1"/>
  <c r="BD218" i="5" s="1"/>
  <c r="AT280" i="5"/>
  <c r="AU280" i="5" s="1"/>
  <c r="AV280" i="5" s="1"/>
  <c r="AW280" i="5" s="1"/>
  <c r="AX280" i="5" s="1"/>
  <c r="AY280" i="5" s="1"/>
  <c r="AZ280" i="5" s="1"/>
  <c r="BA280" i="5" s="1"/>
  <c r="BB280" i="5" s="1"/>
  <c r="BC280" i="5" s="1"/>
  <c r="BD280" i="5" s="1"/>
  <c r="AT403" i="5"/>
  <c r="AU403" i="5" s="1"/>
  <c r="AV403" i="5" s="1"/>
  <c r="AW403" i="5" s="1"/>
  <c r="AX403" i="5" s="1"/>
  <c r="AY403" i="5" s="1"/>
  <c r="AZ403" i="5" s="1"/>
  <c r="BA403" i="5" s="1"/>
  <c r="BB403" i="5" s="1"/>
  <c r="BC403" i="5" s="1"/>
  <c r="BD403" i="5" s="1"/>
  <c r="AT298" i="5"/>
  <c r="AU298" i="5" s="1"/>
  <c r="AV298" i="5" s="1"/>
  <c r="AW298" i="5" s="1"/>
  <c r="AX298" i="5" s="1"/>
  <c r="AY298" i="5" s="1"/>
  <c r="AZ298" i="5" s="1"/>
  <c r="BA298" i="5" s="1"/>
  <c r="BB298" i="5" s="1"/>
  <c r="BC298" i="5" s="1"/>
  <c r="BD298" i="5" s="1"/>
  <c r="AP294" i="5"/>
  <c r="AT158" i="5"/>
  <c r="AU158" i="5" s="1"/>
  <c r="AV158" i="5" s="1"/>
  <c r="AW158" i="5" s="1"/>
  <c r="AX158" i="5" s="1"/>
  <c r="AY158" i="5" s="1"/>
  <c r="AZ158" i="5" s="1"/>
  <c r="BA158" i="5" s="1"/>
  <c r="BB158" i="5" s="1"/>
  <c r="BC158" i="5" s="1"/>
  <c r="BD158" i="5" s="1"/>
  <c r="AP74" i="5"/>
  <c r="AT427" i="5"/>
  <c r="AU427" i="5" s="1"/>
  <c r="AV427" i="5" s="1"/>
  <c r="AW427" i="5" s="1"/>
  <c r="AX427" i="5" s="1"/>
  <c r="AY427" i="5" s="1"/>
  <c r="AZ427" i="5" s="1"/>
  <c r="BA427" i="5" s="1"/>
  <c r="BB427" i="5" s="1"/>
  <c r="BC427" i="5" s="1"/>
  <c r="BD427" i="5" s="1"/>
  <c r="AP96" i="5"/>
  <c r="AP362" i="5"/>
  <c r="AT388" i="5"/>
  <c r="AU388" i="5" s="1"/>
  <c r="AV388" i="5" s="1"/>
  <c r="AW388" i="5" s="1"/>
  <c r="AX388" i="5" s="1"/>
  <c r="AY388" i="5" s="1"/>
  <c r="AZ388" i="5" s="1"/>
  <c r="BA388" i="5" s="1"/>
  <c r="BB388" i="5" s="1"/>
  <c r="BC388" i="5" s="1"/>
  <c r="BD388" i="5" s="1"/>
  <c r="AP92" i="5"/>
  <c r="AP296" i="5"/>
  <c r="AP370" i="5"/>
  <c r="AP406" i="5"/>
  <c r="AT79" i="5"/>
  <c r="AU79" i="5" s="1"/>
  <c r="AV79" i="5" s="1"/>
  <c r="AW79" i="5" s="1"/>
  <c r="AX79" i="5" s="1"/>
  <c r="AY79" i="5" s="1"/>
  <c r="AZ79" i="5" s="1"/>
  <c r="BA79" i="5" s="1"/>
  <c r="BB79" i="5" s="1"/>
  <c r="BC79" i="5" s="1"/>
  <c r="BD79" i="5" s="1"/>
  <c r="AP409" i="5"/>
  <c r="AP67" i="5"/>
  <c r="AP175" i="5"/>
  <c r="AP13" i="5"/>
  <c r="AP307" i="5"/>
  <c r="AP160" i="5"/>
  <c r="AP477" i="5"/>
  <c r="AP472" i="5"/>
  <c r="AP177" i="5"/>
  <c r="AT271" i="5"/>
  <c r="AU271" i="5" s="1"/>
  <c r="AV271" i="5" s="1"/>
  <c r="AW271" i="5" s="1"/>
  <c r="AX271" i="5" s="1"/>
  <c r="AY271" i="5" s="1"/>
  <c r="AZ271" i="5" s="1"/>
  <c r="BA271" i="5" s="1"/>
  <c r="BB271" i="5" s="1"/>
  <c r="BC271" i="5" s="1"/>
  <c r="BD271" i="5" s="1"/>
  <c r="AP278" i="5"/>
  <c r="AT391" i="5"/>
  <c r="AU391" i="5" s="1"/>
  <c r="AV391" i="5" s="1"/>
  <c r="AW391" i="5" s="1"/>
  <c r="AX391" i="5" s="1"/>
  <c r="AY391" i="5" s="1"/>
  <c r="AZ391" i="5" s="1"/>
  <c r="BA391" i="5" s="1"/>
  <c r="BB391" i="5" s="1"/>
  <c r="BC391" i="5" s="1"/>
  <c r="BD391" i="5" s="1"/>
  <c r="AP264" i="5"/>
  <c r="AP206" i="5"/>
  <c r="AP300" i="5"/>
  <c r="AP192" i="5"/>
  <c r="AP190" i="5"/>
  <c r="AT506" i="5"/>
  <c r="AU506" i="5" s="1"/>
  <c r="AV506" i="5" s="1"/>
  <c r="AW506" i="5" s="1"/>
  <c r="AX506" i="5" s="1"/>
  <c r="AY506" i="5" s="1"/>
  <c r="AZ506" i="5" s="1"/>
  <c r="BA506" i="5" s="1"/>
  <c r="BB506" i="5" s="1"/>
  <c r="BC506" i="5" s="1"/>
  <c r="BD506" i="5" s="1"/>
  <c r="AR413" i="5"/>
  <c r="AT413" i="5"/>
  <c r="AU413" i="5" s="1"/>
  <c r="AV413" i="5" s="1"/>
  <c r="AW413" i="5" s="1"/>
  <c r="AX413" i="5" s="1"/>
  <c r="AT429" i="5"/>
  <c r="AU429" i="5" s="1"/>
  <c r="AV429" i="5" s="1"/>
  <c r="AW429" i="5" s="1"/>
  <c r="AX429" i="5" s="1"/>
  <c r="AY429" i="5" s="1"/>
  <c r="AZ429" i="5" s="1"/>
  <c r="BA429" i="5" s="1"/>
  <c r="BB429" i="5" s="1"/>
  <c r="BC429" i="5" s="1"/>
  <c r="BD429" i="5" s="1"/>
  <c r="AP352" i="5"/>
  <c r="AT471" i="5"/>
  <c r="AU471" i="5" s="1"/>
  <c r="AV471" i="5" s="1"/>
  <c r="AW471" i="5" s="1"/>
  <c r="AX471" i="5" s="1"/>
  <c r="AY471" i="5" s="1"/>
  <c r="AZ471" i="5" s="1"/>
  <c r="BA471" i="5" s="1"/>
  <c r="BB471" i="5" s="1"/>
  <c r="BC471" i="5" s="1"/>
  <c r="BD471" i="5" s="1"/>
  <c r="AP301" i="5"/>
  <c r="AT201" i="5"/>
  <c r="AU201" i="5" s="1"/>
  <c r="AV201" i="5" s="1"/>
  <c r="AW201" i="5" s="1"/>
  <c r="AX201" i="5" s="1"/>
  <c r="AY201" i="5" s="1"/>
  <c r="AZ201" i="5" s="1"/>
  <c r="BA201" i="5" s="1"/>
  <c r="BB201" i="5" s="1"/>
  <c r="BC201" i="5" s="1"/>
  <c r="BD201" i="5" s="1"/>
  <c r="AP159" i="5"/>
  <c r="AT216" i="5"/>
  <c r="AU216" i="5" s="1"/>
  <c r="AV216" i="5" s="1"/>
  <c r="AW216" i="5" s="1"/>
  <c r="AX216" i="5" s="1"/>
  <c r="AY216" i="5" s="1"/>
  <c r="AZ216" i="5" s="1"/>
  <c r="BA216" i="5" s="1"/>
  <c r="BB216" i="5" s="1"/>
  <c r="BC216" i="5" s="1"/>
  <c r="BD216" i="5" s="1"/>
  <c r="AP261" i="5"/>
  <c r="AT70" i="5"/>
  <c r="AU70" i="5" s="1"/>
  <c r="AV70" i="5" s="1"/>
  <c r="AW70" i="5" s="1"/>
  <c r="AX70" i="5" s="1"/>
  <c r="AY70" i="5" s="1"/>
  <c r="AZ70" i="5" s="1"/>
  <c r="BA70" i="5" s="1"/>
  <c r="BB70" i="5" s="1"/>
  <c r="BC70" i="5" s="1"/>
  <c r="BD70" i="5" s="1"/>
  <c r="AT211" i="5"/>
  <c r="AU211" i="5" s="1"/>
  <c r="AV211" i="5" s="1"/>
  <c r="AW211" i="5" s="1"/>
  <c r="AX211" i="5" s="1"/>
  <c r="AY211" i="5" s="1"/>
  <c r="AZ211" i="5" s="1"/>
  <c r="BA211" i="5" s="1"/>
  <c r="BB211" i="5" s="1"/>
  <c r="BC211" i="5" s="1"/>
  <c r="BD211" i="5" s="1"/>
  <c r="AV565" i="5"/>
  <c r="AP385" i="5"/>
  <c r="AT118" i="5"/>
  <c r="AU118" i="5" s="1"/>
  <c r="AV118" i="5" s="1"/>
  <c r="AW118" i="5" s="1"/>
  <c r="AX118" i="5" s="1"/>
  <c r="AY118" i="5" s="1"/>
  <c r="AZ118" i="5" s="1"/>
  <c r="BA118" i="5" s="1"/>
  <c r="BB118" i="5" s="1"/>
  <c r="BC118" i="5" s="1"/>
  <c r="BD118" i="5" s="1"/>
  <c r="AP357" i="5"/>
  <c r="AT260" i="5"/>
  <c r="AU260" i="5" s="1"/>
  <c r="AV260" i="5" s="1"/>
  <c r="AW260" i="5" s="1"/>
  <c r="AX260" i="5" s="1"/>
  <c r="AY260" i="5" s="1"/>
  <c r="AZ260" i="5" s="1"/>
  <c r="BA260" i="5" s="1"/>
  <c r="BB260" i="5" s="1"/>
  <c r="BC260" i="5" s="1"/>
  <c r="BD260" i="5" s="1"/>
  <c r="AP534" i="5"/>
  <c r="AP272" i="5"/>
  <c r="R5" i="5"/>
  <c r="Q4" i="5"/>
  <c r="AP179" i="5"/>
  <c r="AP387" i="5"/>
  <c r="AV44" i="5"/>
  <c r="AP267" i="5"/>
  <c r="AR424" i="5"/>
  <c r="AT424" i="5"/>
  <c r="BE424" i="5" s="1"/>
  <c r="AP372" i="5"/>
  <c r="AP422" i="5"/>
  <c r="AT183" i="5"/>
  <c r="AU183" i="5" s="1"/>
  <c r="AV183" i="5" s="1"/>
  <c r="AW183" i="5" s="1"/>
  <c r="AX183" i="5" s="1"/>
  <c r="AY183" i="5" s="1"/>
  <c r="AZ183" i="5" s="1"/>
  <c r="BA183" i="5" s="1"/>
  <c r="BB183" i="5" s="1"/>
  <c r="BC183" i="5" s="1"/>
  <c r="BD183" i="5" s="1"/>
  <c r="AP396" i="5"/>
  <c r="AT106" i="5"/>
  <c r="AU106" i="5" s="1"/>
  <c r="AV106" i="5" s="1"/>
  <c r="AW106" i="5" s="1"/>
  <c r="AX106" i="5" s="1"/>
  <c r="AY106" i="5" s="1"/>
  <c r="AZ106" i="5" s="1"/>
  <c r="BA106" i="5" s="1"/>
  <c r="BB106" i="5" s="1"/>
  <c r="BC106" i="5" s="1"/>
  <c r="BD106" i="5" s="1"/>
  <c r="AP276" i="5"/>
  <c r="AT258" i="5"/>
  <c r="AU258" i="5" s="1"/>
  <c r="AV258" i="5" s="1"/>
  <c r="AW258" i="5" s="1"/>
  <c r="AX258" i="5" s="1"/>
  <c r="AY258" i="5" s="1"/>
  <c r="AZ258" i="5" s="1"/>
  <c r="BA258" i="5" s="1"/>
  <c r="BB258" i="5" s="1"/>
  <c r="BC258" i="5" s="1"/>
  <c r="BD258" i="5" s="1"/>
  <c r="AT273" i="5"/>
  <c r="AU273" i="5" s="1"/>
  <c r="AV273" i="5" s="1"/>
  <c r="AW273" i="5" s="1"/>
  <c r="AX273" i="5" s="1"/>
  <c r="AY273" i="5" s="1"/>
  <c r="AZ273" i="5" s="1"/>
  <c r="BA273" i="5" s="1"/>
  <c r="BB273" i="5" s="1"/>
  <c r="BC273" i="5" s="1"/>
  <c r="BD273" i="5" s="1"/>
  <c r="AP476" i="5"/>
  <c r="AT263" i="5"/>
  <c r="AU263" i="5" s="1"/>
  <c r="AV263" i="5" s="1"/>
  <c r="AW263" i="5" s="1"/>
  <c r="AX263" i="5" s="1"/>
  <c r="AY263" i="5" s="1"/>
  <c r="AZ263" i="5" s="1"/>
  <c r="BA263" i="5" s="1"/>
  <c r="BB263" i="5" s="1"/>
  <c r="BC263" i="5" s="1"/>
  <c r="BD263" i="5" s="1"/>
  <c r="AP287" i="5"/>
  <c r="AP405" i="5"/>
  <c r="AT113" i="5"/>
  <c r="AU113" i="5" s="1"/>
  <c r="AV113" i="5" s="1"/>
  <c r="AW113" i="5" s="1"/>
  <c r="AX113" i="5" s="1"/>
  <c r="AY113" i="5" s="1"/>
  <c r="AZ113" i="5" s="1"/>
  <c r="BA113" i="5" s="1"/>
  <c r="BB113" i="5" s="1"/>
  <c r="BC113" i="5" s="1"/>
  <c r="BD113" i="5" s="1"/>
  <c r="AP171" i="5"/>
  <c r="AP363" i="5"/>
  <c r="AA668" i="5"/>
  <c r="AC679" i="5" l="1"/>
  <c r="AC681" i="5" s="1"/>
  <c r="AC657" i="5"/>
  <c r="AP667" i="5"/>
  <c r="BE254" i="5"/>
  <c r="BE188" i="5"/>
  <c r="BE182" i="5"/>
  <c r="BE473" i="5"/>
  <c r="BE360" i="5"/>
  <c r="BE305" i="5"/>
  <c r="BE96" i="5"/>
  <c r="BE431" i="5"/>
  <c r="BE175" i="5"/>
  <c r="BE406" i="5"/>
  <c r="BE474" i="5"/>
  <c r="BE475" i="5"/>
  <c r="BE65" i="5"/>
  <c r="BE273" i="5"/>
  <c r="BE211" i="5"/>
  <c r="BE213" i="5"/>
  <c r="BE281" i="5"/>
  <c r="BE263" i="5"/>
  <c r="BE506" i="5"/>
  <c r="BE270" i="5"/>
  <c r="BE347" i="5"/>
  <c r="BE505" i="5"/>
  <c r="BE157" i="5"/>
  <c r="BE255" i="5"/>
  <c r="BE262" i="5"/>
  <c r="BE159" i="5"/>
  <c r="BE372" i="5"/>
  <c r="BE214" i="5"/>
  <c r="BE201" i="5"/>
  <c r="BE79" i="5"/>
  <c r="BE218" i="5"/>
  <c r="BE422" i="5"/>
  <c r="BE301" i="5"/>
  <c r="BE205" i="5"/>
  <c r="BE210" i="5"/>
  <c r="BE469" i="5"/>
  <c r="BE185" i="5"/>
  <c r="BE71" i="5"/>
  <c r="BE428" i="5"/>
  <c r="BE92" i="5"/>
  <c r="BE468" i="5"/>
  <c r="BE204" i="5"/>
  <c r="BE271" i="5"/>
  <c r="BE276" i="5"/>
  <c r="BE278" i="5"/>
  <c r="AS678" i="5"/>
  <c r="BE370" i="5"/>
  <c r="BE362" i="5"/>
  <c r="BE299" i="5"/>
  <c r="BE378" i="5"/>
  <c r="BE400" i="5"/>
  <c r="BE217" i="5"/>
  <c r="BE384" i="5"/>
  <c r="BE268" i="5"/>
  <c r="BE203" i="5"/>
  <c r="BE386" i="5"/>
  <c r="BE22" i="5"/>
  <c r="BE369" i="5"/>
  <c r="BE404" i="5"/>
  <c r="BE418" i="5"/>
  <c r="BE470" i="5"/>
  <c r="BE72" i="5"/>
  <c r="BE272" i="5"/>
  <c r="BE93" i="5"/>
  <c r="BE212" i="5"/>
  <c r="BE208" i="5"/>
  <c r="BE498" i="5"/>
  <c r="BE399" i="5"/>
  <c r="BE174" i="5"/>
  <c r="BE380" i="5"/>
  <c r="BE389" i="5"/>
  <c r="BE258" i="5"/>
  <c r="BE118" i="5"/>
  <c r="AW565" i="5"/>
  <c r="BE70" i="5"/>
  <c r="BE471" i="5"/>
  <c r="BE429" i="5"/>
  <c r="BE391" i="5"/>
  <c r="BE388" i="5"/>
  <c r="BE427" i="5"/>
  <c r="BE403" i="5"/>
  <c r="BE274" i="5"/>
  <c r="BE363" i="5"/>
  <c r="BE405" i="5"/>
  <c r="BE476" i="5"/>
  <c r="BE267" i="5"/>
  <c r="BE179" i="5"/>
  <c r="BE534" i="5"/>
  <c r="BE385" i="5"/>
  <c r="BE352" i="5"/>
  <c r="BE190" i="5"/>
  <c r="BE264" i="5"/>
  <c r="BE472" i="5"/>
  <c r="BE160" i="5"/>
  <c r="BE67" i="5"/>
  <c r="BE296" i="5"/>
  <c r="BE80" i="5"/>
  <c r="BE121" i="5"/>
  <c r="AW162" i="5"/>
  <c r="AV661" i="5"/>
  <c r="BE184" i="5"/>
  <c r="BE412" i="5"/>
  <c r="BE308" i="5"/>
  <c r="BE364" i="5"/>
  <c r="S583" i="5"/>
  <c r="R576" i="5"/>
  <c r="BE416" i="5"/>
  <c r="BE66" i="5"/>
  <c r="BE43" i="5"/>
  <c r="BE181" i="5"/>
  <c r="BE397" i="5"/>
  <c r="BE172" i="5"/>
  <c r="BE64" i="5"/>
  <c r="BE55" i="5"/>
  <c r="BE356" i="5"/>
  <c r="BE423" i="5"/>
  <c r="BE300" i="5"/>
  <c r="BE430" i="5"/>
  <c r="BE189" i="5"/>
  <c r="BE186" i="5"/>
  <c r="BE294" i="5"/>
  <c r="AP663" i="5"/>
  <c r="AP668" i="5"/>
  <c r="AP511" i="5"/>
  <c r="BE515" i="5"/>
  <c r="AU50" i="5"/>
  <c r="AT670" i="5"/>
  <c r="BE261" i="5"/>
  <c r="BE192" i="5"/>
  <c r="BE206" i="5"/>
  <c r="BE286" i="5"/>
  <c r="BE74" i="5"/>
  <c r="BE355" i="5"/>
  <c r="S156" i="5"/>
  <c r="R155" i="5"/>
  <c r="BE51" i="5"/>
  <c r="BE275" i="5"/>
  <c r="BE256" i="5"/>
  <c r="BE279" i="5"/>
  <c r="BE113" i="5"/>
  <c r="BE106" i="5"/>
  <c r="BE183" i="5"/>
  <c r="AW44" i="5"/>
  <c r="S5" i="5"/>
  <c r="R4" i="5"/>
  <c r="BE260" i="5"/>
  <c r="BE216" i="5"/>
  <c r="BE413" i="5"/>
  <c r="BE158" i="5"/>
  <c r="BE298" i="5"/>
  <c r="BE280" i="5"/>
  <c r="BE219" i="5"/>
  <c r="BE209" i="5"/>
  <c r="BE171" i="5"/>
  <c r="BE287" i="5"/>
  <c r="BE387" i="5"/>
  <c r="BE357" i="5"/>
  <c r="BE68" i="5"/>
  <c r="BE177" i="5"/>
  <c r="BE477" i="5"/>
  <c r="BE307" i="5"/>
  <c r="BE409" i="5"/>
  <c r="BE78" i="5"/>
  <c r="BE375" i="5"/>
  <c r="AR668" i="5"/>
  <c r="AR511" i="5"/>
  <c r="BE383" i="5"/>
  <c r="AP670" i="5"/>
  <c r="AU76" i="5"/>
  <c r="AT667" i="5"/>
  <c r="R508" i="5"/>
  <c r="S509" i="5"/>
  <c r="BE109" i="5"/>
  <c r="BE376" i="5"/>
  <c r="BE215" i="5"/>
  <c r="BE265" i="5"/>
  <c r="BE269" i="5"/>
  <c r="BE115" i="5"/>
  <c r="BE487" i="5"/>
  <c r="BE411" i="5"/>
  <c r="BE353" i="5"/>
  <c r="BE69" i="5"/>
  <c r="BE81" i="5"/>
  <c r="BE259" i="5"/>
  <c r="BE277" i="5"/>
  <c r="BE187" i="5"/>
  <c r="R511" i="5"/>
  <c r="S513" i="5"/>
  <c r="BE257" i="5"/>
  <c r="AR664" i="5"/>
  <c r="AR518" i="5"/>
  <c r="BE207" i="5"/>
  <c r="BE77" i="5"/>
  <c r="AR669" i="5"/>
  <c r="AR679" i="5" s="1"/>
  <c r="AR681" i="5" s="1"/>
  <c r="AR155" i="5"/>
  <c r="AT663" i="5"/>
  <c r="AU13" i="5"/>
  <c r="S519" i="5"/>
  <c r="R518" i="5"/>
  <c r="AW8" i="5"/>
  <c r="BE396" i="5"/>
  <c r="BE516" i="5"/>
  <c r="BE120" i="5"/>
  <c r="AA678" i="5"/>
  <c r="BE266" i="5"/>
  <c r="BE295" i="5"/>
  <c r="AX8" i="5" l="1"/>
  <c r="AR657" i="5"/>
  <c r="T5" i="5"/>
  <c r="S4" i="5"/>
  <c r="BE668" i="5"/>
  <c r="BE511" i="5"/>
  <c r="AP678" i="5"/>
  <c r="AX162" i="5"/>
  <c r="AW661" i="5"/>
  <c r="AR671" i="5"/>
  <c r="AU663" i="5"/>
  <c r="AV13" i="5"/>
  <c r="AV76" i="5"/>
  <c r="AU667" i="5"/>
  <c r="AX44" i="5"/>
  <c r="T583" i="5"/>
  <c r="S576" i="5"/>
  <c r="AX565" i="5"/>
  <c r="T519" i="5"/>
  <c r="S518" i="5"/>
  <c r="AT678" i="5"/>
  <c r="T513" i="5"/>
  <c r="S511" i="5"/>
  <c r="T509" i="5"/>
  <c r="S508" i="5"/>
  <c r="T156" i="5"/>
  <c r="S155" i="5"/>
  <c r="AV50" i="5"/>
  <c r="AU670" i="5"/>
  <c r="U156" i="5" l="1"/>
  <c r="T155" i="5"/>
  <c r="T511" i="5"/>
  <c r="U513" i="5"/>
  <c r="AW76" i="5"/>
  <c r="AV667" i="5"/>
  <c r="AY8" i="5"/>
  <c r="AW50" i="5"/>
  <c r="AV670" i="5"/>
  <c r="AY565" i="5"/>
  <c r="AY44" i="5"/>
  <c r="AV663" i="5"/>
  <c r="AW13" i="5"/>
  <c r="AY162" i="5"/>
  <c r="AX661" i="5"/>
  <c r="T508" i="5"/>
  <c r="U509" i="5"/>
  <c r="AU678" i="5"/>
  <c r="U5" i="5"/>
  <c r="T4" i="5"/>
  <c r="T518" i="5"/>
  <c r="U519" i="5"/>
  <c r="U583" i="5"/>
  <c r="T576" i="5"/>
  <c r="AV678" i="5" l="1"/>
  <c r="V583" i="5"/>
  <c r="U576" i="5"/>
  <c r="V509" i="5"/>
  <c r="U508" i="5"/>
  <c r="AZ44" i="5"/>
  <c r="V513" i="5"/>
  <c r="U511" i="5"/>
  <c r="V519" i="5"/>
  <c r="U518" i="5"/>
  <c r="V5" i="5"/>
  <c r="U4" i="5"/>
  <c r="AW663" i="5"/>
  <c r="AX13" i="5"/>
  <c r="AX50" i="5"/>
  <c r="AW670" i="5"/>
  <c r="AZ565" i="5"/>
  <c r="AZ8" i="5"/>
  <c r="AZ162" i="5"/>
  <c r="AY661" i="5"/>
  <c r="AX76" i="5"/>
  <c r="AW667" i="5"/>
  <c r="U155" i="5"/>
  <c r="V156" i="5"/>
  <c r="W156" i="5" l="1"/>
  <c r="V155" i="5"/>
  <c r="AY76" i="5"/>
  <c r="AX667" i="5"/>
  <c r="BA565" i="5"/>
  <c r="BA8" i="5"/>
  <c r="AY50" i="5"/>
  <c r="AX670" i="5"/>
  <c r="W5" i="5"/>
  <c r="V4" i="5"/>
  <c r="W513" i="5"/>
  <c r="V511" i="5"/>
  <c r="V508" i="5"/>
  <c r="W509" i="5"/>
  <c r="BA162" i="5"/>
  <c r="AZ661" i="5"/>
  <c r="AX663" i="5"/>
  <c r="AY13" i="5"/>
  <c r="AW678" i="5"/>
  <c r="W519" i="5"/>
  <c r="V518" i="5"/>
  <c r="BA44" i="5"/>
  <c r="W583" i="5"/>
  <c r="V576" i="5"/>
  <c r="X583" i="5" l="1"/>
  <c r="W576" i="5"/>
  <c r="X519" i="5"/>
  <c r="W518" i="5"/>
  <c r="BB162" i="5"/>
  <c r="BA661" i="5"/>
  <c r="X513" i="5"/>
  <c r="W511" i="5"/>
  <c r="AZ50" i="5"/>
  <c r="AY670" i="5"/>
  <c r="AZ76" i="5"/>
  <c r="AY667" i="5"/>
  <c r="AY663" i="5"/>
  <c r="AZ13" i="5"/>
  <c r="W508" i="5"/>
  <c r="X509" i="5"/>
  <c r="BB8" i="5"/>
  <c r="BB44" i="5"/>
  <c r="AX678" i="5"/>
  <c r="X5" i="5"/>
  <c r="W4" i="5"/>
  <c r="BB565" i="5"/>
  <c r="X156" i="5"/>
  <c r="W155" i="5"/>
  <c r="AY678" i="5" l="1"/>
  <c r="BC565" i="5"/>
  <c r="Y509" i="5"/>
  <c r="X508" i="5"/>
  <c r="BA50" i="5"/>
  <c r="AZ670" i="5"/>
  <c r="BC162" i="5"/>
  <c r="BB661" i="5"/>
  <c r="Y583" i="5"/>
  <c r="X576" i="5"/>
  <c r="BC44" i="5"/>
  <c r="Y156" i="5"/>
  <c r="X155" i="5"/>
  <c r="Y5" i="5"/>
  <c r="X4" i="5"/>
  <c r="BC8" i="5"/>
  <c r="AZ663" i="5"/>
  <c r="BA13" i="5"/>
  <c r="BA76" i="5"/>
  <c r="AZ667" i="5"/>
  <c r="X511" i="5"/>
  <c r="Y513" i="5"/>
  <c r="Y519" i="5"/>
  <c r="X518" i="5"/>
  <c r="BA663" i="5" l="1"/>
  <c r="BB13" i="5"/>
  <c r="AZ678" i="5"/>
  <c r="Z5" i="5"/>
  <c r="Y4" i="5"/>
  <c r="BD44" i="5"/>
  <c r="BD162" i="5"/>
  <c r="BD661" i="5" s="1"/>
  <c r="BC661" i="5"/>
  <c r="Z509" i="5"/>
  <c r="Y508" i="5"/>
  <c r="Z519" i="5"/>
  <c r="Y518" i="5"/>
  <c r="BD8" i="5"/>
  <c r="Z513" i="5"/>
  <c r="Y511" i="5"/>
  <c r="BB76" i="5"/>
  <c r="BA667" i="5"/>
  <c r="Z156" i="5"/>
  <c r="Y155" i="5"/>
  <c r="Z583" i="5"/>
  <c r="Y576" i="5"/>
  <c r="BB50" i="5"/>
  <c r="BA670" i="5"/>
  <c r="BD565" i="5"/>
  <c r="AD583" i="5" l="1"/>
  <c r="Z576" i="5"/>
  <c r="BC76" i="5"/>
  <c r="BB667" i="5"/>
  <c r="Z508" i="5"/>
  <c r="AD509" i="5"/>
  <c r="BC50" i="5"/>
  <c r="BB670" i="5"/>
  <c r="AD156" i="5"/>
  <c r="Z155" i="5"/>
  <c r="AA156" i="5"/>
  <c r="AD513" i="5"/>
  <c r="AE513" i="5" s="1"/>
  <c r="AF513" i="5" s="1"/>
  <c r="AG513" i="5" s="1"/>
  <c r="AH513" i="5" s="1"/>
  <c r="AI513" i="5" s="1"/>
  <c r="AJ513" i="5" s="1"/>
  <c r="AK513" i="5" s="1"/>
  <c r="AL513" i="5" s="1"/>
  <c r="AM513" i="5" s="1"/>
  <c r="AN513" i="5" s="1"/>
  <c r="AO513" i="5" s="1"/>
  <c r="AS513" i="5" s="1"/>
  <c r="Z511" i="5"/>
  <c r="AD511" i="5" s="1"/>
  <c r="AE511" i="5" s="1"/>
  <c r="AF511" i="5" s="1"/>
  <c r="AG511" i="5" s="1"/>
  <c r="AH511" i="5" s="1"/>
  <c r="AI511" i="5" s="1"/>
  <c r="AJ511" i="5" s="1"/>
  <c r="AK511" i="5" s="1"/>
  <c r="AL511" i="5" s="1"/>
  <c r="AM511" i="5" s="1"/>
  <c r="AN511" i="5" s="1"/>
  <c r="AO511" i="5" s="1"/>
  <c r="AD519" i="5"/>
  <c r="Z518" i="5"/>
  <c r="AD518" i="5" s="1"/>
  <c r="AE518" i="5" s="1"/>
  <c r="AF518" i="5" s="1"/>
  <c r="AG518" i="5" s="1"/>
  <c r="AH518" i="5" s="1"/>
  <c r="AI518" i="5" s="1"/>
  <c r="AJ518" i="5" s="1"/>
  <c r="AK518" i="5" s="1"/>
  <c r="AL518" i="5" s="1"/>
  <c r="AM518" i="5" s="1"/>
  <c r="AN518" i="5" s="1"/>
  <c r="AO518" i="5" s="1"/>
  <c r="AA519" i="5"/>
  <c r="AD5" i="5"/>
  <c r="Z4" i="5"/>
  <c r="AA5" i="5"/>
  <c r="BB663" i="5"/>
  <c r="BC13" i="5"/>
  <c r="BA678" i="5"/>
  <c r="BB678" i="5" l="1"/>
  <c r="AA664" i="5"/>
  <c r="AA518" i="5"/>
  <c r="AT513" i="5"/>
  <c r="AS511" i="5"/>
  <c r="AS668" i="5"/>
  <c r="BD76" i="5"/>
  <c r="BC667" i="5"/>
  <c r="BC663" i="5"/>
  <c r="BD13" i="5"/>
  <c r="AE5" i="5"/>
  <c r="AD4" i="5"/>
  <c r="AA669" i="5"/>
  <c r="AA155" i="5"/>
  <c r="BD50" i="5"/>
  <c r="BC670" i="5"/>
  <c r="AD508" i="5"/>
  <c r="AE509" i="5"/>
  <c r="AE519" i="5"/>
  <c r="AF519" i="5" s="1"/>
  <c r="AG519" i="5" s="1"/>
  <c r="AH519" i="5" s="1"/>
  <c r="AI519" i="5" s="1"/>
  <c r="AJ519" i="5" s="1"/>
  <c r="AK519" i="5" s="1"/>
  <c r="AL519" i="5" s="1"/>
  <c r="AM519" i="5" s="1"/>
  <c r="AN519" i="5" s="1"/>
  <c r="AO519" i="5" s="1"/>
  <c r="AS519" i="5" s="1"/>
  <c r="AE583" i="5"/>
  <c r="AD576" i="5"/>
  <c r="AA662" i="5"/>
  <c r="AA4" i="5"/>
  <c r="AE156" i="5"/>
  <c r="AD155" i="5"/>
  <c r="AA657" i="5" l="1"/>
  <c r="AP519" i="5"/>
  <c r="AP518" i="5" s="1"/>
  <c r="AF156" i="5"/>
  <c r="AE155" i="5"/>
  <c r="BC678" i="5"/>
  <c r="AF583" i="5"/>
  <c r="AE576" i="5"/>
  <c r="BE50" i="5"/>
  <c r="BE670" i="5" s="1"/>
  <c r="BD670" i="5"/>
  <c r="AF5" i="5"/>
  <c r="AE4" i="5"/>
  <c r="AT511" i="5"/>
  <c r="AU513" i="5"/>
  <c r="AT668" i="5"/>
  <c r="AS664" i="5"/>
  <c r="AT519" i="5"/>
  <c r="AS518" i="5"/>
  <c r="AF509" i="5"/>
  <c r="AE508" i="5"/>
  <c r="BE76" i="5"/>
  <c r="BE667" i="5" s="1"/>
  <c r="BD667" i="5"/>
  <c r="AA679" i="5"/>
  <c r="AA681" i="5" s="1"/>
  <c r="AA671" i="5"/>
  <c r="BD663" i="5"/>
  <c r="BE13" i="5"/>
  <c r="BE663" i="5" s="1"/>
  <c r="AP664" i="5" l="1"/>
  <c r="BE678" i="5"/>
  <c r="AV513" i="5"/>
  <c r="AU511" i="5"/>
  <c r="AU668" i="5"/>
  <c r="BD678" i="5"/>
  <c r="AT664" i="5"/>
  <c r="AU519" i="5"/>
  <c r="AT518" i="5"/>
  <c r="AG509" i="5"/>
  <c r="AF508" i="5"/>
  <c r="AG5" i="5"/>
  <c r="AF4" i="5"/>
  <c r="AG583" i="5"/>
  <c r="AF576" i="5"/>
  <c r="AG156" i="5"/>
  <c r="AF155" i="5"/>
  <c r="AU664" i="5" l="1"/>
  <c r="AV519" i="5"/>
  <c r="AU518" i="5"/>
  <c r="AH583" i="5"/>
  <c r="AG576" i="5"/>
  <c r="AG508" i="5"/>
  <c r="AH509" i="5"/>
  <c r="AV511" i="5"/>
  <c r="AW513" i="5"/>
  <c r="AV668" i="5"/>
  <c r="AH156" i="5"/>
  <c r="AG155" i="5"/>
  <c r="AH5" i="5"/>
  <c r="AG4" i="5"/>
  <c r="AI156" i="5" l="1"/>
  <c r="AH155" i="5"/>
  <c r="AI583" i="5"/>
  <c r="AH576" i="5"/>
  <c r="AI5" i="5"/>
  <c r="AH4" i="5"/>
  <c r="AH508" i="5"/>
  <c r="AI509" i="5"/>
  <c r="AV664" i="5"/>
  <c r="AW519" i="5"/>
  <c r="AV518" i="5"/>
  <c r="AX513" i="5"/>
  <c r="AW511" i="5"/>
  <c r="AW668" i="5"/>
  <c r="AX511" i="5" l="1"/>
  <c r="AY513" i="5"/>
  <c r="AX668" i="5"/>
  <c r="AJ509" i="5"/>
  <c r="AI508" i="5"/>
  <c r="AW664" i="5"/>
  <c r="AX519" i="5"/>
  <c r="AW518" i="5"/>
  <c r="AJ583" i="5"/>
  <c r="AI576" i="5"/>
  <c r="AJ5" i="5"/>
  <c r="AI4" i="5"/>
  <c r="AJ156" i="5"/>
  <c r="AI155" i="5"/>
  <c r="AK5" i="5" l="1"/>
  <c r="AJ4" i="5"/>
  <c r="AJ508" i="5"/>
  <c r="AK509" i="5"/>
  <c r="AK156" i="5"/>
  <c r="AJ155" i="5"/>
  <c r="AX664" i="5"/>
  <c r="AY519" i="5"/>
  <c r="AX518" i="5"/>
  <c r="AK583" i="5"/>
  <c r="AJ576" i="5"/>
  <c r="AY511" i="5"/>
  <c r="AZ513" i="5"/>
  <c r="AY668" i="5"/>
  <c r="AL583" i="5" l="1"/>
  <c r="AK576" i="5"/>
  <c r="AY664" i="5"/>
  <c r="AZ519" i="5"/>
  <c r="AY518" i="5"/>
  <c r="AL509" i="5"/>
  <c r="AK508" i="5"/>
  <c r="AZ511" i="5"/>
  <c r="BA513" i="5"/>
  <c r="AZ668" i="5"/>
  <c r="AL156" i="5"/>
  <c r="AK155" i="5"/>
  <c r="AL5" i="5"/>
  <c r="AK4" i="5"/>
  <c r="AZ664" i="5" l="1"/>
  <c r="BA519" i="5"/>
  <c r="AZ518" i="5"/>
  <c r="AM156" i="5"/>
  <c r="AL155" i="5"/>
  <c r="AM5" i="5"/>
  <c r="AL4" i="5"/>
  <c r="AL508" i="5"/>
  <c r="AM509" i="5"/>
  <c r="BB513" i="5"/>
  <c r="BA511" i="5"/>
  <c r="BA668" i="5"/>
  <c r="AM583" i="5"/>
  <c r="AL576" i="5"/>
  <c r="AN156" i="5" l="1"/>
  <c r="AM155" i="5"/>
  <c r="BC513" i="5"/>
  <c r="BB511" i="5"/>
  <c r="BB668" i="5"/>
  <c r="AN5" i="5"/>
  <c r="AM4" i="5"/>
  <c r="BA664" i="5"/>
  <c r="BB519" i="5"/>
  <c r="BA518" i="5"/>
  <c r="AN583" i="5"/>
  <c r="AM576" i="5"/>
  <c r="AN509" i="5"/>
  <c r="AM508" i="5"/>
  <c r="AO583" i="5" l="1"/>
  <c r="AN576" i="5"/>
  <c r="BD513" i="5"/>
  <c r="BC511" i="5"/>
  <c r="BC668" i="5"/>
  <c r="AO5" i="5"/>
  <c r="AN4" i="5"/>
  <c r="AO509" i="5"/>
  <c r="AN508" i="5"/>
  <c r="BB664" i="5"/>
  <c r="BC519" i="5"/>
  <c r="BB518" i="5"/>
  <c r="AO156" i="5"/>
  <c r="AN155" i="5"/>
  <c r="AO508" i="5" l="1"/>
  <c r="AS509" i="5"/>
  <c r="BC664" i="5"/>
  <c r="BD519" i="5"/>
  <c r="BC518" i="5"/>
  <c r="BD511" i="5"/>
  <c r="BD668" i="5"/>
  <c r="AS5" i="5"/>
  <c r="AO4" i="5"/>
  <c r="AP5" i="5"/>
  <c r="AS156" i="5"/>
  <c r="AO155" i="5"/>
  <c r="AP156" i="5"/>
  <c r="AS583" i="5"/>
  <c r="AO576" i="5"/>
  <c r="AS662" i="5" l="1"/>
  <c r="AT5" i="5"/>
  <c r="AS4" i="5"/>
  <c r="BD664" i="5"/>
  <c r="BD518" i="5"/>
  <c r="BE519" i="5"/>
  <c r="AS669" i="5"/>
  <c r="AT156" i="5"/>
  <c r="AS155" i="5"/>
  <c r="AT583" i="5"/>
  <c r="AS576" i="5"/>
  <c r="AS665" i="5"/>
  <c r="AP662" i="5"/>
  <c r="AP4" i="5"/>
  <c r="AS666" i="5"/>
  <c r="AS680" i="5" s="1"/>
  <c r="AT509" i="5"/>
  <c r="AS508" i="5"/>
  <c r="AP669" i="5"/>
  <c r="AP155" i="5"/>
  <c r="AP657" i="5" l="1"/>
  <c r="BE664" i="5"/>
  <c r="BE518" i="5"/>
  <c r="AU583" i="5"/>
  <c r="AT576" i="5"/>
  <c r="AT665" i="5"/>
  <c r="AP671" i="5"/>
  <c r="AP679" i="5"/>
  <c r="AP681" i="5" s="1"/>
  <c r="AT666" i="5"/>
  <c r="AT680" i="5" s="1"/>
  <c r="AT508" i="5"/>
  <c r="AU509" i="5"/>
  <c r="AT669" i="5"/>
  <c r="AU156" i="5"/>
  <c r="AT155" i="5"/>
  <c r="AT662" i="5"/>
  <c r="AU5" i="5"/>
  <c r="AT4" i="5"/>
  <c r="AS679" i="5"/>
  <c r="AS681" i="5" s="1"/>
  <c r="AS671" i="5"/>
  <c r="AU662" i="5" l="1"/>
  <c r="AV5" i="5"/>
  <c r="AU4" i="5"/>
  <c r="AU669" i="5"/>
  <c r="AV156" i="5"/>
  <c r="AU155" i="5"/>
  <c r="AV583" i="5"/>
  <c r="AU576" i="5"/>
  <c r="AU665" i="5"/>
  <c r="AT679" i="5"/>
  <c r="AT681" i="5" s="1"/>
  <c r="AT671" i="5"/>
  <c r="AU666" i="5"/>
  <c r="AU680" i="5" s="1"/>
  <c r="AV509" i="5"/>
  <c r="AU508" i="5"/>
  <c r="AW583" i="5" l="1"/>
  <c r="AV576" i="5"/>
  <c r="AV665" i="5"/>
  <c r="AV666" i="5"/>
  <c r="AV680" i="5" s="1"/>
  <c r="AV508" i="5"/>
  <c r="AW509" i="5"/>
  <c r="AV669" i="5"/>
  <c r="AW156" i="5"/>
  <c r="AV155" i="5"/>
  <c r="AV662" i="5"/>
  <c r="AW5" i="5"/>
  <c r="AV4" i="5"/>
  <c r="AU679" i="5"/>
  <c r="AU681" i="5" s="1"/>
  <c r="AU671" i="5"/>
  <c r="AV671" i="5" l="1"/>
  <c r="AV679" i="5"/>
  <c r="AV681" i="5" s="1"/>
  <c r="AW666" i="5"/>
  <c r="AW680" i="5" s="1"/>
  <c r="AX509" i="5"/>
  <c r="AW508" i="5"/>
  <c r="AW662" i="5"/>
  <c r="AX5" i="5"/>
  <c r="AW4" i="5"/>
  <c r="AX583" i="5"/>
  <c r="AW576" i="5"/>
  <c r="AW665" i="5"/>
  <c r="AW669" i="5"/>
  <c r="AX156" i="5"/>
  <c r="AW155" i="5"/>
  <c r="AX666" i="5" l="1"/>
  <c r="AX680" i="5" s="1"/>
  <c r="AX508" i="5"/>
  <c r="AY509" i="5"/>
  <c r="AX662" i="5"/>
  <c r="AY5" i="5"/>
  <c r="AX4" i="5"/>
  <c r="AX669" i="5"/>
  <c r="AY156" i="5"/>
  <c r="AX155" i="5"/>
  <c r="AY583" i="5"/>
  <c r="AX576" i="5"/>
  <c r="AX665" i="5"/>
  <c r="AW679" i="5"/>
  <c r="AW681" i="5" s="1"/>
  <c r="AW671" i="5"/>
  <c r="AY669" i="5" l="1"/>
  <c r="AZ156" i="5"/>
  <c r="AY155" i="5"/>
  <c r="AX679" i="5"/>
  <c r="AX681" i="5" s="1"/>
  <c r="AX671" i="5"/>
  <c r="AY666" i="5"/>
  <c r="AY680" i="5" s="1"/>
  <c r="AY508" i="5"/>
  <c r="AZ509" i="5"/>
  <c r="AZ583" i="5"/>
  <c r="AY576" i="5"/>
  <c r="AY665" i="5"/>
  <c r="AY662" i="5"/>
  <c r="AZ5" i="5"/>
  <c r="AY4" i="5"/>
  <c r="AY671" i="5" l="1"/>
  <c r="AY679" i="5"/>
  <c r="AY681" i="5" s="1"/>
  <c r="AZ666" i="5"/>
  <c r="AZ680" i="5" s="1"/>
  <c r="BA509" i="5"/>
  <c r="AZ508" i="5"/>
  <c r="AZ669" i="5"/>
  <c r="BA156" i="5"/>
  <c r="AZ155" i="5"/>
  <c r="AZ662" i="5"/>
  <c r="BA5" i="5"/>
  <c r="AZ4" i="5"/>
  <c r="BA583" i="5"/>
  <c r="AZ576" i="5"/>
  <c r="AZ665" i="5"/>
  <c r="BA666" i="5" l="1"/>
  <c r="BA680" i="5" s="1"/>
  <c r="BB509" i="5"/>
  <c r="BA508" i="5"/>
  <c r="BA669" i="5"/>
  <c r="BB156" i="5"/>
  <c r="BA155" i="5"/>
  <c r="BA662" i="5"/>
  <c r="BB5" i="5"/>
  <c r="BA4" i="5"/>
  <c r="BB583" i="5"/>
  <c r="BA576" i="5"/>
  <c r="BA665" i="5"/>
  <c r="AZ679" i="5"/>
  <c r="AZ681" i="5" s="1"/>
  <c r="AZ671" i="5"/>
  <c r="BA679" i="5" l="1"/>
  <c r="BA681" i="5" s="1"/>
  <c r="BA671" i="5"/>
  <c r="BC583" i="5"/>
  <c r="BB576" i="5"/>
  <c r="BB665" i="5"/>
  <c r="BB666" i="5"/>
  <c r="BB680" i="5" s="1"/>
  <c r="BB508" i="5"/>
  <c r="BC509" i="5"/>
  <c r="BB662" i="5"/>
  <c r="BC5" i="5"/>
  <c r="BB4" i="5"/>
  <c r="BB669" i="5"/>
  <c r="BC156" i="5"/>
  <c r="BB155" i="5"/>
  <c r="BC666" i="5" l="1"/>
  <c r="BC680" i="5" s="1"/>
  <c r="BC508" i="5"/>
  <c r="BD509" i="5"/>
  <c r="BD583" i="5"/>
  <c r="BC576" i="5"/>
  <c r="BC665" i="5"/>
  <c r="BC662" i="5"/>
  <c r="BD5" i="5"/>
  <c r="BC4" i="5"/>
  <c r="BC669" i="5"/>
  <c r="BD156" i="5"/>
  <c r="BC155" i="5"/>
  <c r="BB679" i="5"/>
  <c r="BB681" i="5" s="1"/>
  <c r="BB671" i="5"/>
  <c r="BD662" i="5" l="1"/>
  <c r="BD4" i="5"/>
  <c r="BE5" i="5"/>
  <c r="BD576" i="5"/>
  <c r="BD665" i="5"/>
  <c r="BD669" i="5"/>
  <c r="BD155" i="5"/>
  <c r="BE156" i="5"/>
  <c r="BC679" i="5"/>
  <c r="BC681" i="5" s="1"/>
  <c r="BC671" i="5"/>
  <c r="BD666" i="5"/>
  <c r="BD680" i="5" s="1"/>
  <c r="BD508" i="5"/>
  <c r="BE669" i="5" l="1"/>
  <c r="BE155" i="5"/>
  <c r="BE662" i="5"/>
  <c r="BE4" i="5"/>
  <c r="BD671" i="5"/>
  <c r="BD679" i="5"/>
  <c r="BD681" i="5" s="1"/>
  <c r="BE657" i="5" l="1"/>
  <c r="BE679" i="5"/>
  <c r="BE681" i="5" s="1"/>
  <c r="BE671" i="5"/>
  <c r="AT509" i="1" l="1"/>
  <c r="AC509" i="1"/>
  <c r="BI509" i="1" s="1"/>
  <c r="CM509" i="1" s="1"/>
  <c r="N509" i="1"/>
  <c r="BI506" i="1"/>
  <c r="AT506" i="1"/>
  <c r="BX506" i="1" l="1"/>
  <c r="BX509" i="1"/>
  <c r="O543" i="1"/>
  <c r="P543" i="1" s="1"/>
  <c r="Q543" i="1" s="1"/>
  <c r="R543" i="1" s="1"/>
  <c r="S543" i="1" s="1"/>
  <c r="T543" i="1" s="1"/>
  <c r="U543" i="1" s="1"/>
  <c r="V543" i="1" s="1"/>
  <c r="W543" i="1" s="1"/>
  <c r="X543" i="1" s="1"/>
  <c r="Y543" i="1" s="1"/>
  <c r="Z543" i="1" s="1"/>
  <c r="BV543" i="1" s="1"/>
  <c r="N543" i="1"/>
  <c r="O550" i="1"/>
  <c r="P550" i="1" s="1"/>
  <c r="Q550" i="1" s="1"/>
  <c r="R550" i="1" s="1"/>
  <c r="S550" i="1" s="1"/>
  <c r="T550" i="1" s="1"/>
  <c r="U550" i="1" s="1"/>
  <c r="V550" i="1" s="1"/>
  <c r="W550" i="1" s="1"/>
  <c r="X550" i="1" s="1"/>
  <c r="Y550" i="1" s="1"/>
  <c r="Z550" i="1" s="1"/>
  <c r="BV550" i="1" s="1"/>
  <c r="AC550" i="1"/>
  <c r="N550" i="1"/>
  <c r="O558" i="1"/>
  <c r="P558" i="1" s="1"/>
  <c r="Q558" i="1" s="1"/>
  <c r="R558" i="1" s="1"/>
  <c r="S558" i="1" s="1"/>
  <c r="T558" i="1" s="1"/>
  <c r="U558" i="1" s="1"/>
  <c r="V558" i="1" s="1"/>
  <c r="W558" i="1" s="1"/>
  <c r="X558" i="1" s="1"/>
  <c r="Y558" i="1" s="1"/>
  <c r="Z558" i="1" s="1"/>
  <c r="AT558" i="1"/>
  <c r="AC558" i="1"/>
  <c r="N558" i="1"/>
  <c r="N524" i="1"/>
  <c r="O524" i="1"/>
  <c r="P524" i="1" s="1"/>
  <c r="Q524" i="1" s="1"/>
  <c r="R524" i="1" s="1"/>
  <c r="S524" i="1" s="1"/>
  <c r="T524" i="1" s="1"/>
  <c r="U524" i="1" s="1"/>
  <c r="V524" i="1" s="1"/>
  <c r="W524" i="1" s="1"/>
  <c r="X524" i="1" s="1"/>
  <c r="Y524" i="1" s="1"/>
  <c r="Z524" i="1" s="1"/>
  <c r="BV524" i="1" s="1"/>
  <c r="N518" i="1"/>
  <c r="AC518" i="1"/>
  <c r="AT518" i="1"/>
  <c r="O518" i="1"/>
  <c r="O535" i="1"/>
  <c r="P535" i="1" s="1"/>
  <c r="Q535" i="1" s="1"/>
  <c r="R535" i="1" s="1"/>
  <c r="S535" i="1" s="1"/>
  <c r="T535" i="1" s="1"/>
  <c r="U535" i="1" s="1"/>
  <c r="V535" i="1" s="1"/>
  <c r="W535" i="1" s="1"/>
  <c r="X535" i="1" s="1"/>
  <c r="Y535" i="1" s="1"/>
  <c r="Z535" i="1" s="1"/>
  <c r="BV535" i="1" s="1"/>
  <c r="N535" i="1"/>
  <c r="G585" i="1"/>
  <c r="G584" i="1"/>
  <c r="G583" i="1"/>
  <c r="G582" i="1"/>
  <c r="G581" i="1"/>
  <c r="G573" i="1"/>
  <c r="G572" i="1"/>
  <c r="G571" i="1"/>
  <c r="G570" i="1"/>
  <c r="G569" i="1"/>
  <c r="G568" i="1"/>
  <c r="G567" i="1"/>
  <c r="G566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7" i="1"/>
  <c r="G515" i="1"/>
  <c r="G514" i="1"/>
  <c r="G513" i="1"/>
  <c r="G512" i="1"/>
  <c r="G511" i="1"/>
  <c r="G510" i="1"/>
  <c r="G508" i="1"/>
  <c r="G507" i="1"/>
  <c r="G505" i="1"/>
  <c r="G504" i="1"/>
  <c r="G503" i="1"/>
  <c r="G502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3" i="1"/>
  <c r="G422" i="1"/>
  <c r="G421" i="1"/>
  <c r="G420" i="1"/>
  <c r="G419" i="1"/>
  <c r="G418" i="1"/>
  <c r="G417" i="1"/>
  <c r="G415" i="1"/>
  <c r="G412" i="1"/>
  <c r="G411" i="1"/>
  <c r="G410" i="1"/>
  <c r="G408" i="1"/>
  <c r="G405" i="1"/>
  <c r="G404" i="1"/>
  <c r="G402" i="1"/>
  <c r="G400" i="1"/>
  <c r="G399" i="1"/>
  <c r="G398" i="1"/>
  <c r="G396" i="1"/>
  <c r="G395" i="1"/>
  <c r="G390" i="1"/>
  <c r="G389" i="1"/>
  <c r="G388" i="1"/>
  <c r="G387" i="1"/>
  <c r="G386" i="1"/>
  <c r="G385" i="1"/>
  <c r="G384" i="1"/>
  <c r="G383" i="1"/>
  <c r="G382" i="1"/>
  <c r="G380" i="1"/>
  <c r="G379" i="1"/>
  <c r="G377" i="1"/>
  <c r="G375" i="1"/>
  <c r="G374" i="1"/>
  <c r="G371" i="1"/>
  <c r="G369" i="1"/>
  <c r="G368" i="1"/>
  <c r="G367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6" i="1"/>
  <c r="G345" i="1"/>
  <c r="G344" i="1"/>
  <c r="G341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2" i="1"/>
  <c r="G318" i="1"/>
  <c r="G317" i="1"/>
  <c r="G316" i="1"/>
  <c r="G315" i="1"/>
  <c r="G309" i="1"/>
  <c r="G307" i="1"/>
  <c r="G306" i="1"/>
  <c r="G304" i="1"/>
  <c r="G302" i="1"/>
  <c r="G301" i="1"/>
  <c r="G300" i="1"/>
  <c r="G299" i="1"/>
  <c r="G298" i="1"/>
  <c r="G297" i="1"/>
  <c r="G295" i="1"/>
  <c r="G294" i="1"/>
  <c r="G293" i="1"/>
  <c r="G291" i="1"/>
  <c r="G290" i="1"/>
  <c r="G289" i="1"/>
  <c r="G288" i="1"/>
  <c r="G287" i="1"/>
  <c r="G286" i="1"/>
  <c r="G285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8" i="1"/>
  <c r="G196" i="1"/>
  <c r="G194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8" i="1"/>
  <c r="G176" i="1"/>
  <c r="G174" i="1"/>
  <c r="G173" i="1"/>
  <c r="G171" i="1"/>
  <c r="G170" i="1"/>
  <c r="G169" i="1"/>
  <c r="G168" i="1"/>
  <c r="G167" i="1"/>
  <c r="G164" i="1"/>
  <c r="G163" i="1"/>
  <c r="G162" i="1"/>
  <c r="G161" i="1"/>
  <c r="G159" i="1"/>
  <c r="G158" i="1"/>
  <c r="G157" i="1"/>
  <c r="G156" i="1"/>
  <c r="G155" i="1"/>
  <c r="G153" i="1"/>
  <c r="G152" i="1"/>
  <c r="G151" i="1"/>
  <c r="G150" i="1"/>
  <c r="G149" i="1"/>
  <c r="G148" i="1"/>
  <c r="G146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0" i="1"/>
  <c r="G119" i="1"/>
  <c r="G117" i="1"/>
  <c r="G116" i="1"/>
  <c r="G115" i="1"/>
  <c r="G114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1" i="1"/>
  <c r="G50" i="1"/>
  <c r="G49" i="1"/>
  <c r="G47" i="1"/>
  <c r="G46" i="1"/>
  <c r="G45" i="1"/>
  <c r="G43" i="1"/>
  <c r="G42" i="1"/>
  <c r="G41" i="1"/>
  <c r="G39" i="1"/>
  <c r="G38" i="1"/>
  <c r="G37" i="1"/>
  <c r="G36" i="1"/>
  <c r="G35" i="1"/>
  <c r="G34" i="1"/>
  <c r="G26" i="1"/>
  <c r="G23" i="1"/>
  <c r="G21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AD558" i="1" l="1"/>
  <c r="AE558" i="1" s="1"/>
  <c r="AF558" i="1" s="1"/>
  <c r="AG558" i="1" s="1"/>
  <c r="AH558" i="1" s="1"/>
  <c r="AI558" i="1" s="1"/>
  <c r="AJ558" i="1" s="1"/>
  <c r="AK558" i="1" s="1"/>
  <c r="AL558" i="1" s="1"/>
  <c r="AM558" i="1" s="1"/>
  <c r="AN558" i="1" s="1"/>
  <c r="AD550" i="1"/>
  <c r="AE550" i="1" s="1"/>
  <c r="AF550" i="1" s="1"/>
  <c r="AG550" i="1" s="1"/>
  <c r="AH550" i="1" s="1"/>
  <c r="D19" i="1"/>
  <c r="D58" i="1"/>
  <c r="D66" i="1"/>
  <c r="D86" i="1"/>
  <c r="D94" i="1"/>
  <c r="G98" i="1"/>
  <c r="D113" i="1"/>
  <c r="D129" i="1"/>
  <c r="D141" i="1"/>
  <c r="D145" i="1"/>
  <c r="D168" i="1"/>
  <c r="D175" i="1"/>
  <c r="D184" i="1"/>
  <c r="AC185" i="1"/>
  <c r="O185" i="1"/>
  <c r="N185" i="1"/>
  <c r="AT185" i="1"/>
  <c r="D197" i="1"/>
  <c r="D204" i="1"/>
  <c r="AT205" i="1"/>
  <c r="N205" i="1"/>
  <c r="O205" i="1"/>
  <c r="AC205" i="1"/>
  <c r="D208" i="1"/>
  <c r="D212" i="1"/>
  <c r="D7" i="1"/>
  <c r="D24" i="1"/>
  <c r="D47" i="1"/>
  <c r="D70" i="1"/>
  <c r="D101" i="1"/>
  <c r="D11" i="1"/>
  <c r="D27" i="1"/>
  <c r="D62" i="1"/>
  <c r="D82" i="1"/>
  <c r="D109" i="1"/>
  <c r="D125" i="1"/>
  <c r="D137" i="1"/>
  <c r="D148" i="1"/>
  <c r="D159" i="1"/>
  <c r="D162" i="1"/>
  <c r="D172" i="1"/>
  <c r="D180" i="1"/>
  <c r="D188" i="1"/>
  <c r="D192" i="1"/>
  <c r="D200" i="1"/>
  <c r="D15" i="1"/>
  <c r="D21" i="1"/>
  <c r="D37" i="1"/>
  <c r="D44" i="1"/>
  <c r="D50" i="1"/>
  <c r="D54" i="1"/>
  <c r="D74" i="1"/>
  <c r="D78" i="1"/>
  <c r="D90" i="1"/>
  <c r="D105" i="1"/>
  <c r="D115" i="1"/>
  <c r="D133" i="1"/>
  <c r="D152" i="1"/>
  <c r="D155" i="1"/>
  <c r="D194" i="1"/>
  <c r="D220" i="1"/>
  <c r="D232" i="1"/>
  <c r="D248" i="1"/>
  <c r="D264" i="1"/>
  <c r="D268" i="1"/>
  <c r="D272" i="1"/>
  <c r="D276" i="1"/>
  <c r="D280" i="1"/>
  <c r="D283" i="1"/>
  <c r="D285" i="1"/>
  <c r="D289" i="1"/>
  <c r="D296" i="1"/>
  <c r="D299" i="1"/>
  <c r="O300" i="1"/>
  <c r="AT300" i="1"/>
  <c r="AC300" i="1"/>
  <c r="N300" i="1"/>
  <c r="D303" i="1"/>
  <c r="D311" i="1"/>
  <c r="D313" i="1"/>
  <c r="D316" i="1"/>
  <c r="D324" i="1"/>
  <c r="D328" i="1"/>
  <c r="D332" i="1"/>
  <c r="D336" i="1"/>
  <c r="D340" i="1"/>
  <c r="D345" i="1"/>
  <c r="D348" i="1"/>
  <c r="D352" i="1"/>
  <c r="D356" i="1"/>
  <c r="D360" i="1"/>
  <c r="D364" i="1"/>
  <c r="D367" i="1"/>
  <c r="D373" i="1"/>
  <c r="D376" i="1"/>
  <c r="D385" i="1"/>
  <c r="D389" i="1"/>
  <c r="D392" i="1"/>
  <c r="D394" i="1"/>
  <c r="D397" i="1"/>
  <c r="D400" i="1"/>
  <c r="D403" i="1"/>
  <c r="D409" i="1"/>
  <c r="D412" i="1"/>
  <c r="D417" i="1"/>
  <c r="D421" i="1"/>
  <c r="D428" i="1"/>
  <c r="D432" i="1"/>
  <c r="D436" i="1"/>
  <c r="D440" i="1"/>
  <c r="D444" i="1"/>
  <c r="D448" i="1"/>
  <c r="D452" i="1"/>
  <c r="D456" i="1"/>
  <c r="D460" i="1"/>
  <c r="D464" i="1"/>
  <c r="D468" i="1"/>
  <c r="D472" i="1"/>
  <c r="D476" i="1"/>
  <c r="D480" i="1"/>
  <c r="D484" i="1"/>
  <c r="D488" i="1"/>
  <c r="D492" i="1"/>
  <c r="D496" i="1"/>
  <c r="D499" i="1"/>
  <c r="D501" i="1"/>
  <c r="D503" i="1"/>
  <c r="H506" i="1"/>
  <c r="AC507" i="1"/>
  <c r="N507" i="1"/>
  <c r="N707" i="1" s="1"/>
  <c r="O507" i="1"/>
  <c r="P507" i="1" s="1"/>
  <c r="Q507" i="1" s="1"/>
  <c r="R507" i="1" s="1"/>
  <c r="S507" i="1" s="1"/>
  <c r="T507" i="1" s="1"/>
  <c r="U507" i="1" s="1"/>
  <c r="V507" i="1" s="1"/>
  <c r="W507" i="1" s="1"/>
  <c r="X507" i="1" s="1"/>
  <c r="Y507" i="1" s="1"/>
  <c r="Z507" i="1" s="1"/>
  <c r="H509" i="1"/>
  <c r="D513" i="1"/>
  <c r="H516" i="1"/>
  <c r="D519" i="1"/>
  <c r="D523" i="1"/>
  <c r="D527" i="1"/>
  <c r="D531" i="1"/>
  <c r="D535" i="1"/>
  <c r="D539" i="1"/>
  <c r="D543" i="1"/>
  <c r="D547" i="1"/>
  <c r="D551" i="1"/>
  <c r="D555" i="1"/>
  <c r="D559" i="1"/>
  <c r="D566" i="1"/>
  <c r="D570" i="1"/>
  <c r="I574" i="1"/>
  <c r="D579" i="1"/>
  <c r="D582" i="1"/>
  <c r="N392" i="1"/>
  <c r="AT392" i="1"/>
  <c r="O392" i="1"/>
  <c r="AC392" i="1"/>
  <c r="AC372" i="1"/>
  <c r="O372" i="1"/>
  <c r="N372" i="1"/>
  <c r="AT372" i="1"/>
  <c r="AC366" i="1"/>
  <c r="N366" i="1"/>
  <c r="AT366" i="1"/>
  <c r="O366" i="1"/>
  <c r="AT342" i="1"/>
  <c r="AC342" i="1"/>
  <c r="N342" i="1"/>
  <c r="O342" i="1"/>
  <c r="O319" i="1"/>
  <c r="P319" i="1" s="1"/>
  <c r="Q319" i="1" s="1"/>
  <c r="R319" i="1" s="1"/>
  <c r="S319" i="1" s="1"/>
  <c r="T319" i="1" s="1"/>
  <c r="U319" i="1" s="1"/>
  <c r="V319" i="1" s="1"/>
  <c r="W319" i="1" s="1"/>
  <c r="X319" i="1" s="1"/>
  <c r="Y319" i="1" s="1"/>
  <c r="Z319" i="1" s="1"/>
  <c r="BV319" i="1" s="1"/>
  <c r="N319" i="1"/>
  <c r="O314" i="1"/>
  <c r="P314" i="1" s="1"/>
  <c r="Q314" i="1" s="1"/>
  <c r="R314" i="1" s="1"/>
  <c r="S314" i="1" s="1"/>
  <c r="T314" i="1" s="1"/>
  <c r="U314" i="1" s="1"/>
  <c r="V314" i="1" s="1"/>
  <c r="W314" i="1" s="1"/>
  <c r="X314" i="1" s="1"/>
  <c r="Y314" i="1" s="1"/>
  <c r="Z314" i="1" s="1"/>
  <c r="AT314" i="1"/>
  <c r="N314" i="1"/>
  <c r="AC314" i="1"/>
  <c r="N305" i="1"/>
  <c r="O305" i="1"/>
  <c r="AC305" i="1"/>
  <c r="AT305" i="1"/>
  <c r="O172" i="1"/>
  <c r="AT172" i="1"/>
  <c r="N172" i="1"/>
  <c r="AC172" i="1"/>
  <c r="AC40" i="1"/>
  <c r="N40" i="1"/>
  <c r="O40" i="1"/>
  <c r="P40" i="1" s="1"/>
  <c r="Q40" i="1" s="1"/>
  <c r="R40" i="1" s="1"/>
  <c r="S40" i="1" s="1"/>
  <c r="T40" i="1" s="1"/>
  <c r="U40" i="1" s="1"/>
  <c r="V40" i="1" s="1"/>
  <c r="W40" i="1" s="1"/>
  <c r="X40" i="1" s="1"/>
  <c r="Y40" i="1" s="1"/>
  <c r="Z40" i="1" s="1"/>
  <c r="AC44" i="1"/>
  <c r="N44" i="1"/>
  <c r="AT44" i="1"/>
  <c r="O44" i="1"/>
  <c r="AC31" i="1"/>
  <c r="O31" i="1"/>
  <c r="P31" i="1" s="1"/>
  <c r="Q31" i="1" s="1"/>
  <c r="R31" i="1" s="1"/>
  <c r="S31" i="1" s="1"/>
  <c r="T31" i="1" s="1"/>
  <c r="U31" i="1" s="1"/>
  <c r="V31" i="1" s="1"/>
  <c r="W31" i="1" s="1"/>
  <c r="X31" i="1" s="1"/>
  <c r="Y31" i="1" s="1"/>
  <c r="Z31" i="1" s="1"/>
  <c r="AT31" i="1"/>
  <c r="N31" i="1"/>
  <c r="N542" i="1"/>
  <c r="O542" i="1"/>
  <c r="P542" i="1" s="1"/>
  <c r="Q542" i="1" s="1"/>
  <c r="R542" i="1" s="1"/>
  <c r="S542" i="1" s="1"/>
  <c r="T542" i="1" s="1"/>
  <c r="U542" i="1" s="1"/>
  <c r="V542" i="1" s="1"/>
  <c r="W542" i="1" s="1"/>
  <c r="X542" i="1" s="1"/>
  <c r="Y542" i="1" s="1"/>
  <c r="Z542" i="1" s="1"/>
  <c r="BV542" i="1" s="1"/>
  <c r="N559" i="1"/>
  <c r="AT559" i="1"/>
  <c r="O559" i="1"/>
  <c r="P559" i="1" s="1"/>
  <c r="Q559" i="1" s="1"/>
  <c r="R559" i="1" s="1"/>
  <c r="S559" i="1" s="1"/>
  <c r="T559" i="1" s="1"/>
  <c r="U559" i="1" s="1"/>
  <c r="V559" i="1" s="1"/>
  <c r="W559" i="1" s="1"/>
  <c r="X559" i="1" s="1"/>
  <c r="Y559" i="1" s="1"/>
  <c r="Z559" i="1" s="1"/>
  <c r="AC559" i="1"/>
  <c r="O533" i="1"/>
  <c r="P533" i="1" s="1"/>
  <c r="Q533" i="1" s="1"/>
  <c r="R533" i="1" s="1"/>
  <c r="S533" i="1" s="1"/>
  <c r="T533" i="1" s="1"/>
  <c r="U533" i="1" s="1"/>
  <c r="V533" i="1" s="1"/>
  <c r="W533" i="1" s="1"/>
  <c r="X533" i="1" s="1"/>
  <c r="Y533" i="1" s="1"/>
  <c r="Z533" i="1" s="1"/>
  <c r="BV533" i="1" s="1"/>
  <c r="N533" i="1"/>
  <c r="N547" i="1"/>
  <c r="O547" i="1"/>
  <c r="P547" i="1" s="1"/>
  <c r="Q547" i="1" s="1"/>
  <c r="R547" i="1" s="1"/>
  <c r="S547" i="1" s="1"/>
  <c r="T547" i="1" s="1"/>
  <c r="U547" i="1" s="1"/>
  <c r="V547" i="1" s="1"/>
  <c r="W547" i="1" s="1"/>
  <c r="X547" i="1" s="1"/>
  <c r="Y547" i="1" s="1"/>
  <c r="Z547" i="1" s="1"/>
  <c r="BV547" i="1" s="1"/>
  <c r="O19" i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C19" i="1"/>
  <c r="AT19" i="1"/>
  <c r="N19" i="1"/>
  <c r="AT163" i="1"/>
  <c r="O163" i="1"/>
  <c r="P163" i="1" s="1"/>
  <c r="Q163" i="1" s="1"/>
  <c r="R163" i="1" s="1"/>
  <c r="S163" i="1" s="1"/>
  <c r="T163" i="1" s="1"/>
  <c r="U163" i="1" s="1"/>
  <c r="V163" i="1" s="1"/>
  <c r="W163" i="1" s="1"/>
  <c r="X163" i="1" s="1"/>
  <c r="Y163" i="1" s="1"/>
  <c r="Z163" i="1" s="1"/>
  <c r="N163" i="1"/>
  <c r="AC163" i="1"/>
  <c r="AC575" i="1"/>
  <c r="AC706" i="1" s="1"/>
  <c r="H7" i="8" s="1"/>
  <c r="O575" i="1"/>
  <c r="N575" i="1"/>
  <c r="AC566" i="1"/>
  <c r="O566" i="1"/>
  <c r="P566" i="1" s="1"/>
  <c r="Q566" i="1" s="1"/>
  <c r="R566" i="1" s="1"/>
  <c r="S566" i="1" s="1"/>
  <c r="T566" i="1" s="1"/>
  <c r="U566" i="1" s="1"/>
  <c r="V566" i="1" s="1"/>
  <c r="W566" i="1" s="1"/>
  <c r="X566" i="1" s="1"/>
  <c r="Y566" i="1" s="1"/>
  <c r="Z566" i="1" s="1"/>
  <c r="AT566" i="1"/>
  <c r="N566" i="1"/>
  <c r="O567" i="1"/>
  <c r="P567" i="1" s="1"/>
  <c r="Q567" i="1" s="1"/>
  <c r="R567" i="1" s="1"/>
  <c r="S567" i="1" s="1"/>
  <c r="T567" i="1" s="1"/>
  <c r="U567" i="1" s="1"/>
  <c r="V567" i="1" s="1"/>
  <c r="W567" i="1" s="1"/>
  <c r="X567" i="1" s="1"/>
  <c r="Y567" i="1" s="1"/>
  <c r="Z567" i="1" s="1"/>
  <c r="N567" i="1"/>
  <c r="AC567" i="1"/>
  <c r="N161" i="1"/>
  <c r="AC161" i="1"/>
  <c r="AT161" i="1"/>
  <c r="O161" i="1"/>
  <c r="P161" i="1" s="1"/>
  <c r="Q161" i="1" s="1"/>
  <c r="R161" i="1" s="1"/>
  <c r="S161" i="1" s="1"/>
  <c r="T161" i="1" s="1"/>
  <c r="U161" i="1" s="1"/>
  <c r="V161" i="1" s="1"/>
  <c r="W161" i="1" s="1"/>
  <c r="X161" i="1" s="1"/>
  <c r="Y161" i="1" s="1"/>
  <c r="Z161" i="1" s="1"/>
  <c r="N584" i="1"/>
  <c r="O584" i="1"/>
  <c r="P584" i="1" s="1"/>
  <c r="Q584" i="1" s="1"/>
  <c r="R584" i="1" s="1"/>
  <c r="S584" i="1" s="1"/>
  <c r="T584" i="1" s="1"/>
  <c r="U584" i="1" s="1"/>
  <c r="V584" i="1" s="1"/>
  <c r="W584" i="1" s="1"/>
  <c r="X584" i="1" s="1"/>
  <c r="Y584" i="1" s="1"/>
  <c r="Z584" i="1" s="1"/>
  <c r="BV584" i="1" s="1"/>
  <c r="AT572" i="1"/>
  <c r="O572" i="1"/>
  <c r="N572" i="1"/>
  <c r="AC572" i="1"/>
  <c r="AT574" i="1"/>
  <c r="AC574" i="1"/>
  <c r="BI574" i="1" s="1"/>
  <c r="BI697" i="1" s="1"/>
  <c r="N574" i="1"/>
  <c r="AC193" i="1"/>
  <c r="N193" i="1"/>
  <c r="AT193" i="1"/>
  <c r="O193" i="1"/>
  <c r="AC576" i="1"/>
  <c r="O576" i="1"/>
  <c r="N576" i="1"/>
  <c r="D228" i="1"/>
  <c r="D244" i="1"/>
  <c r="D256" i="1"/>
  <c r="D10" i="1"/>
  <c r="D23" i="1"/>
  <c r="D29" i="1"/>
  <c r="D36" i="1"/>
  <c r="D46" i="1"/>
  <c r="D53" i="1"/>
  <c r="D81" i="1"/>
  <c r="D89" i="1"/>
  <c r="D100" i="1"/>
  <c r="D104" i="1"/>
  <c r="D108" i="1"/>
  <c r="D112" i="1"/>
  <c r="D114" i="1"/>
  <c r="D118" i="1"/>
  <c r="D121" i="1"/>
  <c r="D124" i="1"/>
  <c r="D128" i="1"/>
  <c r="D132" i="1"/>
  <c r="D136" i="1"/>
  <c r="D140" i="1"/>
  <c r="D144" i="1"/>
  <c r="G145" i="1"/>
  <c r="D151" i="1"/>
  <c r="H154" i="1"/>
  <c r="D158" i="1"/>
  <c r="D161" i="1"/>
  <c r="D165" i="1"/>
  <c r="D167" i="1"/>
  <c r="D171" i="1"/>
  <c r="D174" i="1"/>
  <c r="D177" i="1"/>
  <c r="D183" i="1"/>
  <c r="O184" i="1"/>
  <c r="AT184" i="1"/>
  <c r="AC184" i="1"/>
  <c r="N184" i="1"/>
  <c r="D187" i="1"/>
  <c r="D191" i="1"/>
  <c r="D196" i="1"/>
  <c r="D203" i="1"/>
  <c r="D207" i="1"/>
  <c r="AT208" i="1"/>
  <c r="O208" i="1"/>
  <c r="AC208" i="1"/>
  <c r="N208" i="1"/>
  <c r="D211" i="1"/>
  <c r="D215" i="1"/>
  <c r="D219" i="1"/>
  <c r="D223" i="1"/>
  <c r="D227" i="1"/>
  <c r="D231" i="1"/>
  <c r="D235" i="1"/>
  <c r="D239" i="1"/>
  <c r="D243" i="1"/>
  <c r="D247" i="1"/>
  <c r="D251" i="1"/>
  <c r="D255" i="1"/>
  <c r="D259" i="1"/>
  <c r="D263" i="1"/>
  <c r="D267" i="1"/>
  <c r="D271" i="1"/>
  <c r="D275" i="1"/>
  <c r="D279" i="1"/>
  <c r="AT285" i="1"/>
  <c r="O285" i="1"/>
  <c r="N285" i="1"/>
  <c r="AC285" i="1"/>
  <c r="D288" i="1"/>
  <c r="D292" i="1"/>
  <c r="D295" i="1"/>
  <c r="D298" i="1"/>
  <c r="N299" i="1"/>
  <c r="O299" i="1"/>
  <c r="AT299" i="1"/>
  <c r="AC299" i="1"/>
  <c r="D302" i="1"/>
  <c r="D305" i="1"/>
  <c r="D308" i="1"/>
  <c r="D315" i="1"/>
  <c r="D319" i="1"/>
  <c r="D321" i="1"/>
  <c r="D327" i="1"/>
  <c r="D331" i="1"/>
  <c r="D335" i="1"/>
  <c r="D339" i="1"/>
  <c r="D342" i="1"/>
  <c r="D344" i="1"/>
  <c r="D351" i="1"/>
  <c r="D355" i="1"/>
  <c r="D359" i="1"/>
  <c r="D363" i="1"/>
  <c r="D370" i="1"/>
  <c r="D375" i="1"/>
  <c r="D378" i="1"/>
  <c r="D381" i="1"/>
  <c r="D384" i="1"/>
  <c r="D388" i="1"/>
  <c r="D396" i="1"/>
  <c r="D399" i="1"/>
  <c r="D402" i="1"/>
  <c r="D406" i="1"/>
  <c r="D408" i="1"/>
  <c r="D411" i="1"/>
  <c r="D414" i="1"/>
  <c r="D420" i="1"/>
  <c r="D424" i="1"/>
  <c r="D427" i="1"/>
  <c r="D435" i="1"/>
  <c r="D439" i="1"/>
  <c r="D443" i="1"/>
  <c r="D447" i="1"/>
  <c r="D451" i="1"/>
  <c r="D455" i="1"/>
  <c r="D459" i="1"/>
  <c r="D463" i="1"/>
  <c r="D467" i="1"/>
  <c r="D471" i="1"/>
  <c r="D475" i="1"/>
  <c r="D479" i="1"/>
  <c r="D483" i="1"/>
  <c r="D487" i="1"/>
  <c r="D491" i="1"/>
  <c r="D495" i="1"/>
  <c r="I506" i="1"/>
  <c r="I509" i="1"/>
  <c r="D512" i="1"/>
  <c r="I516" i="1"/>
  <c r="D522" i="1"/>
  <c r="O523" i="1"/>
  <c r="P523" i="1" s="1"/>
  <c r="Q523" i="1" s="1"/>
  <c r="R523" i="1" s="1"/>
  <c r="S523" i="1" s="1"/>
  <c r="T523" i="1" s="1"/>
  <c r="U523" i="1" s="1"/>
  <c r="V523" i="1" s="1"/>
  <c r="W523" i="1" s="1"/>
  <c r="X523" i="1" s="1"/>
  <c r="Y523" i="1" s="1"/>
  <c r="Z523" i="1" s="1"/>
  <c r="N523" i="1"/>
  <c r="AC523" i="1"/>
  <c r="D526" i="1"/>
  <c r="D530" i="1"/>
  <c r="D534" i="1"/>
  <c r="D538" i="1"/>
  <c r="D542" i="1"/>
  <c r="D546" i="1"/>
  <c r="D550" i="1"/>
  <c r="D554" i="1"/>
  <c r="D558" i="1"/>
  <c r="D562" i="1"/>
  <c r="D565" i="1"/>
  <c r="D569" i="1"/>
  <c r="D573" i="1"/>
  <c r="J574" i="1"/>
  <c r="O574" i="1" s="1"/>
  <c r="P574" i="1" s="1"/>
  <c r="Q574" i="1" s="1"/>
  <c r="R574" i="1" s="1"/>
  <c r="S574" i="1" s="1"/>
  <c r="T574" i="1" s="1"/>
  <c r="U574" i="1" s="1"/>
  <c r="V574" i="1" s="1"/>
  <c r="W574" i="1" s="1"/>
  <c r="X574" i="1" s="1"/>
  <c r="Y574" i="1" s="1"/>
  <c r="Z574" i="1" s="1"/>
  <c r="BV574" i="1" s="1"/>
  <c r="D576" i="1"/>
  <c r="D581" i="1"/>
  <c r="D585" i="1"/>
  <c r="O501" i="1"/>
  <c r="AC501" i="1"/>
  <c r="N501" i="1"/>
  <c r="AT501" i="1"/>
  <c r="O101" i="1"/>
  <c r="P101" i="1" s="1"/>
  <c r="Q101" i="1" s="1"/>
  <c r="R101" i="1" s="1"/>
  <c r="S101" i="1" s="1"/>
  <c r="T101" i="1" s="1"/>
  <c r="U101" i="1" s="1"/>
  <c r="V101" i="1" s="1"/>
  <c r="W101" i="1" s="1"/>
  <c r="X101" i="1" s="1"/>
  <c r="Y101" i="1" s="1"/>
  <c r="Z101" i="1" s="1"/>
  <c r="BV101" i="1" s="1"/>
  <c r="N101" i="1"/>
  <c r="N30" i="1"/>
  <c r="AT30" i="1"/>
  <c r="O30" i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C30" i="1"/>
  <c r="O540" i="1"/>
  <c r="P540" i="1" s="1"/>
  <c r="Q540" i="1" s="1"/>
  <c r="R540" i="1" s="1"/>
  <c r="S540" i="1" s="1"/>
  <c r="T540" i="1" s="1"/>
  <c r="U540" i="1" s="1"/>
  <c r="V540" i="1" s="1"/>
  <c r="W540" i="1" s="1"/>
  <c r="X540" i="1" s="1"/>
  <c r="Y540" i="1" s="1"/>
  <c r="Z540" i="1" s="1"/>
  <c r="BV540" i="1" s="1"/>
  <c r="N540" i="1"/>
  <c r="O545" i="1"/>
  <c r="P545" i="1" s="1"/>
  <c r="Q545" i="1" s="1"/>
  <c r="R545" i="1" s="1"/>
  <c r="S545" i="1" s="1"/>
  <c r="T545" i="1" s="1"/>
  <c r="U545" i="1" s="1"/>
  <c r="V545" i="1" s="1"/>
  <c r="W545" i="1" s="1"/>
  <c r="X545" i="1" s="1"/>
  <c r="Y545" i="1" s="1"/>
  <c r="Z545" i="1" s="1"/>
  <c r="BV545" i="1" s="1"/>
  <c r="N545" i="1"/>
  <c r="N538" i="1"/>
  <c r="O538" i="1"/>
  <c r="P538" i="1" s="1"/>
  <c r="Q538" i="1" s="1"/>
  <c r="R538" i="1" s="1"/>
  <c r="S538" i="1" s="1"/>
  <c r="T538" i="1" s="1"/>
  <c r="U538" i="1" s="1"/>
  <c r="V538" i="1" s="1"/>
  <c r="W538" i="1" s="1"/>
  <c r="X538" i="1" s="1"/>
  <c r="Y538" i="1" s="1"/>
  <c r="Z538" i="1" s="1"/>
  <c r="BV538" i="1" s="1"/>
  <c r="O536" i="1"/>
  <c r="P536" i="1" s="1"/>
  <c r="Q536" i="1" s="1"/>
  <c r="R536" i="1" s="1"/>
  <c r="S536" i="1" s="1"/>
  <c r="T536" i="1" s="1"/>
  <c r="U536" i="1" s="1"/>
  <c r="V536" i="1" s="1"/>
  <c r="W536" i="1" s="1"/>
  <c r="X536" i="1" s="1"/>
  <c r="Y536" i="1" s="1"/>
  <c r="Z536" i="1" s="1"/>
  <c r="BV536" i="1" s="1"/>
  <c r="N536" i="1"/>
  <c r="O525" i="1"/>
  <c r="P525" i="1" s="1"/>
  <c r="Q525" i="1" s="1"/>
  <c r="R525" i="1" s="1"/>
  <c r="S525" i="1" s="1"/>
  <c r="T525" i="1" s="1"/>
  <c r="U525" i="1" s="1"/>
  <c r="V525" i="1" s="1"/>
  <c r="W525" i="1" s="1"/>
  <c r="X525" i="1" s="1"/>
  <c r="Y525" i="1" s="1"/>
  <c r="Z525" i="1" s="1"/>
  <c r="BV525" i="1" s="1"/>
  <c r="N525" i="1"/>
  <c r="AC529" i="1"/>
  <c r="N529" i="1"/>
  <c r="O529" i="1"/>
  <c r="P529" i="1" s="1"/>
  <c r="Q529" i="1" s="1"/>
  <c r="R529" i="1" s="1"/>
  <c r="S529" i="1" s="1"/>
  <c r="T529" i="1" s="1"/>
  <c r="U529" i="1" s="1"/>
  <c r="V529" i="1" s="1"/>
  <c r="W529" i="1" s="1"/>
  <c r="X529" i="1" s="1"/>
  <c r="Y529" i="1" s="1"/>
  <c r="Z529" i="1" s="1"/>
  <c r="P518" i="1"/>
  <c r="Q518" i="1" s="1"/>
  <c r="R518" i="1" s="1"/>
  <c r="S518" i="1" s="1"/>
  <c r="T518" i="1" s="1"/>
  <c r="U518" i="1" s="1"/>
  <c r="V518" i="1" s="1"/>
  <c r="W518" i="1" s="1"/>
  <c r="X518" i="1" s="1"/>
  <c r="Y518" i="1" s="1"/>
  <c r="Z518" i="1" s="1"/>
  <c r="AC20" i="1"/>
  <c r="O20" i="1"/>
  <c r="P20" i="1" s="1"/>
  <c r="Q20" i="1" s="1"/>
  <c r="R20" i="1" s="1"/>
  <c r="S20" i="1" s="1"/>
  <c r="T20" i="1" s="1"/>
  <c r="U20" i="1" s="1"/>
  <c r="V20" i="1" s="1"/>
  <c r="W20" i="1" s="1"/>
  <c r="X20" i="1" s="1"/>
  <c r="Y20" i="1" s="1"/>
  <c r="Z20" i="1" s="1"/>
  <c r="AT20" i="1"/>
  <c r="N20" i="1"/>
  <c r="N164" i="1"/>
  <c r="AT164" i="1"/>
  <c r="O164" i="1"/>
  <c r="P164" i="1" s="1"/>
  <c r="Q164" i="1" s="1"/>
  <c r="R164" i="1" s="1"/>
  <c r="S164" i="1" s="1"/>
  <c r="T164" i="1" s="1"/>
  <c r="U164" i="1" s="1"/>
  <c r="V164" i="1" s="1"/>
  <c r="W164" i="1" s="1"/>
  <c r="X164" i="1" s="1"/>
  <c r="Y164" i="1" s="1"/>
  <c r="Z164" i="1" s="1"/>
  <c r="AC164" i="1"/>
  <c r="O573" i="1"/>
  <c r="P573" i="1" s="1"/>
  <c r="Q573" i="1" s="1"/>
  <c r="R573" i="1" s="1"/>
  <c r="S573" i="1" s="1"/>
  <c r="T573" i="1" s="1"/>
  <c r="U573" i="1" s="1"/>
  <c r="V573" i="1" s="1"/>
  <c r="W573" i="1" s="1"/>
  <c r="X573" i="1" s="1"/>
  <c r="Y573" i="1" s="1"/>
  <c r="Z573" i="1" s="1"/>
  <c r="BV573" i="1" s="1"/>
  <c r="N573" i="1"/>
  <c r="AC573" i="1"/>
  <c r="N551" i="1"/>
  <c r="O551" i="1"/>
  <c r="P551" i="1" s="1"/>
  <c r="Q551" i="1" s="1"/>
  <c r="R551" i="1" s="1"/>
  <c r="S551" i="1" s="1"/>
  <c r="T551" i="1" s="1"/>
  <c r="U551" i="1" s="1"/>
  <c r="V551" i="1" s="1"/>
  <c r="W551" i="1" s="1"/>
  <c r="X551" i="1" s="1"/>
  <c r="Y551" i="1" s="1"/>
  <c r="Z551" i="1" s="1"/>
  <c r="BV551" i="1" s="1"/>
  <c r="AC551" i="1"/>
  <c r="BH191" i="4"/>
  <c r="BH188" i="4"/>
  <c r="BH189" i="4"/>
  <c r="BH190" i="4"/>
  <c r="AC519" i="1"/>
  <c r="N519" i="1"/>
  <c r="O519" i="1"/>
  <c r="P519" i="1" s="1"/>
  <c r="Q519" i="1" s="1"/>
  <c r="R519" i="1" s="1"/>
  <c r="S519" i="1" s="1"/>
  <c r="T519" i="1" s="1"/>
  <c r="U519" i="1" s="1"/>
  <c r="V519" i="1" s="1"/>
  <c r="W519" i="1" s="1"/>
  <c r="X519" i="1" s="1"/>
  <c r="Y519" i="1" s="1"/>
  <c r="Z519" i="1" s="1"/>
  <c r="D224" i="1"/>
  <c r="D240" i="1"/>
  <c r="D6" i="1"/>
  <c r="D18" i="1"/>
  <c r="D31" i="1"/>
  <c r="D40" i="1"/>
  <c r="D43" i="1"/>
  <c r="D49" i="1"/>
  <c r="D61" i="1"/>
  <c r="D85" i="1"/>
  <c r="D97" i="1"/>
  <c r="D5" i="1"/>
  <c r="D13" i="1"/>
  <c r="D20" i="1"/>
  <c r="D35" i="1"/>
  <c r="D39" i="1"/>
  <c r="D42" i="1"/>
  <c r="D45" i="1"/>
  <c r="D52" i="1"/>
  <c r="D56" i="1"/>
  <c r="D60" i="1"/>
  <c r="D64" i="1"/>
  <c r="D68" i="1"/>
  <c r="D72" i="1"/>
  <c r="D76" i="1"/>
  <c r="D80" i="1"/>
  <c r="D84" i="1"/>
  <c r="D88" i="1"/>
  <c r="D92" i="1"/>
  <c r="D96" i="1"/>
  <c r="D99" i="1"/>
  <c r="N100" i="1"/>
  <c r="O100" i="1"/>
  <c r="P100" i="1" s="1"/>
  <c r="Q100" i="1" s="1"/>
  <c r="R100" i="1" s="1"/>
  <c r="S100" i="1" s="1"/>
  <c r="T100" i="1" s="1"/>
  <c r="U100" i="1" s="1"/>
  <c r="V100" i="1" s="1"/>
  <c r="W100" i="1" s="1"/>
  <c r="X100" i="1" s="1"/>
  <c r="Y100" i="1" s="1"/>
  <c r="Z100" i="1" s="1"/>
  <c r="AC100" i="1"/>
  <c r="AT100" i="1"/>
  <c r="D103" i="1"/>
  <c r="D107" i="1"/>
  <c r="D111" i="1"/>
  <c r="D117" i="1"/>
  <c r="D120" i="1"/>
  <c r="D123" i="1"/>
  <c r="D127" i="1"/>
  <c r="D131" i="1"/>
  <c r="D135" i="1"/>
  <c r="D139" i="1"/>
  <c r="D143" i="1"/>
  <c r="D147" i="1"/>
  <c r="D150" i="1"/>
  <c r="I154" i="1"/>
  <c r="D157" i="1"/>
  <c r="D164" i="1"/>
  <c r="D170" i="1"/>
  <c r="D173" i="1"/>
  <c r="D176" i="1"/>
  <c r="D179" i="1"/>
  <c r="D182" i="1"/>
  <c r="D186" i="1"/>
  <c r="AT187" i="1"/>
  <c r="AC187" i="1"/>
  <c r="N187" i="1"/>
  <c r="O187" i="1"/>
  <c r="D190" i="1"/>
  <c r="D193" i="1"/>
  <c r="D199" i="1"/>
  <c r="D202" i="1"/>
  <c r="D206" i="1"/>
  <c r="D210" i="1"/>
  <c r="AC211" i="1"/>
  <c r="N211" i="1"/>
  <c r="O211" i="1"/>
  <c r="AT211" i="1"/>
  <c r="D214" i="1"/>
  <c r="D218" i="1"/>
  <c r="D222" i="1"/>
  <c r="D226" i="1"/>
  <c r="D230" i="1"/>
  <c r="D234" i="1"/>
  <c r="D238" i="1"/>
  <c r="D242" i="1"/>
  <c r="D246" i="1"/>
  <c r="D250" i="1"/>
  <c r="D254" i="1"/>
  <c r="D258" i="1"/>
  <c r="D262" i="1"/>
  <c r="D266" i="1"/>
  <c r="D270" i="1"/>
  <c r="D274" i="1"/>
  <c r="D278" i="1"/>
  <c r="D282" i="1"/>
  <c r="D284" i="1"/>
  <c r="D287" i="1"/>
  <c r="D291" i="1"/>
  <c r="D294" i="1"/>
  <c r="D297" i="1"/>
  <c r="AC298" i="1"/>
  <c r="O298" i="1"/>
  <c r="AT298" i="1"/>
  <c r="N298" i="1"/>
  <c r="D301" i="1"/>
  <c r="D304" i="1"/>
  <c r="D307" i="1"/>
  <c r="D310" i="1"/>
  <c r="D312" i="1"/>
  <c r="D318" i="1"/>
  <c r="D323" i="1"/>
  <c r="D326" i="1"/>
  <c r="D330" i="1"/>
  <c r="D334" i="1"/>
  <c r="D338" i="1"/>
  <c r="D341" i="1"/>
  <c r="D347" i="1"/>
  <c r="D350" i="1"/>
  <c r="D354" i="1"/>
  <c r="D358" i="1"/>
  <c r="D362" i="1"/>
  <c r="D366" i="1"/>
  <c r="D369" i="1"/>
  <c r="D372" i="1"/>
  <c r="D374" i="1"/>
  <c r="D377" i="1"/>
  <c r="D380" i="1"/>
  <c r="D383" i="1"/>
  <c r="D387" i="1"/>
  <c r="D391" i="1"/>
  <c r="D393" i="1"/>
  <c r="D395" i="1"/>
  <c r="D398" i="1"/>
  <c r="D405" i="1"/>
  <c r="D410" i="1"/>
  <c r="D416" i="1"/>
  <c r="D419" i="1"/>
  <c r="D423" i="1"/>
  <c r="D426" i="1"/>
  <c r="D430" i="1"/>
  <c r="D434" i="1"/>
  <c r="D438" i="1"/>
  <c r="D442" i="1"/>
  <c r="D446" i="1"/>
  <c r="D450" i="1"/>
  <c r="D454" i="1"/>
  <c r="D458" i="1"/>
  <c r="D462" i="1"/>
  <c r="D466" i="1"/>
  <c r="D470" i="1"/>
  <c r="D474" i="1"/>
  <c r="D478" i="1"/>
  <c r="D482" i="1"/>
  <c r="D486" i="1"/>
  <c r="D490" i="1"/>
  <c r="D494" i="1"/>
  <c r="D498" i="1"/>
  <c r="D500" i="1"/>
  <c r="D502" i="1"/>
  <c r="D505" i="1"/>
  <c r="J506" i="1"/>
  <c r="O506" i="1" s="1"/>
  <c r="P506" i="1" s="1"/>
  <c r="Q506" i="1" s="1"/>
  <c r="R506" i="1" s="1"/>
  <c r="S506" i="1" s="1"/>
  <c r="T506" i="1" s="1"/>
  <c r="U506" i="1" s="1"/>
  <c r="V506" i="1" s="1"/>
  <c r="W506" i="1" s="1"/>
  <c r="X506" i="1" s="1"/>
  <c r="Y506" i="1" s="1"/>
  <c r="D508" i="1"/>
  <c r="J509" i="1"/>
  <c r="O509" i="1" s="1"/>
  <c r="P509" i="1" s="1"/>
  <c r="Q509" i="1" s="1"/>
  <c r="R509" i="1" s="1"/>
  <c r="S509" i="1" s="1"/>
  <c r="T509" i="1" s="1"/>
  <c r="U509" i="1" s="1"/>
  <c r="V509" i="1" s="1"/>
  <c r="W509" i="1" s="1"/>
  <c r="X509" i="1" s="1"/>
  <c r="Y509" i="1" s="1"/>
  <c r="Z509" i="1" s="1"/>
  <c r="BV509" i="1" s="1"/>
  <c r="D511" i="1"/>
  <c r="D515" i="1"/>
  <c r="J516" i="1"/>
  <c r="O516" i="1" s="1"/>
  <c r="P516" i="1" s="1"/>
  <c r="Q516" i="1" s="1"/>
  <c r="R516" i="1" s="1"/>
  <c r="S516" i="1" s="1"/>
  <c r="T516" i="1" s="1"/>
  <c r="U516" i="1" s="1"/>
  <c r="V516" i="1" s="1"/>
  <c r="W516" i="1" s="1"/>
  <c r="X516" i="1" s="1"/>
  <c r="Y516" i="1" s="1"/>
  <c r="Z516" i="1" s="1"/>
  <c r="BV516" i="1" s="1"/>
  <c r="D518" i="1"/>
  <c r="D521" i="1"/>
  <c r="D525" i="1"/>
  <c r="D529" i="1"/>
  <c r="D533" i="1"/>
  <c r="D537" i="1"/>
  <c r="D541" i="1"/>
  <c r="D545" i="1"/>
  <c r="D549" i="1"/>
  <c r="D553" i="1"/>
  <c r="D557" i="1"/>
  <c r="D561" i="1"/>
  <c r="D564" i="1"/>
  <c r="D568" i="1"/>
  <c r="D572" i="1"/>
  <c r="D575" i="1"/>
  <c r="D578" i="1"/>
  <c r="O581" i="1"/>
  <c r="P581" i="1" s="1"/>
  <c r="Q581" i="1" s="1"/>
  <c r="R581" i="1" s="1"/>
  <c r="S581" i="1" s="1"/>
  <c r="T581" i="1" s="1"/>
  <c r="U581" i="1" s="1"/>
  <c r="V581" i="1" s="1"/>
  <c r="W581" i="1" s="1"/>
  <c r="X581" i="1" s="1"/>
  <c r="Y581" i="1" s="1"/>
  <c r="Z581" i="1" s="1"/>
  <c r="AC581" i="1"/>
  <c r="N581" i="1"/>
  <c r="D584" i="1"/>
  <c r="N48" i="1"/>
  <c r="AT48" i="1"/>
  <c r="AC48" i="1"/>
  <c r="O48" i="1"/>
  <c r="N500" i="1"/>
  <c r="O500" i="1"/>
  <c r="AC394" i="1"/>
  <c r="N394" i="1"/>
  <c r="O394" i="1"/>
  <c r="P394" i="1" s="1"/>
  <c r="Q394" i="1" s="1"/>
  <c r="R394" i="1" s="1"/>
  <c r="S394" i="1" s="1"/>
  <c r="T394" i="1" s="1"/>
  <c r="U394" i="1" s="1"/>
  <c r="V394" i="1" s="1"/>
  <c r="W394" i="1" s="1"/>
  <c r="X394" i="1" s="1"/>
  <c r="Y394" i="1" s="1"/>
  <c r="Z394" i="1" s="1"/>
  <c r="AT394" i="1"/>
  <c r="AC370" i="1"/>
  <c r="N370" i="1"/>
  <c r="O370" i="1"/>
  <c r="AT370" i="1"/>
  <c r="O312" i="1"/>
  <c r="P312" i="1" s="1"/>
  <c r="Q312" i="1" s="1"/>
  <c r="R312" i="1" s="1"/>
  <c r="S312" i="1" s="1"/>
  <c r="T312" i="1" s="1"/>
  <c r="U312" i="1" s="1"/>
  <c r="V312" i="1" s="1"/>
  <c r="W312" i="1" s="1"/>
  <c r="X312" i="1" s="1"/>
  <c r="Y312" i="1" s="1"/>
  <c r="Z312" i="1" s="1"/>
  <c r="AC312" i="1"/>
  <c r="AT312" i="1"/>
  <c r="N312" i="1"/>
  <c r="O179" i="1"/>
  <c r="AC179" i="1"/>
  <c r="N179" i="1"/>
  <c r="AT179" i="1"/>
  <c r="AT97" i="1"/>
  <c r="N97" i="1"/>
  <c r="O97" i="1"/>
  <c r="P97" i="1" s="1"/>
  <c r="Q97" i="1" s="1"/>
  <c r="R97" i="1" s="1"/>
  <c r="S97" i="1" s="1"/>
  <c r="T97" i="1" s="1"/>
  <c r="U97" i="1" s="1"/>
  <c r="V97" i="1" s="1"/>
  <c r="W97" i="1" s="1"/>
  <c r="X97" i="1" s="1"/>
  <c r="Y97" i="1" s="1"/>
  <c r="Z97" i="1" s="1"/>
  <c r="AC97" i="1"/>
  <c r="N33" i="1"/>
  <c r="O33" i="1"/>
  <c r="P33" i="1" s="1"/>
  <c r="Q33" i="1" s="1"/>
  <c r="R33" i="1" s="1"/>
  <c r="S33" i="1" s="1"/>
  <c r="T33" i="1" s="1"/>
  <c r="U33" i="1" s="1"/>
  <c r="V33" i="1" s="1"/>
  <c r="W33" i="1" s="1"/>
  <c r="X33" i="1" s="1"/>
  <c r="Y33" i="1" s="1"/>
  <c r="Z33" i="1" s="1"/>
  <c r="BV33" i="1" s="1"/>
  <c r="AC33" i="1"/>
  <c r="O548" i="1"/>
  <c r="P548" i="1" s="1"/>
  <c r="Q548" i="1" s="1"/>
  <c r="R548" i="1" s="1"/>
  <c r="S548" i="1" s="1"/>
  <c r="T548" i="1" s="1"/>
  <c r="U548" i="1" s="1"/>
  <c r="V548" i="1" s="1"/>
  <c r="W548" i="1" s="1"/>
  <c r="X548" i="1" s="1"/>
  <c r="Y548" i="1" s="1"/>
  <c r="Z548" i="1" s="1"/>
  <c r="BV548" i="1" s="1"/>
  <c r="N548" i="1"/>
  <c r="O541" i="1"/>
  <c r="P541" i="1" s="1"/>
  <c r="Q541" i="1" s="1"/>
  <c r="R541" i="1" s="1"/>
  <c r="S541" i="1" s="1"/>
  <c r="T541" i="1" s="1"/>
  <c r="U541" i="1" s="1"/>
  <c r="V541" i="1" s="1"/>
  <c r="W541" i="1" s="1"/>
  <c r="X541" i="1" s="1"/>
  <c r="Y541" i="1" s="1"/>
  <c r="Z541" i="1" s="1"/>
  <c r="BV541" i="1" s="1"/>
  <c r="N541" i="1"/>
  <c r="O534" i="1"/>
  <c r="P534" i="1" s="1"/>
  <c r="Q534" i="1" s="1"/>
  <c r="R534" i="1" s="1"/>
  <c r="S534" i="1" s="1"/>
  <c r="T534" i="1" s="1"/>
  <c r="U534" i="1" s="1"/>
  <c r="V534" i="1" s="1"/>
  <c r="W534" i="1" s="1"/>
  <c r="X534" i="1" s="1"/>
  <c r="Y534" i="1" s="1"/>
  <c r="Z534" i="1" s="1"/>
  <c r="BV534" i="1" s="1"/>
  <c r="N534" i="1"/>
  <c r="O544" i="1"/>
  <c r="P544" i="1" s="1"/>
  <c r="Q544" i="1" s="1"/>
  <c r="R544" i="1" s="1"/>
  <c r="S544" i="1" s="1"/>
  <c r="T544" i="1" s="1"/>
  <c r="U544" i="1" s="1"/>
  <c r="V544" i="1" s="1"/>
  <c r="W544" i="1" s="1"/>
  <c r="X544" i="1" s="1"/>
  <c r="Y544" i="1" s="1"/>
  <c r="Z544" i="1" s="1"/>
  <c r="BV544" i="1" s="1"/>
  <c r="N544" i="1"/>
  <c r="O527" i="1"/>
  <c r="P527" i="1" s="1"/>
  <c r="Q527" i="1" s="1"/>
  <c r="R527" i="1" s="1"/>
  <c r="S527" i="1" s="1"/>
  <c r="T527" i="1" s="1"/>
  <c r="U527" i="1" s="1"/>
  <c r="V527" i="1" s="1"/>
  <c r="W527" i="1" s="1"/>
  <c r="X527" i="1" s="1"/>
  <c r="Y527" i="1" s="1"/>
  <c r="Z527" i="1" s="1"/>
  <c r="BV527" i="1" s="1"/>
  <c r="N527" i="1"/>
  <c r="AC154" i="1"/>
  <c r="AT154" i="1"/>
  <c r="N154" i="1"/>
  <c r="N583" i="1"/>
  <c r="AC583" i="1"/>
  <c r="O583" i="1"/>
  <c r="P583" i="1" s="1"/>
  <c r="Q583" i="1" s="1"/>
  <c r="R583" i="1" s="1"/>
  <c r="S583" i="1" s="1"/>
  <c r="T583" i="1" s="1"/>
  <c r="U583" i="1" s="1"/>
  <c r="V583" i="1" s="1"/>
  <c r="W583" i="1" s="1"/>
  <c r="X583" i="1" s="1"/>
  <c r="Y583" i="1" s="1"/>
  <c r="Z583" i="1" s="1"/>
  <c r="O570" i="1"/>
  <c r="P570" i="1" s="1"/>
  <c r="Q570" i="1" s="1"/>
  <c r="R570" i="1" s="1"/>
  <c r="S570" i="1" s="1"/>
  <c r="T570" i="1" s="1"/>
  <c r="U570" i="1" s="1"/>
  <c r="V570" i="1" s="1"/>
  <c r="W570" i="1" s="1"/>
  <c r="X570" i="1" s="1"/>
  <c r="Y570" i="1" s="1"/>
  <c r="Z570" i="1" s="1"/>
  <c r="N570" i="1"/>
  <c r="AC570" i="1"/>
  <c r="AC530" i="1"/>
  <c r="O530" i="1"/>
  <c r="P530" i="1" s="1"/>
  <c r="Q530" i="1" s="1"/>
  <c r="R530" i="1" s="1"/>
  <c r="S530" i="1" s="1"/>
  <c r="T530" i="1" s="1"/>
  <c r="U530" i="1" s="1"/>
  <c r="V530" i="1" s="1"/>
  <c r="W530" i="1" s="1"/>
  <c r="X530" i="1" s="1"/>
  <c r="Y530" i="1" s="1"/>
  <c r="Z530" i="1" s="1"/>
  <c r="N530" i="1"/>
  <c r="O287" i="1"/>
  <c r="P287" i="1" s="1"/>
  <c r="Q287" i="1" s="1"/>
  <c r="R287" i="1" s="1"/>
  <c r="S287" i="1" s="1"/>
  <c r="T287" i="1" s="1"/>
  <c r="U287" i="1" s="1"/>
  <c r="V287" i="1" s="1"/>
  <c r="W287" i="1" s="1"/>
  <c r="X287" i="1" s="1"/>
  <c r="Y287" i="1" s="1"/>
  <c r="Z287" i="1" s="1"/>
  <c r="N287" i="1"/>
  <c r="AT287" i="1"/>
  <c r="AC287" i="1"/>
  <c r="N577" i="1"/>
  <c r="AC577" i="1"/>
  <c r="O577" i="1"/>
  <c r="N560" i="1"/>
  <c r="O560" i="1"/>
  <c r="P560" i="1" s="1"/>
  <c r="Q560" i="1" s="1"/>
  <c r="R560" i="1" s="1"/>
  <c r="S560" i="1" s="1"/>
  <c r="T560" i="1" s="1"/>
  <c r="U560" i="1" s="1"/>
  <c r="V560" i="1" s="1"/>
  <c r="W560" i="1" s="1"/>
  <c r="X560" i="1" s="1"/>
  <c r="Y560" i="1" s="1"/>
  <c r="Z560" i="1" s="1"/>
  <c r="AT560" i="1"/>
  <c r="AC560" i="1"/>
  <c r="O522" i="1"/>
  <c r="P522" i="1" s="1"/>
  <c r="Q522" i="1" s="1"/>
  <c r="R522" i="1" s="1"/>
  <c r="S522" i="1" s="1"/>
  <c r="T522" i="1" s="1"/>
  <c r="U522" i="1" s="1"/>
  <c r="V522" i="1" s="1"/>
  <c r="W522" i="1" s="1"/>
  <c r="X522" i="1" s="1"/>
  <c r="Y522" i="1" s="1"/>
  <c r="Z522" i="1" s="1"/>
  <c r="N522" i="1"/>
  <c r="AC522" i="1"/>
  <c r="O162" i="1"/>
  <c r="P162" i="1" s="1"/>
  <c r="Q162" i="1" s="1"/>
  <c r="R162" i="1" s="1"/>
  <c r="S162" i="1" s="1"/>
  <c r="T162" i="1" s="1"/>
  <c r="U162" i="1" s="1"/>
  <c r="V162" i="1" s="1"/>
  <c r="W162" i="1" s="1"/>
  <c r="X162" i="1" s="1"/>
  <c r="Y162" i="1" s="1"/>
  <c r="Z162" i="1" s="1"/>
  <c r="N162" i="1"/>
  <c r="AC162" i="1"/>
  <c r="AT162" i="1"/>
  <c r="N582" i="1"/>
  <c r="AC582" i="1"/>
  <c r="O582" i="1"/>
  <c r="P582" i="1" s="1"/>
  <c r="Q582" i="1" s="1"/>
  <c r="R582" i="1" s="1"/>
  <c r="S582" i="1" s="1"/>
  <c r="T582" i="1" s="1"/>
  <c r="U582" i="1" s="1"/>
  <c r="V582" i="1" s="1"/>
  <c r="W582" i="1" s="1"/>
  <c r="X582" i="1" s="1"/>
  <c r="Y582" i="1" s="1"/>
  <c r="Z582" i="1" s="1"/>
  <c r="AC571" i="1"/>
  <c r="O571" i="1"/>
  <c r="P571" i="1" s="1"/>
  <c r="Q571" i="1" s="1"/>
  <c r="R571" i="1" s="1"/>
  <c r="S571" i="1" s="1"/>
  <c r="T571" i="1" s="1"/>
  <c r="U571" i="1" s="1"/>
  <c r="V571" i="1" s="1"/>
  <c r="W571" i="1" s="1"/>
  <c r="X571" i="1" s="1"/>
  <c r="Y571" i="1" s="1"/>
  <c r="Z571" i="1" s="1"/>
  <c r="BV571" i="1" s="1"/>
  <c r="N571" i="1"/>
  <c r="D216" i="1"/>
  <c r="D236" i="1"/>
  <c r="D252" i="1"/>
  <c r="D260" i="1"/>
  <c r="D14" i="1"/>
  <c r="D26" i="1"/>
  <c r="G27" i="1"/>
  <c r="D33" i="1"/>
  <c r="D57" i="1"/>
  <c r="D65" i="1"/>
  <c r="D69" i="1"/>
  <c r="D73" i="1"/>
  <c r="D77" i="1"/>
  <c r="D93" i="1"/>
  <c r="D9" i="1"/>
  <c r="D17" i="1"/>
  <c r="D25" i="1"/>
  <c r="D4" i="1"/>
  <c r="D8" i="1"/>
  <c r="D12" i="1"/>
  <c r="D16" i="1"/>
  <c r="D22" i="1"/>
  <c r="G25" i="1"/>
  <c r="D28" i="1"/>
  <c r="D30" i="1"/>
  <c r="D32" i="1"/>
  <c r="D34" i="1"/>
  <c r="D38" i="1"/>
  <c r="D41" i="1"/>
  <c r="D48" i="1"/>
  <c r="D51" i="1"/>
  <c r="D55" i="1"/>
  <c r="D59" i="1"/>
  <c r="D63" i="1"/>
  <c r="D67" i="1"/>
  <c r="D71" i="1"/>
  <c r="D75" i="1"/>
  <c r="D79" i="1"/>
  <c r="D83" i="1"/>
  <c r="D87" i="1"/>
  <c r="D91" i="1"/>
  <c r="D95" i="1"/>
  <c r="D98" i="1"/>
  <c r="D102" i="1"/>
  <c r="D106" i="1"/>
  <c r="D110" i="1"/>
  <c r="D116" i="1"/>
  <c r="D119" i="1"/>
  <c r="D122" i="1"/>
  <c r="D126" i="1"/>
  <c r="D130" i="1"/>
  <c r="D134" i="1"/>
  <c r="D138" i="1"/>
  <c r="D142" i="1"/>
  <c r="D146" i="1"/>
  <c r="D149" i="1"/>
  <c r="D153" i="1"/>
  <c r="J154" i="1"/>
  <c r="O154" i="1" s="1"/>
  <c r="P154" i="1" s="1"/>
  <c r="Q154" i="1" s="1"/>
  <c r="R154" i="1" s="1"/>
  <c r="S154" i="1" s="1"/>
  <c r="T154" i="1" s="1"/>
  <c r="U154" i="1" s="1"/>
  <c r="V154" i="1" s="1"/>
  <c r="W154" i="1" s="1"/>
  <c r="X154" i="1" s="1"/>
  <c r="Y154" i="1" s="1"/>
  <c r="Z154" i="1" s="1"/>
  <c r="D156" i="1"/>
  <c r="D160" i="1"/>
  <c r="D163" i="1"/>
  <c r="D166" i="1"/>
  <c r="D169" i="1"/>
  <c r="D178" i="1"/>
  <c r="D181" i="1"/>
  <c r="D185" i="1"/>
  <c r="N186" i="1"/>
  <c r="O186" i="1"/>
  <c r="AT186" i="1"/>
  <c r="AC186" i="1"/>
  <c r="D189" i="1"/>
  <c r="D195" i="1"/>
  <c r="D198" i="1"/>
  <c r="D201" i="1"/>
  <c r="D205" i="1"/>
  <c r="D209" i="1"/>
  <c r="O210" i="1"/>
  <c r="AT210" i="1"/>
  <c r="N210" i="1"/>
  <c r="AC210" i="1"/>
  <c r="D213" i="1"/>
  <c r="D217" i="1"/>
  <c r="D221" i="1"/>
  <c r="D225" i="1"/>
  <c r="D229" i="1"/>
  <c r="D233" i="1"/>
  <c r="D237" i="1"/>
  <c r="D241" i="1"/>
  <c r="D245" i="1"/>
  <c r="D249" i="1"/>
  <c r="D253" i="1"/>
  <c r="D257" i="1"/>
  <c r="D261" i="1"/>
  <c r="D265" i="1"/>
  <c r="D269" i="1"/>
  <c r="D273" i="1"/>
  <c r="D277" i="1"/>
  <c r="D281" i="1"/>
  <c r="D286" i="1"/>
  <c r="D290" i="1"/>
  <c r="D293" i="1"/>
  <c r="D300" i="1"/>
  <c r="AT304" i="1"/>
  <c r="O304" i="1"/>
  <c r="AC304" i="1"/>
  <c r="N304" i="1"/>
  <c r="D306" i="1"/>
  <c r="D309" i="1"/>
  <c r="D314" i="1"/>
  <c r="D317" i="1"/>
  <c r="D320" i="1"/>
  <c r="D322" i="1"/>
  <c r="D325" i="1"/>
  <c r="D329" i="1"/>
  <c r="D333" i="1"/>
  <c r="D337" i="1"/>
  <c r="D343" i="1"/>
  <c r="D346" i="1"/>
  <c r="D349" i="1"/>
  <c r="D353" i="1"/>
  <c r="D357" i="1"/>
  <c r="D361" i="1"/>
  <c r="D365" i="1"/>
  <c r="D368" i="1"/>
  <c r="D371" i="1"/>
  <c r="D379" i="1"/>
  <c r="D382" i="1"/>
  <c r="D386" i="1"/>
  <c r="D390" i="1"/>
  <c r="D401" i="1"/>
  <c r="D404" i="1"/>
  <c r="D407" i="1"/>
  <c r="D413" i="1"/>
  <c r="D415" i="1"/>
  <c r="D418" i="1"/>
  <c r="D422" i="1"/>
  <c r="D425" i="1"/>
  <c r="D429" i="1"/>
  <c r="D433" i="1"/>
  <c r="D437" i="1"/>
  <c r="D441" i="1"/>
  <c r="D445" i="1"/>
  <c r="D449" i="1"/>
  <c r="D453" i="1"/>
  <c r="D457" i="1"/>
  <c r="D461" i="1"/>
  <c r="D465" i="1"/>
  <c r="D469" i="1"/>
  <c r="D473" i="1"/>
  <c r="D477" i="1"/>
  <c r="D481" i="1"/>
  <c r="D485" i="1"/>
  <c r="D489" i="1"/>
  <c r="D493" i="1"/>
  <c r="D497" i="1"/>
  <c r="D504" i="1"/>
  <c r="D507" i="1"/>
  <c r="D510" i="1"/>
  <c r="D514" i="1"/>
  <c r="D517" i="1"/>
  <c r="D520" i="1"/>
  <c r="D524" i="1"/>
  <c r="D528" i="1"/>
  <c r="D532" i="1"/>
  <c r="D536" i="1"/>
  <c r="D540" i="1"/>
  <c r="D544" i="1"/>
  <c r="D548" i="1"/>
  <c r="D552" i="1"/>
  <c r="D556" i="1"/>
  <c r="D560" i="1"/>
  <c r="D563" i="1"/>
  <c r="D567" i="1"/>
  <c r="D571" i="1"/>
  <c r="H574" i="1"/>
  <c r="D577" i="1"/>
  <c r="D580" i="1"/>
  <c r="D583" i="1"/>
  <c r="O409" i="1"/>
  <c r="P409" i="1" s="1"/>
  <c r="Q409" i="1" s="1"/>
  <c r="R409" i="1" s="1"/>
  <c r="S409" i="1" s="1"/>
  <c r="T409" i="1" s="1"/>
  <c r="U409" i="1" s="1"/>
  <c r="V409" i="1" s="1"/>
  <c r="W409" i="1" s="1"/>
  <c r="X409" i="1" s="1"/>
  <c r="Y409" i="1" s="1"/>
  <c r="Z409" i="1" s="1"/>
  <c r="AT409" i="1"/>
  <c r="AC409" i="1"/>
  <c r="N409" i="1"/>
  <c r="AC389" i="1"/>
  <c r="AT389" i="1"/>
  <c r="O389" i="1"/>
  <c r="N389" i="1"/>
  <c r="N320" i="1"/>
  <c r="AT320" i="1"/>
  <c r="O320" i="1"/>
  <c r="P320" i="1" s="1"/>
  <c r="Q320" i="1" s="1"/>
  <c r="R320" i="1" s="1"/>
  <c r="S320" i="1" s="1"/>
  <c r="T320" i="1" s="1"/>
  <c r="U320" i="1" s="1"/>
  <c r="V320" i="1" s="1"/>
  <c r="W320" i="1" s="1"/>
  <c r="X320" i="1" s="1"/>
  <c r="Y320" i="1" s="1"/>
  <c r="Z320" i="1" s="1"/>
  <c r="AC320" i="1"/>
  <c r="N284" i="1"/>
  <c r="AC284" i="1"/>
  <c r="AT284" i="1"/>
  <c r="O284" i="1"/>
  <c r="AC28" i="1"/>
  <c r="AT28" i="1"/>
  <c r="N28" i="1"/>
  <c r="O28" i="1"/>
  <c r="AC32" i="1"/>
  <c r="O32" i="1"/>
  <c r="P32" i="1" s="1"/>
  <c r="Q32" i="1" s="1"/>
  <c r="R32" i="1" s="1"/>
  <c r="S32" i="1" s="1"/>
  <c r="T32" i="1" s="1"/>
  <c r="U32" i="1" s="1"/>
  <c r="V32" i="1" s="1"/>
  <c r="W32" i="1" s="1"/>
  <c r="X32" i="1" s="1"/>
  <c r="Y32" i="1" s="1"/>
  <c r="Z32" i="1" s="1"/>
  <c r="BV32" i="1" s="1"/>
  <c r="N32" i="1"/>
  <c r="N546" i="1"/>
  <c r="O546" i="1"/>
  <c r="P546" i="1" s="1"/>
  <c r="Q546" i="1" s="1"/>
  <c r="R546" i="1" s="1"/>
  <c r="S546" i="1" s="1"/>
  <c r="T546" i="1" s="1"/>
  <c r="U546" i="1" s="1"/>
  <c r="V546" i="1" s="1"/>
  <c r="W546" i="1" s="1"/>
  <c r="X546" i="1" s="1"/>
  <c r="Y546" i="1" s="1"/>
  <c r="Z546" i="1" s="1"/>
  <c r="BV546" i="1" s="1"/>
  <c r="AC549" i="1"/>
  <c r="N549" i="1"/>
  <c r="O549" i="1"/>
  <c r="P549" i="1" s="1"/>
  <c r="Q549" i="1" s="1"/>
  <c r="R549" i="1" s="1"/>
  <c r="S549" i="1" s="1"/>
  <c r="T549" i="1" s="1"/>
  <c r="U549" i="1" s="1"/>
  <c r="V549" i="1" s="1"/>
  <c r="W549" i="1" s="1"/>
  <c r="X549" i="1" s="1"/>
  <c r="Y549" i="1" s="1"/>
  <c r="Z549" i="1" s="1"/>
  <c r="BV549" i="1" s="1"/>
  <c r="N537" i="1"/>
  <c r="O537" i="1"/>
  <c r="P537" i="1" s="1"/>
  <c r="Q537" i="1" s="1"/>
  <c r="R537" i="1" s="1"/>
  <c r="S537" i="1" s="1"/>
  <c r="T537" i="1" s="1"/>
  <c r="U537" i="1" s="1"/>
  <c r="V537" i="1" s="1"/>
  <c r="W537" i="1" s="1"/>
  <c r="X537" i="1" s="1"/>
  <c r="Y537" i="1" s="1"/>
  <c r="Z537" i="1" s="1"/>
  <c r="BV537" i="1" s="1"/>
  <c r="O539" i="1"/>
  <c r="P539" i="1" s="1"/>
  <c r="Q539" i="1" s="1"/>
  <c r="R539" i="1" s="1"/>
  <c r="S539" i="1" s="1"/>
  <c r="T539" i="1" s="1"/>
  <c r="U539" i="1" s="1"/>
  <c r="V539" i="1" s="1"/>
  <c r="W539" i="1" s="1"/>
  <c r="X539" i="1" s="1"/>
  <c r="Y539" i="1" s="1"/>
  <c r="Z539" i="1" s="1"/>
  <c r="BV539" i="1" s="1"/>
  <c r="N539" i="1"/>
  <c r="N526" i="1"/>
  <c r="O526" i="1"/>
  <c r="P526" i="1" s="1"/>
  <c r="Q526" i="1" s="1"/>
  <c r="R526" i="1" s="1"/>
  <c r="S526" i="1" s="1"/>
  <c r="T526" i="1" s="1"/>
  <c r="U526" i="1" s="1"/>
  <c r="V526" i="1" s="1"/>
  <c r="W526" i="1" s="1"/>
  <c r="X526" i="1" s="1"/>
  <c r="Y526" i="1" s="1"/>
  <c r="Z526" i="1" s="1"/>
  <c r="BV526" i="1" s="1"/>
  <c r="AT517" i="1"/>
  <c r="N517" i="1"/>
  <c r="AC517" i="1"/>
  <c r="O517" i="1"/>
  <c r="AC516" i="1"/>
  <c r="N516" i="1"/>
  <c r="AT516" i="1"/>
  <c r="AT197" i="1"/>
  <c r="N197" i="1"/>
  <c r="O197" i="1"/>
  <c r="AC197" i="1"/>
  <c r="N569" i="1"/>
  <c r="AC569" i="1"/>
  <c r="O569" i="1"/>
  <c r="P569" i="1" s="1"/>
  <c r="Q569" i="1" s="1"/>
  <c r="R569" i="1" s="1"/>
  <c r="S569" i="1" s="1"/>
  <c r="T569" i="1" s="1"/>
  <c r="U569" i="1" s="1"/>
  <c r="V569" i="1" s="1"/>
  <c r="W569" i="1" s="1"/>
  <c r="X569" i="1" s="1"/>
  <c r="Y569" i="1" s="1"/>
  <c r="Z569" i="1" s="1"/>
  <c r="AC532" i="1"/>
  <c r="N532" i="1"/>
  <c r="O532" i="1"/>
  <c r="AC531" i="1"/>
  <c r="O531" i="1"/>
  <c r="P531" i="1" s="1"/>
  <c r="Q531" i="1" s="1"/>
  <c r="R531" i="1" s="1"/>
  <c r="S531" i="1" s="1"/>
  <c r="T531" i="1" s="1"/>
  <c r="U531" i="1" s="1"/>
  <c r="V531" i="1" s="1"/>
  <c r="W531" i="1" s="1"/>
  <c r="X531" i="1" s="1"/>
  <c r="Y531" i="1" s="1"/>
  <c r="Z531" i="1" s="1"/>
  <c r="N531" i="1"/>
  <c r="BX574" i="1" l="1"/>
  <c r="BX697" i="1" s="1"/>
  <c r="J10" i="8" s="1"/>
  <c r="N706" i="1"/>
  <c r="H6" i="8" s="1"/>
  <c r="AC707" i="1"/>
  <c r="AC721" i="1" s="1"/>
  <c r="E7" i="8" s="1"/>
  <c r="J9" i="8"/>
  <c r="BI725" i="1"/>
  <c r="CK543" i="1"/>
  <c r="CK535" i="1"/>
  <c r="CK550" i="1"/>
  <c r="CK524" i="1"/>
  <c r="AO558" i="1"/>
  <c r="AR558" i="1" s="1"/>
  <c r="AS558" i="1" s="1"/>
  <c r="CM574" i="1"/>
  <c r="CM697" i="1" s="1"/>
  <c r="AD570" i="1"/>
  <c r="AE570" i="1" s="1"/>
  <c r="AF570" i="1" s="1"/>
  <c r="AG570" i="1" s="1"/>
  <c r="AH570" i="1" s="1"/>
  <c r="AI570" i="1" s="1"/>
  <c r="AJ570" i="1" s="1"/>
  <c r="AK570" i="1" s="1"/>
  <c r="AL570" i="1" s="1"/>
  <c r="AM570" i="1" s="1"/>
  <c r="AN570" i="1" s="1"/>
  <c r="AD529" i="1"/>
  <c r="AE529" i="1" s="1"/>
  <c r="AF529" i="1" s="1"/>
  <c r="AG529" i="1" s="1"/>
  <c r="AH529" i="1" s="1"/>
  <c r="AI529" i="1" s="1"/>
  <c r="AJ529" i="1" s="1"/>
  <c r="AK529" i="1" s="1"/>
  <c r="AL529" i="1" s="1"/>
  <c r="AM529" i="1" s="1"/>
  <c r="AN529" i="1" s="1"/>
  <c r="AD516" i="1"/>
  <c r="AE516" i="1" s="1"/>
  <c r="AF516" i="1" s="1"/>
  <c r="AG516" i="1" s="1"/>
  <c r="AH516" i="1" s="1"/>
  <c r="AI516" i="1" s="1"/>
  <c r="AJ516" i="1" s="1"/>
  <c r="AK516" i="1" s="1"/>
  <c r="AL516" i="1" s="1"/>
  <c r="AM516" i="1" s="1"/>
  <c r="AN516" i="1" s="1"/>
  <c r="AD549" i="1"/>
  <c r="AE549" i="1" s="1"/>
  <c r="AF549" i="1" s="1"/>
  <c r="AG549" i="1" s="1"/>
  <c r="AH549" i="1" s="1"/>
  <c r="AD571" i="1"/>
  <c r="AE571" i="1" s="1"/>
  <c r="AF571" i="1" s="1"/>
  <c r="AD162" i="1"/>
  <c r="AE162" i="1" s="1"/>
  <c r="AF162" i="1" s="1"/>
  <c r="AG162" i="1" s="1"/>
  <c r="AH162" i="1" s="1"/>
  <c r="AI162" i="1" s="1"/>
  <c r="AJ162" i="1" s="1"/>
  <c r="AK162" i="1" s="1"/>
  <c r="AL162" i="1" s="1"/>
  <c r="AM162" i="1" s="1"/>
  <c r="AN162" i="1" s="1"/>
  <c r="AD530" i="1"/>
  <c r="AE530" i="1" s="1"/>
  <c r="AF530" i="1" s="1"/>
  <c r="AG530" i="1" s="1"/>
  <c r="AH530" i="1" s="1"/>
  <c r="AI530" i="1" s="1"/>
  <c r="AJ530" i="1" s="1"/>
  <c r="AK530" i="1" s="1"/>
  <c r="AL530" i="1" s="1"/>
  <c r="AM530" i="1" s="1"/>
  <c r="AN530" i="1" s="1"/>
  <c r="AD312" i="1"/>
  <c r="AE312" i="1" s="1"/>
  <c r="AF312" i="1" s="1"/>
  <c r="AG312" i="1" s="1"/>
  <c r="AH312" i="1" s="1"/>
  <c r="AI312" i="1" s="1"/>
  <c r="AJ312" i="1" s="1"/>
  <c r="AK312" i="1" s="1"/>
  <c r="AL312" i="1" s="1"/>
  <c r="AM312" i="1" s="1"/>
  <c r="AN312" i="1" s="1"/>
  <c r="AD509" i="1"/>
  <c r="AE509" i="1" s="1"/>
  <c r="AF509" i="1" s="1"/>
  <c r="AG509" i="1" s="1"/>
  <c r="AH509" i="1" s="1"/>
  <c r="AI509" i="1" s="1"/>
  <c r="AJ509" i="1" s="1"/>
  <c r="AK509" i="1" s="1"/>
  <c r="AL509" i="1" s="1"/>
  <c r="AM509" i="1" s="1"/>
  <c r="AN509" i="1" s="1"/>
  <c r="CK584" i="1"/>
  <c r="AD567" i="1"/>
  <c r="AE567" i="1" s="1"/>
  <c r="AF567" i="1" s="1"/>
  <c r="AG567" i="1" s="1"/>
  <c r="AH567" i="1" s="1"/>
  <c r="AI567" i="1" s="1"/>
  <c r="AJ567" i="1" s="1"/>
  <c r="AK567" i="1" s="1"/>
  <c r="AL567" i="1" s="1"/>
  <c r="AM567" i="1" s="1"/>
  <c r="AN567" i="1" s="1"/>
  <c r="AD519" i="1"/>
  <c r="AE519" i="1" s="1"/>
  <c r="AF519" i="1" s="1"/>
  <c r="AG519" i="1" s="1"/>
  <c r="AH519" i="1" s="1"/>
  <c r="AI519" i="1" s="1"/>
  <c r="AJ519" i="1" s="1"/>
  <c r="AK519" i="1" s="1"/>
  <c r="AL519" i="1" s="1"/>
  <c r="AM519" i="1" s="1"/>
  <c r="AN519" i="1" s="1"/>
  <c r="AD569" i="1"/>
  <c r="AE569" i="1" s="1"/>
  <c r="AF569" i="1" s="1"/>
  <c r="AG569" i="1" s="1"/>
  <c r="AH569" i="1" s="1"/>
  <c r="AI569" i="1" s="1"/>
  <c r="AJ569" i="1" s="1"/>
  <c r="AK569" i="1" s="1"/>
  <c r="AL569" i="1" s="1"/>
  <c r="AM569" i="1" s="1"/>
  <c r="AN569" i="1" s="1"/>
  <c r="AD20" i="1"/>
  <c r="AE20" i="1" s="1"/>
  <c r="AF20" i="1" s="1"/>
  <c r="AG20" i="1" s="1"/>
  <c r="AH20" i="1" s="1"/>
  <c r="AI20" i="1" s="1"/>
  <c r="AJ20" i="1" s="1"/>
  <c r="AK20" i="1" s="1"/>
  <c r="AL20" i="1" s="1"/>
  <c r="AM20" i="1" s="1"/>
  <c r="AN20" i="1" s="1"/>
  <c r="AD574" i="1"/>
  <c r="AE574" i="1" s="1"/>
  <c r="AF574" i="1" s="1"/>
  <c r="AG574" i="1" s="1"/>
  <c r="AH574" i="1" s="1"/>
  <c r="AI574" i="1" s="1"/>
  <c r="AJ574" i="1" s="1"/>
  <c r="AK574" i="1" s="1"/>
  <c r="AL574" i="1" s="1"/>
  <c r="AM574" i="1" s="1"/>
  <c r="AN574" i="1" s="1"/>
  <c r="AD320" i="1"/>
  <c r="AE320" i="1" s="1"/>
  <c r="AF320" i="1" s="1"/>
  <c r="AG320" i="1" s="1"/>
  <c r="AH320" i="1" s="1"/>
  <c r="AI320" i="1" s="1"/>
  <c r="AJ320" i="1" s="1"/>
  <c r="AK320" i="1" s="1"/>
  <c r="AL320" i="1" s="1"/>
  <c r="AM320" i="1" s="1"/>
  <c r="AN320" i="1" s="1"/>
  <c r="AD582" i="1"/>
  <c r="AE582" i="1" s="1"/>
  <c r="AF582" i="1" s="1"/>
  <c r="AG582" i="1" s="1"/>
  <c r="AH582" i="1" s="1"/>
  <c r="AI582" i="1" s="1"/>
  <c r="AJ582" i="1" s="1"/>
  <c r="AK582" i="1" s="1"/>
  <c r="AL582" i="1" s="1"/>
  <c r="AM582" i="1" s="1"/>
  <c r="AN582" i="1" s="1"/>
  <c r="AD573" i="1"/>
  <c r="AE573" i="1" s="1"/>
  <c r="AF573" i="1" s="1"/>
  <c r="AG573" i="1" s="1"/>
  <c r="AH573" i="1" s="1"/>
  <c r="AI573" i="1" s="1"/>
  <c r="AJ573" i="1" s="1"/>
  <c r="AK573" i="1" s="1"/>
  <c r="AL573" i="1" s="1"/>
  <c r="AM573" i="1" s="1"/>
  <c r="AN573" i="1" s="1"/>
  <c r="AO573" i="1" s="1"/>
  <c r="AD161" i="1"/>
  <c r="AE161" i="1" s="1"/>
  <c r="AF161" i="1" s="1"/>
  <c r="AG161" i="1" s="1"/>
  <c r="AH161" i="1" s="1"/>
  <c r="AI161" i="1" s="1"/>
  <c r="AJ161" i="1" s="1"/>
  <c r="AK161" i="1" s="1"/>
  <c r="AL161" i="1" s="1"/>
  <c r="AM161" i="1" s="1"/>
  <c r="AN161" i="1" s="1"/>
  <c r="AD163" i="1"/>
  <c r="AE163" i="1" s="1"/>
  <c r="AF163" i="1" s="1"/>
  <c r="AG163" i="1" s="1"/>
  <c r="AH163" i="1" s="1"/>
  <c r="AI163" i="1" s="1"/>
  <c r="AJ163" i="1" s="1"/>
  <c r="AK163" i="1" s="1"/>
  <c r="AL163" i="1" s="1"/>
  <c r="AM163" i="1" s="1"/>
  <c r="AN163" i="1" s="1"/>
  <c r="AD409" i="1"/>
  <c r="AE409" i="1" s="1"/>
  <c r="AF409" i="1" s="1"/>
  <c r="AG409" i="1" s="1"/>
  <c r="AH409" i="1" s="1"/>
  <c r="AI409" i="1" s="1"/>
  <c r="AJ409" i="1" s="1"/>
  <c r="AK409" i="1" s="1"/>
  <c r="AL409" i="1" s="1"/>
  <c r="AM409" i="1" s="1"/>
  <c r="AN409" i="1" s="1"/>
  <c r="AD164" i="1"/>
  <c r="AE164" i="1" s="1"/>
  <c r="AF164" i="1" s="1"/>
  <c r="AG164" i="1" s="1"/>
  <c r="AH164" i="1" s="1"/>
  <c r="AI164" i="1" s="1"/>
  <c r="AJ164" i="1" s="1"/>
  <c r="AK164" i="1" s="1"/>
  <c r="AL164" i="1" s="1"/>
  <c r="AM164" i="1" s="1"/>
  <c r="AN164" i="1" s="1"/>
  <c r="AD314" i="1"/>
  <c r="AE314" i="1" s="1"/>
  <c r="AF314" i="1" s="1"/>
  <c r="AG314" i="1" s="1"/>
  <c r="AH314" i="1" s="1"/>
  <c r="AI314" i="1" s="1"/>
  <c r="AJ314" i="1" s="1"/>
  <c r="AK314" i="1" s="1"/>
  <c r="AL314" i="1" s="1"/>
  <c r="AM314" i="1" s="1"/>
  <c r="AN314" i="1" s="1"/>
  <c r="AD583" i="1"/>
  <c r="AE583" i="1" s="1"/>
  <c r="AF583" i="1" s="1"/>
  <c r="AG583" i="1" s="1"/>
  <c r="AH583" i="1" s="1"/>
  <c r="AI583" i="1" s="1"/>
  <c r="AJ583" i="1" s="1"/>
  <c r="AK583" i="1" s="1"/>
  <c r="AL583" i="1" s="1"/>
  <c r="AM583" i="1" s="1"/>
  <c r="AN583" i="1" s="1"/>
  <c r="AD522" i="1"/>
  <c r="AE522" i="1" s="1"/>
  <c r="AF522" i="1" s="1"/>
  <c r="AG522" i="1" s="1"/>
  <c r="AH522" i="1" s="1"/>
  <c r="AI522" i="1" s="1"/>
  <c r="AJ522" i="1" s="1"/>
  <c r="AK522" i="1" s="1"/>
  <c r="AL522" i="1" s="1"/>
  <c r="AM522" i="1" s="1"/>
  <c r="AN522" i="1" s="1"/>
  <c r="AD33" i="1"/>
  <c r="AE33" i="1" s="1"/>
  <c r="AF33" i="1" s="1"/>
  <c r="AG33" i="1" s="1"/>
  <c r="AH33" i="1" s="1"/>
  <c r="AI33" i="1" s="1"/>
  <c r="AD581" i="1"/>
  <c r="AE581" i="1" s="1"/>
  <c r="AF581" i="1" s="1"/>
  <c r="AG581" i="1" s="1"/>
  <c r="AH581" i="1" s="1"/>
  <c r="AI581" i="1" s="1"/>
  <c r="AJ581" i="1" s="1"/>
  <c r="AK581" i="1" s="1"/>
  <c r="AL581" i="1" s="1"/>
  <c r="AM581" i="1" s="1"/>
  <c r="AN581" i="1" s="1"/>
  <c r="AD518" i="1"/>
  <c r="AE518" i="1" s="1"/>
  <c r="AF518" i="1" s="1"/>
  <c r="AG518" i="1" s="1"/>
  <c r="AH518" i="1" s="1"/>
  <c r="AI518" i="1" s="1"/>
  <c r="AJ518" i="1" s="1"/>
  <c r="AK518" i="1" s="1"/>
  <c r="AL518" i="1" s="1"/>
  <c r="AM518" i="1" s="1"/>
  <c r="AN518" i="1" s="1"/>
  <c r="AD566" i="1"/>
  <c r="AE566" i="1" s="1"/>
  <c r="AF566" i="1" s="1"/>
  <c r="AG566" i="1" s="1"/>
  <c r="AH566" i="1" s="1"/>
  <c r="AI566" i="1" s="1"/>
  <c r="AJ566" i="1" s="1"/>
  <c r="AK566" i="1" s="1"/>
  <c r="AL566" i="1" s="1"/>
  <c r="AM566" i="1" s="1"/>
  <c r="AN566" i="1" s="1"/>
  <c r="AD507" i="1"/>
  <c r="AE507" i="1" s="1"/>
  <c r="AF507" i="1" s="1"/>
  <c r="AG507" i="1" s="1"/>
  <c r="AH507" i="1" s="1"/>
  <c r="AI507" i="1" s="1"/>
  <c r="AJ507" i="1" s="1"/>
  <c r="AK507" i="1" s="1"/>
  <c r="AL507" i="1" s="1"/>
  <c r="AM507" i="1" s="1"/>
  <c r="AN507" i="1" s="1"/>
  <c r="AD100" i="1"/>
  <c r="AE100" i="1" s="1"/>
  <c r="AF100" i="1" s="1"/>
  <c r="AG100" i="1" s="1"/>
  <c r="AH100" i="1" s="1"/>
  <c r="AI100" i="1" s="1"/>
  <c r="AJ100" i="1" s="1"/>
  <c r="AK100" i="1" s="1"/>
  <c r="AL100" i="1" s="1"/>
  <c r="AM100" i="1" s="1"/>
  <c r="AN100" i="1" s="1"/>
  <c r="AD523" i="1"/>
  <c r="AE523" i="1" s="1"/>
  <c r="AF523" i="1" s="1"/>
  <c r="AG523" i="1" s="1"/>
  <c r="AH523" i="1" s="1"/>
  <c r="AI523" i="1" s="1"/>
  <c r="AJ523" i="1" s="1"/>
  <c r="AK523" i="1" s="1"/>
  <c r="AL523" i="1" s="1"/>
  <c r="AM523" i="1" s="1"/>
  <c r="AN523" i="1" s="1"/>
  <c r="AD154" i="1"/>
  <c r="AE154" i="1" s="1"/>
  <c r="AF154" i="1" s="1"/>
  <c r="AG154" i="1" s="1"/>
  <c r="AH154" i="1" s="1"/>
  <c r="AI154" i="1" s="1"/>
  <c r="AJ154" i="1" s="1"/>
  <c r="AK154" i="1" s="1"/>
  <c r="AL154" i="1" s="1"/>
  <c r="AM154" i="1" s="1"/>
  <c r="AN154" i="1" s="1"/>
  <c r="AD40" i="1"/>
  <c r="AE40" i="1" s="1"/>
  <c r="AF40" i="1" s="1"/>
  <c r="AG40" i="1" s="1"/>
  <c r="AH40" i="1" s="1"/>
  <c r="AI40" i="1" s="1"/>
  <c r="AJ40" i="1" s="1"/>
  <c r="AK40" i="1" s="1"/>
  <c r="AL40" i="1" s="1"/>
  <c r="AM40" i="1" s="1"/>
  <c r="AN40" i="1" s="1"/>
  <c r="AD560" i="1"/>
  <c r="AE560" i="1" s="1"/>
  <c r="AF560" i="1" s="1"/>
  <c r="AG560" i="1" s="1"/>
  <c r="AH560" i="1" s="1"/>
  <c r="AI560" i="1" s="1"/>
  <c r="AJ560" i="1" s="1"/>
  <c r="AK560" i="1" s="1"/>
  <c r="AL560" i="1" s="1"/>
  <c r="AM560" i="1" s="1"/>
  <c r="AN560" i="1" s="1"/>
  <c r="AD287" i="1"/>
  <c r="AE287" i="1" s="1"/>
  <c r="AF287" i="1" s="1"/>
  <c r="AG287" i="1" s="1"/>
  <c r="AH287" i="1" s="1"/>
  <c r="AI287" i="1" s="1"/>
  <c r="AJ287" i="1" s="1"/>
  <c r="AK287" i="1" s="1"/>
  <c r="AL287" i="1" s="1"/>
  <c r="AM287" i="1" s="1"/>
  <c r="AN287" i="1" s="1"/>
  <c r="AD97" i="1"/>
  <c r="AE97" i="1" s="1"/>
  <c r="AF97" i="1" s="1"/>
  <c r="AG97" i="1" s="1"/>
  <c r="AH97" i="1" s="1"/>
  <c r="AI97" i="1" s="1"/>
  <c r="AJ97" i="1" s="1"/>
  <c r="AK97" i="1" s="1"/>
  <c r="AL97" i="1" s="1"/>
  <c r="AM97" i="1" s="1"/>
  <c r="AN97" i="1" s="1"/>
  <c r="AD394" i="1"/>
  <c r="AE394" i="1" s="1"/>
  <c r="AF394" i="1" s="1"/>
  <c r="AG394" i="1" s="1"/>
  <c r="AH394" i="1" s="1"/>
  <c r="AI394" i="1" s="1"/>
  <c r="AJ394" i="1" s="1"/>
  <c r="AK394" i="1" s="1"/>
  <c r="AL394" i="1" s="1"/>
  <c r="AM394" i="1" s="1"/>
  <c r="AN394" i="1" s="1"/>
  <c r="AD551" i="1"/>
  <c r="AE551" i="1" s="1"/>
  <c r="AF551" i="1" s="1"/>
  <c r="AG551" i="1" s="1"/>
  <c r="AH551" i="1" s="1"/>
  <c r="AD531" i="1"/>
  <c r="AE531" i="1" s="1"/>
  <c r="AF531" i="1" s="1"/>
  <c r="AG531" i="1" s="1"/>
  <c r="AH531" i="1" s="1"/>
  <c r="AI531" i="1" s="1"/>
  <c r="AJ531" i="1" s="1"/>
  <c r="AK531" i="1" s="1"/>
  <c r="AL531" i="1" s="1"/>
  <c r="AM531" i="1" s="1"/>
  <c r="AN531" i="1" s="1"/>
  <c r="AD32" i="1"/>
  <c r="AE32" i="1" s="1"/>
  <c r="AF32" i="1" s="1"/>
  <c r="AG32" i="1" s="1"/>
  <c r="AH32" i="1" s="1"/>
  <c r="AI32" i="1" s="1"/>
  <c r="AJ32" i="1" s="1"/>
  <c r="AK32" i="1" s="1"/>
  <c r="AL32" i="1" s="1"/>
  <c r="AD30" i="1"/>
  <c r="AE30" i="1" s="1"/>
  <c r="AF30" i="1" s="1"/>
  <c r="AG30" i="1" s="1"/>
  <c r="AH30" i="1" s="1"/>
  <c r="AI30" i="1" s="1"/>
  <c r="AJ30" i="1" s="1"/>
  <c r="AK30" i="1" s="1"/>
  <c r="AL30" i="1" s="1"/>
  <c r="AM30" i="1" s="1"/>
  <c r="AN30" i="1" s="1"/>
  <c r="AD19" i="1"/>
  <c r="AE19" i="1" s="1"/>
  <c r="AF19" i="1" s="1"/>
  <c r="AG19" i="1" s="1"/>
  <c r="AH19" i="1" s="1"/>
  <c r="AI19" i="1" s="1"/>
  <c r="AJ19" i="1" s="1"/>
  <c r="AK19" i="1" s="1"/>
  <c r="AL19" i="1" s="1"/>
  <c r="AM19" i="1" s="1"/>
  <c r="AN19" i="1" s="1"/>
  <c r="AD559" i="1"/>
  <c r="AE559" i="1" s="1"/>
  <c r="AF559" i="1" s="1"/>
  <c r="AG559" i="1" s="1"/>
  <c r="AH559" i="1" s="1"/>
  <c r="AI559" i="1" s="1"/>
  <c r="AJ559" i="1" s="1"/>
  <c r="AK559" i="1" s="1"/>
  <c r="AL559" i="1" s="1"/>
  <c r="AM559" i="1" s="1"/>
  <c r="AN559" i="1" s="1"/>
  <c r="AD31" i="1"/>
  <c r="AE31" i="1" s="1"/>
  <c r="AF31" i="1" s="1"/>
  <c r="AG31" i="1" s="1"/>
  <c r="AH31" i="1" s="1"/>
  <c r="AI31" i="1" s="1"/>
  <c r="AJ31" i="1" s="1"/>
  <c r="AK31" i="1" s="1"/>
  <c r="AL31" i="1" s="1"/>
  <c r="AM31" i="1" s="1"/>
  <c r="AN31" i="1" s="1"/>
  <c r="AT466" i="1"/>
  <c r="N466" i="1"/>
  <c r="AC466" i="1"/>
  <c r="O466" i="1"/>
  <c r="P466" i="1" s="1"/>
  <c r="Q466" i="1" s="1"/>
  <c r="R466" i="1" s="1"/>
  <c r="S466" i="1" s="1"/>
  <c r="T466" i="1" s="1"/>
  <c r="U466" i="1" s="1"/>
  <c r="V466" i="1" s="1"/>
  <c r="W466" i="1" s="1"/>
  <c r="X466" i="1" s="1"/>
  <c r="Y466" i="1" s="1"/>
  <c r="Z466" i="1" s="1"/>
  <c r="BH211" i="4"/>
  <c r="BH212" i="4"/>
  <c r="BH216" i="4"/>
  <c r="BH214" i="4"/>
  <c r="BH209" i="4"/>
  <c r="BH217" i="4"/>
  <c r="BH208" i="4"/>
  <c r="BH210" i="4"/>
  <c r="BH213" i="4"/>
  <c r="BH215" i="4"/>
  <c r="AC96" i="1"/>
  <c r="O96" i="1"/>
  <c r="P96" i="1" s="1"/>
  <c r="Q96" i="1" s="1"/>
  <c r="R96" i="1" s="1"/>
  <c r="S96" i="1" s="1"/>
  <c r="T96" i="1" s="1"/>
  <c r="U96" i="1" s="1"/>
  <c r="V96" i="1" s="1"/>
  <c r="W96" i="1" s="1"/>
  <c r="X96" i="1" s="1"/>
  <c r="Y96" i="1" s="1"/>
  <c r="Z96" i="1" s="1"/>
  <c r="AT96" i="1"/>
  <c r="N96" i="1"/>
  <c r="N124" i="1"/>
  <c r="AC124" i="1"/>
  <c r="O124" i="1"/>
  <c r="P124" i="1" s="1"/>
  <c r="Q124" i="1" s="1"/>
  <c r="R124" i="1" s="1"/>
  <c r="S124" i="1" s="1"/>
  <c r="T124" i="1" s="1"/>
  <c r="U124" i="1" s="1"/>
  <c r="V124" i="1" s="1"/>
  <c r="W124" i="1" s="1"/>
  <c r="X124" i="1" s="1"/>
  <c r="Y124" i="1" s="1"/>
  <c r="Z124" i="1" s="1"/>
  <c r="AT124" i="1"/>
  <c r="N132" i="1"/>
  <c r="AC132" i="1"/>
  <c r="AT132" i="1"/>
  <c r="O132" i="1"/>
  <c r="P132" i="1" s="1"/>
  <c r="Q132" i="1" s="1"/>
  <c r="R132" i="1" s="1"/>
  <c r="S132" i="1" s="1"/>
  <c r="T132" i="1" s="1"/>
  <c r="U132" i="1" s="1"/>
  <c r="V132" i="1" s="1"/>
  <c r="W132" i="1" s="1"/>
  <c r="X132" i="1" s="1"/>
  <c r="Y132" i="1" s="1"/>
  <c r="Z132" i="1" s="1"/>
  <c r="O140" i="1"/>
  <c r="P140" i="1" s="1"/>
  <c r="Q140" i="1" s="1"/>
  <c r="R140" i="1" s="1"/>
  <c r="S140" i="1" s="1"/>
  <c r="T140" i="1" s="1"/>
  <c r="U140" i="1" s="1"/>
  <c r="V140" i="1" s="1"/>
  <c r="W140" i="1" s="1"/>
  <c r="X140" i="1" s="1"/>
  <c r="Y140" i="1" s="1"/>
  <c r="Z140" i="1" s="1"/>
  <c r="AC140" i="1"/>
  <c r="AT140" i="1"/>
  <c r="N140" i="1"/>
  <c r="O12" i="1"/>
  <c r="N12" i="1"/>
  <c r="AT12" i="1"/>
  <c r="AC12" i="1"/>
  <c r="AT92" i="1"/>
  <c r="N92" i="1"/>
  <c r="O92" i="1"/>
  <c r="AC92" i="1"/>
  <c r="AT513" i="1"/>
  <c r="N513" i="1"/>
  <c r="O513" i="1"/>
  <c r="AC513" i="1"/>
  <c r="O91" i="1"/>
  <c r="AC91" i="1"/>
  <c r="N91" i="1"/>
  <c r="AT91" i="1"/>
  <c r="AT306" i="1"/>
  <c r="AC306" i="1"/>
  <c r="N306" i="1"/>
  <c r="O306" i="1"/>
  <c r="AT170" i="1"/>
  <c r="AC170" i="1"/>
  <c r="N170" i="1"/>
  <c r="O170" i="1"/>
  <c r="AT178" i="1"/>
  <c r="AC178" i="1"/>
  <c r="O178" i="1"/>
  <c r="N178" i="1"/>
  <c r="O189" i="1"/>
  <c r="N189" i="1"/>
  <c r="AC189" i="1"/>
  <c r="AT189" i="1"/>
  <c r="AC209" i="1"/>
  <c r="N209" i="1"/>
  <c r="AT209" i="1"/>
  <c r="O209" i="1"/>
  <c r="AT220" i="1"/>
  <c r="AC220" i="1"/>
  <c r="N220" i="1"/>
  <c r="O220" i="1"/>
  <c r="P220" i="1" s="1"/>
  <c r="Q220" i="1" s="1"/>
  <c r="R220" i="1" s="1"/>
  <c r="S220" i="1" s="1"/>
  <c r="T220" i="1" s="1"/>
  <c r="U220" i="1" s="1"/>
  <c r="V220" i="1" s="1"/>
  <c r="W220" i="1" s="1"/>
  <c r="X220" i="1" s="1"/>
  <c r="Y220" i="1" s="1"/>
  <c r="Z220" i="1" s="1"/>
  <c r="N244" i="1"/>
  <c r="O244" i="1"/>
  <c r="P244" i="1" s="1"/>
  <c r="Q244" i="1" s="1"/>
  <c r="R244" i="1" s="1"/>
  <c r="S244" i="1" s="1"/>
  <c r="T244" i="1" s="1"/>
  <c r="U244" i="1" s="1"/>
  <c r="V244" i="1" s="1"/>
  <c r="W244" i="1" s="1"/>
  <c r="X244" i="1" s="1"/>
  <c r="Y244" i="1" s="1"/>
  <c r="Z244" i="1" s="1"/>
  <c r="BV244" i="1" s="1"/>
  <c r="O252" i="1"/>
  <c r="P252" i="1" s="1"/>
  <c r="Q252" i="1" s="1"/>
  <c r="R252" i="1" s="1"/>
  <c r="S252" i="1" s="1"/>
  <c r="T252" i="1" s="1"/>
  <c r="U252" i="1" s="1"/>
  <c r="V252" i="1" s="1"/>
  <c r="W252" i="1" s="1"/>
  <c r="X252" i="1" s="1"/>
  <c r="Y252" i="1" s="1"/>
  <c r="Z252" i="1" s="1"/>
  <c r="AT252" i="1"/>
  <c r="AC252" i="1"/>
  <c r="N252" i="1"/>
  <c r="N260" i="1"/>
  <c r="AC260" i="1"/>
  <c r="AT260" i="1"/>
  <c r="O260" i="1"/>
  <c r="AT280" i="1"/>
  <c r="AC280" i="1"/>
  <c r="O280" i="1"/>
  <c r="N280" i="1"/>
  <c r="O301" i="1"/>
  <c r="N301" i="1"/>
  <c r="AT311" i="1"/>
  <c r="O311" i="1"/>
  <c r="P311" i="1" s="1"/>
  <c r="Q311" i="1" s="1"/>
  <c r="R311" i="1" s="1"/>
  <c r="S311" i="1" s="1"/>
  <c r="T311" i="1" s="1"/>
  <c r="U311" i="1" s="1"/>
  <c r="V311" i="1" s="1"/>
  <c r="W311" i="1" s="1"/>
  <c r="X311" i="1" s="1"/>
  <c r="Y311" i="1" s="1"/>
  <c r="Z311" i="1" s="1"/>
  <c r="N311" i="1"/>
  <c r="AC311" i="1"/>
  <c r="AT324" i="1"/>
  <c r="N324" i="1"/>
  <c r="AC324" i="1"/>
  <c r="O324" i="1"/>
  <c r="P324" i="1" s="1"/>
  <c r="Q324" i="1" s="1"/>
  <c r="R324" i="1" s="1"/>
  <c r="S324" i="1" s="1"/>
  <c r="T324" i="1" s="1"/>
  <c r="U324" i="1" s="1"/>
  <c r="V324" i="1" s="1"/>
  <c r="W324" i="1" s="1"/>
  <c r="X324" i="1" s="1"/>
  <c r="Y324" i="1" s="1"/>
  <c r="Z324" i="1" s="1"/>
  <c r="AC345" i="1"/>
  <c r="O345" i="1"/>
  <c r="P345" i="1" s="1"/>
  <c r="Q345" i="1" s="1"/>
  <c r="R345" i="1" s="1"/>
  <c r="S345" i="1" s="1"/>
  <c r="T345" i="1" s="1"/>
  <c r="U345" i="1" s="1"/>
  <c r="V345" i="1" s="1"/>
  <c r="W345" i="1" s="1"/>
  <c r="X345" i="1" s="1"/>
  <c r="Y345" i="1" s="1"/>
  <c r="Z345" i="1" s="1"/>
  <c r="BV345" i="1" s="1"/>
  <c r="N345" i="1"/>
  <c r="AC353" i="1"/>
  <c r="N353" i="1"/>
  <c r="O353" i="1"/>
  <c r="N363" i="1"/>
  <c r="AT363" i="1"/>
  <c r="O363" i="1"/>
  <c r="AC363" i="1"/>
  <c r="O373" i="1"/>
  <c r="AC373" i="1"/>
  <c r="N373" i="1"/>
  <c r="AT373" i="1"/>
  <c r="N385" i="1"/>
  <c r="AC385" i="1"/>
  <c r="AT385" i="1"/>
  <c r="O385" i="1"/>
  <c r="AC397" i="1"/>
  <c r="AT397" i="1"/>
  <c r="O397" i="1"/>
  <c r="P397" i="1" s="1"/>
  <c r="Q397" i="1" s="1"/>
  <c r="R397" i="1" s="1"/>
  <c r="S397" i="1" s="1"/>
  <c r="T397" i="1" s="1"/>
  <c r="U397" i="1" s="1"/>
  <c r="V397" i="1" s="1"/>
  <c r="W397" i="1" s="1"/>
  <c r="X397" i="1" s="1"/>
  <c r="Y397" i="1" s="1"/>
  <c r="Z397" i="1" s="1"/>
  <c r="N397" i="1"/>
  <c r="AC405" i="1"/>
  <c r="N405" i="1"/>
  <c r="AT405" i="1"/>
  <c r="O405" i="1"/>
  <c r="AC425" i="1"/>
  <c r="N425" i="1"/>
  <c r="O425" i="1"/>
  <c r="N434" i="1"/>
  <c r="AT434" i="1"/>
  <c r="AC434" i="1"/>
  <c r="O434" i="1"/>
  <c r="P434" i="1" s="1"/>
  <c r="Q434" i="1" s="1"/>
  <c r="R434" i="1" s="1"/>
  <c r="S434" i="1" s="1"/>
  <c r="T434" i="1" s="1"/>
  <c r="U434" i="1" s="1"/>
  <c r="V434" i="1" s="1"/>
  <c r="W434" i="1" s="1"/>
  <c r="X434" i="1" s="1"/>
  <c r="Y434" i="1" s="1"/>
  <c r="Z434" i="1" s="1"/>
  <c r="O442" i="1"/>
  <c r="P442" i="1" s="1"/>
  <c r="Q442" i="1" s="1"/>
  <c r="R442" i="1" s="1"/>
  <c r="S442" i="1" s="1"/>
  <c r="T442" i="1" s="1"/>
  <c r="U442" i="1" s="1"/>
  <c r="V442" i="1" s="1"/>
  <c r="W442" i="1" s="1"/>
  <c r="X442" i="1" s="1"/>
  <c r="Y442" i="1" s="1"/>
  <c r="Z442" i="1" s="1"/>
  <c r="AT442" i="1"/>
  <c r="AC442" i="1"/>
  <c r="N442" i="1"/>
  <c r="N450" i="1"/>
  <c r="AC450" i="1"/>
  <c r="AT450" i="1"/>
  <c r="O450" i="1"/>
  <c r="P450" i="1" s="1"/>
  <c r="Q450" i="1" s="1"/>
  <c r="R450" i="1" s="1"/>
  <c r="S450" i="1" s="1"/>
  <c r="T450" i="1" s="1"/>
  <c r="U450" i="1" s="1"/>
  <c r="V450" i="1" s="1"/>
  <c r="W450" i="1" s="1"/>
  <c r="X450" i="1" s="1"/>
  <c r="Y450" i="1" s="1"/>
  <c r="Z450" i="1" s="1"/>
  <c r="AT458" i="1"/>
  <c r="N458" i="1"/>
  <c r="O458" i="1"/>
  <c r="P458" i="1" s="1"/>
  <c r="Q458" i="1" s="1"/>
  <c r="R458" i="1" s="1"/>
  <c r="S458" i="1" s="1"/>
  <c r="T458" i="1" s="1"/>
  <c r="U458" i="1" s="1"/>
  <c r="V458" i="1" s="1"/>
  <c r="W458" i="1" s="1"/>
  <c r="X458" i="1" s="1"/>
  <c r="Y458" i="1" s="1"/>
  <c r="Z458" i="1" s="1"/>
  <c r="AC458" i="1"/>
  <c r="N467" i="1"/>
  <c r="AT467" i="1"/>
  <c r="AC467" i="1"/>
  <c r="O467" i="1"/>
  <c r="AT472" i="1"/>
  <c r="AC472" i="1"/>
  <c r="N472" i="1"/>
  <c r="O472" i="1"/>
  <c r="N483" i="1"/>
  <c r="AC483" i="1"/>
  <c r="O483" i="1"/>
  <c r="P483" i="1" s="1"/>
  <c r="Q483" i="1" s="1"/>
  <c r="R483" i="1" s="1"/>
  <c r="S483" i="1" s="1"/>
  <c r="T483" i="1" s="1"/>
  <c r="U483" i="1" s="1"/>
  <c r="V483" i="1" s="1"/>
  <c r="W483" i="1" s="1"/>
  <c r="X483" i="1" s="1"/>
  <c r="Y483" i="1" s="1"/>
  <c r="Z483" i="1" s="1"/>
  <c r="AT483" i="1"/>
  <c r="N495" i="1"/>
  <c r="O495" i="1"/>
  <c r="P495" i="1" s="1"/>
  <c r="Q495" i="1" s="1"/>
  <c r="R495" i="1" s="1"/>
  <c r="S495" i="1" s="1"/>
  <c r="T495" i="1" s="1"/>
  <c r="U495" i="1" s="1"/>
  <c r="V495" i="1" s="1"/>
  <c r="W495" i="1" s="1"/>
  <c r="X495" i="1" s="1"/>
  <c r="Y495" i="1" s="1"/>
  <c r="Z495" i="1" s="1"/>
  <c r="BV495" i="1" s="1"/>
  <c r="AC495" i="1"/>
  <c r="O8" i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N8" i="1"/>
  <c r="AT8" i="1"/>
  <c r="AC8" i="1"/>
  <c r="AT51" i="1"/>
  <c r="N51" i="1"/>
  <c r="O51" i="1"/>
  <c r="P51" i="1" s="1"/>
  <c r="Q51" i="1" s="1"/>
  <c r="R51" i="1" s="1"/>
  <c r="S51" i="1" s="1"/>
  <c r="T51" i="1" s="1"/>
  <c r="U51" i="1" s="1"/>
  <c r="V51" i="1" s="1"/>
  <c r="W51" i="1" s="1"/>
  <c r="X51" i="1" s="1"/>
  <c r="Y51" i="1" s="1"/>
  <c r="Z51" i="1" s="1"/>
  <c r="AC51" i="1"/>
  <c r="AC89" i="1"/>
  <c r="AT89" i="1"/>
  <c r="N89" i="1"/>
  <c r="O89" i="1"/>
  <c r="P89" i="1" s="1"/>
  <c r="Q89" i="1" s="1"/>
  <c r="R89" i="1" s="1"/>
  <c r="S89" i="1" s="1"/>
  <c r="T89" i="1" s="1"/>
  <c r="U89" i="1" s="1"/>
  <c r="V89" i="1" s="1"/>
  <c r="W89" i="1" s="1"/>
  <c r="X89" i="1" s="1"/>
  <c r="Y89" i="1" s="1"/>
  <c r="Z89" i="1" s="1"/>
  <c r="O115" i="1"/>
  <c r="P115" i="1" s="1"/>
  <c r="Q115" i="1" s="1"/>
  <c r="R115" i="1" s="1"/>
  <c r="S115" i="1" s="1"/>
  <c r="T115" i="1" s="1"/>
  <c r="U115" i="1" s="1"/>
  <c r="V115" i="1" s="1"/>
  <c r="W115" i="1" s="1"/>
  <c r="X115" i="1" s="1"/>
  <c r="Y115" i="1" s="1"/>
  <c r="Z115" i="1" s="1"/>
  <c r="BV115" i="1" s="1"/>
  <c r="N115" i="1"/>
  <c r="AC115" i="1"/>
  <c r="O78" i="1"/>
  <c r="AC78" i="1"/>
  <c r="AT78" i="1"/>
  <c r="N78" i="1"/>
  <c r="AC125" i="1"/>
  <c r="O125" i="1"/>
  <c r="P125" i="1" s="1"/>
  <c r="Q125" i="1" s="1"/>
  <c r="R125" i="1" s="1"/>
  <c r="S125" i="1" s="1"/>
  <c r="T125" i="1" s="1"/>
  <c r="U125" i="1" s="1"/>
  <c r="V125" i="1" s="1"/>
  <c r="W125" i="1" s="1"/>
  <c r="X125" i="1" s="1"/>
  <c r="Y125" i="1" s="1"/>
  <c r="Z125" i="1" s="1"/>
  <c r="AT125" i="1"/>
  <c r="N125" i="1"/>
  <c r="AC133" i="1"/>
  <c r="O133" i="1"/>
  <c r="P133" i="1" s="1"/>
  <c r="Q133" i="1" s="1"/>
  <c r="R133" i="1" s="1"/>
  <c r="S133" i="1" s="1"/>
  <c r="T133" i="1" s="1"/>
  <c r="U133" i="1" s="1"/>
  <c r="V133" i="1" s="1"/>
  <c r="W133" i="1" s="1"/>
  <c r="X133" i="1" s="1"/>
  <c r="Y133" i="1" s="1"/>
  <c r="Z133" i="1" s="1"/>
  <c r="AT133" i="1"/>
  <c r="N133" i="1"/>
  <c r="AC141" i="1"/>
  <c r="AT141" i="1"/>
  <c r="N141" i="1"/>
  <c r="O141" i="1"/>
  <c r="P141" i="1" s="1"/>
  <c r="Q141" i="1" s="1"/>
  <c r="R141" i="1" s="1"/>
  <c r="S141" i="1" s="1"/>
  <c r="T141" i="1" s="1"/>
  <c r="U141" i="1" s="1"/>
  <c r="V141" i="1" s="1"/>
  <c r="W141" i="1" s="1"/>
  <c r="X141" i="1" s="1"/>
  <c r="Y141" i="1" s="1"/>
  <c r="Z141" i="1" s="1"/>
  <c r="AC64" i="1"/>
  <c r="AT64" i="1"/>
  <c r="O64" i="1"/>
  <c r="N64" i="1"/>
  <c r="AT95" i="1"/>
  <c r="AC95" i="1"/>
  <c r="N95" i="1"/>
  <c r="O95" i="1"/>
  <c r="AC98" i="1"/>
  <c r="N98" i="1"/>
  <c r="AT98" i="1"/>
  <c r="O98" i="1"/>
  <c r="P98" i="1" s="1"/>
  <c r="Q98" i="1" s="1"/>
  <c r="R98" i="1" s="1"/>
  <c r="S98" i="1" s="1"/>
  <c r="T98" i="1" s="1"/>
  <c r="U98" i="1" s="1"/>
  <c r="V98" i="1" s="1"/>
  <c r="W98" i="1" s="1"/>
  <c r="X98" i="1" s="1"/>
  <c r="Y98" i="1" s="1"/>
  <c r="Z98" i="1" s="1"/>
  <c r="AC155" i="1"/>
  <c r="N155" i="1"/>
  <c r="O155" i="1"/>
  <c r="AT155" i="1"/>
  <c r="AT173" i="1"/>
  <c r="O173" i="1"/>
  <c r="AC173" i="1"/>
  <c r="N173" i="1"/>
  <c r="N182" i="1"/>
  <c r="O182" i="1"/>
  <c r="AT182" i="1"/>
  <c r="AC182" i="1"/>
  <c r="N216" i="1"/>
  <c r="AT216" i="1"/>
  <c r="AC216" i="1"/>
  <c r="O216" i="1"/>
  <c r="N241" i="1"/>
  <c r="O241" i="1"/>
  <c r="P241" i="1" s="1"/>
  <c r="Q241" i="1" s="1"/>
  <c r="R241" i="1" s="1"/>
  <c r="S241" i="1" s="1"/>
  <c r="T241" i="1" s="1"/>
  <c r="U241" i="1" s="1"/>
  <c r="V241" i="1" s="1"/>
  <c r="W241" i="1" s="1"/>
  <c r="X241" i="1" s="1"/>
  <c r="Y241" i="1" s="1"/>
  <c r="Z241" i="1" s="1"/>
  <c r="AT241" i="1"/>
  <c r="AC241" i="1"/>
  <c r="O249" i="1"/>
  <c r="P249" i="1" s="1"/>
  <c r="Q249" i="1" s="1"/>
  <c r="R249" i="1" s="1"/>
  <c r="S249" i="1" s="1"/>
  <c r="T249" i="1" s="1"/>
  <c r="U249" i="1" s="1"/>
  <c r="V249" i="1" s="1"/>
  <c r="W249" i="1" s="1"/>
  <c r="X249" i="1" s="1"/>
  <c r="Y249" i="1" s="1"/>
  <c r="Z249" i="1" s="1"/>
  <c r="AC249" i="1"/>
  <c r="AT249" i="1"/>
  <c r="N249" i="1"/>
  <c r="O257" i="1"/>
  <c r="AT257" i="1"/>
  <c r="N257" i="1"/>
  <c r="AC257" i="1"/>
  <c r="AT265" i="1"/>
  <c r="N265" i="1"/>
  <c r="AC265" i="1"/>
  <c r="O265" i="1"/>
  <c r="AC273" i="1"/>
  <c r="O273" i="1"/>
  <c r="AT273" i="1"/>
  <c r="N273" i="1"/>
  <c r="AC281" i="1"/>
  <c r="O281" i="1"/>
  <c r="P281" i="1" s="1"/>
  <c r="Q281" i="1" s="1"/>
  <c r="R281" i="1" s="1"/>
  <c r="S281" i="1" s="1"/>
  <c r="T281" i="1" s="1"/>
  <c r="U281" i="1" s="1"/>
  <c r="V281" i="1" s="1"/>
  <c r="W281" i="1" s="1"/>
  <c r="X281" i="1" s="1"/>
  <c r="Y281" i="1" s="1"/>
  <c r="Z281" i="1" s="1"/>
  <c r="N281" i="1"/>
  <c r="AT281" i="1"/>
  <c r="O302" i="1"/>
  <c r="N302" i="1"/>
  <c r="N316" i="1"/>
  <c r="O316" i="1"/>
  <c r="P316" i="1" s="1"/>
  <c r="Q316" i="1" s="1"/>
  <c r="R316" i="1" s="1"/>
  <c r="S316" i="1" s="1"/>
  <c r="T316" i="1" s="1"/>
  <c r="U316" i="1" s="1"/>
  <c r="V316" i="1" s="1"/>
  <c r="W316" i="1" s="1"/>
  <c r="X316" i="1" s="1"/>
  <c r="Y316" i="1" s="1"/>
  <c r="Z316" i="1" s="1"/>
  <c r="AT316" i="1"/>
  <c r="AC316" i="1"/>
  <c r="N325" i="1"/>
  <c r="AT325" i="1"/>
  <c r="O325" i="1"/>
  <c r="P325" i="1" s="1"/>
  <c r="Q325" i="1" s="1"/>
  <c r="R325" i="1" s="1"/>
  <c r="S325" i="1" s="1"/>
  <c r="T325" i="1" s="1"/>
  <c r="U325" i="1" s="1"/>
  <c r="V325" i="1" s="1"/>
  <c r="W325" i="1" s="1"/>
  <c r="X325" i="1" s="1"/>
  <c r="Y325" i="1" s="1"/>
  <c r="Z325" i="1" s="1"/>
  <c r="AC325" i="1"/>
  <c r="N340" i="1"/>
  <c r="O340" i="1"/>
  <c r="AT354" i="1"/>
  <c r="AC354" i="1"/>
  <c r="N354" i="1"/>
  <c r="O354" i="1"/>
  <c r="N364" i="1"/>
  <c r="O364" i="1"/>
  <c r="P364" i="1" s="1"/>
  <c r="Q364" i="1" s="1"/>
  <c r="R364" i="1" s="1"/>
  <c r="S364" i="1" s="1"/>
  <c r="T364" i="1" s="1"/>
  <c r="U364" i="1" s="1"/>
  <c r="V364" i="1" s="1"/>
  <c r="W364" i="1" s="1"/>
  <c r="X364" i="1" s="1"/>
  <c r="Y364" i="1" s="1"/>
  <c r="Z364" i="1" s="1"/>
  <c r="BV364" i="1" s="1"/>
  <c r="AC364" i="1"/>
  <c r="AC378" i="1"/>
  <c r="O378" i="1"/>
  <c r="N378" i="1"/>
  <c r="AT378" i="1"/>
  <c r="AT406" i="1"/>
  <c r="N406" i="1"/>
  <c r="AC406" i="1"/>
  <c r="O406" i="1"/>
  <c r="AC414" i="1"/>
  <c r="N414" i="1"/>
  <c r="AT414" i="1"/>
  <c r="O414" i="1"/>
  <c r="N426" i="1"/>
  <c r="AC426" i="1"/>
  <c r="O426" i="1"/>
  <c r="AT426" i="1"/>
  <c r="AC435" i="1"/>
  <c r="AT435" i="1"/>
  <c r="O435" i="1"/>
  <c r="P435" i="1" s="1"/>
  <c r="Q435" i="1" s="1"/>
  <c r="R435" i="1" s="1"/>
  <c r="S435" i="1" s="1"/>
  <c r="T435" i="1" s="1"/>
  <c r="U435" i="1" s="1"/>
  <c r="V435" i="1" s="1"/>
  <c r="W435" i="1" s="1"/>
  <c r="X435" i="1" s="1"/>
  <c r="Y435" i="1" s="1"/>
  <c r="Z435" i="1" s="1"/>
  <c r="N435" i="1"/>
  <c r="N443" i="1"/>
  <c r="O443" i="1"/>
  <c r="P443" i="1" s="1"/>
  <c r="Q443" i="1" s="1"/>
  <c r="R443" i="1" s="1"/>
  <c r="S443" i="1" s="1"/>
  <c r="T443" i="1" s="1"/>
  <c r="U443" i="1" s="1"/>
  <c r="V443" i="1" s="1"/>
  <c r="W443" i="1" s="1"/>
  <c r="X443" i="1" s="1"/>
  <c r="Y443" i="1" s="1"/>
  <c r="Z443" i="1" s="1"/>
  <c r="AC443" i="1"/>
  <c r="AT443" i="1"/>
  <c r="AT451" i="1"/>
  <c r="O451" i="1"/>
  <c r="P451" i="1" s="1"/>
  <c r="Q451" i="1" s="1"/>
  <c r="R451" i="1" s="1"/>
  <c r="S451" i="1" s="1"/>
  <c r="T451" i="1" s="1"/>
  <c r="U451" i="1" s="1"/>
  <c r="V451" i="1" s="1"/>
  <c r="W451" i="1" s="1"/>
  <c r="X451" i="1" s="1"/>
  <c r="Y451" i="1" s="1"/>
  <c r="Z451" i="1" s="1"/>
  <c r="N451" i="1"/>
  <c r="AC451" i="1"/>
  <c r="AC459" i="1"/>
  <c r="O459" i="1"/>
  <c r="P459" i="1" s="1"/>
  <c r="Q459" i="1" s="1"/>
  <c r="R459" i="1" s="1"/>
  <c r="S459" i="1" s="1"/>
  <c r="T459" i="1" s="1"/>
  <c r="U459" i="1" s="1"/>
  <c r="V459" i="1" s="1"/>
  <c r="W459" i="1" s="1"/>
  <c r="X459" i="1" s="1"/>
  <c r="Y459" i="1" s="1"/>
  <c r="Z459" i="1" s="1"/>
  <c r="N459" i="1"/>
  <c r="AT459" i="1"/>
  <c r="AC468" i="1"/>
  <c r="N468" i="1"/>
  <c r="AT468" i="1"/>
  <c r="O468" i="1"/>
  <c r="N476" i="1"/>
  <c r="O476" i="1"/>
  <c r="AC476" i="1"/>
  <c r="AT476" i="1"/>
  <c r="AT484" i="1"/>
  <c r="O484" i="1"/>
  <c r="P484" i="1" s="1"/>
  <c r="Q484" i="1" s="1"/>
  <c r="R484" i="1" s="1"/>
  <c r="S484" i="1" s="1"/>
  <c r="T484" i="1" s="1"/>
  <c r="U484" i="1" s="1"/>
  <c r="V484" i="1" s="1"/>
  <c r="W484" i="1" s="1"/>
  <c r="X484" i="1" s="1"/>
  <c r="Y484" i="1" s="1"/>
  <c r="Z484" i="1" s="1"/>
  <c r="AC484" i="1"/>
  <c r="N484" i="1"/>
  <c r="AC492" i="1"/>
  <c r="O492" i="1"/>
  <c r="P492" i="1" s="1"/>
  <c r="Q492" i="1" s="1"/>
  <c r="R492" i="1" s="1"/>
  <c r="S492" i="1" s="1"/>
  <c r="T492" i="1" s="1"/>
  <c r="U492" i="1" s="1"/>
  <c r="V492" i="1" s="1"/>
  <c r="W492" i="1" s="1"/>
  <c r="X492" i="1" s="1"/>
  <c r="Y492" i="1" s="1"/>
  <c r="Z492" i="1" s="1"/>
  <c r="BV492" i="1" s="1"/>
  <c r="N492" i="1"/>
  <c r="P298" i="1"/>
  <c r="Q298" i="1" s="1"/>
  <c r="R298" i="1" s="1"/>
  <c r="S298" i="1" s="1"/>
  <c r="T298" i="1" s="1"/>
  <c r="U298" i="1" s="1"/>
  <c r="V298" i="1" s="1"/>
  <c r="W298" i="1" s="1"/>
  <c r="X298" i="1" s="1"/>
  <c r="Y298" i="1" s="1"/>
  <c r="Z298" i="1" s="1"/>
  <c r="P187" i="1"/>
  <c r="Q187" i="1" s="1"/>
  <c r="R187" i="1" s="1"/>
  <c r="S187" i="1" s="1"/>
  <c r="T187" i="1" s="1"/>
  <c r="U187" i="1" s="1"/>
  <c r="V187" i="1" s="1"/>
  <c r="W187" i="1" s="1"/>
  <c r="X187" i="1" s="1"/>
  <c r="Y187" i="1" s="1"/>
  <c r="Z187" i="1" s="1"/>
  <c r="N360" i="1"/>
  <c r="AT360" i="1"/>
  <c r="AC360" i="1"/>
  <c r="O360" i="1"/>
  <c r="P360" i="1" s="1"/>
  <c r="Q360" i="1" s="1"/>
  <c r="R360" i="1" s="1"/>
  <c r="S360" i="1" s="1"/>
  <c r="T360" i="1" s="1"/>
  <c r="U360" i="1" s="1"/>
  <c r="V360" i="1" s="1"/>
  <c r="W360" i="1" s="1"/>
  <c r="X360" i="1" s="1"/>
  <c r="Y360" i="1" s="1"/>
  <c r="Z360" i="1" s="1"/>
  <c r="O34" i="1"/>
  <c r="P34" i="1" s="1"/>
  <c r="Q34" i="1" s="1"/>
  <c r="R34" i="1" s="1"/>
  <c r="S34" i="1" s="1"/>
  <c r="T34" i="1" s="1"/>
  <c r="U34" i="1" s="1"/>
  <c r="V34" i="1" s="1"/>
  <c r="N34" i="1"/>
  <c r="O99" i="1"/>
  <c r="P99" i="1" s="1"/>
  <c r="Q99" i="1" s="1"/>
  <c r="R99" i="1" s="1"/>
  <c r="S99" i="1" s="1"/>
  <c r="T99" i="1" s="1"/>
  <c r="U99" i="1" s="1"/>
  <c r="V99" i="1" s="1"/>
  <c r="W99" i="1" s="1"/>
  <c r="X99" i="1" s="1"/>
  <c r="Y99" i="1" s="1"/>
  <c r="Z99" i="1" s="1"/>
  <c r="BV99" i="1" s="1"/>
  <c r="N99" i="1"/>
  <c r="N126" i="1"/>
  <c r="AC126" i="1"/>
  <c r="O126" i="1"/>
  <c r="P126" i="1" s="1"/>
  <c r="Q126" i="1" s="1"/>
  <c r="R126" i="1" s="1"/>
  <c r="S126" i="1" s="1"/>
  <c r="T126" i="1" s="1"/>
  <c r="U126" i="1" s="1"/>
  <c r="V126" i="1" s="1"/>
  <c r="W126" i="1" s="1"/>
  <c r="X126" i="1" s="1"/>
  <c r="Y126" i="1" s="1"/>
  <c r="Z126" i="1" s="1"/>
  <c r="AT126" i="1"/>
  <c r="AT134" i="1"/>
  <c r="N134" i="1"/>
  <c r="O134" i="1"/>
  <c r="P134" i="1" s="1"/>
  <c r="Q134" i="1" s="1"/>
  <c r="R134" i="1" s="1"/>
  <c r="S134" i="1" s="1"/>
  <c r="T134" i="1" s="1"/>
  <c r="U134" i="1" s="1"/>
  <c r="V134" i="1" s="1"/>
  <c r="W134" i="1" s="1"/>
  <c r="X134" i="1" s="1"/>
  <c r="Y134" i="1" s="1"/>
  <c r="Z134" i="1" s="1"/>
  <c r="AC134" i="1"/>
  <c r="AT142" i="1"/>
  <c r="O142" i="1"/>
  <c r="P142" i="1" s="1"/>
  <c r="Q142" i="1" s="1"/>
  <c r="R142" i="1" s="1"/>
  <c r="S142" i="1" s="1"/>
  <c r="T142" i="1" s="1"/>
  <c r="U142" i="1" s="1"/>
  <c r="V142" i="1" s="1"/>
  <c r="W142" i="1" s="1"/>
  <c r="X142" i="1" s="1"/>
  <c r="Y142" i="1" s="1"/>
  <c r="Z142" i="1" s="1"/>
  <c r="N142" i="1"/>
  <c r="AC142" i="1"/>
  <c r="O53" i="1"/>
  <c r="P53" i="1" s="1"/>
  <c r="Q53" i="1" s="1"/>
  <c r="R53" i="1" s="1"/>
  <c r="S53" i="1" s="1"/>
  <c r="T53" i="1" s="1"/>
  <c r="U53" i="1" s="1"/>
  <c r="V53" i="1" s="1"/>
  <c r="W53" i="1" s="1"/>
  <c r="X53" i="1" s="1"/>
  <c r="Y53" i="1" s="1"/>
  <c r="Z53" i="1" s="1"/>
  <c r="AC53" i="1"/>
  <c r="AT53" i="1"/>
  <c r="N53" i="1"/>
  <c r="AC112" i="1"/>
  <c r="O112" i="1"/>
  <c r="AT112" i="1"/>
  <c r="N112" i="1"/>
  <c r="P572" i="1"/>
  <c r="Q572" i="1" s="1"/>
  <c r="R572" i="1" s="1"/>
  <c r="S572" i="1" s="1"/>
  <c r="T572" i="1" s="1"/>
  <c r="U572" i="1" s="1"/>
  <c r="V572" i="1" s="1"/>
  <c r="W572" i="1" s="1"/>
  <c r="X572" i="1" s="1"/>
  <c r="Y572" i="1" s="1"/>
  <c r="Z572" i="1" s="1"/>
  <c r="BH221" i="4"/>
  <c r="BH223" i="4"/>
  <c r="BH219" i="4"/>
  <c r="BH218" i="4"/>
  <c r="BH222" i="4"/>
  <c r="BH220" i="4"/>
  <c r="O431" i="1"/>
  <c r="P431" i="1" s="1"/>
  <c r="Q431" i="1" s="1"/>
  <c r="R431" i="1" s="1"/>
  <c r="S431" i="1" s="1"/>
  <c r="T431" i="1" s="1"/>
  <c r="U431" i="1" s="1"/>
  <c r="V431" i="1" s="1"/>
  <c r="W431" i="1" s="1"/>
  <c r="X431" i="1" s="1"/>
  <c r="Y431" i="1" s="1"/>
  <c r="Z431" i="1" s="1"/>
  <c r="BV431" i="1" s="1"/>
  <c r="N431" i="1"/>
  <c r="BH78" i="4"/>
  <c r="P44" i="1"/>
  <c r="Q44" i="1" s="1"/>
  <c r="R44" i="1" s="1"/>
  <c r="S44" i="1" s="1"/>
  <c r="T44" i="1" s="1"/>
  <c r="U44" i="1" s="1"/>
  <c r="V44" i="1" s="1"/>
  <c r="W44" i="1" s="1"/>
  <c r="X44" i="1" s="1"/>
  <c r="Y44" i="1" s="1"/>
  <c r="Z44" i="1" s="1"/>
  <c r="AC123" i="1"/>
  <c r="O123" i="1"/>
  <c r="P123" i="1" s="1"/>
  <c r="Q123" i="1" s="1"/>
  <c r="R123" i="1" s="1"/>
  <c r="S123" i="1" s="1"/>
  <c r="T123" i="1" s="1"/>
  <c r="U123" i="1" s="1"/>
  <c r="V123" i="1" s="1"/>
  <c r="W123" i="1" s="1"/>
  <c r="X123" i="1" s="1"/>
  <c r="Y123" i="1" s="1"/>
  <c r="Z123" i="1" s="1"/>
  <c r="N123" i="1"/>
  <c r="AT123" i="1"/>
  <c r="AC131" i="1"/>
  <c r="AT131" i="1"/>
  <c r="O131" i="1"/>
  <c r="P131" i="1" s="1"/>
  <c r="Q131" i="1" s="1"/>
  <c r="R131" i="1" s="1"/>
  <c r="S131" i="1" s="1"/>
  <c r="T131" i="1" s="1"/>
  <c r="U131" i="1" s="1"/>
  <c r="V131" i="1" s="1"/>
  <c r="W131" i="1" s="1"/>
  <c r="X131" i="1" s="1"/>
  <c r="Y131" i="1" s="1"/>
  <c r="Z131" i="1" s="1"/>
  <c r="N131" i="1"/>
  <c r="AC139" i="1"/>
  <c r="AT139" i="1"/>
  <c r="O139" i="1"/>
  <c r="P139" i="1" s="1"/>
  <c r="Q139" i="1" s="1"/>
  <c r="R139" i="1" s="1"/>
  <c r="S139" i="1" s="1"/>
  <c r="T139" i="1" s="1"/>
  <c r="U139" i="1" s="1"/>
  <c r="V139" i="1" s="1"/>
  <c r="W139" i="1" s="1"/>
  <c r="X139" i="1" s="1"/>
  <c r="Y139" i="1" s="1"/>
  <c r="Z139" i="1" s="1"/>
  <c r="N139" i="1"/>
  <c r="AC153" i="1"/>
  <c r="AT153" i="1"/>
  <c r="O153" i="1"/>
  <c r="P153" i="1" s="1"/>
  <c r="Q153" i="1" s="1"/>
  <c r="R153" i="1" s="1"/>
  <c r="S153" i="1" s="1"/>
  <c r="T153" i="1" s="1"/>
  <c r="U153" i="1" s="1"/>
  <c r="V153" i="1" s="1"/>
  <c r="W153" i="1" s="1"/>
  <c r="X153" i="1" s="1"/>
  <c r="Y153" i="1" s="1"/>
  <c r="Z153" i="1" s="1"/>
  <c r="N153" i="1"/>
  <c r="AC79" i="1"/>
  <c r="N79" i="1"/>
  <c r="O79" i="1"/>
  <c r="AT79" i="1"/>
  <c r="N512" i="1"/>
  <c r="O512" i="1"/>
  <c r="O75" i="1"/>
  <c r="AT75" i="1"/>
  <c r="N75" i="1"/>
  <c r="AC75" i="1"/>
  <c r="N219" i="1"/>
  <c r="AC219" i="1"/>
  <c r="O219" i="1"/>
  <c r="P219" i="1" s="1"/>
  <c r="Q219" i="1" s="1"/>
  <c r="R219" i="1" s="1"/>
  <c r="S219" i="1" s="1"/>
  <c r="T219" i="1" s="1"/>
  <c r="U219" i="1" s="1"/>
  <c r="V219" i="1" s="1"/>
  <c r="W219" i="1" s="1"/>
  <c r="X219" i="1" s="1"/>
  <c r="Y219" i="1" s="1"/>
  <c r="Z219" i="1" s="1"/>
  <c r="BV219" i="1" s="1"/>
  <c r="O169" i="1"/>
  <c r="P169" i="1" s="1"/>
  <c r="Q169" i="1" s="1"/>
  <c r="R169" i="1" s="1"/>
  <c r="S169" i="1" s="1"/>
  <c r="T169" i="1" s="1"/>
  <c r="U169" i="1" s="1"/>
  <c r="V169" i="1" s="1"/>
  <c r="W169" i="1" s="1"/>
  <c r="X169" i="1" s="1"/>
  <c r="Y169" i="1" s="1"/>
  <c r="Z169" i="1" s="1"/>
  <c r="AC169" i="1"/>
  <c r="AT169" i="1"/>
  <c r="N169" i="1"/>
  <c r="O181" i="1"/>
  <c r="AT181" i="1"/>
  <c r="AC181" i="1"/>
  <c r="N181" i="1"/>
  <c r="O202" i="1"/>
  <c r="AT202" i="1"/>
  <c r="N202" i="1"/>
  <c r="AC202" i="1"/>
  <c r="AC214" i="1"/>
  <c r="N214" i="1"/>
  <c r="AT214" i="1"/>
  <c r="O214" i="1"/>
  <c r="O243" i="1"/>
  <c r="P243" i="1" s="1"/>
  <c r="Q243" i="1" s="1"/>
  <c r="R243" i="1" s="1"/>
  <c r="S243" i="1" s="1"/>
  <c r="T243" i="1" s="1"/>
  <c r="U243" i="1" s="1"/>
  <c r="V243" i="1" s="1"/>
  <c r="W243" i="1" s="1"/>
  <c r="X243" i="1" s="1"/>
  <c r="Y243" i="1" s="1"/>
  <c r="Z243" i="1" s="1"/>
  <c r="BV243" i="1" s="1"/>
  <c r="N243" i="1"/>
  <c r="O251" i="1"/>
  <c r="P251" i="1" s="1"/>
  <c r="Q251" i="1" s="1"/>
  <c r="R251" i="1" s="1"/>
  <c r="S251" i="1" s="1"/>
  <c r="T251" i="1" s="1"/>
  <c r="U251" i="1" s="1"/>
  <c r="V251" i="1" s="1"/>
  <c r="W251" i="1" s="1"/>
  <c r="X251" i="1" s="1"/>
  <c r="Y251" i="1" s="1"/>
  <c r="Z251" i="1" s="1"/>
  <c r="N251" i="1"/>
  <c r="AC251" i="1"/>
  <c r="AT251" i="1"/>
  <c r="AT259" i="1"/>
  <c r="AC259" i="1"/>
  <c r="O259" i="1"/>
  <c r="N259" i="1"/>
  <c r="AC271" i="1"/>
  <c r="O271" i="1"/>
  <c r="N271" i="1"/>
  <c r="AT271" i="1"/>
  <c r="AT279" i="1"/>
  <c r="AC279" i="1"/>
  <c r="O279" i="1"/>
  <c r="N279" i="1"/>
  <c r="N201" i="1"/>
  <c r="AC201" i="1"/>
  <c r="O201" i="1"/>
  <c r="P201" i="1" s="1"/>
  <c r="Q201" i="1" s="1"/>
  <c r="R201" i="1" s="1"/>
  <c r="S201" i="1" s="1"/>
  <c r="T201" i="1" s="1"/>
  <c r="U201" i="1" s="1"/>
  <c r="V201" i="1" s="1"/>
  <c r="W201" i="1" s="1"/>
  <c r="X201" i="1" s="1"/>
  <c r="Y201" i="1" s="1"/>
  <c r="Z201" i="1" s="1"/>
  <c r="BV201" i="1" s="1"/>
  <c r="N310" i="1"/>
  <c r="AC310" i="1"/>
  <c r="O310" i="1"/>
  <c r="P310" i="1" s="1"/>
  <c r="Q310" i="1" s="1"/>
  <c r="R310" i="1" s="1"/>
  <c r="S310" i="1" s="1"/>
  <c r="T310" i="1" s="1"/>
  <c r="U310" i="1" s="1"/>
  <c r="V310" i="1" s="1"/>
  <c r="W310" i="1" s="1"/>
  <c r="X310" i="1" s="1"/>
  <c r="Y310" i="1" s="1"/>
  <c r="Z310" i="1" s="1"/>
  <c r="AT310" i="1"/>
  <c r="P392" i="1"/>
  <c r="Q392" i="1" s="1"/>
  <c r="R392" i="1" s="1"/>
  <c r="S392" i="1" s="1"/>
  <c r="T392" i="1" s="1"/>
  <c r="U392" i="1" s="1"/>
  <c r="V392" i="1" s="1"/>
  <c r="W392" i="1" s="1"/>
  <c r="X392" i="1" s="1"/>
  <c r="Y392" i="1" s="1"/>
  <c r="Z392" i="1" s="1"/>
  <c r="P185" i="1"/>
  <c r="Q185" i="1" s="1"/>
  <c r="R185" i="1" s="1"/>
  <c r="S185" i="1" s="1"/>
  <c r="T185" i="1" s="1"/>
  <c r="U185" i="1" s="1"/>
  <c r="V185" i="1" s="1"/>
  <c r="W185" i="1" s="1"/>
  <c r="X185" i="1" s="1"/>
  <c r="Y185" i="1" s="1"/>
  <c r="Z185" i="1" s="1"/>
  <c r="O465" i="1"/>
  <c r="P465" i="1" s="1"/>
  <c r="Q465" i="1" s="1"/>
  <c r="R465" i="1" s="1"/>
  <c r="S465" i="1" s="1"/>
  <c r="T465" i="1" s="1"/>
  <c r="U465" i="1" s="1"/>
  <c r="V465" i="1" s="1"/>
  <c r="W465" i="1" s="1"/>
  <c r="X465" i="1" s="1"/>
  <c r="Y465" i="1" s="1"/>
  <c r="Z465" i="1" s="1"/>
  <c r="AT465" i="1"/>
  <c r="AC465" i="1"/>
  <c r="N465" i="1"/>
  <c r="P197" i="1"/>
  <c r="Q197" i="1" s="1"/>
  <c r="R197" i="1" s="1"/>
  <c r="S197" i="1" s="1"/>
  <c r="T197" i="1" s="1"/>
  <c r="U197" i="1" s="1"/>
  <c r="V197" i="1" s="1"/>
  <c r="W197" i="1" s="1"/>
  <c r="X197" i="1" s="1"/>
  <c r="Y197" i="1" s="1"/>
  <c r="Z197" i="1" s="1"/>
  <c r="BH224" i="4"/>
  <c r="BH225" i="4"/>
  <c r="AT17" i="1"/>
  <c r="N17" i="1"/>
  <c r="O17" i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Z17" i="1" s="1"/>
  <c r="AC17" i="1"/>
  <c r="BH781" i="4"/>
  <c r="BH892" i="4"/>
  <c r="BH24" i="4"/>
  <c r="P577" i="1"/>
  <c r="Q577" i="1" s="1"/>
  <c r="R577" i="1" s="1"/>
  <c r="S577" i="1" s="1"/>
  <c r="T577" i="1" s="1"/>
  <c r="U577" i="1" s="1"/>
  <c r="V577" i="1" s="1"/>
  <c r="W577" i="1" s="1"/>
  <c r="X577" i="1" s="1"/>
  <c r="Y577" i="1" s="1"/>
  <c r="Z577" i="1" s="1"/>
  <c r="O358" i="1"/>
  <c r="P358" i="1" s="1"/>
  <c r="Q358" i="1" s="1"/>
  <c r="R358" i="1" s="1"/>
  <c r="S358" i="1" s="1"/>
  <c r="T358" i="1" s="1"/>
  <c r="U358" i="1" s="1"/>
  <c r="V358" i="1" s="1"/>
  <c r="W358" i="1" s="1"/>
  <c r="X358" i="1" s="1"/>
  <c r="Y358" i="1" s="1"/>
  <c r="Z358" i="1" s="1"/>
  <c r="AC358" i="1"/>
  <c r="N358" i="1"/>
  <c r="AT358" i="1"/>
  <c r="AC18" i="1"/>
  <c r="N18" i="1"/>
  <c r="O18" i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Z18" i="1" s="1"/>
  <c r="BV18" i="1" s="1"/>
  <c r="P370" i="1"/>
  <c r="Q370" i="1" s="1"/>
  <c r="R370" i="1" s="1"/>
  <c r="S370" i="1" s="1"/>
  <c r="T370" i="1" s="1"/>
  <c r="U370" i="1" s="1"/>
  <c r="V370" i="1" s="1"/>
  <c r="W370" i="1" s="1"/>
  <c r="X370" i="1" s="1"/>
  <c r="Y370" i="1" s="1"/>
  <c r="Z370" i="1" s="1"/>
  <c r="P500" i="1"/>
  <c r="Q500" i="1" s="1"/>
  <c r="R500" i="1" s="1"/>
  <c r="S500" i="1" s="1"/>
  <c r="T500" i="1" s="1"/>
  <c r="U500" i="1" s="1"/>
  <c r="V500" i="1" s="1"/>
  <c r="W500" i="1" s="1"/>
  <c r="X500" i="1" s="1"/>
  <c r="Y500" i="1" s="1"/>
  <c r="Z500" i="1" s="1"/>
  <c r="BV500" i="1" s="1"/>
  <c r="P48" i="1"/>
  <c r="Q48" i="1" s="1"/>
  <c r="R48" i="1" s="1"/>
  <c r="S48" i="1" s="1"/>
  <c r="T48" i="1" s="1"/>
  <c r="U48" i="1" s="1"/>
  <c r="V48" i="1" s="1"/>
  <c r="W48" i="1" s="1"/>
  <c r="X48" i="1" s="1"/>
  <c r="Y48" i="1" s="1"/>
  <c r="Z48" i="1" s="1"/>
  <c r="O104" i="1"/>
  <c r="P104" i="1" s="1"/>
  <c r="Q104" i="1" s="1"/>
  <c r="R104" i="1" s="1"/>
  <c r="S104" i="1" s="1"/>
  <c r="T104" i="1" s="1"/>
  <c r="U104" i="1" s="1"/>
  <c r="V104" i="1" s="1"/>
  <c r="W104" i="1" s="1"/>
  <c r="X104" i="1" s="1"/>
  <c r="Y104" i="1" s="1"/>
  <c r="Z104" i="1" s="1"/>
  <c r="BV104" i="1" s="1"/>
  <c r="AC104" i="1"/>
  <c r="N104" i="1"/>
  <c r="N152" i="1"/>
  <c r="O152" i="1"/>
  <c r="P152" i="1" s="1"/>
  <c r="Q152" i="1" s="1"/>
  <c r="R152" i="1" s="1"/>
  <c r="S152" i="1" s="1"/>
  <c r="T152" i="1" s="1"/>
  <c r="U152" i="1" s="1"/>
  <c r="V152" i="1" s="1"/>
  <c r="W152" i="1" s="1"/>
  <c r="X152" i="1" s="1"/>
  <c r="Y152" i="1" s="1"/>
  <c r="Z152" i="1" s="1"/>
  <c r="BV152" i="1" s="1"/>
  <c r="P211" i="1"/>
  <c r="Q211" i="1" s="1"/>
  <c r="R211" i="1" s="1"/>
  <c r="S211" i="1" s="1"/>
  <c r="T211" i="1" s="1"/>
  <c r="U211" i="1" s="1"/>
  <c r="V211" i="1" s="1"/>
  <c r="W211" i="1" s="1"/>
  <c r="X211" i="1" s="1"/>
  <c r="Y211" i="1" s="1"/>
  <c r="Z211" i="1" s="1"/>
  <c r="AA518" i="1"/>
  <c r="BH77" i="4"/>
  <c r="O318" i="1"/>
  <c r="P318" i="1" s="1"/>
  <c r="Q318" i="1" s="1"/>
  <c r="R318" i="1" s="1"/>
  <c r="S318" i="1" s="1"/>
  <c r="T318" i="1" s="1"/>
  <c r="U318" i="1" s="1"/>
  <c r="V318" i="1" s="1"/>
  <c r="W318" i="1" s="1"/>
  <c r="X318" i="1" s="1"/>
  <c r="Y318" i="1" s="1"/>
  <c r="Z318" i="1" s="1"/>
  <c r="BV318" i="1" s="1"/>
  <c r="N318" i="1"/>
  <c r="AT176" i="1"/>
  <c r="O176" i="1"/>
  <c r="N176" i="1"/>
  <c r="AC176" i="1"/>
  <c r="O183" i="1"/>
  <c r="AT183" i="1"/>
  <c r="N183" i="1"/>
  <c r="AC183" i="1"/>
  <c r="AT200" i="1"/>
  <c r="O200" i="1"/>
  <c r="AC200" i="1"/>
  <c r="N200" i="1"/>
  <c r="AC213" i="1"/>
  <c r="N213" i="1"/>
  <c r="AT213" i="1"/>
  <c r="O213" i="1"/>
  <c r="AT242" i="1"/>
  <c r="N242" i="1"/>
  <c r="O242" i="1"/>
  <c r="P242" i="1" s="1"/>
  <c r="Q242" i="1" s="1"/>
  <c r="R242" i="1" s="1"/>
  <c r="S242" i="1" s="1"/>
  <c r="T242" i="1" s="1"/>
  <c r="U242" i="1" s="1"/>
  <c r="V242" i="1" s="1"/>
  <c r="W242" i="1" s="1"/>
  <c r="X242" i="1" s="1"/>
  <c r="Y242" i="1" s="1"/>
  <c r="Z242" i="1" s="1"/>
  <c r="AC242" i="1"/>
  <c r="N250" i="1"/>
  <c r="O250" i="1"/>
  <c r="P250" i="1" s="1"/>
  <c r="Q250" i="1" s="1"/>
  <c r="R250" i="1" s="1"/>
  <c r="S250" i="1" s="1"/>
  <c r="T250" i="1" s="1"/>
  <c r="U250" i="1" s="1"/>
  <c r="V250" i="1" s="1"/>
  <c r="W250" i="1" s="1"/>
  <c r="X250" i="1" s="1"/>
  <c r="Y250" i="1" s="1"/>
  <c r="Z250" i="1" s="1"/>
  <c r="AT250" i="1"/>
  <c r="AC250" i="1"/>
  <c r="AT266" i="1"/>
  <c r="AC266" i="1"/>
  <c r="O266" i="1"/>
  <c r="N266" i="1"/>
  <c r="O274" i="1"/>
  <c r="AC274" i="1"/>
  <c r="AT274" i="1"/>
  <c r="N274" i="1"/>
  <c r="N282" i="1"/>
  <c r="AT282" i="1"/>
  <c r="AC282" i="1"/>
  <c r="O282" i="1"/>
  <c r="AC296" i="1"/>
  <c r="O296" i="1"/>
  <c r="N296" i="1"/>
  <c r="AT296" i="1"/>
  <c r="N309" i="1"/>
  <c r="O309" i="1"/>
  <c r="P309" i="1" s="1"/>
  <c r="Q309" i="1" s="1"/>
  <c r="R309" i="1" s="1"/>
  <c r="S309" i="1" s="1"/>
  <c r="T309" i="1" s="1"/>
  <c r="U309" i="1" s="1"/>
  <c r="V309" i="1" s="1"/>
  <c r="W309" i="1" s="1"/>
  <c r="X309" i="1" s="1"/>
  <c r="Y309" i="1" s="1"/>
  <c r="Z309" i="1" s="1"/>
  <c r="AT309" i="1"/>
  <c r="AC309" i="1"/>
  <c r="AT322" i="1"/>
  <c r="O322" i="1"/>
  <c r="P322" i="1" s="1"/>
  <c r="Q322" i="1" s="1"/>
  <c r="R322" i="1" s="1"/>
  <c r="S322" i="1" s="1"/>
  <c r="T322" i="1" s="1"/>
  <c r="U322" i="1" s="1"/>
  <c r="V322" i="1" s="1"/>
  <c r="W322" i="1" s="1"/>
  <c r="X322" i="1" s="1"/>
  <c r="Y322" i="1" s="1"/>
  <c r="Z322" i="1" s="1"/>
  <c r="AC322" i="1"/>
  <c r="N322" i="1"/>
  <c r="AC337" i="1"/>
  <c r="N337" i="1"/>
  <c r="AT337" i="1"/>
  <c r="O337" i="1"/>
  <c r="P337" i="1" s="1"/>
  <c r="Q337" i="1" s="1"/>
  <c r="R337" i="1" s="1"/>
  <c r="S337" i="1" s="1"/>
  <c r="T337" i="1" s="1"/>
  <c r="U337" i="1" s="1"/>
  <c r="V337" i="1" s="1"/>
  <c r="W337" i="1" s="1"/>
  <c r="X337" i="1" s="1"/>
  <c r="Y337" i="1" s="1"/>
  <c r="Z337" i="1" s="1"/>
  <c r="O347" i="1"/>
  <c r="N347" i="1"/>
  <c r="AT361" i="1"/>
  <c r="O361" i="1"/>
  <c r="N361" i="1"/>
  <c r="AC361" i="1"/>
  <c r="AC369" i="1"/>
  <c r="AT369" i="1"/>
  <c r="N369" i="1"/>
  <c r="O369" i="1"/>
  <c r="N379" i="1"/>
  <c r="AC379" i="1"/>
  <c r="O379" i="1"/>
  <c r="AT379" i="1"/>
  <c r="AC391" i="1"/>
  <c r="AT391" i="1"/>
  <c r="N391" i="1"/>
  <c r="O391" i="1"/>
  <c r="P391" i="1" s="1"/>
  <c r="Q391" i="1" s="1"/>
  <c r="R391" i="1" s="1"/>
  <c r="S391" i="1" s="1"/>
  <c r="T391" i="1" s="1"/>
  <c r="U391" i="1" s="1"/>
  <c r="V391" i="1" s="1"/>
  <c r="W391" i="1" s="1"/>
  <c r="X391" i="1" s="1"/>
  <c r="Y391" i="1" s="1"/>
  <c r="Z391" i="1" s="1"/>
  <c r="N411" i="1"/>
  <c r="AT411" i="1"/>
  <c r="AC411" i="1"/>
  <c r="O411" i="1"/>
  <c r="O427" i="1"/>
  <c r="AC427" i="1"/>
  <c r="AT427" i="1"/>
  <c r="N427" i="1"/>
  <c r="AT436" i="1"/>
  <c r="AC436" i="1"/>
  <c r="O436" i="1"/>
  <c r="P436" i="1" s="1"/>
  <c r="Q436" i="1" s="1"/>
  <c r="R436" i="1" s="1"/>
  <c r="S436" i="1" s="1"/>
  <c r="T436" i="1" s="1"/>
  <c r="U436" i="1" s="1"/>
  <c r="V436" i="1" s="1"/>
  <c r="W436" i="1" s="1"/>
  <c r="X436" i="1" s="1"/>
  <c r="Y436" i="1" s="1"/>
  <c r="Z436" i="1" s="1"/>
  <c r="N436" i="1"/>
  <c r="O444" i="1"/>
  <c r="P444" i="1" s="1"/>
  <c r="Q444" i="1" s="1"/>
  <c r="R444" i="1" s="1"/>
  <c r="S444" i="1" s="1"/>
  <c r="T444" i="1" s="1"/>
  <c r="U444" i="1" s="1"/>
  <c r="V444" i="1" s="1"/>
  <c r="W444" i="1" s="1"/>
  <c r="X444" i="1" s="1"/>
  <c r="Y444" i="1" s="1"/>
  <c r="Z444" i="1" s="1"/>
  <c r="BV444" i="1" s="1"/>
  <c r="AC444" i="1"/>
  <c r="N444" i="1"/>
  <c r="O452" i="1"/>
  <c r="P452" i="1" s="1"/>
  <c r="Q452" i="1" s="1"/>
  <c r="R452" i="1" s="1"/>
  <c r="S452" i="1" s="1"/>
  <c r="T452" i="1" s="1"/>
  <c r="U452" i="1" s="1"/>
  <c r="V452" i="1" s="1"/>
  <c r="W452" i="1" s="1"/>
  <c r="X452" i="1" s="1"/>
  <c r="Y452" i="1" s="1"/>
  <c r="Z452" i="1" s="1"/>
  <c r="AT452" i="1"/>
  <c r="N452" i="1"/>
  <c r="AC452" i="1"/>
  <c r="O460" i="1"/>
  <c r="P460" i="1" s="1"/>
  <c r="Q460" i="1" s="1"/>
  <c r="R460" i="1" s="1"/>
  <c r="S460" i="1" s="1"/>
  <c r="T460" i="1" s="1"/>
  <c r="U460" i="1" s="1"/>
  <c r="V460" i="1" s="1"/>
  <c r="W460" i="1" s="1"/>
  <c r="X460" i="1" s="1"/>
  <c r="Y460" i="1" s="1"/>
  <c r="Z460" i="1" s="1"/>
  <c r="AC460" i="1"/>
  <c r="N460" i="1"/>
  <c r="AT460" i="1"/>
  <c r="N469" i="1"/>
  <c r="O469" i="1"/>
  <c r="AT469" i="1"/>
  <c r="AC469" i="1"/>
  <c r="AT477" i="1"/>
  <c r="AC477" i="1"/>
  <c r="N477" i="1"/>
  <c r="O477" i="1"/>
  <c r="P477" i="1" s="1"/>
  <c r="Q477" i="1" s="1"/>
  <c r="R477" i="1" s="1"/>
  <c r="S477" i="1" s="1"/>
  <c r="T477" i="1" s="1"/>
  <c r="U477" i="1" s="1"/>
  <c r="V477" i="1" s="1"/>
  <c r="W477" i="1" s="1"/>
  <c r="X477" i="1" s="1"/>
  <c r="Y477" i="1" s="1"/>
  <c r="Z477" i="1" s="1"/>
  <c r="O485" i="1"/>
  <c r="P485" i="1" s="1"/>
  <c r="Q485" i="1" s="1"/>
  <c r="R485" i="1" s="1"/>
  <c r="S485" i="1" s="1"/>
  <c r="T485" i="1" s="1"/>
  <c r="U485" i="1" s="1"/>
  <c r="V485" i="1" s="1"/>
  <c r="W485" i="1" s="1"/>
  <c r="X485" i="1" s="1"/>
  <c r="Y485" i="1" s="1"/>
  <c r="Z485" i="1" s="1"/>
  <c r="AC485" i="1"/>
  <c r="AT485" i="1"/>
  <c r="N485" i="1"/>
  <c r="AC493" i="1"/>
  <c r="N493" i="1"/>
  <c r="O493" i="1"/>
  <c r="P493" i="1" s="1"/>
  <c r="Q493" i="1" s="1"/>
  <c r="R493" i="1" s="1"/>
  <c r="S493" i="1" s="1"/>
  <c r="T493" i="1" s="1"/>
  <c r="U493" i="1" s="1"/>
  <c r="V493" i="1" s="1"/>
  <c r="W493" i="1" s="1"/>
  <c r="X493" i="1" s="1"/>
  <c r="Y493" i="1" s="1"/>
  <c r="Z493" i="1" s="1"/>
  <c r="BV493" i="1" s="1"/>
  <c r="N49" i="1"/>
  <c r="O49" i="1"/>
  <c r="AT49" i="1"/>
  <c r="AC49" i="1"/>
  <c r="N149" i="1"/>
  <c r="O149" i="1"/>
  <c r="P149" i="1" s="1"/>
  <c r="Q149" i="1" s="1"/>
  <c r="R149" i="1" s="1"/>
  <c r="S149" i="1" s="1"/>
  <c r="T149" i="1" s="1"/>
  <c r="U149" i="1" s="1"/>
  <c r="V149" i="1" s="1"/>
  <c r="W149" i="1" s="1"/>
  <c r="X149" i="1" s="1"/>
  <c r="Y149" i="1" s="1"/>
  <c r="Z149" i="1" s="1"/>
  <c r="BV149" i="1" s="1"/>
  <c r="P184" i="1"/>
  <c r="Q184" i="1" s="1"/>
  <c r="R184" i="1" s="1"/>
  <c r="S184" i="1" s="1"/>
  <c r="T184" i="1" s="1"/>
  <c r="U184" i="1" s="1"/>
  <c r="V184" i="1" s="1"/>
  <c r="W184" i="1" s="1"/>
  <c r="X184" i="1" s="1"/>
  <c r="Y184" i="1" s="1"/>
  <c r="Z184" i="1" s="1"/>
  <c r="P576" i="1"/>
  <c r="Q576" i="1" s="1"/>
  <c r="R576" i="1" s="1"/>
  <c r="S576" i="1" s="1"/>
  <c r="T576" i="1" s="1"/>
  <c r="U576" i="1" s="1"/>
  <c r="V576" i="1" s="1"/>
  <c r="W576" i="1" s="1"/>
  <c r="X576" i="1" s="1"/>
  <c r="Y576" i="1" s="1"/>
  <c r="Z576" i="1" s="1"/>
  <c r="BH23" i="4"/>
  <c r="P575" i="1"/>
  <c r="Q575" i="1" s="1"/>
  <c r="R575" i="1" s="1"/>
  <c r="S575" i="1" s="1"/>
  <c r="T575" i="1" s="1"/>
  <c r="U575" i="1" s="1"/>
  <c r="V575" i="1" s="1"/>
  <c r="W575" i="1" s="1"/>
  <c r="X575" i="1" s="1"/>
  <c r="Y575" i="1" s="1"/>
  <c r="Z575" i="1" s="1"/>
  <c r="BH25" i="4"/>
  <c r="P172" i="1"/>
  <c r="Q172" i="1" s="1"/>
  <c r="R172" i="1" s="1"/>
  <c r="S172" i="1" s="1"/>
  <c r="T172" i="1" s="1"/>
  <c r="U172" i="1" s="1"/>
  <c r="V172" i="1" s="1"/>
  <c r="W172" i="1" s="1"/>
  <c r="X172" i="1" s="1"/>
  <c r="Y172" i="1" s="1"/>
  <c r="Z172" i="1" s="1"/>
  <c r="BH772" i="4"/>
  <c r="AC323" i="1"/>
  <c r="AT323" i="1"/>
  <c r="O323" i="1"/>
  <c r="P323" i="1" s="1"/>
  <c r="Q323" i="1" s="1"/>
  <c r="R323" i="1" s="1"/>
  <c r="S323" i="1" s="1"/>
  <c r="T323" i="1" s="1"/>
  <c r="U323" i="1" s="1"/>
  <c r="V323" i="1" s="1"/>
  <c r="W323" i="1" s="1"/>
  <c r="X323" i="1" s="1"/>
  <c r="Y323" i="1" s="1"/>
  <c r="Z323" i="1" s="1"/>
  <c r="N323" i="1"/>
  <c r="P342" i="1"/>
  <c r="Q342" i="1" s="1"/>
  <c r="R342" i="1" s="1"/>
  <c r="S342" i="1" s="1"/>
  <c r="T342" i="1" s="1"/>
  <c r="U342" i="1" s="1"/>
  <c r="V342" i="1" s="1"/>
  <c r="W342" i="1" s="1"/>
  <c r="X342" i="1" s="1"/>
  <c r="Y342" i="1" s="1"/>
  <c r="Z342" i="1" s="1"/>
  <c r="AC348" i="1"/>
  <c r="O348" i="1"/>
  <c r="P348" i="1" s="1"/>
  <c r="Q348" i="1" s="1"/>
  <c r="R348" i="1" s="1"/>
  <c r="S348" i="1" s="1"/>
  <c r="T348" i="1" s="1"/>
  <c r="U348" i="1" s="1"/>
  <c r="V348" i="1" s="1"/>
  <c r="W348" i="1" s="1"/>
  <c r="X348" i="1" s="1"/>
  <c r="Y348" i="1" s="1"/>
  <c r="Z348" i="1" s="1"/>
  <c r="AT348" i="1"/>
  <c r="N348" i="1"/>
  <c r="AT356" i="1"/>
  <c r="N356" i="1"/>
  <c r="O356" i="1"/>
  <c r="AC356" i="1"/>
  <c r="P366" i="1"/>
  <c r="Q366" i="1" s="1"/>
  <c r="R366" i="1" s="1"/>
  <c r="S366" i="1" s="1"/>
  <c r="T366" i="1" s="1"/>
  <c r="U366" i="1" s="1"/>
  <c r="V366" i="1" s="1"/>
  <c r="W366" i="1" s="1"/>
  <c r="X366" i="1" s="1"/>
  <c r="Y366" i="1" s="1"/>
  <c r="Z366" i="1" s="1"/>
  <c r="AT157" i="1"/>
  <c r="O157" i="1"/>
  <c r="AC157" i="1"/>
  <c r="N157" i="1"/>
  <c r="P372" i="1"/>
  <c r="Q372" i="1" s="1"/>
  <c r="R372" i="1" s="1"/>
  <c r="S372" i="1" s="1"/>
  <c r="T372" i="1" s="1"/>
  <c r="U372" i="1" s="1"/>
  <c r="V372" i="1" s="1"/>
  <c r="W372" i="1" s="1"/>
  <c r="X372" i="1" s="1"/>
  <c r="Y372" i="1" s="1"/>
  <c r="Z372" i="1" s="1"/>
  <c r="O380" i="1"/>
  <c r="N380" i="1"/>
  <c r="AC380" i="1"/>
  <c r="O400" i="1"/>
  <c r="N400" i="1"/>
  <c r="AC400" i="1"/>
  <c r="AT412" i="1"/>
  <c r="AC412" i="1"/>
  <c r="N412" i="1"/>
  <c r="O412" i="1"/>
  <c r="O420" i="1"/>
  <c r="N420" i="1"/>
  <c r="AT428" i="1"/>
  <c r="O428" i="1"/>
  <c r="N428" i="1"/>
  <c r="AC428" i="1"/>
  <c r="AT437" i="1"/>
  <c r="O437" i="1"/>
  <c r="P437" i="1" s="1"/>
  <c r="Q437" i="1" s="1"/>
  <c r="R437" i="1" s="1"/>
  <c r="S437" i="1" s="1"/>
  <c r="T437" i="1" s="1"/>
  <c r="U437" i="1" s="1"/>
  <c r="V437" i="1" s="1"/>
  <c r="W437" i="1" s="1"/>
  <c r="X437" i="1" s="1"/>
  <c r="Y437" i="1" s="1"/>
  <c r="Z437" i="1" s="1"/>
  <c r="AC437" i="1"/>
  <c r="N437" i="1"/>
  <c r="AC445" i="1"/>
  <c r="O445" i="1"/>
  <c r="P445" i="1" s="1"/>
  <c r="Q445" i="1" s="1"/>
  <c r="R445" i="1" s="1"/>
  <c r="S445" i="1" s="1"/>
  <c r="T445" i="1" s="1"/>
  <c r="U445" i="1" s="1"/>
  <c r="V445" i="1" s="1"/>
  <c r="W445" i="1" s="1"/>
  <c r="X445" i="1" s="1"/>
  <c r="Y445" i="1" s="1"/>
  <c r="Z445" i="1" s="1"/>
  <c r="N445" i="1"/>
  <c r="AT445" i="1"/>
  <c r="AC453" i="1"/>
  <c r="O453" i="1"/>
  <c r="P453" i="1" s="1"/>
  <c r="Q453" i="1" s="1"/>
  <c r="R453" i="1" s="1"/>
  <c r="S453" i="1" s="1"/>
  <c r="T453" i="1" s="1"/>
  <c r="U453" i="1" s="1"/>
  <c r="V453" i="1" s="1"/>
  <c r="W453" i="1" s="1"/>
  <c r="X453" i="1" s="1"/>
  <c r="Y453" i="1" s="1"/>
  <c r="Z453" i="1" s="1"/>
  <c r="AT453" i="1"/>
  <c r="N453" i="1"/>
  <c r="N461" i="1"/>
  <c r="O461" i="1"/>
  <c r="P461" i="1" s="1"/>
  <c r="Q461" i="1" s="1"/>
  <c r="R461" i="1" s="1"/>
  <c r="S461" i="1" s="1"/>
  <c r="T461" i="1" s="1"/>
  <c r="U461" i="1" s="1"/>
  <c r="V461" i="1" s="1"/>
  <c r="W461" i="1" s="1"/>
  <c r="X461" i="1" s="1"/>
  <c r="Y461" i="1" s="1"/>
  <c r="Z461" i="1" s="1"/>
  <c r="AC461" i="1"/>
  <c r="AT461" i="1"/>
  <c r="AC475" i="1"/>
  <c r="N475" i="1"/>
  <c r="AT475" i="1"/>
  <c r="O475" i="1"/>
  <c r="AT482" i="1"/>
  <c r="O482" i="1"/>
  <c r="P482" i="1" s="1"/>
  <c r="Q482" i="1" s="1"/>
  <c r="R482" i="1" s="1"/>
  <c r="S482" i="1" s="1"/>
  <c r="T482" i="1" s="1"/>
  <c r="U482" i="1" s="1"/>
  <c r="V482" i="1" s="1"/>
  <c r="W482" i="1" s="1"/>
  <c r="X482" i="1" s="1"/>
  <c r="Y482" i="1" s="1"/>
  <c r="Z482" i="1" s="1"/>
  <c r="AC482" i="1"/>
  <c r="N482" i="1"/>
  <c r="AC490" i="1"/>
  <c r="O490" i="1"/>
  <c r="P490" i="1" s="1"/>
  <c r="Q490" i="1" s="1"/>
  <c r="R490" i="1" s="1"/>
  <c r="S490" i="1" s="1"/>
  <c r="T490" i="1" s="1"/>
  <c r="U490" i="1" s="1"/>
  <c r="V490" i="1" s="1"/>
  <c r="W490" i="1" s="1"/>
  <c r="X490" i="1" s="1"/>
  <c r="Y490" i="1" s="1"/>
  <c r="Z490" i="1" s="1"/>
  <c r="BV490" i="1" s="1"/>
  <c r="N490" i="1"/>
  <c r="N502" i="1"/>
  <c r="AT502" i="1"/>
  <c r="AC502" i="1"/>
  <c r="O502" i="1"/>
  <c r="N45" i="1"/>
  <c r="O45" i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C45" i="1"/>
  <c r="AT45" i="1"/>
  <c r="N59" i="1"/>
  <c r="AT59" i="1"/>
  <c r="AC59" i="1"/>
  <c r="O59" i="1"/>
  <c r="P59" i="1" s="1"/>
  <c r="Q59" i="1" s="1"/>
  <c r="R59" i="1" s="1"/>
  <c r="S59" i="1" s="1"/>
  <c r="T59" i="1" s="1"/>
  <c r="U59" i="1" s="1"/>
  <c r="V59" i="1" s="1"/>
  <c r="W59" i="1" s="1"/>
  <c r="X59" i="1" s="1"/>
  <c r="Y59" i="1" s="1"/>
  <c r="Z59" i="1" s="1"/>
  <c r="AC102" i="1"/>
  <c r="AT102" i="1"/>
  <c r="N102" i="1"/>
  <c r="O102" i="1"/>
  <c r="P102" i="1" s="1"/>
  <c r="Q102" i="1" s="1"/>
  <c r="R102" i="1" s="1"/>
  <c r="S102" i="1" s="1"/>
  <c r="T102" i="1" s="1"/>
  <c r="U102" i="1" s="1"/>
  <c r="V102" i="1" s="1"/>
  <c r="W102" i="1" s="1"/>
  <c r="X102" i="1" s="1"/>
  <c r="Y102" i="1" s="1"/>
  <c r="Z102" i="1" s="1"/>
  <c r="O150" i="1"/>
  <c r="P150" i="1" s="1"/>
  <c r="Q150" i="1" s="1"/>
  <c r="R150" i="1" s="1"/>
  <c r="S150" i="1" s="1"/>
  <c r="T150" i="1" s="1"/>
  <c r="U150" i="1" s="1"/>
  <c r="V150" i="1" s="1"/>
  <c r="W150" i="1" s="1"/>
  <c r="X150" i="1" s="1"/>
  <c r="Y150" i="1" s="1"/>
  <c r="Z150" i="1" s="1"/>
  <c r="BV150" i="1" s="1"/>
  <c r="N150" i="1"/>
  <c r="P300" i="1"/>
  <c r="Q300" i="1" s="1"/>
  <c r="R300" i="1" s="1"/>
  <c r="S300" i="1" s="1"/>
  <c r="T300" i="1" s="1"/>
  <c r="U300" i="1" s="1"/>
  <c r="V300" i="1" s="1"/>
  <c r="W300" i="1" s="1"/>
  <c r="X300" i="1" s="1"/>
  <c r="Y300" i="1" s="1"/>
  <c r="Z300" i="1" s="1"/>
  <c r="P532" i="1"/>
  <c r="Q532" i="1" s="1"/>
  <c r="R532" i="1" s="1"/>
  <c r="S532" i="1" s="1"/>
  <c r="T532" i="1" s="1"/>
  <c r="U532" i="1" s="1"/>
  <c r="V532" i="1" s="1"/>
  <c r="W532" i="1" s="1"/>
  <c r="X532" i="1" s="1"/>
  <c r="Y532" i="1" s="1"/>
  <c r="Z532" i="1" s="1"/>
  <c r="AC36" i="1"/>
  <c r="O36" i="1"/>
  <c r="P36" i="1" s="1"/>
  <c r="Q36" i="1" s="1"/>
  <c r="R36" i="1" s="1"/>
  <c r="S36" i="1" s="1"/>
  <c r="T36" i="1" s="1"/>
  <c r="U36" i="1" s="1"/>
  <c r="V36" i="1" s="1"/>
  <c r="W36" i="1" s="1"/>
  <c r="X36" i="1" s="1"/>
  <c r="Y36" i="1" s="1"/>
  <c r="Z36" i="1" s="1"/>
  <c r="AT36" i="1"/>
  <c r="N36" i="1"/>
  <c r="AC111" i="1"/>
  <c r="O111" i="1"/>
  <c r="N111" i="1"/>
  <c r="AT128" i="1"/>
  <c r="AC128" i="1"/>
  <c r="N128" i="1"/>
  <c r="O128" i="1"/>
  <c r="P128" i="1" s="1"/>
  <c r="Q128" i="1" s="1"/>
  <c r="R128" i="1" s="1"/>
  <c r="S128" i="1" s="1"/>
  <c r="T128" i="1" s="1"/>
  <c r="U128" i="1" s="1"/>
  <c r="V128" i="1" s="1"/>
  <c r="W128" i="1" s="1"/>
  <c r="X128" i="1" s="1"/>
  <c r="Y128" i="1" s="1"/>
  <c r="Z128" i="1" s="1"/>
  <c r="AT136" i="1"/>
  <c r="AC136" i="1"/>
  <c r="O136" i="1"/>
  <c r="P136" i="1" s="1"/>
  <c r="Q136" i="1" s="1"/>
  <c r="R136" i="1" s="1"/>
  <c r="S136" i="1" s="1"/>
  <c r="T136" i="1" s="1"/>
  <c r="U136" i="1" s="1"/>
  <c r="V136" i="1" s="1"/>
  <c r="W136" i="1" s="1"/>
  <c r="X136" i="1" s="1"/>
  <c r="Y136" i="1" s="1"/>
  <c r="Z136" i="1" s="1"/>
  <c r="N136" i="1"/>
  <c r="N144" i="1"/>
  <c r="O144" i="1"/>
  <c r="P144" i="1" s="1"/>
  <c r="Q144" i="1" s="1"/>
  <c r="R144" i="1" s="1"/>
  <c r="S144" i="1" s="1"/>
  <c r="T144" i="1" s="1"/>
  <c r="U144" i="1" s="1"/>
  <c r="V144" i="1" s="1"/>
  <c r="W144" i="1" s="1"/>
  <c r="X144" i="1" s="1"/>
  <c r="Y144" i="1" s="1"/>
  <c r="Z144" i="1" s="1"/>
  <c r="O63" i="1"/>
  <c r="AC63" i="1"/>
  <c r="AT63" i="1"/>
  <c r="N63" i="1"/>
  <c r="O117" i="1"/>
  <c r="N117" i="1"/>
  <c r="AC117" i="1"/>
  <c r="AT117" i="1"/>
  <c r="P28" i="1"/>
  <c r="Q28" i="1" s="1"/>
  <c r="R28" i="1" s="1"/>
  <c r="S28" i="1" s="1"/>
  <c r="T28" i="1" s="1"/>
  <c r="U28" i="1" s="1"/>
  <c r="V28" i="1" s="1"/>
  <c r="W28" i="1" s="1"/>
  <c r="X28" i="1" s="1"/>
  <c r="Y28" i="1" s="1"/>
  <c r="Z28" i="1" s="1"/>
  <c r="O41" i="1"/>
  <c r="P41" i="1" s="1"/>
  <c r="Q41" i="1" s="1"/>
  <c r="R41" i="1" s="1"/>
  <c r="S41" i="1" s="1"/>
  <c r="T41" i="1" s="1"/>
  <c r="U41" i="1" s="1"/>
  <c r="V41" i="1" s="1"/>
  <c r="W41" i="1" s="1"/>
  <c r="X41" i="1" s="1"/>
  <c r="Y41" i="1" s="1"/>
  <c r="Z41" i="1" s="1"/>
  <c r="BV41" i="1" s="1"/>
  <c r="AC41" i="1"/>
  <c r="N41" i="1"/>
  <c r="N121" i="1"/>
  <c r="AC121" i="1"/>
  <c r="O121" i="1"/>
  <c r="AT121" i="1"/>
  <c r="AC159" i="1"/>
  <c r="O159" i="1"/>
  <c r="N159" i="1"/>
  <c r="AT159" i="1"/>
  <c r="AC174" i="1"/>
  <c r="N174" i="1"/>
  <c r="AT174" i="1"/>
  <c r="O174" i="1"/>
  <c r="N503" i="1"/>
  <c r="AC503" i="1"/>
  <c r="O503" i="1"/>
  <c r="N203" i="1"/>
  <c r="AT203" i="1"/>
  <c r="O203" i="1"/>
  <c r="AC203" i="1"/>
  <c r="AT215" i="1"/>
  <c r="AC215" i="1"/>
  <c r="O215" i="1"/>
  <c r="N215" i="1"/>
  <c r="AC232" i="1"/>
  <c r="N232" i="1"/>
  <c r="AT232" i="1"/>
  <c r="O232" i="1"/>
  <c r="P232" i="1" s="1"/>
  <c r="Q232" i="1" s="1"/>
  <c r="R232" i="1" s="1"/>
  <c r="S232" i="1" s="1"/>
  <c r="T232" i="1" s="1"/>
  <c r="U232" i="1" s="1"/>
  <c r="V232" i="1" s="1"/>
  <c r="W232" i="1" s="1"/>
  <c r="X232" i="1" s="1"/>
  <c r="Y232" i="1" s="1"/>
  <c r="Z232" i="1" s="1"/>
  <c r="O248" i="1"/>
  <c r="P248" i="1" s="1"/>
  <c r="Q248" i="1" s="1"/>
  <c r="R248" i="1" s="1"/>
  <c r="S248" i="1" s="1"/>
  <c r="T248" i="1" s="1"/>
  <c r="U248" i="1" s="1"/>
  <c r="V248" i="1" s="1"/>
  <c r="W248" i="1" s="1"/>
  <c r="X248" i="1" s="1"/>
  <c r="Y248" i="1" s="1"/>
  <c r="Z248" i="1" s="1"/>
  <c r="AT248" i="1"/>
  <c r="N248" i="1"/>
  <c r="AC248" i="1"/>
  <c r="N256" i="1"/>
  <c r="AT256" i="1"/>
  <c r="O256" i="1"/>
  <c r="AC256" i="1"/>
  <c r="N272" i="1"/>
  <c r="AC272" i="1"/>
  <c r="O272" i="1"/>
  <c r="AT272" i="1"/>
  <c r="P284" i="1"/>
  <c r="Q284" i="1" s="1"/>
  <c r="R284" i="1" s="1"/>
  <c r="S284" i="1" s="1"/>
  <c r="T284" i="1" s="1"/>
  <c r="U284" i="1" s="1"/>
  <c r="V284" i="1" s="1"/>
  <c r="W284" i="1" s="1"/>
  <c r="X284" i="1" s="1"/>
  <c r="Y284" i="1" s="1"/>
  <c r="Z284" i="1" s="1"/>
  <c r="AT293" i="1"/>
  <c r="O293" i="1"/>
  <c r="AC293" i="1"/>
  <c r="N293" i="1"/>
  <c r="AC307" i="1"/>
  <c r="N307" i="1"/>
  <c r="AT307" i="1"/>
  <c r="O307" i="1"/>
  <c r="AT315" i="1"/>
  <c r="N315" i="1"/>
  <c r="O315" i="1"/>
  <c r="P315" i="1" s="1"/>
  <c r="Q315" i="1" s="1"/>
  <c r="R315" i="1" s="1"/>
  <c r="S315" i="1" s="1"/>
  <c r="T315" i="1" s="1"/>
  <c r="U315" i="1" s="1"/>
  <c r="V315" i="1" s="1"/>
  <c r="W315" i="1" s="1"/>
  <c r="X315" i="1" s="1"/>
  <c r="Y315" i="1" s="1"/>
  <c r="Z315" i="1" s="1"/>
  <c r="AC315" i="1"/>
  <c r="O561" i="1"/>
  <c r="P561" i="1" s="1"/>
  <c r="Q561" i="1" s="1"/>
  <c r="R561" i="1" s="1"/>
  <c r="S561" i="1" s="1"/>
  <c r="AT349" i="1"/>
  <c r="N349" i="1"/>
  <c r="AC349" i="1"/>
  <c r="O349" i="1"/>
  <c r="P349" i="1" s="1"/>
  <c r="Q349" i="1" s="1"/>
  <c r="R349" i="1" s="1"/>
  <c r="S349" i="1" s="1"/>
  <c r="T349" i="1" s="1"/>
  <c r="U349" i="1" s="1"/>
  <c r="V349" i="1" s="1"/>
  <c r="W349" i="1" s="1"/>
  <c r="X349" i="1" s="1"/>
  <c r="Y349" i="1" s="1"/>
  <c r="Z349" i="1" s="1"/>
  <c r="O357" i="1"/>
  <c r="P357" i="1" s="1"/>
  <c r="Q357" i="1" s="1"/>
  <c r="R357" i="1" s="1"/>
  <c r="S357" i="1" s="1"/>
  <c r="T357" i="1" s="1"/>
  <c r="U357" i="1" s="1"/>
  <c r="V357" i="1" s="1"/>
  <c r="W357" i="1" s="1"/>
  <c r="X357" i="1" s="1"/>
  <c r="Y357" i="1" s="1"/>
  <c r="Z357" i="1" s="1"/>
  <c r="AT357" i="1"/>
  <c r="N357" i="1"/>
  <c r="AC357" i="1"/>
  <c r="AC158" i="1"/>
  <c r="O158" i="1"/>
  <c r="N158" i="1"/>
  <c r="AT158" i="1"/>
  <c r="AC381" i="1"/>
  <c r="AT381" i="1"/>
  <c r="N381" i="1"/>
  <c r="O381" i="1"/>
  <c r="AT393" i="1"/>
  <c r="AC393" i="1"/>
  <c r="O393" i="1"/>
  <c r="N393" i="1"/>
  <c r="AC401" i="1"/>
  <c r="N401" i="1"/>
  <c r="O401" i="1"/>
  <c r="AT401" i="1"/>
  <c r="N413" i="1"/>
  <c r="AT413" i="1"/>
  <c r="AC413" i="1"/>
  <c r="O413" i="1"/>
  <c r="N429" i="1"/>
  <c r="AC429" i="1"/>
  <c r="AT429" i="1"/>
  <c r="O429" i="1"/>
  <c r="N438" i="1"/>
  <c r="AT438" i="1"/>
  <c r="AC438" i="1"/>
  <c r="O438" i="1"/>
  <c r="P438" i="1" s="1"/>
  <c r="Q438" i="1" s="1"/>
  <c r="R438" i="1" s="1"/>
  <c r="S438" i="1" s="1"/>
  <c r="T438" i="1" s="1"/>
  <c r="U438" i="1" s="1"/>
  <c r="V438" i="1" s="1"/>
  <c r="W438" i="1" s="1"/>
  <c r="X438" i="1" s="1"/>
  <c r="Y438" i="1" s="1"/>
  <c r="Z438" i="1" s="1"/>
  <c r="AT446" i="1"/>
  <c r="O446" i="1"/>
  <c r="P446" i="1" s="1"/>
  <c r="Q446" i="1" s="1"/>
  <c r="R446" i="1" s="1"/>
  <c r="S446" i="1" s="1"/>
  <c r="T446" i="1" s="1"/>
  <c r="U446" i="1" s="1"/>
  <c r="V446" i="1" s="1"/>
  <c r="W446" i="1" s="1"/>
  <c r="X446" i="1" s="1"/>
  <c r="Y446" i="1" s="1"/>
  <c r="Z446" i="1" s="1"/>
  <c r="AC446" i="1"/>
  <c r="N446" i="1"/>
  <c r="N454" i="1"/>
  <c r="AC454" i="1"/>
  <c r="O454" i="1"/>
  <c r="P454" i="1" s="1"/>
  <c r="Q454" i="1" s="1"/>
  <c r="R454" i="1" s="1"/>
  <c r="S454" i="1" s="1"/>
  <c r="T454" i="1" s="1"/>
  <c r="U454" i="1" s="1"/>
  <c r="V454" i="1" s="1"/>
  <c r="W454" i="1" s="1"/>
  <c r="X454" i="1" s="1"/>
  <c r="Y454" i="1" s="1"/>
  <c r="Z454" i="1" s="1"/>
  <c r="AT454" i="1"/>
  <c r="N462" i="1"/>
  <c r="O462" i="1"/>
  <c r="P462" i="1" s="1"/>
  <c r="Q462" i="1" s="1"/>
  <c r="R462" i="1" s="1"/>
  <c r="S462" i="1" s="1"/>
  <c r="T462" i="1" s="1"/>
  <c r="U462" i="1" s="1"/>
  <c r="V462" i="1" s="1"/>
  <c r="W462" i="1" s="1"/>
  <c r="X462" i="1" s="1"/>
  <c r="Y462" i="1" s="1"/>
  <c r="Z462" i="1" s="1"/>
  <c r="AC462" i="1"/>
  <c r="AT462" i="1"/>
  <c r="AC471" i="1"/>
  <c r="N471" i="1"/>
  <c r="O471" i="1"/>
  <c r="AT471" i="1"/>
  <c r="AT479" i="1"/>
  <c r="AC479" i="1"/>
  <c r="O479" i="1"/>
  <c r="P479" i="1" s="1"/>
  <c r="Q479" i="1" s="1"/>
  <c r="R479" i="1" s="1"/>
  <c r="S479" i="1" s="1"/>
  <c r="T479" i="1" s="1"/>
  <c r="U479" i="1" s="1"/>
  <c r="V479" i="1" s="1"/>
  <c r="W479" i="1" s="1"/>
  <c r="X479" i="1" s="1"/>
  <c r="Y479" i="1" s="1"/>
  <c r="Z479" i="1" s="1"/>
  <c r="N479" i="1"/>
  <c r="N491" i="1"/>
  <c r="AC491" i="1"/>
  <c r="O491" i="1"/>
  <c r="P491" i="1" s="1"/>
  <c r="Q491" i="1" s="1"/>
  <c r="R491" i="1" s="1"/>
  <c r="S491" i="1" s="1"/>
  <c r="T491" i="1" s="1"/>
  <c r="U491" i="1" s="1"/>
  <c r="V491" i="1" s="1"/>
  <c r="W491" i="1" s="1"/>
  <c r="X491" i="1" s="1"/>
  <c r="Y491" i="1" s="1"/>
  <c r="Z491" i="1" s="1"/>
  <c r="BV491" i="1" s="1"/>
  <c r="AT499" i="1"/>
  <c r="O499" i="1"/>
  <c r="N499" i="1"/>
  <c r="AC499" i="1"/>
  <c r="N47" i="1"/>
  <c r="O47" i="1"/>
  <c r="P47" i="1" s="1"/>
  <c r="Q47" i="1" s="1"/>
  <c r="R47" i="1" s="1"/>
  <c r="S47" i="1" s="1"/>
  <c r="T47" i="1" s="1"/>
  <c r="U47" i="1" s="1"/>
  <c r="V47" i="1" s="1"/>
  <c r="W47" i="1" s="1"/>
  <c r="X47" i="1" s="1"/>
  <c r="Y47" i="1" s="1"/>
  <c r="Z47" i="1" s="1"/>
  <c r="BV47" i="1" s="1"/>
  <c r="AC47" i="1"/>
  <c r="N60" i="1"/>
  <c r="O60" i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C60" i="1"/>
  <c r="AT60" i="1"/>
  <c r="N103" i="1"/>
  <c r="AC103" i="1"/>
  <c r="AT103" i="1"/>
  <c r="O103" i="1"/>
  <c r="P103" i="1" s="1"/>
  <c r="Q103" i="1" s="1"/>
  <c r="R103" i="1" s="1"/>
  <c r="S103" i="1" s="1"/>
  <c r="T103" i="1" s="1"/>
  <c r="U103" i="1" s="1"/>
  <c r="V103" i="1" s="1"/>
  <c r="W103" i="1" s="1"/>
  <c r="X103" i="1" s="1"/>
  <c r="Y103" i="1" s="1"/>
  <c r="Z103" i="1" s="1"/>
  <c r="O151" i="1"/>
  <c r="P151" i="1" s="1"/>
  <c r="Q151" i="1" s="1"/>
  <c r="R151" i="1" s="1"/>
  <c r="S151" i="1" s="1"/>
  <c r="T151" i="1" s="1"/>
  <c r="U151" i="1" s="1"/>
  <c r="V151" i="1" s="1"/>
  <c r="W151" i="1" s="1"/>
  <c r="X151" i="1" s="1"/>
  <c r="Y151" i="1" s="1"/>
  <c r="Z151" i="1" s="1"/>
  <c r="BV151" i="1" s="1"/>
  <c r="N151" i="1"/>
  <c r="P304" i="1"/>
  <c r="Q304" i="1" s="1"/>
  <c r="R304" i="1" s="1"/>
  <c r="S304" i="1" s="1"/>
  <c r="T304" i="1" s="1"/>
  <c r="U304" i="1" s="1"/>
  <c r="V304" i="1" s="1"/>
  <c r="W304" i="1" s="1"/>
  <c r="X304" i="1" s="1"/>
  <c r="Y304" i="1" s="1"/>
  <c r="Z304" i="1" s="1"/>
  <c r="P186" i="1"/>
  <c r="Q186" i="1" s="1"/>
  <c r="R186" i="1" s="1"/>
  <c r="S186" i="1" s="1"/>
  <c r="T186" i="1" s="1"/>
  <c r="U186" i="1" s="1"/>
  <c r="V186" i="1" s="1"/>
  <c r="W186" i="1" s="1"/>
  <c r="X186" i="1" s="1"/>
  <c r="Y186" i="1" s="1"/>
  <c r="Z186" i="1" s="1"/>
  <c r="AC37" i="1"/>
  <c r="O37" i="1"/>
  <c r="P37" i="1" s="1"/>
  <c r="Q37" i="1" s="1"/>
  <c r="R37" i="1" s="1"/>
  <c r="S37" i="1" s="1"/>
  <c r="T37" i="1" s="1"/>
  <c r="U37" i="1" s="1"/>
  <c r="V37" i="1" s="1"/>
  <c r="W37" i="1" s="1"/>
  <c r="X37" i="1" s="1"/>
  <c r="Y37" i="1" s="1"/>
  <c r="Z37" i="1" s="1"/>
  <c r="N37" i="1"/>
  <c r="AT37" i="1"/>
  <c r="AT116" i="1"/>
  <c r="AC116" i="1"/>
  <c r="N116" i="1"/>
  <c r="O116" i="1"/>
  <c r="P116" i="1" s="1"/>
  <c r="Q116" i="1" s="1"/>
  <c r="R116" i="1" s="1"/>
  <c r="S116" i="1" s="1"/>
  <c r="T116" i="1" s="1"/>
  <c r="U116" i="1" s="1"/>
  <c r="V116" i="1" s="1"/>
  <c r="W116" i="1" s="1"/>
  <c r="X116" i="1" s="1"/>
  <c r="Y116" i="1" s="1"/>
  <c r="Z116" i="1" s="1"/>
  <c r="O129" i="1"/>
  <c r="P129" i="1" s="1"/>
  <c r="Q129" i="1" s="1"/>
  <c r="R129" i="1" s="1"/>
  <c r="S129" i="1" s="1"/>
  <c r="T129" i="1" s="1"/>
  <c r="U129" i="1" s="1"/>
  <c r="V129" i="1" s="1"/>
  <c r="W129" i="1" s="1"/>
  <c r="X129" i="1" s="1"/>
  <c r="Y129" i="1" s="1"/>
  <c r="Z129" i="1" s="1"/>
  <c r="AC129" i="1"/>
  <c r="AT129" i="1"/>
  <c r="N129" i="1"/>
  <c r="O137" i="1"/>
  <c r="P137" i="1" s="1"/>
  <c r="Q137" i="1" s="1"/>
  <c r="R137" i="1" s="1"/>
  <c r="S137" i="1" s="1"/>
  <c r="T137" i="1" s="1"/>
  <c r="U137" i="1" s="1"/>
  <c r="V137" i="1" s="1"/>
  <c r="W137" i="1" s="1"/>
  <c r="X137" i="1" s="1"/>
  <c r="Y137" i="1" s="1"/>
  <c r="Z137" i="1" s="1"/>
  <c r="AC137" i="1"/>
  <c r="AT137" i="1"/>
  <c r="N137" i="1"/>
  <c r="N42" i="1"/>
  <c r="O42" i="1"/>
  <c r="AT42" i="1"/>
  <c r="AC42" i="1"/>
  <c r="N71" i="1"/>
  <c r="O71" i="1"/>
  <c r="AC71" i="1"/>
  <c r="AT71" i="1"/>
  <c r="AT29" i="1"/>
  <c r="N29" i="1"/>
  <c r="O29" i="1"/>
  <c r="AC29" i="1"/>
  <c r="N109" i="1"/>
  <c r="AC109" i="1"/>
  <c r="O109" i="1"/>
  <c r="P109" i="1" s="1"/>
  <c r="Q109" i="1" s="1"/>
  <c r="R109" i="1" s="1"/>
  <c r="S109" i="1" s="1"/>
  <c r="T109" i="1" s="1"/>
  <c r="U109" i="1" s="1"/>
  <c r="V109" i="1" s="1"/>
  <c r="W109" i="1" s="1"/>
  <c r="X109" i="1" s="1"/>
  <c r="Y109" i="1" s="1"/>
  <c r="Z109" i="1" s="1"/>
  <c r="BV109" i="1" s="1"/>
  <c r="O167" i="1"/>
  <c r="P167" i="1" s="1"/>
  <c r="Q167" i="1" s="1"/>
  <c r="R167" i="1" s="1"/>
  <c r="S167" i="1" s="1"/>
  <c r="T167" i="1" s="1"/>
  <c r="U167" i="1" s="1"/>
  <c r="V167" i="1" s="1"/>
  <c r="W167" i="1" s="1"/>
  <c r="X167" i="1" s="1"/>
  <c r="Y167" i="1" s="1"/>
  <c r="Z167" i="1" s="1"/>
  <c r="AC167" i="1"/>
  <c r="AT167" i="1"/>
  <c r="N167" i="1"/>
  <c r="N175" i="1"/>
  <c r="O175" i="1"/>
  <c r="AT175" i="1"/>
  <c r="AC175" i="1"/>
  <c r="AT212" i="1"/>
  <c r="AC212" i="1"/>
  <c r="O212" i="1"/>
  <c r="N212" i="1"/>
  <c r="AT221" i="1"/>
  <c r="O221" i="1"/>
  <c r="P221" i="1" s="1"/>
  <c r="Q221" i="1" s="1"/>
  <c r="R221" i="1" s="1"/>
  <c r="S221" i="1" s="1"/>
  <c r="T221" i="1" s="1"/>
  <c r="U221" i="1" s="1"/>
  <c r="V221" i="1" s="1"/>
  <c r="W221" i="1" s="1"/>
  <c r="X221" i="1" s="1"/>
  <c r="Y221" i="1" s="1"/>
  <c r="Z221" i="1" s="1"/>
  <c r="AC221" i="1"/>
  <c r="N221" i="1"/>
  <c r="O245" i="1"/>
  <c r="P245" i="1" s="1"/>
  <c r="Q245" i="1" s="1"/>
  <c r="R245" i="1" s="1"/>
  <c r="S245" i="1" s="1"/>
  <c r="T245" i="1" s="1"/>
  <c r="U245" i="1" s="1"/>
  <c r="V245" i="1" s="1"/>
  <c r="W245" i="1" s="1"/>
  <c r="X245" i="1" s="1"/>
  <c r="Y245" i="1" s="1"/>
  <c r="Z245" i="1" s="1"/>
  <c r="BV245" i="1" s="1"/>
  <c r="N245" i="1"/>
  <c r="N254" i="1"/>
  <c r="AT254" i="1"/>
  <c r="O254" i="1"/>
  <c r="AC254" i="1"/>
  <c r="O261" i="1"/>
  <c r="AC261" i="1"/>
  <c r="N261" i="1"/>
  <c r="AT261" i="1"/>
  <c r="O269" i="1"/>
  <c r="N269" i="1"/>
  <c r="AT269" i="1"/>
  <c r="AC269" i="1"/>
  <c r="N277" i="1"/>
  <c r="AC277" i="1"/>
  <c r="O277" i="1"/>
  <c r="AT277" i="1"/>
  <c r="O286" i="1"/>
  <c r="AC286" i="1"/>
  <c r="AT286" i="1"/>
  <c r="N286" i="1"/>
  <c r="AT308" i="1"/>
  <c r="O308" i="1"/>
  <c r="AC308" i="1"/>
  <c r="N308" i="1"/>
  <c r="AT321" i="1"/>
  <c r="O321" i="1"/>
  <c r="P321" i="1" s="1"/>
  <c r="Q321" i="1" s="1"/>
  <c r="R321" i="1" s="1"/>
  <c r="S321" i="1" s="1"/>
  <c r="T321" i="1" s="1"/>
  <c r="U321" i="1" s="1"/>
  <c r="V321" i="1" s="1"/>
  <c r="W321" i="1" s="1"/>
  <c r="X321" i="1" s="1"/>
  <c r="Y321" i="1" s="1"/>
  <c r="Z321" i="1" s="1"/>
  <c r="N321" i="1"/>
  <c r="AC321" i="1"/>
  <c r="O336" i="1"/>
  <c r="P336" i="1" s="1"/>
  <c r="Q336" i="1" s="1"/>
  <c r="R336" i="1" s="1"/>
  <c r="S336" i="1" s="1"/>
  <c r="T336" i="1" s="1"/>
  <c r="U336" i="1" s="1"/>
  <c r="V336" i="1" s="1"/>
  <c r="W336" i="1" s="1"/>
  <c r="X336" i="1" s="1"/>
  <c r="Y336" i="1" s="1"/>
  <c r="Z336" i="1" s="1"/>
  <c r="AC336" i="1"/>
  <c r="AT336" i="1"/>
  <c r="N336" i="1"/>
  <c r="AT350" i="1"/>
  <c r="AC350" i="1"/>
  <c r="O350" i="1"/>
  <c r="P350" i="1" s="1"/>
  <c r="Q350" i="1" s="1"/>
  <c r="R350" i="1" s="1"/>
  <c r="S350" i="1" s="1"/>
  <c r="T350" i="1" s="1"/>
  <c r="U350" i="1" s="1"/>
  <c r="V350" i="1" s="1"/>
  <c r="W350" i="1" s="1"/>
  <c r="X350" i="1" s="1"/>
  <c r="Y350" i="1" s="1"/>
  <c r="Z350" i="1" s="1"/>
  <c r="N350" i="1"/>
  <c r="AT359" i="1"/>
  <c r="AC359" i="1"/>
  <c r="O359" i="1"/>
  <c r="N359" i="1"/>
  <c r="AT368" i="1"/>
  <c r="N368" i="1"/>
  <c r="AC368" i="1"/>
  <c r="O368" i="1"/>
  <c r="AC402" i="1"/>
  <c r="AT402" i="1"/>
  <c r="N402" i="1"/>
  <c r="O402" i="1"/>
  <c r="AT410" i="1"/>
  <c r="N410" i="1"/>
  <c r="AC410" i="1"/>
  <c r="O410" i="1"/>
  <c r="O422" i="1"/>
  <c r="AT422" i="1"/>
  <c r="N422" i="1"/>
  <c r="AC422" i="1"/>
  <c r="N430" i="1"/>
  <c r="AT430" i="1"/>
  <c r="O430" i="1"/>
  <c r="AC430" i="1"/>
  <c r="O439" i="1"/>
  <c r="P439" i="1" s="1"/>
  <c r="Q439" i="1" s="1"/>
  <c r="R439" i="1" s="1"/>
  <c r="S439" i="1" s="1"/>
  <c r="T439" i="1" s="1"/>
  <c r="U439" i="1" s="1"/>
  <c r="V439" i="1" s="1"/>
  <c r="W439" i="1" s="1"/>
  <c r="X439" i="1" s="1"/>
  <c r="Y439" i="1" s="1"/>
  <c r="Z439" i="1" s="1"/>
  <c r="BV439" i="1" s="1"/>
  <c r="AC439" i="1"/>
  <c r="N439" i="1"/>
  <c r="AT447" i="1"/>
  <c r="AC447" i="1"/>
  <c r="N447" i="1"/>
  <c r="O447" i="1"/>
  <c r="P447" i="1" s="1"/>
  <c r="Q447" i="1" s="1"/>
  <c r="R447" i="1" s="1"/>
  <c r="S447" i="1" s="1"/>
  <c r="T447" i="1" s="1"/>
  <c r="U447" i="1" s="1"/>
  <c r="V447" i="1" s="1"/>
  <c r="W447" i="1" s="1"/>
  <c r="X447" i="1" s="1"/>
  <c r="Y447" i="1" s="1"/>
  <c r="Z447" i="1" s="1"/>
  <c r="AT455" i="1"/>
  <c r="N455" i="1"/>
  <c r="O455" i="1"/>
  <c r="P455" i="1" s="1"/>
  <c r="Q455" i="1" s="1"/>
  <c r="R455" i="1" s="1"/>
  <c r="S455" i="1" s="1"/>
  <c r="T455" i="1" s="1"/>
  <c r="U455" i="1" s="1"/>
  <c r="V455" i="1" s="1"/>
  <c r="W455" i="1" s="1"/>
  <c r="X455" i="1" s="1"/>
  <c r="Y455" i="1" s="1"/>
  <c r="Z455" i="1" s="1"/>
  <c r="AC455" i="1"/>
  <c r="AT463" i="1"/>
  <c r="AC463" i="1"/>
  <c r="N463" i="1"/>
  <c r="O463" i="1"/>
  <c r="P463" i="1" s="1"/>
  <c r="Q463" i="1" s="1"/>
  <c r="R463" i="1" s="1"/>
  <c r="S463" i="1" s="1"/>
  <c r="T463" i="1" s="1"/>
  <c r="U463" i="1" s="1"/>
  <c r="V463" i="1" s="1"/>
  <c r="W463" i="1" s="1"/>
  <c r="X463" i="1" s="1"/>
  <c r="Y463" i="1" s="1"/>
  <c r="Z463" i="1" s="1"/>
  <c r="N473" i="1"/>
  <c r="AC473" i="1"/>
  <c r="O473" i="1"/>
  <c r="AT473" i="1"/>
  <c r="N480" i="1"/>
  <c r="AC480" i="1"/>
  <c r="AT480" i="1"/>
  <c r="O480" i="1"/>
  <c r="P480" i="1" s="1"/>
  <c r="Q480" i="1" s="1"/>
  <c r="R480" i="1" s="1"/>
  <c r="S480" i="1" s="1"/>
  <c r="T480" i="1" s="1"/>
  <c r="U480" i="1" s="1"/>
  <c r="V480" i="1" s="1"/>
  <c r="W480" i="1" s="1"/>
  <c r="X480" i="1" s="1"/>
  <c r="Y480" i="1" s="1"/>
  <c r="Z480" i="1" s="1"/>
  <c r="O488" i="1"/>
  <c r="P488" i="1" s="1"/>
  <c r="Q488" i="1" s="1"/>
  <c r="R488" i="1" s="1"/>
  <c r="S488" i="1" s="1"/>
  <c r="T488" i="1" s="1"/>
  <c r="U488" i="1" s="1"/>
  <c r="V488" i="1" s="1"/>
  <c r="W488" i="1" s="1"/>
  <c r="X488" i="1" s="1"/>
  <c r="Y488" i="1" s="1"/>
  <c r="Z488" i="1" s="1"/>
  <c r="AC488" i="1"/>
  <c r="N488" i="1"/>
  <c r="AT488" i="1"/>
  <c r="AC496" i="1"/>
  <c r="O496" i="1"/>
  <c r="P496" i="1" s="1"/>
  <c r="Q496" i="1" s="1"/>
  <c r="R496" i="1" s="1"/>
  <c r="S496" i="1" s="1"/>
  <c r="T496" i="1" s="1"/>
  <c r="U496" i="1" s="1"/>
  <c r="V496" i="1" s="1"/>
  <c r="W496" i="1" s="1"/>
  <c r="X496" i="1" s="1"/>
  <c r="Y496" i="1" s="1"/>
  <c r="Z496" i="1" s="1"/>
  <c r="BV496" i="1" s="1"/>
  <c r="N496" i="1"/>
  <c r="BH121" i="4"/>
  <c r="BH236" i="4"/>
  <c r="BH235" i="4"/>
  <c r="BH26" i="4"/>
  <c r="O6" i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C6" i="1"/>
  <c r="AT6" i="1"/>
  <c r="N6" i="1"/>
  <c r="O38" i="1"/>
  <c r="P38" i="1" s="1"/>
  <c r="Q38" i="1" s="1"/>
  <c r="R38" i="1" s="1"/>
  <c r="S38" i="1" s="1"/>
  <c r="T38" i="1" s="1"/>
  <c r="U38" i="1" s="1"/>
  <c r="V38" i="1" s="1"/>
  <c r="W38" i="1" s="1"/>
  <c r="X38" i="1" s="1"/>
  <c r="Y38" i="1" s="1"/>
  <c r="Z38" i="1" s="1"/>
  <c r="N38" i="1"/>
  <c r="AC38" i="1"/>
  <c r="AT38" i="1"/>
  <c r="O122" i="1"/>
  <c r="P122" i="1" s="1"/>
  <c r="Q122" i="1" s="1"/>
  <c r="R122" i="1" s="1"/>
  <c r="S122" i="1" s="1"/>
  <c r="T122" i="1" s="1"/>
  <c r="U122" i="1" s="1"/>
  <c r="V122" i="1" s="1"/>
  <c r="W122" i="1" s="1"/>
  <c r="X122" i="1" s="1"/>
  <c r="Y122" i="1" s="1"/>
  <c r="Z122" i="1" s="1"/>
  <c r="N122" i="1"/>
  <c r="AC122" i="1"/>
  <c r="AT122" i="1"/>
  <c r="O130" i="1"/>
  <c r="P130" i="1" s="1"/>
  <c r="Q130" i="1" s="1"/>
  <c r="R130" i="1" s="1"/>
  <c r="S130" i="1" s="1"/>
  <c r="T130" i="1" s="1"/>
  <c r="U130" i="1" s="1"/>
  <c r="V130" i="1" s="1"/>
  <c r="W130" i="1" s="1"/>
  <c r="X130" i="1" s="1"/>
  <c r="Y130" i="1" s="1"/>
  <c r="Z130" i="1" s="1"/>
  <c r="AT130" i="1"/>
  <c r="N130" i="1"/>
  <c r="AC130" i="1"/>
  <c r="O138" i="1"/>
  <c r="P138" i="1" s="1"/>
  <c r="Q138" i="1" s="1"/>
  <c r="R138" i="1" s="1"/>
  <c r="S138" i="1" s="1"/>
  <c r="T138" i="1" s="1"/>
  <c r="U138" i="1" s="1"/>
  <c r="V138" i="1" s="1"/>
  <c r="W138" i="1" s="1"/>
  <c r="X138" i="1" s="1"/>
  <c r="Y138" i="1" s="1"/>
  <c r="Z138" i="1" s="1"/>
  <c r="AT138" i="1"/>
  <c r="AC138" i="1"/>
  <c r="N138" i="1"/>
  <c r="AT148" i="1"/>
  <c r="AC148" i="1"/>
  <c r="N148" i="1"/>
  <c r="O148" i="1"/>
  <c r="P148" i="1" s="1"/>
  <c r="Q148" i="1" s="1"/>
  <c r="R148" i="1" s="1"/>
  <c r="S148" i="1" s="1"/>
  <c r="T148" i="1" s="1"/>
  <c r="U148" i="1" s="1"/>
  <c r="V148" i="1" s="1"/>
  <c r="W148" i="1" s="1"/>
  <c r="X148" i="1" s="1"/>
  <c r="Y148" i="1" s="1"/>
  <c r="Z148" i="1" s="1"/>
  <c r="O73" i="1"/>
  <c r="AC73" i="1"/>
  <c r="AT73" i="1"/>
  <c r="N73" i="1"/>
  <c r="O39" i="1"/>
  <c r="P39" i="1" s="1"/>
  <c r="Q39" i="1" s="1"/>
  <c r="R39" i="1" s="1"/>
  <c r="S39" i="1" s="1"/>
  <c r="T39" i="1" s="1"/>
  <c r="U39" i="1" s="1"/>
  <c r="V39" i="1" s="1"/>
  <c r="W39" i="1" s="1"/>
  <c r="X39" i="1" s="1"/>
  <c r="Y39" i="1" s="1"/>
  <c r="Z39" i="1" s="1"/>
  <c r="BV39" i="1" s="1"/>
  <c r="N39" i="1"/>
  <c r="AC39" i="1"/>
  <c r="P501" i="1"/>
  <c r="Q501" i="1" s="1"/>
  <c r="R501" i="1" s="1"/>
  <c r="S501" i="1" s="1"/>
  <c r="T501" i="1" s="1"/>
  <c r="U501" i="1" s="1"/>
  <c r="V501" i="1" s="1"/>
  <c r="W501" i="1" s="1"/>
  <c r="X501" i="1" s="1"/>
  <c r="Y501" i="1" s="1"/>
  <c r="Z501" i="1" s="1"/>
  <c r="P299" i="1"/>
  <c r="Q299" i="1" s="1"/>
  <c r="R299" i="1" s="1"/>
  <c r="S299" i="1" s="1"/>
  <c r="T299" i="1" s="1"/>
  <c r="U299" i="1" s="1"/>
  <c r="V299" i="1" s="1"/>
  <c r="W299" i="1" s="1"/>
  <c r="X299" i="1" s="1"/>
  <c r="Y299" i="1" s="1"/>
  <c r="Z299" i="1" s="1"/>
  <c r="P285" i="1"/>
  <c r="Q285" i="1" s="1"/>
  <c r="R285" i="1" s="1"/>
  <c r="S285" i="1" s="1"/>
  <c r="T285" i="1" s="1"/>
  <c r="U285" i="1" s="1"/>
  <c r="V285" i="1" s="1"/>
  <c r="W285" i="1" s="1"/>
  <c r="X285" i="1" s="1"/>
  <c r="Y285" i="1" s="1"/>
  <c r="Z285" i="1" s="1"/>
  <c r="P208" i="1"/>
  <c r="Q208" i="1" s="1"/>
  <c r="R208" i="1" s="1"/>
  <c r="S208" i="1" s="1"/>
  <c r="T208" i="1" s="1"/>
  <c r="U208" i="1" s="1"/>
  <c r="V208" i="1" s="1"/>
  <c r="W208" i="1" s="1"/>
  <c r="X208" i="1" s="1"/>
  <c r="Y208" i="1" s="1"/>
  <c r="Z208" i="1" s="1"/>
  <c r="BH248" i="4"/>
  <c r="BH72" i="4"/>
  <c r="O35" i="1"/>
  <c r="P35" i="1" s="1"/>
  <c r="Q35" i="1" s="1"/>
  <c r="R35" i="1" s="1"/>
  <c r="S35" i="1" s="1"/>
  <c r="T35" i="1" s="1"/>
  <c r="U35" i="1" s="1"/>
  <c r="V35" i="1" s="1"/>
  <c r="W35" i="1" s="1"/>
  <c r="X35" i="1" s="1"/>
  <c r="Y35" i="1" s="1"/>
  <c r="Z35" i="1" s="1"/>
  <c r="AT35" i="1"/>
  <c r="AC35" i="1"/>
  <c r="N35" i="1"/>
  <c r="AC127" i="1"/>
  <c r="N127" i="1"/>
  <c r="O127" i="1"/>
  <c r="P127" i="1" s="1"/>
  <c r="Q127" i="1" s="1"/>
  <c r="R127" i="1" s="1"/>
  <c r="S127" i="1" s="1"/>
  <c r="T127" i="1" s="1"/>
  <c r="U127" i="1" s="1"/>
  <c r="V127" i="1" s="1"/>
  <c r="W127" i="1" s="1"/>
  <c r="X127" i="1" s="1"/>
  <c r="Y127" i="1" s="1"/>
  <c r="Z127" i="1" s="1"/>
  <c r="AT127" i="1"/>
  <c r="AC135" i="1"/>
  <c r="N135" i="1"/>
  <c r="AT135" i="1"/>
  <c r="O135" i="1"/>
  <c r="P135" i="1" s="1"/>
  <c r="Q135" i="1" s="1"/>
  <c r="R135" i="1" s="1"/>
  <c r="S135" i="1" s="1"/>
  <c r="T135" i="1" s="1"/>
  <c r="U135" i="1" s="1"/>
  <c r="V135" i="1" s="1"/>
  <c r="W135" i="1" s="1"/>
  <c r="X135" i="1" s="1"/>
  <c r="Y135" i="1" s="1"/>
  <c r="Z135" i="1" s="1"/>
  <c r="AT143" i="1"/>
  <c r="N143" i="1"/>
  <c r="AC143" i="1"/>
  <c r="O143" i="1"/>
  <c r="P143" i="1" s="1"/>
  <c r="Q143" i="1" s="1"/>
  <c r="R143" i="1" s="1"/>
  <c r="S143" i="1" s="1"/>
  <c r="T143" i="1" s="1"/>
  <c r="U143" i="1" s="1"/>
  <c r="V143" i="1" s="1"/>
  <c r="W143" i="1" s="1"/>
  <c r="X143" i="1" s="1"/>
  <c r="Y143" i="1" s="1"/>
  <c r="Z143" i="1" s="1"/>
  <c r="AT54" i="1"/>
  <c r="O54" i="1"/>
  <c r="AC54" i="1"/>
  <c r="N54" i="1"/>
  <c r="N114" i="1"/>
  <c r="O114" i="1"/>
  <c r="AC114" i="1"/>
  <c r="AT114" i="1"/>
  <c r="BH471" i="4"/>
  <c r="AT55" i="1"/>
  <c r="O55" i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Z55" i="1" s="1"/>
  <c r="N55" i="1"/>
  <c r="AC55" i="1"/>
  <c r="AT120" i="1"/>
  <c r="N120" i="1"/>
  <c r="AC120" i="1"/>
  <c r="O120" i="1"/>
  <c r="N156" i="1"/>
  <c r="AT156" i="1"/>
  <c r="AC156" i="1"/>
  <c r="O156" i="1"/>
  <c r="N177" i="1"/>
  <c r="AT177" i="1"/>
  <c r="AC177" i="1"/>
  <c r="O177" i="1"/>
  <c r="N188" i="1"/>
  <c r="O188" i="1"/>
  <c r="AC188" i="1"/>
  <c r="AT188" i="1"/>
  <c r="AC207" i="1"/>
  <c r="O207" i="1"/>
  <c r="AT207" i="1"/>
  <c r="N207" i="1"/>
  <c r="N218" i="1"/>
  <c r="AT218" i="1"/>
  <c r="AC218" i="1"/>
  <c r="O218" i="1"/>
  <c r="N247" i="1"/>
  <c r="O247" i="1"/>
  <c r="P247" i="1" s="1"/>
  <c r="Q247" i="1" s="1"/>
  <c r="R247" i="1" s="1"/>
  <c r="S247" i="1" s="1"/>
  <c r="T247" i="1" s="1"/>
  <c r="U247" i="1" s="1"/>
  <c r="V247" i="1" s="1"/>
  <c r="W247" i="1" s="1"/>
  <c r="X247" i="1" s="1"/>
  <c r="Y247" i="1" s="1"/>
  <c r="Z247" i="1" s="1"/>
  <c r="BV247" i="1" s="1"/>
  <c r="AC255" i="1"/>
  <c r="N255" i="1"/>
  <c r="AT255" i="1"/>
  <c r="O255" i="1"/>
  <c r="O267" i="1"/>
  <c r="AC267" i="1"/>
  <c r="N267" i="1"/>
  <c r="AT267" i="1"/>
  <c r="AC275" i="1"/>
  <c r="N275" i="1"/>
  <c r="AT275" i="1"/>
  <c r="O275" i="1"/>
  <c r="N283" i="1"/>
  <c r="AT283" i="1"/>
  <c r="AC283" i="1"/>
  <c r="O283" i="1"/>
  <c r="O297" i="1"/>
  <c r="N297" i="1"/>
  <c r="AC297" i="1"/>
  <c r="AT297" i="1"/>
  <c r="P305" i="1"/>
  <c r="Q305" i="1" s="1"/>
  <c r="R305" i="1" s="1"/>
  <c r="S305" i="1" s="1"/>
  <c r="T305" i="1" s="1"/>
  <c r="U305" i="1" s="1"/>
  <c r="V305" i="1" s="1"/>
  <c r="W305" i="1" s="1"/>
  <c r="X305" i="1" s="1"/>
  <c r="Y305" i="1" s="1"/>
  <c r="Z305" i="1" s="1"/>
  <c r="N721" i="1"/>
  <c r="E6" i="8" s="1"/>
  <c r="P517" i="1"/>
  <c r="Q517" i="1" s="1"/>
  <c r="R517" i="1" s="1"/>
  <c r="S517" i="1" s="1"/>
  <c r="T517" i="1" s="1"/>
  <c r="U517" i="1" s="1"/>
  <c r="V517" i="1" s="1"/>
  <c r="W517" i="1" s="1"/>
  <c r="X517" i="1" s="1"/>
  <c r="Y517" i="1" s="1"/>
  <c r="Z517" i="1" s="1"/>
  <c r="AT344" i="1"/>
  <c r="O344" i="1"/>
  <c r="P344" i="1" s="1"/>
  <c r="Q344" i="1" s="1"/>
  <c r="R344" i="1" s="1"/>
  <c r="S344" i="1" s="1"/>
  <c r="T344" i="1" s="1"/>
  <c r="U344" i="1" s="1"/>
  <c r="V344" i="1" s="1"/>
  <c r="W344" i="1" s="1"/>
  <c r="X344" i="1" s="1"/>
  <c r="Y344" i="1" s="1"/>
  <c r="Z344" i="1" s="1"/>
  <c r="AC344" i="1"/>
  <c r="AC702" i="1" s="1"/>
  <c r="D7" i="8" s="1"/>
  <c r="N344" i="1"/>
  <c r="P389" i="1"/>
  <c r="Q389" i="1" s="1"/>
  <c r="R389" i="1" s="1"/>
  <c r="S389" i="1" s="1"/>
  <c r="T389" i="1" s="1"/>
  <c r="U389" i="1" s="1"/>
  <c r="V389" i="1" s="1"/>
  <c r="W389" i="1" s="1"/>
  <c r="X389" i="1" s="1"/>
  <c r="Y389" i="1" s="1"/>
  <c r="Z389" i="1" s="1"/>
  <c r="P210" i="1"/>
  <c r="Q210" i="1" s="1"/>
  <c r="R210" i="1" s="1"/>
  <c r="S210" i="1" s="1"/>
  <c r="T210" i="1" s="1"/>
  <c r="U210" i="1" s="1"/>
  <c r="V210" i="1" s="1"/>
  <c r="W210" i="1" s="1"/>
  <c r="X210" i="1" s="1"/>
  <c r="Y210" i="1" s="1"/>
  <c r="Z210" i="1" s="1"/>
  <c r="BH237" i="4"/>
  <c r="BH35" i="4"/>
  <c r="O5" i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N5" i="1"/>
  <c r="AT5" i="1"/>
  <c r="AC5" i="1"/>
  <c r="BH118" i="4"/>
  <c r="P179" i="1"/>
  <c r="Q179" i="1" s="1"/>
  <c r="R179" i="1" s="1"/>
  <c r="S179" i="1" s="1"/>
  <c r="T179" i="1" s="1"/>
  <c r="U179" i="1" s="1"/>
  <c r="V179" i="1" s="1"/>
  <c r="W179" i="1" s="1"/>
  <c r="X179" i="1" s="1"/>
  <c r="Y179" i="1" s="1"/>
  <c r="Z179" i="1" s="1"/>
  <c r="BH768" i="4"/>
  <c r="BH874" i="4"/>
  <c r="N13" i="1"/>
  <c r="AC13" i="1"/>
  <c r="O13" i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BV13" i="1" s="1"/>
  <c r="O118" i="1"/>
  <c r="N118" i="1"/>
  <c r="BH462" i="4"/>
  <c r="AT119" i="1"/>
  <c r="O119" i="1"/>
  <c r="N119" i="1"/>
  <c r="AC119" i="1"/>
  <c r="O171" i="1"/>
  <c r="N171" i="1"/>
  <c r="AC171" i="1"/>
  <c r="AT171" i="1"/>
  <c r="N180" i="1"/>
  <c r="O180" i="1"/>
  <c r="AT180" i="1"/>
  <c r="AC180" i="1"/>
  <c r="AC191" i="1"/>
  <c r="AT191" i="1"/>
  <c r="N191" i="1"/>
  <c r="O191" i="1"/>
  <c r="O206" i="1"/>
  <c r="AT206" i="1"/>
  <c r="AC206" i="1"/>
  <c r="N206" i="1"/>
  <c r="AT217" i="1"/>
  <c r="AC217" i="1"/>
  <c r="O217" i="1"/>
  <c r="N217" i="1"/>
  <c r="O246" i="1"/>
  <c r="P246" i="1" s="1"/>
  <c r="Q246" i="1" s="1"/>
  <c r="R246" i="1" s="1"/>
  <c r="S246" i="1" s="1"/>
  <c r="T246" i="1" s="1"/>
  <c r="U246" i="1" s="1"/>
  <c r="V246" i="1" s="1"/>
  <c r="W246" i="1" s="1"/>
  <c r="X246" i="1" s="1"/>
  <c r="Y246" i="1" s="1"/>
  <c r="Z246" i="1" s="1"/>
  <c r="BV246" i="1" s="1"/>
  <c r="N246" i="1"/>
  <c r="O262" i="1"/>
  <c r="AT262" i="1"/>
  <c r="AC262" i="1"/>
  <c r="N262" i="1"/>
  <c r="AT270" i="1"/>
  <c r="N270" i="1"/>
  <c r="AC270" i="1"/>
  <c r="O270" i="1"/>
  <c r="AT278" i="1"/>
  <c r="O278" i="1"/>
  <c r="AC278" i="1"/>
  <c r="N278" i="1"/>
  <c r="AC292" i="1"/>
  <c r="N292" i="1"/>
  <c r="AT292" i="1"/>
  <c r="O292" i="1"/>
  <c r="P292" i="1" s="1"/>
  <c r="Q292" i="1" s="1"/>
  <c r="R292" i="1" s="1"/>
  <c r="S292" i="1" s="1"/>
  <c r="T292" i="1" s="1"/>
  <c r="U292" i="1" s="1"/>
  <c r="V292" i="1" s="1"/>
  <c r="W292" i="1" s="1"/>
  <c r="X292" i="1" s="1"/>
  <c r="Y292" i="1" s="1"/>
  <c r="Z292" i="1" s="1"/>
  <c r="AT303" i="1"/>
  <c r="AC303" i="1"/>
  <c r="O303" i="1"/>
  <c r="N303" i="1"/>
  <c r="N317" i="1"/>
  <c r="O317" i="1"/>
  <c r="P317" i="1" s="1"/>
  <c r="Q317" i="1" s="1"/>
  <c r="R317" i="1" s="1"/>
  <c r="S317" i="1" s="1"/>
  <c r="T317" i="1" s="1"/>
  <c r="U317" i="1" s="1"/>
  <c r="V317" i="1" s="1"/>
  <c r="W317" i="1" s="1"/>
  <c r="X317" i="1" s="1"/>
  <c r="Y317" i="1" s="1"/>
  <c r="Z317" i="1" s="1"/>
  <c r="AT317" i="1"/>
  <c r="AC317" i="1"/>
  <c r="AC326" i="1"/>
  <c r="O326" i="1"/>
  <c r="P326" i="1" s="1"/>
  <c r="Q326" i="1" s="1"/>
  <c r="R326" i="1" s="1"/>
  <c r="S326" i="1" s="1"/>
  <c r="T326" i="1" s="1"/>
  <c r="U326" i="1" s="1"/>
  <c r="V326" i="1" s="1"/>
  <c r="W326" i="1" s="1"/>
  <c r="X326" i="1" s="1"/>
  <c r="Y326" i="1" s="1"/>
  <c r="Z326" i="1" s="1"/>
  <c r="N326" i="1"/>
  <c r="AT326" i="1"/>
  <c r="N341" i="1"/>
  <c r="O341" i="1"/>
  <c r="O351" i="1"/>
  <c r="AC351" i="1"/>
  <c r="AT351" i="1"/>
  <c r="N351" i="1"/>
  <c r="O365" i="1"/>
  <c r="P365" i="1" s="1"/>
  <c r="Q365" i="1" s="1"/>
  <c r="R365" i="1" s="1"/>
  <c r="S365" i="1" s="1"/>
  <c r="T365" i="1" s="1"/>
  <c r="U365" i="1" s="1"/>
  <c r="V365" i="1" s="1"/>
  <c r="W365" i="1" s="1"/>
  <c r="X365" i="1" s="1"/>
  <c r="Y365" i="1" s="1"/>
  <c r="Z365" i="1" s="1"/>
  <c r="N365" i="1"/>
  <c r="AC365" i="1"/>
  <c r="AT365" i="1"/>
  <c r="O371" i="1"/>
  <c r="N371" i="1"/>
  <c r="AT371" i="1"/>
  <c r="AC371" i="1"/>
  <c r="O383" i="1"/>
  <c r="AC383" i="1"/>
  <c r="N383" i="1"/>
  <c r="AT383" i="1"/>
  <c r="N399" i="1"/>
  <c r="AT399" i="1"/>
  <c r="AC399" i="1"/>
  <c r="O399" i="1"/>
  <c r="O423" i="1"/>
  <c r="N423" i="1"/>
  <c r="AT423" i="1"/>
  <c r="AC423" i="1"/>
  <c r="O432" i="1"/>
  <c r="P432" i="1" s="1"/>
  <c r="Q432" i="1" s="1"/>
  <c r="R432" i="1" s="1"/>
  <c r="S432" i="1" s="1"/>
  <c r="T432" i="1" s="1"/>
  <c r="U432" i="1" s="1"/>
  <c r="V432" i="1" s="1"/>
  <c r="W432" i="1" s="1"/>
  <c r="X432" i="1" s="1"/>
  <c r="Y432" i="1" s="1"/>
  <c r="Z432" i="1" s="1"/>
  <c r="AT432" i="1"/>
  <c r="AC432" i="1"/>
  <c r="N432" i="1"/>
  <c r="AC440" i="1"/>
  <c r="N440" i="1"/>
  <c r="AT440" i="1"/>
  <c r="O440" i="1"/>
  <c r="P440" i="1" s="1"/>
  <c r="Q440" i="1" s="1"/>
  <c r="R440" i="1" s="1"/>
  <c r="S440" i="1" s="1"/>
  <c r="T440" i="1" s="1"/>
  <c r="U440" i="1" s="1"/>
  <c r="V440" i="1" s="1"/>
  <c r="W440" i="1" s="1"/>
  <c r="X440" i="1" s="1"/>
  <c r="Y440" i="1" s="1"/>
  <c r="Z440" i="1" s="1"/>
  <c r="O448" i="1"/>
  <c r="P448" i="1" s="1"/>
  <c r="Q448" i="1" s="1"/>
  <c r="R448" i="1" s="1"/>
  <c r="S448" i="1" s="1"/>
  <c r="T448" i="1" s="1"/>
  <c r="U448" i="1" s="1"/>
  <c r="V448" i="1" s="1"/>
  <c r="W448" i="1" s="1"/>
  <c r="X448" i="1" s="1"/>
  <c r="Y448" i="1" s="1"/>
  <c r="Z448" i="1" s="1"/>
  <c r="BV448" i="1" s="1"/>
  <c r="AC448" i="1"/>
  <c r="N448" i="1"/>
  <c r="N456" i="1"/>
  <c r="AT456" i="1"/>
  <c r="O456" i="1"/>
  <c r="P456" i="1" s="1"/>
  <c r="Q456" i="1" s="1"/>
  <c r="R456" i="1" s="1"/>
  <c r="S456" i="1" s="1"/>
  <c r="T456" i="1" s="1"/>
  <c r="U456" i="1" s="1"/>
  <c r="V456" i="1" s="1"/>
  <c r="W456" i="1" s="1"/>
  <c r="X456" i="1" s="1"/>
  <c r="Y456" i="1" s="1"/>
  <c r="Z456" i="1" s="1"/>
  <c r="AC456" i="1"/>
  <c r="N464" i="1"/>
  <c r="P464" i="1"/>
  <c r="Q464" i="1" s="1"/>
  <c r="R464" i="1" s="1"/>
  <c r="S464" i="1" s="1"/>
  <c r="T464" i="1" s="1"/>
  <c r="U464" i="1" s="1"/>
  <c r="V464" i="1" s="1"/>
  <c r="W464" i="1" s="1"/>
  <c r="X464" i="1" s="1"/>
  <c r="Y464" i="1" s="1"/>
  <c r="Z464" i="1" s="1"/>
  <c r="BV464" i="1" s="1"/>
  <c r="O474" i="1"/>
  <c r="N474" i="1"/>
  <c r="AC474" i="1"/>
  <c r="AT474" i="1"/>
  <c r="O481" i="1"/>
  <c r="P481" i="1" s="1"/>
  <c r="Q481" i="1" s="1"/>
  <c r="R481" i="1" s="1"/>
  <c r="S481" i="1" s="1"/>
  <c r="T481" i="1" s="1"/>
  <c r="U481" i="1" s="1"/>
  <c r="V481" i="1" s="1"/>
  <c r="W481" i="1" s="1"/>
  <c r="X481" i="1" s="1"/>
  <c r="Y481" i="1" s="1"/>
  <c r="Z481" i="1" s="1"/>
  <c r="AT481" i="1"/>
  <c r="AC481" i="1"/>
  <c r="N481" i="1"/>
  <c r="O489" i="1"/>
  <c r="P489" i="1" s="1"/>
  <c r="Q489" i="1" s="1"/>
  <c r="R489" i="1" s="1"/>
  <c r="S489" i="1" s="1"/>
  <c r="T489" i="1" s="1"/>
  <c r="U489" i="1" s="1"/>
  <c r="V489" i="1" s="1"/>
  <c r="W489" i="1" s="1"/>
  <c r="X489" i="1" s="1"/>
  <c r="Y489" i="1" s="1"/>
  <c r="Z489" i="1" s="1"/>
  <c r="AC489" i="1"/>
  <c r="N489" i="1"/>
  <c r="AT489" i="1"/>
  <c r="N16" i="1"/>
  <c r="O16" i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Z16" i="1" s="1"/>
  <c r="AC16" i="1"/>
  <c r="AT16" i="1"/>
  <c r="AT107" i="1"/>
  <c r="N107" i="1"/>
  <c r="O107" i="1"/>
  <c r="P107" i="1" s="1"/>
  <c r="Q107" i="1" s="1"/>
  <c r="R107" i="1" s="1"/>
  <c r="S107" i="1" s="1"/>
  <c r="T107" i="1" s="1"/>
  <c r="U107" i="1" s="1"/>
  <c r="V107" i="1" s="1"/>
  <c r="W107" i="1" s="1"/>
  <c r="X107" i="1" s="1"/>
  <c r="Y107" i="1" s="1"/>
  <c r="Z107" i="1" s="1"/>
  <c r="AC107" i="1"/>
  <c r="P193" i="1"/>
  <c r="Q193" i="1" s="1"/>
  <c r="R193" i="1" s="1"/>
  <c r="S193" i="1" s="1"/>
  <c r="T193" i="1" s="1"/>
  <c r="U193" i="1" s="1"/>
  <c r="V193" i="1" s="1"/>
  <c r="W193" i="1" s="1"/>
  <c r="X193" i="1" s="1"/>
  <c r="Y193" i="1" s="1"/>
  <c r="Z193" i="1" s="1"/>
  <c r="BH272" i="4"/>
  <c r="AT584" i="1"/>
  <c r="O338" i="1"/>
  <c r="P338" i="1" s="1"/>
  <c r="Q338" i="1" s="1"/>
  <c r="R338" i="1" s="1"/>
  <c r="S338" i="1" s="1"/>
  <c r="T338" i="1" s="1"/>
  <c r="U338" i="1" s="1"/>
  <c r="V338" i="1" s="1"/>
  <c r="W338" i="1" s="1"/>
  <c r="X338" i="1" s="1"/>
  <c r="Y338" i="1" s="1"/>
  <c r="Z338" i="1" s="1"/>
  <c r="AT338" i="1"/>
  <c r="AC338" i="1"/>
  <c r="N338" i="1"/>
  <c r="AT352" i="1"/>
  <c r="O352" i="1"/>
  <c r="N352" i="1"/>
  <c r="AC352" i="1"/>
  <c r="AC362" i="1"/>
  <c r="AT362" i="1"/>
  <c r="N362" i="1"/>
  <c r="O362" i="1"/>
  <c r="O376" i="1"/>
  <c r="AT376" i="1"/>
  <c r="AC376" i="1"/>
  <c r="N376" i="1"/>
  <c r="O396" i="1"/>
  <c r="AC396" i="1"/>
  <c r="N396" i="1"/>
  <c r="AT396" i="1"/>
  <c r="O404" i="1"/>
  <c r="AC404" i="1"/>
  <c r="N404" i="1"/>
  <c r="AT404" i="1"/>
  <c r="N416" i="1"/>
  <c r="AT416" i="1"/>
  <c r="O416" i="1"/>
  <c r="AC416" i="1"/>
  <c r="O424" i="1"/>
  <c r="AT424" i="1"/>
  <c r="AC424" i="1"/>
  <c r="N424" i="1"/>
  <c r="AT433" i="1"/>
  <c r="AC433" i="1"/>
  <c r="O433" i="1"/>
  <c r="P433" i="1" s="1"/>
  <c r="Q433" i="1" s="1"/>
  <c r="R433" i="1" s="1"/>
  <c r="S433" i="1" s="1"/>
  <c r="T433" i="1" s="1"/>
  <c r="U433" i="1" s="1"/>
  <c r="V433" i="1" s="1"/>
  <c r="W433" i="1" s="1"/>
  <c r="X433" i="1" s="1"/>
  <c r="Y433" i="1" s="1"/>
  <c r="Z433" i="1" s="1"/>
  <c r="N433" i="1"/>
  <c r="O441" i="1"/>
  <c r="P441" i="1" s="1"/>
  <c r="Q441" i="1" s="1"/>
  <c r="R441" i="1" s="1"/>
  <c r="S441" i="1" s="1"/>
  <c r="T441" i="1" s="1"/>
  <c r="U441" i="1" s="1"/>
  <c r="V441" i="1" s="1"/>
  <c r="W441" i="1" s="1"/>
  <c r="X441" i="1" s="1"/>
  <c r="Y441" i="1" s="1"/>
  <c r="Z441" i="1" s="1"/>
  <c r="AT441" i="1"/>
  <c r="AC441" i="1"/>
  <c r="N441" i="1"/>
  <c r="AT449" i="1"/>
  <c r="O449" i="1"/>
  <c r="P449" i="1" s="1"/>
  <c r="Q449" i="1" s="1"/>
  <c r="R449" i="1" s="1"/>
  <c r="S449" i="1" s="1"/>
  <c r="T449" i="1" s="1"/>
  <c r="U449" i="1" s="1"/>
  <c r="V449" i="1" s="1"/>
  <c r="W449" i="1" s="1"/>
  <c r="X449" i="1" s="1"/>
  <c r="Y449" i="1" s="1"/>
  <c r="Z449" i="1" s="1"/>
  <c r="N449" i="1"/>
  <c r="AC449" i="1"/>
  <c r="N457" i="1"/>
  <c r="O457" i="1"/>
  <c r="P457" i="1" s="1"/>
  <c r="Q457" i="1" s="1"/>
  <c r="R457" i="1" s="1"/>
  <c r="S457" i="1" s="1"/>
  <c r="T457" i="1" s="1"/>
  <c r="U457" i="1" s="1"/>
  <c r="V457" i="1" s="1"/>
  <c r="W457" i="1" s="1"/>
  <c r="X457" i="1" s="1"/>
  <c r="Y457" i="1" s="1"/>
  <c r="Z457" i="1" s="1"/>
  <c r="AT457" i="1"/>
  <c r="AC457" i="1"/>
  <c r="O470" i="1"/>
  <c r="AT470" i="1"/>
  <c r="AC470" i="1"/>
  <c r="N470" i="1"/>
  <c r="AT478" i="1"/>
  <c r="AC478" i="1"/>
  <c r="N478" i="1"/>
  <c r="O478" i="1"/>
  <c r="P478" i="1" s="1"/>
  <c r="Q478" i="1" s="1"/>
  <c r="R478" i="1" s="1"/>
  <c r="S478" i="1" s="1"/>
  <c r="T478" i="1" s="1"/>
  <c r="U478" i="1" s="1"/>
  <c r="V478" i="1" s="1"/>
  <c r="W478" i="1" s="1"/>
  <c r="X478" i="1" s="1"/>
  <c r="Y478" i="1" s="1"/>
  <c r="Z478" i="1" s="1"/>
  <c r="O486" i="1"/>
  <c r="AC486" i="1"/>
  <c r="N486" i="1"/>
  <c r="AT486" i="1"/>
  <c r="AC498" i="1"/>
  <c r="N498" i="1"/>
  <c r="AT498" i="1"/>
  <c r="O498" i="1"/>
  <c r="AC7" i="1"/>
  <c r="AT7" i="1"/>
  <c r="O7" i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N7" i="1"/>
  <c r="N50" i="1"/>
  <c r="AT50" i="1"/>
  <c r="O50" i="1"/>
  <c r="AC50" i="1"/>
  <c r="O88" i="1"/>
  <c r="P88" i="1" s="1"/>
  <c r="Q88" i="1" s="1"/>
  <c r="R88" i="1" s="1"/>
  <c r="S88" i="1" s="1"/>
  <c r="T88" i="1" s="1"/>
  <c r="U88" i="1" s="1"/>
  <c r="V88" i="1" s="1"/>
  <c r="W88" i="1" s="1"/>
  <c r="X88" i="1" s="1"/>
  <c r="Y88" i="1" s="1"/>
  <c r="Z88" i="1" s="1"/>
  <c r="AC88" i="1"/>
  <c r="AT88" i="1"/>
  <c r="N88" i="1"/>
  <c r="O110" i="1"/>
  <c r="P110" i="1" s="1"/>
  <c r="Q110" i="1" s="1"/>
  <c r="R110" i="1" s="1"/>
  <c r="S110" i="1" s="1"/>
  <c r="T110" i="1" s="1"/>
  <c r="U110" i="1" s="1"/>
  <c r="V110" i="1" s="1"/>
  <c r="W110" i="1" s="1"/>
  <c r="X110" i="1" s="1"/>
  <c r="Y110" i="1" s="1"/>
  <c r="Z110" i="1" s="1"/>
  <c r="BV110" i="1" s="1"/>
  <c r="N110" i="1"/>
  <c r="AC110" i="1"/>
  <c r="P205" i="1"/>
  <c r="Q205" i="1" s="1"/>
  <c r="R205" i="1" s="1"/>
  <c r="S205" i="1" s="1"/>
  <c r="T205" i="1" s="1"/>
  <c r="U205" i="1" s="1"/>
  <c r="V205" i="1" s="1"/>
  <c r="W205" i="1" s="1"/>
  <c r="X205" i="1" s="1"/>
  <c r="Y205" i="1" s="1"/>
  <c r="Z205" i="1" s="1"/>
  <c r="BX725" i="1" l="1"/>
  <c r="AT709" i="1"/>
  <c r="F8" i="8" s="1"/>
  <c r="AT702" i="1"/>
  <c r="D8" i="8" s="1"/>
  <c r="N702" i="1"/>
  <c r="D6" i="8" s="1"/>
  <c r="AC709" i="1"/>
  <c r="F7" i="8" s="1"/>
  <c r="N709" i="1"/>
  <c r="F6" i="8" s="1"/>
  <c r="AT703" i="1"/>
  <c r="N703" i="1"/>
  <c r="AC704" i="1"/>
  <c r="N710" i="1"/>
  <c r="N720" i="1" s="1"/>
  <c r="C6" i="8" s="1"/>
  <c r="AT704" i="1"/>
  <c r="AC710" i="1"/>
  <c r="AC720" i="1" s="1"/>
  <c r="C7" i="8" s="1"/>
  <c r="N704" i="1"/>
  <c r="J11" i="8"/>
  <c r="CM725" i="1"/>
  <c r="AC703" i="1"/>
  <c r="AR524" i="1"/>
  <c r="AS524" i="1" s="1"/>
  <c r="AR34" i="1"/>
  <c r="AS34" i="1" s="1"/>
  <c r="AO30" i="1"/>
  <c r="AU30" i="1" s="1"/>
  <c r="AO531" i="1"/>
  <c r="AU531" i="1" s="1"/>
  <c r="AO560" i="1"/>
  <c r="AR560" i="1" s="1"/>
  <c r="AS560" i="1" s="1"/>
  <c r="CK527" i="1"/>
  <c r="CK33" i="1"/>
  <c r="AO583" i="1"/>
  <c r="AR583" i="1" s="1"/>
  <c r="AS583" i="1" s="1"/>
  <c r="AO161" i="1"/>
  <c r="AU161" i="1" s="1"/>
  <c r="CK545" i="1"/>
  <c r="AO567" i="1"/>
  <c r="AU567" i="1" s="1"/>
  <c r="AO162" i="1"/>
  <c r="AU162" i="1" s="1"/>
  <c r="CK544" i="1"/>
  <c r="CK538" i="1"/>
  <c r="CK537" i="1"/>
  <c r="AO507" i="1"/>
  <c r="AU507" i="1" s="1"/>
  <c r="CK534" i="1"/>
  <c r="AO314" i="1"/>
  <c r="AU314" i="1" s="1"/>
  <c r="AO20" i="1"/>
  <c r="AU20" i="1" s="1"/>
  <c r="CK319" i="1"/>
  <c r="CK32" i="1"/>
  <c r="CK551" i="1"/>
  <c r="AO40" i="1"/>
  <c r="CK40" i="1" s="1"/>
  <c r="AO566" i="1"/>
  <c r="AR566" i="1" s="1"/>
  <c r="AS566" i="1" s="1"/>
  <c r="AO522" i="1"/>
  <c r="AU522" i="1" s="1"/>
  <c r="AO164" i="1"/>
  <c r="AU164" i="1" s="1"/>
  <c r="AO582" i="1"/>
  <c r="CK582" i="1" s="1"/>
  <c r="CK548" i="1"/>
  <c r="CK525" i="1"/>
  <c r="CK549" i="1"/>
  <c r="AO31" i="1"/>
  <c r="AU31" i="1" s="1"/>
  <c r="CK526" i="1"/>
  <c r="AO394" i="1"/>
  <c r="AU394" i="1" s="1"/>
  <c r="AO154" i="1"/>
  <c r="AU154" i="1" s="1"/>
  <c r="CK536" i="1"/>
  <c r="CK546" i="1"/>
  <c r="AO409" i="1"/>
  <c r="AU409" i="1" s="1"/>
  <c r="AO320" i="1"/>
  <c r="AU320" i="1" s="1"/>
  <c r="AO569" i="1"/>
  <c r="AU569" i="1" s="1"/>
  <c r="AO509" i="1"/>
  <c r="AR509" i="1" s="1"/>
  <c r="AS509" i="1" s="1"/>
  <c r="AO516" i="1"/>
  <c r="CK516" i="1" s="1"/>
  <c r="CK558" i="1"/>
  <c r="AU558" i="1"/>
  <c r="AO559" i="1"/>
  <c r="CK541" i="1"/>
  <c r="AO97" i="1"/>
  <c r="AU97" i="1" s="1"/>
  <c r="AO523" i="1"/>
  <c r="AU523" i="1" s="1"/>
  <c r="AO518" i="1"/>
  <c r="AR518" i="1" s="1"/>
  <c r="AS518" i="1" s="1"/>
  <c r="CK539" i="1"/>
  <c r="CK542" i="1"/>
  <c r="AO574" i="1"/>
  <c r="AR574" i="1" s="1"/>
  <c r="AS574" i="1" s="1"/>
  <c r="AO519" i="1"/>
  <c r="AU519" i="1" s="1"/>
  <c r="AO312" i="1"/>
  <c r="AU312" i="1" s="1"/>
  <c r="AO529" i="1"/>
  <c r="AU529" i="1" s="1"/>
  <c r="AO19" i="1"/>
  <c r="AU19" i="1" s="1"/>
  <c r="CK540" i="1"/>
  <c r="AO287" i="1"/>
  <c r="AU287" i="1" s="1"/>
  <c r="AO100" i="1"/>
  <c r="AU100" i="1" s="1"/>
  <c r="AO581" i="1"/>
  <c r="AR581" i="1" s="1"/>
  <c r="AS581" i="1" s="1"/>
  <c r="CK533" i="1"/>
  <c r="AO163" i="1"/>
  <c r="AU163" i="1" s="1"/>
  <c r="CK547" i="1"/>
  <c r="CK101" i="1"/>
  <c r="AO530" i="1"/>
  <c r="AU530" i="1" s="1"/>
  <c r="AO570" i="1"/>
  <c r="AU570" i="1" s="1"/>
  <c r="BH81" i="4"/>
  <c r="BH503" i="4"/>
  <c r="BH257" i="4"/>
  <c r="CK571" i="1"/>
  <c r="BH226" i="4"/>
  <c r="BH80" i="4"/>
  <c r="BH260" i="4"/>
  <c r="BH177" i="4"/>
  <c r="BH79" i="4"/>
  <c r="BH525" i="4"/>
  <c r="CK509" i="1"/>
  <c r="BH788" i="4"/>
  <c r="BH984" i="4"/>
  <c r="CK573" i="1"/>
  <c r="AD446" i="1"/>
  <c r="AE446" i="1" s="1"/>
  <c r="AF446" i="1" s="1"/>
  <c r="AG446" i="1" s="1"/>
  <c r="AH446" i="1" s="1"/>
  <c r="AI446" i="1" s="1"/>
  <c r="AJ446" i="1" s="1"/>
  <c r="AK446" i="1" s="1"/>
  <c r="AL446" i="1" s="1"/>
  <c r="AM446" i="1" s="1"/>
  <c r="AN446" i="1" s="1"/>
  <c r="AD128" i="1"/>
  <c r="AE128" i="1" s="1"/>
  <c r="AF128" i="1" s="1"/>
  <c r="AG128" i="1" s="1"/>
  <c r="AH128" i="1" s="1"/>
  <c r="AI128" i="1" s="1"/>
  <c r="AJ128" i="1" s="1"/>
  <c r="AK128" i="1" s="1"/>
  <c r="AL128" i="1" s="1"/>
  <c r="AM128" i="1" s="1"/>
  <c r="AN128" i="1" s="1"/>
  <c r="AD432" i="1"/>
  <c r="AE432" i="1" s="1"/>
  <c r="AF432" i="1" s="1"/>
  <c r="AG432" i="1" s="1"/>
  <c r="AH432" i="1" s="1"/>
  <c r="AI432" i="1" s="1"/>
  <c r="AJ432" i="1" s="1"/>
  <c r="AK432" i="1" s="1"/>
  <c r="AL432" i="1" s="1"/>
  <c r="AM432" i="1" s="1"/>
  <c r="AN432" i="1" s="1"/>
  <c r="AD7" i="1"/>
  <c r="AE7" i="1" s="1"/>
  <c r="AF7" i="1" s="1"/>
  <c r="AG7" i="1" s="1"/>
  <c r="AH7" i="1" s="1"/>
  <c r="AI7" i="1" s="1"/>
  <c r="AJ7" i="1" s="1"/>
  <c r="AK7" i="1" s="1"/>
  <c r="AL7" i="1" s="1"/>
  <c r="AM7" i="1" s="1"/>
  <c r="AN7" i="1" s="1"/>
  <c r="AD433" i="1"/>
  <c r="AE433" i="1" s="1"/>
  <c r="AF433" i="1" s="1"/>
  <c r="AG433" i="1" s="1"/>
  <c r="AH433" i="1" s="1"/>
  <c r="AI433" i="1" s="1"/>
  <c r="AJ433" i="1" s="1"/>
  <c r="AK433" i="1" s="1"/>
  <c r="AL433" i="1" s="1"/>
  <c r="AM433" i="1" s="1"/>
  <c r="AN433" i="1" s="1"/>
  <c r="AD456" i="1"/>
  <c r="AE456" i="1" s="1"/>
  <c r="AF456" i="1" s="1"/>
  <c r="AG456" i="1" s="1"/>
  <c r="AH456" i="1" s="1"/>
  <c r="AI456" i="1" s="1"/>
  <c r="AJ456" i="1" s="1"/>
  <c r="AK456" i="1" s="1"/>
  <c r="AL456" i="1" s="1"/>
  <c r="AM456" i="1" s="1"/>
  <c r="AN456" i="1" s="1"/>
  <c r="AD389" i="1"/>
  <c r="AE389" i="1" s="1"/>
  <c r="AF389" i="1" s="1"/>
  <c r="AG389" i="1" s="1"/>
  <c r="AH389" i="1" s="1"/>
  <c r="AI389" i="1" s="1"/>
  <c r="AJ389" i="1" s="1"/>
  <c r="AK389" i="1" s="1"/>
  <c r="AL389" i="1" s="1"/>
  <c r="AM389" i="1" s="1"/>
  <c r="AN389" i="1" s="1"/>
  <c r="AD130" i="1"/>
  <c r="AE130" i="1" s="1"/>
  <c r="AF130" i="1" s="1"/>
  <c r="AG130" i="1" s="1"/>
  <c r="AH130" i="1" s="1"/>
  <c r="AI130" i="1" s="1"/>
  <c r="AJ130" i="1" s="1"/>
  <c r="AK130" i="1" s="1"/>
  <c r="AL130" i="1" s="1"/>
  <c r="AM130" i="1" s="1"/>
  <c r="AN130" i="1" s="1"/>
  <c r="AD435" i="1"/>
  <c r="AE435" i="1" s="1"/>
  <c r="AF435" i="1" s="1"/>
  <c r="AG435" i="1" s="1"/>
  <c r="AH435" i="1" s="1"/>
  <c r="AI435" i="1" s="1"/>
  <c r="AJ435" i="1" s="1"/>
  <c r="AK435" i="1" s="1"/>
  <c r="AL435" i="1" s="1"/>
  <c r="AM435" i="1" s="1"/>
  <c r="AN435" i="1" s="1"/>
  <c r="AD98" i="1"/>
  <c r="AE98" i="1" s="1"/>
  <c r="AF98" i="1" s="1"/>
  <c r="AG98" i="1" s="1"/>
  <c r="AH98" i="1" s="1"/>
  <c r="AI98" i="1" s="1"/>
  <c r="AJ98" i="1" s="1"/>
  <c r="AK98" i="1" s="1"/>
  <c r="AL98" i="1" s="1"/>
  <c r="AM98" i="1" s="1"/>
  <c r="AN98" i="1" s="1"/>
  <c r="AD115" i="1"/>
  <c r="AE115" i="1" s="1"/>
  <c r="AF115" i="1" s="1"/>
  <c r="AG115" i="1" s="1"/>
  <c r="AH115" i="1" s="1"/>
  <c r="AI115" i="1" s="1"/>
  <c r="AJ115" i="1" s="1"/>
  <c r="AK115" i="1" s="1"/>
  <c r="AD450" i="1"/>
  <c r="AE450" i="1" s="1"/>
  <c r="AF450" i="1" s="1"/>
  <c r="AG450" i="1" s="1"/>
  <c r="AH450" i="1" s="1"/>
  <c r="AI450" i="1" s="1"/>
  <c r="AJ450" i="1" s="1"/>
  <c r="AK450" i="1" s="1"/>
  <c r="AL450" i="1" s="1"/>
  <c r="AM450" i="1" s="1"/>
  <c r="AN450" i="1" s="1"/>
  <c r="AD434" i="1"/>
  <c r="AE434" i="1" s="1"/>
  <c r="AF434" i="1" s="1"/>
  <c r="AG434" i="1" s="1"/>
  <c r="AH434" i="1" s="1"/>
  <c r="AI434" i="1" s="1"/>
  <c r="AJ434" i="1" s="1"/>
  <c r="AK434" i="1" s="1"/>
  <c r="AL434" i="1" s="1"/>
  <c r="AM434" i="1" s="1"/>
  <c r="AN434" i="1" s="1"/>
  <c r="AD38" i="1"/>
  <c r="AE38" i="1" s="1"/>
  <c r="AF38" i="1" s="1"/>
  <c r="AG38" i="1" s="1"/>
  <c r="AH38" i="1" s="1"/>
  <c r="AI38" i="1" s="1"/>
  <c r="AJ38" i="1" s="1"/>
  <c r="AK38" i="1" s="1"/>
  <c r="AL38" i="1" s="1"/>
  <c r="AM38" i="1" s="1"/>
  <c r="AN38" i="1" s="1"/>
  <c r="AD129" i="1"/>
  <c r="AE129" i="1" s="1"/>
  <c r="AF129" i="1" s="1"/>
  <c r="AG129" i="1" s="1"/>
  <c r="AH129" i="1" s="1"/>
  <c r="AI129" i="1" s="1"/>
  <c r="AJ129" i="1" s="1"/>
  <c r="AK129" i="1" s="1"/>
  <c r="AL129" i="1" s="1"/>
  <c r="AM129" i="1" s="1"/>
  <c r="AN129" i="1" s="1"/>
  <c r="AD482" i="1"/>
  <c r="AE482" i="1" s="1"/>
  <c r="AF482" i="1" s="1"/>
  <c r="AG482" i="1" s="1"/>
  <c r="AH482" i="1" s="1"/>
  <c r="AI482" i="1" s="1"/>
  <c r="AJ482" i="1" s="1"/>
  <c r="AK482" i="1" s="1"/>
  <c r="AL482" i="1" s="1"/>
  <c r="AM482" i="1" s="1"/>
  <c r="AN482" i="1" s="1"/>
  <c r="AD461" i="1"/>
  <c r="AE461" i="1" s="1"/>
  <c r="AF461" i="1" s="1"/>
  <c r="AG461" i="1" s="1"/>
  <c r="AH461" i="1" s="1"/>
  <c r="AI461" i="1" s="1"/>
  <c r="AJ461" i="1" s="1"/>
  <c r="AK461" i="1" s="1"/>
  <c r="AL461" i="1" s="1"/>
  <c r="AM461" i="1" s="1"/>
  <c r="AN461" i="1" s="1"/>
  <c r="AD445" i="1"/>
  <c r="AE445" i="1" s="1"/>
  <c r="AF445" i="1" s="1"/>
  <c r="AG445" i="1" s="1"/>
  <c r="AH445" i="1" s="1"/>
  <c r="AI445" i="1" s="1"/>
  <c r="AJ445" i="1" s="1"/>
  <c r="AK445" i="1" s="1"/>
  <c r="AL445" i="1" s="1"/>
  <c r="AM445" i="1" s="1"/>
  <c r="AN445" i="1" s="1"/>
  <c r="AD577" i="1"/>
  <c r="AE577" i="1" s="1"/>
  <c r="AF577" i="1" s="1"/>
  <c r="AG577" i="1" s="1"/>
  <c r="AH577" i="1" s="1"/>
  <c r="AI577" i="1" s="1"/>
  <c r="AJ577" i="1" s="1"/>
  <c r="AK577" i="1" s="1"/>
  <c r="AL577" i="1" s="1"/>
  <c r="AM577" i="1" s="1"/>
  <c r="AN577" i="1" s="1"/>
  <c r="AD17" i="1"/>
  <c r="AE17" i="1" s="1"/>
  <c r="AF17" i="1" s="1"/>
  <c r="AG17" i="1" s="1"/>
  <c r="AH17" i="1" s="1"/>
  <c r="AI17" i="1" s="1"/>
  <c r="AJ17" i="1" s="1"/>
  <c r="AK17" i="1" s="1"/>
  <c r="AL17" i="1" s="1"/>
  <c r="AM17" i="1" s="1"/>
  <c r="AN17" i="1" s="1"/>
  <c r="AD449" i="1"/>
  <c r="AE449" i="1" s="1"/>
  <c r="AF449" i="1" s="1"/>
  <c r="AG449" i="1" s="1"/>
  <c r="AH449" i="1" s="1"/>
  <c r="AI449" i="1" s="1"/>
  <c r="AJ449" i="1" s="1"/>
  <c r="AK449" i="1" s="1"/>
  <c r="AL449" i="1" s="1"/>
  <c r="AM449" i="1" s="1"/>
  <c r="AN449" i="1" s="1"/>
  <c r="AD107" i="1"/>
  <c r="AE107" i="1" s="1"/>
  <c r="AF107" i="1" s="1"/>
  <c r="AG107" i="1" s="1"/>
  <c r="AH107" i="1" s="1"/>
  <c r="AI107" i="1" s="1"/>
  <c r="AJ107" i="1" s="1"/>
  <c r="AK107" i="1" s="1"/>
  <c r="AL107" i="1" s="1"/>
  <c r="AM107" i="1" s="1"/>
  <c r="AN107" i="1" s="1"/>
  <c r="AD365" i="1"/>
  <c r="AE365" i="1" s="1"/>
  <c r="AF365" i="1" s="1"/>
  <c r="AG365" i="1" s="1"/>
  <c r="AH365" i="1" s="1"/>
  <c r="AI365" i="1" s="1"/>
  <c r="AJ365" i="1" s="1"/>
  <c r="AK365" i="1" s="1"/>
  <c r="AL365" i="1" s="1"/>
  <c r="AM365" i="1" s="1"/>
  <c r="AN365" i="1" s="1"/>
  <c r="AD55" i="1"/>
  <c r="AE55" i="1" s="1"/>
  <c r="AF55" i="1" s="1"/>
  <c r="AG55" i="1" s="1"/>
  <c r="AH55" i="1" s="1"/>
  <c r="AI55" i="1" s="1"/>
  <c r="AJ55" i="1" s="1"/>
  <c r="AK55" i="1" s="1"/>
  <c r="AL55" i="1" s="1"/>
  <c r="AM55" i="1" s="1"/>
  <c r="AN55" i="1" s="1"/>
  <c r="AD135" i="1"/>
  <c r="AE135" i="1" s="1"/>
  <c r="AF135" i="1" s="1"/>
  <c r="AG135" i="1" s="1"/>
  <c r="AH135" i="1" s="1"/>
  <c r="AI135" i="1" s="1"/>
  <c r="AJ135" i="1" s="1"/>
  <c r="AK135" i="1" s="1"/>
  <c r="AL135" i="1" s="1"/>
  <c r="AM135" i="1" s="1"/>
  <c r="AN135" i="1" s="1"/>
  <c r="AD455" i="1"/>
  <c r="AE455" i="1" s="1"/>
  <c r="AF455" i="1" s="1"/>
  <c r="AG455" i="1" s="1"/>
  <c r="AH455" i="1" s="1"/>
  <c r="AI455" i="1" s="1"/>
  <c r="AJ455" i="1" s="1"/>
  <c r="AK455" i="1" s="1"/>
  <c r="AL455" i="1" s="1"/>
  <c r="AM455" i="1" s="1"/>
  <c r="AN455" i="1" s="1"/>
  <c r="AD167" i="1"/>
  <c r="AE167" i="1" s="1"/>
  <c r="AF167" i="1" s="1"/>
  <c r="AG167" i="1" s="1"/>
  <c r="AH167" i="1" s="1"/>
  <c r="AI167" i="1" s="1"/>
  <c r="AJ167" i="1" s="1"/>
  <c r="AK167" i="1" s="1"/>
  <c r="AL167" i="1" s="1"/>
  <c r="AM167" i="1" s="1"/>
  <c r="AN167" i="1" s="1"/>
  <c r="AD116" i="1"/>
  <c r="AE116" i="1" s="1"/>
  <c r="AF116" i="1" s="1"/>
  <c r="AG116" i="1" s="1"/>
  <c r="AH116" i="1" s="1"/>
  <c r="AI116" i="1" s="1"/>
  <c r="AJ116" i="1" s="1"/>
  <c r="AK116" i="1" s="1"/>
  <c r="AL116" i="1" s="1"/>
  <c r="AM116" i="1" s="1"/>
  <c r="AN116" i="1" s="1"/>
  <c r="AD186" i="1"/>
  <c r="AE186" i="1" s="1"/>
  <c r="AF186" i="1" s="1"/>
  <c r="AG186" i="1" s="1"/>
  <c r="AH186" i="1" s="1"/>
  <c r="AI186" i="1" s="1"/>
  <c r="AJ186" i="1" s="1"/>
  <c r="AK186" i="1" s="1"/>
  <c r="AL186" i="1" s="1"/>
  <c r="AM186" i="1" s="1"/>
  <c r="AN186" i="1" s="1"/>
  <c r="AD479" i="1"/>
  <c r="AE479" i="1" s="1"/>
  <c r="AF479" i="1" s="1"/>
  <c r="AG479" i="1" s="1"/>
  <c r="AH479" i="1" s="1"/>
  <c r="AI479" i="1" s="1"/>
  <c r="AJ479" i="1" s="1"/>
  <c r="AK479" i="1" s="1"/>
  <c r="AL479" i="1" s="1"/>
  <c r="AM479" i="1" s="1"/>
  <c r="AN479" i="1" s="1"/>
  <c r="AD485" i="1"/>
  <c r="AE485" i="1" s="1"/>
  <c r="AF485" i="1" s="1"/>
  <c r="AG485" i="1" s="1"/>
  <c r="AH485" i="1" s="1"/>
  <c r="AI485" i="1" s="1"/>
  <c r="AJ485" i="1" s="1"/>
  <c r="AK485" i="1" s="1"/>
  <c r="AL485" i="1" s="1"/>
  <c r="AM485" i="1" s="1"/>
  <c r="AN485" i="1" s="1"/>
  <c r="AD452" i="1"/>
  <c r="AE452" i="1" s="1"/>
  <c r="AF452" i="1" s="1"/>
  <c r="AG452" i="1" s="1"/>
  <c r="AH452" i="1" s="1"/>
  <c r="AI452" i="1" s="1"/>
  <c r="AJ452" i="1" s="1"/>
  <c r="AK452" i="1" s="1"/>
  <c r="AL452" i="1" s="1"/>
  <c r="AM452" i="1" s="1"/>
  <c r="AN452" i="1" s="1"/>
  <c r="AD391" i="1"/>
  <c r="AE391" i="1" s="1"/>
  <c r="AF391" i="1" s="1"/>
  <c r="AG391" i="1" s="1"/>
  <c r="AH391" i="1" s="1"/>
  <c r="AI391" i="1" s="1"/>
  <c r="AJ391" i="1" s="1"/>
  <c r="AK391" i="1" s="1"/>
  <c r="AL391" i="1" s="1"/>
  <c r="AM391" i="1" s="1"/>
  <c r="AN391" i="1" s="1"/>
  <c r="AD201" i="1"/>
  <c r="AE201" i="1" s="1"/>
  <c r="AF201" i="1" s="1"/>
  <c r="AG201" i="1" s="1"/>
  <c r="AH201" i="1" s="1"/>
  <c r="AI201" i="1" s="1"/>
  <c r="AJ201" i="1" s="1"/>
  <c r="AK201" i="1" s="1"/>
  <c r="AD572" i="1"/>
  <c r="AE572" i="1" s="1"/>
  <c r="AF572" i="1" s="1"/>
  <c r="AG572" i="1" s="1"/>
  <c r="AH572" i="1" s="1"/>
  <c r="AI572" i="1" s="1"/>
  <c r="AJ572" i="1" s="1"/>
  <c r="AK572" i="1" s="1"/>
  <c r="AL572" i="1" s="1"/>
  <c r="AM572" i="1" s="1"/>
  <c r="AN572" i="1" s="1"/>
  <c r="AD53" i="1"/>
  <c r="AE53" i="1" s="1"/>
  <c r="AF53" i="1" s="1"/>
  <c r="AG53" i="1" s="1"/>
  <c r="AH53" i="1" s="1"/>
  <c r="AI53" i="1" s="1"/>
  <c r="AJ53" i="1" s="1"/>
  <c r="AK53" i="1" s="1"/>
  <c r="AL53" i="1" s="1"/>
  <c r="AM53" i="1" s="1"/>
  <c r="AN53" i="1" s="1"/>
  <c r="AD187" i="1"/>
  <c r="AE187" i="1" s="1"/>
  <c r="AF187" i="1" s="1"/>
  <c r="AG187" i="1" s="1"/>
  <c r="AH187" i="1" s="1"/>
  <c r="AI187" i="1" s="1"/>
  <c r="AJ187" i="1" s="1"/>
  <c r="AK187" i="1" s="1"/>
  <c r="AL187" i="1" s="1"/>
  <c r="AM187" i="1" s="1"/>
  <c r="AN187" i="1" s="1"/>
  <c r="AD484" i="1"/>
  <c r="AE484" i="1" s="1"/>
  <c r="AF484" i="1" s="1"/>
  <c r="AG484" i="1" s="1"/>
  <c r="AH484" i="1" s="1"/>
  <c r="AI484" i="1" s="1"/>
  <c r="AJ484" i="1" s="1"/>
  <c r="AK484" i="1" s="1"/>
  <c r="AL484" i="1" s="1"/>
  <c r="AM484" i="1" s="1"/>
  <c r="AN484" i="1" s="1"/>
  <c r="AD451" i="1"/>
  <c r="AE451" i="1" s="1"/>
  <c r="AF451" i="1" s="1"/>
  <c r="AG451" i="1" s="1"/>
  <c r="AH451" i="1" s="1"/>
  <c r="AI451" i="1" s="1"/>
  <c r="AJ451" i="1" s="1"/>
  <c r="AK451" i="1" s="1"/>
  <c r="AL451" i="1" s="1"/>
  <c r="AM451" i="1" s="1"/>
  <c r="AN451" i="1" s="1"/>
  <c r="AD89" i="1"/>
  <c r="AE89" i="1" s="1"/>
  <c r="AF89" i="1" s="1"/>
  <c r="AG89" i="1" s="1"/>
  <c r="AH89" i="1" s="1"/>
  <c r="AI89" i="1" s="1"/>
  <c r="AJ89" i="1" s="1"/>
  <c r="AK89" i="1" s="1"/>
  <c r="AL89" i="1" s="1"/>
  <c r="AM89" i="1" s="1"/>
  <c r="AN89" i="1" s="1"/>
  <c r="AD483" i="1"/>
  <c r="AE483" i="1" s="1"/>
  <c r="AF483" i="1" s="1"/>
  <c r="AG483" i="1" s="1"/>
  <c r="AH483" i="1" s="1"/>
  <c r="AI483" i="1" s="1"/>
  <c r="AJ483" i="1" s="1"/>
  <c r="AK483" i="1" s="1"/>
  <c r="AL483" i="1" s="1"/>
  <c r="AM483" i="1" s="1"/>
  <c r="AN483" i="1" s="1"/>
  <c r="AD324" i="1"/>
  <c r="AE324" i="1" s="1"/>
  <c r="AF324" i="1" s="1"/>
  <c r="AG324" i="1" s="1"/>
  <c r="AH324" i="1" s="1"/>
  <c r="AI324" i="1" s="1"/>
  <c r="AJ324" i="1" s="1"/>
  <c r="AK324" i="1" s="1"/>
  <c r="AL324" i="1" s="1"/>
  <c r="AM324" i="1" s="1"/>
  <c r="AN324" i="1" s="1"/>
  <c r="AD96" i="1"/>
  <c r="AE96" i="1" s="1"/>
  <c r="AF96" i="1" s="1"/>
  <c r="AG96" i="1" s="1"/>
  <c r="AH96" i="1" s="1"/>
  <c r="AI96" i="1" s="1"/>
  <c r="AJ96" i="1" s="1"/>
  <c r="AK96" i="1" s="1"/>
  <c r="AL96" i="1" s="1"/>
  <c r="AM96" i="1" s="1"/>
  <c r="AN96" i="1" s="1"/>
  <c r="AD88" i="1"/>
  <c r="AE88" i="1" s="1"/>
  <c r="AF88" i="1" s="1"/>
  <c r="AG88" i="1" s="1"/>
  <c r="AH88" i="1" s="1"/>
  <c r="AI88" i="1" s="1"/>
  <c r="AJ88" i="1" s="1"/>
  <c r="AK88" i="1" s="1"/>
  <c r="AL88" i="1" s="1"/>
  <c r="AM88" i="1" s="1"/>
  <c r="AN88" i="1" s="1"/>
  <c r="AD322" i="1"/>
  <c r="AE322" i="1" s="1"/>
  <c r="AF322" i="1" s="1"/>
  <c r="AG322" i="1" s="1"/>
  <c r="AH322" i="1" s="1"/>
  <c r="AI322" i="1" s="1"/>
  <c r="AJ322" i="1" s="1"/>
  <c r="AK322" i="1" s="1"/>
  <c r="AL322" i="1" s="1"/>
  <c r="AM322" i="1" s="1"/>
  <c r="AN322" i="1" s="1"/>
  <c r="AD250" i="1"/>
  <c r="AE250" i="1" s="1"/>
  <c r="AF250" i="1" s="1"/>
  <c r="AG250" i="1" s="1"/>
  <c r="AH250" i="1" s="1"/>
  <c r="AI250" i="1" s="1"/>
  <c r="AJ250" i="1" s="1"/>
  <c r="AK250" i="1" s="1"/>
  <c r="AL250" i="1" s="1"/>
  <c r="AM250" i="1" s="1"/>
  <c r="AN250" i="1" s="1"/>
  <c r="AD465" i="1"/>
  <c r="AE465" i="1" s="1"/>
  <c r="AF465" i="1" s="1"/>
  <c r="AG465" i="1" s="1"/>
  <c r="AH465" i="1" s="1"/>
  <c r="AI465" i="1" s="1"/>
  <c r="AJ465" i="1" s="1"/>
  <c r="AK465" i="1" s="1"/>
  <c r="AL465" i="1" s="1"/>
  <c r="AM465" i="1" s="1"/>
  <c r="AN465" i="1" s="1"/>
  <c r="AD139" i="1"/>
  <c r="AE139" i="1" s="1"/>
  <c r="AF139" i="1" s="1"/>
  <c r="AG139" i="1" s="1"/>
  <c r="AH139" i="1" s="1"/>
  <c r="AI139" i="1" s="1"/>
  <c r="AJ139" i="1" s="1"/>
  <c r="AK139" i="1" s="1"/>
  <c r="AL139" i="1" s="1"/>
  <c r="AM139" i="1" s="1"/>
  <c r="AN139" i="1" s="1"/>
  <c r="AD298" i="1"/>
  <c r="AE298" i="1" s="1"/>
  <c r="AF298" i="1" s="1"/>
  <c r="AG298" i="1" s="1"/>
  <c r="AH298" i="1" s="1"/>
  <c r="AI298" i="1" s="1"/>
  <c r="AJ298" i="1" s="1"/>
  <c r="AK298" i="1" s="1"/>
  <c r="AL298" i="1" s="1"/>
  <c r="AM298" i="1" s="1"/>
  <c r="AN298" i="1" s="1"/>
  <c r="AD281" i="1"/>
  <c r="AE281" i="1" s="1"/>
  <c r="AF281" i="1" s="1"/>
  <c r="AG281" i="1" s="1"/>
  <c r="AH281" i="1" s="1"/>
  <c r="AI281" i="1" s="1"/>
  <c r="AJ281" i="1" s="1"/>
  <c r="AK281" i="1" s="1"/>
  <c r="AL281" i="1" s="1"/>
  <c r="AM281" i="1" s="1"/>
  <c r="AN281" i="1" s="1"/>
  <c r="AD133" i="1"/>
  <c r="AE133" i="1" s="1"/>
  <c r="AF133" i="1" s="1"/>
  <c r="AG133" i="1" s="1"/>
  <c r="AH133" i="1" s="1"/>
  <c r="AI133" i="1" s="1"/>
  <c r="AJ133" i="1" s="1"/>
  <c r="AK133" i="1" s="1"/>
  <c r="AL133" i="1" s="1"/>
  <c r="AM133" i="1" s="1"/>
  <c r="AN133" i="1" s="1"/>
  <c r="AD304" i="1"/>
  <c r="AE304" i="1" s="1"/>
  <c r="AF304" i="1" s="1"/>
  <c r="AG304" i="1" s="1"/>
  <c r="AH304" i="1" s="1"/>
  <c r="AI304" i="1" s="1"/>
  <c r="AJ304" i="1" s="1"/>
  <c r="AK304" i="1" s="1"/>
  <c r="AL304" i="1" s="1"/>
  <c r="AM304" i="1" s="1"/>
  <c r="AN304" i="1" s="1"/>
  <c r="AD477" i="1"/>
  <c r="AE477" i="1" s="1"/>
  <c r="AF477" i="1" s="1"/>
  <c r="AG477" i="1" s="1"/>
  <c r="AH477" i="1" s="1"/>
  <c r="AI477" i="1" s="1"/>
  <c r="AJ477" i="1" s="1"/>
  <c r="AK477" i="1" s="1"/>
  <c r="AL477" i="1" s="1"/>
  <c r="AM477" i="1" s="1"/>
  <c r="AN477" i="1" s="1"/>
  <c r="AD205" i="1"/>
  <c r="AE205" i="1" s="1"/>
  <c r="AF205" i="1" s="1"/>
  <c r="AG205" i="1" s="1"/>
  <c r="AH205" i="1" s="1"/>
  <c r="AI205" i="1" s="1"/>
  <c r="AJ205" i="1" s="1"/>
  <c r="AK205" i="1" s="1"/>
  <c r="AL205" i="1" s="1"/>
  <c r="AM205" i="1" s="1"/>
  <c r="AN205" i="1" s="1"/>
  <c r="AD478" i="1"/>
  <c r="AE478" i="1" s="1"/>
  <c r="AF478" i="1" s="1"/>
  <c r="AG478" i="1" s="1"/>
  <c r="AH478" i="1" s="1"/>
  <c r="AI478" i="1" s="1"/>
  <c r="AJ478" i="1" s="1"/>
  <c r="AK478" i="1" s="1"/>
  <c r="AL478" i="1" s="1"/>
  <c r="AM478" i="1" s="1"/>
  <c r="AN478" i="1" s="1"/>
  <c r="AD489" i="1"/>
  <c r="AE489" i="1" s="1"/>
  <c r="AF489" i="1" s="1"/>
  <c r="AG489" i="1" s="1"/>
  <c r="AH489" i="1" s="1"/>
  <c r="AI489" i="1" s="1"/>
  <c r="AJ489" i="1" s="1"/>
  <c r="AK489" i="1" s="1"/>
  <c r="AL489" i="1" s="1"/>
  <c r="AM489" i="1" s="1"/>
  <c r="AN489" i="1" s="1"/>
  <c r="AD326" i="1"/>
  <c r="AE326" i="1" s="1"/>
  <c r="AF326" i="1" s="1"/>
  <c r="AG326" i="1" s="1"/>
  <c r="AH326" i="1" s="1"/>
  <c r="AI326" i="1" s="1"/>
  <c r="AJ326" i="1" s="1"/>
  <c r="AK326" i="1" s="1"/>
  <c r="AL326" i="1" s="1"/>
  <c r="AM326" i="1" s="1"/>
  <c r="AN326" i="1" s="1"/>
  <c r="AD344" i="1"/>
  <c r="AE344" i="1" s="1"/>
  <c r="AF344" i="1" s="1"/>
  <c r="AG344" i="1" s="1"/>
  <c r="AH344" i="1" s="1"/>
  <c r="AI344" i="1" s="1"/>
  <c r="AJ344" i="1" s="1"/>
  <c r="AK344" i="1" s="1"/>
  <c r="AL344" i="1" s="1"/>
  <c r="AM344" i="1" s="1"/>
  <c r="AN344" i="1" s="1"/>
  <c r="AD285" i="1"/>
  <c r="AE285" i="1" s="1"/>
  <c r="AF285" i="1" s="1"/>
  <c r="AG285" i="1" s="1"/>
  <c r="AH285" i="1" s="1"/>
  <c r="AI285" i="1" s="1"/>
  <c r="AJ285" i="1" s="1"/>
  <c r="AK285" i="1" s="1"/>
  <c r="AL285" i="1" s="1"/>
  <c r="AM285" i="1" s="1"/>
  <c r="AN285" i="1" s="1"/>
  <c r="AD488" i="1"/>
  <c r="AE488" i="1" s="1"/>
  <c r="AF488" i="1" s="1"/>
  <c r="AG488" i="1" s="1"/>
  <c r="AH488" i="1" s="1"/>
  <c r="AI488" i="1" s="1"/>
  <c r="AJ488" i="1" s="1"/>
  <c r="AK488" i="1" s="1"/>
  <c r="AL488" i="1" s="1"/>
  <c r="AM488" i="1" s="1"/>
  <c r="AN488" i="1" s="1"/>
  <c r="AD357" i="1"/>
  <c r="AE357" i="1" s="1"/>
  <c r="AF357" i="1" s="1"/>
  <c r="AG357" i="1" s="1"/>
  <c r="AH357" i="1" s="1"/>
  <c r="AI357" i="1" s="1"/>
  <c r="AJ357" i="1" s="1"/>
  <c r="AK357" i="1" s="1"/>
  <c r="AL357" i="1" s="1"/>
  <c r="AM357" i="1" s="1"/>
  <c r="AN357" i="1" s="1"/>
  <c r="AD248" i="1"/>
  <c r="AE248" i="1" s="1"/>
  <c r="AF248" i="1" s="1"/>
  <c r="AG248" i="1" s="1"/>
  <c r="AH248" i="1" s="1"/>
  <c r="AI248" i="1" s="1"/>
  <c r="AJ248" i="1" s="1"/>
  <c r="AK248" i="1" s="1"/>
  <c r="AL248" i="1" s="1"/>
  <c r="AM248" i="1" s="1"/>
  <c r="AN248" i="1" s="1"/>
  <c r="AD36" i="1"/>
  <c r="AE36" i="1" s="1"/>
  <c r="AF36" i="1" s="1"/>
  <c r="AG36" i="1" s="1"/>
  <c r="AH36" i="1" s="1"/>
  <c r="AI36" i="1" s="1"/>
  <c r="AJ36" i="1" s="1"/>
  <c r="AK36" i="1" s="1"/>
  <c r="AL36" i="1" s="1"/>
  <c r="AM36" i="1" s="1"/>
  <c r="AN36" i="1" s="1"/>
  <c r="AD102" i="1"/>
  <c r="AE102" i="1" s="1"/>
  <c r="AF102" i="1" s="1"/>
  <c r="AG102" i="1" s="1"/>
  <c r="AH102" i="1" s="1"/>
  <c r="AI102" i="1" s="1"/>
  <c r="AJ102" i="1" s="1"/>
  <c r="AK102" i="1" s="1"/>
  <c r="AL102" i="1" s="1"/>
  <c r="AM102" i="1" s="1"/>
  <c r="AN102" i="1" s="1"/>
  <c r="AD348" i="1"/>
  <c r="AE348" i="1" s="1"/>
  <c r="AF348" i="1" s="1"/>
  <c r="AG348" i="1" s="1"/>
  <c r="AH348" i="1" s="1"/>
  <c r="AI348" i="1" s="1"/>
  <c r="AJ348" i="1" s="1"/>
  <c r="AK348" i="1" s="1"/>
  <c r="AL348" i="1" s="1"/>
  <c r="AM348" i="1" s="1"/>
  <c r="AN348" i="1" s="1"/>
  <c r="AD184" i="1"/>
  <c r="AD493" i="1"/>
  <c r="AE493" i="1" s="1"/>
  <c r="AF493" i="1" s="1"/>
  <c r="AG493" i="1" s="1"/>
  <c r="AH493" i="1" s="1"/>
  <c r="AI493" i="1" s="1"/>
  <c r="AJ493" i="1" s="1"/>
  <c r="AK493" i="1" s="1"/>
  <c r="AL493" i="1" s="1"/>
  <c r="AM493" i="1" s="1"/>
  <c r="AN493" i="1" s="1"/>
  <c r="AD104" i="1"/>
  <c r="AE104" i="1" s="1"/>
  <c r="AD185" i="1"/>
  <c r="AE185" i="1" s="1"/>
  <c r="AF185" i="1" s="1"/>
  <c r="AG185" i="1" s="1"/>
  <c r="AH185" i="1" s="1"/>
  <c r="AI185" i="1" s="1"/>
  <c r="AJ185" i="1" s="1"/>
  <c r="AK185" i="1" s="1"/>
  <c r="AL185" i="1" s="1"/>
  <c r="AM185" i="1" s="1"/>
  <c r="AN185" i="1" s="1"/>
  <c r="AD251" i="1"/>
  <c r="AE251" i="1" s="1"/>
  <c r="AF251" i="1" s="1"/>
  <c r="AG251" i="1" s="1"/>
  <c r="AH251" i="1" s="1"/>
  <c r="AI251" i="1" s="1"/>
  <c r="AJ251" i="1" s="1"/>
  <c r="AK251" i="1" s="1"/>
  <c r="AL251" i="1" s="1"/>
  <c r="AM251" i="1" s="1"/>
  <c r="AN251" i="1" s="1"/>
  <c r="AD123" i="1"/>
  <c r="AE123" i="1" s="1"/>
  <c r="AF123" i="1" s="1"/>
  <c r="AG123" i="1" s="1"/>
  <c r="AH123" i="1" s="1"/>
  <c r="AI123" i="1" s="1"/>
  <c r="AJ123" i="1" s="1"/>
  <c r="AK123" i="1" s="1"/>
  <c r="AL123" i="1" s="1"/>
  <c r="AM123" i="1" s="1"/>
  <c r="AN123" i="1" s="1"/>
  <c r="AD126" i="1"/>
  <c r="AE126" i="1" s="1"/>
  <c r="AF126" i="1" s="1"/>
  <c r="AG126" i="1" s="1"/>
  <c r="AH126" i="1" s="1"/>
  <c r="AI126" i="1" s="1"/>
  <c r="AJ126" i="1" s="1"/>
  <c r="AK126" i="1" s="1"/>
  <c r="AL126" i="1" s="1"/>
  <c r="AM126" i="1" s="1"/>
  <c r="AN126" i="1" s="1"/>
  <c r="AD316" i="1"/>
  <c r="AE316" i="1" s="1"/>
  <c r="AF316" i="1" s="1"/>
  <c r="AG316" i="1" s="1"/>
  <c r="AH316" i="1" s="1"/>
  <c r="AI316" i="1" s="1"/>
  <c r="AJ316" i="1" s="1"/>
  <c r="AK316" i="1" s="1"/>
  <c r="AL316" i="1" s="1"/>
  <c r="AM316" i="1" s="1"/>
  <c r="AN316" i="1" s="1"/>
  <c r="AD249" i="1"/>
  <c r="AE249" i="1" s="1"/>
  <c r="AF249" i="1" s="1"/>
  <c r="AG249" i="1" s="1"/>
  <c r="AH249" i="1" s="1"/>
  <c r="AI249" i="1" s="1"/>
  <c r="AJ249" i="1" s="1"/>
  <c r="AK249" i="1" s="1"/>
  <c r="AL249" i="1" s="1"/>
  <c r="AM249" i="1" s="1"/>
  <c r="AN249" i="1" s="1"/>
  <c r="AD220" i="1"/>
  <c r="AE220" i="1" s="1"/>
  <c r="AF220" i="1" s="1"/>
  <c r="AG220" i="1" s="1"/>
  <c r="AH220" i="1" s="1"/>
  <c r="AI220" i="1" s="1"/>
  <c r="AJ220" i="1" s="1"/>
  <c r="AK220" i="1" s="1"/>
  <c r="AL220" i="1" s="1"/>
  <c r="AM220" i="1" s="1"/>
  <c r="AN220" i="1" s="1"/>
  <c r="AD28" i="1"/>
  <c r="AE28" i="1" s="1"/>
  <c r="AF28" i="1" s="1"/>
  <c r="AG28" i="1" s="1"/>
  <c r="AH28" i="1" s="1"/>
  <c r="AI28" i="1" s="1"/>
  <c r="AJ28" i="1" s="1"/>
  <c r="AK28" i="1" s="1"/>
  <c r="AL28" i="1" s="1"/>
  <c r="AM28" i="1" s="1"/>
  <c r="AN28" i="1" s="1"/>
  <c r="AD179" i="1"/>
  <c r="AE179" i="1" s="1"/>
  <c r="AF179" i="1" s="1"/>
  <c r="AG179" i="1" s="1"/>
  <c r="AH179" i="1" s="1"/>
  <c r="AI179" i="1" s="1"/>
  <c r="AJ179" i="1" s="1"/>
  <c r="AK179" i="1" s="1"/>
  <c r="AL179" i="1" s="1"/>
  <c r="AM179" i="1" s="1"/>
  <c r="AN179" i="1" s="1"/>
  <c r="AD35" i="1"/>
  <c r="AE35" i="1" s="1"/>
  <c r="AF35" i="1" s="1"/>
  <c r="AG35" i="1" s="1"/>
  <c r="AH35" i="1" s="1"/>
  <c r="AI35" i="1" s="1"/>
  <c r="AJ35" i="1" s="1"/>
  <c r="AK35" i="1" s="1"/>
  <c r="AL35" i="1" s="1"/>
  <c r="AM35" i="1" s="1"/>
  <c r="AN35" i="1" s="1"/>
  <c r="AD299" i="1"/>
  <c r="AE299" i="1" s="1"/>
  <c r="AF299" i="1" s="1"/>
  <c r="AG299" i="1" s="1"/>
  <c r="AH299" i="1" s="1"/>
  <c r="AI299" i="1" s="1"/>
  <c r="AJ299" i="1" s="1"/>
  <c r="AK299" i="1" s="1"/>
  <c r="AL299" i="1" s="1"/>
  <c r="AM299" i="1" s="1"/>
  <c r="AN299" i="1" s="1"/>
  <c r="AD138" i="1"/>
  <c r="AE138" i="1" s="1"/>
  <c r="AF138" i="1" s="1"/>
  <c r="AG138" i="1" s="1"/>
  <c r="AH138" i="1" s="1"/>
  <c r="AI138" i="1" s="1"/>
  <c r="AJ138" i="1" s="1"/>
  <c r="AK138" i="1" s="1"/>
  <c r="AL138" i="1" s="1"/>
  <c r="AM138" i="1" s="1"/>
  <c r="AN138" i="1" s="1"/>
  <c r="AD122" i="1"/>
  <c r="AE122" i="1" s="1"/>
  <c r="AF122" i="1" s="1"/>
  <c r="AG122" i="1" s="1"/>
  <c r="AH122" i="1" s="1"/>
  <c r="AI122" i="1" s="1"/>
  <c r="AJ122" i="1" s="1"/>
  <c r="AK122" i="1" s="1"/>
  <c r="AL122" i="1" s="1"/>
  <c r="AM122" i="1" s="1"/>
  <c r="AN122" i="1" s="1"/>
  <c r="AD6" i="1"/>
  <c r="AE6" i="1" s="1"/>
  <c r="AF6" i="1" s="1"/>
  <c r="AG6" i="1" s="1"/>
  <c r="AH6" i="1" s="1"/>
  <c r="AI6" i="1" s="1"/>
  <c r="AJ6" i="1" s="1"/>
  <c r="AK6" i="1" s="1"/>
  <c r="AL6" i="1" s="1"/>
  <c r="AM6" i="1" s="1"/>
  <c r="AN6" i="1" s="1"/>
  <c r="AD480" i="1"/>
  <c r="AE480" i="1" s="1"/>
  <c r="AF480" i="1" s="1"/>
  <c r="AG480" i="1" s="1"/>
  <c r="AH480" i="1" s="1"/>
  <c r="AI480" i="1" s="1"/>
  <c r="AJ480" i="1" s="1"/>
  <c r="AK480" i="1" s="1"/>
  <c r="AL480" i="1" s="1"/>
  <c r="AM480" i="1" s="1"/>
  <c r="AN480" i="1" s="1"/>
  <c r="AD463" i="1"/>
  <c r="AE463" i="1" s="1"/>
  <c r="AF463" i="1" s="1"/>
  <c r="AG463" i="1" s="1"/>
  <c r="AH463" i="1" s="1"/>
  <c r="AI463" i="1" s="1"/>
  <c r="AJ463" i="1" s="1"/>
  <c r="AK463" i="1" s="1"/>
  <c r="AL463" i="1" s="1"/>
  <c r="AM463" i="1" s="1"/>
  <c r="AN463" i="1" s="1"/>
  <c r="AD447" i="1"/>
  <c r="AE447" i="1" s="1"/>
  <c r="AF447" i="1" s="1"/>
  <c r="AG447" i="1" s="1"/>
  <c r="AH447" i="1" s="1"/>
  <c r="AI447" i="1" s="1"/>
  <c r="AJ447" i="1" s="1"/>
  <c r="AK447" i="1" s="1"/>
  <c r="AL447" i="1" s="1"/>
  <c r="AM447" i="1" s="1"/>
  <c r="AN447" i="1" s="1"/>
  <c r="AD350" i="1"/>
  <c r="AE350" i="1" s="1"/>
  <c r="AF350" i="1" s="1"/>
  <c r="AG350" i="1" s="1"/>
  <c r="AH350" i="1" s="1"/>
  <c r="AI350" i="1" s="1"/>
  <c r="AJ350" i="1" s="1"/>
  <c r="AK350" i="1" s="1"/>
  <c r="AL350" i="1" s="1"/>
  <c r="AM350" i="1" s="1"/>
  <c r="AN350" i="1" s="1"/>
  <c r="AD221" i="1"/>
  <c r="AE221" i="1" s="1"/>
  <c r="AF221" i="1" s="1"/>
  <c r="AG221" i="1" s="1"/>
  <c r="AH221" i="1" s="1"/>
  <c r="AI221" i="1" s="1"/>
  <c r="AJ221" i="1" s="1"/>
  <c r="AK221" i="1" s="1"/>
  <c r="AL221" i="1" s="1"/>
  <c r="AM221" i="1" s="1"/>
  <c r="AN221" i="1" s="1"/>
  <c r="AD137" i="1"/>
  <c r="AE137" i="1" s="1"/>
  <c r="AF137" i="1" s="1"/>
  <c r="AG137" i="1" s="1"/>
  <c r="AH137" i="1" s="1"/>
  <c r="AI137" i="1" s="1"/>
  <c r="AJ137" i="1" s="1"/>
  <c r="AK137" i="1" s="1"/>
  <c r="AL137" i="1" s="1"/>
  <c r="AM137" i="1" s="1"/>
  <c r="AN137" i="1" s="1"/>
  <c r="AD60" i="1"/>
  <c r="AE60" i="1" s="1"/>
  <c r="AF60" i="1" s="1"/>
  <c r="AG60" i="1" s="1"/>
  <c r="AH60" i="1" s="1"/>
  <c r="AI60" i="1" s="1"/>
  <c r="AJ60" i="1" s="1"/>
  <c r="AK60" i="1" s="1"/>
  <c r="AL60" i="1" s="1"/>
  <c r="AM60" i="1" s="1"/>
  <c r="AN60" i="1" s="1"/>
  <c r="AD438" i="1"/>
  <c r="AE438" i="1" s="1"/>
  <c r="AF438" i="1" s="1"/>
  <c r="AG438" i="1" s="1"/>
  <c r="AH438" i="1" s="1"/>
  <c r="AI438" i="1" s="1"/>
  <c r="AJ438" i="1" s="1"/>
  <c r="AK438" i="1" s="1"/>
  <c r="AL438" i="1" s="1"/>
  <c r="AM438" i="1" s="1"/>
  <c r="AN438" i="1" s="1"/>
  <c r="AD349" i="1"/>
  <c r="AE349" i="1" s="1"/>
  <c r="AF349" i="1" s="1"/>
  <c r="AG349" i="1" s="1"/>
  <c r="AH349" i="1" s="1"/>
  <c r="AI349" i="1" s="1"/>
  <c r="AJ349" i="1" s="1"/>
  <c r="AK349" i="1" s="1"/>
  <c r="AL349" i="1" s="1"/>
  <c r="AM349" i="1" s="1"/>
  <c r="AN349" i="1" s="1"/>
  <c r="AD315" i="1"/>
  <c r="AE315" i="1" s="1"/>
  <c r="AF315" i="1" s="1"/>
  <c r="AG315" i="1" s="1"/>
  <c r="AH315" i="1" s="1"/>
  <c r="AI315" i="1" s="1"/>
  <c r="AJ315" i="1" s="1"/>
  <c r="AK315" i="1" s="1"/>
  <c r="AL315" i="1" s="1"/>
  <c r="AM315" i="1" s="1"/>
  <c r="AN315" i="1" s="1"/>
  <c r="AD232" i="1"/>
  <c r="AE232" i="1" s="1"/>
  <c r="AF232" i="1" s="1"/>
  <c r="AG232" i="1" s="1"/>
  <c r="AH232" i="1" s="1"/>
  <c r="AI232" i="1" s="1"/>
  <c r="AJ232" i="1" s="1"/>
  <c r="AK232" i="1" s="1"/>
  <c r="AL232" i="1" s="1"/>
  <c r="AM232" i="1" s="1"/>
  <c r="AN232" i="1" s="1"/>
  <c r="AD490" i="1"/>
  <c r="AE490" i="1" s="1"/>
  <c r="AF490" i="1" s="1"/>
  <c r="AG490" i="1" s="1"/>
  <c r="AH490" i="1" s="1"/>
  <c r="AI490" i="1" s="1"/>
  <c r="AJ490" i="1" s="1"/>
  <c r="AK490" i="1" s="1"/>
  <c r="AL490" i="1" s="1"/>
  <c r="AD453" i="1"/>
  <c r="AE453" i="1" s="1"/>
  <c r="AF453" i="1" s="1"/>
  <c r="AG453" i="1" s="1"/>
  <c r="AH453" i="1" s="1"/>
  <c r="AI453" i="1" s="1"/>
  <c r="AJ453" i="1" s="1"/>
  <c r="AK453" i="1" s="1"/>
  <c r="AL453" i="1" s="1"/>
  <c r="AM453" i="1" s="1"/>
  <c r="AN453" i="1" s="1"/>
  <c r="AD437" i="1"/>
  <c r="AE437" i="1" s="1"/>
  <c r="AF437" i="1" s="1"/>
  <c r="AG437" i="1" s="1"/>
  <c r="AH437" i="1" s="1"/>
  <c r="AI437" i="1" s="1"/>
  <c r="AJ437" i="1" s="1"/>
  <c r="AK437" i="1" s="1"/>
  <c r="AL437" i="1" s="1"/>
  <c r="AM437" i="1" s="1"/>
  <c r="AN437" i="1" s="1"/>
  <c r="AD366" i="1"/>
  <c r="AD172" i="1"/>
  <c r="AE172" i="1" s="1"/>
  <c r="AF172" i="1" s="1"/>
  <c r="AG172" i="1" s="1"/>
  <c r="AH172" i="1" s="1"/>
  <c r="AI172" i="1" s="1"/>
  <c r="AJ172" i="1" s="1"/>
  <c r="AK172" i="1" s="1"/>
  <c r="AL172" i="1" s="1"/>
  <c r="AM172" i="1" s="1"/>
  <c r="AN172" i="1" s="1"/>
  <c r="AD444" i="1"/>
  <c r="AE444" i="1" s="1"/>
  <c r="AF444" i="1" s="1"/>
  <c r="AG444" i="1" s="1"/>
  <c r="AH444" i="1" s="1"/>
  <c r="AI444" i="1" s="1"/>
  <c r="AJ444" i="1" s="1"/>
  <c r="AK444" i="1" s="1"/>
  <c r="AD337" i="1"/>
  <c r="AE337" i="1" s="1"/>
  <c r="AF337" i="1" s="1"/>
  <c r="AG337" i="1" s="1"/>
  <c r="AH337" i="1" s="1"/>
  <c r="AI337" i="1" s="1"/>
  <c r="AJ337" i="1" s="1"/>
  <c r="AK337" i="1" s="1"/>
  <c r="AL337" i="1" s="1"/>
  <c r="AM337" i="1" s="1"/>
  <c r="AN337" i="1" s="1"/>
  <c r="AD48" i="1"/>
  <c r="AE48" i="1" s="1"/>
  <c r="AF48" i="1" s="1"/>
  <c r="AG48" i="1" s="1"/>
  <c r="AH48" i="1" s="1"/>
  <c r="AI48" i="1" s="1"/>
  <c r="AJ48" i="1" s="1"/>
  <c r="AK48" i="1" s="1"/>
  <c r="AL48" i="1" s="1"/>
  <c r="AM48" i="1" s="1"/>
  <c r="AN48" i="1" s="1"/>
  <c r="AD392" i="1"/>
  <c r="AE392" i="1" s="1"/>
  <c r="AF392" i="1" s="1"/>
  <c r="AG392" i="1" s="1"/>
  <c r="AH392" i="1" s="1"/>
  <c r="AI392" i="1" s="1"/>
  <c r="AJ392" i="1" s="1"/>
  <c r="AK392" i="1" s="1"/>
  <c r="AL392" i="1" s="1"/>
  <c r="AM392" i="1" s="1"/>
  <c r="AN392" i="1" s="1"/>
  <c r="AD142" i="1"/>
  <c r="AE142" i="1" s="1"/>
  <c r="AF142" i="1" s="1"/>
  <c r="AG142" i="1" s="1"/>
  <c r="AH142" i="1" s="1"/>
  <c r="AI142" i="1" s="1"/>
  <c r="AJ142" i="1" s="1"/>
  <c r="AK142" i="1" s="1"/>
  <c r="AL142" i="1" s="1"/>
  <c r="AM142" i="1" s="1"/>
  <c r="AN142" i="1" s="1"/>
  <c r="AD364" i="1"/>
  <c r="AE364" i="1" s="1"/>
  <c r="AF364" i="1" s="1"/>
  <c r="AG364" i="1" s="1"/>
  <c r="AH364" i="1" s="1"/>
  <c r="AI364" i="1" s="1"/>
  <c r="AJ364" i="1" s="1"/>
  <c r="AK364" i="1" s="1"/>
  <c r="AD141" i="1"/>
  <c r="AE141" i="1" s="1"/>
  <c r="AF141" i="1" s="1"/>
  <c r="AG141" i="1" s="1"/>
  <c r="AH141" i="1" s="1"/>
  <c r="AI141" i="1" s="1"/>
  <c r="AJ141" i="1" s="1"/>
  <c r="AK141" i="1" s="1"/>
  <c r="AL141" i="1" s="1"/>
  <c r="AM141" i="1" s="1"/>
  <c r="AN141" i="1" s="1"/>
  <c r="AD8" i="1"/>
  <c r="AE8" i="1" s="1"/>
  <c r="AF8" i="1" s="1"/>
  <c r="AG8" i="1" s="1"/>
  <c r="AH8" i="1" s="1"/>
  <c r="AI8" i="1" s="1"/>
  <c r="AJ8" i="1" s="1"/>
  <c r="AK8" i="1" s="1"/>
  <c r="AL8" i="1" s="1"/>
  <c r="AM8" i="1" s="1"/>
  <c r="AN8" i="1" s="1"/>
  <c r="AD397" i="1"/>
  <c r="AE397" i="1" s="1"/>
  <c r="AF397" i="1" s="1"/>
  <c r="AG397" i="1" s="1"/>
  <c r="AH397" i="1" s="1"/>
  <c r="AI397" i="1" s="1"/>
  <c r="AJ397" i="1" s="1"/>
  <c r="AK397" i="1" s="1"/>
  <c r="AL397" i="1" s="1"/>
  <c r="AM397" i="1" s="1"/>
  <c r="AN397" i="1" s="1"/>
  <c r="AD124" i="1"/>
  <c r="AE124" i="1" s="1"/>
  <c r="AF124" i="1" s="1"/>
  <c r="AG124" i="1" s="1"/>
  <c r="AH124" i="1" s="1"/>
  <c r="AI124" i="1" s="1"/>
  <c r="AJ124" i="1" s="1"/>
  <c r="AK124" i="1" s="1"/>
  <c r="AL124" i="1" s="1"/>
  <c r="AM124" i="1" s="1"/>
  <c r="AN124" i="1" s="1"/>
  <c r="AD338" i="1"/>
  <c r="AE338" i="1" s="1"/>
  <c r="AF338" i="1" s="1"/>
  <c r="AG338" i="1" s="1"/>
  <c r="AH338" i="1" s="1"/>
  <c r="AI338" i="1" s="1"/>
  <c r="AJ338" i="1" s="1"/>
  <c r="AK338" i="1" s="1"/>
  <c r="AL338" i="1" s="1"/>
  <c r="AM338" i="1" s="1"/>
  <c r="AN338" i="1" s="1"/>
  <c r="AD208" i="1"/>
  <c r="AE208" i="1" s="1"/>
  <c r="AF208" i="1" s="1"/>
  <c r="AG208" i="1" s="1"/>
  <c r="AH208" i="1" s="1"/>
  <c r="AI208" i="1" s="1"/>
  <c r="AJ208" i="1" s="1"/>
  <c r="AK208" i="1" s="1"/>
  <c r="AL208" i="1" s="1"/>
  <c r="AM208" i="1" s="1"/>
  <c r="AN208" i="1" s="1"/>
  <c r="AD109" i="1"/>
  <c r="AE109" i="1" s="1"/>
  <c r="AF109" i="1" s="1"/>
  <c r="AD576" i="1"/>
  <c r="AE576" i="1" s="1"/>
  <c r="AF576" i="1" s="1"/>
  <c r="AG576" i="1" s="1"/>
  <c r="AH576" i="1" s="1"/>
  <c r="AI576" i="1" s="1"/>
  <c r="AJ576" i="1" s="1"/>
  <c r="AK576" i="1" s="1"/>
  <c r="AL576" i="1" s="1"/>
  <c r="AM576" i="1" s="1"/>
  <c r="AN576" i="1" s="1"/>
  <c r="AD457" i="1"/>
  <c r="AE457" i="1" s="1"/>
  <c r="AF457" i="1" s="1"/>
  <c r="AG457" i="1" s="1"/>
  <c r="AH457" i="1" s="1"/>
  <c r="AI457" i="1" s="1"/>
  <c r="AJ457" i="1" s="1"/>
  <c r="AK457" i="1" s="1"/>
  <c r="AL457" i="1" s="1"/>
  <c r="AM457" i="1" s="1"/>
  <c r="AN457" i="1" s="1"/>
  <c r="AD292" i="1"/>
  <c r="AE292" i="1" s="1"/>
  <c r="AF292" i="1" s="1"/>
  <c r="AG292" i="1" s="1"/>
  <c r="AH292" i="1" s="1"/>
  <c r="AI292" i="1" s="1"/>
  <c r="AJ292" i="1" s="1"/>
  <c r="AK292" i="1" s="1"/>
  <c r="AL292" i="1" s="1"/>
  <c r="AM292" i="1" s="1"/>
  <c r="AN292" i="1" s="1"/>
  <c r="AD5" i="1"/>
  <c r="AE5" i="1" s="1"/>
  <c r="AF5" i="1" s="1"/>
  <c r="AG5" i="1" s="1"/>
  <c r="AH5" i="1" s="1"/>
  <c r="AI5" i="1" s="1"/>
  <c r="AJ5" i="1" s="1"/>
  <c r="AK5" i="1" s="1"/>
  <c r="AL5" i="1" s="1"/>
  <c r="AM5" i="1" s="1"/>
  <c r="AN5" i="1" s="1"/>
  <c r="AD439" i="1"/>
  <c r="AE439" i="1" s="1"/>
  <c r="AF439" i="1" s="1"/>
  <c r="AG439" i="1" s="1"/>
  <c r="AH439" i="1" s="1"/>
  <c r="AI439" i="1" s="1"/>
  <c r="AJ439" i="1" s="1"/>
  <c r="AK439" i="1" s="1"/>
  <c r="AL439" i="1" s="1"/>
  <c r="AM439" i="1" s="1"/>
  <c r="AN439" i="1" s="1"/>
  <c r="AD462" i="1"/>
  <c r="AE462" i="1" s="1"/>
  <c r="AF462" i="1" s="1"/>
  <c r="AG462" i="1" s="1"/>
  <c r="AH462" i="1" s="1"/>
  <c r="AI462" i="1" s="1"/>
  <c r="AJ462" i="1" s="1"/>
  <c r="AK462" i="1" s="1"/>
  <c r="AL462" i="1" s="1"/>
  <c r="AM462" i="1" s="1"/>
  <c r="AN462" i="1" s="1"/>
  <c r="AD148" i="1"/>
  <c r="AE148" i="1" s="1"/>
  <c r="AF148" i="1" s="1"/>
  <c r="AG148" i="1" s="1"/>
  <c r="AH148" i="1" s="1"/>
  <c r="AI148" i="1" s="1"/>
  <c r="AJ148" i="1" s="1"/>
  <c r="AK148" i="1" s="1"/>
  <c r="AL148" i="1" s="1"/>
  <c r="AM148" i="1" s="1"/>
  <c r="AN148" i="1" s="1"/>
  <c r="AD454" i="1"/>
  <c r="AE454" i="1" s="1"/>
  <c r="AF454" i="1" s="1"/>
  <c r="AG454" i="1" s="1"/>
  <c r="AH454" i="1" s="1"/>
  <c r="AI454" i="1" s="1"/>
  <c r="AJ454" i="1" s="1"/>
  <c r="AK454" i="1" s="1"/>
  <c r="AL454" i="1" s="1"/>
  <c r="AM454" i="1" s="1"/>
  <c r="AN454" i="1" s="1"/>
  <c r="AD242" i="1"/>
  <c r="AE242" i="1" s="1"/>
  <c r="AF242" i="1" s="1"/>
  <c r="AG242" i="1" s="1"/>
  <c r="AH242" i="1" s="1"/>
  <c r="AI242" i="1" s="1"/>
  <c r="AJ242" i="1" s="1"/>
  <c r="AK242" i="1" s="1"/>
  <c r="AL242" i="1" s="1"/>
  <c r="AM242" i="1" s="1"/>
  <c r="AN242" i="1" s="1"/>
  <c r="AD197" i="1"/>
  <c r="AE197" i="1" s="1"/>
  <c r="AF197" i="1" s="1"/>
  <c r="AG197" i="1" s="1"/>
  <c r="AH197" i="1" s="1"/>
  <c r="AI197" i="1" s="1"/>
  <c r="AJ197" i="1" s="1"/>
  <c r="AK197" i="1" s="1"/>
  <c r="AL197" i="1" s="1"/>
  <c r="AM197" i="1" s="1"/>
  <c r="AN197" i="1" s="1"/>
  <c r="AD44" i="1"/>
  <c r="AE44" i="1" s="1"/>
  <c r="AF44" i="1" s="1"/>
  <c r="AG44" i="1" s="1"/>
  <c r="AH44" i="1" s="1"/>
  <c r="AI44" i="1" s="1"/>
  <c r="AJ44" i="1" s="1"/>
  <c r="AK44" i="1" s="1"/>
  <c r="AL44" i="1" s="1"/>
  <c r="AM44" i="1" s="1"/>
  <c r="AN44" i="1" s="1"/>
  <c r="AD492" i="1"/>
  <c r="AE492" i="1" s="1"/>
  <c r="AF492" i="1" s="1"/>
  <c r="AG492" i="1" s="1"/>
  <c r="AH492" i="1" s="1"/>
  <c r="AI492" i="1" s="1"/>
  <c r="AJ492" i="1" s="1"/>
  <c r="AK492" i="1" s="1"/>
  <c r="AL492" i="1" s="1"/>
  <c r="AM492" i="1" s="1"/>
  <c r="AN492" i="1" s="1"/>
  <c r="AD443" i="1"/>
  <c r="AE443" i="1" s="1"/>
  <c r="AF443" i="1" s="1"/>
  <c r="AG443" i="1" s="1"/>
  <c r="AH443" i="1" s="1"/>
  <c r="AI443" i="1" s="1"/>
  <c r="AJ443" i="1" s="1"/>
  <c r="AK443" i="1" s="1"/>
  <c r="AL443" i="1" s="1"/>
  <c r="AM443" i="1" s="1"/>
  <c r="AN443" i="1" s="1"/>
  <c r="AD127" i="1"/>
  <c r="AE127" i="1" s="1"/>
  <c r="AF127" i="1" s="1"/>
  <c r="AG127" i="1" s="1"/>
  <c r="AH127" i="1" s="1"/>
  <c r="AI127" i="1" s="1"/>
  <c r="AJ127" i="1" s="1"/>
  <c r="AK127" i="1" s="1"/>
  <c r="AL127" i="1" s="1"/>
  <c r="AM127" i="1" s="1"/>
  <c r="AN127" i="1" s="1"/>
  <c r="AD496" i="1"/>
  <c r="AE496" i="1" s="1"/>
  <c r="AF496" i="1" s="1"/>
  <c r="AG496" i="1" s="1"/>
  <c r="AH496" i="1" s="1"/>
  <c r="AI496" i="1" s="1"/>
  <c r="AJ496" i="1" s="1"/>
  <c r="AK496" i="1" s="1"/>
  <c r="AL496" i="1" s="1"/>
  <c r="AM496" i="1" s="1"/>
  <c r="AD103" i="1"/>
  <c r="AE103" i="1" s="1"/>
  <c r="AF103" i="1" s="1"/>
  <c r="AG103" i="1" s="1"/>
  <c r="AH103" i="1" s="1"/>
  <c r="AI103" i="1" s="1"/>
  <c r="AJ103" i="1" s="1"/>
  <c r="AK103" i="1" s="1"/>
  <c r="AL103" i="1" s="1"/>
  <c r="AM103" i="1" s="1"/>
  <c r="AN103" i="1" s="1"/>
  <c r="AD300" i="1"/>
  <c r="AE300" i="1" s="1"/>
  <c r="AF300" i="1" s="1"/>
  <c r="AG300" i="1" s="1"/>
  <c r="AH300" i="1" s="1"/>
  <c r="AI300" i="1" s="1"/>
  <c r="AJ300" i="1" s="1"/>
  <c r="AK300" i="1" s="1"/>
  <c r="AL300" i="1" s="1"/>
  <c r="AM300" i="1" s="1"/>
  <c r="AN300" i="1" s="1"/>
  <c r="AD436" i="1"/>
  <c r="AE436" i="1" s="1"/>
  <c r="AF436" i="1" s="1"/>
  <c r="AG436" i="1" s="1"/>
  <c r="AH436" i="1" s="1"/>
  <c r="AI436" i="1" s="1"/>
  <c r="AJ436" i="1" s="1"/>
  <c r="AK436" i="1" s="1"/>
  <c r="AL436" i="1" s="1"/>
  <c r="AM436" i="1" s="1"/>
  <c r="AN436" i="1" s="1"/>
  <c r="AD309" i="1"/>
  <c r="AE309" i="1" s="1"/>
  <c r="AF309" i="1" s="1"/>
  <c r="AG309" i="1" s="1"/>
  <c r="AH309" i="1" s="1"/>
  <c r="AI309" i="1" s="1"/>
  <c r="AJ309" i="1" s="1"/>
  <c r="AK309" i="1" s="1"/>
  <c r="AL309" i="1" s="1"/>
  <c r="AM309" i="1" s="1"/>
  <c r="AN309" i="1" s="1"/>
  <c r="AD370" i="1"/>
  <c r="AE370" i="1" s="1"/>
  <c r="AF370" i="1" s="1"/>
  <c r="AG370" i="1" s="1"/>
  <c r="AH370" i="1" s="1"/>
  <c r="AI370" i="1" s="1"/>
  <c r="AJ370" i="1" s="1"/>
  <c r="AK370" i="1" s="1"/>
  <c r="AL370" i="1" s="1"/>
  <c r="AM370" i="1" s="1"/>
  <c r="AN370" i="1" s="1"/>
  <c r="AD310" i="1"/>
  <c r="AE310" i="1" s="1"/>
  <c r="AF310" i="1" s="1"/>
  <c r="AG310" i="1" s="1"/>
  <c r="AH310" i="1" s="1"/>
  <c r="AI310" i="1" s="1"/>
  <c r="AJ310" i="1" s="1"/>
  <c r="AK310" i="1" s="1"/>
  <c r="AL310" i="1" s="1"/>
  <c r="AM310" i="1" s="1"/>
  <c r="AN310" i="1" s="1"/>
  <c r="AD169" i="1"/>
  <c r="AE169" i="1" s="1"/>
  <c r="AF169" i="1" s="1"/>
  <c r="AG169" i="1" s="1"/>
  <c r="AH169" i="1" s="1"/>
  <c r="AI169" i="1" s="1"/>
  <c r="AJ169" i="1" s="1"/>
  <c r="AK169" i="1" s="1"/>
  <c r="AL169" i="1" s="1"/>
  <c r="AM169" i="1" s="1"/>
  <c r="AN169" i="1" s="1"/>
  <c r="AD153" i="1"/>
  <c r="AE153" i="1" s="1"/>
  <c r="AF153" i="1" s="1"/>
  <c r="AG153" i="1" s="1"/>
  <c r="AH153" i="1" s="1"/>
  <c r="AI153" i="1" s="1"/>
  <c r="AJ153" i="1" s="1"/>
  <c r="AK153" i="1" s="1"/>
  <c r="AL153" i="1" s="1"/>
  <c r="AM153" i="1" s="1"/>
  <c r="AN153" i="1" s="1"/>
  <c r="AD131" i="1"/>
  <c r="AE131" i="1" s="1"/>
  <c r="AF131" i="1" s="1"/>
  <c r="AG131" i="1" s="1"/>
  <c r="AH131" i="1" s="1"/>
  <c r="AI131" i="1" s="1"/>
  <c r="AJ131" i="1" s="1"/>
  <c r="AK131" i="1" s="1"/>
  <c r="AL131" i="1" s="1"/>
  <c r="AM131" i="1" s="1"/>
  <c r="AN131" i="1" s="1"/>
  <c r="AD325" i="1"/>
  <c r="AE325" i="1" s="1"/>
  <c r="AF325" i="1" s="1"/>
  <c r="AG325" i="1" s="1"/>
  <c r="AH325" i="1" s="1"/>
  <c r="AI325" i="1" s="1"/>
  <c r="AJ325" i="1" s="1"/>
  <c r="AK325" i="1" s="1"/>
  <c r="AL325" i="1" s="1"/>
  <c r="AM325" i="1" s="1"/>
  <c r="AN325" i="1" s="1"/>
  <c r="AD241" i="1"/>
  <c r="AE241" i="1" s="1"/>
  <c r="AF241" i="1" s="1"/>
  <c r="AG241" i="1" s="1"/>
  <c r="AH241" i="1" s="1"/>
  <c r="AI241" i="1" s="1"/>
  <c r="AJ241" i="1" s="1"/>
  <c r="AK241" i="1" s="1"/>
  <c r="AL241" i="1" s="1"/>
  <c r="AM241" i="1" s="1"/>
  <c r="AN241" i="1" s="1"/>
  <c r="AD125" i="1"/>
  <c r="AE125" i="1" s="1"/>
  <c r="AF125" i="1" s="1"/>
  <c r="AG125" i="1" s="1"/>
  <c r="AH125" i="1" s="1"/>
  <c r="AI125" i="1" s="1"/>
  <c r="AJ125" i="1" s="1"/>
  <c r="AK125" i="1" s="1"/>
  <c r="AL125" i="1" s="1"/>
  <c r="AM125" i="1" s="1"/>
  <c r="AN125" i="1" s="1"/>
  <c r="AD51" i="1"/>
  <c r="AE51" i="1" s="1"/>
  <c r="AF51" i="1" s="1"/>
  <c r="AG51" i="1" s="1"/>
  <c r="AH51" i="1" s="1"/>
  <c r="AI51" i="1" s="1"/>
  <c r="AJ51" i="1" s="1"/>
  <c r="AK51" i="1" s="1"/>
  <c r="AL51" i="1" s="1"/>
  <c r="AM51" i="1" s="1"/>
  <c r="AN51" i="1" s="1"/>
  <c r="AD495" i="1"/>
  <c r="AE495" i="1" s="1"/>
  <c r="AF495" i="1" s="1"/>
  <c r="AG495" i="1" s="1"/>
  <c r="AH495" i="1" s="1"/>
  <c r="AI495" i="1" s="1"/>
  <c r="AJ495" i="1" s="1"/>
  <c r="AK495" i="1" s="1"/>
  <c r="AL495" i="1" s="1"/>
  <c r="AM495" i="1" s="1"/>
  <c r="AD140" i="1"/>
  <c r="AE140" i="1" s="1"/>
  <c r="AF140" i="1" s="1"/>
  <c r="AG140" i="1" s="1"/>
  <c r="AH140" i="1" s="1"/>
  <c r="AI140" i="1" s="1"/>
  <c r="AJ140" i="1" s="1"/>
  <c r="AK140" i="1" s="1"/>
  <c r="AL140" i="1" s="1"/>
  <c r="AM140" i="1" s="1"/>
  <c r="AN140" i="1" s="1"/>
  <c r="AD466" i="1"/>
  <c r="AE466" i="1" s="1"/>
  <c r="AF466" i="1" s="1"/>
  <c r="AG466" i="1" s="1"/>
  <c r="AH466" i="1" s="1"/>
  <c r="AI466" i="1" s="1"/>
  <c r="AJ466" i="1" s="1"/>
  <c r="AK466" i="1" s="1"/>
  <c r="AL466" i="1" s="1"/>
  <c r="AM466" i="1" s="1"/>
  <c r="AN466" i="1" s="1"/>
  <c r="AD336" i="1"/>
  <c r="AE336" i="1" s="1"/>
  <c r="AF336" i="1" s="1"/>
  <c r="AG336" i="1" s="1"/>
  <c r="AH336" i="1" s="1"/>
  <c r="AI336" i="1" s="1"/>
  <c r="AJ336" i="1" s="1"/>
  <c r="AK336" i="1" s="1"/>
  <c r="AL336" i="1" s="1"/>
  <c r="AM336" i="1" s="1"/>
  <c r="AN336" i="1" s="1"/>
  <c r="AD448" i="1"/>
  <c r="AE448" i="1" s="1"/>
  <c r="AF448" i="1" s="1"/>
  <c r="AG448" i="1" s="1"/>
  <c r="AH448" i="1" s="1"/>
  <c r="AI448" i="1" s="1"/>
  <c r="AJ448" i="1" s="1"/>
  <c r="AK448" i="1" s="1"/>
  <c r="AL448" i="1" s="1"/>
  <c r="AM448" i="1" s="1"/>
  <c r="AN448" i="1" s="1"/>
  <c r="AD13" i="1"/>
  <c r="AE13" i="1" s="1"/>
  <c r="AF13" i="1" s="1"/>
  <c r="AD517" i="1"/>
  <c r="AE517" i="1" s="1"/>
  <c r="AF517" i="1" s="1"/>
  <c r="AG517" i="1" s="1"/>
  <c r="AH517" i="1" s="1"/>
  <c r="AI517" i="1" s="1"/>
  <c r="AJ517" i="1" s="1"/>
  <c r="AK517" i="1" s="1"/>
  <c r="AL517" i="1" s="1"/>
  <c r="AM517" i="1" s="1"/>
  <c r="AN517" i="1" s="1"/>
  <c r="AD143" i="1"/>
  <c r="AE143" i="1" s="1"/>
  <c r="AF143" i="1" s="1"/>
  <c r="AG143" i="1" s="1"/>
  <c r="AH143" i="1" s="1"/>
  <c r="AI143" i="1" s="1"/>
  <c r="AJ143" i="1" s="1"/>
  <c r="AK143" i="1" s="1"/>
  <c r="AL143" i="1" s="1"/>
  <c r="AM143" i="1" s="1"/>
  <c r="AN143" i="1" s="1"/>
  <c r="AD501" i="1"/>
  <c r="AE501" i="1" s="1"/>
  <c r="AF501" i="1" s="1"/>
  <c r="AG501" i="1" s="1"/>
  <c r="AH501" i="1" s="1"/>
  <c r="AI501" i="1" s="1"/>
  <c r="AJ501" i="1" s="1"/>
  <c r="AK501" i="1" s="1"/>
  <c r="AL501" i="1" s="1"/>
  <c r="AM501" i="1" s="1"/>
  <c r="AN501" i="1" s="1"/>
  <c r="AD321" i="1"/>
  <c r="AE321" i="1" s="1"/>
  <c r="AF321" i="1" s="1"/>
  <c r="AG321" i="1" s="1"/>
  <c r="AH321" i="1" s="1"/>
  <c r="AI321" i="1" s="1"/>
  <c r="AJ321" i="1" s="1"/>
  <c r="AK321" i="1" s="1"/>
  <c r="AL321" i="1" s="1"/>
  <c r="AM321" i="1" s="1"/>
  <c r="AN321" i="1" s="1"/>
  <c r="AD491" i="1"/>
  <c r="AE491" i="1" s="1"/>
  <c r="AF491" i="1" s="1"/>
  <c r="AG491" i="1" s="1"/>
  <c r="AH491" i="1" s="1"/>
  <c r="AI491" i="1" s="1"/>
  <c r="AJ491" i="1" s="1"/>
  <c r="AK491" i="1" s="1"/>
  <c r="AL491" i="1" s="1"/>
  <c r="AM491" i="1" s="1"/>
  <c r="AN491" i="1" s="1"/>
  <c r="AD532" i="1"/>
  <c r="AE532" i="1" s="1"/>
  <c r="AF532" i="1" s="1"/>
  <c r="AG532" i="1" s="1"/>
  <c r="AH532" i="1" s="1"/>
  <c r="AI532" i="1" s="1"/>
  <c r="AJ532" i="1" s="1"/>
  <c r="AK532" i="1" s="1"/>
  <c r="AL532" i="1" s="1"/>
  <c r="AM532" i="1" s="1"/>
  <c r="AN532" i="1" s="1"/>
  <c r="AD45" i="1"/>
  <c r="AE45" i="1" s="1"/>
  <c r="AF45" i="1" s="1"/>
  <c r="AG45" i="1" s="1"/>
  <c r="AH45" i="1" s="1"/>
  <c r="AI45" i="1" s="1"/>
  <c r="AJ45" i="1" s="1"/>
  <c r="AK45" i="1" s="1"/>
  <c r="AL45" i="1" s="1"/>
  <c r="AM45" i="1" s="1"/>
  <c r="AN45" i="1" s="1"/>
  <c r="AD342" i="1"/>
  <c r="AE342" i="1" s="1"/>
  <c r="AF342" i="1" s="1"/>
  <c r="AG342" i="1" s="1"/>
  <c r="AH342" i="1" s="1"/>
  <c r="AI342" i="1" s="1"/>
  <c r="AJ342" i="1" s="1"/>
  <c r="AK342" i="1" s="1"/>
  <c r="AL342" i="1" s="1"/>
  <c r="AM342" i="1" s="1"/>
  <c r="AN342" i="1" s="1"/>
  <c r="AD460" i="1"/>
  <c r="AE460" i="1" s="1"/>
  <c r="AF460" i="1" s="1"/>
  <c r="AG460" i="1" s="1"/>
  <c r="AH460" i="1" s="1"/>
  <c r="AI460" i="1" s="1"/>
  <c r="AJ460" i="1" s="1"/>
  <c r="AK460" i="1" s="1"/>
  <c r="AL460" i="1" s="1"/>
  <c r="AM460" i="1" s="1"/>
  <c r="AN460" i="1" s="1"/>
  <c r="AD211" i="1"/>
  <c r="AE211" i="1" s="1"/>
  <c r="AF211" i="1" s="1"/>
  <c r="AG211" i="1" s="1"/>
  <c r="AH211" i="1" s="1"/>
  <c r="AI211" i="1" s="1"/>
  <c r="AJ211" i="1" s="1"/>
  <c r="AK211" i="1" s="1"/>
  <c r="AL211" i="1" s="1"/>
  <c r="AM211" i="1" s="1"/>
  <c r="AN211" i="1" s="1"/>
  <c r="AD358" i="1"/>
  <c r="AE358" i="1" s="1"/>
  <c r="AF358" i="1" s="1"/>
  <c r="AG358" i="1" s="1"/>
  <c r="AH358" i="1" s="1"/>
  <c r="AI358" i="1" s="1"/>
  <c r="AJ358" i="1" s="1"/>
  <c r="AK358" i="1" s="1"/>
  <c r="AL358" i="1" s="1"/>
  <c r="AM358" i="1" s="1"/>
  <c r="AN358" i="1" s="1"/>
  <c r="AD360" i="1"/>
  <c r="AE360" i="1" s="1"/>
  <c r="AF360" i="1" s="1"/>
  <c r="AG360" i="1" s="1"/>
  <c r="AH360" i="1" s="1"/>
  <c r="AI360" i="1" s="1"/>
  <c r="AJ360" i="1" s="1"/>
  <c r="AK360" i="1" s="1"/>
  <c r="AL360" i="1" s="1"/>
  <c r="AM360" i="1" s="1"/>
  <c r="AN360" i="1" s="1"/>
  <c r="AD459" i="1"/>
  <c r="AE459" i="1" s="1"/>
  <c r="AF459" i="1" s="1"/>
  <c r="AG459" i="1" s="1"/>
  <c r="AH459" i="1" s="1"/>
  <c r="AI459" i="1" s="1"/>
  <c r="AJ459" i="1" s="1"/>
  <c r="AK459" i="1" s="1"/>
  <c r="AL459" i="1" s="1"/>
  <c r="AM459" i="1" s="1"/>
  <c r="AN459" i="1" s="1"/>
  <c r="AD458" i="1"/>
  <c r="AE458" i="1" s="1"/>
  <c r="AF458" i="1" s="1"/>
  <c r="AG458" i="1" s="1"/>
  <c r="AH458" i="1" s="1"/>
  <c r="AI458" i="1" s="1"/>
  <c r="AJ458" i="1" s="1"/>
  <c r="AK458" i="1" s="1"/>
  <c r="AL458" i="1" s="1"/>
  <c r="AM458" i="1" s="1"/>
  <c r="AN458" i="1" s="1"/>
  <c r="AD110" i="1"/>
  <c r="AE110" i="1" s="1"/>
  <c r="AF110" i="1" s="1"/>
  <c r="AG110" i="1" s="1"/>
  <c r="AH110" i="1" s="1"/>
  <c r="AD441" i="1"/>
  <c r="AE441" i="1" s="1"/>
  <c r="AF441" i="1" s="1"/>
  <c r="AG441" i="1" s="1"/>
  <c r="AH441" i="1" s="1"/>
  <c r="AI441" i="1" s="1"/>
  <c r="AJ441" i="1" s="1"/>
  <c r="AK441" i="1" s="1"/>
  <c r="AL441" i="1" s="1"/>
  <c r="AM441" i="1" s="1"/>
  <c r="AN441" i="1" s="1"/>
  <c r="AD193" i="1"/>
  <c r="AE193" i="1" s="1"/>
  <c r="AF193" i="1" s="1"/>
  <c r="AG193" i="1" s="1"/>
  <c r="AH193" i="1" s="1"/>
  <c r="AI193" i="1" s="1"/>
  <c r="AJ193" i="1" s="1"/>
  <c r="AK193" i="1" s="1"/>
  <c r="AL193" i="1" s="1"/>
  <c r="AM193" i="1" s="1"/>
  <c r="AN193" i="1" s="1"/>
  <c r="AD16" i="1"/>
  <c r="AE16" i="1" s="1"/>
  <c r="AF16" i="1" s="1"/>
  <c r="AG16" i="1" s="1"/>
  <c r="AH16" i="1" s="1"/>
  <c r="AI16" i="1" s="1"/>
  <c r="AJ16" i="1" s="1"/>
  <c r="AK16" i="1" s="1"/>
  <c r="AL16" i="1" s="1"/>
  <c r="AM16" i="1" s="1"/>
  <c r="AN16" i="1" s="1"/>
  <c r="AD440" i="1"/>
  <c r="AE440" i="1" s="1"/>
  <c r="AF440" i="1" s="1"/>
  <c r="AG440" i="1" s="1"/>
  <c r="AH440" i="1" s="1"/>
  <c r="AI440" i="1" s="1"/>
  <c r="AJ440" i="1" s="1"/>
  <c r="AK440" i="1" s="1"/>
  <c r="AL440" i="1" s="1"/>
  <c r="AM440" i="1" s="1"/>
  <c r="AN440" i="1" s="1"/>
  <c r="AD481" i="1"/>
  <c r="AE481" i="1" s="1"/>
  <c r="AF481" i="1" s="1"/>
  <c r="AG481" i="1" s="1"/>
  <c r="AH481" i="1" s="1"/>
  <c r="AI481" i="1" s="1"/>
  <c r="AJ481" i="1" s="1"/>
  <c r="AK481" i="1" s="1"/>
  <c r="AL481" i="1" s="1"/>
  <c r="AM481" i="1" s="1"/>
  <c r="AN481" i="1" s="1"/>
  <c r="AD317" i="1"/>
  <c r="AE317" i="1" s="1"/>
  <c r="AF317" i="1" s="1"/>
  <c r="AG317" i="1" s="1"/>
  <c r="AH317" i="1" s="1"/>
  <c r="AI317" i="1" s="1"/>
  <c r="AJ317" i="1" s="1"/>
  <c r="AK317" i="1" s="1"/>
  <c r="AL317" i="1" s="1"/>
  <c r="AM317" i="1" s="1"/>
  <c r="AN317" i="1" s="1"/>
  <c r="AD210" i="1"/>
  <c r="AE210" i="1" s="1"/>
  <c r="AF210" i="1" s="1"/>
  <c r="AG210" i="1" s="1"/>
  <c r="AH210" i="1" s="1"/>
  <c r="AI210" i="1" s="1"/>
  <c r="AJ210" i="1" s="1"/>
  <c r="AK210" i="1" s="1"/>
  <c r="AL210" i="1" s="1"/>
  <c r="AM210" i="1" s="1"/>
  <c r="AN210" i="1" s="1"/>
  <c r="AD305" i="1"/>
  <c r="AE305" i="1" s="1"/>
  <c r="AF305" i="1" s="1"/>
  <c r="AG305" i="1" s="1"/>
  <c r="AH305" i="1" s="1"/>
  <c r="AI305" i="1" s="1"/>
  <c r="AJ305" i="1" s="1"/>
  <c r="AK305" i="1" s="1"/>
  <c r="AL305" i="1" s="1"/>
  <c r="AM305" i="1" s="1"/>
  <c r="AN305" i="1" s="1"/>
  <c r="AD37" i="1"/>
  <c r="AE37" i="1" s="1"/>
  <c r="AF37" i="1" s="1"/>
  <c r="AG37" i="1" s="1"/>
  <c r="AH37" i="1" s="1"/>
  <c r="AI37" i="1" s="1"/>
  <c r="AJ37" i="1" s="1"/>
  <c r="AK37" i="1" s="1"/>
  <c r="AL37" i="1" s="1"/>
  <c r="AM37" i="1" s="1"/>
  <c r="AN37" i="1" s="1"/>
  <c r="AD47" i="1"/>
  <c r="AE47" i="1" s="1"/>
  <c r="AF47" i="1" s="1"/>
  <c r="AD284" i="1"/>
  <c r="AE284" i="1" s="1"/>
  <c r="AF284" i="1" s="1"/>
  <c r="AG284" i="1" s="1"/>
  <c r="AH284" i="1" s="1"/>
  <c r="AI284" i="1" s="1"/>
  <c r="AJ284" i="1" s="1"/>
  <c r="AK284" i="1" s="1"/>
  <c r="AL284" i="1" s="1"/>
  <c r="AM284" i="1" s="1"/>
  <c r="AN284" i="1" s="1"/>
  <c r="AD136" i="1"/>
  <c r="AE136" i="1" s="1"/>
  <c r="AF136" i="1" s="1"/>
  <c r="AG136" i="1" s="1"/>
  <c r="AH136" i="1" s="1"/>
  <c r="AI136" i="1" s="1"/>
  <c r="AJ136" i="1" s="1"/>
  <c r="AK136" i="1" s="1"/>
  <c r="AL136" i="1" s="1"/>
  <c r="AM136" i="1" s="1"/>
  <c r="AN136" i="1" s="1"/>
  <c r="AD59" i="1"/>
  <c r="AE59" i="1" s="1"/>
  <c r="AF59" i="1" s="1"/>
  <c r="AG59" i="1" s="1"/>
  <c r="AH59" i="1" s="1"/>
  <c r="AI59" i="1" s="1"/>
  <c r="AJ59" i="1" s="1"/>
  <c r="AK59" i="1" s="1"/>
  <c r="AL59" i="1" s="1"/>
  <c r="AM59" i="1" s="1"/>
  <c r="AN59" i="1" s="1"/>
  <c r="AD372" i="1"/>
  <c r="AE372" i="1" s="1"/>
  <c r="AF372" i="1" s="1"/>
  <c r="AG372" i="1" s="1"/>
  <c r="AH372" i="1" s="1"/>
  <c r="AI372" i="1" s="1"/>
  <c r="AJ372" i="1" s="1"/>
  <c r="AK372" i="1" s="1"/>
  <c r="AL372" i="1" s="1"/>
  <c r="AM372" i="1" s="1"/>
  <c r="AN372" i="1" s="1"/>
  <c r="AD323" i="1"/>
  <c r="AE323" i="1" s="1"/>
  <c r="AF323" i="1" s="1"/>
  <c r="AG323" i="1" s="1"/>
  <c r="AH323" i="1" s="1"/>
  <c r="AI323" i="1" s="1"/>
  <c r="AJ323" i="1" s="1"/>
  <c r="AK323" i="1" s="1"/>
  <c r="AL323" i="1" s="1"/>
  <c r="AM323" i="1" s="1"/>
  <c r="AN323" i="1" s="1"/>
  <c r="AD575" i="1"/>
  <c r="AE575" i="1" s="1"/>
  <c r="AF575" i="1" s="1"/>
  <c r="AG575" i="1" s="1"/>
  <c r="AH575" i="1" s="1"/>
  <c r="AI575" i="1" s="1"/>
  <c r="AJ575" i="1" s="1"/>
  <c r="AK575" i="1" s="1"/>
  <c r="AL575" i="1" s="1"/>
  <c r="AM575" i="1" s="1"/>
  <c r="AN575" i="1" s="1"/>
  <c r="AD18" i="1"/>
  <c r="AE18" i="1" s="1"/>
  <c r="AF18" i="1" s="1"/>
  <c r="AG18" i="1" s="1"/>
  <c r="AH18" i="1" s="1"/>
  <c r="AI18" i="1" s="1"/>
  <c r="AJ18" i="1" s="1"/>
  <c r="AK18" i="1" s="1"/>
  <c r="AD219" i="1"/>
  <c r="AE219" i="1" s="1"/>
  <c r="AF219" i="1" s="1"/>
  <c r="AG219" i="1" s="1"/>
  <c r="AH219" i="1" s="1"/>
  <c r="AI219" i="1" s="1"/>
  <c r="AJ219" i="1" s="1"/>
  <c r="AK219" i="1" s="1"/>
  <c r="AL219" i="1" s="1"/>
  <c r="AM219" i="1" s="1"/>
  <c r="AN219" i="1" s="1"/>
  <c r="AD134" i="1"/>
  <c r="AE134" i="1" s="1"/>
  <c r="AF134" i="1" s="1"/>
  <c r="AG134" i="1" s="1"/>
  <c r="AH134" i="1" s="1"/>
  <c r="AI134" i="1" s="1"/>
  <c r="AJ134" i="1" s="1"/>
  <c r="AK134" i="1" s="1"/>
  <c r="AL134" i="1" s="1"/>
  <c r="AM134" i="1" s="1"/>
  <c r="AN134" i="1" s="1"/>
  <c r="AD442" i="1"/>
  <c r="AE442" i="1" s="1"/>
  <c r="AF442" i="1" s="1"/>
  <c r="AG442" i="1" s="1"/>
  <c r="AH442" i="1" s="1"/>
  <c r="AI442" i="1" s="1"/>
  <c r="AJ442" i="1" s="1"/>
  <c r="AK442" i="1" s="1"/>
  <c r="AL442" i="1" s="1"/>
  <c r="AM442" i="1" s="1"/>
  <c r="AN442" i="1" s="1"/>
  <c r="AD345" i="1"/>
  <c r="AE345" i="1" s="1"/>
  <c r="AF345" i="1" s="1"/>
  <c r="AG345" i="1" s="1"/>
  <c r="AH345" i="1" s="1"/>
  <c r="AI345" i="1" s="1"/>
  <c r="AD311" i="1"/>
  <c r="AE311" i="1" s="1"/>
  <c r="AF311" i="1" s="1"/>
  <c r="AG311" i="1" s="1"/>
  <c r="AH311" i="1" s="1"/>
  <c r="AI311" i="1" s="1"/>
  <c r="AJ311" i="1" s="1"/>
  <c r="AK311" i="1" s="1"/>
  <c r="AL311" i="1" s="1"/>
  <c r="AM311" i="1" s="1"/>
  <c r="AN311" i="1" s="1"/>
  <c r="AD252" i="1"/>
  <c r="AE252" i="1" s="1"/>
  <c r="AF252" i="1" s="1"/>
  <c r="AG252" i="1" s="1"/>
  <c r="AH252" i="1" s="1"/>
  <c r="AI252" i="1" s="1"/>
  <c r="AJ252" i="1" s="1"/>
  <c r="AK252" i="1" s="1"/>
  <c r="AL252" i="1" s="1"/>
  <c r="AM252" i="1" s="1"/>
  <c r="AN252" i="1" s="1"/>
  <c r="AD132" i="1"/>
  <c r="AE132" i="1" s="1"/>
  <c r="AF132" i="1" s="1"/>
  <c r="AG132" i="1" s="1"/>
  <c r="AH132" i="1" s="1"/>
  <c r="AI132" i="1" s="1"/>
  <c r="AJ132" i="1" s="1"/>
  <c r="AK132" i="1" s="1"/>
  <c r="AL132" i="1" s="1"/>
  <c r="AM132" i="1" s="1"/>
  <c r="AN132" i="1" s="1"/>
  <c r="AA285" i="1"/>
  <c r="AA187" i="1"/>
  <c r="AA298" i="1"/>
  <c r="AA572" i="1"/>
  <c r="AA370" i="1"/>
  <c r="AA210" i="1"/>
  <c r="AA501" i="1"/>
  <c r="AA197" i="1"/>
  <c r="AA517" i="1"/>
  <c r="AA305" i="1"/>
  <c r="AA211" i="1"/>
  <c r="AA392" i="1"/>
  <c r="AA179" i="1"/>
  <c r="AA389" i="1"/>
  <c r="AA208" i="1"/>
  <c r="AA299" i="1"/>
  <c r="AA48" i="1"/>
  <c r="AA577" i="1"/>
  <c r="AA185" i="1"/>
  <c r="AA44" i="1"/>
  <c r="AA532" i="1"/>
  <c r="AA300" i="1"/>
  <c r="P50" i="1"/>
  <c r="Q50" i="1" s="1"/>
  <c r="R50" i="1" s="1"/>
  <c r="S50" i="1" s="1"/>
  <c r="T50" i="1" s="1"/>
  <c r="U50" i="1" s="1"/>
  <c r="V50" i="1" s="1"/>
  <c r="W50" i="1" s="1"/>
  <c r="X50" i="1" s="1"/>
  <c r="Y50" i="1" s="1"/>
  <c r="Z50" i="1" s="1"/>
  <c r="BH1007" i="4"/>
  <c r="BH921" i="4"/>
  <c r="P416" i="1"/>
  <c r="Q416" i="1" s="1"/>
  <c r="R416" i="1" s="1"/>
  <c r="S416" i="1" s="1"/>
  <c r="T416" i="1" s="1"/>
  <c r="U416" i="1" s="1"/>
  <c r="V416" i="1" s="1"/>
  <c r="W416" i="1" s="1"/>
  <c r="X416" i="1" s="1"/>
  <c r="Y416" i="1" s="1"/>
  <c r="Z416" i="1" s="1"/>
  <c r="BH253" i="4"/>
  <c r="AT567" i="1"/>
  <c r="AA193" i="1"/>
  <c r="BH948" i="4"/>
  <c r="P262" i="1"/>
  <c r="Q262" i="1" s="1"/>
  <c r="R262" i="1" s="1"/>
  <c r="S262" i="1" s="1"/>
  <c r="T262" i="1" s="1"/>
  <c r="U262" i="1" s="1"/>
  <c r="V262" i="1" s="1"/>
  <c r="W262" i="1" s="1"/>
  <c r="X262" i="1" s="1"/>
  <c r="Y262" i="1" s="1"/>
  <c r="Z262" i="1" s="1"/>
  <c r="P191" i="1"/>
  <c r="Q191" i="1" s="1"/>
  <c r="R191" i="1" s="1"/>
  <c r="S191" i="1" s="1"/>
  <c r="T191" i="1" s="1"/>
  <c r="U191" i="1" s="1"/>
  <c r="V191" i="1" s="1"/>
  <c r="W191" i="1" s="1"/>
  <c r="X191" i="1" s="1"/>
  <c r="Y191" i="1" s="1"/>
  <c r="Z191" i="1" s="1"/>
  <c r="BH286" i="4"/>
  <c r="AT582" i="1"/>
  <c r="P207" i="1"/>
  <c r="Q207" i="1" s="1"/>
  <c r="R207" i="1" s="1"/>
  <c r="S207" i="1" s="1"/>
  <c r="T207" i="1" s="1"/>
  <c r="U207" i="1" s="1"/>
  <c r="V207" i="1" s="1"/>
  <c r="W207" i="1" s="1"/>
  <c r="X207" i="1" s="1"/>
  <c r="Y207" i="1" s="1"/>
  <c r="Z207" i="1" s="1"/>
  <c r="P188" i="1"/>
  <c r="Q188" i="1" s="1"/>
  <c r="R188" i="1" s="1"/>
  <c r="S188" i="1" s="1"/>
  <c r="T188" i="1" s="1"/>
  <c r="U188" i="1" s="1"/>
  <c r="V188" i="1" s="1"/>
  <c r="W188" i="1" s="1"/>
  <c r="X188" i="1" s="1"/>
  <c r="Y188" i="1" s="1"/>
  <c r="Z188" i="1" s="1"/>
  <c r="BH479" i="4"/>
  <c r="BH149" i="4"/>
  <c r="BH141" i="4"/>
  <c r="BH982" i="4"/>
  <c r="P410" i="1"/>
  <c r="Q410" i="1" s="1"/>
  <c r="R410" i="1" s="1"/>
  <c r="S410" i="1" s="1"/>
  <c r="T410" i="1" s="1"/>
  <c r="U410" i="1" s="1"/>
  <c r="V410" i="1" s="1"/>
  <c r="W410" i="1" s="1"/>
  <c r="X410" i="1" s="1"/>
  <c r="Y410" i="1" s="1"/>
  <c r="Z410" i="1" s="1"/>
  <c r="P402" i="1"/>
  <c r="Q402" i="1" s="1"/>
  <c r="R402" i="1" s="1"/>
  <c r="S402" i="1" s="1"/>
  <c r="T402" i="1" s="1"/>
  <c r="U402" i="1" s="1"/>
  <c r="V402" i="1" s="1"/>
  <c r="W402" i="1" s="1"/>
  <c r="X402" i="1" s="1"/>
  <c r="Y402" i="1" s="1"/>
  <c r="Z402" i="1" s="1"/>
  <c r="P368" i="1"/>
  <c r="Q368" i="1" s="1"/>
  <c r="R368" i="1" s="1"/>
  <c r="S368" i="1" s="1"/>
  <c r="T368" i="1" s="1"/>
  <c r="U368" i="1" s="1"/>
  <c r="V368" i="1" s="1"/>
  <c r="W368" i="1" s="1"/>
  <c r="X368" i="1" s="1"/>
  <c r="Y368" i="1" s="1"/>
  <c r="Z368" i="1" s="1"/>
  <c r="P212" i="1"/>
  <c r="Q212" i="1" s="1"/>
  <c r="R212" i="1" s="1"/>
  <c r="S212" i="1" s="1"/>
  <c r="T212" i="1" s="1"/>
  <c r="U212" i="1" s="1"/>
  <c r="V212" i="1" s="1"/>
  <c r="W212" i="1" s="1"/>
  <c r="X212" i="1" s="1"/>
  <c r="Y212" i="1" s="1"/>
  <c r="Z212" i="1" s="1"/>
  <c r="P71" i="1"/>
  <c r="Q71" i="1" s="1"/>
  <c r="R71" i="1" s="1"/>
  <c r="S71" i="1" s="1"/>
  <c r="T71" i="1" s="1"/>
  <c r="U71" i="1" s="1"/>
  <c r="V71" i="1" s="1"/>
  <c r="W71" i="1" s="1"/>
  <c r="X71" i="1" s="1"/>
  <c r="Y71" i="1" s="1"/>
  <c r="Z71" i="1" s="1"/>
  <c r="P42" i="1"/>
  <c r="Q42" i="1" s="1"/>
  <c r="R42" i="1" s="1"/>
  <c r="S42" i="1" s="1"/>
  <c r="T42" i="1" s="1"/>
  <c r="U42" i="1" s="1"/>
  <c r="V42" i="1" s="1"/>
  <c r="W42" i="1" s="1"/>
  <c r="X42" i="1" s="1"/>
  <c r="Y42" i="1" s="1"/>
  <c r="Z42" i="1" s="1"/>
  <c r="BH84" i="4"/>
  <c r="AA186" i="1"/>
  <c r="P499" i="1"/>
  <c r="Q499" i="1" s="1"/>
  <c r="R499" i="1" s="1"/>
  <c r="S499" i="1" s="1"/>
  <c r="T499" i="1" s="1"/>
  <c r="U499" i="1" s="1"/>
  <c r="V499" i="1" s="1"/>
  <c r="W499" i="1" s="1"/>
  <c r="X499" i="1" s="1"/>
  <c r="Y499" i="1" s="1"/>
  <c r="Z499" i="1" s="1"/>
  <c r="BH830" i="4"/>
  <c r="P307" i="1"/>
  <c r="Q307" i="1" s="1"/>
  <c r="R307" i="1" s="1"/>
  <c r="S307" i="1" s="1"/>
  <c r="T307" i="1" s="1"/>
  <c r="U307" i="1" s="1"/>
  <c r="V307" i="1" s="1"/>
  <c r="W307" i="1" s="1"/>
  <c r="X307" i="1" s="1"/>
  <c r="Y307" i="1" s="1"/>
  <c r="Z307" i="1" s="1"/>
  <c r="AA284" i="1"/>
  <c r="AT715" i="1"/>
  <c r="AA28" i="1"/>
  <c r="BH1054" i="4"/>
  <c r="BH1026" i="4"/>
  <c r="P502" i="1"/>
  <c r="Q502" i="1" s="1"/>
  <c r="R502" i="1" s="1"/>
  <c r="S502" i="1" s="1"/>
  <c r="T502" i="1" s="1"/>
  <c r="U502" i="1" s="1"/>
  <c r="V502" i="1" s="1"/>
  <c r="W502" i="1" s="1"/>
  <c r="X502" i="1" s="1"/>
  <c r="Y502" i="1" s="1"/>
  <c r="Z502" i="1" s="1"/>
  <c r="P400" i="1"/>
  <c r="Q400" i="1" s="1"/>
  <c r="R400" i="1" s="1"/>
  <c r="S400" i="1" s="1"/>
  <c r="T400" i="1" s="1"/>
  <c r="U400" i="1" s="1"/>
  <c r="V400" i="1" s="1"/>
  <c r="W400" i="1" s="1"/>
  <c r="X400" i="1" s="1"/>
  <c r="Y400" i="1" s="1"/>
  <c r="Z400" i="1" s="1"/>
  <c r="BV400" i="1" s="1"/>
  <c r="AA372" i="1"/>
  <c r="P157" i="1"/>
  <c r="Q157" i="1" s="1"/>
  <c r="R157" i="1" s="1"/>
  <c r="S157" i="1" s="1"/>
  <c r="T157" i="1" s="1"/>
  <c r="U157" i="1" s="1"/>
  <c r="V157" i="1" s="1"/>
  <c r="W157" i="1" s="1"/>
  <c r="X157" i="1" s="1"/>
  <c r="Y157" i="1" s="1"/>
  <c r="Z157" i="1" s="1"/>
  <c r="AA342" i="1"/>
  <c r="AA172" i="1"/>
  <c r="AA575" i="1"/>
  <c r="AA576" i="1"/>
  <c r="P469" i="1"/>
  <c r="Q469" i="1" s="1"/>
  <c r="R469" i="1" s="1"/>
  <c r="S469" i="1" s="1"/>
  <c r="T469" i="1" s="1"/>
  <c r="U469" i="1" s="1"/>
  <c r="V469" i="1" s="1"/>
  <c r="W469" i="1" s="1"/>
  <c r="X469" i="1" s="1"/>
  <c r="Y469" i="1" s="1"/>
  <c r="Z469" i="1" s="1"/>
  <c r="P427" i="1"/>
  <c r="Q427" i="1" s="1"/>
  <c r="R427" i="1" s="1"/>
  <c r="S427" i="1" s="1"/>
  <c r="T427" i="1" s="1"/>
  <c r="U427" i="1" s="1"/>
  <c r="V427" i="1" s="1"/>
  <c r="W427" i="1" s="1"/>
  <c r="X427" i="1" s="1"/>
  <c r="Y427" i="1" s="1"/>
  <c r="Z427" i="1" s="1"/>
  <c r="BH450" i="4"/>
  <c r="P282" i="1"/>
  <c r="Q282" i="1" s="1"/>
  <c r="R282" i="1" s="1"/>
  <c r="S282" i="1" s="1"/>
  <c r="T282" i="1" s="1"/>
  <c r="U282" i="1" s="1"/>
  <c r="V282" i="1" s="1"/>
  <c r="W282" i="1" s="1"/>
  <c r="X282" i="1" s="1"/>
  <c r="Y282" i="1" s="1"/>
  <c r="Z282" i="1" s="1"/>
  <c r="P213" i="1"/>
  <c r="Q213" i="1" s="1"/>
  <c r="R213" i="1" s="1"/>
  <c r="S213" i="1" s="1"/>
  <c r="T213" i="1" s="1"/>
  <c r="U213" i="1" s="1"/>
  <c r="V213" i="1" s="1"/>
  <c r="W213" i="1" s="1"/>
  <c r="X213" i="1" s="1"/>
  <c r="Y213" i="1" s="1"/>
  <c r="Z213" i="1" s="1"/>
  <c r="AA500" i="1"/>
  <c r="BH256" i="4"/>
  <c r="AT570" i="1"/>
  <c r="BH69" i="4"/>
  <c r="BH255" i="4"/>
  <c r="AT569" i="1"/>
  <c r="BH766" i="4"/>
  <c r="P271" i="1"/>
  <c r="Q271" i="1" s="1"/>
  <c r="R271" i="1" s="1"/>
  <c r="S271" i="1" s="1"/>
  <c r="T271" i="1" s="1"/>
  <c r="U271" i="1" s="1"/>
  <c r="V271" i="1" s="1"/>
  <c r="W271" i="1" s="1"/>
  <c r="X271" i="1" s="1"/>
  <c r="Y271" i="1" s="1"/>
  <c r="Z271" i="1" s="1"/>
  <c r="P202" i="1"/>
  <c r="Q202" i="1" s="1"/>
  <c r="R202" i="1" s="1"/>
  <c r="S202" i="1" s="1"/>
  <c r="T202" i="1" s="1"/>
  <c r="U202" i="1" s="1"/>
  <c r="V202" i="1" s="1"/>
  <c r="W202" i="1" s="1"/>
  <c r="X202" i="1" s="1"/>
  <c r="Y202" i="1" s="1"/>
  <c r="Z202" i="1" s="1"/>
  <c r="P181" i="1"/>
  <c r="Q181" i="1" s="1"/>
  <c r="R181" i="1" s="1"/>
  <c r="S181" i="1" s="1"/>
  <c r="T181" i="1" s="1"/>
  <c r="U181" i="1" s="1"/>
  <c r="V181" i="1" s="1"/>
  <c r="W181" i="1" s="1"/>
  <c r="X181" i="1" s="1"/>
  <c r="Y181" i="1" s="1"/>
  <c r="Z181" i="1" s="1"/>
  <c r="BH569" i="4"/>
  <c r="P79" i="1"/>
  <c r="Q79" i="1" s="1"/>
  <c r="R79" i="1" s="1"/>
  <c r="S79" i="1" s="1"/>
  <c r="T79" i="1" s="1"/>
  <c r="U79" i="1" s="1"/>
  <c r="V79" i="1" s="1"/>
  <c r="W79" i="1" s="1"/>
  <c r="X79" i="1" s="1"/>
  <c r="Y79" i="1" s="1"/>
  <c r="Z79" i="1" s="1"/>
  <c r="BH155" i="4"/>
  <c r="BH145" i="4"/>
  <c r="BH137" i="4"/>
  <c r="P468" i="1"/>
  <c r="Q468" i="1" s="1"/>
  <c r="R468" i="1" s="1"/>
  <c r="S468" i="1" s="1"/>
  <c r="T468" i="1" s="1"/>
  <c r="U468" i="1" s="1"/>
  <c r="V468" i="1" s="1"/>
  <c r="W468" i="1" s="1"/>
  <c r="X468" i="1" s="1"/>
  <c r="Y468" i="1" s="1"/>
  <c r="Z468" i="1" s="1"/>
  <c r="P414" i="1"/>
  <c r="Q414" i="1" s="1"/>
  <c r="R414" i="1" s="1"/>
  <c r="S414" i="1" s="1"/>
  <c r="T414" i="1" s="1"/>
  <c r="U414" i="1" s="1"/>
  <c r="V414" i="1" s="1"/>
  <c r="W414" i="1" s="1"/>
  <c r="X414" i="1" s="1"/>
  <c r="Y414" i="1" s="1"/>
  <c r="Z414" i="1" s="1"/>
  <c r="P406" i="1"/>
  <c r="Q406" i="1" s="1"/>
  <c r="R406" i="1" s="1"/>
  <c r="S406" i="1" s="1"/>
  <c r="T406" i="1" s="1"/>
  <c r="U406" i="1" s="1"/>
  <c r="V406" i="1" s="1"/>
  <c r="W406" i="1" s="1"/>
  <c r="X406" i="1" s="1"/>
  <c r="Y406" i="1" s="1"/>
  <c r="Z406" i="1" s="1"/>
  <c r="BH777" i="4"/>
  <c r="P257" i="1"/>
  <c r="Q257" i="1" s="1"/>
  <c r="R257" i="1" s="1"/>
  <c r="S257" i="1" s="1"/>
  <c r="T257" i="1" s="1"/>
  <c r="U257" i="1" s="1"/>
  <c r="V257" i="1" s="1"/>
  <c r="W257" i="1" s="1"/>
  <c r="X257" i="1" s="1"/>
  <c r="Y257" i="1" s="1"/>
  <c r="Z257" i="1" s="1"/>
  <c r="BH684" i="4"/>
  <c r="P78" i="1"/>
  <c r="Q78" i="1" s="1"/>
  <c r="R78" i="1" s="1"/>
  <c r="S78" i="1" s="1"/>
  <c r="T78" i="1" s="1"/>
  <c r="U78" i="1" s="1"/>
  <c r="V78" i="1" s="1"/>
  <c r="W78" i="1" s="1"/>
  <c r="X78" i="1" s="1"/>
  <c r="Y78" i="1" s="1"/>
  <c r="Z78" i="1" s="1"/>
  <c r="BH1049" i="4"/>
  <c r="BH975" i="4"/>
  <c r="BH946" i="4"/>
  <c r="BH787" i="4"/>
  <c r="P280" i="1"/>
  <c r="Q280" i="1" s="1"/>
  <c r="R280" i="1" s="1"/>
  <c r="S280" i="1" s="1"/>
  <c r="T280" i="1" s="1"/>
  <c r="U280" i="1" s="1"/>
  <c r="V280" i="1" s="1"/>
  <c r="W280" i="1" s="1"/>
  <c r="X280" i="1" s="1"/>
  <c r="Y280" i="1" s="1"/>
  <c r="Z280" i="1" s="1"/>
  <c r="BH117" i="4"/>
  <c r="BH203" i="4"/>
  <c r="AT531" i="1"/>
  <c r="BH949" i="4"/>
  <c r="BH939" i="4"/>
  <c r="P352" i="1"/>
  <c r="Q352" i="1" s="1"/>
  <c r="R352" i="1" s="1"/>
  <c r="S352" i="1" s="1"/>
  <c r="T352" i="1" s="1"/>
  <c r="U352" i="1" s="1"/>
  <c r="V352" i="1" s="1"/>
  <c r="W352" i="1" s="1"/>
  <c r="X352" i="1" s="1"/>
  <c r="Y352" i="1" s="1"/>
  <c r="Z352" i="1" s="1"/>
  <c r="BH1057" i="4"/>
  <c r="BH920" i="4"/>
  <c r="P423" i="1"/>
  <c r="Q423" i="1" s="1"/>
  <c r="R423" i="1" s="1"/>
  <c r="S423" i="1" s="1"/>
  <c r="T423" i="1" s="1"/>
  <c r="U423" i="1" s="1"/>
  <c r="V423" i="1" s="1"/>
  <c r="W423" i="1" s="1"/>
  <c r="X423" i="1" s="1"/>
  <c r="Y423" i="1" s="1"/>
  <c r="Z423" i="1" s="1"/>
  <c r="P383" i="1"/>
  <c r="Q383" i="1" s="1"/>
  <c r="R383" i="1" s="1"/>
  <c r="S383" i="1" s="1"/>
  <c r="T383" i="1" s="1"/>
  <c r="U383" i="1" s="1"/>
  <c r="V383" i="1" s="1"/>
  <c r="W383" i="1" s="1"/>
  <c r="X383" i="1" s="1"/>
  <c r="Y383" i="1" s="1"/>
  <c r="Z383" i="1" s="1"/>
  <c r="P371" i="1"/>
  <c r="Q371" i="1" s="1"/>
  <c r="R371" i="1" s="1"/>
  <c r="S371" i="1" s="1"/>
  <c r="T371" i="1" s="1"/>
  <c r="U371" i="1" s="1"/>
  <c r="V371" i="1" s="1"/>
  <c r="W371" i="1" s="1"/>
  <c r="X371" i="1" s="1"/>
  <c r="Y371" i="1" s="1"/>
  <c r="Z371" i="1" s="1"/>
  <c r="BH842" i="4"/>
  <c r="P351" i="1"/>
  <c r="Q351" i="1" s="1"/>
  <c r="R351" i="1" s="1"/>
  <c r="S351" i="1" s="1"/>
  <c r="T351" i="1" s="1"/>
  <c r="U351" i="1" s="1"/>
  <c r="V351" i="1" s="1"/>
  <c r="W351" i="1" s="1"/>
  <c r="X351" i="1" s="1"/>
  <c r="Y351" i="1" s="1"/>
  <c r="Z351" i="1" s="1"/>
  <c r="BH734" i="4"/>
  <c r="P270" i="1"/>
  <c r="Q270" i="1" s="1"/>
  <c r="R270" i="1" s="1"/>
  <c r="S270" i="1" s="1"/>
  <c r="T270" i="1" s="1"/>
  <c r="U270" i="1" s="1"/>
  <c r="V270" i="1" s="1"/>
  <c r="W270" i="1" s="1"/>
  <c r="X270" i="1" s="1"/>
  <c r="Y270" i="1" s="1"/>
  <c r="Z270" i="1" s="1"/>
  <c r="P217" i="1"/>
  <c r="Q217" i="1" s="1"/>
  <c r="R217" i="1" s="1"/>
  <c r="S217" i="1" s="1"/>
  <c r="T217" i="1" s="1"/>
  <c r="U217" i="1" s="1"/>
  <c r="V217" i="1" s="1"/>
  <c r="W217" i="1" s="1"/>
  <c r="X217" i="1" s="1"/>
  <c r="Y217" i="1" s="1"/>
  <c r="Z217" i="1" s="1"/>
  <c r="BH201" i="4"/>
  <c r="AT529" i="1"/>
  <c r="AT581" i="1"/>
  <c r="BH270" i="4"/>
  <c r="BH133" i="4"/>
  <c r="P73" i="1"/>
  <c r="Q73" i="1" s="1"/>
  <c r="R73" i="1" s="1"/>
  <c r="S73" i="1" s="1"/>
  <c r="T73" i="1" s="1"/>
  <c r="U73" i="1" s="1"/>
  <c r="V73" i="1" s="1"/>
  <c r="W73" i="1" s="1"/>
  <c r="X73" i="1" s="1"/>
  <c r="Y73" i="1" s="1"/>
  <c r="Z73" i="1" s="1"/>
  <c r="BH144" i="4"/>
  <c r="BH136" i="4"/>
  <c r="BH128" i="4"/>
  <c r="BH85" i="4"/>
  <c r="BH54" i="4"/>
  <c r="BH916" i="4"/>
  <c r="BH954" i="4"/>
  <c r="BH937" i="4"/>
  <c r="P430" i="1"/>
  <c r="Q430" i="1" s="1"/>
  <c r="R430" i="1" s="1"/>
  <c r="S430" i="1" s="1"/>
  <c r="T430" i="1" s="1"/>
  <c r="U430" i="1" s="1"/>
  <c r="V430" i="1" s="1"/>
  <c r="W430" i="1" s="1"/>
  <c r="X430" i="1" s="1"/>
  <c r="Y430" i="1" s="1"/>
  <c r="Z430" i="1" s="1"/>
  <c r="P359" i="1"/>
  <c r="Q359" i="1" s="1"/>
  <c r="R359" i="1" s="1"/>
  <c r="S359" i="1" s="1"/>
  <c r="T359" i="1" s="1"/>
  <c r="U359" i="1" s="1"/>
  <c r="V359" i="1" s="1"/>
  <c r="W359" i="1" s="1"/>
  <c r="X359" i="1" s="1"/>
  <c r="Y359" i="1" s="1"/>
  <c r="Z359" i="1" s="1"/>
  <c r="BH823" i="4"/>
  <c r="P277" i="1"/>
  <c r="Q277" i="1" s="1"/>
  <c r="R277" i="1" s="1"/>
  <c r="S277" i="1" s="1"/>
  <c r="T277" i="1" s="1"/>
  <c r="U277" i="1" s="1"/>
  <c r="V277" i="1" s="1"/>
  <c r="W277" i="1" s="1"/>
  <c r="X277" i="1" s="1"/>
  <c r="Y277" i="1" s="1"/>
  <c r="Z277" i="1" s="1"/>
  <c r="P254" i="1"/>
  <c r="Q254" i="1" s="1"/>
  <c r="R254" i="1" s="1"/>
  <c r="S254" i="1" s="1"/>
  <c r="T254" i="1" s="1"/>
  <c r="U254" i="1" s="1"/>
  <c r="V254" i="1" s="1"/>
  <c r="W254" i="1" s="1"/>
  <c r="X254" i="1" s="1"/>
  <c r="Y254" i="1" s="1"/>
  <c r="Z254" i="1" s="1"/>
  <c r="BH656" i="4"/>
  <c r="P175" i="1"/>
  <c r="Q175" i="1" s="1"/>
  <c r="R175" i="1" s="1"/>
  <c r="S175" i="1" s="1"/>
  <c r="T175" i="1" s="1"/>
  <c r="U175" i="1" s="1"/>
  <c r="V175" i="1" s="1"/>
  <c r="W175" i="1" s="1"/>
  <c r="X175" i="1" s="1"/>
  <c r="Y175" i="1" s="1"/>
  <c r="Z175" i="1" s="1"/>
  <c r="BH143" i="4"/>
  <c r="BH135" i="4"/>
  <c r="BH1027" i="4"/>
  <c r="BH926" i="4"/>
  <c r="P429" i="1"/>
  <c r="Q429" i="1" s="1"/>
  <c r="R429" i="1" s="1"/>
  <c r="S429" i="1" s="1"/>
  <c r="T429" i="1" s="1"/>
  <c r="U429" i="1" s="1"/>
  <c r="V429" i="1" s="1"/>
  <c r="W429" i="1" s="1"/>
  <c r="X429" i="1" s="1"/>
  <c r="Y429" i="1" s="1"/>
  <c r="Z429" i="1" s="1"/>
  <c r="P413" i="1"/>
  <c r="Q413" i="1" s="1"/>
  <c r="R413" i="1" s="1"/>
  <c r="S413" i="1" s="1"/>
  <c r="T413" i="1" s="1"/>
  <c r="U413" i="1" s="1"/>
  <c r="V413" i="1" s="1"/>
  <c r="W413" i="1" s="1"/>
  <c r="X413" i="1" s="1"/>
  <c r="Y413" i="1" s="1"/>
  <c r="Z413" i="1" s="1"/>
  <c r="P381" i="1"/>
  <c r="Q381" i="1" s="1"/>
  <c r="R381" i="1" s="1"/>
  <c r="S381" i="1" s="1"/>
  <c r="T381" i="1" s="1"/>
  <c r="U381" i="1" s="1"/>
  <c r="V381" i="1" s="1"/>
  <c r="W381" i="1" s="1"/>
  <c r="X381" i="1" s="1"/>
  <c r="Y381" i="1" s="1"/>
  <c r="Z381" i="1" s="1"/>
  <c r="BH822" i="4"/>
  <c r="BH774" i="4"/>
  <c r="BH683" i="4"/>
  <c r="N715" i="1"/>
  <c r="P174" i="1"/>
  <c r="Q174" i="1" s="1"/>
  <c r="R174" i="1" s="1"/>
  <c r="S174" i="1" s="1"/>
  <c r="T174" i="1" s="1"/>
  <c r="U174" i="1" s="1"/>
  <c r="V174" i="1" s="1"/>
  <c r="W174" i="1" s="1"/>
  <c r="X174" i="1" s="1"/>
  <c r="Y174" i="1" s="1"/>
  <c r="Z174" i="1" s="1"/>
  <c r="P117" i="1"/>
  <c r="Q117" i="1" s="1"/>
  <c r="R117" i="1" s="1"/>
  <c r="S117" i="1" s="1"/>
  <c r="T117" i="1" s="1"/>
  <c r="U117" i="1" s="1"/>
  <c r="V117" i="1" s="1"/>
  <c r="W117" i="1" s="1"/>
  <c r="X117" i="1" s="1"/>
  <c r="Y117" i="1" s="1"/>
  <c r="Z117" i="1" s="1"/>
  <c r="P63" i="1"/>
  <c r="Q63" i="1" s="1"/>
  <c r="R63" i="1" s="1"/>
  <c r="S63" i="1" s="1"/>
  <c r="T63" i="1" s="1"/>
  <c r="U63" i="1" s="1"/>
  <c r="V63" i="1" s="1"/>
  <c r="W63" i="1" s="1"/>
  <c r="X63" i="1" s="1"/>
  <c r="Y63" i="1" s="1"/>
  <c r="Z63" i="1" s="1"/>
  <c r="BH134" i="4"/>
  <c r="BH451" i="4"/>
  <c r="BH952" i="4"/>
  <c r="BH941" i="4"/>
  <c r="BH935" i="4"/>
  <c r="BH925" i="4"/>
  <c r="P428" i="1"/>
  <c r="Q428" i="1" s="1"/>
  <c r="R428" i="1" s="1"/>
  <c r="S428" i="1" s="1"/>
  <c r="T428" i="1" s="1"/>
  <c r="U428" i="1" s="1"/>
  <c r="V428" i="1" s="1"/>
  <c r="W428" i="1" s="1"/>
  <c r="X428" i="1" s="1"/>
  <c r="Y428" i="1" s="1"/>
  <c r="Z428" i="1" s="1"/>
  <c r="P420" i="1"/>
  <c r="Q420" i="1" s="1"/>
  <c r="R420" i="1" s="1"/>
  <c r="S420" i="1" s="1"/>
  <c r="T420" i="1" s="1"/>
  <c r="U420" i="1" s="1"/>
  <c r="V420" i="1" s="1"/>
  <c r="W420" i="1" s="1"/>
  <c r="X420" i="1" s="1"/>
  <c r="Y420" i="1" s="1"/>
  <c r="Z420" i="1" s="1"/>
  <c r="BV420" i="1" s="1"/>
  <c r="P356" i="1"/>
  <c r="Q356" i="1" s="1"/>
  <c r="R356" i="1" s="1"/>
  <c r="S356" i="1" s="1"/>
  <c r="T356" i="1" s="1"/>
  <c r="U356" i="1" s="1"/>
  <c r="V356" i="1" s="1"/>
  <c r="W356" i="1" s="1"/>
  <c r="X356" i="1" s="1"/>
  <c r="Y356" i="1" s="1"/>
  <c r="Z356" i="1" s="1"/>
  <c r="P49" i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BH977" i="4"/>
  <c r="BH951" i="4"/>
  <c r="BH943" i="4"/>
  <c r="P411" i="1"/>
  <c r="Q411" i="1" s="1"/>
  <c r="R411" i="1" s="1"/>
  <c r="S411" i="1" s="1"/>
  <c r="T411" i="1" s="1"/>
  <c r="U411" i="1" s="1"/>
  <c r="V411" i="1" s="1"/>
  <c r="W411" i="1" s="1"/>
  <c r="X411" i="1" s="1"/>
  <c r="Y411" i="1" s="1"/>
  <c r="Z411" i="1" s="1"/>
  <c r="BH870" i="4"/>
  <c r="P369" i="1"/>
  <c r="Q369" i="1" s="1"/>
  <c r="R369" i="1" s="1"/>
  <c r="S369" i="1" s="1"/>
  <c r="T369" i="1" s="1"/>
  <c r="U369" i="1" s="1"/>
  <c r="V369" i="1" s="1"/>
  <c r="W369" i="1" s="1"/>
  <c r="X369" i="1" s="1"/>
  <c r="Y369" i="1" s="1"/>
  <c r="Z369" i="1" s="1"/>
  <c r="P266" i="1"/>
  <c r="Q266" i="1" s="1"/>
  <c r="R266" i="1" s="1"/>
  <c r="S266" i="1" s="1"/>
  <c r="T266" i="1" s="1"/>
  <c r="U266" i="1" s="1"/>
  <c r="V266" i="1" s="1"/>
  <c r="W266" i="1" s="1"/>
  <c r="X266" i="1" s="1"/>
  <c r="Y266" i="1" s="1"/>
  <c r="Z266" i="1" s="1"/>
  <c r="BH677" i="4"/>
  <c r="BH999" i="4"/>
  <c r="BH202" i="4"/>
  <c r="AT530" i="1"/>
  <c r="AT61" i="1"/>
  <c r="O61" i="1"/>
  <c r="P61" i="1" s="1"/>
  <c r="Q61" i="1" s="1"/>
  <c r="R61" i="1" s="1"/>
  <c r="S61" i="1" s="1"/>
  <c r="T61" i="1" s="1"/>
  <c r="U61" i="1" s="1"/>
  <c r="V61" i="1" s="1"/>
  <c r="W61" i="1" s="1"/>
  <c r="X61" i="1" s="1"/>
  <c r="Y61" i="1" s="1"/>
  <c r="Z61" i="1" s="1"/>
  <c r="AC61" i="1"/>
  <c r="N61" i="1"/>
  <c r="BH686" i="4"/>
  <c r="P214" i="1"/>
  <c r="Q214" i="1" s="1"/>
  <c r="R214" i="1" s="1"/>
  <c r="S214" i="1" s="1"/>
  <c r="T214" i="1" s="1"/>
  <c r="U214" i="1" s="1"/>
  <c r="V214" i="1" s="1"/>
  <c r="W214" i="1" s="1"/>
  <c r="X214" i="1" s="1"/>
  <c r="Y214" i="1" s="1"/>
  <c r="Z214" i="1" s="1"/>
  <c r="P512" i="1"/>
  <c r="Q512" i="1" s="1"/>
  <c r="R512" i="1" s="1"/>
  <c r="S512" i="1" s="1"/>
  <c r="T512" i="1" s="1"/>
  <c r="U512" i="1" s="1"/>
  <c r="V512" i="1" s="1"/>
  <c r="W512" i="1" s="1"/>
  <c r="X512" i="1" s="1"/>
  <c r="Y512" i="1" s="1"/>
  <c r="Z512" i="1" s="1"/>
  <c r="BV512" i="1" s="1"/>
  <c r="BH129" i="4"/>
  <c r="BH140" i="4"/>
  <c r="BH132" i="4"/>
  <c r="BH922" i="4"/>
  <c r="P426" i="1"/>
  <c r="Q426" i="1" s="1"/>
  <c r="R426" i="1" s="1"/>
  <c r="S426" i="1" s="1"/>
  <c r="T426" i="1" s="1"/>
  <c r="U426" i="1" s="1"/>
  <c r="V426" i="1" s="1"/>
  <c r="W426" i="1" s="1"/>
  <c r="X426" i="1" s="1"/>
  <c r="Y426" i="1" s="1"/>
  <c r="Z426" i="1" s="1"/>
  <c r="P265" i="1"/>
  <c r="Q265" i="1" s="1"/>
  <c r="R265" i="1" s="1"/>
  <c r="S265" i="1" s="1"/>
  <c r="T265" i="1" s="1"/>
  <c r="U265" i="1" s="1"/>
  <c r="V265" i="1" s="1"/>
  <c r="W265" i="1" s="1"/>
  <c r="X265" i="1" s="1"/>
  <c r="Y265" i="1" s="1"/>
  <c r="Z265" i="1" s="1"/>
  <c r="P216" i="1"/>
  <c r="Q216" i="1" s="1"/>
  <c r="R216" i="1" s="1"/>
  <c r="S216" i="1" s="1"/>
  <c r="T216" i="1" s="1"/>
  <c r="U216" i="1" s="1"/>
  <c r="V216" i="1" s="1"/>
  <c r="W216" i="1" s="1"/>
  <c r="X216" i="1" s="1"/>
  <c r="Y216" i="1" s="1"/>
  <c r="Z216" i="1" s="1"/>
  <c r="BH502" i="4"/>
  <c r="P95" i="1"/>
  <c r="Q95" i="1" s="1"/>
  <c r="R95" i="1" s="1"/>
  <c r="S95" i="1" s="1"/>
  <c r="T95" i="1" s="1"/>
  <c r="U95" i="1" s="1"/>
  <c r="V95" i="1" s="1"/>
  <c r="W95" i="1" s="1"/>
  <c r="X95" i="1" s="1"/>
  <c r="Y95" i="1" s="1"/>
  <c r="Z95" i="1" s="1"/>
  <c r="BH147" i="4"/>
  <c r="BH1021" i="4"/>
  <c r="P373" i="1"/>
  <c r="Q373" i="1" s="1"/>
  <c r="R373" i="1" s="1"/>
  <c r="S373" i="1" s="1"/>
  <c r="T373" i="1" s="1"/>
  <c r="U373" i="1" s="1"/>
  <c r="V373" i="1" s="1"/>
  <c r="W373" i="1" s="1"/>
  <c r="X373" i="1" s="1"/>
  <c r="Y373" i="1" s="1"/>
  <c r="Z373" i="1" s="1"/>
  <c r="P189" i="1"/>
  <c r="Q189" i="1" s="1"/>
  <c r="R189" i="1" s="1"/>
  <c r="S189" i="1" s="1"/>
  <c r="T189" i="1" s="1"/>
  <c r="U189" i="1" s="1"/>
  <c r="V189" i="1" s="1"/>
  <c r="W189" i="1" s="1"/>
  <c r="X189" i="1" s="1"/>
  <c r="Y189" i="1" s="1"/>
  <c r="Z189" i="1" s="1"/>
  <c r="P91" i="1"/>
  <c r="Q91" i="1" s="1"/>
  <c r="R91" i="1" s="1"/>
  <c r="S91" i="1" s="1"/>
  <c r="T91" i="1" s="1"/>
  <c r="U91" i="1" s="1"/>
  <c r="V91" i="1" s="1"/>
  <c r="W91" i="1" s="1"/>
  <c r="X91" i="1" s="1"/>
  <c r="Y91" i="1" s="1"/>
  <c r="Z91" i="1" s="1"/>
  <c r="P12" i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BH146" i="4"/>
  <c r="AA205" i="1"/>
  <c r="BH1048" i="4"/>
  <c r="P486" i="1"/>
  <c r="Q486" i="1" s="1"/>
  <c r="R486" i="1" s="1"/>
  <c r="S486" i="1" s="1"/>
  <c r="T486" i="1" s="1"/>
  <c r="U486" i="1" s="1"/>
  <c r="V486" i="1" s="1"/>
  <c r="W486" i="1" s="1"/>
  <c r="X486" i="1" s="1"/>
  <c r="Y486" i="1" s="1"/>
  <c r="Z486" i="1" s="1"/>
  <c r="P470" i="1"/>
  <c r="Q470" i="1" s="1"/>
  <c r="R470" i="1" s="1"/>
  <c r="S470" i="1" s="1"/>
  <c r="T470" i="1" s="1"/>
  <c r="U470" i="1" s="1"/>
  <c r="V470" i="1" s="1"/>
  <c r="W470" i="1" s="1"/>
  <c r="X470" i="1" s="1"/>
  <c r="Y470" i="1" s="1"/>
  <c r="Z470" i="1" s="1"/>
  <c r="BH931" i="4"/>
  <c r="P424" i="1"/>
  <c r="Q424" i="1" s="1"/>
  <c r="R424" i="1" s="1"/>
  <c r="S424" i="1" s="1"/>
  <c r="T424" i="1" s="1"/>
  <c r="U424" i="1" s="1"/>
  <c r="V424" i="1" s="1"/>
  <c r="W424" i="1" s="1"/>
  <c r="X424" i="1" s="1"/>
  <c r="Y424" i="1" s="1"/>
  <c r="Z424" i="1" s="1"/>
  <c r="P404" i="1"/>
  <c r="Q404" i="1" s="1"/>
  <c r="R404" i="1" s="1"/>
  <c r="S404" i="1" s="1"/>
  <c r="T404" i="1" s="1"/>
  <c r="U404" i="1" s="1"/>
  <c r="V404" i="1" s="1"/>
  <c r="W404" i="1" s="1"/>
  <c r="X404" i="1" s="1"/>
  <c r="Y404" i="1" s="1"/>
  <c r="Z404" i="1" s="1"/>
  <c r="P396" i="1"/>
  <c r="Q396" i="1" s="1"/>
  <c r="R396" i="1" s="1"/>
  <c r="S396" i="1" s="1"/>
  <c r="T396" i="1" s="1"/>
  <c r="U396" i="1" s="1"/>
  <c r="V396" i="1" s="1"/>
  <c r="W396" i="1" s="1"/>
  <c r="X396" i="1" s="1"/>
  <c r="Y396" i="1" s="1"/>
  <c r="Z396" i="1" s="1"/>
  <c r="P376" i="1"/>
  <c r="Q376" i="1" s="1"/>
  <c r="R376" i="1" s="1"/>
  <c r="S376" i="1" s="1"/>
  <c r="T376" i="1" s="1"/>
  <c r="U376" i="1" s="1"/>
  <c r="V376" i="1" s="1"/>
  <c r="W376" i="1" s="1"/>
  <c r="X376" i="1" s="1"/>
  <c r="Y376" i="1" s="1"/>
  <c r="Z376" i="1" s="1"/>
  <c r="BH810" i="4"/>
  <c r="BH1013" i="4"/>
  <c r="BH929" i="4"/>
  <c r="P399" i="1"/>
  <c r="Q399" i="1" s="1"/>
  <c r="R399" i="1" s="1"/>
  <c r="S399" i="1" s="1"/>
  <c r="T399" i="1" s="1"/>
  <c r="U399" i="1" s="1"/>
  <c r="V399" i="1" s="1"/>
  <c r="W399" i="1" s="1"/>
  <c r="X399" i="1" s="1"/>
  <c r="Y399" i="1" s="1"/>
  <c r="Z399" i="1" s="1"/>
  <c r="P303" i="1"/>
  <c r="Q303" i="1" s="1"/>
  <c r="R303" i="1" s="1"/>
  <c r="S303" i="1" s="1"/>
  <c r="T303" i="1" s="1"/>
  <c r="U303" i="1" s="1"/>
  <c r="V303" i="1" s="1"/>
  <c r="W303" i="1" s="1"/>
  <c r="X303" i="1" s="1"/>
  <c r="Y303" i="1" s="1"/>
  <c r="Z303" i="1" s="1"/>
  <c r="P180" i="1"/>
  <c r="Q180" i="1" s="1"/>
  <c r="R180" i="1" s="1"/>
  <c r="S180" i="1" s="1"/>
  <c r="T180" i="1" s="1"/>
  <c r="U180" i="1" s="1"/>
  <c r="V180" i="1" s="1"/>
  <c r="W180" i="1" s="1"/>
  <c r="X180" i="1" s="1"/>
  <c r="Y180" i="1" s="1"/>
  <c r="Z180" i="1" s="1"/>
  <c r="P119" i="1"/>
  <c r="Q119" i="1" s="1"/>
  <c r="R119" i="1" s="1"/>
  <c r="S119" i="1" s="1"/>
  <c r="T119" i="1" s="1"/>
  <c r="U119" i="1" s="1"/>
  <c r="V119" i="1" s="1"/>
  <c r="W119" i="1" s="1"/>
  <c r="X119" i="1" s="1"/>
  <c r="Y119" i="1" s="1"/>
  <c r="Z119" i="1" s="1"/>
  <c r="BH53" i="4"/>
  <c r="P297" i="1"/>
  <c r="Q297" i="1" s="1"/>
  <c r="R297" i="1" s="1"/>
  <c r="S297" i="1" s="1"/>
  <c r="T297" i="1" s="1"/>
  <c r="U297" i="1" s="1"/>
  <c r="V297" i="1" s="1"/>
  <c r="W297" i="1" s="1"/>
  <c r="X297" i="1" s="1"/>
  <c r="Y297" i="1" s="1"/>
  <c r="Z297" i="1" s="1"/>
  <c r="P267" i="1"/>
  <c r="Q267" i="1" s="1"/>
  <c r="R267" i="1" s="1"/>
  <c r="S267" i="1" s="1"/>
  <c r="T267" i="1" s="1"/>
  <c r="U267" i="1" s="1"/>
  <c r="V267" i="1" s="1"/>
  <c r="W267" i="1" s="1"/>
  <c r="X267" i="1" s="1"/>
  <c r="Y267" i="1" s="1"/>
  <c r="Z267" i="1" s="1"/>
  <c r="P218" i="1"/>
  <c r="Q218" i="1" s="1"/>
  <c r="R218" i="1" s="1"/>
  <c r="S218" i="1" s="1"/>
  <c r="T218" i="1" s="1"/>
  <c r="U218" i="1" s="1"/>
  <c r="V218" i="1" s="1"/>
  <c r="W218" i="1" s="1"/>
  <c r="X218" i="1" s="1"/>
  <c r="Y218" i="1" s="1"/>
  <c r="Z218" i="1" s="1"/>
  <c r="P177" i="1"/>
  <c r="Q177" i="1" s="1"/>
  <c r="R177" i="1" s="1"/>
  <c r="S177" i="1" s="1"/>
  <c r="T177" i="1" s="1"/>
  <c r="U177" i="1" s="1"/>
  <c r="V177" i="1" s="1"/>
  <c r="W177" i="1" s="1"/>
  <c r="X177" i="1" s="1"/>
  <c r="Y177" i="1" s="1"/>
  <c r="Z177" i="1" s="1"/>
  <c r="P156" i="1"/>
  <c r="Q156" i="1" s="1"/>
  <c r="R156" i="1" s="1"/>
  <c r="S156" i="1" s="1"/>
  <c r="T156" i="1" s="1"/>
  <c r="U156" i="1" s="1"/>
  <c r="V156" i="1" s="1"/>
  <c r="W156" i="1" s="1"/>
  <c r="X156" i="1" s="1"/>
  <c r="Y156" i="1" s="1"/>
  <c r="Z156" i="1" s="1"/>
  <c r="P120" i="1"/>
  <c r="Q120" i="1" s="1"/>
  <c r="R120" i="1" s="1"/>
  <c r="S120" i="1" s="1"/>
  <c r="T120" i="1" s="1"/>
  <c r="U120" i="1" s="1"/>
  <c r="V120" i="1" s="1"/>
  <c r="W120" i="1" s="1"/>
  <c r="X120" i="1" s="1"/>
  <c r="Y120" i="1" s="1"/>
  <c r="Z120" i="1" s="1"/>
  <c r="P114" i="1"/>
  <c r="Q114" i="1" s="1"/>
  <c r="R114" i="1" s="1"/>
  <c r="S114" i="1" s="1"/>
  <c r="T114" i="1" s="1"/>
  <c r="U114" i="1" s="1"/>
  <c r="V114" i="1" s="1"/>
  <c r="W114" i="1" s="1"/>
  <c r="X114" i="1" s="1"/>
  <c r="Y114" i="1" s="1"/>
  <c r="Z114" i="1" s="1"/>
  <c r="P54" i="1"/>
  <c r="Q54" i="1" s="1"/>
  <c r="R54" i="1" s="1"/>
  <c r="S54" i="1" s="1"/>
  <c r="T54" i="1" s="1"/>
  <c r="U54" i="1" s="1"/>
  <c r="V54" i="1" s="1"/>
  <c r="W54" i="1" s="1"/>
  <c r="X54" i="1" s="1"/>
  <c r="Y54" i="1" s="1"/>
  <c r="Z54" i="1" s="1"/>
  <c r="BH154" i="4"/>
  <c r="AT519" i="1"/>
  <c r="BH181" i="4"/>
  <c r="P473" i="1"/>
  <c r="Q473" i="1" s="1"/>
  <c r="R473" i="1" s="1"/>
  <c r="S473" i="1" s="1"/>
  <c r="T473" i="1" s="1"/>
  <c r="U473" i="1" s="1"/>
  <c r="V473" i="1" s="1"/>
  <c r="W473" i="1" s="1"/>
  <c r="X473" i="1" s="1"/>
  <c r="Y473" i="1" s="1"/>
  <c r="Z473" i="1" s="1"/>
  <c r="BH945" i="4"/>
  <c r="BH783" i="4"/>
  <c r="P308" i="1"/>
  <c r="Q308" i="1" s="1"/>
  <c r="R308" i="1" s="1"/>
  <c r="S308" i="1" s="1"/>
  <c r="T308" i="1" s="1"/>
  <c r="U308" i="1" s="1"/>
  <c r="V308" i="1" s="1"/>
  <c r="W308" i="1" s="1"/>
  <c r="X308" i="1" s="1"/>
  <c r="Y308" i="1" s="1"/>
  <c r="Z308" i="1" s="1"/>
  <c r="BH553" i="4"/>
  <c r="BH126" i="4"/>
  <c r="AA304" i="1"/>
  <c r="BH915" i="4"/>
  <c r="P471" i="1"/>
  <c r="Q471" i="1" s="1"/>
  <c r="R471" i="1" s="1"/>
  <c r="S471" i="1" s="1"/>
  <c r="T471" i="1" s="1"/>
  <c r="U471" i="1" s="1"/>
  <c r="V471" i="1" s="1"/>
  <c r="W471" i="1" s="1"/>
  <c r="X471" i="1" s="1"/>
  <c r="Y471" i="1" s="1"/>
  <c r="Z471" i="1" s="1"/>
  <c r="BH944" i="4"/>
  <c r="P401" i="1"/>
  <c r="Q401" i="1" s="1"/>
  <c r="R401" i="1" s="1"/>
  <c r="S401" i="1" s="1"/>
  <c r="T401" i="1" s="1"/>
  <c r="U401" i="1" s="1"/>
  <c r="V401" i="1" s="1"/>
  <c r="W401" i="1" s="1"/>
  <c r="X401" i="1" s="1"/>
  <c r="Y401" i="1" s="1"/>
  <c r="Z401" i="1" s="1"/>
  <c r="P393" i="1"/>
  <c r="Q393" i="1" s="1"/>
  <c r="R393" i="1" s="1"/>
  <c r="S393" i="1" s="1"/>
  <c r="T393" i="1" s="1"/>
  <c r="U393" i="1" s="1"/>
  <c r="V393" i="1" s="1"/>
  <c r="W393" i="1" s="1"/>
  <c r="X393" i="1" s="1"/>
  <c r="Y393" i="1" s="1"/>
  <c r="Z393" i="1" s="1"/>
  <c r="P293" i="1"/>
  <c r="Q293" i="1" s="1"/>
  <c r="R293" i="1" s="1"/>
  <c r="S293" i="1" s="1"/>
  <c r="T293" i="1" s="1"/>
  <c r="U293" i="1" s="1"/>
  <c r="V293" i="1" s="1"/>
  <c r="W293" i="1" s="1"/>
  <c r="X293" i="1" s="1"/>
  <c r="Y293" i="1" s="1"/>
  <c r="Z293" i="1" s="1"/>
  <c r="BH667" i="4"/>
  <c r="AC715" i="1"/>
  <c r="P503" i="1"/>
  <c r="Q503" i="1" s="1"/>
  <c r="R503" i="1" s="1"/>
  <c r="S503" i="1" s="1"/>
  <c r="T503" i="1" s="1"/>
  <c r="U503" i="1" s="1"/>
  <c r="V503" i="1" s="1"/>
  <c r="W503" i="1" s="1"/>
  <c r="X503" i="1" s="1"/>
  <c r="Y503" i="1" s="1"/>
  <c r="Z503" i="1" s="1"/>
  <c r="P121" i="1"/>
  <c r="Q121" i="1" s="1"/>
  <c r="R121" i="1" s="1"/>
  <c r="S121" i="1" s="1"/>
  <c r="T121" i="1" s="1"/>
  <c r="U121" i="1" s="1"/>
  <c r="V121" i="1" s="1"/>
  <c r="W121" i="1" s="1"/>
  <c r="X121" i="1" s="1"/>
  <c r="Y121" i="1" s="1"/>
  <c r="Z121" i="1" s="1"/>
  <c r="BH142" i="4"/>
  <c r="P111" i="1"/>
  <c r="Q111" i="1" s="1"/>
  <c r="R111" i="1" s="1"/>
  <c r="S111" i="1" s="1"/>
  <c r="T111" i="1" s="1"/>
  <c r="U111" i="1" s="1"/>
  <c r="V111" i="1" s="1"/>
  <c r="W111" i="1" s="1"/>
  <c r="X111" i="1" s="1"/>
  <c r="Y111" i="1" s="1"/>
  <c r="Z111" i="1" s="1"/>
  <c r="BV111" i="1" s="1"/>
  <c r="BH83" i="4"/>
  <c r="BH1014" i="4"/>
  <c r="P412" i="1"/>
  <c r="Q412" i="1" s="1"/>
  <c r="R412" i="1" s="1"/>
  <c r="S412" i="1" s="1"/>
  <c r="T412" i="1" s="1"/>
  <c r="U412" i="1" s="1"/>
  <c r="V412" i="1" s="1"/>
  <c r="W412" i="1" s="1"/>
  <c r="X412" i="1" s="1"/>
  <c r="Y412" i="1" s="1"/>
  <c r="Z412" i="1" s="1"/>
  <c r="AA366" i="1"/>
  <c r="BH821" i="4"/>
  <c r="AA184" i="1"/>
  <c r="BH971" i="4"/>
  <c r="BH923" i="4"/>
  <c r="P379" i="1"/>
  <c r="Q379" i="1" s="1"/>
  <c r="R379" i="1" s="1"/>
  <c r="S379" i="1" s="1"/>
  <c r="T379" i="1" s="1"/>
  <c r="U379" i="1" s="1"/>
  <c r="V379" i="1" s="1"/>
  <c r="W379" i="1" s="1"/>
  <c r="X379" i="1" s="1"/>
  <c r="Y379" i="1" s="1"/>
  <c r="Z379" i="1" s="1"/>
  <c r="BH785" i="4"/>
  <c r="BH761" i="4"/>
  <c r="P296" i="1"/>
  <c r="Q296" i="1" s="1"/>
  <c r="R296" i="1" s="1"/>
  <c r="S296" i="1" s="1"/>
  <c r="T296" i="1" s="1"/>
  <c r="U296" i="1" s="1"/>
  <c r="V296" i="1" s="1"/>
  <c r="W296" i="1" s="1"/>
  <c r="X296" i="1" s="1"/>
  <c r="Y296" i="1" s="1"/>
  <c r="Z296" i="1" s="1"/>
  <c r="BH685" i="4"/>
  <c r="P200" i="1"/>
  <c r="Q200" i="1" s="1"/>
  <c r="R200" i="1" s="1"/>
  <c r="S200" i="1" s="1"/>
  <c r="T200" i="1" s="1"/>
  <c r="U200" i="1" s="1"/>
  <c r="V200" i="1" s="1"/>
  <c r="W200" i="1" s="1"/>
  <c r="X200" i="1" s="1"/>
  <c r="Y200" i="1" s="1"/>
  <c r="Z200" i="1" s="1"/>
  <c r="P176" i="1"/>
  <c r="Q176" i="1" s="1"/>
  <c r="R176" i="1" s="1"/>
  <c r="S176" i="1" s="1"/>
  <c r="T176" i="1" s="1"/>
  <c r="U176" i="1" s="1"/>
  <c r="V176" i="1" s="1"/>
  <c r="W176" i="1" s="1"/>
  <c r="X176" i="1" s="1"/>
  <c r="Y176" i="1" s="1"/>
  <c r="Z176" i="1" s="1"/>
  <c r="BH42" i="4"/>
  <c r="P112" i="1"/>
  <c r="Q112" i="1" s="1"/>
  <c r="R112" i="1" s="1"/>
  <c r="S112" i="1" s="1"/>
  <c r="T112" i="1" s="1"/>
  <c r="U112" i="1" s="1"/>
  <c r="V112" i="1" s="1"/>
  <c r="W112" i="1" s="1"/>
  <c r="X112" i="1" s="1"/>
  <c r="Y112" i="1" s="1"/>
  <c r="Z112" i="1" s="1"/>
  <c r="BH148" i="4"/>
  <c r="BH976" i="4"/>
  <c r="P476" i="1"/>
  <c r="Q476" i="1" s="1"/>
  <c r="R476" i="1" s="1"/>
  <c r="S476" i="1" s="1"/>
  <c r="T476" i="1" s="1"/>
  <c r="U476" i="1" s="1"/>
  <c r="V476" i="1" s="1"/>
  <c r="W476" i="1" s="1"/>
  <c r="X476" i="1" s="1"/>
  <c r="Y476" i="1" s="1"/>
  <c r="Z476" i="1" s="1"/>
  <c r="BH950" i="4"/>
  <c r="BH942" i="4"/>
  <c r="BH933" i="4"/>
  <c r="P378" i="1"/>
  <c r="Q378" i="1" s="1"/>
  <c r="R378" i="1" s="1"/>
  <c r="S378" i="1" s="1"/>
  <c r="T378" i="1" s="1"/>
  <c r="U378" i="1" s="1"/>
  <c r="V378" i="1" s="1"/>
  <c r="W378" i="1" s="1"/>
  <c r="X378" i="1" s="1"/>
  <c r="Y378" i="1" s="1"/>
  <c r="Z378" i="1" s="1"/>
  <c r="P155" i="1"/>
  <c r="Q155" i="1" s="1"/>
  <c r="R155" i="1" s="1"/>
  <c r="S155" i="1" s="1"/>
  <c r="T155" i="1" s="1"/>
  <c r="U155" i="1" s="1"/>
  <c r="V155" i="1" s="1"/>
  <c r="W155" i="1" s="1"/>
  <c r="X155" i="1" s="1"/>
  <c r="Y155" i="1" s="1"/>
  <c r="Z155" i="1" s="1"/>
  <c r="P64" i="1"/>
  <c r="Q64" i="1" s="1"/>
  <c r="R64" i="1" s="1"/>
  <c r="S64" i="1" s="1"/>
  <c r="T64" i="1" s="1"/>
  <c r="U64" i="1" s="1"/>
  <c r="V64" i="1" s="1"/>
  <c r="W64" i="1" s="1"/>
  <c r="X64" i="1" s="1"/>
  <c r="Y64" i="1" s="1"/>
  <c r="Z64" i="1" s="1"/>
  <c r="BH185" i="4"/>
  <c r="AT522" i="1"/>
  <c r="BH932" i="4"/>
  <c r="P405" i="1"/>
  <c r="Q405" i="1" s="1"/>
  <c r="R405" i="1" s="1"/>
  <c r="S405" i="1" s="1"/>
  <c r="T405" i="1" s="1"/>
  <c r="U405" i="1" s="1"/>
  <c r="V405" i="1" s="1"/>
  <c r="W405" i="1" s="1"/>
  <c r="X405" i="1" s="1"/>
  <c r="Y405" i="1" s="1"/>
  <c r="Z405" i="1" s="1"/>
  <c r="P385" i="1"/>
  <c r="Q385" i="1" s="1"/>
  <c r="R385" i="1" s="1"/>
  <c r="S385" i="1" s="1"/>
  <c r="T385" i="1" s="1"/>
  <c r="U385" i="1" s="1"/>
  <c r="V385" i="1" s="1"/>
  <c r="W385" i="1" s="1"/>
  <c r="X385" i="1" s="1"/>
  <c r="Y385" i="1" s="1"/>
  <c r="Z385" i="1" s="1"/>
  <c r="P353" i="1"/>
  <c r="Q353" i="1" s="1"/>
  <c r="R353" i="1" s="1"/>
  <c r="S353" i="1" s="1"/>
  <c r="T353" i="1" s="1"/>
  <c r="U353" i="1" s="1"/>
  <c r="V353" i="1" s="1"/>
  <c r="W353" i="1" s="1"/>
  <c r="X353" i="1" s="1"/>
  <c r="Y353" i="1" s="1"/>
  <c r="Z353" i="1" s="1"/>
  <c r="BV353" i="1" s="1"/>
  <c r="BH767" i="4"/>
  <c r="P301" i="1"/>
  <c r="Q301" i="1" s="1"/>
  <c r="R301" i="1" s="1"/>
  <c r="S301" i="1" s="1"/>
  <c r="T301" i="1" s="1"/>
  <c r="U301" i="1" s="1"/>
  <c r="V301" i="1" s="1"/>
  <c r="W301" i="1" s="1"/>
  <c r="X301" i="1" s="1"/>
  <c r="Y301" i="1" s="1"/>
  <c r="Z301" i="1" s="1"/>
  <c r="BV301" i="1" s="1"/>
  <c r="BH687" i="4"/>
  <c r="BH655" i="4"/>
  <c r="P209" i="1"/>
  <c r="Q209" i="1" s="1"/>
  <c r="R209" i="1" s="1"/>
  <c r="S209" i="1" s="1"/>
  <c r="T209" i="1" s="1"/>
  <c r="U209" i="1" s="1"/>
  <c r="V209" i="1" s="1"/>
  <c r="W209" i="1" s="1"/>
  <c r="X209" i="1" s="1"/>
  <c r="Y209" i="1" s="1"/>
  <c r="Z209" i="1" s="1"/>
  <c r="P170" i="1"/>
  <c r="Q170" i="1" s="1"/>
  <c r="R170" i="1" s="1"/>
  <c r="S170" i="1" s="1"/>
  <c r="T170" i="1" s="1"/>
  <c r="U170" i="1" s="1"/>
  <c r="V170" i="1" s="1"/>
  <c r="W170" i="1" s="1"/>
  <c r="X170" i="1" s="1"/>
  <c r="Y170" i="1" s="1"/>
  <c r="Z170" i="1" s="1"/>
  <c r="P306" i="1"/>
  <c r="Q306" i="1" s="1"/>
  <c r="R306" i="1" s="1"/>
  <c r="S306" i="1" s="1"/>
  <c r="T306" i="1" s="1"/>
  <c r="U306" i="1" s="1"/>
  <c r="V306" i="1" s="1"/>
  <c r="W306" i="1" s="1"/>
  <c r="X306" i="1" s="1"/>
  <c r="Y306" i="1" s="1"/>
  <c r="Z306" i="1" s="1"/>
  <c r="BH138" i="4"/>
  <c r="AC62" i="1"/>
  <c r="O62" i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N62" i="1"/>
  <c r="AT62" i="1"/>
  <c r="P498" i="1"/>
  <c r="Q498" i="1" s="1"/>
  <c r="R498" i="1" s="1"/>
  <c r="S498" i="1" s="1"/>
  <c r="T498" i="1" s="1"/>
  <c r="U498" i="1" s="1"/>
  <c r="V498" i="1" s="1"/>
  <c r="W498" i="1" s="1"/>
  <c r="X498" i="1" s="1"/>
  <c r="Y498" i="1" s="1"/>
  <c r="Z498" i="1" s="1"/>
  <c r="BH972" i="4"/>
  <c r="P362" i="1"/>
  <c r="Q362" i="1" s="1"/>
  <c r="R362" i="1" s="1"/>
  <c r="S362" i="1" s="1"/>
  <c r="T362" i="1" s="1"/>
  <c r="U362" i="1" s="1"/>
  <c r="V362" i="1" s="1"/>
  <c r="W362" i="1" s="1"/>
  <c r="X362" i="1" s="1"/>
  <c r="Y362" i="1" s="1"/>
  <c r="Z362" i="1" s="1"/>
  <c r="AT523" i="1"/>
  <c r="BH259" i="4"/>
  <c r="BH983" i="4"/>
  <c r="BH917" i="4"/>
  <c r="P474" i="1"/>
  <c r="Q474" i="1" s="1"/>
  <c r="R474" i="1" s="1"/>
  <c r="S474" i="1" s="1"/>
  <c r="T474" i="1" s="1"/>
  <c r="U474" i="1" s="1"/>
  <c r="V474" i="1" s="1"/>
  <c r="W474" i="1" s="1"/>
  <c r="X474" i="1" s="1"/>
  <c r="Y474" i="1" s="1"/>
  <c r="Z474" i="1" s="1"/>
  <c r="P341" i="1"/>
  <c r="Q341" i="1" s="1"/>
  <c r="R341" i="1" s="1"/>
  <c r="S341" i="1" s="1"/>
  <c r="T341" i="1" s="1"/>
  <c r="U341" i="1" s="1"/>
  <c r="V341" i="1" s="1"/>
  <c r="W341" i="1" s="1"/>
  <c r="X341" i="1" s="1"/>
  <c r="Y341" i="1" s="1"/>
  <c r="Z341" i="1" s="1"/>
  <c r="BV341" i="1" s="1"/>
  <c r="BH798" i="4"/>
  <c r="BH778" i="4"/>
  <c r="P278" i="1"/>
  <c r="Q278" i="1" s="1"/>
  <c r="R278" i="1" s="1"/>
  <c r="S278" i="1" s="1"/>
  <c r="T278" i="1" s="1"/>
  <c r="U278" i="1" s="1"/>
  <c r="V278" i="1" s="1"/>
  <c r="W278" i="1" s="1"/>
  <c r="X278" i="1" s="1"/>
  <c r="Y278" i="1" s="1"/>
  <c r="Z278" i="1" s="1"/>
  <c r="P206" i="1"/>
  <c r="Q206" i="1" s="1"/>
  <c r="R206" i="1" s="1"/>
  <c r="S206" i="1" s="1"/>
  <c r="T206" i="1" s="1"/>
  <c r="U206" i="1" s="1"/>
  <c r="V206" i="1" s="1"/>
  <c r="W206" i="1" s="1"/>
  <c r="X206" i="1" s="1"/>
  <c r="Y206" i="1" s="1"/>
  <c r="Z206" i="1" s="1"/>
  <c r="P171" i="1"/>
  <c r="Q171" i="1" s="1"/>
  <c r="R171" i="1" s="1"/>
  <c r="S171" i="1" s="1"/>
  <c r="T171" i="1" s="1"/>
  <c r="U171" i="1" s="1"/>
  <c r="V171" i="1" s="1"/>
  <c r="W171" i="1" s="1"/>
  <c r="X171" i="1" s="1"/>
  <c r="Y171" i="1" s="1"/>
  <c r="Z171" i="1" s="1"/>
  <c r="P118" i="1"/>
  <c r="Q118" i="1" s="1"/>
  <c r="R118" i="1" s="1"/>
  <c r="S118" i="1" s="1"/>
  <c r="T118" i="1" s="1"/>
  <c r="U118" i="1" s="1"/>
  <c r="V118" i="1" s="1"/>
  <c r="W118" i="1" s="1"/>
  <c r="X118" i="1" s="1"/>
  <c r="Y118" i="1" s="1"/>
  <c r="Z118" i="1" s="1"/>
  <c r="BH41" i="4"/>
  <c r="P283" i="1"/>
  <c r="Q283" i="1" s="1"/>
  <c r="R283" i="1" s="1"/>
  <c r="S283" i="1" s="1"/>
  <c r="T283" i="1" s="1"/>
  <c r="U283" i="1" s="1"/>
  <c r="V283" i="1" s="1"/>
  <c r="W283" i="1" s="1"/>
  <c r="X283" i="1" s="1"/>
  <c r="Y283" i="1" s="1"/>
  <c r="Z283" i="1" s="1"/>
  <c r="P275" i="1"/>
  <c r="Q275" i="1" s="1"/>
  <c r="R275" i="1" s="1"/>
  <c r="S275" i="1" s="1"/>
  <c r="T275" i="1" s="1"/>
  <c r="U275" i="1" s="1"/>
  <c r="V275" i="1" s="1"/>
  <c r="W275" i="1" s="1"/>
  <c r="X275" i="1" s="1"/>
  <c r="Y275" i="1" s="1"/>
  <c r="Z275" i="1" s="1"/>
  <c r="P255" i="1"/>
  <c r="Q255" i="1" s="1"/>
  <c r="R255" i="1" s="1"/>
  <c r="S255" i="1" s="1"/>
  <c r="T255" i="1" s="1"/>
  <c r="U255" i="1" s="1"/>
  <c r="V255" i="1" s="1"/>
  <c r="W255" i="1" s="1"/>
  <c r="X255" i="1" s="1"/>
  <c r="Y255" i="1" s="1"/>
  <c r="Z255" i="1" s="1"/>
  <c r="BH82" i="4"/>
  <c r="BH474" i="4"/>
  <c r="P422" i="1"/>
  <c r="Q422" i="1" s="1"/>
  <c r="R422" i="1" s="1"/>
  <c r="S422" i="1" s="1"/>
  <c r="T422" i="1" s="1"/>
  <c r="U422" i="1" s="1"/>
  <c r="V422" i="1" s="1"/>
  <c r="W422" i="1" s="1"/>
  <c r="X422" i="1" s="1"/>
  <c r="Y422" i="1" s="1"/>
  <c r="Z422" i="1" s="1"/>
  <c r="BH449" i="4"/>
  <c r="P286" i="1"/>
  <c r="Q286" i="1" s="1"/>
  <c r="R286" i="1" s="1"/>
  <c r="S286" i="1" s="1"/>
  <c r="T286" i="1" s="1"/>
  <c r="U286" i="1" s="1"/>
  <c r="V286" i="1" s="1"/>
  <c r="W286" i="1" s="1"/>
  <c r="X286" i="1" s="1"/>
  <c r="Y286" i="1" s="1"/>
  <c r="Z286" i="1" s="1"/>
  <c r="P269" i="1"/>
  <c r="Q269" i="1" s="1"/>
  <c r="R269" i="1" s="1"/>
  <c r="S269" i="1" s="1"/>
  <c r="T269" i="1" s="1"/>
  <c r="U269" i="1" s="1"/>
  <c r="V269" i="1" s="1"/>
  <c r="W269" i="1" s="1"/>
  <c r="X269" i="1" s="1"/>
  <c r="Y269" i="1" s="1"/>
  <c r="Z269" i="1" s="1"/>
  <c r="P261" i="1"/>
  <c r="Q261" i="1" s="1"/>
  <c r="R261" i="1" s="1"/>
  <c r="S261" i="1" s="1"/>
  <c r="T261" i="1" s="1"/>
  <c r="U261" i="1" s="1"/>
  <c r="V261" i="1" s="1"/>
  <c r="W261" i="1" s="1"/>
  <c r="X261" i="1" s="1"/>
  <c r="Y261" i="1" s="1"/>
  <c r="Z261" i="1" s="1"/>
  <c r="P29" i="1"/>
  <c r="Q29" i="1" s="1"/>
  <c r="R29" i="1" s="1"/>
  <c r="S29" i="1" s="1"/>
  <c r="T29" i="1" s="1"/>
  <c r="U29" i="1" s="1"/>
  <c r="V29" i="1" s="1"/>
  <c r="W29" i="1" s="1"/>
  <c r="X29" i="1" s="1"/>
  <c r="Y29" i="1" s="1"/>
  <c r="Z29" i="1" s="1"/>
  <c r="BH277" i="4"/>
  <c r="AT583" i="1"/>
  <c r="BH1055" i="4"/>
  <c r="BH953" i="4"/>
  <c r="BH936" i="4"/>
  <c r="P158" i="1"/>
  <c r="Q158" i="1" s="1"/>
  <c r="R158" i="1" s="1"/>
  <c r="S158" i="1" s="1"/>
  <c r="T158" i="1" s="1"/>
  <c r="U158" i="1" s="1"/>
  <c r="V158" i="1" s="1"/>
  <c r="W158" i="1" s="1"/>
  <c r="X158" i="1" s="1"/>
  <c r="Y158" i="1" s="1"/>
  <c r="Z158" i="1" s="1"/>
  <c r="P272" i="1"/>
  <c r="Q272" i="1" s="1"/>
  <c r="R272" i="1" s="1"/>
  <c r="S272" i="1" s="1"/>
  <c r="T272" i="1" s="1"/>
  <c r="U272" i="1" s="1"/>
  <c r="V272" i="1" s="1"/>
  <c r="W272" i="1" s="1"/>
  <c r="X272" i="1" s="1"/>
  <c r="Y272" i="1" s="1"/>
  <c r="Z272" i="1" s="1"/>
  <c r="P256" i="1"/>
  <c r="Q256" i="1" s="1"/>
  <c r="R256" i="1" s="1"/>
  <c r="S256" i="1" s="1"/>
  <c r="T256" i="1" s="1"/>
  <c r="U256" i="1" s="1"/>
  <c r="V256" i="1" s="1"/>
  <c r="W256" i="1" s="1"/>
  <c r="X256" i="1" s="1"/>
  <c r="Y256" i="1" s="1"/>
  <c r="Z256" i="1" s="1"/>
  <c r="P215" i="1"/>
  <c r="Q215" i="1" s="1"/>
  <c r="R215" i="1" s="1"/>
  <c r="S215" i="1" s="1"/>
  <c r="T215" i="1" s="1"/>
  <c r="U215" i="1" s="1"/>
  <c r="V215" i="1" s="1"/>
  <c r="W215" i="1" s="1"/>
  <c r="X215" i="1" s="1"/>
  <c r="Y215" i="1" s="1"/>
  <c r="Z215" i="1" s="1"/>
  <c r="P203" i="1"/>
  <c r="Q203" i="1" s="1"/>
  <c r="R203" i="1" s="1"/>
  <c r="S203" i="1" s="1"/>
  <c r="T203" i="1" s="1"/>
  <c r="U203" i="1" s="1"/>
  <c r="V203" i="1" s="1"/>
  <c r="W203" i="1" s="1"/>
  <c r="X203" i="1" s="1"/>
  <c r="Y203" i="1" s="1"/>
  <c r="Z203" i="1" s="1"/>
  <c r="P159" i="1"/>
  <c r="Q159" i="1" s="1"/>
  <c r="R159" i="1" s="1"/>
  <c r="S159" i="1" s="1"/>
  <c r="T159" i="1" s="1"/>
  <c r="U159" i="1" s="1"/>
  <c r="V159" i="1" s="1"/>
  <c r="W159" i="1" s="1"/>
  <c r="X159" i="1" s="1"/>
  <c r="Y159" i="1" s="1"/>
  <c r="Z159" i="1" s="1"/>
  <c r="N339" i="1"/>
  <c r="N705" i="1" s="1"/>
  <c r="G6" i="8" s="1"/>
  <c r="AC705" i="1"/>
  <c r="G7" i="8" s="1"/>
  <c r="O339" i="1"/>
  <c r="P339" i="1" s="1"/>
  <c r="Q339" i="1" s="1"/>
  <c r="R339" i="1" s="1"/>
  <c r="S339" i="1" s="1"/>
  <c r="T339" i="1" s="1"/>
  <c r="U339" i="1" s="1"/>
  <c r="V339" i="1" s="1"/>
  <c r="W339" i="1" s="1"/>
  <c r="X339" i="1" s="1"/>
  <c r="Y339" i="1" s="1"/>
  <c r="Z339" i="1" s="1"/>
  <c r="BV339" i="1" s="1"/>
  <c r="BH288" i="4"/>
  <c r="AT507" i="1"/>
  <c r="P475" i="1"/>
  <c r="Q475" i="1" s="1"/>
  <c r="R475" i="1" s="1"/>
  <c r="S475" i="1" s="1"/>
  <c r="T475" i="1" s="1"/>
  <c r="U475" i="1" s="1"/>
  <c r="V475" i="1" s="1"/>
  <c r="W475" i="1" s="1"/>
  <c r="X475" i="1" s="1"/>
  <c r="Y475" i="1" s="1"/>
  <c r="Z475" i="1" s="1"/>
  <c r="P380" i="1"/>
  <c r="Q380" i="1" s="1"/>
  <c r="R380" i="1" s="1"/>
  <c r="S380" i="1" s="1"/>
  <c r="T380" i="1" s="1"/>
  <c r="U380" i="1" s="1"/>
  <c r="V380" i="1" s="1"/>
  <c r="W380" i="1" s="1"/>
  <c r="X380" i="1" s="1"/>
  <c r="Y380" i="1" s="1"/>
  <c r="Z380" i="1" s="1"/>
  <c r="BV380" i="1" s="1"/>
  <c r="AE366" i="1"/>
  <c r="AF366" i="1" s="1"/>
  <c r="AG366" i="1" s="1"/>
  <c r="AH366" i="1" s="1"/>
  <c r="AI366" i="1" s="1"/>
  <c r="AJ366" i="1" s="1"/>
  <c r="AK366" i="1" s="1"/>
  <c r="AL366" i="1" s="1"/>
  <c r="AM366" i="1" s="1"/>
  <c r="AN366" i="1" s="1"/>
  <c r="BH786" i="4"/>
  <c r="AE184" i="1"/>
  <c r="AF184" i="1" s="1"/>
  <c r="AG184" i="1" s="1"/>
  <c r="AH184" i="1" s="1"/>
  <c r="AI184" i="1" s="1"/>
  <c r="AJ184" i="1" s="1"/>
  <c r="AK184" i="1" s="1"/>
  <c r="AL184" i="1" s="1"/>
  <c r="AM184" i="1" s="1"/>
  <c r="AN184" i="1" s="1"/>
  <c r="P361" i="1"/>
  <c r="Q361" i="1" s="1"/>
  <c r="R361" i="1" s="1"/>
  <c r="S361" i="1" s="1"/>
  <c r="T361" i="1" s="1"/>
  <c r="U361" i="1" s="1"/>
  <c r="V361" i="1" s="1"/>
  <c r="W361" i="1" s="1"/>
  <c r="X361" i="1" s="1"/>
  <c r="Y361" i="1" s="1"/>
  <c r="Z361" i="1" s="1"/>
  <c r="P347" i="1"/>
  <c r="Q347" i="1" s="1"/>
  <c r="R347" i="1" s="1"/>
  <c r="S347" i="1" s="1"/>
  <c r="T347" i="1" s="1"/>
  <c r="U347" i="1" s="1"/>
  <c r="V347" i="1" s="1"/>
  <c r="W347" i="1" s="1"/>
  <c r="X347" i="1" s="1"/>
  <c r="Y347" i="1" s="1"/>
  <c r="Z347" i="1" s="1"/>
  <c r="BV347" i="1" s="1"/>
  <c r="P274" i="1"/>
  <c r="Q274" i="1" s="1"/>
  <c r="R274" i="1" s="1"/>
  <c r="S274" i="1" s="1"/>
  <c r="T274" i="1" s="1"/>
  <c r="U274" i="1" s="1"/>
  <c r="V274" i="1" s="1"/>
  <c r="W274" i="1" s="1"/>
  <c r="X274" i="1" s="1"/>
  <c r="Y274" i="1" s="1"/>
  <c r="Z274" i="1" s="1"/>
  <c r="P183" i="1"/>
  <c r="Q183" i="1" s="1"/>
  <c r="R183" i="1" s="1"/>
  <c r="S183" i="1" s="1"/>
  <c r="T183" i="1" s="1"/>
  <c r="U183" i="1" s="1"/>
  <c r="V183" i="1" s="1"/>
  <c r="W183" i="1" s="1"/>
  <c r="X183" i="1" s="1"/>
  <c r="Y183" i="1" s="1"/>
  <c r="Z183" i="1" s="1"/>
  <c r="P279" i="1"/>
  <c r="Q279" i="1" s="1"/>
  <c r="R279" i="1" s="1"/>
  <c r="S279" i="1" s="1"/>
  <c r="T279" i="1" s="1"/>
  <c r="U279" i="1" s="1"/>
  <c r="V279" i="1" s="1"/>
  <c r="W279" i="1" s="1"/>
  <c r="X279" i="1" s="1"/>
  <c r="Y279" i="1" s="1"/>
  <c r="Z279" i="1" s="1"/>
  <c r="P259" i="1"/>
  <c r="Q259" i="1" s="1"/>
  <c r="R259" i="1" s="1"/>
  <c r="S259" i="1" s="1"/>
  <c r="T259" i="1" s="1"/>
  <c r="U259" i="1" s="1"/>
  <c r="V259" i="1" s="1"/>
  <c r="W259" i="1" s="1"/>
  <c r="X259" i="1" s="1"/>
  <c r="Y259" i="1" s="1"/>
  <c r="Z259" i="1" s="1"/>
  <c r="P75" i="1"/>
  <c r="Q75" i="1" s="1"/>
  <c r="R75" i="1" s="1"/>
  <c r="S75" i="1" s="1"/>
  <c r="T75" i="1" s="1"/>
  <c r="U75" i="1" s="1"/>
  <c r="V75" i="1" s="1"/>
  <c r="W75" i="1" s="1"/>
  <c r="X75" i="1" s="1"/>
  <c r="Y75" i="1" s="1"/>
  <c r="Z75" i="1" s="1"/>
  <c r="BH159" i="4"/>
  <c r="BH44" i="4"/>
  <c r="P354" i="1"/>
  <c r="Q354" i="1" s="1"/>
  <c r="R354" i="1" s="1"/>
  <c r="S354" i="1" s="1"/>
  <c r="T354" i="1" s="1"/>
  <c r="U354" i="1" s="1"/>
  <c r="V354" i="1" s="1"/>
  <c r="W354" i="1" s="1"/>
  <c r="X354" i="1" s="1"/>
  <c r="Y354" i="1" s="1"/>
  <c r="Z354" i="1" s="1"/>
  <c r="P340" i="1"/>
  <c r="Q340" i="1" s="1"/>
  <c r="R340" i="1" s="1"/>
  <c r="S340" i="1" s="1"/>
  <c r="T340" i="1" s="1"/>
  <c r="U340" i="1" s="1"/>
  <c r="V340" i="1" s="1"/>
  <c r="W340" i="1" s="1"/>
  <c r="X340" i="1" s="1"/>
  <c r="Y340" i="1" s="1"/>
  <c r="Z340" i="1" s="1"/>
  <c r="BV340" i="1" s="1"/>
  <c r="BH797" i="4"/>
  <c r="P302" i="1"/>
  <c r="Q302" i="1" s="1"/>
  <c r="R302" i="1" s="1"/>
  <c r="S302" i="1" s="1"/>
  <c r="T302" i="1" s="1"/>
  <c r="U302" i="1" s="1"/>
  <c r="V302" i="1" s="1"/>
  <c r="W302" i="1" s="1"/>
  <c r="X302" i="1" s="1"/>
  <c r="Y302" i="1" s="1"/>
  <c r="Z302" i="1" s="1"/>
  <c r="BV302" i="1" s="1"/>
  <c r="BH722" i="4"/>
  <c r="P273" i="1"/>
  <c r="Q273" i="1" s="1"/>
  <c r="R273" i="1" s="1"/>
  <c r="S273" i="1" s="1"/>
  <c r="T273" i="1" s="1"/>
  <c r="U273" i="1" s="1"/>
  <c r="V273" i="1" s="1"/>
  <c r="W273" i="1" s="1"/>
  <c r="X273" i="1" s="1"/>
  <c r="Y273" i="1" s="1"/>
  <c r="Z273" i="1" s="1"/>
  <c r="BH676" i="4"/>
  <c r="P182" i="1"/>
  <c r="Q182" i="1" s="1"/>
  <c r="R182" i="1" s="1"/>
  <c r="S182" i="1" s="1"/>
  <c r="T182" i="1" s="1"/>
  <c r="U182" i="1" s="1"/>
  <c r="V182" i="1" s="1"/>
  <c r="W182" i="1" s="1"/>
  <c r="X182" i="1" s="1"/>
  <c r="Y182" i="1" s="1"/>
  <c r="Z182" i="1" s="1"/>
  <c r="P173" i="1"/>
  <c r="Q173" i="1" s="1"/>
  <c r="R173" i="1" s="1"/>
  <c r="S173" i="1" s="1"/>
  <c r="T173" i="1" s="1"/>
  <c r="U173" i="1" s="1"/>
  <c r="V173" i="1" s="1"/>
  <c r="W173" i="1" s="1"/>
  <c r="X173" i="1" s="1"/>
  <c r="Y173" i="1" s="1"/>
  <c r="Z173" i="1" s="1"/>
  <c r="BH139" i="4"/>
  <c r="BH131" i="4"/>
  <c r="BH1008" i="4"/>
  <c r="P472" i="1"/>
  <c r="Q472" i="1" s="1"/>
  <c r="R472" i="1" s="1"/>
  <c r="S472" i="1" s="1"/>
  <c r="T472" i="1" s="1"/>
  <c r="U472" i="1" s="1"/>
  <c r="V472" i="1" s="1"/>
  <c r="W472" i="1" s="1"/>
  <c r="X472" i="1" s="1"/>
  <c r="Y472" i="1" s="1"/>
  <c r="Z472" i="1" s="1"/>
  <c r="P467" i="1"/>
  <c r="Q467" i="1" s="1"/>
  <c r="R467" i="1" s="1"/>
  <c r="S467" i="1" s="1"/>
  <c r="T467" i="1" s="1"/>
  <c r="U467" i="1" s="1"/>
  <c r="V467" i="1" s="1"/>
  <c r="W467" i="1" s="1"/>
  <c r="X467" i="1" s="1"/>
  <c r="Y467" i="1" s="1"/>
  <c r="Z467" i="1" s="1"/>
  <c r="BH940" i="4"/>
  <c r="BH452" i="4"/>
  <c r="P425" i="1"/>
  <c r="Q425" i="1" s="1"/>
  <c r="R425" i="1" s="1"/>
  <c r="S425" i="1" s="1"/>
  <c r="T425" i="1" s="1"/>
  <c r="U425" i="1" s="1"/>
  <c r="V425" i="1" s="1"/>
  <c r="W425" i="1" s="1"/>
  <c r="X425" i="1" s="1"/>
  <c r="Y425" i="1" s="1"/>
  <c r="Z425" i="1" s="1"/>
  <c r="BV425" i="1" s="1"/>
  <c r="BH878" i="4"/>
  <c r="P363" i="1"/>
  <c r="Q363" i="1" s="1"/>
  <c r="R363" i="1" s="1"/>
  <c r="S363" i="1" s="1"/>
  <c r="T363" i="1" s="1"/>
  <c r="U363" i="1" s="1"/>
  <c r="V363" i="1" s="1"/>
  <c r="W363" i="1" s="1"/>
  <c r="X363" i="1" s="1"/>
  <c r="Y363" i="1" s="1"/>
  <c r="Z363" i="1" s="1"/>
  <c r="P260" i="1"/>
  <c r="Q260" i="1" s="1"/>
  <c r="R260" i="1" s="1"/>
  <c r="S260" i="1" s="1"/>
  <c r="T260" i="1" s="1"/>
  <c r="U260" i="1" s="1"/>
  <c r="V260" i="1" s="1"/>
  <c r="W260" i="1" s="1"/>
  <c r="X260" i="1" s="1"/>
  <c r="Y260" i="1" s="1"/>
  <c r="Z260" i="1" s="1"/>
  <c r="P178" i="1"/>
  <c r="Q178" i="1" s="1"/>
  <c r="R178" i="1" s="1"/>
  <c r="S178" i="1" s="1"/>
  <c r="T178" i="1" s="1"/>
  <c r="U178" i="1" s="1"/>
  <c r="V178" i="1" s="1"/>
  <c r="W178" i="1" s="1"/>
  <c r="X178" i="1" s="1"/>
  <c r="Y178" i="1" s="1"/>
  <c r="Z178" i="1" s="1"/>
  <c r="P513" i="1"/>
  <c r="Q513" i="1" s="1"/>
  <c r="R513" i="1" s="1"/>
  <c r="S513" i="1" s="1"/>
  <c r="T513" i="1" s="1"/>
  <c r="U513" i="1" s="1"/>
  <c r="V513" i="1" s="1"/>
  <c r="W513" i="1" s="1"/>
  <c r="X513" i="1" s="1"/>
  <c r="Y513" i="1" s="1"/>
  <c r="Z513" i="1" s="1"/>
  <c r="P92" i="1"/>
  <c r="Q92" i="1" s="1"/>
  <c r="R92" i="1" s="1"/>
  <c r="S92" i="1" s="1"/>
  <c r="T92" i="1" s="1"/>
  <c r="U92" i="1" s="1"/>
  <c r="V92" i="1" s="1"/>
  <c r="W92" i="1" s="1"/>
  <c r="X92" i="1" s="1"/>
  <c r="Y92" i="1" s="1"/>
  <c r="Z92" i="1" s="1"/>
  <c r="BH130" i="4"/>
  <c r="AP518" i="1" l="1"/>
  <c r="AU518" i="1"/>
  <c r="AT707" i="1"/>
  <c r="AT721" i="1" s="1"/>
  <c r="E8" i="8" s="1"/>
  <c r="AV163" i="1"/>
  <c r="AW163" i="1" s="1"/>
  <c r="AX163" i="1" s="1"/>
  <c r="AY163" i="1" s="1"/>
  <c r="AZ163" i="1" s="1"/>
  <c r="BA163" i="1" s="1"/>
  <c r="BB163" i="1" s="1"/>
  <c r="BC163" i="1" s="1"/>
  <c r="BD163" i="1" s="1"/>
  <c r="BE163" i="1" s="1"/>
  <c r="AV19" i="1"/>
  <c r="AW19" i="1" s="1"/>
  <c r="AX19" i="1" s="1"/>
  <c r="AY19" i="1" s="1"/>
  <c r="AZ19" i="1" s="1"/>
  <c r="BA19" i="1" s="1"/>
  <c r="BB19" i="1" s="1"/>
  <c r="BC19" i="1" s="1"/>
  <c r="BD19" i="1" s="1"/>
  <c r="BE19" i="1" s="1"/>
  <c r="AV558" i="1"/>
  <c r="AW558" i="1" s="1"/>
  <c r="AX558" i="1" s="1"/>
  <c r="AY558" i="1" s="1"/>
  <c r="AZ558" i="1" s="1"/>
  <c r="BA558" i="1" s="1"/>
  <c r="BB558" i="1" s="1"/>
  <c r="BC558" i="1" s="1"/>
  <c r="BD558" i="1" s="1"/>
  <c r="BE558" i="1" s="1"/>
  <c r="BF558" i="1" s="1"/>
  <c r="BV558" i="1" s="1"/>
  <c r="AV409" i="1"/>
  <c r="AW409" i="1" s="1"/>
  <c r="AX409" i="1" s="1"/>
  <c r="AY409" i="1" s="1"/>
  <c r="AZ409" i="1" s="1"/>
  <c r="BA409" i="1" s="1"/>
  <c r="BB409" i="1" s="1"/>
  <c r="BC409" i="1" s="1"/>
  <c r="BD409" i="1" s="1"/>
  <c r="BE409" i="1" s="1"/>
  <c r="AV31" i="1"/>
  <c r="AW31" i="1" s="1"/>
  <c r="AX31" i="1" s="1"/>
  <c r="AY31" i="1" s="1"/>
  <c r="AZ31" i="1" s="1"/>
  <c r="BA31" i="1" s="1"/>
  <c r="BB31" i="1" s="1"/>
  <c r="BC31" i="1" s="1"/>
  <c r="BD31" i="1" s="1"/>
  <c r="BE31" i="1" s="1"/>
  <c r="BF31" i="1" s="1"/>
  <c r="BJ31" i="1" s="1"/>
  <c r="BK31" i="1" s="1"/>
  <c r="BL31" i="1" s="1"/>
  <c r="BM31" i="1" s="1"/>
  <c r="BN31" i="1" s="1"/>
  <c r="BO31" i="1" s="1"/>
  <c r="BP31" i="1" s="1"/>
  <c r="BQ31" i="1" s="1"/>
  <c r="BR31" i="1" s="1"/>
  <c r="BS31" i="1" s="1"/>
  <c r="BT31" i="1" s="1"/>
  <c r="AV522" i="1"/>
  <c r="AW522" i="1" s="1"/>
  <c r="AX522" i="1" s="1"/>
  <c r="AY522" i="1" s="1"/>
  <c r="AZ522" i="1" s="1"/>
  <c r="BA522" i="1" s="1"/>
  <c r="BB522" i="1" s="1"/>
  <c r="BC522" i="1" s="1"/>
  <c r="BD522" i="1" s="1"/>
  <c r="BE522" i="1" s="1"/>
  <c r="AV20" i="1"/>
  <c r="AW20" i="1" s="1"/>
  <c r="AX20" i="1" s="1"/>
  <c r="AY20" i="1" s="1"/>
  <c r="AZ20" i="1" s="1"/>
  <c r="BA20" i="1" s="1"/>
  <c r="BB20" i="1" s="1"/>
  <c r="BC20" i="1" s="1"/>
  <c r="BD20" i="1" s="1"/>
  <c r="BE20" i="1" s="1"/>
  <c r="AV529" i="1"/>
  <c r="AW529" i="1" s="1"/>
  <c r="AX529" i="1" s="1"/>
  <c r="AY529" i="1" s="1"/>
  <c r="AZ529" i="1" s="1"/>
  <c r="BA529" i="1" s="1"/>
  <c r="BB529" i="1" s="1"/>
  <c r="BC529" i="1" s="1"/>
  <c r="BD529" i="1" s="1"/>
  <c r="BE529" i="1" s="1"/>
  <c r="AV314" i="1"/>
  <c r="AW314" i="1" s="1"/>
  <c r="AX314" i="1" s="1"/>
  <c r="AY314" i="1" s="1"/>
  <c r="AZ314" i="1" s="1"/>
  <c r="BA314" i="1" s="1"/>
  <c r="BB314" i="1" s="1"/>
  <c r="BC314" i="1" s="1"/>
  <c r="BD314" i="1" s="1"/>
  <c r="BE314" i="1" s="1"/>
  <c r="BF314" i="1" s="1"/>
  <c r="BJ314" i="1" s="1"/>
  <c r="BK314" i="1" s="1"/>
  <c r="BL314" i="1" s="1"/>
  <c r="BM314" i="1" s="1"/>
  <c r="BN314" i="1" s="1"/>
  <c r="BO314" i="1" s="1"/>
  <c r="BP314" i="1" s="1"/>
  <c r="BQ314" i="1" s="1"/>
  <c r="BR314" i="1" s="1"/>
  <c r="BS314" i="1" s="1"/>
  <c r="BT314" i="1" s="1"/>
  <c r="AV162" i="1"/>
  <c r="AW162" i="1" s="1"/>
  <c r="AX162" i="1" s="1"/>
  <c r="AY162" i="1" s="1"/>
  <c r="AZ162" i="1" s="1"/>
  <c r="BA162" i="1" s="1"/>
  <c r="BB162" i="1" s="1"/>
  <c r="BC162" i="1" s="1"/>
  <c r="BD162" i="1" s="1"/>
  <c r="BE162" i="1" s="1"/>
  <c r="AV570" i="1"/>
  <c r="AW570" i="1" s="1"/>
  <c r="AX570" i="1" s="1"/>
  <c r="AY570" i="1" s="1"/>
  <c r="AZ570" i="1" s="1"/>
  <c r="BA570" i="1" s="1"/>
  <c r="BB570" i="1" s="1"/>
  <c r="BC570" i="1" s="1"/>
  <c r="BD570" i="1" s="1"/>
  <c r="BE570" i="1" s="1"/>
  <c r="BF570" i="1" s="1"/>
  <c r="BJ570" i="1" s="1"/>
  <c r="BK570" i="1" s="1"/>
  <c r="BL570" i="1" s="1"/>
  <c r="BM570" i="1" s="1"/>
  <c r="BN570" i="1" s="1"/>
  <c r="BO570" i="1" s="1"/>
  <c r="BP570" i="1" s="1"/>
  <c r="BQ570" i="1" s="1"/>
  <c r="BR570" i="1" s="1"/>
  <c r="BS570" i="1" s="1"/>
  <c r="BT570" i="1" s="1"/>
  <c r="AV312" i="1"/>
  <c r="AW312" i="1" s="1"/>
  <c r="AX312" i="1" s="1"/>
  <c r="AY312" i="1" s="1"/>
  <c r="AZ312" i="1" s="1"/>
  <c r="BA312" i="1" s="1"/>
  <c r="BB312" i="1" s="1"/>
  <c r="BC312" i="1" s="1"/>
  <c r="BD312" i="1" s="1"/>
  <c r="BE312" i="1" s="1"/>
  <c r="BF312" i="1" s="1"/>
  <c r="BJ312" i="1" s="1"/>
  <c r="BK312" i="1" s="1"/>
  <c r="BL312" i="1" s="1"/>
  <c r="BM312" i="1" s="1"/>
  <c r="BN312" i="1" s="1"/>
  <c r="BO312" i="1" s="1"/>
  <c r="BP312" i="1" s="1"/>
  <c r="BQ312" i="1" s="1"/>
  <c r="BR312" i="1" s="1"/>
  <c r="BS312" i="1" s="1"/>
  <c r="BT312" i="1" s="1"/>
  <c r="AV523" i="1"/>
  <c r="AW523" i="1" s="1"/>
  <c r="AX523" i="1" s="1"/>
  <c r="AY523" i="1" s="1"/>
  <c r="AZ523" i="1" s="1"/>
  <c r="BA523" i="1" s="1"/>
  <c r="BB523" i="1" s="1"/>
  <c r="BC523" i="1" s="1"/>
  <c r="BD523" i="1" s="1"/>
  <c r="BE523" i="1" s="1"/>
  <c r="AV567" i="1"/>
  <c r="AW567" i="1" s="1"/>
  <c r="AX567" i="1" s="1"/>
  <c r="AY567" i="1" s="1"/>
  <c r="AZ567" i="1" s="1"/>
  <c r="BA567" i="1" s="1"/>
  <c r="BB567" i="1" s="1"/>
  <c r="BC567" i="1" s="1"/>
  <c r="BD567" i="1" s="1"/>
  <c r="BE567" i="1" s="1"/>
  <c r="AV530" i="1"/>
  <c r="AW530" i="1" s="1"/>
  <c r="AX530" i="1" s="1"/>
  <c r="AY530" i="1" s="1"/>
  <c r="AZ530" i="1" s="1"/>
  <c r="BA530" i="1" s="1"/>
  <c r="BB530" i="1" s="1"/>
  <c r="BC530" i="1" s="1"/>
  <c r="BD530" i="1" s="1"/>
  <c r="BE530" i="1" s="1"/>
  <c r="AV100" i="1"/>
  <c r="AW100" i="1" s="1"/>
  <c r="AX100" i="1" s="1"/>
  <c r="AY100" i="1" s="1"/>
  <c r="AZ100" i="1" s="1"/>
  <c r="BA100" i="1" s="1"/>
  <c r="BB100" i="1" s="1"/>
  <c r="BC100" i="1" s="1"/>
  <c r="BD100" i="1" s="1"/>
  <c r="BE100" i="1" s="1"/>
  <c r="AV519" i="1"/>
  <c r="AW519" i="1" s="1"/>
  <c r="AX519" i="1" s="1"/>
  <c r="AY519" i="1" s="1"/>
  <c r="AZ519" i="1" s="1"/>
  <c r="BA519" i="1" s="1"/>
  <c r="BB519" i="1" s="1"/>
  <c r="BC519" i="1" s="1"/>
  <c r="BD519" i="1" s="1"/>
  <c r="BE519" i="1" s="1"/>
  <c r="AV97" i="1"/>
  <c r="AW97" i="1" s="1"/>
  <c r="AX97" i="1" s="1"/>
  <c r="AY97" i="1" s="1"/>
  <c r="AZ97" i="1" s="1"/>
  <c r="BA97" i="1" s="1"/>
  <c r="BB97" i="1" s="1"/>
  <c r="BC97" i="1" s="1"/>
  <c r="BD97" i="1" s="1"/>
  <c r="BE97" i="1" s="1"/>
  <c r="BF97" i="1" s="1"/>
  <c r="BJ97" i="1" s="1"/>
  <c r="BK97" i="1" s="1"/>
  <c r="BL97" i="1" s="1"/>
  <c r="BM97" i="1" s="1"/>
  <c r="BN97" i="1" s="1"/>
  <c r="BO97" i="1" s="1"/>
  <c r="BP97" i="1" s="1"/>
  <c r="BQ97" i="1" s="1"/>
  <c r="BR97" i="1" s="1"/>
  <c r="BS97" i="1" s="1"/>
  <c r="BT97" i="1" s="1"/>
  <c r="AV154" i="1"/>
  <c r="AW154" i="1" s="1"/>
  <c r="AX154" i="1" s="1"/>
  <c r="AY154" i="1" s="1"/>
  <c r="AZ154" i="1" s="1"/>
  <c r="BA154" i="1" s="1"/>
  <c r="BB154" i="1" s="1"/>
  <c r="BC154" i="1" s="1"/>
  <c r="BD154" i="1" s="1"/>
  <c r="BE154" i="1" s="1"/>
  <c r="AV507" i="1"/>
  <c r="AW507" i="1" s="1"/>
  <c r="AX507" i="1" s="1"/>
  <c r="AY507" i="1" s="1"/>
  <c r="AZ507" i="1" s="1"/>
  <c r="BA507" i="1" s="1"/>
  <c r="BB507" i="1" s="1"/>
  <c r="BC507" i="1" s="1"/>
  <c r="BD507" i="1" s="1"/>
  <c r="BE507" i="1" s="1"/>
  <c r="AV531" i="1"/>
  <c r="AW531" i="1" s="1"/>
  <c r="AX531" i="1" s="1"/>
  <c r="AY531" i="1" s="1"/>
  <c r="AZ531" i="1" s="1"/>
  <c r="BA531" i="1" s="1"/>
  <c r="BB531" i="1" s="1"/>
  <c r="BC531" i="1" s="1"/>
  <c r="BD531" i="1" s="1"/>
  <c r="BE531" i="1" s="1"/>
  <c r="BF531" i="1" s="1"/>
  <c r="BJ531" i="1" s="1"/>
  <c r="BK531" i="1" s="1"/>
  <c r="BL531" i="1" s="1"/>
  <c r="BM531" i="1" s="1"/>
  <c r="BN531" i="1" s="1"/>
  <c r="BO531" i="1" s="1"/>
  <c r="BP531" i="1" s="1"/>
  <c r="BQ531" i="1" s="1"/>
  <c r="BR531" i="1" s="1"/>
  <c r="BS531" i="1" s="1"/>
  <c r="BT531" i="1" s="1"/>
  <c r="AV287" i="1"/>
  <c r="AW287" i="1" s="1"/>
  <c r="AX287" i="1" s="1"/>
  <c r="AY287" i="1" s="1"/>
  <c r="AZ287" i="1" s="1"/>
  <c r="BA287" i="1" s="1"/>
  <c r="BB287" i="1" s="1"/>
  <c r="BC287" i="1" s="1"/>
  <c r="BD287" i="1" s="1"/>
  <c r="BE287" i="1" s="1"/>
  <c r="AV569" i="1"/>
  <c r="AW569" i="1" s="1"/>
  <c r="AX569" i="1" s="1"/>
  <c r="AY569" i="1" s="1"/>
  <c r="AZ569" i="1" s="1"/>
  <c r="BA569" i="1" s="1"/>
  <c r="BB569" i="1" s="1"/>
  <c r="BC569" i="1" s="1"/>
  <c r="BD569" i="1" s="1"/>
  <c r="BE569" i="1" s="1"/>
  <c r="BF569" i="1" s="1"/>
  <c r="BJ569" i="1" s="1"/>
  <c r="BK569" i="1" s="1"/>
  <c r="BL569" i="1" s="1"/>
  <c r="BM569" i="1" s="1"/>
  <c r="BN569" i="1" s="1"/>
  <c r="BO569" i="1" s="1"/>
  <c r="BP569" i="1" s="1"/>
  <c r="BQ569" i="1" s="1"/>
  <c r="BR569" i="1" s="1"/>
  <c r="BS569" i="1" s="1"/>
  <c r="BT569" i="1" s="1"/>
  <c r="AV394" i="1"/>
  <c r="AW394" i="1" s="1"/>
  <c r="AX394" i="1" s="1"/>
  <c r="AY394" i="1" s="1"/>
  <c r="AZ394" i="1" s="1"/>
  <c r="BA394" i="1" s="1"/>
  <c r="BB394" i="1" s="1"/>
  <c r="BC394" i="1" s="1"/>
  <c r="BD394" i="1" s="1"/>
  <c r="BE394" i="1" s="1"/>
  <c r="BF394" i="1" s="1"/>
  <c r="BJ394" i="1" s="1"/>
  <c r="BK394" i="1" s="1"/>
  <c r="BL394" i="1" s="1"/>
  <c r="BM394" i="1" s="1"/>
  <c r="BN394" i="1" s="1"/>
  <c r="BO394" i="1" s="1"/>
  <c r="BP394" i="1" s="1"/>
  <c r="BQ394" i="1" s="1"/>
  <c r="BR394" i="1" s="1"/>
  <c r="BS394" i="1" s="1"/>
  <c r="BT394" i="1" s="1"/>
  <c r="AV161" i="1"/>
  <c r="AW161" i="1" s="1"/>
  <c r="AX161" i="1" s="1"/>
  <c r="AY161" i="1" s="1"/>
  <c r="AZ161" i="1" s="1"/>
  <c r="BA161" i="1" s="1"/>
  <c r="BB161" i="1" s="1"/>
  <c r="BC161" i="1" s="1"/>
  <c r="BD161" i="1" s="1"/>
  <c r="BE161" i="1" s="1"/>
  <c r="AV30" i="1"/>
  <c r="AW30" i="1" s="1"/>
  <c r="AX30" i="1" s="1"/>
  <c r="AY30" i="1" s="1"/>
  <c r="AZ30" i="1" s="1"/>
  <c r="BA30" i="1" s="1"/>
  <c r="BB30" i="1" s="1"/>
  <c r="BC30" i="1" s="1"/>
  <c r="BD30" i="1" s="1"/>
  <c r="BE30" i="1" s="1"/>
  <c r="AV320" i="1"/>
  <c r="AW320" i="1" s="1"/>
  <c r="AX320" i="1" s="1"/>
  <c r="AY320" i="1" s="1"/>
  <c r="AZ320" i="1" s="1"/>
  <c r="BA320" i="1" s="1"/>
  <c r="BB320" i="1" s="1"/>
  <c r="BC320" i="1" s="1"/>
  <c r="BD320" i="1" s="1"/>
  <c r="BE320" i="1" s="1"/>
  <c r="BF320" i="1" s="1"/>
  <c r="BJ320" i="1" s="1"/>
  <c r="BK320" i="1" s="1"/>
  <c r="BL320" i="1" s="1"/>
  <c r="BM320" i="1" s="1"/>
  <c r="BN320" i="1" s="1"/>
  <c r="BO320" i="1" s="1"/>
  <c r="BP320" i="1" s="1"/>
  <c r="BQ320" i="1" s="1"/>
  <c r="BR320" i="1" s="1"/>
  <c r="BS320" i="1" s="1"/>
  <c r="BT320" i="1" s="1"/>
  <c r="AV164" i="1"/>
  <c r="AW164" i="1" s="1"/>
  <c r="AX164" i="1" s="1"/>
  <c r="AY164" i="1" s="1"/>
  <c r="AZ164" i="1" s="1"/>
  <c r="BA164" i="1" s="1"/>
  <c r="BB164" i="1" s="1"/>
  <c r="BC164" i="1" s="1"/>
  <c r="BD164" i="1" s="1"/>
  <c r="BE164" i="1" s="1"/>
  <c r="AU583" i="1"/>
  <c r="AU582" i="1"/>
  <c r="AA702" i="1"/>
  <c r="D19" i="8" s="1"/>
  <c r="N711" i="1"/>
  <c r="AA705" i="1"/>
  <c r="G19" i="8" s="1"/>
  <c r="AC711" i="1"/>
  <c r="AA706" i="1"/>
  <c r="H19" i="8" s="1"/>
  <c r="AU581" i="1"/>
  <c r="AR164" i="1"/>
  <c r="AS164" i="1" s="1"/>
  <c r="BF530" i="1"/>
  <c r="BJ530" i="1" s="1"/>
  <c r="BK530" i="1" s="1"/>
  <c r="BL530" i="1" s="1"/>
  <c r="BM530" i="1" s="1"/>
  <c r="BN530" i="1" s="1"/>
  <c r="BO530" i="1" s="1"/>
  <c r="BP530" i="1" s="1"/>
  <c r="BQ530" i="1" s="1"/>
  <c r="BR530" i="1" s="1"/>
  <c r="BS530" i="1" s="1"/>
  <c r="BT530" i="1" s="1"/>
  <c r="BF100" i="1"/>
  <c r="BJ100" i="1" s="1"/>
  <c r="BK100" i="1" s="1"/>
  <c r="BL100" i="1" s="1"/>
  <c r="BM100" i="1" s="1"/>
  <c r="BN100" i="1" s="1"/>
  <c r="BO100" i="1" s="1"/>
  <c r="BP100" i="1" s="1"/>
  <c r="BQ100" i="1" s="1"/>
  <c r="BR100" i="1" s="1"/>
  <c r="BS100" i="1" s="1"/>
  <c r="BT100" i="1" s="1"/>
  <c r="BF519" i="1"/>
  <c r="BJ519" i="1" s="1"/>
  <c r="BK519" i="1" s="1"/>
  <c r="BL519" i="1" s="1"/>
  <c r="BM519" i="1" s="1"/>
  <c r="BN519" i="1" s="1"/>
  <c r="BO519" i="1" s="1"/>
  <c r="BP519" i="1" s="1"/>
  <c r="BQ519" i="1" s="1"/>
  <c r="BR519" i="1" s="1"/>
  <c r="BS519" i="1" s="1"/>
  <c r="BT519" i="1" s="1"/>
  <c r="BF154" i="1"/>
  <c r="BF567" i="1"/>
  <c r="BJ567" i="1" s="1"/>
  <c r="BK567" i="1" s="1"/>
  <c r="BL567" i="1" s="1"/>
  <c r="BM567" i="1" s="1"/>
  <c r="BN567" i="1" s="1"/>
  <c r="BO567" i="1" s="1"/>
  <c r="BP567" i="1" s="1"/>
  <c r="BQ567" i="1" s="1"/>
  <c r="BR567" i="1" s="1"/>
  <c r="BS567" i="1" s="1"/>
  <c r="BT567" i="1" s="1"/>
  <c r="BF287" i="1"/>
  <c r="BJ287" i="1" s="1"/>
  <c r="BK287" i="1" s="1"/>
  <c r="BL287" i="1" s="1"/>
  <c r="BM287" i="1" s="1"/>
  <c r="BN287" i="1" s="1"/>
  <c r="BO287" i="1" s="1"/>
  <c r="BP287" i="1" s="1"/>
  <c r="BQ287" i="1" s="1"/>
  <c r="BR287" i="1" s="1"/>
  <c r="BS287" i="1" s="1"/>
  <c r="BT287" i="1" s="1"/>
  <c r="BF507" i="1"/>
  <c r="BJ507" i="1" s="1"/>
  <c r="BK507" i="1" s="1"/>
  <c r="BL507" i="1" s="1"/>
  <c r="BM507" i="1" s="1"/>
  <c r="BN507" i="1" s="1"/>
  <c r="BO507" i="1" s="1"/>
  <c r="BP507" i="1" s="1"/>
  <c r="BQ507" i="1" s="1"/>
  <c r="BR507" i="1" s="1"/>
  <c r="BS507" i="1" s="1"/>
  <c r="BT507" i="1" s="1"/>
  <c r="BF161" i="1"/>
  <c r="BJ161" i="1" s="1"/>
  <c r="BK161" i="1" s="1"/>
  <c r="BL161" i="1" s="1"/>
  <c r="BM161" i="1" s="1"/>
  <c r="BN161" i="1" s="1"/>
  <c r="BO161" i="1" s="1"/>
  <c r="BP161" i="1" s="1"/>
  <c r="BQ161" i="1" s="1"/>
  <c r="BR161" i="1" s="1"/>
  <c r="BS161" i="1" s="1"/>
  <c r="BT161" i="1" s="1"/>
  <c r="BF30" i="1"/>
  <c r="BJ30" i="1" s="1"/>
  <c r="BK30" i="1" s="1"/>
  <c r="BL30" i="1" s="1"/>
  <c r="BM30" i="1" s="1"/>
  <c r="BN30" i="1" s="1"/>
  <c r="BO30" i="1" s="1"/>
  <c r="BP30" i="1" s="1"/>
  <c r="BQ30" i="1" s="1"/>
  <c r="BR30" i="1" s="1"/>
  <c r="BS30" i="1" s="1"/>
  <c r="BT30" i="1" s="1"/>
  <c r="BF163" i="1"/>
  <c r="BJ163" i="1" s="1"/>
  <c r="BK163" i="1" s="1"/>
  <c r="BL163" i="1" s="1"/>
  <c r="BM163" i="1" s="1"/>
  <c r="BN163" i="1" s="1"/>
  <c r="BO163" i="1" s="1"/>
  <c r="BP163" i="1" s="1"/>
  <c r="BQ163" i="1" s="1"/>
  <c r="BR163" i="1" s="1"/>
  <c r="BS163" i="1" s="1"/>
  <c r="BT163" i="1" s="1"/>
  <c r="BF19" i="1"/>
  <c r="BJ19" i="1" s="1"/>
  <c r="BK19" i="1" s="1"/>
  <c r="BL19" i="1" s="1"/>
  <c r="BM19" i="1" s="1"/>
  <c r="BN19" i="1" s="1"/>
  <c r="BO19" i="1" s="1"/>
  <c r="BP19" i="1" s="1"/>
  <c r="BQ19" i="1" s="1"/>
  <c r="BR19" i="1" s="1"/>
  <c r="BS19" i="1" s="1"/>
  <c r="BT19" i="1" s="1"/>
  <c r="BF409" i="1"/>
  <c r="BJ409" i="1" s="1"/>
  <c r="BK409" i="1" s="1"/>
  <c r="BL409" i="1" s="1"/>
  <c r="BM409" i="1" s="1"/>
  <c r="BN409" i="1" s="1"/>
  <c r="BO409" i="1" s="1"/>
  <c r="BP409" i="1" s="1"/>
  <c r="BQ409" i="1" s="1"/>
  <c r="BR409" i="1" s="1"/>
  <c r="BS409" i="1" s="1"/>
  <c r="BT409" i="1" s="1"/>
  <c r="BF164" i="1"/>
  <c r="BJ164" i="1" s="1"/>
  <c r="BK164" i="1" s="1"/>
  <c r="BL164" i="1" s="1"/>
  <c r="BM164" i="1" s="1"/>
  <c r="BN164" i="1" s="1"/>
  <c r="BO164" i="1" s="1"/>
  <c r="BP164" i="1" s="1"/>
  <c r="BQ164" i="1" s="1"/>
  <c r="BR164" i="1" s="1"/>
  <c r="BS164" i="1" s="1"/>
  <c r="BT164" i="1" s="1"/>
  <c r="BF529" i="1"/>
  <c r="BJ529" i="1" s="1"/>
  <c r="BK529" i="1" s="1"/>
  <c r="BL529" i="1" s="1"/>
  <c r="BM529" i="1" s="1"/>
  <c r="BN529" i="1" s="1"/>
  <c r="BO529" i="1" s="1"/>
  <c r="BP529" i="1" s="1"/>
  <c r="BQ529" i="1" s="1"/>
  <c r="BR529" i="1" s="1"/>
  <c r="BS529" i="1" s="1"/>
  <c r="BT529" i="1" s="1"/>
  <c r="BF522" i="1"/>
  <c r="BJ522" i="1" s="1"/>
  <c r="BK522" i="1" s="1"/>
  <c r="BL522" i="1" s="1"/>
  <c r="BM522" i="1" s="1"/>
  <c r="BN522" i="1" s="1"/>
  <c r="BO522" i="1" s="1"/>
  <c r="BP522" i="1" s="1"/>
  <c r="BQ522" i="1" s="1"/>
  <c r="BR522" i="1" s="1"/>
  <c r="BS522" i="1" s="1"/>
  <c r="BT522" i="1" s="1"/>
  <c r="BF20" i="1"/>
  <c r="BJ20" i="1" s="1"/>
  <c r="BK20" i="1" s="1"/>
  <c r="BL20" i="1" s="1"/>
  <c r="BM20" i="1" s="1"/>
  <c r="BN20" i="1" s="1"/>
  <c r="BO20" i="1" s="1"/>
  <c r="BP20" i="1" s="1"/>
  <c r="BQ20" i="1" s="1"/>
  <c r="BR20" i="1" s="1"/>
  <c r="BS20" i="1" s="1"/>
  <c r="BT20" i="1" s="1"/>
  <c r="CK574" i="1"/>
  <c r="BF523" i="1"/>
  <c r="BJ523" i="1" s="1"/>
  <c r="BK523" i="1" s="1"/>
  <c r="BL523" i="1" s="1"/>
  <c r="BM523" i="1" s="1"/>
  <c r="BN523" i="1" s="1"/>
  <c r="BO523" i="1" s="1"/>
  <c r="BP523" i="1" s="1"/>
  <c r="BQ523" i="1" s="1"/>
  <c r="BR523" i="1" s="1"/>
  <c r="BS523" i="1" s="1"/>
  <c r="BT523" i="1" s="1"/>
  <c r="BF162" i="1"/>
  <c r="BJ162" i="1" s="1"/>
  <c r="BK162" i="1" s="1"/>
  <c r="BL162" i="1" s="1"/>
  <c r="BM162" i="1" s="1"/>
  <c r="BN162" i="1" s="1"/>
  <c r="BO162" i="1" s="1"/>
  <c r="BP162" i="1" s="1"/>
  <c r="BQ162" i="1" s="1"/>
  <c r="BR162" i="1" s="1"/>
  <c r="BS162" i="1" s="1"/>
  <c r="BT162" i="1" s="1"/>
  <c r="CK34" i="1"/>
  <c r="AR30" i="1"/>
  <c r="AS30" i="1" s="1"/>
  <c r="AR582" i="1"/>
  <c r="AS582" i="1" s="1"/>
  <c r="AR287" i="1"/>
  <c r="AS287" i="1" s="1"/>
  <c r="AR320" i="1"/>
  <c r="AS320" i="1" s="1"/>
  <c r="AR394" i="1"/>
  <c r="AS394" i="1" s="1"/>
  <c r="AR525" i="1"/>
  <c r="AS525" i="1" s="1"/>
  <c r="AR533" i="1"/>
  <c r="AS533" i="1" s="1"/>
  <c r="AR516" i="1"/>
  <c r="AS516" i="1" s="1"/>
  <c r="AR526" i="1"/>
  <c r="AS526" i="1" s="1"/>
  <c r="AR101" i="1"/>
  <c r="AS101" i="1" s="1"/>
  <c r="AR529" i="1"/>
  <c r="AS529" i="1" s="1"/>
  <c r="AR40" i="1"/>
  <c r="AS40" i="1" s="1"/>
  <c r="AR314" i="1"/>
  <c r="AS314" i="1" s="1"/>
  <c r="AO197" i="1"/>
  <c r="AR197" i="1" s="1"/>
  <c r="AS197" i="1" s="1"/>
  <c r="AO311" i="1"/>
  <c r="AU311" i="1" s="1"/>
  <c r="CK152" i="1"/>
  <c r="AO284" i="1"/>
  <c r="AR284" i="1" s="1"/>
  <c r="AS284" i="1" s="1"/>
  <c r="AO317" i="1"/>
  <c r="AU317" i="1" s="1"/>
  <c r="CK110" i="1"/>
  <c r="AO460" i="1"/>
  <c r="AU460" i="1" s="1"/>
  <c r="AO501" i="1"/>
  <c r="AR501" i="1" s="1"/>
  <c r="AS501" i="1" s="1"/>
  <c r="AO466" i="1"/>
  <c r="AU466" i="1" s="1"/>
  <c r="AO325" i="1"/>
  <c r="CK325" i="1" s="1"/>
  <c r="AO127" i="1"/>
  <c r="AU127" i="1" s="1"/>
  <c r="CK149" i="1"/>
  <c r="AO439" i="1"/>
  <c r="CK439" i="1" s="1"/>
  <c r="CK150" i="1"/>
  <c r="AO397" i="1"/>
  <c r="AU397" i="1" s="1"/>
  <c r="AO453" i="1"/>
  <c r="CK453" i="1" s="1"/>
  <c r="AO60" i="1"/>
  <c r="AU60" i="1" s="1"/>
  <c r="AO480" i="1"/>
  <c r="AU480" i="1" s="1"/>
  <c r="AO316" i="1"/>
  <c r="AU316" i="1" s="1"/>
  <c r="AO493" i="1"/>
  <c r="CK493" i="1" s="1"/>
  <c r="AO248" i="1"/>
  <c r="CK248" i="1" s="1"/>
  <c r="AO489" i="1"/>
  <c r="AO139" i="1"/>
  <c r="AU139" i="1" s="1"/>
  <c r="AO484" i="1"/>
  <c r="AR484" i="1" s="1"/>
  <c r="AS484" i="1" s="1"/>
  <c r="AO452" i="1"/>
  <c r="AU452" i="1" s="1"/>
  <c r="AO167" i="1"/>
  <c r="AU167" i="1" s="1"/>
  <c r="AO107" i="1"/>
  <c r="AU107" i="1" s="1"/>
  <c r="AO482" i="1"/>
  <c r="AU482" i="1" s="1"/>
  <c r="AO434" i="1"/>
  <c r="AU434" i="1" s="1"/>
  <c r="AO130" i="1"/>
  <c r="AU130" i="1" s="1"/>
  <c r="AO432" i="1"/>
  <c r="AU432" i="1" s="1"/>
  <c r="CK559" i="1"/>
  <c r="AU559" i="1"/>
  <c r="AR531" i="1"/>
  <c r="AS531" i="1" s="1"/>
  <c r="AO517" i="1"/>
  <c r="AR517" i="1" s="1"/>
  <c r="AS517" i="1" s="1"/>
  <c r="AO186" i="1"/>
  <c r="AR186" i="1" s="1"/>
  <c r="AS186" i="1" s="1"/>
  <c r="AR345" i="1"/>
  <c r="AS345" i="1" s="1"/>
  <c r="AO575" i="1"/>
  <c r="AR575" i="1" s="1"/>
  <c r="AS575" i="1" s="1"/>
  <c r="CK47" i="1"/>
  <c r="AO481" i="1"/>
  <c r="AU481" i="1" s="1"/>
  <c r="AO458" i="1"/>
  <c r="CK458" i="1" s="1"/>
  <c r="AO143" i="1"/>
  <c r="AU143" i="1" s="1"/>
  <c r="AO140" i="1"/>
  <c r="AU140" i="1" s="1"/>
  <c r="AO131" i="1"/>
  <c r="AU131" i="1" s="1"/>
  <c r="AO309" i="1"/>
  <c r="AU309" i="1" s="1"/>
  <c r="AO443" i="1"/>
  <c r="AU443" i="1" s="1"/>
  <c r="AO454" i="1"/>
  <c r="AU454" i="1" s="1"/>
  <c r="AO5" i="1"/>
  <c r="AU5" i="1" s="1"/>
  <c r="AR109" i="1"/>
  <c r="AS109" i="1" s="1"/>
  <c r="AO8" i="1"/>
  <c r="AU8" i="1" s="1"/>
  <c r="AO337" i="1"/>
  <c r="AR337" i="1" s="1"/>
  <c r="AS337" i="1" s="1"/>
  <c r="CK490" i="1"/>
  <c r="AO137" i="1"/>
  <c r="AU137" i="1" s="1"/>
  <c r="AO6" i="1"/>
  <c r="AU6" i="1" s="1"/>
  <c r="CK464" i="1"/>
  <c r="AO126" i="1"/>
  <c r="AU126" i="1" s="1"/>
  <c r="AO357" i="1"/>
  <c r="AU357" i="1" s="1"/>
  <c r="AO478" i="1"/>
  <c r="AU478" i="1" s="1"/>
  <c r="AO465" i="1"/>
  <c r="AU465" i="1" s="1"/>
  <c r="AO96" i="1"/>
  <c r="AU96" i="1" s="1"/>
  <c r="AO187" i="1"/>
  <c r="AR187" i="1" s="1"/>
  <c r="AS187" i="1" s="1"/>
  <c r="AO485" i="1"/>
  <c r="CK485" i="1" s="1"/>
  <c r="AR245" i="1"/>
  <c r="AS245" i="1" s="1"/>
  <c r="AO449" i="1"/>
  <c r="AU449" i="1" s="1"/>
  <c r="AO129" i="1"/>
  <c r="AU129" i="1" s="1"/>
  <c r="AO450" i="1"/>
  <c r="AU450" i="1" s="1"/>
  <c r="AR39" i="1"/>
  <c r="AS39" i="1" s="1"/>
  <c r="AO128" i="1"/>
  <c r="AU128" i="1" s="1"/>
  <c r="AR530" i="1"/>
  <c r="AS530" i="1" s="1"/>
  <c r="AR163" i="1"/>
  <c r="AS163" i="1" s="1"/>
  <c r="AR100" i="1"/>
  <c r="AS100" i="1" s="1"/>
  <c r="AR19" i="1"/>
  <c r="AS19" i="1" s="1"/>
  <c r="AR519" i="1"/>
  <c r="AS519" i="1" s="1"/>
  <c r="AR97" i="1"/>
  <c r="AS97" i="1" s="1"/>
  <c r="AR569" i="1"/>
  <c r="AS569" i="1" s="1"/>
  <c r="AO370" i="1"/>
  <c r="AR370" i="1" s="1"/>
  <c r="AS370" i="1" s="1"/>
  <c r="AO184" i="1"/>
  <c r="AR184" i="1" s="1"/>
  <c r="AS184" i="1" s="1"/>
  <c r="AO442" i="1"/>
  <c r="AU442" i="1" s="1"/>
  <c r="AO323" i="1"/>
  <c r="AU323" i="1" s="1"/>
  <c r="AO37" i="1"/>
  <c r="AU37" i="1" s="1"/>
  <c r="AO440" i="1"/>
  <c r="CK440" i="1" s="1"/>
  <c r="AO459" i="1"/>
  <c r="AU459" i="1" s="1"/>
  <c r="AO45" i="1"/>
  <c r="CK45" i="1" s="1"/>
  <c r="AR495" i="1"/>
  <c r="AS495" i="1" s="1"/>
  <c r="AO153" i="1"/>
  <c r="AU153" i="1" s="1"/>
  <c r="AO436" i="1"/>
  <c r="CK436" i="1" s="1"/>
  <c r="AO492" i="1"/>
  <c r="CK492" i="1" s="1"/>
  <c r="CK151" i="1"/>
  <c r="BG500" i="1"/>
  <c r="AO208" i="1"/>
  <c r="AR208" i="1" s="1"/>
  <c r="AS208" i="1" s="1"/>
  <c r="AO141" i="1"/>
  <c r="AU141" i="1" s="1"/>
  <c r="AR444" i="1"/>
  <c r="AS444" i="1" s="1"/>
  <c r="AO232" i="1"/>
  <c r="AU232" i="1" s="1"/>
  <c r="AO221" i="1"/>
  <c r="AU221" i="1" s="1"/>
  <c r="AO122" i="1"/>
  <c r="AU122" i="1" s="1"/>
  <c r="AO28" i="1"/>
  <c r="AR28" i="1" s="1"/>
  <c r="AS28" i="1" s="1"/>
  <c r="AO123" i="1"/>
  <c r="AU123" i="1" s="1"/>
  <c r="AO348" i="1"/>
  <c r="AU348" i="1" s="1"/>
  <c r="AO488" i="1"/>
  <c r="AU488" i="1" s="1"/>
  <c r="AO205" i="1"/>
  <c r="AR205" i="1" s="1"/>
  <c r="AS205" i="1" s="1"/>
  <c r="AO133" i="1"/>
  <c r="AU133" i="1" s="1"/>
  <c r="AO250" i="1"/>
  <c r="AR250" i="1" s="1"/>
  <c r="AS250" i="1" s="1"/>
  <c r="AO324" i="1"/>
  <c r="AU324" i="1" s="1"/>
  <c r="AO53" i="1"/>
  <c r="AU53" i="1" s="1"/>
  <c r="AR41" i="1"/>
  <c r="AS41" i="1" s="1"/>
  <c r="AO455" i="1"/>
  <c r="AU455" i="1" s="1"/>
  <c r="AO17" i="1"/>
  <c r="AR17" i="1" s="1"/>
  <c r="AS17" i="1" s="1"/>
  <c r="AO38" i="1"/>
  <c r="AR38" i="1" s="1"/>
  <c r="AS38" i="1" s="1"/>
  <c r="AR115" i="1"/>
  <c r="AS115" i="1" s="1"/>
  <c r="AO389" i="1"/>
  <c r="CK389" i="1" s="1"/>
  <c r="AO446" i="1"/>
  <c r="AU446" i="1" s="1"/>
  <c r="CK566" i="1"/>
  <c r="AU566" i="1"/>
  <c r="AR162" i="1"/>
  <c r="AS162" i="1" s="1"/>
  <c r="AR161" i="1"/>
  <c r="AS161" i="1" s="1"/>
  <c r="AO134" i="1"/>
  <c r="AU134" i="1" s="1"/>
  <c r="AO372" i="1"/>
  <c r="CK372" i="1" s="1"/>
  <c r="AO305" i="1"/>
  <c r="AR305" i="1" s="1"/>
  <c r="AS305" i="1" s="1"/>
  <c r="AO16" i="1"/>
  <c r="AU16" i="1" s="1"/>
  <c r="AO360" i="1"/>
  <c r="AU360" i="1" s="1"/>
  <c r="AO532" i="1"/>
  <c r="CK532" i="1" s="1"/>
  <c r="AR13" i="1"/>
  <c r="AS13" i="1" s="1"/>
  <c r="AO51" i="1"/>
  <c r="AU51" i="1" s="1"/>
  <c r="AO169" i="1"/>
  <c r="AU169" i="1" s="1"/>
  <c r="AO300" i="1"/>
  <c r="AR300" i="1" s="1"/>
  <c r="AS300" i="1" s="1"/>
  <c r="AO44" i="1"/>
  <c r="AR44" i="1" s="1"/>
  <c r="AS44" i="1" s="1"/>
  <c r="AO148" i="1"/>
  <c r="AU148" i="1" s="1"/>
  <c r="AO292" i="1"/>
  <c r="AU292" i="1" s="1"/>
  <c r="AO338" i="1"/>
  <c r="AU338" i="1" s="1"/>
  <c r="AR364" i="1"/>
  <c r="AS364" i="1" s="1"/>
  <c r="AO315" i="1"/>
  <c r="AU315" i="1" s="1"/>
  <c r="AO350" i="1"/>
  <c r="AU350" i="1" s="1"/>
  <c r="AO138" i="1"/>
  <c r="AU138" i="1" s="1"/>
  <c r="AO251" i="1"/>
  <c r="AR251" i="1" s="1"/>
  <c r="AS251" i="1" s="1"/>
  <c r="AO102" i="1"/>
  <c r="AU102" i="1" s="1"/>
  <c r="AO477" i="1"/>
  <c r="AU477" i="1" s="1"/>
  <c r="AO281" i="1"/>
  <c r="AU281" i="1" s="1"/>
  <c r="AO322" i="1"/>
  <c r="AU322" i="1" s="1"/>
  <c r="AO483" i="1"/>
  <c r="AR483" i="1" s="1"/>
  <c r="AS483" i="1" s="1"/>
  <c r="AO479" i="1"/>
  <c r="AU479" i="1" s="1"/>
  <c r="AO135" i="1"/>
  <c r="AU135" i="1" s="1"/>
  <c r="AO577" i="1"/>
  <c r="AR577" i="1" s="1"/>
  <c r="AS577" i="1" s="1"/>
  <c r="AO98" i="1"/>
  <c r="AU98" i="1" s="1"/>
  <c r="AO456" i="1"/>
  <c r="AU456" i="1" s="1"/>
  <c r="AO285" i="1"/>
  <c r="AR285" i="1" s="1"/>
  <c r="AS285" i="1" s="1"/>
  <c r="AO179" i="1"/>
  <c r="AR179" i="1" s="1"/>
  <c r="AS179" i="1" s="1"/>
  <c r="AO132" i="1"/>
  <c r="AU132" i="1" s="1"/>
  <c r="AO219" i="1"/>
  <c r="CK219" i="1" s="1"/>
  <c r="AO59" i="1"/>
  <c r="AR59" i="1" s="1"/>
  <c r="AS59" i="1" s="1"/>
  <c r="AO210" i="1"/>
  <c r="AR210" i="1" s="1"/>
  <c r="AS210" i="1" s="1"/>
  <c r="AO193" i="1"/>
  <c r="AR193" i="1" s="1"/>
  <c r="AS193" i="1" s="1"/>
  <c r="AO358" i="1"/>
  <c r="AU358" i="1" s="1"/>
  <c r="AO491" i="1"/>
  <c r="CK491" i="1" s="1"/>
  <c r="AO448" i="1"/>
  <c r="CK448" i="1" s="1"/>
  <c r="AO125" i="1"/>
  <c r="AU125" i="1" s="1"/>
  <c r="AR243" i="1"/>
  <c r="AS243" i="1" s="1"/>
  <c r="AO103" i="1"/>
  <c r="AU103" i="1" s="1"/>
  <c r="AR247" i="1"/>
  <c r="AS247" i="1" s="1"/>
  <c r="AO457" i="1"/>
  <c r="AU457" i="1" s="1"/>
  <c r="AO142" i="1"/>
  <c r="AU142" i="1" s="1"/>
  <c r="AO349" i="1"/>
  <c r="AU349" i="1" s="1"/>
  <c r="AO447" i="1"/>
  <c r="AU447" i="1" s="1"/>
  <c r="AO299" i="1"/>
  <c r="AR299" i="1" s="1"/>
  <c r="AS299" i="1" s="1"/>
  <c r="AO220" i="1"/>
  <c r="AR220" i="1" s="1"/>
  <c r="AS220" i="1" s="1"/>
  <c r="AO36" i="1"/>
  <c r="AU36" i="1" s="1"/>
  <c r="AO344" i="1"/>
  <c r="CK344" i="1" s="1"/>
  <c r="AO298" i="1"/>
  <c r="AR298" i="1" s="1"/>
  <c r="AS298" i="1" s="1"/>
  <c r="AO88" i="1"/>
  <c r="AU88" i="1" s="1"/>
  <c r="AO89" i="1"/>
  <c r="AU89" i="1" s="1"/>
  <c r="AR201" i="1"/>
  <c r="AS201" i="1" s="1"/>
  <c r="AO55" i="1"/>
  <c r="AU55" i="1" s="1"/>
  <c r="AO445" i="1"/>
  <c r="AU445" i="1" s="1"/>
  <c r="AO435" i="1"/>
  <c r="AR435" i="1" s="1"/>
  <c r="AS435" i="1" s="1"/>
  <c r="AO433" i="1"/>
  <c r="AU433" i="1" s="1"/>
  <c r="AR567" i="1"/>
  <c r="AS567" i="1" s="1"/>
  <c r="AO48" i="1"/>
  <c r="AR48" i="1" s="1"/>
  <c r="AS48" i="1" s="1"/>
  <c r="AO211" i="1"/>
  <c r="AR211" i="1" s="1"/>
  <c r="AS211" i="1" s="1"/>
  <c r="AO576" i="1"/>
  <c r="AR576" i="1" s="1"/>
  <c r="AS576" i="1" s="1"/>
  <c r="AO185" i="1"/>
  <c r="AR185" i="1" s="1"/>
  <c r="AS185" i="1" s="1"/>
  <c r="AO572" i="1"/>
  <c r="CK572" i="1" s="1"/>
  <c r="AO366" i="1"/>
  <c r="AR366" i="1" s="1"/>
  <c r="AS366" i="1" s="1"/>
  <c r="AO172" i="1"/>
  <c r="AR172" i="1" s="1"/>
  <c r="AS172" i="1" s="1"/>
  <c r="AO304" i="1"/>
  <c r="AR304" i="1" s="1"/>
  <c r="AS304" i="1" s="1"/>
  <c r="AO392" i="1"/>
  <c r="CK392" i="1" s="1"/>
  <c r="AO342" i="1"/>
  <c r="AR342" i="1" s="1"/>
  <c r="AS342" i="1" s="1"/>
  <c r="AO252" i="1"/>
  <c r="CK252" i="1" s="1"/>
  <c r="CK18" i="1"/>
  <c r="AO136" i="1"/>
  <c r="AU136" i="1" s="1"/>
  <c r="AR246" i="1"/>
  <c r="AS246" i="1" s="1"/>
  <c r="AO441" i="1"/>
  <c r="AU441" i="1" s="1"/>
  <c r="AO321" i="1"/>
  <c r="AU321" i="1" s="1"/>
  <c r="AO336" i="1"/>
  <c r="AR336" i="1" s="1"/>
  <c r="AS336" i="1" s="1"/>
  <c r="AO241" i="1"/>
  <c r="AR241" i="1" s="1"/>
  <c r="AS241" i="1" s="1"/>
  <c r="AO310" i="1"/>
  <c r="AU310" i="1" s="1"/>
  <c r="AR496" i="1"/>
  <c r="AS496" i="1" s="1"/>
  <c r="AO242" i="1"/>
  <c r="CK242" i="1" s="1"/>
  <c r="AO462" i="1"/>
  <c r="AU462" i="1" s="1"/>
  <c r="AO124" i="1"/>
  <c r="AU124" i="1" s="1"/>
  <c r="AO437" i="1"/>
  <c r="CK437" i="1" s="1"/>
  <c r="AO438" i="1"/>
  <c r="AR438" i="1" s="1"/>
  <c r="AS438" i="1" s="1"/>
  <c r="AO463" i="1"/>
  <c r="AU463" i="1" s="1"/>
  <c r="AO35" i="1"/>
  <c r="AU35" i="1" s="1"/>
  <c r="AO249" i="1"/>
  <c r="CK249" i="1" s="1"/>
  <c r="AR104" i="1"/>
  <c r="AS104" i="1" s="1"/>
  <c r="BH457" i="4"/>
  <c r="AO326" i="1"/>
  <c r="AR326" i="1" s="1"/>
  <c r="AS326" i="1" s="1"/>
  <c r="CK431" i="1"/>
  <c r="AO451" i="1"/>
  <c r="AU451" i="1" s="1"/>
  <c r="AO391" i="1"/>
  <c r="AU391" i="1" s="1"/>
  <c r="AO116" i="1"/>
  <c r="AU116" i="1" s="1"/>
  <c r="AO365" i="1"/>
  <c r="AU365" i="1" s="1"/>
  <c r="AO461" i="1"/>
  <c r="AU461" i="1" s="1"/>
  <c r="AR244" i="1"/>
  <c r="AS244" i="1" s="1"/>
  <c r="CK99" i="1"/>
  <c r="AO7" i="1"/>
  <c r="AU7" i="1" s="1"/>
  <c r="AR570" i="1"/>
  <c r="AS570" i="1" s="1"/>
  <c r="AR312" i="1"/>
  <c r="AS312" i="1" s="1"/>
  <c r="AR523" i="1"/>
  <c r="AS523" i="1" s="1"/>
  <c r="AR559" i="1"/>
  <c r="AS559" i="1" s="1"/>
  <c r="AR409" i="1"/>
  <c r="AS409" i="1" s="1"/>
  <c r="AR154" i="1"/>
  <c r="AS154" i="1" s="1"/>
  <c r="AR31" i="1"/>
  <c r="AS31" i="1" s="1"/>
  <c r="AR522" i="1"/>
  <c r="AS522" i="1" s="1"/>
  <c r="AR20" i="1"/>
  <c r="AS20" i="1" s="1"/>
  <c r="AR507" i="1"/>
  <c r="AS507" i="1" s="1"/>
  <c r="CK560" i="1"/>
  <c r="AU560" i="1"/>
  <c r="BH985" i="4"/>
  <c r="BH678" i="4"/>
  <c r="BH1070" i="4"/>
  <c r="BH934" i="4"/>
  <c r="BH539" i="4"/>
  <c r="BH70" i="4"/>
  <c r="BH1015" i="4"/>
  <c r="BH1056" i="4"/>
  <c r="BH49" i="4"/>
  <c r="BH1062" i="4"/>
  <c r="BH1071" i="4"/>
  <c r="BH454" i="4"/>
  <c r="BH682" i="4"/>
  <c r="BH1069" i="4"/>
  <c r="BH455" i="4"/>
  <c r="BH1012" i="4"/>
  <c r="BH507" i="4"/>
  <c r="BH840" i="4"/>
  <c r="BH736" i="4"/>
  <c r="BH1058" i="4"/>
  <c r="BH938" i="4"/>
  <c r="BH927" i="4"/>
  <c r="BH120" i="4"/>
  <c r="BH817" i="4"/>
  <c r="BH681" i="4"/>
  <c r="BH680" i="4"/>
  <c r="BH1068" i="4"/>
  <c r="BH679" i="4"/>
  <c r="BH470" i="4"/>
  <c r="BH986" i="4"/>
  <c r="BH956" i="4"/>
  <c r="BH473" i="4"/>
  <c r="AD177" i="1"/>
  <c r="AE177" i="1" s="1"/>
  <c r="AF177" i="1" s="1"/>
  <c r="AG177" i="1" s="1"/>
  <c r="AH177" i="1" s="1"/>
  <c r="AI177" i="1" s="1"/>
  <c r="AJ177" i="1" s="1"/>
  <c r="AK177" i="1" s="1"/>
  <c r="AL177" i="1" s="1"/>
  <c r="AM177" i="1" s="1"/>
  <c r="AN177" i="1" s="1"/>
  <c r="AD202" i="1"/>
  <c r="AE202" i="1" s="1"/>
  <c r="AF202" i="1" s="1"/>
  <c r="AG202" i="1" s="1"/>
  <c r="AH202" i="1" s="1"/>
  <c r="AI202" i="1" s="1"/>
  <c r="AJ202" i="1" s="1"/>
  <c r="AK202" i="1" s="1"/>
  <c r="AL202" i="1" s="1"/>
  <c r="AM202" i="1" s="1"/>
  <c r="AN202" i="1" s="1"/>
  <c r="AD157" i="1"/>
  <c r="AE157" i="1" s="1"/>
  <c r="AF157" i="1" s="1"/>
  <c r="AG157" i="1" s="1"/>
  <c r="AH157" i="1" s="1"/>
  <c r="AI157" i="1" s="1"/>
  <c r="AJ157" i="1" s="1"/>
  <c r="AK157" i="1" s="1"/>
  <c r="AL157" i="1" s="1"/>
  <c r="AM157" i="1" s="1"/>
  <c r="AN157" i="1" s="1"/>
  <c r="AD191" i="1"/>
  <c r="AE191" i="1" s="1"/>
  <c r="AF191" i="1" s="1"/>
  <c r="AG191" i="1" s="1"/>
  <c r="AH191" i="1" s="1"/>
  <c r="AI191" i="1" s="1"/>
  <c r="AJ191" i="1" s="1"/>
  <c r="AK191" i="1" s="1"/>
  <c r="AL191" i="1" s="1"/>
  <c r="AM191" i="1" s="1"/>
  <c r="AN191" i="1" s="1"/>
  <c r="AD218" i="1"/>
  <c r="AE218" i="1" s="1"/>
  <c r="AF218" i="1" s="1"/>
  <c r="AG218" i="1" s="1"/>
  <c r="AH218" i="1" s="1"/>
  <c r="AI218" i="1" s="1"/>
  <c r="AJ218" i="1" s="1"/>
  <c r="AK218" i="1" s="1"/>
  <c r="AL218" i="1" s="1"/>
  <c r="AM218" i="1" s="1"/>
  <c r="AN218" i="1" s="1"/>
  <c r="AD119" i="1"/>
  <c r="AE119" i="1" s="1"/>
  <c r="AF119" i="1" s="1"/>
  <c r="AG119" i="1" s="1"/>
  <c r="AH119" i="1" s="1"/>
  <c r="AI119" i="1" s="1"/>
  <c r="AJ119" i="1" s="1"/>
  <c r="AK119" i="1" s="1"/>
  <c r="AL119" i="1" s="1"/>
  <c r="AM119" i="1" s="1"/>
  <c r="AN119" i="1" s="1"/>
  <c r="AD470" i="1"/>
  <c r="AE470" i="1" s="1"/>
  <c r="AF470" i="1" s="1"/>
  <c r="AG470" i="1" s="1"/>
  <c r="AH470" i="1" s="1"/>
  <c r="AI470" i="1" s="1"/>
  <c r="AJ470" i="1" s="1"/>
  <c r="AK470" i="1" s="1"/>
  <c r="AL470" i="1" s="1"/>
  <c r="AM470" i="1" s="1"/>
  <c r="AN470" i="1" s="1"/>
  <c r="AD429" i="1"/>
  <c r="AE429" i="1" s="1"/>
  <c r="AF429" i="1" s="1"/>
  <c r="AG429" i="1" s="1"/>
  <c r="AH429" i="1" s="1"/>
  <c r="AI429" i="1" s="1"/>
  <c r="AJ429" i="1" s="1"/>
  <c r="AK429" i="1" s="1"/>
  <c r="AL429" i="1" s="1"/>
  <c r="AM429" i="1" s="1"/>
  <c r="AN429" i="1" s="1"/>
  <c r="AD274" i="1"/>
  <c r="AE274" i="1" s="1"/>
  <c r="AF274" i="1" s="1"/>
  <c r="AG274" i="1" s="1"/>
  <c r="AH274" i="1" s="1"/>
  <c r="AI274" i="1" s="1"/>
  <c r="AJ274" i="1" s="1"/>
  <c r="AK274" i="1" s="1"/>
  <c r="AL274" i="1" s="1"/>
  <c r="AM274" i="1" s="1"/>
  <c r="AN274" i="1" s="1"/>
  <c r="AD215" i="1"/>
  <c r="AE215" i="1" s="1"/>
  <c r="AF215" i="1" s="1"/>
  <c r="AG215" i="1" s="1"/>
  <c r="AH215" i="1" s="1"/>
  <c r="AI215" i="1" s="1"/>
  <c r="AJ215" i="1" s="1"/>
  <c r="AK215" i="1" s="1"/>
  <c r="AL215" i="1" s="1"/>
  <c r="AM215" i="1" s="1"/>
  <c r="AN215" i="1" s="1"/>
  <c r="AD286" i="1"/>
  <c r="AE286" i="1" s="1"/>
  <c r="AF286" i="1" s="1"/>
  <c r="AG286" i="1" s="1"/>
  <c r="AH286" i="1" s="1"/>
  <c r="AI286" i="1" s="1"/>
  <c r="AJ286" i="1" s="1"/>
  <c r="AK286" i="1" s="1"/>
  <c r="AL286" i="1" s="1"/>
  <c r="AM286" i="1" s="1"/>
  <c r="AN286" i="1" s="1"/>
  <c r="AD278" i="1"/>
  <c r="AE278" i="1" s="1"/>
  <c r="AF278" i="1" s="1"/>
  <c r="AG278" i="1" s="1"/>
  <c r="AH278" i="1" s="1"/>
  <c r="AI278" i="1" s="1"/>
  <c r="AJ278" i="1" s="1"/>
  <c r="AK278" i="1" s="1"/>
  <c r="AL278" i="1" s="1"/>
  <c r="AM278" i="1" s="1"/>
  <c r="AN278" i="1" s="1"/>
  <c r="AD498" i="1"/>
  <c r="AE498" i="1" s="1"/>
  <c r="AF498" i="1" s="1"/>
  <c r="AG498" i="1" s="1"/>
  <c r="AH498" i="1" s="1"/>
  <c r="AI498" i="1" s="1"/>
  <c r="AJ498" i="1" s="1"/>
  <c r="AK498" i="1" s="1"/>
  <c r="AL498" i="1" s="1"/>
  <c r="AM498" i="1" s="1"/>
  <c r="AN498" i="1" s="1"/>
  <c r="AD200" i="1"/>
  <c r="AE200" i="1" s="1"/>
  <c r="AF200" i="1" s="1"/>
  <c r="AG200" i="1" s="1"/>
  <c r="AH200" i="1" s="1"/>
  <c r="AI200" i="1" s="1"/>
  <c r="AJ200" i="1" s="1"/>
  <c r="AK200" i="1" s="1"/>
  <c r="AL200" i="1" s="1"/>
  <c r="AM200" i="1" s="1"/>
  <c r="AN200" i="1" s="1"/>
  <c r="AD379" i="1"/>
  <c r="AE379" i="1" s="1"/>
  <c r="AF379" i="1" s="1"/>
  <c r="AG379" i="1" s="1"/>
  <c r="AH379" i="1" s="1"/>
  <c r="AI379" i="1" s="1"/>
  <c r="AJ379" i="1" s="1"/>
  <c r="AK379" i="1" s="1"/>
  <c r="AL379" i="1" s="1"/>
  <c r="AM379" i="1" s="1"/>
  <c r="AN379" i="1" s="1"/>
  <c r="AD111" i="1"/>
  <c r="AE111" i="1" s="1"/>
  <c r="AF111" i="1" s="1"/>
  <c r="AG111" i="1" s="1"/>
  <c r="AH111" i="1" s="1"/>
  <c r="AI111" i="1" s="1"/>
  <c r="AJ111" i="1" s="1"/>
  <c r="AK111" i="1" s="1"/>
  <c r="AL111" i="1" s="1"/>
  <c r="AD293" i="1"/>
  <c r="AE293" i="1" s="1"/>
  <c r="AF293" i="1" s="1"/>
  <c r="AG293" i="1" s="1"/>
  <c r="AH293" i="1" s="1"/>
  <c r="AI293" i="1" s="1"/>
  <c r="AJ293" i="1" s="1"/>
  <c r="AK293" i="1" s="1"/>
  <c r="AL293" i="1" s="1"/>
  <c r="AM293" i="1" s="1"/>
  <c r="AN293" i="1" s="1"/>
  <c r="AD267" i="1"/>
  <c r="AE267" i="1" s="1"/>
  <c r="AF267" i="1" s="1"/>
  <c r="AG267" i="1" s="1"/>
  <c r="AH267" i="1" s="1"/>
  <c r="AI267" i="1" s="1"/>
  <c r="AJ267" i="1" s="1"/>
  <c r="AK267" i="1" s="1"/>
  <c r="AL267" i="1" s="1"/>
  <c r="AM267" i="1" s="1"/>
  <c r="AN267" i="1" s="1"/>
  <c r="AD180" i="1"/>
  <c r="AE180" i="1" s="1"/>
  <c r="AF180" i="1" s="1"/>
  <c r="AG180" i="1" s="1"/>
  <c r="AH180" i="1" s="1"/>
  <c r="AI180" i="1" s="1"/>
  <c r="AJ180" i="1" s="1"/>
  <c r="AK180" i="1" s="1"/>
  <c r="AL180" i="1" s="1"/>
  <c r="AM180" i="1" s="1"/>
  <c r="AN180" i="1" s="1"/>
  <c r="AD486" i="1"/>
  <c r="AE486" i="1" s="1"/>
  <c r="AF486" i="1" s="1"/>
  <c r="AG486" i="1" s="1"/>
  <c r="AH486" i="1" s="1"/>
  <c r="AI486" i="1" s="1"/>
  <c r="AJ486" i="1" s="1"/>
  <c r="AK486" i="1" s="1"/>
  <c r="AL486" i="1" s="1"/>
  <c r="AM486" i="1" s="1"/>
  <c r="AN486" i="1" s="1"/>
  <c r="AD189" i="1"/>
  <c r="AE189" i="1" s="1"/>
  <c r="AF189" i="1" s="1"/>
  <c r="AG189" i="1" s="1"/>
  <c r="AH189" i="1" s="1"/>
  <c r="AI189" i="1" s="1"/>
  <c r="AJ189" i="1" s="1"/>
  <c r="AK189" i="1" s="1"/>
  <c r="AL189" i="1" s="1"/>
  <c r="AM189" i="1" s="1"/>
  <c r="AN189" i="1" s="1"/>
  <c r="AD359" i="1"/>
  <c r="AE359" i="1" s="1"/>
  <c r="AF359" i="1" s="1"/>
  <c r="AG359" i="1" s="1"/>
  <c r="AH359" i="1" s="1"/>
  <c r="AI359" i="1" s="1"/>
  <c r="AJ359" i="1" s="1"/>
  <c r="AK359" i="1" s="1"/>
  <c r="AL359" i="1" s="1"/>
  <c r="AM359" i="1" s="1"/>
  <c r="AN359" i="1" s="1"/>
  <c r="AD371" i="1"/>
  <c r="AE371" i="1" s="1"/>
  <c r="AF371" i="1" s="1"/>
  <c r="AG371" i="1" s="1"/>
  <c r="AH371" i="1" s="1"/>
  <c r="AI371" i="1" s="1"/>
  <c r="AJ371" i="1" s="1"/>
  <c r="AK371" i="1" s="1"/>
  <c r="AL371" i="1" s="1"/>
  <c r="AM371" i="1" s="1"/>
  <c r="AN371" i="1" s="1"/>
  <c r="AD352" i="1"/>
  <c r="AE352" i="1" s="1"/>
  <c r="AF352" i="1" s="1"/>
  <c r="AG352" i="1" s="1"/>
  <c r="AH352" i="1" s="1"/>
  <c r="AI352" i="1" s="1"/>
  <c r="AJ352" i="1" s="1"/>
  <c r="AK352" i="1" s="1"/>
  <c r="AL352" i="1" s="1"/>
  <c r="AM352" i="1" s="1"/>
  <c r="AN352" i="1" s="1"/>
  <c r="AD406" i="1"/>
  <c r="AE406" i="1" s="1"/>
  <c r="AF406" i="1" s="1"/>
  <c r="AG406" i="1" s="1"/>
  <c r="AH406" i="1" s="1"/>
  <c r="AI406" i="1" s="1"/>
  <c r="AJ406" i="1" s="1"/>
  <c r="AK406" i="1" s="1"/>
  <c r="AL406" i="1" s="1"/>
  <c r="AM406" i="1" s="1"/>
  <c r="AN406" i="1" s="1"/>
  <c r="AD271" i="1"/>
  <c r="AE271" i="1" s="1"/>
  <c r="AF271" i="1" s="1"/>
  <c r="AG271" i="1" s="1"/>
  <c r="AH271" i="1" s="1"/>
  <c r="AI271" i="1" s="1"/>
  <c r="AJ271" i="1" s="1"/>
  <c r="AK271" i="1" s="1"/>
  <c r="AL271" i="1" s="1"/>
  <c r="AM271" i="1" s="1"/>
  <c r="AN271" i="1" s="1"/>
  <c r="AD262" i="1"/>
  <c r="AE262" i="1" s="1"/>
  <c r="AF262" i="1" s="1"/>
  <c r="AG262" i="1" s="1"/>
  <c r="AH262" i="1" s="1"/>
  <c r="AI262" i="1" s="1"/>
  <c r="AJ262" i="1" s="1"/>
  <c r="AK262" i="1" s="1"/>
  <c r="AL262" i="1" s="1"/>
  <c r="AM262" i="1" s="1"/>
  <c r="AN262" i="1" s="1"/>
  <c r="AD95" i="1"/>
  <c r="AE95" i="1" s="1"/>
  <c r="AF95" i="1" s="1"/>
  <c r="AG95" i="1" s="1"/>
  <c r="AH95" i="1" s="1"/>
  <c r="AI95" i="1" s="1"/>
  <c r="AJ95" i="1" s="1"/>
  <c r="AK95" i="1" s="1"/>
  <c r="AL95" i="1" s="1"/>
  <c r="AM95" i="1" s="1"/>
  <c r="AN95" i="1" s="1"/>
  <c r="AD413" i="1"/>
  <c r="AE413" i="1" s="1"/>
  <c r="AF413" i="1" s="1"/>
  <c r="AG413" i="1" s="1"/>
  <c r="AH413" i="1" s="1"/>
  <c r="AI413" i="1" s="1"/>
  <c r="AJ413" i="1" s="1"/>
  <c r="AK413" i="1" s="1"/>
  <c r="AL413" i="1" s="1"/>
  <c r="AM413" i="1" s="1"/>
  <c r="AN413" i="1" s="1"/>
  <c r="AD183" i="1"/>
  <c r="AE183" i="1" s="1"/>
  <c r="AF183" i="1" s="1"/>
  <c r="AG183" i="1" s="1"/>
  <c r="AH183" i="1" s="1"/>
  <c r="AI183" i="1" s="1"/>
  <c r="AJ183" i="1" s="1"/>
  <c r="AK183" i="1" s="1"/>
  <c r="AL183" i="1" s="1"/>
  <c r="AM183" i="1" s="1"/>
  <c r="AN183" i="1" s="1"/>
  <c r="AD203" i="1"/>
  <c r="AE203" i="1" s="1"/>
  <c r="AF203" i="1" s="1"/>
  <c r="AG203" i="1" s="1"/>
  <c r="AH203" i="1" s="1"/>
  <c r="AI203" i="1" s="1"/>
  <c r="AJ203" i="1" s="1"/>
  <c r="AK203" i="1" s="1"/>
  <c r="AL203" i="1" s="1"/>
  <c r="AM203" i="1" s="1"/>
  <c r="AN203" i="1" s="1"/>
  <c r="AD176" i="1"/>
  <c r="AE176" i="1" s="1"/>
  <c r="AF176" i="1" s="1"/>
  <c r="AG176" i="1" s="1"/>
  <c r="AH176" i="1" s="1"/>
  <c r="AI176" i="1" s="1"/>
  <c r="AJ176" i="1" s="1"/>
  <c r="AK176" i="1" s="1"/>
  <c r="AL176" i="1" s="1"/>
  <c r="AM176" i="1" s="1"/>
  <c r="AN176" i="1" s="1"/>
  <c r="AD91" i="1"/>
  <c r="AE91" i="1" s="1"/>
  <c r="AF91" i="1" s="1"/>
  <c r="AG91" i="1" s="1"/>
  <c r="AH91" i="1" s="1"/>
  <c r="AI91" i="1" s="1"/>
  <c r="AJ91" i="1" s="1"/>
  <c r="AK91" i="1" s="1"/>
  <c r="AL91" i="1" s="1"/>
  <c r="AM91" i="1" s="1"/>
  <c r="AN91" i="1" s="1"/>
  <c r="AD260" i="1"/>
  <c r="AE260" i="1" s="1"/>
  <c r="AF260" i="1" s="1"/>
  <c r="AG260" i="1" s="1"/>
  <c r="AH260" i="1" s="1"/>
  <c r="AI260" i="1" s="1"/>
  <c r="AJ260" i="1" s="1"/>
  <c r="AK260" i="1" s="1"/>
  <c r="AL260" i="1" s="1"/>
  <c r="AM260" i="1" s="1"/>
  <c r="AN260" i="1" s="1"/>
  <c r="AD475" i="1"/>
  <c r="AE475" i="1" s="1"/>
  <c r="AF475" i="1" s="1"/>
  <c r="AG475" i="1" s="1"/>
  <c r="AH475" i="1" s="1"/>
  <c r="AI475" i="1" s="1"/>
  <c r="AJ475" i="1" s="1"/>
  <c r="AK475" i="1" s="1"/>
  <c r="AL475" i="1" s="1"/>
  <c r="AM475" i="1" s="1"/>
  <c r="AN475" i="1" s="1"/>
  <c r="AD255" i="1"/>
  <c r="AE255" i="1" s="1"/>
  <c r="AF255" i="1" s="1"/>
  <c r="AG255" i="1" s="1"/>
  <c r="AH255" i="1" s="1"/>
  <c r="AI255" i="1" s="1"/>
  <c r="AJ255" i="1" s="1"/>
  <c r="AK255" i="1" s="1"/>
  <c r="AL255" i="1" s="1"/>
  <c r="AM255" i="1" s="1"/>
  <c r="AN255" i="1" s="1"/>
  <c r="AD363" i="1"/>
  <c r="AE363" i="1" s="1"/>
  <c r="AF363" i="1" s="1"/>
  <c r="AG363" i="1" s="1"/>
  <c r="AH363" i="1" s="1"/>
  <c r="AI363" i="1" s="1"/>
  <c r="AJ363" i="1" s="1"/>
  <c r="AK363" i="1" s="1"/>
  <c r="AL363" i="1" s="1"/>
  <c r="AM363" i="1" s="1"/>
  <c r="AN363" i="1" s="1"/>
  <c r="AD467" i="1"/>
  <c r="AE467" i="1" s="1"/>
  <c r="AF467" i="1" s="1"/>
  <c r="AG467" i="1" s="1"/>
  <c r="AH467" i="1" s="1"/>
  <c r="AI467" i="1" s="1"/>
  <c r="AJ467" i="1" s="1"/>
  <c r="AK467" i="1" s="1"/>
  <c r="AL467" i="1" s="1"/>
  <c r="AM467" i="1" s="1"/>
  <c r="AN467" i="1" s="1"/>
  <c r="AD173" i="1"/>
  <c r="AE173" i="1" s="1"/>
  <c r="AF173" i="1" s="1"/>
  <c r="AG173" i="1" s="1"/>
  <c r="AH173" i="1" s="1"/>
  <c r="AI173" i="1" s="1"/>
  <c r="AJ173" i="1" s="1"/>
  <c r="AK173" i="1" s="1"/>
  <c r="AL173" i="1" s="1"/>
  <c r="AM173" i="1" s="1"/>
  <c r="AN173" i="1" s="1"/>
  <c r="AD256" i="1"/>
  <c r="AE256" i="1" s="1"/>
  <c r="AF256" i="1" s="1"/>
  <c r="AG256" i="1" s="1"/>
  <c r="AH256" i="1" s="1"/>
  <c r="AI256" i="1" s="1"/>
  <c r="AJ256" i="1" s="1"/>
  <c r="AK256" i="1" s="1"/>
  <c r="AL256" i="1" s="1"/>
  <c r="AM256" i="1" s="1"/>
  <c r="AN256" i="1" s="1"/>
  <c r="AD275" i="1"/>
  <c r="AE275" i="1" s="1"/>
  <c r="AF275" i="1" s="1"/>
  <c r="AG275" i="1" s="1"/>
  <c r="AH275" i="1" s="1"/>
  <c r="AI275" i="1" s="1"/>
  <c r="AJ275" i="1" s="1"/>
  <c r="AK275" i="1" s="1"/>
  <c r="AL275" i="1" s="1"/>
  <c r="AM275" i="1" s="1"/>
  <c r="AN275" i="1" s="1"/>
  <c r="AD306" i="1"/>
  <c r="AE306" i="1" s="1"/>
  <c r="AF306" i="1" s="1"/>
  <c r="AG306" i="1" s="1"/>
  <c r="AH306" i="1" s="1"/>
  <c r="AI306" i="1" s="1"/>
  <c r="AJ306" i="1" s="1"/>
  <c r="AK306" i="1" s="1"/>
  <c r="AL306" i="1" s="1"/>
  <c r="AM306" i="1" s="1"/>
  <c r="AN306" i="1" s="1"/>
  <c r="AD112" i="1"/>
  <c r="AE112" i="1" s="1"/>
  <c r="AF112" i="1" s="1"/>
  <c r="AG112" i="1" s="1"/>
  <c r="AH112" i="1" s="1"/>
  <c r="AI112" i="1" s="1"/>
  <c r="AJ112" i="1" s="1"/>
  <c r="AK112" i="1" s="1"/>
  <c r="AL112" i="1" s="1"/>
  <c r="AM112" i="1" s="1"/>
  <c r="AN112" i="1" s="1"/>
  <c r="AD412" i="1"/>
  <c r="AE412" i="1" s="1"/>
  <c r="AF412" i="1" s="1"/>
  <c r="AG412" i="1" s="1"/>
  <c r="AH412" i="1" s="1"/>
  <c r="AI412" i="1" s="1"/>
  <c r="AJ412" i="1" s="1"/>
  <c r="AK412" i="1" s="1"/>
  <c r="AL412" i="1" s="1"/>
  <c r="AM412" i="1" s="1"/>
  <c r="AN412" i="1" s="1"/>
  <c r="AD393" i="1"/>
  <c r="AE393" i="1" s="1"/>
  <c r="AF393" i="1" s="1"/>
  <c r="AG393" i="1" s="1"/>
  <c r="AH393" i="1" s="1"/>
  <c r="AI393" i="1" s="1"/>
  <c r="AJ393" i="1" s="1"/>
  <c r="AK393" i="1" s="1"/>
  <c r="AL393" i="1" s="1"/>
  <c r="AM393" i="1" s="1"/>
  <c r="AN393" i="1" s="1"/>
  <c r="AD297" i="1"/>
  <c r="AE297" i="1" s="1"/>
  <c r="AF297" i="1" s="1"/>
  <c r="AG297" i="1" s="1"/>
  <c r="AH297" i="1" s="1"/>
  <c r="AI297" i="1" s="1"/>
  <c r="AJ297" i="1" s="1"/>
  <c r="AK297" i="1" s="1"/>
  <c r="AL297" i="1" s="1"/>
  <c r="AM297" i="1" s="1"/>
  <c r="AN297" i="1" s="1"/>
  <c r="AD303" i="1"/>
  <c r="AE303" i="1" s="1"/>
  <c r="AF303" i="1" s="1"/>
  <c r="AG303" i="1" s="1"/>
  <c r="AH303" i="1" s="1"/>
  <c r="AI303" i="1" s="1"/>
  <c r="AJ303" i="1" s="1"/>
  <c r="AK303" i="1" s="1"/>
  <c r="AL303" i="1" s="1"/>
  <c r="AM303" i="1" s="1"/>
  <c r="AN303" i="1" s="1"/>
  <c r="AD376" i="1"/>
  <c r="AE376" i="1" s="1"/>
  <c r="AF376" i="1" s="1"/>
  <c r="AG376" i="1" s="1"/>
  <c r="AH376" i="1" s="1"/>
  <c r="AI376" i="1" s="1"/>
  <c r="AJ376" i="1" s="1"/>
  <c r="AK376" i="1" s="1"/>
  <c r="AL376" i="1" s="1"/>
  <c r="AM376" i="1" s="1"/>
  <c r="AN376" i="1" s="1"/>
  <c r="AD373" i="1"/>
  <c r="AE373" i="1" s="1"/>
  <c r="AF373" i="1" s="1"/>
  <c r="AG373" i="1" s="1"/>
  <c r="AH373" i="1" s="1"/>
  <c r="AI373" i="1" s="1"/>
  <c r="AJ373" i="1" s="1"/>
  <c r="AK373" i="1" s="1"/>
  <c r="AL373" i="1" s="1"/>
  <c r="AM373" i="1" s="1"/>
  <c r="AN373" i="1" s="1"/>
  <c r="AD216" i="1"/>
  <c r="AE216" i="1" s="1"/>
  <c r="AF216" i="1" s="1"/>
  <c r="AG216" i="1" s="1"/>
  <c r="AH216" i="1" s="1"/>
  <c r="AI216" i="1" s="1"/>
  <c r="AJ216" i="1" s="1"/>
  <c r="AK216" i="1" s="1"/>
  <c r="AL216" i="1" s="1"/>
  <c r="AM216" i="1" s="1"/>
  <c r="AN216" i="1" s="1"/>
  <c r="AD266" i="1"/>
  <c r="AE266" i="1" s="1"/>
  <c r="AF266" i="1" s="1"/>
  <c r="AG266" i="1" s="1"/>
  <c r="AH266" i="1" s="1"/>
  <c r="AI266" i="1" s="1"/>
  <c r="AJ266" i="1" s="1"/>
  <c r="AK266" i="1" s="1"/>
  <c r="AL266" i="1" s="1"/>
  <c r="AM266" i="1" s="1"/>
  <c r="AN266" i="1" s="1"/>
  <c r="AD356" i="1"/>
  <c r="AE356" i="1" s="1"/>
  <c r="AF356" i="1" s="1"/>
  <c r="AG356" i="1" s="1"/>
  <c r="AH356" i="1" s="1"/>
  <c r="AI356" i="1" s="1"/>
  <c r="AJ356" i="1" s="1"/>
  <c r="AK356" i="1" s="1"/>
  <c r="AL356" i="1" s="1"/>
  <c r="AM356" i="1" s="1"/>
  <c r="AN356" i="1" s="1"/>
  <c r="AD63" i="1"/>
  <c r="AE63" i="1" s="1"/>
  <c r="AF63" i="1" s="1"/>
  <c r="AG63" i="1" s="1"/>
  <c r="AH63" i="1" s="1"/>
  <c r="AI63" i="1" s="1"/>
  <c r="AJ63" i="1" s="1"/>
  <c r="AK63" i="1" s="1"/>
  <c r="AL63" i="1" s="1"/>
  <c r="AM63" i="1" s="1"/>
  <c r="AN63" i="1" s="1"/>
  <c r="AD175" i="1"/>
  <c r="AE175" i="1" s="1"/>
  <c r="AF175" i="1" s="1"/>
  <c r="AG175" i="1" s="1"/>
  <c r="AH175" i="1" s="1"/>
  <c r="AI175" i="1" s="1"/>
  <c r="AJ175" i="1" s="1"/>
  <c r="AK175" i="1" s="1"/>
  <c r="AL175" i="1" s="1"/>
  <c r="AM175" i="1" s="1"/>
  <c r="AN175" i="1" s="1"/>
  <c r="AD430" i="1"/>
  <c r="AE430" i="1" s="1"/>
  <c r="AF430" i="1" s="1"/>
  <c r="AG430" i="1" s="1"/>
  <c r="AH430" i="1" s="1"/>
  <c r="AI430" i="1" s="1"/>
  <c r="AJ430" i="1" s="1"/>
  <c r="AK430" i="1" s="1"/>
  <c r="AL430" i="1" s="1"/>
  <c r="AM430" i="1" s="1"/>
  <c r="AN430" i="1" s="1"/>
  <c r="AD217" i="1"/>
  <c r="AE217" i="1" s="1"/>
  <c r="AF217" i="1" s="1"/>
  <c r="AG217" i="1" s="1"/>
  <c r="AH217" i="1" s="1"/>
  <c r="AI217" i="1" s="1"/>
  <c r="AJ217" i="1" s="1"/>
  <c r="AK217" i="1" s="1"/>
  <c r="AL217" i="1" s="1"/>
  <c r="AM217" i="1" s="1"/>
  <c r="AN217" i="1" s="1"/>
  <c r="AD383" i="1"/>
  <c r="AE383" i="1" s="1"/>
  <c r="AF383" i="1" s="1"/>
  <c r="AG383" i="1" s="1"/>
  <c r="AH383" i="1" s="1"/>
  <c r="AI383" i="1" s="1"/>
  <c r="AJ383" i="1" s="1"/>
  <c r="AK383" i="1" s="1"/>
  <c r="AL383" i="1" s="1"/>
  <c r="AM383" i="1" s="1"/>
  <c r="AN383" i="1" s="1"/>
  <c r="AD280" i="1"/>
  <c r="AE280" i="1" s="1"/>
  <c r="AF280" i="1" s="1"/>
  <c r="AG280" i="1" s="1"/>
  <c r="AH280" i="1" s="1"/>
  <c r="AI280" i="1" s="1"/>
  <c r="AJ280" i="1" s="1"/>
  <c r="AK280" i="1" s="1"/>
  <c r="AL280" i="1" s="1"/>
  <c r="AM280" i="1" s="1"/>
  <c r="AN280" i="1" s="1"/>
  <c r="AD414" i="1"/>
  <c r="AE414" i="1" s="1"/>
  <c r="AF414" i="1" s="1"/>
  <c r="AG414" i="1" s="1"/>
  <c r="AH414" i="1" s="1"/>
  <c r="AI414" i="1" s="1"/>
  <c r="AJ414" i="1" s="1"/>
  <c r="AK414" i="1" s="1"/>
  <c r="AL414" i="1" s="1"/>
  <c r="AM414" i="1" s="1"/>
  <c r="AN414" i="1" s="1"/>
  <c r="AD427" i="1"/>
  <c r="AE427" i="1" s="1"/>
  <c r="AF427" i="1" s="1"/>
  <c r="AG427" i="1" s="1"/>
  <c r="AH427" i="1" s="1"/>
  <c r="AI427" i="1" s="1"/>
  <c r="AJ427" i="1" s="1"/>
  <c r="AK427" i="1" s="1"/>
  <c r="AL427" i="1" s="1"/>
  <c r="AM427" i="1" s="1"/>
  <c r="AN427" i="1" s="1"/>
  <c r="AD400" i="1"/>
  <c r="AE400" i="1" s="1"/>
  <c r="AF400" i="1" s="1"/>
  <c r="AG400" i="1" s="1"/>
  <c r="AH400" i="1" s="1"/>
  <c r="AI400" i="1" s="1"/>
  <c r="AJ400" i="1" s="1"/>
  <c r="AK400" i="1" s="1"/>
  <c r="AL400" i="1" s="1"/>
  <c r="AM400" i="1" s="1"/>
  <c r="AD42" i="1"/>
  <c r="AE42" i="1" s="1"/>
  <c r="AF42" i="1" s="1"/>
  <c r="AG42" i="1" s="1"/>
  <c r="AH42" i="1" s="1"/>
  <c r="AI42" i="1" s="1"/>
  <c r="AJ42" i="1" s="1"/>
  <c r="AK42" i="1" s="1"/>
  <c r="AL42" i="1" s="1"/>
  <c r="AM42" i="1" s="1"/>
  <c r="AN42" i="1" s="1"/>
  <c r="AD188" i="1"/>
  <c r="AE188" i="1" s="1"/>
  <c r="AF188" i="1" s="1"/>
  <c r="AG188" i="1" s="1"/>
  <c r="AH188" i="1" s="1"/>
  <c r="AI188" i="1" s="1"/>
  <c r="AJ188" i="1" s="1"/>
  <c r="AK188" i="1" s="1"/>
  <c r="AL188" i="1" s="1"/>
  <c r="AM188" i="1" s="1"/>
  <c r="AN188" i="1" s="1"/>
  <c r="AD178" i="1"/>
  <c r="AE178" i="1" s="1"/>
  <c r="AF178" i="1" s="1"/>
  <c r="AG178" i="1" s="1"/>
  <c r="AH178" i="1" s="1"/>
  <c r="AI178" i="1" s="1"/>
  <c r="AJ178" i="1" s="1"/>
  <c r="AK178" i="1" s="1"/>
  <c r="AL178" i="1" s="1"/>
  <c r="AM178" i="1" s="1"/>
  <c r="AN178" i="1" s="1"/>
  <c r="AD380" i="1"/>
  <c r="AE380" i="1" s="1"/>
  <c r="AF380" i="1" s="1"/>
  <c r="AG380" i="1" s="1"/>
  <c r="AH380" i="1" s="1"/>
  <c r="AI380" i="1" s="1"/>
  <c r="AJ380" i="1" s="1"/>
  <c r="AK380" i="1" s="1"/>
  <c r="AL380" i="1" s="1"/>
  <c r="AD269" i="1"/>
  <c r="AE269" i="1" s="1"/>
  <c r="AF269" i="1" s="1"/>
  <c r="AG269" i="1" s="1"/>
  <c r="AH269" i="1" s="1"/>
  <c r="AI269" i="1" s="1"/>
  <c r="AJ269" i="1" s="1"/>
  <c r="AK269" i="1" s="1"/>
  <c r="AL269" i="1" s="1"/>
  <c r="AM269" i="1" s="1"/>
  <c r="AN269" i="1" s="1"/>
  <c r="AD206" i="1"/>
  <c r="AE206" i="1" s="1"/>
  <c r="AF206" i="1" s="1"/>
  <c r="AG206" i="1" s="1"/>
  <c r="AH206" i="1" s="1"/>
  <c r="AI206" i="1" s="1"/>
  <c r="AJ206" i="1" s="1"/>
  <c r="AK206" i="1" s="1"/>
  <c r="AL206" i="1" s="1"/>
  <c r="AM206" i="1" s="1"/>
  <c r="AN206" i="1" s="1"/>
  <c r="AD472" i="1"/>
  <c r="AE472" i="1" s="1"/>
  <c r="AF472" i="1" s="1"/>
  <c r="AG472" i="1" s="1"/>
  <c r="AH472" i="1" s="1"/>
  <c r="AI472" i="1" s="1"/>
  <c r="AJ472" i="1" s="1"/>
  <c r="AK472" i="1" s="1"/>
  <c r="AL472" i="1" s="1"/>
  <c r="AM472" i="1" s="1"/>
  <c r="AN472" i="1" s="1"/>
  <c r="AD182" i="1"/>
  <c r="AE182" i="1" s="1"/>
  <c r="AF182" i="1" s="1"/>
  <c r="AG182" i="1" s="1"/>
  <c r="AH182" i="1" s="1"/>
  <c r="AI182" i="1" s="1"/>
  <c r="AJ182" i="1" s="1"/>
  <c r="AK182" i="1" s="1"/>
  <c r="AL182" i="1" s="1"/>
  <c r="AM182" i="1" s="1"/>
  <c r="AN182" i="1" s="1"/>
  <c r="AD75" i="1"/>
  <c r="AE75" i="1" s="1"/>
  <c r="AF75" i="1" s="1"/>
  <c r="AG75" i="1" s="1"/>
  <c r="AH75" i="1" s="1"/>
  <c r="AI75" i="1" s="1"/>
  <c r="AJ75" i="1" s="1"/>
  <c r="AK75" i="1" s="1"/>
  <c r="AL75" i="1" s="1"/>
  <c r="AM75" i="1" s="1"/>
  <c r="AN75" i="1" s="1"/>
  <c r="AD361" i="1"/>
  <c r="AE361" i="1" s="1"/>
  <c r="AF361" i="1" s="1"/>
  <c r="AG361" i="1" s="1"/>
  <c r="AH361" i="1" s="1"/>
  <c r="AI361" i="1" s="1"/>
  <c r="AJ361" i="1" s="1"/>
  <c r="AK361" i="1" s="1"/>
  <c r="AL361" i="1" s="1"/>
  <c r="AM361" i="1" s="1"/>
  <c r="AN361" i="1" s="1"/>
  <c r="AD272" i="1"/>
  <c r="AE272" i="1" s="1"/>
  <c r="AF272" i="1" s="1"/>
  <c r="AG272" i="1" s="1"/>
  <c r="AH272" i="1" s="1"/>
  <c r="AI272" i="1" s="1"/>
  <c r="AJ272" i="1" s="1"/>
  <c r="AK272" i="1" s="1"/>
  <c r="AL272" i="1" s="1"/>
  <c r="AM272" i="1" s="1"/>
  <c r="AN272" i="1" s="1"/>
  <c r="AD283" i="1"/>
  <c r="AE283" i="1" s="1"/>
  <c r="AF283" i="1" s="1"/>
  <c r="AG283" i="1" s="1"/>
  <c r="AH283" i="1" s="1"/>
  <c r="AI283" i="1" s="1"/>
  <c r="AJ283" i="1" s="1"/>
  <c r="AK283" i="1" s="1"/>
  <c r="AL283" i="1" s="1"/>
  <c r="AM283" i="1" s="1"/>
  <c r="AN283" i="1" s="1"/>
  <c r="AD170" i="1"/>
  <c r="AE170" i="1" s="1"/>
  <c r="AF170" i="1" s="1"/>
  <c r="AG170" i="1" s="1"/>
  <c r="AH170" i="1" s="1"/>
  <c r="AI170" i="1" s="1"/>
  <c r="AJ170" i="1" s="1"/>
  <c r="AK170" i="1" s="1"/>
  <c r="AL170" i="1" s="1"/>
  <c r="AM170" i="1" s="1"/>
  <c r="AN170" i="1" s="1"/>
  <c r="AD64" i="1"/>
  <c r="AE64" i="1" s="1"/>
  <c r="AF64" i="1" s="1"/>
  <c r="AG64" i="1" s="1"/>
  <c r="AH64" i="1" s="1"/>
  <c r="AI64" i="1" s="1"/>
  <c r="AJ64" i="1" s="1"/>
  <c r="AK64" i="1" s="1"/>
  <c r="AL64" i="1" s="1"/>
  <c r="AM64" i="1" s="1"/>
  <c r="AN64" i="1" s="1"/>
  <c r="AD401" i="1"/>
  <c r="AE401" i="1" s="1"/>
  <c r="AF401" i="1" s="1"/>
  <c r="AG401" i="1" s="1"/>
  <c r="AH401" i="1" s="1"/>
  <c r="AI401" i="1" s="1"/>
  <c r="AJ401" i="1" s="1"/>
  <c r="AK401" i="1" s="1"/>
  <c r="AL401" i="1" s="1"/>
  <c r="AM401" i="1" s="1"/>
  <c r="AN401" i="1" s="1"/>
  <c r="AD473" i="1"/>
  <c r="AE473" i="1" s="1"/>
  <c r="AF473" i="1" s="1"/>
  <c r="AG473" i="1" s="1"/>
  <c r="AH473" i="1" s="1"/>
  <c r="AI473" i="1" s="1"/>
  <c r="AJ473" i="1" s="1"/>
  <c r="AK473" i="1" s="1"/>
  <c r="AL473" i="1" s="1"/>
  <c r="AM473" i="1" s="1"/>
  <c r="AN473" i="1" s="1"/>
  <c r="AD54" i="1"/>
  <c r="AE54" i="1" s="1"/>
  <c r="AF54" i="1" s="1"/>
  <c r="AG54" i="1" s="1"/>
  <c r="AH54" i="1" s="1"/>
  <c r="AI54" i="1" s="1"/>
  <c r="AJ54" i="1" s="1"/>
  <c r="AK54" i="1" s="1"/>
  <c r="AL54" i="1" s="1"/>
  <c r="AM54" i="1" s="1"/>
  <c r="AN54" i="1" s="1"/>
  <c r="AD399" i="1"/>
  <c r="AE399" i="1" s="1"/>
  <c r="AF399" i="1" s="1"/>
  <c r="AG399" i="1" s="1"/>
  <c r="AH399" i="1" s="1"/>
  <c r="AI399" i="1" s="1"/>
  <c r="AJ399" i="1" s="1"/>
  <c r="AK399" i="1" s="1"/>
  <c r="AL399" i="1" s="1"/>
  <c r="AM399" i="1" s="1"/>
  <c r="AN399" i="1" s="1"/>
  <c r="AD396" i="1"/>
  <c r="AE396" i="1" s="1"/>
  <c r="AF396" i="1" s="1"/>
  <c r="AG396" i="1" s="1"/>
  <c r="AH396" i="1" s="1"/>
  <c r="AI396" i="1" s="1"/>
  <c r="AJ396" i="1" s="1"/>
  <c r="AK396" i="1" s="1"/>
  <c r="AL396" i="1" s="1"/>
  <c r="AM396" i="1" s="1"/>
  <c r="AN396" i="1" s="1"/>
  <c r="AD265" i="1"/>
  <c r="AE265" i="1" s="1"/>
  <c r="AF265" i="1" s="1"/>
  <c r="AG265" i="1" s="1"/>
  <c r="AH265" i="1" s="1"/>
  <c r="AI265" i="1" s="1"/>
  <c r="AJ265" i="1" s="1"/>
  <c r="AK265" i="1" s="1"/>
  <c r="AL265" i="1" s="1"/>
  <c r="AM265" i="1" s="1"/>
  <c r="AN265" i="1" s="1"/>
  <c r="AD61" i="1"/>
  <c r="AE61" i="1" s="1"/>
  <c r="AF61" i="1" s="1"/>
  <c r="AG61" i="1" s="1"/>
  <c r="AH61" i="1" s="1"/>
  <c r="AI61" i="1" s="1"/>
  <c r="AJ61" i="1" s="1"/>
  <c r="AK61" i="1" s="1"/>
  <c r="AL61" i="1" s="1"/>
  <c r="AM61" i="1" s="1"/>
  <c r="AN61" i="1" s="1"/>
  <c r="AD369" i="1"/>
  <c r="AE369" i="1" s="1"/>
  <c r="AF369" i="1" s="1"/>
  <c r="AG369" i="1" s="1"/>
  <c r="AH369" i="1" s="1"/>
  <c r="AI369" i="1" s="1"/>
  <c r="AJ369" i="1" s="1"/>
  <c r="AK369" i="1" s="1"/>
  <c r="AL369" i="1" s="1"/>
  <c r="AM369" i="1" s="1"/>
  <c r="AN369" i="1" s="1"/>
  <c r="AD117" i="1"/>
  <c r="AE117" i="1" s="1"/>
  <c r="AF117" i="1" s="1"/>
  <c r="AG117" i="1" s="1"/>
  <c r="AH117" i="1" s="1"/>
  <c r="AI117" i="1" s="1"/>
  <c r="AJ117" i="1" s="1"/>
  <c r="AK117" i="1" s="1"/>
  <c r="AL117" i="1" s="1"/>
  <c r="AM117" i="1" s="1"/>
  <c r="AN117" i="1" s="1"/>
  <c r="AD73" i="1"/>
  <c r="AE73" i="1" s="1"/>
  <c r="AF73" i="1" s="1"/>
  <c r="AG73" i="1" s="1"/>
  <c r="AH73" i="1" s="1"/>
  <c r="AI73" i="1" s="1"/>
  <c r="AJ73" i="1" s="1"/>
  <c r="AK73" i="1" s="1"/>
  <c r="AL73" i="1" s="1"/>
  <c r="AM73" i="1" s="1"/>
  <c r="AN73" i="1" s="1"/>
  <c r="AD270" i="1"/>
  <c r="AE270" i="1" s="1"/>
  <c r="AF270" i="1" s="1"/>
  <c r="AG270" i="1" s="1"/>
  <c r="AH270" i="1" s="1"/>
  <c r="AI270" i="1" s="1"/>
  <c r="AJ270" i="1" s="1"/>
  <c r="AK270" i="1" s="1"/>
  <c r="AL270" i="1" s="1"/>
  <c r="AM270" i="1" s="1"/>
  <c r="AN270" i="1" s="1"/>
  <c r="AD423" i="1"/>
  <c r="AE423" i="1" s="1"/>
  <c r="AF423" i="1" s="1"/>
  <c r="AG423" i="1" s="1"/>
  <c r="AH423" i="1" s="1"/>
  <c r="AI423" i="1" s="1"/>
  <c r="AJ423" i="1" s="1"/>
  <c r="AK423" i="1" s="1"/>
  <c r="AL423" i="1" s="1"/>
  <c r="AM423" i="1" s="1"/>
  <c r="AN423" i="1" s="1"/>
  <c r="AD78" i="1"/>
  <c r="AE78" i="1" s="1"/>
  <c r="AF78" i="1" s="1"/>
  <c r="AG78" i="1" s="1"/>
  <c r="AH78" i="1" s="1"/>
  <c r="AI78" i="1" s="1"/>
  <c r="AJ78" i="1" s="1"/>
  <c r="AK78" i="1" s="1"/>
  <c r="AL78" i="1" s="1"/>
  <c r="AM78" i="1" s="1"/>
  <c r="AN78" i="1" s="1"/>
  <c r="AD468" i="1"/>
  <c r="AE468" i="1" s="1"/>
  <c r="AF468" i="1" s="1"/>
  <c r="AG468" i="1" s="1"/>
  <c r="AH468" i="1" s="1"/>
  <c r="AI468" i="1" s="1"/>
  <c r="AJ468" i="1" s="1"/>
  <c r="AK468" i="1" s="1"/>
  <c r="AL468" i="1" s="1"/>
  <c r="AM468" i="1" s="1"/>
  <c r="AN468" i="1" s="1"/>
  <c r="AD469" i="1"/>
  <c r="AE469" i="1" s="1"/>
  <c r="AF469" i="1" s="1"/>
  <c r="AG469" i="1" s="1"/>
  <c r="AH469" i="1" s="1"/>
  <c r="AI469" i="1" s="1"/>
  <c r="AJ469" i="1" s="1"/>
  <c r="AK469" i="1" s="1"/>
  <c r="AL469" i="1" s="1"/>
  <c r="AM469" i="1" s="1"/>
  <c r="AN469" i="1" s="1"/>
  <c r="AD502" i="1"/>
  <c r="AE502" i="1" s="1"/>
  <c r="AF502" i="1" s="1"/>
  <c r="AG502" i="1" s="1"/>
  <c r="AH502" i="1" s="1"/>
  <c r="AI502" i="1" s="1"/>
  <c r="AJ502" i="1" s="1"/>
  <c r="AK502" i="1" s="1"/>
  <c r="AL502" i="1" s="1"/>
  <c r="AM502" i="1" s="1"/>
  <c r="AN502" i="1" s="1"/>
  <c r="AD307" i="1"/>
  <c r="AE307" i="1" s="1"/>
  <c r="AF307" i="1" s="1"/>
  <c r="AG307" i="1" s="1"/>
  <c r="AH307" i="1" s="1"/>
  <c r="AI307" i="1" s="1"/>
  <c r="AJ307" i="1" s="1"/>
  <c r="AK307" i="1" s="1"/>
  <c r="AL307" i="1" s="1"/>
  <c r="AM307" i="1" s="1"/>
  <c r="AN307" i="1" s="1"/>
  <c r="AD71" i="1"/>
  <c r="AE71" i="1" s="1"/>
  <c r="AF71" i="1" s="1"/>
  <c r="AG71" i="1" s="1"/>
  <c r="AH71" i="1" s="1"/>
  <c r="AI71" i="1" s="1"/>
  <c r="AJ71" i="1" s="1"/>
  <c r="AK71" i="1" s="1"/>
  <c r="AL71" i="1" s="1"/>
  <c r="AM71" i="1" s="1"/>
  <c r="AN71" i="1" s="1"/>
  <c r="AD207" i="1"/>
  <c r="AE207" i="1" s="1"/>
  <c r="AF207" i="1" s="1"/>
  <c r="AG207" i="1" s="1"/>
  <c r="AH207" i="1" s="1"/>
  <c r="AI207" i="1" s="1"/>
  <c r="AJ207" i="1" s="1"/>
  <c r="AK207" i="1" s="1"/>
  <c r="AL207" i="1" s="1"/>
  <c r="AM207" i="1" s="1"/>
  <c r="AN207" i="1" s="1"/>
  <c r="AD513" i="1"/>
  <c r="AE513" i="1" s="1"/>
  <c r="AF513" i="1" s="1"/>
  <c r="AG513" i="1" s="1"/>
  <c r="AH513" i="1" s="1"/>
  <c r="AI513" i="1" s="1"/>
  <c r="AJ513" i="1" s="1"/>
  <c r="AK513" i="1" s="1"/>
  <c r="AL513" i="1" s="1"/>
  <c r="AM513" i="1" s="1"/>
  <c r="AN513" i="1" s="1"/>
  <c r="AD474" i="1"/>
  <c r="AE474" i="1" s="1"/>
  <c r="AF474" i="1" s="1"/>
  <c r="AG474" i="1" s="1"/>
  <c r="AH474" i="1" s="1"/>
  <c r="AI474" i="1" s="1"/>
  <c r="AJ474" i="1" s="1"/>
  <c r="AK474" i="1" s="1"/>
  <c r="AL474" i="1" s="1"/>
  <c r="AM474" i="1" s="1"/>
  <c r="AN474" i="1" s="1"/>
  <c r="AD181" i="1"/>
  <c r="AE181" i="1" s="1"/>
  <c r="AF181" i="1" s="1"/>
  <c r="AG181" i="1" s="1"/>
  <c r="AH181" i="1" s="1"/>
  <c r="AI181" i="1" s="1"/>
  <c r="AJ181" i="1" s="1"/>
  <c r="AK181" i="1" s="1"/>
  <c r="AL181" i="1" s="1"/>
  <c r="AM181" i="1" s="1"/>
  <c r="AN181" i="1" s="1"/>
  <c r="AD282" i="1"/>
  <c r="AE282" i="1" s="1"/>
  <c r="AF282" i="1" s="1"/>
  <c r="AG282" i="1" s="1"/>
  <c r="AH282" i="1" s="1"/>
  <c r="AI282" i="1" s="1"/>
  <c r="AJ282" i="1" s="1"/>
  <c r="AK282" i="1" s="1"/>
  <c r="AL282" i="1" s="1"/>
  <c r="AM282" i="1" s="1"/>
  <c r="AN282" i="1" s="1"/>
  <c r="AD410" i="1"/>
  <c r="AE410" i="1" s="1"/>
  <c r="AF410" i="1" s="1"/>
  <c r="AG410" i="1" s="1"/>
  <c r="AH410" i="1" s="1"/>
  <c r="AI410" i="1" s="1"/>
  <c r="AJ410" i="1" s="1"/>
  <c r="AK410" i="1" s="1"/>
  <c r="AL410" i="1" s="1"/>
  <c r="AM410" i="1" s="1"/>
  <c r="AN410" i="1" s="1"/>
  <c r="AD416" i="1"/>
  <c r="AE416" i="1" s="1"/>
  <c r="AF416" i="1" s="1"/>
  <c r="AG416" i="1" s="1"/>
  <c r="AH416" i="1" s="1"/>
  <c r="AI416" i="1" s="1"/>
  <c r="AJ416" i="1" s="1"/>
  <c r="AK416" i="1" s="1"/>
  <c r="AL416" i="1" s="1"/>
  <c r="AM416" i="1" s="1"/>
  <c r="AN416" i="1" s="1"/>
  <c r="AD158" i="1"/>
  <c r="AE158" i="1" s="1"/>
  <c r="AF158" i="1" s="1"/>
  <c r="AG158" i="1" s="1"/>
  <c r="AH158" i="1" s="1"/>
  <c r="AI158" i="1" s="1"/>
  <c r="AJ158" i="1" s="1"/>
  <c r="AK158" i="1" s="1"/>
  <c r="AL158" i="1" s="1"/>
  <c r="AM158" i="1" s="1"/>
  <c r="AN158" i="1" s="1"/>
  <c r="AD422" i="1"/>
  <c r="AE422" i="1" s="1"/>
  <c r="AF422" i="1" s="1"/>
  <c r="AG422" i="1" s="1"/>
  <c r="AH422" i="1" s="1"/>
  <c r="AI422" i="1" s="1"/>
  <c r="AJ422" i="1" s="1"/>
  <c r="AK422" i="1" s="1"/>
  <c r="AL422" i="1" s="1"/>
  <c r="AM422" i="1" s="1"/>
  <c r="AN422" i="1" s="1"/>
  <c r="AD353" i="1"/>
  <c r="AE353" i="1" s="1"/>
  <c r="AF353" i="1" s="1"/>
  <c r="AG353" i="1" s="1"/>
  <c r="AH353" i="1" s="1"/>
  <c r="AI353" i="1" s="1"/>
  <c r="AJ353" i="1" s="1"/>
  <c r="AK353" i="1" s="1"/>
  <c r="AD476" i="1"/>
  <c r="AE476" i="1" s="1"/>
  <c r="AF476" i="1" s="1"/>
  <c r="AG476" i="1" s="1"/>
  <c r="AH476" i="1" s="1"/>
  <c r="AI476" i="1" s="1"/>
  <c r="AJ476" i="1" s="1"/>
  <c r="AK476" i="1" s="1"/>
  <c r="AL476" i="1" s="1"/>
  <c r="AM476" i="1" s="1"/>
  <c r="AN476" i="1" s="1"/>
  <c r="AD121" i="1"/>
  <c r="AE121" i="1" s="1"/>
  <c r="AF121" i="1" s="1"/>
  <c r="AG121" i="1" s="1"/>
  <c r="AH121" i="1" s="1"/>
  <c r="AI121" i="1" s="1"/>
  <c r="AJ121" i="1" s="1"/>
  <c r="AK121" i="1" s="1"/>
  <c r="AL121" i="1" s="1"/>
  <c r="AM121" i="1" s="1"/>
  <c r="AN121" i="1" s="1"/>
  <c r="AD114" i="1"/>
  <c r="AE114" i="1" s="1"/>
  <c r="AF114" i="1" s="1"/>
  <c r="AG114" i="1" s="1"/>
  <c r="AH114" i="1" s="1"/>
  <c r="AI114" i="1" s="1"/>
  <c r="AJ114" i="1" s="1"/>
  <c r="AK114" i="1" s="1"/>
  <c r="AL114" i="1" s="1"/>
  <c r="AM114" i="1" s="1"/>
  <c r="AN114" i="1" s="1"/>
  <c r="AD426" i="1"/>
  <c r="AE426" i="1" s="1"/>
  <c r="AF426" i="1" s="1"/>
  <c r="AG426" i="1" s="1"/>
  <c r="AH426" i="1" s="1"/>
  <c r="AI426" i="1" s="1"/>
  <c r="AJ426" i="1" s="1"/>
  <c r="AK426" i="1" s="1"/>
  <c r="AL426" i="1" s="1"/>
  <c r="AM426" i="1" s="1"/>
  <c r="AN426" i="1" s="1"/>
  <c r="AD79" i="1"/>
  <c r="AE79" i="1" s="1"/>
  <c r="AF79" i="1" s="1"/>
  <c r="AG79" i="1" s="1"/>
  <c r="AH79" i="1" s="1"/>
  <c r="AI79" i="1" s="1"/>
  <c r="AJ79" i="1" s="1"/>
  <c r="AK79" i="1" s="1"/>
  <c r="AL79" i="1" s="1"/>
  <c r="AM79" i="1" s="1"/>
  <c r="AN79" i="1" s="1"/>
  <c r="AD212" i="1"/>
  <c r="AE212" i="1" s="1"/>
  <c r="AF212" i="1" s="1"/>
  <c r="AG212" i="1" s="1"/>
  <c r="AH212" i="1" s="1"/>
  <c r="AI212" i="1" s="1"/>
  <c r="AJ212" i="1" s="1"/>
  <c r="AK212" i="1" s="1"/>
  <c r="AL212" i="1" s="1"/>
  <c r="AM212" i="1" s="1"/>
  <c r="AN212" i="1" s="1"/>
  <c r="AD50" i="1"/>
  <c r="AE50" i="1" s="1"/>
  <c r="AF50" i="1" s="1"/>
  <c r="AG50" i="1" s="1"/>
  <c r="AH50" i="1" s="1"/>
  <c r="AI50" i="1" s="1"/>
  <c r="AJ50" i="1" s="1"/>
  <c r="AK50" i="1" s="1"/>
  <c r="AL50" i="1" s="1"/>
  <c r="AM50" i="1" s="1"/>
  <c r="AN50" i="1" s="1"/>
  <c r="AD159" i="1"/>
  <c r="AE159" i="1" s="1"/>
  <c r="AF159" i="1" s="1"/>
  <c r="AG159" i="1" s="1"/>
  <c r="AH159" i="1" s="1"/>
  <c r="AI159" i="1" s="1"/>
  <c r="AJ159" i="1" s="1"/>
  <c r="AK159" i="1" s="1"/>
  <c r="AL159" i="1" s="1"/>
  <c r="AM159" i="1" s="1"/>
  <c r="AN159" i="1" s="1"/>
  <c r="AD171" i="1"/>
  <c r="AE171" i="1" s="1"/>
  <c r="AF171" i="1" s="1"/>
  <c r="AG171" i="1" s="1"/>
  <c r="AH171" i="1" s="1"/>
  <c r="AI171" i="1" s="1"/>
  <c r="AJ171" i="1" s="1"/>
  <c r="AK171" i="1" s="1"/>
  <c r="AL171" i="1" s="1"/>
  <c r="AM171" i="1" s="1"/>
  <c r="AN171" i="1" s="1"/>
  <c r="AD12" i="1"/>
  <c r="AE12" i="1" s="1"/>
  <c r="AF12" i="1" s="1"/>
  <c r="AG12" i="1" s="1"/>
  <c r="AH12" i="1" s="1"/>
  <c r="AI12" i="1" s="1"/>
  <c r="AJ12" i="1" s="1"/>
  <c r="AK12" i="1" s="1"/>
  <c r="AL12" i="1" s="1"/>
  <c r="AM12" i="1" s="1"/>
  <c r="AN12" i="1" s="1"/>
  <c r="AD259" i="1"/>
  <c r="AE259" i="1" s="1"/>
  <c r="AF259" i="1" s="1"/>
  <c r="AG259" i="1" s="1"/>
  <c r="AH259" i="1" s="1"/>
  <c r="AI259" i="1" s="1"/>
  <c r="AJ259" i="1" s="1"/>
  <c r="AK259" i="1" s="1"/>
  <c r="AL259" i="1" s="1"/>
  <c r="AM259" i="1" s="1"/>
  <c r="AN259" i="1" s="1"/>
  <c r="AD209" i="1"/>
  <c r="AE209" i="1" s="1"/>
  <c r="AF209" i="1" s="1"/>
  <c r="AG209" i="1" s="1"/>
  <c r="AH209" i="1" s="1"/>
  <c r="AI209" i="1" s="1"/>
  <c r="AJ209" i="1" s="1"/>
  <c r="AK209" i="1" s="1"/>
  <c r="AL209" i="1" s="1"/>
  <c r="AM209" i="1" s="1"/>
  <c r="AN209" i="1" s="1"/>
  <c r="AD155" i="1"/>
  <c r="AE155" i="1" s="1"/>
  <c r="AF155" i="1" s="1"/>
  <c r="AG155" i="1" s="1"/>
  <c r="AH155" i="1" s="1"/>
  <c r="AI155" i="1" s="1"/>
  <c r="AJ155" i="1" s="1"/>
  <c r="AK155" i="1" s="1"/>
  <c r="AL155" i="1" s="1"/>
  <c r="AM155" i="1" s="1"/>
  <c r="AN155" i="1" s="1"/>
  <c r="AD296" i="1"/>
  <c r="AE296" i="1" s="1"/>
  <c r="AF296" i="1" s="1"/>
  <c r="AG296" i="1" s="1"/>
  <c r="AH296" i="1" s="1"/>
  <c r="AI296" i="1" s="1"/>
  <c r="AJ296" i="1" s="1"/>
  <c r="AK296" i="1" s="1"/>
  <c r="AL296" i="1" s="1"/>
  <c r="AM296" i="1" s="1"/>
  <c r="AN296" i="1" s="1"/>
  <c r="AD404" i="1"/>
  <c r="AE404" i="1" s="1"/>
  <c r="AF404" i="1" s="1"/>
  <c r="AG404" i="1" s="1"/>
  <c r="AH404" i="1" s="1"/>
  <c r="AI404" i="1" s="1"/>
  <c r="AJ404" i="1" s="1"/>
  <c r="AK404" i="1" s="1"/>
  <c r="AL404" i="1" s="1"/>
  <c r="AM404" i="1" s="1"/>
  <c r="AN404" i="1" s="1"/>
  <c r="AD425" i="1"/>
  <c r="AE425" i="1" s="1"/>
  <c r="AF425" i="1" s="1"/>
  <c r="AG425" i="1" s="1"/>
  <c r="AH425" i="1" s="1"/>
  <c r="AI425" i="1" s="1"/>
  <c r="AJ425" i="1" s="1"/>
  <c r="AK425" i="1" s="1"/>
  <c r="AL425" i="1" s="1"/>
  <c r="AD354" i="1"/>
  <c r="AE354" i="1" s="1"/>
  <c r="AF354" i="1" s="1"/>
  <c r="AG354" i="1" s="1"/>
  <c r="AH354" i="1" s="1"/>
  <c r="AI354" i="1" s="1"/>
  <c r="AJ354" i="1" s="1"/>
  <c r="AK354" i="1" s="1"/>
  <c r="AL354" i="1" s="1"/>
  <c r="AM354" i="1" s="1"/>
  <c r="AN354" i="1" s="1"/>
  <c r="AD279" i="1"/>
  <c r="AE279" i="1" s="1"/>
  <c r="AF279" i="1" s="1"/>
  <c r="AG279" i="1" s="1"/>
  <c r="AH279" i="1" s="1"/>
  <c r="AI279" i="1" s="1"/>
  <c r="AJ279" i="1" s="1"/>
  <c r="AK279" i="1" s="1"/>
  <c r="AL279" i="1" s="1"/>
  <c r="AM279" i="1" s="1"/>
  <c r="AN279" i="1" s="1"/>
  <c r="AD62" i="1"/>
  <c r="AE62" i="1" s="1"/>
  <c r="AF62" i="1" s="1"/>
  <c r="AG62" i="1" s="1"/>
  <c r="AH62" i="1" s="1"/>
  <c r="AI62" i="1" s="1"/>
  <c r="AJ62" i="1" s="1"/>
  <c r="AK62" i="1" s="1"/>
  <c r="AL62" i="1" s="1"/>
  <c r="AM62" i="1" s="1"/>
  <c r="AN62" i="1" s="1"/>
  <c r="AD385" i="1"/>
  <c r="AE385" i="1" s="1"/>
  <c r="AF385" i="1" s="1"/>
  <c r="AG385" i="1" s="1"/>
  <c r="AH385" i="1" s="1"/>
  <c r="AI385" i="1" s="1"/>
  <c r="AJ385" i="1" s="1"/>
  <c r="AK385" i="1" s="1"/>
  <c r="AL385" i="1" s="1"/>
  <c r="AM385" i="1" s="1"/>
  <c r="AN385" i="1" s="1"/>
  <c r="AD378" i="1"/>
  <c r="AE378" i="1" s="1"/>
  <c r="AF378" i="1" s="1"/>
  <c r="AG378" i="1" s="1"/>
  <c r="AH378" i="1" s="1"/>
  <c r="AI378" i="1" s="1"/>
  <c r="AJ378" i="1" s="1"/>
  <c r="AK378" i="1" s="1"/>
  <c r="AL378" i="1" s="1"/>
  <c r="AM378" i="1" s="1"/>
  <c r="AN378" i="1" s="1"/>
  <c r="AD503" i="1"/>
  <c r="AE503" i="1" s="1"/>
  <c r="AF503" i="1" s="1"/>
  <c r="AG503" i="1" s="1"/>
  <c r="AH503" i="1" s="1"/>
  <c r="AI503" i="1" s="1"/>
  <c r="AJ503" i="1" s="1"/>
  <c r="AK503" i="1" s="1"/>
  <c r="AL503" i="1" s="1"/>
  <c r="AM503" i="1" s="1"/>
  <c r="AN503" i="1" s="1"/>
  <c r="AD120" i="1"/>
  <c r="AE120" i="1" s="1"/>
  <c r="AF120" i="1" s="1"/>
  <c r="AG120" i="1" s="1"/>
  <c r="AH120" i="1" s="1"/>
  <c r="AI120" i="1" s="1"/>
  <c r="AJ120" i="1" s="1"/>
  <c r="AK120" i="1" s="1"/>
  <c r="AL120" i="1" s="1"/>
  <c r="AM120" i="1" s="1"/>
  <c r="AN120" i="1" s="1"/>
  <c r="AD424" i="1"/>
  <c r="AE424" i="1" s="1"/>
  <c r="AF424" i="1" s="1"/>
  <c r="AG424" i="1" s="1"/>
  <c r="AH424" i="1" s="1"/>
  <c r="AI424" i="1" s="1"/>
  <c r="AJ424" i="1" s="1"/>
  <c r="AK424" i="1" s="1"/>
  <c r="AL424" i="1" s="1"/>
  <c r="AM424" i="1" s="1"/>
  <c r="AN424" i="1" s="1"/>
  <c r="AD49" i="1"/>
  <c r="AE49" i="1" s="1"/>
  <c r="AF49" i="1" s="1"/>
  <c r="AG49" i="1" s="1"/>
  <c r="AH49" i="1" s="1"/>
  <c r="AI49" i="1" s="1"/>
  <c r="AJ49" i="1" s="1"/>
  <c r="AK49" i="1" s="1"/>
  <c r="AL49" i="1" s="1"/>
  <c r="AM49" i="1" s="1"/>
  <c r="AN49" i="1" s="1"/>
  <c r="AD428" i="1"/>
  <c r="AE428" i="1" s="1"/>
  <c r="AF428" i="1" s="1"/>
  <c r="AG428" i="1" s="1"/>
  <c r="AH428" i="1" s="1"/>
  <c r="AI428" i="1" s="1"/>
  <c r="AJ428" i="1" s="1"/>
  <c r="AK428" i="1" s="1"/>
  <c r="AL428" i="1" s="1"/>
  <c r="AM428" i="1" s="1"/>
  <c r="AN428" i="1" s="1"/>
  <c r="AD174" i="1"/>
  <c r="AE174" i="1" s="1"/>
  <c r="AF174" i="1" s="1"/>
  <c r="AG174" i="1" s="1"/>
  <c r="AH174" i="1" s="1"/>
  <c r="AI174" i="1" s="1"/>
  <c r="AJ174" i="1" s="1"/>
  <c r="AK174" i="1" s="1"/>
  <c r="AL174" i="1" s="1"/>
  <c r="AM174" i="1" s="1"/>
  <c r="AN174" i="1" s="1"/>
  <c r="AD254" i="1"/>
  <c r="AE254" i="1" s="1"/>
  <c r="AF254" i="1" s="1"/>
  <c r="AG254" i="1" s="1"/>
  <c r="AH254" i="1" s="1"/>
  <c r="AI254" i="1" s="1"/>
  <c r="AJ254" i="1" s="1"/>
  <c r="AK254" i="1" s="1"/>
  <c r="AL254" i="1" s="1"/>
  <c r="AM254" i="1" s="1"/>
  <c r="AN254" i="1" s="1"/>
  <c r="AD368" i="1"/>
  <c r="AE368" i="1" s="1"/>
  <c r="AF368" i="1" s="1"/>
  <c r="AG368" i="1" s="1"/>
  <c r="AH368" i="1" s="1"/>
  <c r="AI368" i="1" s="1"/>
  <c r="AJ368" i="1" s="1"/>
  <c r="AK368" i="1" s="1"/>
  <c r="AL368" i="1" s="1"/>
  <c r="AM368" i="1" s="1"/>
  <c r="AN368" i="1" s="1"/>
  <c r="AD261" i="1"/>
  <c r="AE261" i="1" s="1"/>
  <c r="AF261" i="1" s="1"/>
  <c r="AG261" i="1" s="1"/>
  <c r="AH261" i="1" s="1"/>
  <c r="AI261" i="1" s="1"/>
  <c r="AJ261" i="1" s="1"/>
  <c r="AK261" i="1" s="1"/>
  <c r="AL261" i="1" s="1"/>
  <c r="AM261" i="1" s="1"/>
  <c r="AN261" i="1" s="1"/>
  <c r="AD92" i="1"/>
  <c r="AE92" i="1" s="1"/>
  <c r="AF92" i="1" s="1"/>
  <c r="AG92" i="1" s="1"/>
  <c r="AH92" i="1" s="1"/>
  <c r="AI92" i="1" s="1"/>
  <c r="AJ92" i="1" s="1"/>
  <c r="AK92" i="1" s="1"/>
  <c r="AL92" i="1" s="1"/>
  <c r="AM92" i="1" s="1"/>
  <c r="AN92" i="1" s="1"/>
  <c r="AD273" i="1"/>
  <c r="AE273" i="1" s="1"/>
  <c r="AF273" i="1" s="1"/>
  <c r="AG273" i="1" s="1"/>
  <c r="AH273" i="1" s="1"/>
  <c r="AI273" i="1" s="1"/>
  <c r="AJ273" i="1" s="1"/>
  <c r="AK273" i="1" s="1"/>
  <c r="AL273" i="1" s="1"/>
  <c r="AM273" i="1" s="1"/>
  <c r="AN273" i="1" s="1"/>
  <c r="AD29" i="1"/>
  <c r="AE29" i="1" s="1"/>
  <c r="AF29" i="1" s="1"/>
  <c r="AG29" i="1" s="1"/>
  <c r="AH29" i="1" s="1"/>
  <c r="AI29" i="1" s="1"/>
  <c r="AJ29" i="1" s="1"/>
  <c r="AK29" i="1" s="1"/>
  <c r="AL29" i="1" s="1"/>
  <c r="AM29" i="1" s="1"/>
  <c r="AN29" i="1" s="1"/>
  <c r="AD118" i="1"/>
  <c r="AE118" i="1" s="1"/>
  <c r="AF118" i="1" s="1"/>
  <c r="AG118" i="1" s="1"/>
  <c r="AH118" i="1" s="1"/>
  <c r="AI118" i="1" s="1"/>
  <c r="AJ118" i="1" s="1"/>
  <c r="AK118" i="1" s="1"/>
  <c r="AL118" i="1" s="1"/>
  <c r="AM118" i="1" s="1"/>
  <c r="AN118" i="1" s="1"/>
  <c r="AD362" i="1"/>
  <c r="AE362" i="1" s="1"/>
  <c r="AF362" i="1" s="1"/>
  <c r="AG362" i="1" s="1"/>
  <c r="AH362" i="1" s="1"/>
  <c r="AI362" i="1" s="1"/>
  <c r="AJ362" i="1" s="1"/>
  <c r="AK362" i="1" s="1"/>
  <c r="AL362" i="1" s="1"/>
  <c r="AM362" i="1" s="1"/>
  <c r="AN362" i="1" s="1"/>
  <c r="AD405" i="1"/>
  <c r="AE405" i="1" s="1"/>
  <c r="AF405" i="1" s="1"/>
  <c r="AG405" i="1" s="1"/>
  <c r="AH405" i="1" s="1"/>
  <c r="AI405" i="1" s="1"/>
  <c r="AJ405" i="1" s="1"/>
  <c r="AK405" i="1" s="1"/>
  <c r="AL405" i="1" s="1"/>
  <c r="AM405" i="1" s="1"/>
  <c r="AN405" i="1" s="1"/>
  <c r="AD471" i="1"/>
  <c r="AE471" i="1" s="1"/>
  <c r="AF471" i="1" s="1"/>
  <c r="AG471" i="1" s="1"/>
  <c r="AH471" i="1" s="1"/>
  <c r="AI471" i="1" s="1"/>
  <c r="AJ471" i="1" s="1"/>
  <c r="AK471" i="1" s="1"/>
  <c r="AL471" i="1" s="1"/>
  <c r="AM471" i="1" s="1"/>
  <c r="AN471" i="1" s="1"/>
  <c r="AD308" i="1"/>
  <c r="AE308" i="1" s="1"/>
  <c r="AF308" i="1" s="1"/>
  <c r="AG308" i="1" s="1"/>
  <c r="AH308" i="1" s="1"/>
  <c r="AI308" i="1" s="1"/>
  <c r="AJ308" i="1" s="1"/>
  <c r="AK308" i="1" s="1"/>
  <c r="AL308" i="1" s="1"/>
  <c r="AM308" i="1" s="1"/>
  <c r="AN308" i="1" s="1"/>
  <c r="AD156" i="1"/>
  <c r="AE156" i="1" s="1"/>
  <c r="AF156" i="1" s="1"/>
  <c r="AG156" i="1" s="1"/>
  <c r="AH156" i="1" s="1"/>
  <c r="AI156" i="1" s="1"/>
  <c r="AJ156" i="1" s="1"/>
  <c r="AK156" i="1" s="1"/>
  <c r="AL156" i="1" s="1"/>
  <c r="AM156" i="1" s="1"/>
  <c r="AN156" i="1" s="1"/>
  <c r="AD214" i="1"/>
  <c r="AE214" i="1" s="1"/>
  <c r="AF214" i="1" s="1"/>
  <c r="AG214" i="1" s="1"/>
  <c r="AH214" i="1" s="1"/>
  <c r="AI214" i="1" s="1"/>
  <c r="AJ214" i="1" s="1"/>
  <c r="AK214" i="1" s="1"/>
  <c r="AL214" i="1" s="1"/>
  <c r="AM214" i="1" s="1"/>
  <c r="AN214" i="1" s="1"/>
  <c r="AD411" i="1"/>
  <c r="AE411" i="1" s="1"/>
  <c r="AF411" i="1" s="1"/>
  <c r="AG411" i="1" s="1"/>
  <c r="AH411" i="1" s="1"/>
  <c r="AI411" i="1" s="1"/>
  <c r="AJ411" i="1" s="1"/>
  <c r="AK411" i="1" s="1"/>
  <c r="AL411" i="1" s="1"/>
  <c r="AM411" i="1" s="1"/>
  <c r="AN411" i="1" s="1"/>
  <c r="AD381" i="1"/>
  <c r="AE381" i="1" s="1"/>
  <c r="AF381" i="1" s="1"/>
  <c r="AG381" i="1" s="1"/>
  <c r="AH381" i="1" s="1"/>
  <c r="AI381" i="1" s="1"/>
  <c r="AJ381" i="1" s="1"/>
  <c r="AK381" i="1" s="1"/>
  <c r="AL381" i="1" s="1"/>
  <c r="AM381" i="1" s="1"/>
  <c r="AN381" i="1" s="1"/>
  <c r="AD277" i="1"/>
  <c r="AE277" i="1" s="1"/>
  <c r="AF277" i="1" s="1"/>
  <c r="AG277" i="1" s="1"/>
  <c r="AH277" i="1" s="1"/>
  <c r="AI277" i="1" s="1"/>
  <c r="AJ277" i="1" s="1"/>
  <c r="AK277" i="1" s="1"/>
  <c r="AL277" i="1" s="1"/>
  <c r="AM277" i="1" s="1"/>
  <c r="AN277" i="1" s="1"/>
  <c r="AD351" i="1"/>
  <c r="AE351" i="1" s="1"/>
  <c r="AF351" i="1" s="1"/>
  <c r="AG351" i="1" s="1"/>
  <c r="AH351" i="1" s="1"/>
  <c r="AI351" i="1" s="1"/>
  <c r="AJ351" i="1" s="1"/>
  <c r="AK351" i="1" s="1"/>
  <c r="AL351" i="1" s="1"/>
  <c r="AM351" i="1" s="1"/>
  <c r="AN351" i="1" s="1"/>
  <c r="AD257" i="1"/>
  <c r="AE257" i="1" s="1"/>
  <c r="AF257" i="1" s="1"/>
  <c r="AG257" i="1" s="1"/>
  <c r="AH257" i="1" s="1"/>
  <c r="AI257" i="1" s="1"/>
  <c r="AJ257" i="1" s="1"/>
  <c r="AK257" i="1" s="1"/>
  <c r="AL257" i="1" s="1"/>
  <c r="AM257" i="1" s="1"/>
  <c r="AN257" i="1" s="1"/>
  <c r="AD213" i="1"/>
  <c r="AE213" i="1" s="1"/>
  <c r="AF213" i="1" s="1"/>
  <c r="AG213" i="1" s="1"/>
  <c r="AH213" i="1" s="1"/>
  <c r="AI213" i="1" s="1"/>
  <c r="AJ213" i="1" s="1"/>
  <c r="AK213" i="1" s="1"/>
  <c r="AL213" i="1" s="1"/>
  <c r="AM213" i="1" s="1"/>
  <c r="AN213" i="1" s="1"/>
  <c r="AD499" i="1"/>
  <c r="AE499" i="1" s="1"/>
  <c r="AF499" i="1" s="1"/>
  <c r="AG499" i="1" s="1"/>
  <c r="AH499" i="1" s="1"/>
  <c r="AI499" i="1" s="1"/>
  <c r="AJ499" i="1" s="1"/>
  <c r="AK499" i="1" s="1"/>
  <c r="AL499" i="1" s="1"/>
  <c r="AM499" i="1" s="1"/>
  <c r="AN499" i="1" s="1"/>
  <c r="AD402" i="1"/>
  <c r="AE402" i="1" s="1"/>
  <c r="AF402" i="1" s="1"/>
  <c r="AG402" i="1" s="1"/>
  <c r="AH402" i="1" s="1"/>
  <c r="AI402" i="1" s="1"/>
  <c r="AJ402" i="1" s="1"/>
  <c r="AK402" i="1" s="1"/>
  <c r="AL402" i="1" s="1"/>
  <c r="AM402" i="1" s="1"/>
  <c r="AN402" i="1" s="1"/>
  <c r="AA361" i="1"/>
  <c r="AA92" i="1"/>
  <c r="AA75" i="1"/>
  <c r="AA369" i="1"/>
  <c r="AA411" i="1"/>
  <c r="AA49" i="1"/>
  <c r="AA428" i="1"/>
  <c r="AA200" i="1"/>
  <c r="AA296" i="1"/>
  <c r="AA473" i="1"/>
  <c r="AA175" i="1"/>
  <c r="AA254" i="1"/>
  <c r="AA171" i="1"/>
  <c r="AA91" i="1"/>
  <c r="AA174" i="1"/>
  <c r="AA416" i="1"/>
  <c r="AA214" i="1"/>
  <c r="AA423" i="1"/>
  <c r="AA262" i="1"/>
  <c r="AA178" i="1"/>
  <c r="AA279" i="1"/>
  <c r="AA373" i="1"/>
  <c r="AA117" i="1"/>
  <c r="AA352" i="1"/>
  <c r="AA280" i="1"/>
  <c r="AA472" i="1"/>
  <c r="AA274" i="1"/>
  <c r="AA256" i="1"/>
  <c r="AA12" i="1"/>
  <c r="AA189" i="1"/>
  <c r="AA95" i="1"/>
  <c r="AA216" i="1"/>
  <c r="AA430" i="1"/>
  <c r="AA270" i="1"/>
  <c r="AA351" i="1"/>
  <c r="AA371" i="1"/>
  <c r="AA257" i="1"/>
  <c r="AA406" i="1"/>
  <c r="AA71" i="1"/>
  <c r="AA363" i="1"/>
  <c r="AA425" i="1"/>
  <c r="AA173" i="1"/>
  <c r="AA380" i="1"/>
  <c r="AA308" i="1"/>
  <c r="AA512" i="1"/>
  <c r="AA266" i="1"/>
  <c r="AA356" i="1"/>
  <c r="AA420" i="1"/>
  <c r="AA63" i="1"/>
  <c r="AA381" i="1"/>
  <c r="AA513" i="1"/>
  <c r="AA260" i="1"/>
  <c r="AA467" i="1"/>
  <c r="AA259" i="1"/>
  <c r="AA183" i="1"/>
  <c r="AA347" i="1"/>
  <c r="AP184" i="1"/>
  <c r="AA475" i="1"/>
  <c r="AA203" i="1"/>
  <c r="AA306" i="1"/>
  <c r="AA209" i="1"/>
  <c r="AA385" i="1"/>
  <c r="AA64" i="1"/>
  <c r="AA378" i="1"/>
  <c r="AA476" i="1"/>
  <c r="AP298" i="1"/>
  <c r="AA112" i="1"/>
  <c r="AA111" i="1"/>
  <c r="AA121" i="1"/>
  <c r="AA393" i="1"/>
  <c r="AA54" i="1"/>
  <c r="AA120" i="1"/>
  <c r="AA177" i="1"/>
  <c r="AA267" i="1"/>
  <c r="AA119" i="1"/>
  <c r="AA303" i="1"/>
  <c r="AA396" i="1"/>
  <c r="AA424" i="1"/>
  <c r="AA470" i="1"/>
  <c r="AA426" i="1"/>
  <c r="AA271" i="1"/>
  <c r="AA410" i="1"/>
  <c r="AA50" i="1"/>
  <c r="AA79" i="1"/>
  <c r="AA181" i="1"/>
  <c r="AA157" i="1"/>
  <c r="AA502" i="1"/>
  <c r="AA368" i="1"/>
  <c r="AA158" i="1"/>
  <c r="AA278" i="1"/>
  <c r="AA170" i="1"/>
  <c r="AA301" i="1"/>
  <c r="AA353" i="1"/>
  <c r="AA405" i="1"/>
  <c r="AA155" i="1"/>
  <c r="AA412" i="1"/>
  <c r="AA503" i="1"/>
  <c r="AA114" i="1"/>
  <c r="AA156" i="1"/>
  <c r="AA218" i="1"/>
  <c r="AA297" i="1"/>
  <c r="AA180" i="1"/>
  <c r="AA399" i="1"/>
  <c r="AA376" i="1"/>
  <c r="AA404" i="1"/>
  <c r="AA486" i="1"/>
  <c r="AA429" i="1"/>
  <c r="AA217" i="1"/>
  <c r="AA383" i="1"/>
  <c r="AA78" i="1"/>
  <c r="AA468" i="1"/>
  <c r="AA282" i="1"/>
  <c r="AA427" i="1"/>
  <c r="AA207" i="1"/>
  <c r="AA182" i="1"/>
  <c r="AA273" i="1"/>
  <c r="AA302" i="1"/>
  <c r="AA340" i="1"/>
  <c r="BH1016" i="4"/>
  <c r="AA159" i="1"/>
  <c r="AA215" i="1"/>
  <c r="AA272" i="1"/>
  <c r="AA261" i="1"/>
  <c r="AA286" i="1"/>
  <c r="AA422" i="1"/>
  <c r="AA275" i="1"/>
  <c r="AA118" i="1"/>
  <c r="AA206" i="1"/>
  <c r="AA341" i="1"/>
  <c r="BH751" i="4"/>
  <c r="BH871" i="4"/>
  <c r="AA176" i="1"/>
  <c r="AA379" i="1"/>
  <c r="BH748" i="4"/>
  <c r="AA293" i="1"/>
  <c r="AA401" i="1"/>
  <c r="AA471" i="1"/>
  <c r="BH755" i="4"/>
  <c r="BH644" i="4"/>
  <c r="AA265" i="1"/>
  <c r="AT575" i="1"/>
  <c r="BH263" i="4"/>
  <c r="BH815" i="4"/>
  <c r="BH851" i="4"/>
  <c r="AA413" i="1"/>
  <c r="AA277" i="1"/>
  <c r="AA359" i="1"/>
  <c r="AA73" i="1"/>
  <c r="BH31" i="4"/>
  <c r="AA414" i="1"/>
  <c r="AA202" i="1"/>
  <c r="BH958" i="4"/>
  <c r="BH957" i="4"/>
  <c r="AA400" i="1"/>
  <c r="AA42" i="1"/>
  <c r="AA212" i="1"/>
  <c r="AA402" i="1"/>
  <c r="AA188" i="1"/>
  <c r="AA191" i="1"/>
  <c r="BH752" i="4"/>
  <c r="BH812" i="4"/>
  <c r="BH258" i="4"/>
  <c r="BH813" i="4"/>
  <c r="BH726" i="4"/>
  <c r="BH725" i="4"/>
  <c r="BH610" i="4"/>
  <c r="AU187" i="1"/>
  <c r="BH611" i="4"/>
  <c r="BH641" i="4"/>
  <c r="BH868" i="4"/>
  <c r="N146" i="1"/>
  <c r="N708" i="1" s="1"/>
  <c r="AT146" i="1"/>
  <c r="AC146" i="1"/>
  <c r="AC708" i="1" s="1"/>
  <c r="O146" i="1"/>
  <c r="P146" i="1" s="1"/>
  <c r="Q146" i="1" s="1"/>
  <c r="R146" i="1" s="1"/>
  <c r="S146" i="1" s="1"/>
  <c r="T146" i="1" s="1"/>
  <c r="U146" i="1" s="1"/>
  <c r="V146" i="1" s="1"/>
  <c r="W146" i="1" s="1"/>
  <c r="X146" i="1" s="1"/>
  <c r="Y146" i="1" s="1"/>
  <c r="Z146" i="1" s="1"/>
  <c r="AA354" i="1"/>
  <c r="BH849" i="4"/>
  <c r="BH820" i="4"/>
  <c r="BH608" i="4"/>
  <c r="BH843" i="4"/>
  <c r="AA29" i="1"/>
  <c r="AA269" i="1"/>
  <c r="AA255" i="1"/>
  <c r="AA283" i="1"/>
  <c r="AA474" i="1"/>
  <c r="AA362" i="1"/>
  <c r="AA498" i="1"/>
  <c r="BH746" i="4"/>
  <c r="BH34" i="4"/>
  <c r="BH179" i="4"/>
  <c r="AU517" i="1"/>
  <c r="BH532" i="4"/>
  <c r="BH264" i="4"/>
  <c r="AT576" i="1"/>
  <c r="BH577" i="4"/>
  <c r="BH904" i="4"/>
  <c r="AU28" i="1"/>
  <c r="BH30" i="4"/>
  <c r="BH754" i="4"/>
  <c r="AV518" i="1"/>
  <c r="AW518" i="1" s="1"/>
  <c r="AX518" i="1" s="1"/>
  <c r="AY518" i="1" s="1"/>
  <c r="AZ518" i="1" s="1"/>
  <c r="BA518" i="1" s="1"/>
  <c r="BB518" i="1" s="1"/>
  <c r="BC518" i="1" s="1"/>
  <c r="BD518" i="1" s="1"/>
  <c r="BE518" i="1" s="1"/>
  <c r="BH636" i="4"/>
  <c r="BH645" i="4"/>
  <c r="BH1001" i="4"/>
  <c r="BH86" i="4"/>
  <c r="BH609" i="4"/>
  <c r="AU185" i="1"/>
  <c r="AA213" i="1"/>
  <c r="AA469" i="1"/>
  <c r="AA307" i="1"/>
  <c r="AA499" i="1"/>
  <c r="BH747" i="4"/>
  <c r="BH594" i="4"/>
  <c r="AU298" i="1" l="1"/>
  <c r="AU184" i="1"/>
  <c r="AP208" i="1"/>
  <c r="AU193" i="1"/>
  <c r="AT708" i="1"/>
  <c r="AV116" i="1"/>
  <c r="AW116" i="1" s="1"/>
  <c r="AX116" i="1" s="1"/>
  <c r="AY116" i="1" s="1"/>
  <c r="AZ116" i="1" s="1"/>
  <c r="BA116" i="1" s="1"/>
  <c r="BB116" i="1" s="1"/>
  <c r="BC116" i="1" s="1"/>
  <c r="BD116" i="1" s="1"/>
  <c r="BE116" i="1" s="1"/>
  <c r="BF116" i="1" s="1"/>
  <c r="BJ116" i="1" s="1"/>
  <c r="BK116" i="1" s="1"/>
  <c r="BL116" i="1" s="1"/>
  <c r="BM116" i="1" s="1"/>
  <c r="BN116" i="1" s="1"/>
  <c r="BO116" i="1" s="1"/>
  <c r="BP116" i="1" s="1"/>
  <c r="BQ116" i="1" s="1"/>
  <c r="BR116" i="1" s="1"/>
  <c r="BS116" i="1" s="1"/>
  <c r="BT116" i="1" s="1"/>
  <c r="AV124" i="1"/>
  <c r="AW124" i="1" s="1"/>
  <c r="AX124" i="1" s="1"/>
  <c r="AY124" i="1" s="1"/>
  <c r="AZ124" i="1" s="1"/>
  <c r="BA124" i="1" s="1"/>
  <c r="BB124" i="1" s="1"/>
  <c r="BC124" i="1" s="1"/>
  <c r="BD124" i="1" s="1"/>
  <c r="BE124" i="1" s="1"/>
  <c r="AV433" i="1"/>
  <c r="AW433" i="1" s="1"/>
  <c r="AX433" i="1" s="1"/>
  <c r="AY433" i="1" s="1"/>
  <c r="AZ433" i="1" s="1"/>
  <c r="BA433" i="1" s="1"/>
  <c r="BB433" i="1" s="1"/>
  <c r="BC433" i="1" s="1"/>
  <c r="BD433" i="1" s="1"/>
  <c r="BE433" i="1" s="1"/>
  <c r="BF433" i="1" s="1"/>
  <c r="BJ433" i="1" s="1"/>
  <c r="BK433" i="1" s="1"/>
  <c r="BL433" i="1" s="1"/>
  <c r="BM433" i="1" s="1"/>
  <c r="BN433" i="1" s="1"/>
  <c r="BO433" i="1" s="1"/>
  <c r="BP433" i="1" s="1"/>
  <c r="BQ433" i="1" s="1"/>
  <c r="BR433" i="1" s="1"/>
  <c r="BS433" i="1" s="1"/>
  <c r="BT433" i="1" s="1"/>
  <c r="AV88" i="1"/>
  <c r="AW88" i="1" s="1"/>
  <c r="AX88" i="1" s="1"/>
  <c r="AY88" i="1" s="1"/>
  <c r="AZ88" i="1" s="1"/>
  <c r="BA88" i="1" s="1"/>
  <c r="BB88" i="1" s="1"/>
  <c r="BC88" i="1" s="1"/>
  <c r="BD88" i="1" s="1"/>
  <c r="BE88" i="1" s="1"/>
  <c r="AV447" i="1"/>
  <c r="AW447" i="1" s="1"/>
  <c r="AX447" i="1" s="1"/>
  <c r="AY447" i="1" s="1"/>
  <c r="AZ447" i="1" s="1"/>
  <c r="BA447" i="1" s="1"/>
  <c r="BB447" i="1" s="1"/>
  <c r="BC447" i="1" s="1"/>
  <c r="BD447" i="1" s="1"/>
  <c r="BE447" i="1" s="1"/>
  <c r="AV456" i="1"/>
  <c r="AW456" i="1" s="1"/>
  <c r="AX456" i="1" s="1"/>
  <c r="AY456" i="1" s="1"/>
  <c r="AZ456" i="1" s="1"/>
  <c r="BA456" i="1" s="1"/>
  <c r="BB456" i="1" s="1"/>
  <c r="BC456" i="1" s="1"/>
  <c r="BD456" i="1" s="1"/>
  <c r="BE456" i="1" s="1"/>
  <c r="BF456" i="1" s="1"/>
  <c r="BJ456" i="1" s="1"/>
  <c r="BK456" i="1" s="1"/>
  <c r="BL456" i="1" s="1"/>
  <c r="BM456" i="1" s="1"/>
  <c r="BN456" i="1" s="1"/>
  <c r="BO456" i="1" s="1"/>
  <c r="BP456" i="1" s="1"/>
  <c r="BQ456" i="1" s="1"/>
  <c r="BR456" i="1" s="1"/>
  <c r="BS456" i="1" s="1"/>
  <c r="BT456" i="1" s="1"/>
  <c r="AV322" i="1"/>
  <c r="AW322" i="1" s="1"/>
  <c r="AX322" i="1" s="1"/>
  <c r="AY322" i="1" s="1"/>
  <c r="AZ322" i="1" s="1"/>
  <c r="BA322" i="1" s="1"/>
  <c r="BB322" i="1" s="1"/>
  <c r="BC322" i="1" s="1"/>
  <c r="BD322" i="1" s="1"/>
  <c r="BE322" i="1" s="1"/>
  <c r="BF322" i="1" s="1"/>
  <c r="BJ322" i="1" s="1"/>
  <c r="BK322" i="1" s="1"/>
  <c r="BL322" i="1" s="1"/>
  <c r="BM322" i="1" s="1"/>
  <c r="BN322" i="1" s="1"/>
  <c r="BO322" i="1" s="1"/>
  <c r="BP322" i="1" s="1"/>
  <c r="BQ322" i="1" s="1"/>
  <c r="BR322" i="1" s="1"/>
  <c r="BS322" i="1" s="1"/>
  <c r="BT322" i="1" s="1"/>
  <c r="AV350" i="1"/>
  <c r="AW350" i="1" s="1"/>
  <c r="AX350" i="1" s="1"/>
  <c r="AY350" i="1" s="1"/>
  <c r="AZ350" i="1" s="1"/>
  <c r="BA350" i="1" s="1"/>
  <c r="BB350" i="1" s="1"/>
  <c r="BC350" i="1" s="1"/>
  <c r="BD350" i="1" s="1"/>
  <c r="BE350" i="1" s="1"/>
  <c r="AV360" i="1"/>
  <c r="AW360" i="1" s="1"/>
  <c r="AX360" i="1" s="1"/>
  <c r="AY360" i="1" s="1"/>
  <c r="AZ360" i="1" s="1"/>
  <c r="BA360" i="1" s="1"/>
  <c r="BB360" i="1" s="1"/>
  <c r="BC360" i="1" s="1"/>
  <c r="BD360" i="1" s="1"/>
  <c r="BE360" i="1" s="1"/>
  <c r="BF360" i="1" s="1"/>
  <c r="BJ360" i="1" s="1"/>
  <c r="BK360" i="1" s="1"/>
  <c r="BL360" i="1" s="1"/>
  <c r="BM360" i="1" s="1"/>
  <c r="BN360" i="1" s="1"/>
  <c r="BO360" i="1" s="1"/>
  <c r="BP360" i="1" s="1"/>
  <c r="BQ360" i="1" s="1"/>
  <c r="BR360" i="1" s="1"/>
  <c r="BS360" i="1" s="1"/>
  <c r="BT360" i="1" s="1"/>
  <c r="AV442" i="1"/>
  <c r="AW442" i="1" s="1"/>
  <c r="AX442" i="1" s="1"/>
  <c r="AY442" i="1" s="1"/>
  <c r="AZ442" i="1" s="1"/>
  <c r="BA442" i="1" s="1"/>
  <c r="BB442" i="1" s="1"/>
  <c r="BC442" i="1" s="1"/>
  <c r="BD442" i="1" s="1"/>
  <c r="BE442" i="1" s="1"/>
  <c r="AV450" i="1"/>
  <c r="AW450" i="1" s="1"/>
  <c r="AX450" i="1" s="1"/>
  <c r="AY450" i="1" s="1"/>
  <c r="AZ450" i="1" s="1"/>
  <c r="BA450" i="1" s="1"/>
  <c r="BB450" i="1" s="1"/>
  <c r="BC450" i="1" s="1"/>
  <c r="BD450" i="1" s="1"/>
  <c r="BE450" i="1" s="1"/>
  <c r="AV96" i="1"/>
  <c r="AW96" i="1" s="1"/>
  <c r="AX96" i="1" s="1"/>
  <c r="AY96" i="1" s="1"/>
  <c r="AZ96" i="1" s="1"/>
  <c r="BA96" i="1" s="1"/>
  <c r="BB96" i="1" s="1"/>
  <c r="BC96" i="1" s="1"/>
  <c r="BD96" i="1" s="1"/>
  <c r="BE96" i="1" s="1"/>
  <c r="BF96" i="1" s="1"/>
  <c r="BJ96" i="1" s="1"/>
  <c r="BK96" i="1" s="1"/>
  <c r="BL96" i="1" s="1"/>
  <c r="BM96" i="1" s="1"/>
  <c r="BN96" i="1" s="1"/>
  <c r="BO96" i="1" s="1"/>
  <c r="BP96" i="1" s="1"/>
  <c r="BQ96" i="1" s="1"/>
  <c r="BR96" i="1" s="1"/>
  <c r="BS96" i="1" s="1"/>
  <c r="BT96" i="1" s="1"/>
  <c r="AV6" i="1"/>
  <c r="AW6" i="1" s="1"/>
  <c r="AX6" i="1" s="1"/>
  <c r="AY6" i="1" s="1"/>
  <c r="AZ6" i="1" s="1"/>
  <c r="BA6" i="1" s="1"/>
  <c r="BB6" i="1" s="1"/>
  <c r="BC6" i="1" s="1"/>
  <c r="BD6" i="1" s="1"/>
  <c r="BE6" i="1" s="1"/>
  <c r="BF6" i="1" s="1"/>
  <c r="BJ6" i="1" s="1"/>
  <c r="BK6" i="1" s="1"/>
  <c r="BL6" i="1" s="1"/>
  <c r="BM6" i="1" s="1"/>
  <c r="BN6" i="1" s="1"/>
  <c r="BO6" i="1" s="1"/>
  <c r="BP6" i="1" s="1"/>
  <c r="BQ6" i="1" s="1"/>
  <c r="BR6" i="1" s="1"/>
  <c r="BS6" i="1" s="1"/>
  <c r="BT6" i="1" s="1"/>
  <c r="AV5" i="1"/>
  <c r="AW5" i="1" s="1"/>
  <c r="AX5" i="1" s="1"/>
  <c r="AY5" i="1" s="1"/>
  <c r="AZ5" i="1" s="1"/>
  <c r="BA5" i="1" s="1"/>
  <c r="BB5" i="1" s="1"/>
  <c r="BC5" i="1" s="1"/>
  <c r="BD5" i="1" s="1"/>
  <c r="BE5" i="1" s="1"/>
  <c r="AV143" i="1"/>
  <c r="AW143" i="1" s="1"/>
  <c r="AX143" i="1" s="1"/>
  <c r="AY143" i="1" s="1"/>
  <c r="AZ143" i="1" s="1"/>
  <c r="BA143" i="1" s="1"/>
  <c r="BB143" i="1" s="1"/>
  <c r="BC143" i="1" s="1"/>
  <c r="BD143" i="1" s="1"/>
  <c r="BE143" i="1" s="1"/>
  <c r="BF143" i="1" s="1"/>
  <c r="BJ143" i="1" s="1"/>
  <c r="BK143" i="1" s="1"/>
  <c r="AV130" i="1"/>
  <c r="AW130" i="1" s="1"/>
  <c r="AX130" i="1" s="1"/>
  <c r="AY130" i="1" s="1"/>
  <c r="AZ130" i="1" s="1"/>
  <c r="BA130" i="1" s="1"/>
  <c r="BB130" i="1" s="1"/>
  <c r="BC130" i="1" s="1"/>
  <c r="BD130" i="1" s="1"/>
  <c r="BE130" i="1" s="1"/>
  <c r="AV480" i="1"/>
  <c r="AW480" i="1" s="1"/>
  <c r="AX480" i="1" s="1"/>
  <c r="AY480" i="1" s="1"/>
  <c r="AZ480" i="1" s="1"/>
  <c r="BA480" i="1" s="1"/>
  <c r="BB480" i="1" s="1"/>
  <c r="BC480" i="1" s="1"/>
  <c r="BD480" i="1" s="1"/>
  <c r="BE480" i="1" s="1"/>
  <c r="AV581" i="1"/>
  <c r="AW581" i="1" s="1"/>
  <c r="AX581" i="1" s="1"/>
  <c r="AY581" i="1" s="1"/>
  <c r="AZ581" i="1" s="1"/>
  <c r="BA581" i="1" s="1"/>
  <c r="BB581" i="1" s="1"/>
  <c r="BC581" i="1" s="1"/>
  <c r="BD581" i="1" s="1"/>
  <c r="BE581" i="1" s="1"/>
  <c r="BF581" i="1" s="1"/>
  <c r="BJ581" i="1" s="1"/>
  <c r="BK581" i="1" s="1"/>
  <c r="BL581" i="1" s="1"/>
  <c r="BM581" i="1" s="1"/>
  <c r="BN581" i="1" s="1"/>
  <c r="BO581" i="1" s="1"/>
  <c r="BP581" i="1" s="1"/>
  <c r="BQ581" i="1" s="1"/>
  <c r="BR581" i="1" s="1"/>
  <c r="BS581" i="1" s="1"/>
  <c r="BT581" i="1" s="1"/>
  <c r="BU581" i="1" s="1"/>
  <c r="BY581" i="1" s="1"/>
  <c r="BZ581" i="1" s="1"/>
  <c r="CA581" i="1" s="1"/>
  <c r="CB581" i="1" s="1"/>
  <c r="CC581" i="1" s="1"/>
  <c r="CD581" i="1" s="1"/>
  <c r="CE581" i="1" s="1"/>
  <c r="CF581" i="1" s="1"/>
  <c r="CG581" i="1" s="1"/>
  <c r="CH581" i="1" s="1"/>
  <c r="CI581" i="1" s="1"/>
  <c r="CJ581" i="1" s="1"/>
  <c r="AV582" i="1"/>
  <c r="AW582" i="1" s="1"/>
  <c r="AX582" i="1" s="1"/>
  <c r="AY582" i="1" s="1"/>
  <c r="AZ582" i="1" s="1"/>
  <c r="BA582" i="1" s="1"/>
  <c r="BB582" i="1" s="1"/>
  <c r="BC582" i="1" s="1"/>
  <c r="BD582" i="1" s="1"/>
  <c r="BE582" i="1" s="1"/>
  <c r="BF582" i="1" s="1"/>
  <c r="BJ582" i="1" s="1"/>
  <c r="BK582" i="1" s="1"/>
  <c r="BL582" i="1" s="1"/>
  <c r="BM582" i="1" s="1"/>
  <c r="BN582" i="1" s="1"/>
  <c r="BO582" i="1" s="1"/>
  <c r="AV560" i="1"/>
  <c r="AW560" i="1" s="1"/>
  <c r="AX560" i="1" s="1"/>
  <c r="AV7" i="1"/>
  <c r="AW7" i="1" s="1"/>
  <c r="AX7" i="1" s="1"/>
  <c r="AY7" i="1" s="1"/>
  <c r="AZ7" i="1" s="1"/>
  <c r="BA7" i="1" s="1"/>
  <c r="BB7" i="1" s="1"/>
  <c r="BC7" i="1" s="1"/>
  <c r="BD7" i="1" s="1"/>
  <c r="BE7" i="1" s="1"/>
  <c r="BF7" i="1" s="1"/>
  <c r="BJ7" i="1" s="1"/>
  <c r="BK7" i="1" s="1"/>
  <c r="BL7" i="1" s="1"/>
  <c r="BM7" i="1" s="1"/>
  <c r="BN7" i="1" s="1"/>
  <c r="BO7" i="1" s="1"/>
  <c r="BP7" i="1" s="1"/>
  <c r="BQ7" i="1" s="1"/>
  <c r="BR7" i="1" s="1"/>
  <c r="BS7" i="1" s="1"/>
  <c r="BT7" i="1" s="1"/>
  <c r="AV391" i="1"/>
  <c r="AW391" i="1" s="1"/>
  <c r="AX391" i="1" s="1"/>
  <c r="AY391" i="1" s="1"/>
  <c r="AZ391" i="1" s="1"/>
  <c r="BA391" i="1" s="1"/>
  <c r="BB391" i="1" s="1"/>
  <c r="BC391" i="1" s="1"/>
  <c r="BD391" i="1" s="1"/>
  <c r="BE391" i="1" s="1"/>
  <c r="AV462" i="1"/>
  <c r="AW462" i="1" s="1"/>
  <c r="AX462" i="1" s="1"/>
  <c r="AY462" i="1" s="1"/>
  <c r="AZ462" i="1" s="1"/>
  <c r="BA462" i="1" s="1"/>
  <c r="BB462" i="1" s="1"/>
  <c r="BC462" i="1" s="1"/>
  <c r="BD462" i="1" s="1"/>
  <c r="BE462" i="1" s="1"/>
  <c r="AV321" i="1"/>
  <c r="AW321" i="1" s="1"/>
  <c r="AX321" i="1" s="1"/>
  <c r="AY321" i="1" s="1"/>
  <c r="AZ321" i="1" s="1"/>
  <c r="BA321" i="1" s="1"/>
  <c r="BB321" i="1" s="1"/>
  <c r="BC321" i="1" s="1"/>
  <c r="BD321" i="1" s="1"/>
  <c r="BE321" i="1" s="1"/>
  <c r="BF321" i="1" s="1"/>
  <c r="BJ321" i="1" s="1"/>
  <c r="BK321" i="1" s="1"/>
  <c r="BL321" i="1" s="1"/>
  <c r="BM321" i="1" s="1"/>
  <c r="BN321" i="1" s="1"/>
  <c r="BO321" i="1" s="1"/>
  <c r="BP321" i="1" s="1"/>
  <c r="BQ321" i="1" s="1"/>
  <c r="BR321" i="1" s="1"/>
  <c r="BS321" i="1" s="1"/>
  <c r="BT321" i="1" s="1"/>
  <c r="AV349" i="1"/>
  <c r="AW349" i="1" s="1"/>
  <c r="AX349" i="1" s="1"/>
  <c r="AY349" i="1" s="1"/>
  <c r="AZ349" i="1" s="1"/>
  <c r="BA349" i="1" s="1"/>
  <c r="BB349" i="1" s="1"/>
  <c r="BC349" i="1" s="1"/>
  <c r="BD349" i="1" s="1"/>
  <c r="BE349" i="1" s="1"/>
  <c r="BF349" i="1" s="1"/>
  <c r="BJ349" i="1" s="1"/>
  <c r="BK349" i="1" s="1"/>
  <c r="BL349" i="1" s="1"/>
  <c r="BM349" i="1" s="1"/>
  <c r="BN349" i="1" s="1"/>
  <c r="BO349" i="1" s="1"/>
  <c r="BP349" i="1" s="1"/>
  <c r="BQ349" i="1" s="1"/>
  <c r="BR349" i="1" s="1"/>
  <c r="BS349" i="1" s="1"/>
  <c r="BT349" i="1" s="1"/>
  <c r="AV125" i="1"/>
  <c r="AW125" i="1" s="1"/>
  <c r="AX125" i="1" s="1"/>
  <c r="AY125" i="1" s="1"/>
  <c r="AZ125" i="1" s="1"/>
  <c r="BA125" i="1" s="1"/>
  <c r="BB125" i="1" s="1"/>
  <c r="BC125" i="1" s="1"/>
  <c r="BD125" i="1" s="1"/>
  <c r="BE125" i="1" s="1"/>
  <c r="BF125" i="1" s="1"/>
  <c r="BJ125" i="1" s="1"/>
  <c r="BK125" i="1" s="1"/>
  <c r="AV98" i="1"/>
  <c r="AW98" i="1" s="1"/>
  <c r="AX98" i="1" s="1"/>
  <c r="AY98" i="1" s="1"/>
  <c r="AZ98" i="1" s="1"/>
  <c r="BA98" i="1" s="1"/>
  <c r="BB98" i="1" s="1"/>
  <c r="BC98" i="1" s="1"/>
  <c r="BD98" i="1" s="1"/>
  <c r="BE98" i="1" s="1"/>
  <c r="BF98" i="1" s="1"/>
  <c r="BJ98" i="1" s="1"/>
  <c r="BK98" i="1" s="1"/>
  <c r="BL98" i="1" s="1"/>
  <c r="BM98" i="1" s="1"/>
  <c r="BN98" i="1" s="1"/>
  <c r="BO98" i="1" s="1"/>
  <c r="BP98" i="1" s="1"/>
  <c r="BQ98" i="1" s="1"/>
  <c r="BR98" i="1" s="1"/>
  <c r="BS98" i="1" s="1"/>
  <c r="BT98" i="1" s="1"/>
  <c r="AV281" i="1"/>
  <c r="AW281" i="1" s="1"/>
  <c r="AX281" i="1" s="1"/>
  <c r="AY281" i="1" s="1"/>
  <c r="AZ281" i="1" s="1"/>
  <c r="BA281" i="1" s="1"/>
  <c r="BB281" i="1" s="1"/>
  <c r="BC281" i="1" s="1"/>
  <c r="BD281" i="1" s="1"/>
  <c r="BE281" i="1" s="1"/>
  <c r="AV315" i="1"/>
  <c r="AW315" i="1" s="1"/>
  <c r="AX315" i="1" s="1"/>
  <c r="AY315" i="1" s="1"/>
  <c r="AZ315" i="1" s="1"/>
  <c r="BA315" i="1" s="1"/>
  <c r="BB315" i="1" s="1"/>
  <c r="BC315" i="1" s="1"/>
  <c r="BD315" i="1" s="1"/>
  <c r="BE315" i="1" s="1"/>
  <c r="AV16" i="1"/>
  <c r="AW16" i="1" s="1"/>
  <c r="AX16" i="1" s="1"/>
  <c r="AY16" i="1" s="1"/>
  <c r="AZ16" i="1" s="1"/>
  <c r="BA16" i="1" s="1"/>
  <c r="BB16" i="1" s="1"/>
  <c r="BC16" i="1" s="1"/>
  <c r="BD16" i="1" s="1"/>
  <c r="BE16" i="1" s="1"/>
  <c r="BF16" i="1" s="1"/>
  <c r="BJ16" i="1" s="1"/>
  <c r="BK16" i="1" s="1"/>
  <c r="BL16" i="1" s="1"/>
  <c r="BM16" i="1" s="1"/>
  <c r="BN16" i="1" s="1"/>
  <c r="BO16" i="1" s="1"/>
  <c r="BP16" i="1" s="1"/>
  <c r="BQ16" i="1" s="1"/>
  <c r="BR16" i="1" s="1"/>
  <c r="BS16" i="1" s="1"/>
  <c r="BT16" i="1" s="1"/>
  <c r="AV566" i="1"/>
  <c r="AW566" i="1" s="1"/>
  <c r="AX566" i="1" s="1"/>
  <c r="AY566" i="1" s="1"/>
  <c r="AZ566" i="1" s="1"/>
  <c r="BA566" i="1" s="1"/>
  <c r="BB566" i="1" s="1"/>
  <c r="BC566" i="1" s="1"/>
  <c r="BD566" i="1" s="1"/>
  <c r="BE566" i="1" s="1"/>
  <c r="BF566" i="1" s="1"/>
  <c r="CZ566" i="1" s="1"/>
  <c r="AV133" i="1"/>
  <c r="AW133" i="1" s="1"/>
  <c r="AX133" i="1" s="1"/>
  <c r="AY133" i="1" s="1"/>
  <c r="AZ133" i="1" s="1"/>
  <c r="BA133" i="1" s="1"/>
  <c r="BB133" i="1" s="1"/>
  <c r="BC133" i="1" s="1"/>
  <c r="BD133" i="1" s="1"/>
  <c r="BE133" i="1" s="1"/>
  <c r="AV122" i="1"/>
  <c r="AW122" i="1" s="1"/>
  <c r="AX122" i="1" s="1"/>
  <c r="AY122" i="1" s="1"/>
  <c r="AZ122" i="1" s="1"/>
  <c r="BA122" i="1" s="1"/>
  <c r="BB122" i="1" s="1"/>
  <c r="BC122" i="1" s="1"/>
  <c r="BD122" i="1" s="1"/>
  <c r="BE122" i="1" s="1"/>
  <c r="BF122" i="1" s="1"/>
  <c r="BJ122" i="1" s="1"/>
  <c r="BK122" i="1" s="1"/>
  <c r="BL122" i="1" s="1"/>
  <c r="BM122" i="1" s="1"/>
  <c r="BN122" i="1" s="1"/>
  <c r="BO122" i="1" s="1"/>
  <c r="BP122" i="1" s="1"/>
  <c r="BQ122" i="1" s="1"/>
  <c r="BR122" i="1" s="1"/>
  <c r="BS122" i="1" s="1"/>
  <c r="BT122" i="1" s="1"/>
  <c r="AV129" i="1"/>
  <c r="AW129" i="1" s="1"/>
  <c r="AX129" i="1" s="1"/>
  <c r="AY129" i="1" s="1"/>
  <c r="AZ129" i="1" s="1"/>
  <c r="BA129" i="1" s="1"/>
  <c r="BB129" i="1" s="1"/>
  <c r="BC129" i="1" s="1"/>
  <c r="BD129" i="1" s="1"/>
  <c r="BE129" i="1" s="1"/>
  <c r="AV465" i="1"/>
  <c r="AW465" i="1" s="1"/>
  <c r="AX465" i="1" s="1"/>
  <c r="AY465" i="1" s="1"/>
  <c r="AZ465" i="1" s="1"/>
  <c r="BA465" i="1" s="1"/>
  <c r="BB465" i="1" s="1"/>
  <c r="BC465" i="1" s="1"/>
  <c r="BD465" i="1" s="1"/>
  <c r="BE465" i="1" s="1"/>
  <c r="AV137" i="1"/>
  <c r="AW137" i="1" s="1"/>
  <c r="AX137" i="1" s="1"/>
  <c r="AY137" i="1" s="1"/>
  <c r="AZ137" i="1" s="1"/>
  <c r="BA137" i="1" s="1"/>
  <c r="BB137" i="1" s="1"/>
  <c r="BC137" i="1" s="1"/>
  <c r="BD137" i="1" s="1"/>
  <c r="BE137" i="1" s="1"/>
  <c r="BF137" i="1" s="1"/>
  <c r="BJ137" i="1" s="1"/>
  <c r="BK137" i="1" s="1"/>
  <c r="AV454" i="1"/>
  <c r="AW454" i="1" s="1"/>
  <c r="AX454" i="1" s="1"/>
  <c r="AY454" i="1" s="1"/>
  <c r="AZ454" i="1" s="1"/>
  <c r="BA454" i="1" s="1"/>
  <c r="BB454" i="1" s="1"/>
  <c r="BC454" i="1" s="1"/>
  <c r="BD454" i="1" s="1"/>
  <c r="BE454" i="1" s="1"/>
  <c r="BF454" i="1" s="1"/>
  <c r="BJ454" i="1" s="1"/>
  <c r="BK454" i="1" s="1"/>
  <c r="BL454" i="1" s="1"/>
  <c r="BM454" i="1" s="1"/>
  <c r="BN454" i="1" s="1"/>
  <c r="BO454" i="1" s="1"/>
  <c r="BP454" i="1" s="1"/>
  <c r="BQ454" i="1" s="1"/>
  <c r="BR454" i="1" s="1"/>
  <c r="BS454" i="1" s="1"/>
  <c r="BT454" i="1" s="1"/>
  <c r="AV434" i="1"/>
  <c r="AW434" i="1" s="1"/>
  <c r="AX434" i="1" s="1"/>
  <c r="AY434" i="1" s="1"/>
  <c r="AZ434" i="1" s="1"/>
  <c r="BA434" i="1" s="1"/>
  <c r="BB434" i="1" s="1"/>
  <c r="BC434" i="1" s="1"/>
  <c r="BD434" i="1" s="1"/>
  <c r="BE434" i="1" s="1"/>
  <c r="AV139" i="1"/>
  <c r="AW139" i="1" s="1"/>
  <c r="AX139" i="1" s="1"/>
  <c r="AY139" i="1" s="1"/>
  <c r="AZ139" i="1" s="1"/>
  <c r="BA139" i="1" s="1"/>
  <c r="BB139" i="1" s="1"/>
  <c r="BC139" i="1" s="1"/>
  <c r="BD139" i="1" s="1"/>
  <c r="BE139" i="1" s="1"/>
  <c r="BF139" i="1" s="1"/>
  <c r="BJ139" i="1" s="1"/>
  <c r="BK139" i="1" s="1"/>
  <c r="AV60" i="1"/>
  <c r="AW60" i="1" s="1"/>
  <c r="AX60" i="1" s="1"/>
  <c r="AY60" i="1" s="1"/>
  <c r="AZ60" i="1" s="1"/>
  <c r="BA60" i="1" s="1"/>
  <c r="BB60" i="1" s="1"/>
  <c r="BC60" i="1" s="1"/>
  <c r="BD60" i="1" s="1"/>
  <c r="BE60" i="1" s="1"/>
  <c r="AV127" i="1"/>
  <c r="AW127" i="1" s="1"/>
  <c r="AX127" i="1" s="1"/>
  <c r="AY127" i="1" s="1"/>
  <c r="AZ127" i="1" s="1"/>
  <c r="BA127" i="1" s="1"/>
  <c r="BB127" i="1" s="1"/>
  <c r="BC127" i="1" s="1"/>
  <c r="BD127" i="1" s="1"/>
  <c r="BE127" i="1" s="1"/>
  <c r="AV317" i="1"/>
  <c r="AW317" i="1" s="1"/>
  <c r="AX317" i="1" s="1"/>
  <c r="AY317" i="1" s="1"/>
  <c r="AZ317" i="1" s="1"/>
  <c r="BA317" i="1" s="1"/>
  <c r="BB317" i="1" s="1"/>
  <c r="BC317" i="1" s="1"/>
  <c r="BD317" i="1" s="1"/>
  <c r="BE317" i="1" s="1"/>
  <c r="BF317" i="1" s="1"/>
  <c r="BJ317" i="1" s="1"/>
  <c r="BK317" i="1" s="1"/>
  <c r="BL317" i="1" s="1"/>
  <c r="BM317" i="1" s="1"/>
  <c r="BN317" i="1" s="1"/>
  <c r="BO317" i="1" s="1"/>
  <c r="BP317" i="1" s="1"/>
  <c r="BQ317" i="1" s="1"/>
  <c r="BR317" i="1" s="1"/>
  <c r="BS317" i="1" s="1"/>
  <c r="BT317" i="1" s="1"/>
  <c r="AV583" i="1"/>
  <c r="AW583" i="1" s="1"/>
  <c r="AX583" i="1" s="1"/>
  <c r="AY583" i="1" s="1"/>
  <c r="AZ583" i="1" s="1"/>
  <c r="BA583" i="1" s="1"/>
  <c r="BB583" i="1" s="1"/>
  <c r="BC583" i="1" s="1"/>
  <c r="BD583" i="1" s="1"/>
  <c r="BE583" i="1" s="1"/>
  <c r="BF583" i="1" s="1"/>
  <c r="BJ583" i="1" s="1"/>
  <c r="BK583" i="1" s="1"/>
  <c r="BL583" i="1" s="1"/>
  <c r="BM583" i="1" s="1"/>
  <c r="BN583" i="1" s="1"/>
  <c r="BO583" i="1" s="1"/>
  <c r="BP583" i="1" s="1"/>
  <c r="BQ583" i="1" s="1"/>
  <c r="BR583" i="1" s="1"/>
  <c r="BS583" i="1" s="1"/>
  <c r="BT583" i="1" s="1"/>
  <c r="BU583" i="1" s="1"/>
  <c r="BY583" i="1" s="1"/>
  <c r="BZ583" i="1" s="1"/>
  <c r="CA583" i="1" s="1"/>
  <c r="CB583" i="1" s="1"/>
  <c r="CC583" i="1" s="1"/>
  <c r="CD583" i="1" s="1"/>
  <c r="CE583" i="1" s="1"/>
  <c r="CF583" i="1" s="1"/>
  <c r="CG583" i="1" s="1"/>
  <c r="CH583" i="1" s="1"/>
  <c r="CI583" i="1" s="1"/>
  <c r="CJ583" i="1" s="1"/>
  <c r="AV451" i="1"/>
  <c r="AW451" i="1" s="1"/>
  <c r="AX451" i="1" s="1"/>
  <c r="AY451" i="1" s="1"/>
  <c r="AZ451" i="1" s="1"/>
  <c r="BA451" i="1" s="1"/>
  <c r="BB451" i="1" s="1"/>
  <c r="BC451" i="1" s="1"/>
  <c r="BD451" i="1" s="1"/>
  <c r="BE451" i="1" s="1"/>
  <c r="AV35" i="1"/>
  <c r="AW35" i="1" s="1"/>
  <c r="AX35" i="1" s="1"/>
  <c r="AY35" i="1" s="1"/>
  <c r="AZ35" i="1" s="1"/>
  <c r="BA35" i="1" s="1"/>
  <c r="BB35" i="1" s="1"/>
  <c r="BC35" i="1" s="1"/>
  <c r="BD35" i="1" s="1"/>
  <c r="BE35" i="1" s="1"/>
  <c r="BF35" i="1" s="1"/>
  <c r="BJ35" i="1" s="1"/>
  <c r="BK35" i="1" s="1"/>
  <c r="BL35" i="1" s="1"/>
  <c r="BM35" i="1" s="1"/>
  <c r="BN35" i="1" s="1"/>
  <c r="BO35" i="1" s="1"/>
  <c r="BP35" i="1" s="1"/>
  <c r="BQ35" i="1" s="1"/>
  <c r="BR35" i="1" s="1"/>
  <c r="BS35" i="1" s="1"/>
  <c r="BT35" i="1" s="1"/>
  <c r="AV441" i="1"/>
  <c r="AW441" i="1" s="1"/>
  <c r="AX441" i="1" s="1"/>
  <c r="AY441" i="1" s="1"/>
  <c r="AZ441" i="1" s="1"/>
  <c r="BA441" i="1" s="1"/>
  <c r="BB441" i="1" s="1"/>
  <c r="BC441" i="1" s="1"/>
  <c r="BD441" i="1" s="1"/>
  <c r="BE441" i="1" s="1"/>
  <c r="AV445" i="1"/>
  <c r="AW445" i="1" s="1"/>
  <c r="AX445" i="1" s="1"/>
  <c r="AY445" i="1" s="1"/>
  <c r="AZ445" i="1" s="1"/>
  <c r="BA445" i="1" s="1"/>
  <c r="BB445" i="1" s="1"/>
  <c r="BC445" i="1" s="1"/>
  <c r="BD445" i="1" s="1"/>
  <c r="BE445" i="1" s="1"/>
  <c r="AV142" i="1"/>
  <c r="AW142" i="1" s="1"/>
  <c r="AX142" i="1" s="1"/>
  <c r="AY142" i="1" s="1"/>
  <c r="AZ142" i="1" s="1"/>
  <c r="BA142" i="1" s="1"/>
  <c r="BB142" i="1" s="1"/>
  <c r="BC142" i="1" s="1"/>
  <c r="BD142" i="1" s="1"/>
  <c r="BE142" i="1" s="1"/>
  <c r="BF142" i="1" s="1"/>
  <c r="BJ142" i="1" s="1"/>
  <c r="BK142" i="1" s="1"/>
  <c r="AV477" i="1"/>
  <c r="AW477" i="1" s="1"/>
  <c r="AX477" i="1" s="1"/>
  <c r="AY477" i="1" s="1"/>
  <c r="AZ477" i="1" s="1"/>
  <c r="BA477" i="1" s="1"/>
  <c r="BB477" i="1" s="1"/>
  <c r="BC477" i="1" s="1"/>
  <c r="BD477" i="1" s="1"/>
  <c r="BE477" i="1" s="1"/>
  <c r="BF477" i="1" s="1"/>
  <c r="BJ477" i="1" s="1"/>
  <c r="BK477" i="1" s="1"/>
  <c r="BL477" i="1" s="1"/>
  <c r="BM477" i="1" s="1"/>
  <c r="BN477" i="1" s="1"/>
  <c r="BO477" i="1" s="1"/>
  <c r="BP477" i="1" s="1"/>
  <c r="BQ477" i="1" s="1"/>
  <c r="BR477" i="1" s="1"/>
  <c r="BS477" i="1" s="1"/>
  <c r="BT477" i="1" s="1"/>
  <c r="AV169" i="1"/>
  <c r="AW169" i="1" s="1"/>
  <c r="AX169" i="1" s="1"/>
  <c r="AY169" i="1" s="1"/>
  <c r="AZ169" i="1" s="1"/>
  <c r="BA169" i="1" s="1"/>
  <c r="BB169" i="1" s="1"/>
  <c r="BC169" i="1" s="1"/>
  <c r="BD169" i="1" s="1"/>
  <c r="BE169" i="1" s="1"/>
  <c r="AV455" i="1"/>
  <c r="AW455" i="1" s="1"/>
  <c r="AX455" i="1" s="1"/>
  <c r="AY455" i="1" s="1"/>
  <c r="AZ455" i="1" s="1"/>
  <c r="BA455" i="1" s="1"/>
  <c r="BB455" i="1" s="1"/>
  <c r="BC455" i="1" s="1"/>
  <c r="BD455" i="1" s="1"/>
  <c r="BE455" i="1" s="1"/>
  <c r="BF455" i="1" s="1"/>
  <c r="BJ455" i="1" s="1"/>
  <c r="BK455" i="1" s="1"/>
  <c r="BL455" i="1" s="1"/>
  <c r="BM455" i="1" s="1"/>
  <c r="BN455" i="1" s="1"/>
  <c r="BO455" i="1" s="1"/>
  <c r="BP455" i="1" s="1"/>
  <c r="BQ455" i="1" s="1"/>
  <c r="BR455" i="1" s="1"/>
  <c r="BS455" i="1" s="1"/>
  <c r="BT455" i="1" s="1"/>
  <c r="AV221" i="1"/>
  <c r="AW221" i="1" s="1"/>
  <c r="AX221" i="1" s="1"/>
  <c r="AY221" i="1" s="1"/>
  <c r="AZ221" i="1" s="1"/>
  <c r="BA221" i="1" s="1"/>
  <c r="BB221" i="1" s="1"/>
  <c r="BC221" i="1" s="1"/>
  <c r="BD221" i="1" s="1"/>
  <c r="BE221" i="1" s="1"/>
  <c r="AV459" i="1"/>
  <c r="AW459" i="1" s="1"/>
  <c r="AX459" i="1" s="1"/>
  <c r="AY459" i="1" s="1"/>
  <c r="AZ459" i="1" s="1"/>
  <c r="BA459" i="1" s="1"/>
  <c r="BB459" i="1" s="1"/>
  <c r="BC459" i="1" s="1"/>
  <c r="BD459" i="1" s="1"/>
  <c r="BE459" i="1" s="1"/>
  <c r="AV449" i="1"/>
  <c r="AW449" i="1" s="1"/>
  <c r="AX449" i="1" s="1"/>
  <c r="AY449" i="1" s="1"/>
  <c r="AZ449" i="1" s="1"/>
  <c r="BA449" i="1" s="1"/>
  <c r="BB449" i="1" s="1"/>
  <c r="BC449" i="1" s="1"/>
  <c r="BD449" i="1" s="1"/>
  <c r="BE449" i="1" s="1"/>
  <c r="BF449" i="1" s="1"/>
  <c r="BJ449" i="1" s="1"/>
  <c r="BK449" i="1" s="1"/>
  <c r="BL449" i="1" s="1"/>
  <c r="BM449" i="1" s="1"/>
  <c r="BN449" i="1" s="1"/>
  <c r="BO449" i="1" s="1"/>
  <c r="BP449" i="1" s="1"/>
  <c r="BQ449" i="1" s="1"/>
  <c r="BR449" i="1" s="1"/>
  <c r="BS449" i="1" s="1"/>
  <c r="BT449" i="1" s="1"/>
  <c r="AV478" i="1"/>
  <c r="AW478" i="1" s="1"/>
  <c r="AX478" i="1" s="1"/>
  <c r="AY478" i="1" s="1"/>
  <c r="AZ478" i="1" s="1"/>
  <c r="BA478" i="1" s="1"/>
  <c r="BB478" i="1" s="1"/>
  <c r="BC478" i="1" s="1"/>
  <c r="BD478" i="1" s="1"/>
  <c r="BE478" i="1" s="1"/>
  <c r="BF478" i="1" s="1"/>
  <c r="BJ478" i="1" s="1"/>
  <c r="BK478" i="1" s="1"/>
  <c r="BL478" i="1" s="1"/>
  <c r="BM478" i="1" s="1"/>
  <c r="BN478" i="1" s="1"/>
  <c r="BO478" i="1" s="1"/>
  <c r="BP478" i="1" s="1"/>
  <c r="BQ478" i="1" s="1"/>
  <c r="BR478" i="1" s="1"/>
  <c r="BS478" i="1" s="1"/>
  <c r="BT478" i="1" s="1"/>
  <c r="AV443" i="1"/>
  <c r="AW443" i="1" s="1"/>
  <c r="AX443" i="1" s="1"/>
  <c r="AY443" i="1" s="1"/>
  <c r="AZ443" i="1" s="1"/>
  <c r="BA443" i="1" s="1"/>
  <c r="BB443" i="1" s="1"/>
  <c r="BC443" i="1" s="1"/>
  <c r="BD443" i="1" s="1"/>
  <c r="BE443" i="1" s="1"/>
  <c r="AV481" i="1"/>
  <c r="AW481" i="1" s="1"/>
  <c r="AX481" i="1" s="1"/>
  <c r="AY481" i="1" s="1"/>
  <c r="AZ481" i="1" s="1"/>
  <c r="BA481" i="1" s="1"/>
  <c r="BB481" i="1" s="1"/>
  <c r="BC481" i="1" s="1"/>
  <c r="BD481" i="1" s="1"/>
  <c r="BE481" i="1" s="1"/>
  <c r="AV482" i="1"/>
  <c r="AW482" i="1" s="1"/>
  <c r="AX482" i="1" s="1"/>
  <c r="AY482" i="1" s="1"/>
  <c r="AZ482" i="1" s="1"/>
  <c r="BA482" i="1" s="1"/>
  <c r="BB482" i="1" s="1"/>
  <c r="BC482" i="1" s="1"/>
  <c r="BD482" i="1" s="1"/>
  <c r="BE482" i="1" s="1"/>
  <c r="AV463" i="1"/>
  <c r="AW463" i="1" s="1"/>
  <c r="AX463" i="1" s="1"/>
  <c r="AY463" i="1" s="1"/>
  <c r="AZ463" i="1" s="1"/>
  <c r="BA463" i="1" s="1"/>
  <c r="BB463" i="1" s="1"/>
  <c r="BC463" i="1" s="1"/>
  <c r="BD463" i="1" s="1"/>
  <c r="BE463" i="1" s="1"/>
  <c r="BF463" i="1" s="1"/>
  <c r="BJ463" i="1" s="1"/>
  <c r="BK463" i="1" s="1"/>
  <c r="BL463" i="1" s="1"/>
  <c r="BM463" i="1" s="1"/>
  <c r="BN463" i="1" s="1"/>
  <c r="BO463" i="1" s="1"/>
  <c r="BP463" i="1" s="1"/>
  <c r="BQ463" i="1" s="1"/>
  <c r="BR463" i="1" s="1"/>
  <c r="BS463" i="1" s="1"/>
  <c r="BT463" i="1" s="1"/>
  <c r="AV55" i="1"/>
  <c r="AW55" i="1" s="1"/>
  <c r="AX55" i="1" s="1"/>
  <c r="AY55" i="1" s="1"/>
  <c r="AZ55" i="1" s="1"/>
  <c r="BA55" i="1" s="1"/>
  <c r="BB55" i="1" s="1"/>
  <c r="BC55" i="1" s="1"/>
  <c r="BD55" i="1" s="1"/>
  <c r="BE55" i="1" s="1"/>
  <c r="BF55" i="1" s="1"/>
  <c r="BJ55" i="1" s="1"/>
  <c r="BK55" i="1" s="1"/>
  <c r="BL55" i="1" s="1"/>
  <c r="BM55" i="1" s="1"/>
  <c r="BN55" i="1" s="1"/>
  <c r="BO55" i="1" s="1"/>
  <c r="BP55" i="1" s="1"/>
  <c r="BQ55" i="1" s="1"/>
  <c r="BR55" i="1" s="1"/>
  <c r="BS55" i="1" s="1"/>
  <c r="BT55" i="1" s="1"/>
  <c r="AV36" i="1"/>
  <c r="AW36" i="1" s="1"/>
  <c r="AX36" i="1" s="1"/>
  <c r="AY36" i="1" s="1"/>
  <c r="AZ36" i="1" s="1"/>
  <c r="BA36" i="1" s="1"/>
  <c r="BB36" i="1" s="1"/>
  <c r="BC36" i="1" s="1"/>
  <c r="BD36" i="1" s="1"/>
  <c r="BE36" i="1" s="1"/>
  <c r="BF36" i="1" s="1"/>
  <c r="BJ36" i="1" s="1"/>
  <c r="BK36" i="1" s="1"/>
  <c r="BL36" i="1" s="1"/>
  <c r="BM36" i="1" s="1"/>
  <c r="BN36" i="1" s="1"/>
  <c r="BO36" i="1" s="1"/>
  <c r="BP36" i="1" s="1"/>
  <c r="BQ36" i="1" s="1"/>
  <c r="BR36" i="1" s="1"/>
  <c r="BS36" i="1" s="1"/>
  <c r="BT36" i="1" s="1"/>
  <c r="AV457" i="1"/>
  <c r="AW457" i="1" s="1"/>
  <c r="AX457" i="1" s="1"/>
  <c r="AY457" i="1" s="1"/>
  <c r="AZ457" i="1" s="1"/>
  <c r="BA457" i="1" s="1"/>
  <c r="BB457" i="1" s="1"/>
  <c r="BC457" i="1" s="1"/>
  <c r="BD457" i="1" s="1"/>
  <c r="BE457" i="1" s="1"/>
  <c r="BF457" i="1" s="1"/>
  <c r="BJ457" i="1" s="1"/>
  <c r="BK457" i="1" s="1"/>
  <c r="BL457" i="1" s="1"/>
  <c r="BM457" i="1" s="1"/>
  <c r="BN457" i="1" s="1"/>
  <c r="BO457" i="1" s="1"/>
  <c r="BP457" i="1" s="1"/>
  <c r="BQ457" i="1" s="1"/>
  <c r="BR457" i="1" s="1"/>
  <c r="BS457" i="1" s="1"/>
  <c r="BT457" i="1" s="1"/>
  <c r="AV132" i="1"/>
  <c r="AW132" i="1" s="1"/>
  <c r="AX132" i="1" s="1"/>
  <c r="AY132" i="1" s="1"/>
  <c r="AZ132" i="1" s="1"/>
  <c r="BA132" i="1" s="1"/>
  <c r="BB132" i="1" s="1"/>
  <c r="BC132" i="1" s="1"/>
  <c r="BD132" i="1" s="1"/>
  <c r="BE132" i="1" s="1"/>
  <c r="AV135" i="1"/>
  <c r="AW135" i="1" s="1"/>
  <c r="AX135" i="1" s="1"/>
  <c r="AY135" i="1" s="1"/>
  <c r="AZ135" i="1" s="1"/>
  <c r="BA135" i="1" s="1"/>
  <c r="BB135" i="1" s="1"/>
  <c r="BC135" i="1" s="1"/>
  <c r="BD135" i="1" s="1"/>
  <c r="BE135" i="1" s="1"/>
  <c r="AV102" i="1"/>
  <c r="AW102" i="1" s="1"/>
  <c r="AX102" i="1" s="1"/>
  <c r="AY102" i="1" s="1"/>
  <c r="AZ102" i="1" s="1"/>
  <c r="BA102" i="1" s="1"/>
  <c r="BB102" i="1" s="1"/>
  <c r="BC102" i="1" s="1"/>
  <c r="BD102" i="1" s="1"/>
  <c r="BE102" i="1" s="1"/>
  <c r="BF102" i="1" s="1"/>
  <c r="BJ102" i="1" s="1"/>
  <c r="BK102" i="1" s="1"/>
  <c r="BL102" i="1" s="1"/>
  <c r="BM102" i="1" s="1"/>
  <c r="BN102" i="1" s="1"/>
  <c r="BO102" i="1" s="1"/>
  <c r="BP102" i="1" s="1"/>
  <c r="BQ102" i="1" s="1"/>
  <c r="BR102" i="1" s="1"/>
  <c r="BS102" i="1" s="1"/>
  <c r="BT102" i="1" s="1"/>
  <c r="AV338" i="1"/>
  <c r="AW338" i="1" s="1"/>
  <c r="AX338" i="1" s="1"/>
  <c r="AY338" i="1" s="1"/>
  <c r="AZ338" i="1" s="1"/>
  <c r="BA338" i="1" s="1"/>
  <c r="BB338" i="1" s="1"/>
  <c r="BC338" i="1" s="1"/>
  <c r="BD338" i="1" s="1"/>
  <c r="BE338" i="1" s="1"/>
  <c r="BF338" i="1" s="1"/>
  <c r="BJ338" i="1" s="1"/>
  <c r="BK338" i="1" s="1"/>
  <c r="BL338" i="1" s="1"/>
  <c r="BM338" i="1" s="1"/>
  <c r="BN338" i="1" s="1"/>
  <c r="BO338" i="1" s="1"/>
  <c r="BP338" i="1" s="1"/>
  <c r="BQ338" i="1" s="1"/>
  <c r="BR338" i="1" s="1"/>
  <c r="BS338" i="1" s="1"/>
  <c r="BT338" i="1" s="1"/>
  <c r="AV51" i="1"/>
  <c r="AW51" i="1" s="1"/>
  <c r="AX51" i="1" s="1"/>
  <c r="AY51" i="1" s="1"/>
  <c r="AZ51" i="1" s="1"/>
  <c r="BA51" i="1" s="1"/>
  <c r="BB51" i="1" s="1"/>
  <c r="BC51" i="1" s="1"/>
  <c r="BD51" i="1" s="1"/>
  <c r="BE51" i="1" s="1"/>
  <c r="AV446" i="1"/>
  <c r="AW446" i="1" s="1"/>
  <c r="AX446" i="1" s="1"/>
  <c r="AY446" i="1" s="1"/>
  <c r="AZ446" i="1" s="1"/>
  <c r="BA446" i="1" s="1"/>
  <c r="BB446" i="1" s="1"/>
  <c r="BC446" i="1" s="1"/>
  <c r="BD446" i="1" s="1"/>
  <c r="BE446" i="1" s="1"/>
  <c r="BF446" i="1" s="1"/>
  <c r="BJ446" i="1" s="1"/>
  <c r="BK446" i="1" s="1"/>
  <c r="BL446" i="1" s="1"/>
  <c r="BM446" i="1" s="1"/>
  <c r="BN446" i="1" s="1"/>
  <c r="BO446" i="1" s="1"/>
  <c r="BP446" i="1" s="1"/>
  <c r="BQ446" i="1" s="1"/>
  <c r="BR446" i="1" s="1"/>
  <c r="BS446" i="1" s="1"/>
  <c r="BT446" i="1" s="1"/>
  <c r="AV488" i="1"/>
  <c r="AW488" i="1" s="1"/>
  <c r="AX488" i="1" s="1"/>
  <c r="AY488" i="1" s="1"/>
  <c r="AZ488" i="1" s="1"/>
  <c r="BA488" i="1" s="1"/>
  <c r="BB488" i="1" s="1"/>
  <c r="BC488" i="1" s="1"/>
  <c r="BD488" i="1" s="1"/>
  <c r="BE488" i="1" s="1"/>
  <c r="AV232" i="1"/>
  <c r="AW232" i="1" s="1"/>
  <c r="AX232" i="1" s="1"/>
  <c r="AY232" i="1" s="1"/>
  <c r="AZ232" i="1" s="1"/>
  <c r="BA232" i="1" s="1"/>
  <c r="BB232" i="1" s="1"/>
  <c r="BC232" i="1" s="1"/>
  <c r="BD232" i="1" s="1"/>
  <c r="BE232" i="1" s="1"/>
  <c r="AV357" i="1"/>
  <c r="AW357" i="1" s="1"/>
  <c r="AX357" i="1" s="1"/>
  <c r="AY357" i="1" s="1"/>
  <c r="AZ357" i="1" s="1"/>
  <c r="BA357" i="1" s="1"/>
  <c r="BB357" i="1" s="1"/>
  <c r="BC357" i="1" s="1"/>
  <c r="BD357" i="1" s="1"/>
  <c r="BE357" i="1" s="1"/>
  <c r="BF357" i="1" s="1"/>
  <c r="BJ357" i="1" s="1"/>
  <c r="BK357" i="1" s="1"/>
  <c r="BL357" i="1" s="1"/>
  <c r="BM357" i="1" s="1"/>
  <c r="BN357" i="1" s="1"/>
  <c r="BO357" i="1" s="1"/>
  <c r="BP357" i="1" s="1"/>
  <c r="BQ357" i="1" s="1"/>
  <c r="BR357" i="1" s="1"/>
  <c r="BS357" i="1" s="1"/>
  <c r="BT357" i="1" s="1"/>
  <c r="AV309" i="1"/>
  <c r="AW309" i="1" s="1"/>
  <c r="AX309" i="1" s="1"/>
  <c r="AY309" i="1" s="1"/>
  <c r="AZ309" i="1" s="1"/>
  <c r="BA309" i="1" s="1"/>
  <c r="BB309" i="1" s="1"/>
  <c r="BC309" i="1" s="1"/>
  <c r="BD309" i="1" s="1"/>
  <c r="BE309" i="1" s="1"/>
  <c r="BF309" i="1" s="1"/>
  <c r="BJ309" i="1" s="1"/>
  <c r="BK309" i="1" s="1"/>
  <c r="BL309" i="1" s="1"/>
  <c r="BM309" i="1" s="1"/>
  <c r="BN309" i="1" s="1"/>
  <c r="BO309" i="1" s="1"/>
  <c r="BP309" i="1" s="1"/>
  <c r="BQ309" i="1" s="1"/>
  <c r="BR309" i="1" s="1"/>
  <c r="BS309" i="1" s="1"/>
  <c r="BT309" i="1" s="1"/>
  <c r="AV559" i="1"/>
  <c r="AW559" i="1" s="1"/>
  <c r="AX559" i="1" s="1"/>
  <c r="AY559" i="1" s="1"/>
  <c r="AZ559" i="1" s="1"/>
  <c r="BA559" i="1" s="1"/>
  <c r="BB559" i="1" s="1"/>
  <c r="BC559" i="1" s="1"/>
  <c r="BD559" i="1" s="1"/>
  <c r="BE559" i="1" s="1"/>
  <c r="BF559" i="1" s="1"/>
  <c r="CZ559" i="1" s="1"/>
  <c r="AV107" i="1"/>
  <c r="AW107" i="1" s="1"/>
  <c r="AX107" i="1" s="1"/>
  <c r="AY107" i="1" s="1"/>
  <c r="AZ107" i="1" s="1"/>
  <c r="BA107" i="1" s="1"/>
  <c r="BB107" i="1" s="1"/>
  <c r="BC107" i="1" s="1"/>
  <c r="BD107" i="1" s="1"/>
  <c r="BE107" i="1" s="1"/>
  <c r="BF107" i="1" s="1"/>
  <c r="BJ107" i="1" s="1"/>
  <c r="BK107" i="1" s="1"/>
  <c r="BL107" i="1" s="1"/>
  <c r="BM107" i="1" s="1"/>
  <c r="BN107" i="1" s="1"/>
  <c r="BO107" i="1" s="1"/>
  <c r="BP107" i="1" s="1"/>
  <c r="BQ107" i="1" s="1"/>
  <c r="BR107" i="1" s="1"/>
  <c r="BS107" i="1" s="1"/>
  <c r="BT107" i="1" s="1"/>
  <c r="AV397" i="1"/>
  <c r="AW397" i="1" s="1"/>
  <c r="AX397" i="1" s="1"/>
  <c r="AY397" i="1" s="1"/>
  <c r="AZ397" i="1" s="1"/>
  <c r="BA397" i="1" s="1"/>
  <c r="BB397" i="1" s="1"/>
  <c r="BC397" i="1" s="1"/>
  <c r="BD397" i="1" s="1"/>
  <c r="BE397" i="1" s="1"/>
  <c r="AV466" i="1"/>
  <c r="AW466" i="1" s="1"/>
  <c r="AX466" i="1" s="1"/>
  <c r="AY466" i="1" s="1"/>
  <c r="AZ466" i="1" s="1"/>
  <c r="BA466" i="1" s="1"/>
  <c r="BB466" i="1" s="1"/>
  <c r="BC466" i="1" s="1"/>
  <c r="BD466" i="1" s="1"/>
  <c r="BE466" i="1" s="1"/>
  <c r="BF466" i="1" s="1"/>
  <c r="BJ466" i="1" s="1"/>
  <c r="BK466" i="1" s="1"/>
  <c r="BL466" i="1" s="1"/>
  <c r="BM466" i="1" s="1"/>
  <c r="BN466" i="1" s="1"/>
  <c r="BO466" i="1" s="1"/>
  <c r="BP466" i="1" s="1"/>
  <c r="BQ466" i="1" s="1"/>
  <c r="BR466" i="1" s="1"/>
  <c r="BS466" i="1" s="1"/>
  <c r="BT466" i="1" s="1"/>
  <c r="AV461" i="1"/>
  <c r="AW461" i="1" s="1"/>
  <c r="AX461" i="1" s="1"/>
  <c r="AY461" i="1" s="1"/>
  <c r="AZ461" i="1" s="1"/>
  <c r="BA461" i="1" s="1"/>
  <c r="BB461" i="1" s="1"/>
  <c r="BC461" i="1" s="1"/>
  <c r="BD461" i="1" s="1"/>
  <c r="BE461" i="1" s="1"/>
  <c r="BF461" i="1" s="1"/>
  <c r="BJ461" i="1" s="1"/>
  <c r="BK461" i="1" s="1"/>
  <c r="BL461" i="1" s="1"/>
  <c r="BM461" i="1" s="1"/>
  <c r="BN461" i="1" s="1"/>
  <c r="BO461" i="1" s="1"/>
  <c r="BP461" i="1" s="1"/>
  <c r="BQ461" i="1" s="1"/>
  <c r="BR461" i="1" s="1"/>
  <c r="BS461" i="1" s="1"/>
  <c r="BT461" i="1" s="1"/>
  <c r="AV310" i="1"/>
  <c r="AW310" i="1" s="1"/>
  <c r="AX310" i="1" s="1"/>
  <c r="AY310" i="1" s="1"/>
  <c r="AZ310" i="1" s="1"/>
  <c r="BA310" i="1" s="1"/>
  <c r="BB310" i="1" s="1"/>
  <c r="BC310" i="1" s="1"/>
  <c r="BD310" i="1" s="1"/>
  <c r="BE310" i="1" s="1"/>
  <c r="BF310" i="1" s="1"/>
  <c r="BJ310" i="1" s="1"/>
  <c r="BK310" i="1" s="1"/>
  <c r="BL310" i="1" s="1"/>
  <c r="BM310" i="1" s="1"/>
  <c r="BN310" i="1" s="1"/>
  <c r="BO310" i="1" s="1"/>
  <c r="BP310" i="1" s="1"/>
  <c r="BQ310" i="1" s="1"/>
  <c r="BR310" i="1" s="1"/>
  <c r="BS310" i="1" s="1"/>
  <c r="BT310" i="1" s="1"/>
  <c r="AV136" i="1"/>
  <c r="AW136" i="1" s="1"/>
  <c r="AX136" i="1" s="1"/>
  <c r="AY136" i="1" s="1"/>
  <c r="AZ136" i="1" s="1"/>
  <c r="BA136" i="1" s="1"/>
  <c r="BB136" i="1" s="1"/>
  <c r="BC136" i="1" s="1"/>
  <c r="BD136" i="1" s="1"/>
  <c r="BE136" i="1" s="1"/>
  <c r="BF136" i="1" s="1"/>
  <c r="BJ136" i="1" s="1"/>
  <c r="BK136" i="1" s="1"/>
  <c r="AV358" i="1"/>
  <c r="AW358" i="1" s="1"/>
  <c r="AX358" i="1" s="1"/>
  <c r="AY358" i="1" s="1"/>
  <c r="AZ358" i="1" s="1"/>
  <c r="BA358" i="1" s="1"/>
  <c r="BB358" i="1" s="1"/>
  <c r="BC358" i="1" s="1"/>
  <c r="BD358" i="1" s="1"/>
  <c r="BE358" i="1" s="1"/>
  <c r="BF358" i="1" s="1"/>
  <c r="BJ358" i="1" s="1"/>
  <c r="BK358" i="1" s="1"/>
  <c r="BL358" i="1" s="1"/>
  <c r="BM358" i="1" s="1"/>
  <c r="BN358" i="1" s="1"/>
  <c r="BO358" i="1" s="1"/>
  <c r="BP358" i="1" s="1"/>
  <c r="BQ358" i="1" s="1"/>
  <c r="BR358" i="1" s="1"/>
  <c r="BS358" i="1" s="1"/>
  <c r="BT358" i="1" s="1"/>
  <c r="AV479" i="1"/>
  <c r="AW479" i="1" s="1"/>
  <c r="AX479" i="1" s="1"/>
  <c r="AY479" i="1" s="1"/>
  <c r="AZ479" i="1" s="1"/>
  <c r="BA479" i="1" s="1"/>
  <c r="BB479" i="1" s="1"/>
  <c r="BC479" i="1" s="1"/>
  <c r="BD479" i="1" s="1"/>
  <c r="BE479" i="1" s="1"/>
  <c r="AV292" i="1"/>
  <c r="AW292" i="1" s="1"/>
  <c r="AX292" i="1" s="1"/>
  <c r="AY292" i="1" s="1"/>
  <c r="AZ292" i="1" s="1"/>
  <c r="BA292" i="1" s="1"/>
  <c r="BB292" i="1" s="1"/>
  <c r="BC292" i="1" s="1"/>
  <c r="BD292" i="1" s="1"/>
  <c r="BE292" i="1" s="1"/>
  <c r="AV134" i="1"/>
  <c r="AW134" i="1" s="1"/>
  <c r="AX134" i="1" s="1"/>
  <c r="AY134" i="1" s="1"/>
  <c r="AZ134" i="1" s="1"/>
  <c r="BA134" i="1" s="1"/>
  <c r="BB134" i="1" s="1"/>
  <c r="BC134" i="1" s="1"/>
  <c r="BD134" i="1" s="1"/>
  <c r="BE134" i="1" s="1"/>
  <c r="BF134" i="1" s="1"/>
  <c r="BJ134" i="1" s="1"/>
  <c r="BK134" i="1" s="1"/>
  <c r="AV53" i="1"/>
  <c r="AW53" i="1" s="1"/>
  <c r="AX53" i="1" s="1"/>
  <c r="AY53" i="1" s="1"/>
  <c r="AZ53" i="1" s="1"/>
  <c r="BA53" i="1" s="1"/>
  <c r="BB53" i="1" s="1"/>
  <c r="BC53" i="1" s="1"/>
  <c r="BD53" i="1" s="1"/>
  <c r="BE53" i="1" s="1"/>
  <c r="BF53" i="1" s="1"/>
  <c r="BJ53" i="1" s="1"/>
  <c r="BK53" i="1" s="1"/>
  <c r="BL53" i="1" s="1"/>
  <c r="BM53" i="1" s="1"/>
  <c r="BN53" i="1" s="1"/>
  <c r="BO53" i="1" s="1"/>
  <c r="BP53" i="1" s="1"/>
  <c r="BQ53" i="1" s="1"/>
  <c r="BR53" i="1" s="1"/>
  <c r="BS53" i="1" s="1"/>
  <c r="BT53" i="1" s="1"/>
  <c r="AV348" i="1"/>
  <c r="AW348" i="1" s="1"/>
  <c r="AX348" i="1" s="1"/>
  <c r="AY348" i="1" s="1"/>
  <c r="AZ348" i="1" s="1"/>
  <c r="BA348" i="1" s="1"/>
  <c r="BB348" i="1" s="1"/>
  <c r="BC348" i="1" s="1"/>
  <c r="BD348" i="1" s="1"/>
  <c r="BE348" i="1" s="1"/>
  <c r="BF348" i="1" s="1"/>
  <c r="BJ348" i="1" s="1"/>
  <c r="BK348" i="1" s="1"/>
  <c r="BL348" i="1" s="1"/>
  <c r="BM348" i="1" s="1"/>
  <c r="BN348" i="1" s="1"/>
  <c r="BO348" i="1" s="1"/>
  <c r="BP348" i="1" s="1"/>
  <c r="BQ348" i="1" s="1"/>
  <c r="BR348" i="1" s="1"/>
  <c r="BS348" i="1" s="1"/>
  <c r="BT348" i="1" s="1"/>
  <c r="AV37" i="1"/>
  <c r="AW37" i="1" s="1"/>
  <c r="AX37" i="1" s="1"/>
  <c r="AY37" i="1" s="1"/>
  <c r="AZ37" i="1" s="1"/>
  <c r="BA37" i="1" s="1"/>
  <c r="BB37" i="1" s="1"/>
  <c r="BC37" i="1" s="1"/>
  <c r="BD37" i="1" s="1"/>
  <c r="BE37" i="1" s="1"/>
  <c r="BF37" i="1" s="1"/>
  <c r="BJ37" i="1" s="1"/>
  <c r="BK37" i="1" s="1"/>
  <c r="BL37" i="1" s="1"/>
  <c r="BM37" i="1" s="1"/>
  <c r="BN37" i="1" s="1"/>
  <c r="BO37" i="1" s="1"/>
  <c r="BP37" i="1" s="1"/>
  <c r="BQ37" i="1" s="1"/>
  <c r="BR37" i="1" s="1"/>
  <c r="BS37" i="1" s="1"/>
  <c r="BT37" i="1" s="1"/>
  <c r="AV128" i="1"/>
  <c r="AW128" i="1" s="1"/>
  <c r="AX128" i="1" s="1"/>
  <c r="AY128" i="1" s="1"/>
  <c r="AZ128" i="1" s="1"/>
  <c r="BA128" i="1" s="1"/>
  <c r="BB128" i="1" s="1"/>
  <c r="BC128" i="1" s="1"/>
  <c r="BD128" i="1" s="1"/>
  <c r="BE128" i="1" s="1"/>
  <c r="AV126" i="1"/>
  <c r="AW126" i="1" s="1"/>
  <c r="AX126" i="1" s="1"/>
  <c r="AY126" i="1" s="1"/>
  <c r="AZ126" i="1" s="1"/>
  <c r="BA126" i="1" s="1"/>
  <c r="BB126" i="1" s="1"/>
  <c r="BC126" i="1" s="1"/>
  <c r="BD126" i="1" s="1"/>
  <c r="BE126" i="1" s="1"/>
  <c r="AV8" i="1"/>
  <c r="AW8" i="1" s="1"/>
  <c r="AX8" i="1" s="1"/>
  <c r="AY8" i="1" s="1"/>
  <c r="AZ8" i="1" s="1"/>
  <c r="BA8" i="1" s="1"/>
  <c r="BB8" i="1" s="1"/>
  <c r="BC8" i="1" s="1"/>
  <c r="BD8" i="1" s="1"/>
  <c r="BE8" i="1" s="1"/>
  <c r="BF8" i="1" s="1"/>
  <c r="BJ8" i="1" s="1"/>
  <c r="BK8" i="1" s="1"/>
  <c r="BL8" i="1" s="1"/>
  <c r="BM8" i="1" s="1"/>
  <c r="BN8" i="1" s="1"/>
  <c r="BO8" i="1" s="1"/>
  <c r="BP8" i="1" s="1"/>
  <c r="BQ8" i="1" s="1"/>
  <c r="BR8" i="1" s="1"/>
  <c r="BS8" i="1" s="1"/>
  <c r="BT8" i="1" s="1"/>
  <c r="AV131" i="1"/>
  <c r="AW131" i="1" s="1"/>
  <c r="AX131" i="1" s="1"/>
  <c r="AY131" i="1" s="1"/>
  <c r="AZ131" i="1" s="1"/>
  <c r="BA131" i="1" s="1"/>
  <c r="BB131" i="1" s="1"/>
  <c r="BC131" i="1" s="1"/>
  <c r="BD131" i="1" s="1"/>
  <c r="BE131" i="1" s="1"/>
  <c r="BF131" i="1" s="1"/>
  <c r="BJ131" i="1" s="1"/>
  <c r="BK131" i="1" s="1"/>
  <c r="AV167" i="1"/>
  <c r="AW167" i="1" s="1"/>
  <c r="AX167" i="1" s="1"/>
  <c r="AY167" i="1" s="1"/>
  <c r="AZ167" i="1" s="1"/>
  <c r="BA167" i="1" s="1"/>
  <c r="BB167" i="1" s="1"/>
  <c r="BC167" i="1" s="1"/>
  <c r="BD167" i="1" s="1"/>
  <c r="BE167" i="1" s="1"/>
  <c r="BF167" i="1" s="1"/>
  <c r="BJ167" i="1" s="1"/>
  <c r="BK167" i="1" s="1"/>
  <c r="BL167" i="1" s="1"/>
  <c r="BM167" i="1" s="1"/>
  <c r="BN167" i="1" s="1"/>
  <c r="BO167" i="1" s="1"/>
  <c r="BP167" i="1" s="1"/>
  <c r="BQ167" i="1" s="1"/>
  <c r="BR167" i="1" s="1"/>
  <c r="BS167" i="1" s="1"/>
  <c r="BT167" i="1" s="1"/>
  <c r="AV311" i="1"/>
  <c r="AW311" i="1" s="1"/>
  <c r="AX311" i="1" s="1"/>
  <c r="AY311" i="1" s="1"/>
  <c r="AZ311" i="1" s="1"/>
  <c r="BA311" i="1" s="1"/>
  <c r="BB311" i="1" s="1"/>
  <c r="BC311" i="1" s="1"/>
  <c r="BD311" i="1" s="1"/>
  <c r="BE311" i="1" s="1"/>
  <c r="BF311" i="1" s="1"/>
  <c r="BJ311" i="1" s="1"/>
  <c r="BK311" i="1" s="1"/>
  <c r="BL311" i="1" s="1"/>
  <c r="BM311" i="1" s="1"/>
  <c r="BN311" i="1" s="1"/>
  <c r="BO311" i="1" s="1"/>
  <c r="BP311" i="1" s="1"/>
  <c r="BQ311" i="1" s="1"/>
  <c r="BR311" i="1" s="1"/>
  <c r="BS311" i="1" s="1"/>
  <c r="BT311" i="1" s="1"/>
  <c r="BV40" i="1"/>
  <c r="AV365" i="1"/>
  <c r="AW365" i="1" s="1"/>
  <c r="AX365" i="1" s="1"/>
  <c r="AY365" i="1" s="1"/>
  <c r="AZ365" i="1" s="1"/>
  <c r="BA365" i="1" s="1"/>
  <c r="BB365" i="1" s="1"/>
  <c r="BC365" i="1" s="1"/>
  <c r="BD365" i="1" s="1"/>
  <c r="BE365" i="1" s="1"/>
  <c r="AV89" i="1"/>
  <c r="AW89" i="1" s="1"/>
  <c r="AX89" i="1" s="1"/>
  <c r="AY89" i="1" s="1"/>
  <c r="AZ89" i="1" s="1"/>
  <c r="BA89" i="1" s="1"/>
  <c r="BB89" i="1" s="1"/>
  <c r="BC89" i="1" s="1"/>
  <c r="BD89" i="1" s="1"/>
  <c r="BE89" i="1" s="1"/>
  <c r="BF89" i="1" s="1"/>
  <c r="BJ89" i="1" s="1"/>
  <c r="BK89" i="1" s="1"/>
  <c r="BL89" i="1" s="1"/>
  <c r="BM89" i="1" s="1"/>
  <c r="BN89" i="1" s="1"/>
  <c r="BO89" i="1" s="1"/>
  <c r="BP89" i="1" s="1"/>
  <c r="BQ89" i="1" s="1"/>
  <c r="BR89" i="1" s="1"/>
  <c r="BS89" i="1" s="1"/>
  <c r="BT89" i="1" s="1"/>
  <c r="AV103" i="1"/>
  <c r="AW103" i="1" s="1"/>
  <c r="AX103" i="1" s="1"/>
  <c r="AY103" i="1" s="1"/>
  <c r="AZ103" i="1" s="1"/>
  <c r="BA103" i="1" s="1"/>
  <c r="BB103" i="1" s="1"/>
  <c r="BC103" i="1" s="1"/>
  <c r="BD103" i="1" s="1"/>
  <c r="BE103" i="1" s="1"/>
  <c r="BF103" i="1" s="1"/>
  <c r="BJ103" i="1" s="1"/>
  <c r="BK103" i="1" s="1"/>
  <c r="BL103" i="1" s="1"/>
  <c r="BM103" i="1" s="1"/>
  <c r="BN103" i="1" s="1"/>
  <c r="BO103" i="1" s="1"/>
  <c r="BP103" i="1" s="1"/>
  <c r="BQ103" i="1" s="1"/>
  <c r="BR103" i="1" s="1"/>
  <c r="BS103" i="1" s="1"/>
  <c r="BT103" i="1" s="1"/>
  <c r="AV138" i="1"/>
  <c r="AW138" i="1" s="1"/>
  <c r="AX138" i="1" s="1"/>
  <c r="AY138" i="1" s="1"/>
  <c r="AZ138" i="1" s="1"/>
  <c r="BA138" i="1" s="1"/>
  <c r="BB138" i="1" s="1"/>
  <c r="BC138" i="1" s="1"/>
  <c r="BD138" i="1" s="1"/>
  <c r="BE138" i="1" s="1"/>
  <c r="AV148" i="1"/>
  <c r="AW148" i="1" s="1"/>
  <c r="AX148" i="1" s="1"/>
  <c r="AY148" i="1" s="1"/>
  <c r="AZ148" i="1" s="1"/>
  <c r="BA148" i="1" s="1"/>
  <c r="BB148" i="1" s="1"/>
  <c r="BC148" i="1" s="1"/>
  <c r="BD148" i="1" s="1"/>
  <c r="BE148" i="1" s="1"/>
  <c r="BF148" i="1" s="1"/>
  <c r="BJ148" i="1" s="1"/>
  <c r="BK148" i="1" s="1"/>
  <c r="BL148" i="1" s="1"/>
  <c r="BM148" i="1" s="1"/>
  <c r="BN148" i="1" s="1"/>
  <c r="BO148" i="1" s="1"/>
  <c r="BP148" i="1" s="1"/>
  <c r="BQ148" i="1" s="1"/>
  <c r="BR148" i="1" s="1"/>
  <c r="BS148" i="1" s="1"/>
  <c r="BT148" i="1" s="1"/>
  <c r="AV324" i="1"/>
  <c r="AW324" i="1" s="1"/>
  <c r="AX324" i="1" s="1"/>
  <c r="AY324" i="1" s="1"/>
  <c r="AZ324" i="1" s="1"/>
  <c r="BA324" i="1" s="1"/>
  <c r="BB324" i="1" s="1"/>
  <c r="BC324" i="1" s="1"/>
  <c r="BD324" i="1" s="1"/>
  <c r="BE324" i="1" s="1"/>
  <c r="AV123" i="1"/>
  <c r="AW123" i="1" s="1"/>
  <c r="AX123" i="1" s="1"/>
  <c r="AY123" i="1" s="1"/>
  <c r="AZ123" i="1" s="1"/>
  <c r="BA123" i="1" s="1"/>
  <c r="BB123" i="1" s="1"/>
  <c r="BC123" i="1" s="1"/>
  <c r="BD123" i="1" s="1"/>
  <c r="BE123" i="1" s="1"/>
  <c r="AV141" i="1"/>
  <c r="AW141" i="1" s="1"/>
  <c r="AX141" i="1" s="1"/>
  <c r="AY141" i="1" s="1"/>
  <c r="AZ141" i="1" s="1"/>
  <c r="BA141" i="1" s="1"/>
  <c r="BB141" i="1" s="1"/>
  <c r="BC141" i="1" s="1"/>
  <c r="BD141" i="1" s="1"/>
  <c r="BE141" i="1" s="1"/>
  <c r="BF141" i="1" s="1"/>
  <c r="BJ141" i="1" s="1"/>
  <c r="BK141" i="1" s="1"/>
  <c r="AV153" i="1"/>
  <c r="AW153" i="1" s="1"/>
  <c r="AX153" i="1" s="1"/>
  <c r="AY153" i="1" s="1"/>
  <c r="AZ153" i="1" s="1"/>
  <c r="BA153" i="1" s="1"/>
  <c r="BB153" i="1" s="1"/>
  <c r="BC153" i="1" s="1"/>
  <c r="BD153" i="1" s="1"/>
  <c r="BE153" i="1" s="1"/>
  <c r="BF153" i="1" s="1"/>
  <c r="BJ153" i="1" s="1"/>
  <c r="BK153" i="1" s="1"/>
  <c r="BL153" i="1" s="1"/>
  <c r="BM153" i="1" s="1"/>
  <c r="BN153" i="1" s="1"/>
  <c r="BO153" i="1" s="1"/>
  <c r="BP153" i="1" s="1"/>
  <c r="BQ153" i="1" s="1"/>
  <c r="BR153" i="1" s="1"/>
  <c r="BS153" i="1" s="1"/>
  <c r="BT153" i="1" s="1"/>
  <c r="AV323" i="1"/>
  <c r="AW323" i="1" s="1"/>
  <c r="AX323" i="1" s="1"/>
  <c r="AY323" i="1" s="1"/>
  <c r="AZ323" i="1" s="1"/>
  <c r="BA323" i="1" s="1"/>
  <c r="BB323" i="1" s="1"/>
  <c r="BC323" i="1" s="1"/>
  <c r="BD323" i="1" s="1"/>
  <c r="BE323" i="1" s="1"/>
  <c r="BF323" i="1" s="1"/>
  <c r="BJ323" i="1" s="1"/>
  <c r="BK323" i="1" s="1"/>
  <c r="BL323" i="1" s="1"/>
  <c r="BM323" i="1" s="1"/>
  <c r="BN323" i="1" s="1"/>
  <c r="BO323" i="1" s="1"/>
  <c r="BP323" i="1" s="1"/>
  <c r="BQ323" i="1" s="1"/>
  <c r="BR323" i="1" s="1"/>
  <c r="BS323" i="1" s="1"/>
  <c r="AV140" i="1"/>
  <c r="AW140" i="1" s="1"/>
  <c r="AX140" i="1" s="1"/>
  <c r="AY140" i="1" s="1"/>
  <c r="AZ140" i="1" s="1"/>
  <c r="BA140" i="1" s="1"/>
  <c r="BB140" i="1" s="1"/>
  <c r="BC140" i="1" s="1"/>
  <c r="BD140" i="1" s="1"/>
  <c r="BE140" i="1" s="1"/>
  <c r="BF140" i="1" s="1"/>
  <c r="BJ140" i="1" s="1"/>
  <c r="BK140" i="1" s="1"/>
  <c r="AV432" i="1"/>
  <c r="AW432" i="1" s="1"/>
  <c r="AX432" i="1" s="1"/>
  <c r="AY432" i="1" s="1"/>
  <c r="AZ432" i="1" s="1"/>
  <c r="BA432" i="1" s="1"/>
  <c r="BB432" i="1" s="1"/>
  <c r="BC432" i="1" s="1"/>
  <c r="BD432" i="1" s="1"/>
  <c r="BE432" i="1" s="1"/>
  <c r="AV452" i="1"/>
  <c r="AW452" i="1" s="1"/>
  <c r="AX452" i="1" s="1"/>
  <c r="AY452" i="1" s="1"/>
  <c r="AZ452" i="1" s="1"/>
  <c r="BA452" i="1" s="1"/>
  <c r="BB452" i="1" s="1"/>
  <c r="BC452" i="1" s="1"/>
  <c r="BD452" i="1" s="1"/>
  <c r="BE452" i="1" s="1"/>
  <c r="AV316" i="1"/>
  <c r="AW316" i="1" s="1"/>
  <c r="AX316" i="1" s="1"/>
  <c r="AY316" i="1" s="1"/>
  <c r="AZ316" i="1" s="1"/>
  <c r="BA316" i="1" s="1"/>
  <c r="BB316" i="1" s="1"/>
  <c r="BC316" i="1" s="1"/>
  <c r="BD316" i="1" s="1"/>
  <c r="BE316" i="1" s="1"/>
  <c r="BF316" i="1" s="1"/>
  <c r="BJ316" i="1" s="1"/>
  <c r="BK316" i="1" s="1"/>
  <c r="BL316" i="1" s="1"/>
  <c r="BM316" i="1" s="1"/>
  <c r="BN316" i="1" s="1"/>
  <c r="BO316" i="1" s="1"/>
  <c r="BP316" i="1" s="1"/>
  <c r="BQ316" i="1" s="1"/>
  <c r="BR316" i="1" s="1"/>
  <c r="BS316" i="1" s="1"/>
  <c r="BT316" i="1" s="1"/>
  <c r="AV460" i="1"/>
  <c r="AW460" i="1" s="1"/>
  <c r="AX460" i="1" s="1"/>
  <c r="AY460" i="1" s="1"/>
  <c r="AZ460" i="1" s="1"/>
  <c r="BA460" i="1" s="1"/>
  <c r="BB460" i="1" s="1"/>
  <c r="BC460" i="1" s="1"/>
  <c r="BD460" i="1" s="1"/>
  <c r="BE460" i="1" s="1"/>
  <c r="BF460" i="1" s="1"/>
  <c r="BJ460" i="1" s="1"/>
  <c r="BK460" i="1" s="1"/>
  <c r="BL460" i="1" s="1"/>
  <c r="BM460" i="1" s="1"/>
  <c r="BN460" i="1" s="1"/>
  <c r="BO460" i="1" s="1"/>
  <c r="BP460" i="1" s="1"/>
  <c r="BQ460" i="1" s="1"/>
  <c r="BR460" i="1" s="1"/>
  <c r="BS460" i="1" s="1"/>
  <c r="BT460" i="1" s="1"/>
  <c r="AU305" i="1"/>
  <c r="AV305" i="1" s="1"/>
  <c r="AW305" i="1" s="1"/>
  <c r="AX305" i="1" s="1"/>
  <c r="AY305" i="1" s="1"/>
  <c r="AZ305" i="1" s="1"/>
  <c r="BA305" i="1" s="1"/>
  <c r="BB305" i="1" s="1"/>
  <c r="BC305" i="1" s="1"/>
  <c r="BD305" i="1" s="1"/>
  <c r="BE305" i="1" s="1"/>
  <c r="AP300" i="1"/>
  <c r="AP370" i="1"/>
  <c r="AU453" i="1"/>
  <c r="AU576" i="1"/>
  <c r="AP205" i="1"/>
  <c r="AP284" i="1"/>
  <c r="AU325" i="1"/>
  <c r="AU205" i="1"/>
  <c r="AU370" i="1"/>
  <c r="AU284" i="1"/>
  <c r="AP305" i="1"/>
  <c r="AU186" i="1"/>
  <c r="AV186" i="1" s="1"/>
  <c r="AW186" i="1" s="1"/>
  <c r="AX186" i="1" s="1"/>
  <c r="AY186" i="1" s="1"/>
  <c r="AZ186" i="1" s="1"/>
  <c r="BA186" i="1" s="1"/>
  <c r="BB186" i="1" s="1"/>
  <c r="BC186" i="1" s="1"/>
  <c r="BD186" i="1" s="1"/>
  <c r="BE186" i="1" s="1"/>
  <c r="AP187" i="1"/>
  <c r="AP197" i="1"/>
  <c r="AU197" i="1"/>
  <c r="AU208" i="1"/>
  <c r="AP186" i="1"/>
  <c r="AP28" i="1"/>
  <c r="AP501" i="1"/>
  <c r="AP575" i="1"/>
  <c r="AU485" i="1"/>
  <c r="AU575" i="1"/>
  <c r="AU300" i="1"/>
  <c r="AU342" i="1"/>
  <c r="AU501" i="1"/>
  <c r="AV501" i="1" s="1"/>
  <c r="AW501" i="1" s="1"/>
  <c r="AX501" i="1" s="1"/>
  <c r="AY501" i="1" s="1"/>
  <c r="AZ501" i="1" s="1"/>
  <c r="BA501" i="1" s="1"/>
  <c r="BB501" i="1" s="1"/>
  <c r="BC501" i="1" s="1"/>
  <c r="BD501" i="1" s="1"/>
  <c r="BE501" i="1" s="1"/>
  <c r="AU532" i="1"/>
  <c r="AU366" i="1"/>
  <c r="AP285" i="1"/>
  <c r="AU572" i="1"/>
  <c r="AP392" i="1"/>
  <c r="AP532" i="1"/>
  <c r="AP366" i="1"/>
  <c r="CK13" i="1"/>
  <c r="AU172" i="1"/>
  <c r="AA709" i="1"/>
  <c r="F19" i="8" s="1"/>
  <c r="AP342" i="1"/>
  <c r="CK39" i="1"/>
  <c r="AU389" i="1"/>
  <c r="AP389" i="1"/>
  <c r="AU179" i="1"/>
  <c r="CK17" i="1"/>
  <c r="AP193" i="1"/>
  <c r="AP179" i="1"/>
  <c r="CK245" i="1"/>
  <c r="AU17" i="1"/>
  <c r="AA703" i="1"/>
  <c r="AU392" i="1"/>
  <c r="AP577" i="1"/>
  <c r="AP576" i="1"/>
  <c r="CK364" i="1"/>
  <c r="AU48" i="1"/>
  <c r="AU248" i="1"/>
  <c r="CK115" i="1"/>
  <c r="CK500" i="1"/>
  <c r="CK109" i="1"/>
  <c r="AA711" i="1"/>
  <c r="AA708" i="1"/>
  <c r="AP572" i="1"/>
  <c r="CK483" i="1"/>
  <c r="CK495" i="1"/>
  <c r="AU285" i="1"/>
  <c r="AV285" i="1" s="1"/>
  <c r="AW285" i="1" s="1"/>
  <c r="AX285" i="1" s="1"/>
  <c r="AY285" i="1" s="1"/>
  <c r="AZ285" i="1" s="1"/>
  <c r="BA285" i="1" s="1"/>
  <c r="BB285" i="1" s="1"/>
  <c r="BC285" i="1" s="1"/>
  <c r="BD285" i="1" s="1"/>
  <c r="BE285" i="1" s="1"/>
  <c r="AP185" i="1"/>
  <c r="AP172" i="1"/>
  <c r="AP48" i="1"/>
  <c r="AU483" i="1"/>
  <c r="CK444" i="1"/>
  <c r="CK345" i="1"/>
  <c r="AU45" i="1"/>
  <c r="N697" i="1"/>
  <c r="CK435" i="1"/>
  <c r="CK243" i="1"/>
  <c r="AC697" i="1"/>
  <c r="AA710" i="1"/>
  <c r="AA720" i="1" s="1"/>
  <c r="C19" i="8" s="1"/>
  <c r="AA704" i="1"/>
  <c r="AA697" i="1"/>
  <c r="BU164" i="1"/>
  <c r="BY164" i="1" s="1"/>
  <c r="BZ164" i="1" s="1"/>
  <c r="CA164" i="1" s="1"/>
  <c r="BU507" i="1"/>
  <c r="BY507" i="1" s="1"/>
  <c r="BZ507" i="1" s="1"/>
  <c r="CA507" i="1" s="1"/>
  <c r="CB507" i="1" s="1"/>
  <c r="CC507" i="1" s="1"/>
  <c r="CD507" i="1" s="1"/>
  <c r="CE507" i="1" s="1"/>
  <c r="CF507" i="1" s="1"/>
  <c r="CG507" i="1" s="1"/>
  <c r="CH507" i="1" s="1"/>
  <c r="CI507" i="1" s="1"/>
  <c r="CJ507" i="1" s="1"/>
  <c r="BU97" i="1"/>
  <c r="BY97" i="1" s="1"/>
  <c r="BZ97" i="1" s="1"/>
  <c r="CA97" i="1" s="1"/>
  <c r="CB97" i="1" s="1"/>
  <c r="CC97" i="1" s="1"/>
  <c r="CD97" i="1" s="1"/>
  <c r="CE97" i="1" s="1"/>
  <c r="CF97" i="1" s="1"/>
  <c r="CG97" i="1" s="1"/>
  <c r="CH97" i="1" s="1"/>
  <c r="CI97" i="1" s="1"/>
  <c r="CJ97" i="1" s="1"/>
  <c r="BU570" i="1"/>
  <c r="BY570" i="1" s="1"/>
  <c r="BZ570" i="1" s="1"/>
  <c r="CA570" i="1" s="1"/>
  <c r="CB570" i="1" s="1"/>
  <c r="CC570" i="1" s="1"/>
  <c r="CD570" i="1" s="1"/>
  <c r="CE570" i="1" s="1"/>
  <c r="CF570" i="1" s="1"/>
  <c r="CG570" i="1" s="1"/>
  <c r="CH570" i="1" s="1"/>
  <c r="CI570" i="1" s="1"/>
  <c r="CJ570" i="1" s="1"/>
  <c r="BU31" i="1"/>
  <c r="BY31" i="1" s="1"/>
  <c r="BZ31" i="1" s="1"/>
  <c r="CA31" i="1" s="1"/>
  <c r="CB31" i="1" s="1"/>
  <c r="CC31" i="1" s="1"/>
  <c r="CD31" i="1" s="1"/>
  <c r="CE31" i="1" s="1"/>
  <c r="CF31" i="1" s="1"/>
  <c r="CG31" i="1" s="1"/>
  <c r="BU30" i="1"/>
  <c r="BY30" i="1" s="1"/>
  <c r="BZ30" i="1" s="1"/>
  <c r="CA30" i="1" s="1"/>
  <c r="CB30" i="1" s="1"/>
  <c r="CC30" i="1" s="1"/>
  <c r="CD30" i="1" s="1"/>
  <c r="CE30" i="1" s="1"/>
  <c r="CF30" i="1" s="1"/>
  <c r="CG30" i="1" s="1"/>
  <c r="BU394" i="1"/>
  <c r="BY394" i="1" s="1"/>
  <c r="BZ394" i="1" s="1"/>
  <c r="CA394" i="1" s="1"/>
  <c r="CB394" i="1" s="1"/>
  <c r="CC394" i="1" s="1"/>
  <c r="CD394" i="1" s="1"/>
  <c r="CE394" i="1" s="1"/>
  <c r="CF394" i="1" s="1"/>
  <c r="CG394" i="1" s="1"/>
  <c r="CH394" i="1" s="1"/>
  <c r="CI394" i="1" s="1"/>
  <c r="CJ394" i="1" s="1"/>
  <c r="BU519" i="1"/>
  <c r="BY519" i="1" s="1"/>
  <c r="BZ519" i="1" s="1"/>
  <c r="CA519" i="1" s="1"/>
  <c r="CB519" i="1" s="1"/>
  <c r="CC519" i="1" s="1"/>
  <c r="CD519" i="1" s="1"/>
  <c r="CE519" i="1" s="1"/>
  <c r="CF519" i="1" s="1"/>
  <c r="CG519" i="1" s="1"/>
  <c r="CH519" i="1" s="1"/>
  <c r="CI519" i="1" s="1"/>
  <c r="CJ519" i="1" s="1"/>
  <c r="BU162" i="1"/>
  <c r="BY162" i="1" s="1"/>
  <c r="BZ162" i="1" s="1"/>
  <c r="CA162" i="1" s="1"/>
  <c r="BU20" i="1"/>
  <c r="BY20" i="1" s="1"/>
  <c r="BZ20" i="1" s="1"/>
  <c r="CA20" i="1" s="1"/>
  <c r="CB20" i="1" s="1"/>
  <c r="CC20" i="1" s="1"/>
  <c r="CD20" i="1" s="1"/>
  <c r="CE20" i="1" s="1"/>
  <c r="CF20" i="1" s="1"/>
  <c r="CG20" i="1" s="1"/>
  <c r="CH20" i="1" s="1"/>
  <c r="CI20" i="1" s="1"/>
  <c r="CJ20" i="1" s="1"/>
  <c r="BU409" i="1"/>
  <c r="BY409" i="1" s="1"/>
  <c r="BZ409" i="1" s="1"/>
  <c r="CA409" i="1" s="1"/>
  <c r="CB409" i="1" s="1"/>
  <c r="CC409" i="1" s="1"/>
  <c r="CD409" i="1" s="1"/>
  <c r="CE409" i="1" s="1"/>
  <c r="CF409" i="1" s="1"/>
  <c r="CG409" i="1" s="1"/>
  <c r="CH409" i="1" s="1"/>
  <c r="CI409" i="1" s="1"/>
  <c r="CJ409" i="1" s="1"/>
  <c r="BU161" i="1"/>
  <c r="BY161" i="1" s="1"/>
  <c r="BZ161" i="1" s="1"/>
  <c r="CA161" i="1" s="1"/>
  <c r="CB161" i="1" s="1"/>
  <c r="CC161" i="1" s="1"/>
  <c r="CD161" i="1" s="1"/>
  <c r="CE161" i="1" s="1"/>
  <c r="CF161" i="1" s="1"/>
  <c r="CG161" i="1" s="1"/>
  <c r="CH161" i="1" s="1"/>
  <c r="CI161" i="1" s="1"/>
  <c r="CJ161" i="1" s="1"/>
  <c r="BU569" i="1"/>
  <c r="BU100" i="1"/>
  <c r="BY100" i="1" s="1"/>
  <c r="BZ100" i="1" s="1"/>
  <c r="CA100" i="1" s="1"/>
  <c r="CB100" i="1" s="1"/>
  <c r="CC100" i="1" s="1"/>
  <c r="CD100" i="1" s="1"/>
  <c r="CE100" i="1" s="1"/>
  <c r="CF100" i="1" s="1"/>
  <c r="CG100" i="1" s="1"/>
  <c r="CH100" i="1" s="1"/>
  <c r="CI100" i="1" s="1"/>
  <c r="CJ100" i="1" s="1"/>
  <c r="BU314" i="1"/>
  <c r="BY314" i="1" s="1"/>
  <c r="BZ314" i="1" s="1"/>
  <c r="CA314" i="1" s="1"/>
  <c r="CB314" i="1" s="1"/>
  <c r="CC314" i="1" s="1"/>
  <c r="CD314" i="1" s="1"/>
  <c r="CE314" i="1" s="1"/>
  <c r="CF314" i="1" s="1"/>
  <c r="CG314" i="1" s="1"/>
  <c r="CH314" i="1" s="1"/>
  <c r="CI314" i="1" s="1"/>
  <c r="CJ314" i="1" s="1"/>
  <c r="BU522" i="1"/>
  <c r="BY522" i="1" s="1"/>
  <c r="BZ522" i="1" s="1"/>
  <c r="CA522" i="1" s="1"/>
  <c r="CB522" i="1" s="1"/>
  <c r="CC522" i="1" s="1"/>
  <c r="CD522" i="1" s="1"/>
  <c r="CE522" i="1" s="1"/>
  <c r="CF522" i="1" s="1"/>
  <c r="CG522" i="1" s="1"/>
  <c r="CH522" i="1" s="1"/>
  <c r="CI522" i="1" s="1"/>
  <c r="CJ522" i="1" s="1"/>
  <c r="BU320" i="1"/>
  <c r="BY320" i="1" s="1"/>
  <c r="BZ320" i="1" s="1"/>
  <c r="CA320" i="1" s="1"/>
  <c r="CB320" i="1" s="1"/>
  <c r="CC320" i="1" s="1"/>
  <c r="CD320" i="1" s="1"/>
  <c r="CE320" i="1" s="1"/>
  <c r="CF320" i="1" s="1"/>
  <c r="CG320" i="1" s="1"/>
  <c r="CH320" i="1" s="1"/>
  <c r="CI320" i="1" s="1"/>
  <c r="BU287" i="1"/>
  <c r="BY287" i="1" s="1"/>
  <c r="BZ287" i="1" s="1"/>
  <c r="CA287" i="1" s="1"/>
  <c r="CB287" i="1" s="1"/>
  <c r="CC287" i="1" s="1"/>
  <c r="CD287" i="1" s="1"/>
  <c r="CE287" i="1" s="1"/>
  <c r="CF287" i="1" s="1"/>
  <c r="CG287" i="1" s="1"/>
  <c r="CH287" i="1" s="1"/>
  <c r="CI287" i="1" s="1"/>
  <c r="CJ287" i="1" s="1"/>
  <c r="BU530" i="1"/>
  <c r="BY530" i="1" s="1"/>
  <c r="BZ530" i="1" s="1"/>
  <c r="CA530" i="1" s="1"/>
  <c r="CB530" i="1" s="1"/>
  <c r="CC530" i="1" s="1"/>
  <c r="CD530" i="1" s="1"/>
  <c r="CE530" i="1" s="1"/>
  <c r="CF530" i="1" s="1"/>
  <c r="CG530" i="1" s="1"/>
  <c r="CH530" i="1" s="1"/>
  <c r="CI530" i="1" s="1"/>
  <c r="CJ530" i="1" s="1"/>
  <c r="BU523" i="1"/>
  <c r="BY523" i="1" s="1"/>
  <c r="BZ523" i="1" s="1"/>
  <c r="CA523" i="1" s="1"/>
  <c r="CB523" i="1" s="1"/>
  <c r="CC523" i="1" s="1"/>
  <c r="CD523" i="1" s="1"/>
  <c r="CE523" i="1" s="1"/>
  <c r="CF523" i="1" s="1"/>
  <c r="CG523" i="1" s="1"/>
  <c r="CH523" i="1" s="1"/>
  <c r="CI523" i="1" s="1"/>
  <c r="CJ523" i="1" s="1"/>
  <c r="BU529" i="1"/>
  <c r="BY529" i="1" s="1"/>
  <c r="BZ529" i="1" s="1"/>
  <c r="CA529" i="1" s="1"/>
  <c r="CB529" i="1" s="1"/>
  <c r="CC529" i="1" s="1"/>
  <c r="CD529" i="1" s="1"/>
  <c r="CE529" i="1" s="1"/>
  <c r="CF529" i="1" s="1"/>
  <c r="CG529" i="1" s="1"/>
  <c r="CH529" i="1" s="1"/>
  <c r="CI529" i="1" s="1"/>
  <c r="CJ529" i="1" s="1"/>
  <c r="BU19" i="1"/>
  <c r="BY19" i="1" s="1"/>
  <c r="BZ19" i="1" s="1"/>
  <c r="CA19" i="1" s="1"/>
  <c r="CB19" i="1" s="1"/>
  <c r="CC19" i="1" s="1"/>
  <c r="CD19" i="1" s="1"/>
  <c r="CE19" i="1" s="1"/>
  <c r="CF19" i="1" s="1"/>
  <c r="CG19" i="1" s="1"/>
  <c r="CH19" i="1" s="1"/>
  <c r="CI19" i="1" s="1"/>
  <c r="CJ19" i="1" s="1"/>
  <c r="BU567" i="1"/>
  <c r="BY567" i="1" s="1"/>
  <c r="BZ567" i="1" s="1"/>
  <c r="CA567" i="1" s="1"/>
  <c r="CB567" i="1" s="1"/>
  <c r="CC567" i="1" s="1"/>
  <c r="CD567" i="1" s="1"/>
  <c r="CE567" i="1" s="1"/>
  <c r="CF567" i="1" s="1"/>
  <c r="CG567" i="1" s="1"/>
  <c r="CH567" i="1" s="1"/>
  <c r="CI567" i="1" s="1"/>
  <c r="CJ567" i="1" s="1"/>
  <c r="BU312" i="1"/>
  <c r="BY312" i="1" s="1"/>
  <c r="BZ312" i="1" s="1"/>
  <c r="CA312" i="1" s="1"/>
  <c r="CB312" i="1" s="1"/>
  <c r="CC312" i="1" s="1"/>
  <c r="CD312" i="1" s="1"/>
  <c r="CE312" i="1" s="1"/>
  <c r="CF312" i="1" s="1"/>
  <c r="CG312" i="1" s="1"/>
  <c r="CH312" i="1" s="1"/>
  <c r="CI312" i="1" s="1"/>
  <c r="CJ312" i="1" s="1"/>
  <c r="BU163" i="1"/>
  <c r="BY163" i="1" s="1"/>
  <c r="BZ163" i="1" s="1"/>
  <c r="CA163" i="1" s="1"/>
  <c r="BU531" i="1"/>
  <c r="BY531" i="1" s="1"/>
  <c r="BZ531" i="1" s="1"/>
  <c r="CA531" i="1" s="1"/>
  <c r="CB531" i="1" s="1"/>
  <c r="CC531" i="1" s="1"/>
  <c r="CD531" i="1" s="1"/>
  <c r="CE531" i="1" s="1"/>
  <c r="CF531" i="1" s="1"/>
  <c r="CG531" i="1" s="1"/>
  <c r="CH531" i="1" s="1"/>
  <c r="CI531" i="1" s="1"/>
  <c r="CJ531" i="1" s="1"/>
  <c r="AR445" i="1"/>
  <c r="AS445" i="1" s="1"/>
  <c r="CZ560" i="1"/>
  <c r="BF391" i="1"/>
  <c r="BJ391" i="1" s="1"/>
  <c r="BK391" i="1" s="1"/>
  <c r="BL391" i="1" s="1"/>
  <c r="BM391" i="1" s="1"/>
  <c r="BN391" i="1" s="1"/>
  <c r="BO391" i="1" s="1"/>
  <c r="BP391" i="1" s="1"/>
  <c r="BQ391" i="1" s="1"/>
  <c r="BR391" i="1" s="1"/>
  <c r="BS391" i="1" s="1"/>
  <c r="BT391" i="1" s="1"/>
  <c r="BF462" i="1"/>
  <c r="BJ462" i="1" s="1"/>
  <c r="BK462" i="1" s="1"/>
  <c r="BL462" i="1" s="1"/>
  <c r="BM462" i="1" s="1"/>
  <c r="BN462" i="1" s="1"/>
  <c r="BO462" i="1" s="1"/>
  <c r="BP462" i="1" s="1"/>
  <c r="BQ462" i="1" s="1"/>
  <c r="BR462" i="1" s="1"/>
  <c r="BS462" i="1" s="1"/>
  <c r="BT462" i="1" s="1"/>
  <c r="BF88" i="1"/>
  <c r="BJ88" i="1" s="1"/>
  <c r="BK88" i="1" s="1"/>
  <c r="BL88" i="1" s="1"/>
  <c r="BM88" i="1" s="1"/>
  <c r="BN88" i="1" s="1"/>
  <c r="BO88" i="1" s="1"/>
  <c r="BP88" i="1" s="1"/>
  <c r="BQ88" i="1" s="1"/>
  <c r="BR88" i="1" s="1"/>
  <c r="BS88" i="1" s="1"/>
  <c r="BT88" i="1" s="1"/>
  <c r="BF138" i="1"/>
  <c r="BJ138" i="1" s="1"/>
  <c r="BK138" i="1" s="1"/>
  <c r="BF324" i="1"/>
  <c r="BJ324" i="1" s="1"/>
  <c r="BK324" i="1" s="1"/>
  <c r="BL324" i="1" s="1"/>
  <c r="BM324" i="1" s="1"/>
  <c r="BN324" i="1" s="1"/>
  <c r="BO324" i="1" s="1"/>
  <c r="BP324" i="1" s="1"/>
  <c r="BQ324" i="1" s="1"/>
  <c r="BR324" i="1" s="1"/>
  <c r="BS324" i="1" s="1"/>
  <c r="BT324" i="1" s="1"/>
  <c r="BF123" i="1"/>
  <c r="BJ123" i="1" s="1"/>
  <c r="BK123" i="1" s="1"/>
  <c r="CZ558" i="1"/>
  <c r="BF397" i="1"/>
  <c r="BJ397" i="1" s="1"/>
  <c r="BK397" i="1" s="1"/>
  <c r="BL397" i="1" s="1"/>
  <c r="BM397" i="1" s="1"/>
  <c r="BN397" i="1" s="1"/>
  <c r="BO397" i="1" s="1"/>
  <c r="BP397" i="1" s="1"/>
  <c r="BQ397" i="1" s="1"/>
  <c r="BR397" i="1" s="1"/>
  <c r="BS397" i="1" s="1"/>
  <c r="BT397" i="1" s="1"/>
  <c r="BF451" i="1"/>
  <c r="BJ451" i="1" s="1"/>
  <c r="BK451" i="1" s="1"/>
  <c r="BL451" i="1" s="1"/>
  <c r="BM451" i="1" s="1"/>
  <c r="BN451" i="1" s="1"/>
  <c r="BO451" i="1" s="1"/>
  <c r="BP451" i="1" s="1"/>
  <c r="BQ451" i="1" s="1"/>
  <c r="BR451" i="1" s="1"/>
  <c r="BS451" i="1" s="1"/>
  <c r="BT451" i="1" s="1"/>
  <c r="BF441" i="1"/>
  <c r="BJ441" i="1" s="1"/>
  <c r="BK441" i="1" s="1"/>
  <c r="BL441" i="1" s="1"/>
  <c r="BM441" i="1" s="1"/>
  <c r="BN441" i="1" s="1"/>
  <c r="BO441" i="1" s="1"/>
  <c r="BP441" i="1" s="1"/>
  <c r="BQ441" i="1" s="1"/>
  <c r="BR441" i="1" s="1"/>
  <c r="BS441" i="1" s="1"/>
  <c r="BT441" i="1" s="1"/>
  <c r="BF447" i="1"/>
  <c r="BJ447" i="1" s="1"/>
  <c r="BK447" i="1" s="1"/>
  <c r="BL447" i="1" s="1"/>
  <c r="BM447" i="1" s="1"/>
  <c r="BN447" i="1" s="1"/>
  <c r="BO447" i="1" s="1"/>
  <c r="BP447" i="1" s="1"/>
  <c r="BQ447" i="1" s="1"/>
  <c r="BR447" i="1" s="1"/>
  <c r="BS447" i="1" s="1"/>
  <c r="BT447" i="1" s="1"/>
  <c r="BF350" i="1"/>
  <c r="BJ350" i="1" s="1"/>
  <c r="BK350" i="1" s="1"/>
  <c r="BL350" i="1" s="1"/>
  <c r="BM350" i="1" s="1"/>
  <c r="BN350" i="1" s="1"/>
  <c r="BO350" i="1" s="1"/>
  <c r="BP350" i="1" s="1"/>
  <c r="BQ350" i="1" s="1"/>
  <c r="BR350" i="1" s="1"/>
  <c r="BS350" i="1" s="1"/>
  <c r="BT350" i="1" s="1"/>
  <c r="BF442" i="1"/>
  <c r="BJ442" i="1" s="1"/>
  <c r="BK442" i="1" s="1"/>
  <c r="BL442" i="1" s="1"/>
  <c r="BM442" i="1" s="1"/>
  <c r="BN442" i="1" s="1"/>
  <c r="BO442" i="1" s="1"/>
  <c r="BP442" i="1" s="1"/>
  <c r="BQ442" i="1" s="1"/>
  <c r="BR442" i="1" s="1"/>
  <c r="BS442" i="1" s="1"/>
  <c r="BT442" i="1" s="1"/>
  <c r="BF128" i="1"/>
  <c r="BJ128" i="1" s="1"/>
  <c r="BK128" i="1" s="1"/>
  <c r="BF126" i="1"/>
  <c r="BJ126" i="1" s="1"/>
  <c r="BK126" i="1" s="1"/>
  <c r="BF518" i="1"/>
  <c r="BJ518" i="1" s="1"/>
  <c r="AU242" i="1"/>
  <c r="BF445" i="1"/>
  <c r="BJ445" i="1" s="1"/>
  <c r="BK445" i="1" s="1"/>
  <c r="BL445" i="1" s="1"/>
  <c r="BM445" i="1" s="1"/>
  <c r="BN445" i="1" s="1"/>
  <c r="BO445" i="1" s="1"/>
  <c r="BP445" i="1" s="1"/>
  <c r="BQ445" i="1" s="1"/>
  <c r="BR445" i="1" s="1"/>
  <c r="BS445" i="1" s="1"/>
  <c r="BT445" i="1" s="1"/>
  <c r="BF281" i="1"/>
  <c r="BJ281" i="1" s="1"/>
  <c r="BK281" i="1" s="1"/>
  <c r="BL281" i="1" s="1"/>
  <c r="BM281" i="1" s="1"/>
  <c r="BN281" i="1" s="1"/>
  <c r="BO281" i="1" s="1"/>
  <c r="BP281" i="1" s="1"/>
  <c r="BQ281" i="1" s="1"/>
  <c r="BR281" i="1" s="1"/>
  <c r="BS281" i="1" s="1"/>
  <c r="BT281" i="1" s="1"/>
  <c r="BF315" i="1"/>
  <c r="BJ315" i="1" s="1"/>
  <c r="BK315" i="1" s="1"/>
  <c r="BL315" i="1" s="1"/>
  <c r="BM315" i="1" s="1"/>
  <c r="BN315" i="1" s="1"/>
  <c r="BO315" i="1" s="1"/>
  <c r="BP315" i="1" s="1"/>
  <c r="BQ315" i="1" s="1"/>
  <c r="BR315" i="1" s="1"/>
  <c r="BS315" i="1" s="1"/>
  <c r="BT315" i="1" s="1"/>
  <c r="BF133" i="1"/>
  <c r="BJ133" i="1" s="1"/>
  <c r="BK133" i="1" s="1"/>
  <c r="BF432" i="1"/>
  <c r="BJ432" i="1" s="1"/>
  <c r="BK432" i="1" s="1"/>
  <c r="BL432" i="1" s="1"/>
  <c r="BM432" i="1" s="1"/>
  <c r="BN432" i="1" s="1"/>
  <c r="BO432" i="1" s="1"/>
  <c r="BP432" i="1" s="1"/>
  <c r="BQ432" i="1" s="1"/>
  <c r="BR432" i="1" s="1"/>
  <c r="BS432" i="1" s="1"/>
  <c r="BT432" i="1" s="1"/>
  <c r="BF452" i="1"/>
  <c r="BJ452" i="1" s="1"/>
  <c r="BK452" i="1" s="1"/>
  <c r="BL452" i="1" s="1"/>
  <c r="BM452" i="1" s="1"/>
  <c r="BN452" i="1" s="1"/>
  <c r="BO452" i="1" s="1"/>
  <c r="BP452" i="1" s="1"/>
  <c r="BQ452" i="1" s="1"/>
  <c r="BR452" i="1" s="1"/>
  <c r="BS452" i="1" s="1"/>
  <c r="BT452" i="1" s="1"/>
  <c r="AR460" i="1"/>
  <c r="AS460" i="1" s="1"/>
  <c r="BF169" i="1"/>
  <c r="BJ169" i="1" s="1"/>
  <c r="BK169" i="1" s="1"/>
  <c r="BL169" i="1" s="1"/>
  <c r="BM169" i="1" s="1"/>
  <c r="BN169" i="1" s="1"/>
  <c r="BO169" i="1" s="1"/>
  <c r="BP169" i="1" s="1"/>
  <c r="BQ169" i="1" s="1"/>
  <c r="BR169" i="1" s="1"/>
  <c r="BS169" i="1" s="1"/>
  <c r="BT169" i="1" s="1"/>
  <c r="BF221" i="1"/>
  <c r="BJ221" i="1" s="1"/>
  <c r="BK221" i="1" s="1"/>
  <c r="BL221" i="1" s="1"/>
  <c r="BM221" i="1" s="1"/>
  <c r="BN221" i="1" s="1"/>
  <c r="BO221" i="1" s="1"/>
  <c r="BP221" i="1" s="1"/>
  <c r="BQ221" i="1" s="1"/>
  <c r="BR221" i="1" s="1"/>
  <c r="BS221" i="1" s="1"/>
  <c r="BT221" i="1" s="1"/>
  <c r="BF459" i="1"/>
  <c r="BJ459" i="1" s="1"/>
  <c r="BK459" i="1" s="1"/>
  <c r="BL459" i="1" s="1"/>
  <c r="BM459" i="1" s="1"/>
  <c r="BN459" i="1" s="1"/>
  <c r="BO459" i="1" s="1"/>
  <c r="BP459" i="1" s="1"/>
  <c r="BQ459" i="1" s="1"/>
  <c r="BR459" i="1" s="1"/>
  <c r="BS459" i="1" s="1"/>
  <c r="BT459" i="1" s="1"/>
  <c r="BF450" i="1"/>
  <c r="BJ450" i="1" s="1"/>
  <c r="BK450" i="1" s="1"/>
  <c r="BL450" i="1" s="1"/>
  <c r="BM450" i="1" s="1"/>
  <c r="BN450" i="1" s="1"/>
  <c r="BO450" i="1" s="1"/>
  <c r="BP450" i="1" s="1"/>
  <c r="BQ450" i="1" s="1"/>
  <c r="BR450" i="1" s="1"/>
  <c r="BS450" i="1" s="1"/>
  <c r="BT450" i="1" s="1"/>
  <c r="BF5" i="1"/>
  <c r="BJ5" i="1" s="1"/>
  <c r="BK5" i="1" s="1"/>
  <c r="BL5" i="1" s="1"/>
  <c r="BM5" i="1" s="1"/>
  <c r="BN5" i="1" s="1"/>
  <c r="BO5" i="1" s="1"/>
  <c r="BP5" i="1" s="1"/>
  <c r="BQ5" i="1" s="1"/>
  <c r="BR5" i="1" s="1"/>
  <c r="BS5" i="1" s="1"/>
  <c r="BT5" i="1" s="1"/>
  <c r="BF130" i="1"/>
  <c r="BJ130" i="1" s="1"/>
  <c r="BK130" i="1" s="1"/>
  <c r="BF480" i="1"/>
  <c r="BJ480" i="1" s="1"/>
  <c r="BK480" i="1" s="1"/>
  <c r="BL480" i="1" s="1"/>
  <c r="BM480" i="1" s="1"/>
  <c r="BN480" i="1" s="1"/>
  <c r="BO480" i="1" s="1"/>
  <c r="BP480" i="1" s="1"/>
  <c r="BQ480" i="1" s="1"/>
  <c r="BR480" i="1" s="1"/>
  <c r="BS480" i="1" s="1"/>
  <c r="BT480" i="1" s="1"/>
  <c r="AU344" i="1"/>
  <c r="BF365" i="1"/>
  <c r="BJ365" i="1" s="1"/>
  <c r="BK365" i="1" s="1"/>
  <c r="BL365" i="1" s="1"/>
  <c r="BM365" i="1" s="1"/>
  <c r="BN365" i="1" s="1"/>
  <c r="BO365" i="1" s="1"/>
  <c r="BP365" i="1" s="1"/>
  <c r="BQ365" i="1" s="1"/>
  <c r="BR365" i="1" s="1"/>
  <c r="BS365" i="1" s="1"/>
  <c r="BT365" i="1" s="1"/>
  <c r="BF132" i="1"/>
  <c r="BJ132" i="1" s="1"/>
  <c r="BK132" i="1" s="1"/>
  <c r="BF135" i="1"/>
  <c r="BJ135" i="1" s="1"/>
  <c r="BK135" i="1" s="1"/>
  <c r="BF51" i="1"/>
  <c r="BJ51" i="1" s="1"/>
  <c r="BK51" i="1" s="1"/>
  <c r="BL51" i="1" s="1"/>
  <c r="BM51" i="1" s="1"/>
  <c r="BN51" i="1" s="1"/>
  <c r="BO51" i="1" s="1"/>
  <c r="BP51" i="1" s="1"/>
  <c r="BQ51" i="1" s="1"/>
  <c r="BR51" i="1" s="1"/>
  <c r="BS51" i="1" s="1"/>
  <c r="BT51" i="1" s="1"/>
  <c r="BF488" i="1"/>
  <c r="BJ488" i="1" s="1"/>
  <c r="BK488" i="1" s="1"/>
  <c r="BL488" i="1" s="1"/>
  <c r="BM488" i="1" s="1"/>
  <c r="BN488" i="1" s="1"/>
  <c r="BO488" i="1" s="1"/>
  <c r="BP488" i="1" s="1"/>
  <c r="BQ488" i="1" s="1"/>
  <c r="BR488" i="1" s="1"/>
  <c r="BS488" i="1" s="1"/>
  <c r="BT488" i="1" s="1"/>
  <c r="BF232" i="1"/>
  <c r="BJ232" i="1" s="1"/>
  <c r="BK232" i="1" s="1"/>
  <c r="BL232" i="1" s="1"/>
  <c r="BM232" i="1" s="1"/>
  <c r="BN232" i="1" s="1"/>
  <c r="BO232" i="1" s="1"/>
  <c r="BP232" i="1" s="1"/>
  <c r="BQ232" i="1" s="1"/>
  <c r="BR232" i="1" s="1"/>
  <c r="BS232" i="1" s="1"/>
  <c r="BT232" i="1" s="1"/>
  <c r="BF129" i="1"/>
  <c r="BJ129" i="1" s="1"/>
  <c r="BK129" i="1" s="1"/>
  <c r="BF465" i="1"/>
  <c r="BJ465" i="1" s="1"/>
  <c r="BK465" i="1" s="1"/>
  <c r="BL465" i="1" s="1"/>
  <c r="BM465" i="1" s="1"/>
  <c r="BN465" i="1" s="1"/>
  <c r="BO465" i="1" s="1"/>
  <c r="BP465" i="1" s="1"/>
  <c r="BQ465" i="1" s="1"/>
  <c r="BR465" i="1" s="1"/>
  <c r="BS465" i="1" s="1"/>
  <c r="BT465" i="1" s="1"/>
  <c r="BF434" i="1"/>
  <c r="BJ434" i="1" s="1"/>
  <c r="BK434" i="1" s="1"/>
  <c r="BL434" i="1" s="1"/>
  <c r="BM434" i="1" s="1"/>
  <c r="BN434" i="1" s="1"/>
  <c r="BO434" i="1" s="1"/>
  <c r="BP434" i="1" s="1"/>
  <c r="BQ434" i="1" s="1"/>
  <c r="BR434" i="1" s="1"/>
  <c r="BS434" i="1" s="1"/>
  <c r="BT434" i="1" s="1"/>
  <c r="BF60" i="1"/>
  <c r="BJ60" i="1" s="1"/>
  <c r="BK60" i="1" s="1"/>
  <c r="BL60" i="1" s="1"/>
  <c r="BM60" i="1" s="1"/>
  <c r="BN60" i="1" s="1"/>
  <c r="BO60" i="1" s="1"/>
  <c r="BP60" i="1" s="1"/>
  <c r="BQ60" i="1" s="1"/>
  <c r="BR60" i="1" s="1"/>
  <c r="BS60" i="1" s="1"/>
  <c r="BT60" i="1" s="1"/>
  <c r="BF127" i="1"/>
  <c r="BJ127" i="1" s="1"/>
  <c r="BK127" i="1" s="1"/>
  <c r="BF124" i="1"/>
  <c r="BJ124" i="1" s="1"/>
  <c r="BK124" i="1" s="1"/>
  <c r="BF479" i="1"/>
  <c r="BJ479" i="1" s="1"/>
  <c r="BK479" i="1" s="1"/>
  <c r="BL479" i="1" s="1"/>
  <c r="BM479" i="1" s="1"/>
  <c r="BN479" i="1" s="1"/>
  <c r="BO479" i="1" s="1"/>
  <c r="BP479" i="1" s="1"/>
  <c r="BQ479" i="1" s="1"/>
  <c r="BR479" i="1" s="1"/>
  <c r="BS479" i="1" s="1"/>
  <c r="BT479" i="1" s="1"/>
  <c r="BF292" i="1"/>
  <c r="BJ292" i="1" s="1"/>
  <c r="BK292" i="1" s="1"/>
  <c r="BL292" i="1" s="1"/>
  <c r="BM292" i="1" s="1"/>
  <c r="BN292" i="1" s="1"/>
  <c r="BO292" i="1" s="1"/>
  <c r="BP292" i="1" s="1"/>
  <c r="BQ292" i="1" s="1"/>
  <c r="BR292" i="1" s="1"/>
  <c r="BS292" i="1" s="1"/>
  <c r="BT292" i="1" s="1"/>
  <c r="BF443" i="1"/>
  <c r="BJ443" i="1" s="1"/>
  <c r="BK443" i="1" s="1"/>
  <c r="BL443" i="1" s="1"/>
  <c r="BM443" i="1" s="1"/>
  <c r="BN443" i="1" s="1"/>
  <c r="BO443" i="1" s="1"/>
  <c r="BP443" i="1" s="1"/>
  <c r="BQ443" i="1" s="1"/>
  <c r="BR443" i="1" s="1"/>
  <c r="BS443" i="1" s="1"/>
  <c r="BT443" i="1" s="1"/>
  <c r="BF481" i="1"/>
  <c r="BJ481" i="1" s="1"/>
  <c r="BK481" i="1" s="1"/>
  <c r="BL481" i="1" s="1"/>
  <c r="BM481" i="1" s="1"/>
  <c r="BN481" i="1" s="1"/>
  <c r="BO481" i="1" s="1"/>
  <c r="BP481" i="1" s="1"/>
  <c r="BQ481" i="1" s="1"/>
  <c r="BR481" i="1" s="1"/>
  <c r="BS481" i="1" s="1"/>
  <c r="BT481" i="1" s="1"/>
  <c r="BF482" i="1"/>
  <c r="BJ482" i="1" s="1"/>
  <c r="BK482" i="1" s="1"/>
  <c r="BL482" i="1" s="1"/>
  <c r="BM482" i="1" s="1"/>
  <c r="BN482" i="1" s="1"/>
  <c r="BO482" i="1" s="1"/>
  <c r="BP482" i="1" s="1"/>
  <c r="BQ482" i="1" s="1"/>
  <c r="BR482" i="1" s="1"/>
  <c r="BS482" i="1" s="1"/>
  <c r="BT482" i="1" s="1"/>
  <c r="CK247" i="1"/>
  <c r="AU436" i="1"/>
  <c r="AR169" i="1"/>
  <c r="AS169" i="1" s="1"/>
  <c r="AR532" i="1"/>
  <c r="AS532" i="1" s="1"/>
  <c r="AU435" i="1"/>
  <c r="AU211" i="1"/>
  <c r="AP304" i="1"/>
  <c r="AU299" i="1"/>
  <c r="AU372" i="1"/>
  <c r="AP372" i="1"/>
  <c r="CK41" i="1"/>
  <c r="CK244" i="1"/>
  <c r="AU458" i="1"/>
  <c r="AR142" i="1"/>
  <c r="AS142" i="1" s="1"/>
  <c r="AR125" i="1"/>
  <c r="AS125" i="1" s="1"/>
  <c r="AU304" i="1"/>
  <c r="AP44" i="1"/>
  <c r="AP211" i="1"/>
  <c r="AR311" i="1"/>
  <c r="AS311" i="1" s="1"/>
  <c r="AU210" i="1"/>
  <c r="AP210" i="1"/>
  <c r="CK246" i="1"/>
  <c r="AU252" i="1"/>
  <c r="AU44" i="1"/>
  <c r="AP517" i="1"/>
  <c r="AP299" i="1"/>
  <c r="CK496" i="1"/>
  <c r="AR344" i="1"/>
  <c r="AS344" i="1" s="1"/>
  <c r="AR349" i="1"/>
  <c r="AS349" i="1" s="1"/>
  <c r="AR358" i="1"/>
  <c r="AS358" i="1" s="1"/>
  <c r="CK201" i="1"/>
  <c r="AR463" i="1"/>
  <c r="AS463" i="1" s="1"/>
  <c r="AR456" i="1"/>
  <c r="AS456" i="1" s="1"/>
  <c r="AR135" i="1"/>
  <c r="AS135" i="1" s="1"/>
  <c r="AR322" i="1"/>
  <c r="AS322" i="1" s="1"/>
  <c r="AR102" i="1"/>
  <c r="AS102" i="1" s="1"/>
  <c r="AR350" i="1"/>
  <c r="AS350" i="1" s="1"/>
  <c r="AR338" i="1"/>
  <c r="AS338" i="1" s="1"/>
  <c r="AR51" i="1"/>
  <c r="AS51" i="1" s="1"/>
  <c r="AR360" i="1"/>
  <c r="AS360" i="1" s="1"/>
  <c r="AR372" i="1"/>
  <c r="AS372" i="1" s="1"/>
  <c r="AR252" i="1"/>
  <c r="AS252" i="1" s="1"/>
  <c r="AR89" i="1"/>
  <c r="AS89" i="1" s="1"/>
  <c r="AR98" i="1"/>
  <c r="AS98" i="1" s="1"/>
  <c r="AR479" i="1"/>
  <c r="AS479" i="1" s="1"/>
  <c r="AR281" i="1"/>
  <c r="AS281" i="1" s="1"/>
  <c r="AR315" i="1"/>
  <c r="AS315" i="1" s="1"/>
  <c r="AR292" i="1"/>
  <c r="AS292" i="1" s="1"/>
  <c r="AR16" i="1"/>
  <c r="AS16" i="1" s="1"/>
  <c r="AR134" i="1"/>
  <c r="AS134" i="1" s="1"/>
  <c r="AR124" i="1"/>
  <c r="AS124" i="1" s="1"/>
  <c r="AR572" i="1"/>
  <c r="AS572" i="1" s="1"/>
  <c r="AR103" i="1"/>
  <c r="AS103" i="1" s="1"/>
  <c r="AR477" i="1"/>
  <c r="AS477" i="1" s="1"/>
  <c r="AR138" i="1"/>
  <c r="AS138" i="1" s="1"/>
  <c r="AR148" i="1"/>
  <c r="AS148" i="1" s="1"/>
  <c r="AR466" i="1"/>
  <c r="AS466" i="1" s="1"/>
  <c r="AO293" i="1"/>
  <c r="AR293" i="1" s="1"/>
  <c r="AS293" i="1" s="1"/>
  <c r="AO270" i="1"/>
  <c r="AR270" i="1" s="1"/>
  <c r="AS270" i="1" s="1"/>
  <c r="AO308" i="1"/>
  <c r="AR308" i="1" s="1"/>
  <c r="AS308" i="1" s="1"/>
  <c r="AO475" i="1"/>
  <c r="AR475" i="1" s="1"/>
  <c r="AS475" i="1" s="1"/>
  <c r="AO171" i="1"/>
  <c r="AR171" i="1" s="1"/>
  <c r="AS171" i="1" s="1"/>
  <c r="AO157" i="1"/>
  <c r="AR157" i="1" s="1"/>
  <c r="AS157" i="1" s="1"/>
  <c r="AO63" i="1"/>
  <c r="AR63" i="1" s="1"/>
  <c r="AS63" i="1" s="1"/>
  <c r="AO92" i="1"/>
  <c r="AR92" i="1" s="1"/>
  <c r="AS92" i="1" s="1"/>
  <c r="AO73" i="1"/>
  <c r="AR73" i="1" s="1"/>
  <c r="AS73" i="1" s="1"/>
  <c r="AO473" i="1"/>
  <c r="AR473" i="1" s="1"/>
  <c r="AS473" i="1" s="1"/>
  <c r="AO75" i="1"/>
  <c r="AR75" i="1" s="1"/>
  <c r="AS75" i="1" s="1"/>
  <c r="AO499" i="1"/>
  <c r="AR499" i="1" s="1"/>
  <c r="AS499" i="1" s="1"/>
  <c r="AO362" i="1"/>
  <c r="AR362" i="1" s="1"/>
  <c r="AS362" i="1" s="1"/>
  <c r="BG512" i="1"/>
  <c r="AO296" i="1"/>
  <c r="AR296" i="1" s="1"/>
  <c r="AS296" i="1" s="1"/>
  <c r="AO207" i="1"/>
  <c r="AP207" i="1" s="1"/>
  <c r="AO406" i="1"/>
  <c r="AR406" i="1" s="1"/>
  <c r="AS406" i="1" s="1"/>
  <c r="AO255" i="1"/>
  <c r="CK255" i="1" s="1"/>
  <c r="AO282" i="1"/>
  <c r="AR282" i="1" s="1"/>
  <c r="AS282" i="1" s="1"/>
  <c r="AO266" i="1"/>
  <c r="AR266" i="1" s="1"/>
  <c r="AS266" i="1" s="1"/>
  <c r="AO114" i="1"/>
  <c r="AR114" i="1" s="1"/>
  <c r="AS114" i="1" s="1"/>
  <c r="AO471" i="1"/>
  <c r="AR471" i="1" s="1"/>
  <c r="AS471" i="1" s="1"/>
  <c r="AO213" i="1"/>
  <c r="AR213" i="1" s="1"/>
  <c r="AS213" i="1" s="1"/>
  <c r="AO214" i="1"/>
  <c r="AR214" i="1" s="1"/>
  <c r="AS214" i="1" s="1"/>
  <c r="CK341" i="1"/>
  <c r="AO368" i="1"/>
  <c r="AR368" i="1" s="1"/>
  <c r="AS368" i="1" s="1"/>
  <c r="AO424" i="1"/>
  <c r="AR424" i="1" s="1"/>
  <c r="AS424" i="1" s="1"/>
  <c r="AO279" i="1"/>
  <c r="AR279" i="1" s="1"/>
  <c r="AS279" i="1" s="1"/>
  <c r="AO155" i="1"/>
  <c r="AR155" i="1" s="1"/>
  <c r="AS155" i="1" s="1"/>
  <c r="AO79" i="1"/>
  <c r="AR79" i="1" s="1"/>
  <c r="AS79" i="1" s="1"/>
  <c r="AO422" i="1"/>
  <c r="AR422" i="1" s="1"/>
  <c r="AS422" i="1" s="1"/>
  <c r="AO474" i="1"/>
  <c r="AR474" i="1" s="1"/>
  <c r="AS474" i="1" s="1"/>
  <c r="AO71" i="1"/>
  <c r="AR71" i="1" s="1"/>
  <c r="AS71" i="1" s="1"/>
  <c r="AO423" i="1"/>
  <c r="CK423" i="1" s="1"/>
  <c r="AO265" i="1"/>
  <c r="AR265" i="1" s="1"/>
  <c r="AS265" i="1" s="1"/>
  <c r="AO64" i="1"/>
  <c r="AR64" i="1" s="1"/>
  <c r="AS64" i="1" s="1"/>
  <c r="AO182" i="1"/>
  <c r="AR182" i="1" s="1"/>
  <c r="AS182" i="1" s="1"/>
  <c r="AR400" i="1"/>
  <c r="AS400" i="1" s="1"/>
  <c r="AO430" i="1"/>
  <c r="AR430" i="1" s="1"/>
  <c r="AS430" i="1" s="1"/>
  <c r="AO373" i="1"/>
  <c r="AR373" i="1" s="1"/>
  <c r="AS373" i="1" s="1"/>
  <c r="AO112" i="1"/>
  <c r="AR112" i="1" s="1"/>
  <c r="AS112" i="1" s="1"/>
  <c r="AO467" i="1"/>
  <c r="AR467" i="1" s="1"/>
  <c r="AS467" i="1" s="1"/>
  <c r="AO176" i="1"/>
  <c r="AR176" i="1" s="1"/>
  <c r="AS176" i="1" s="1"/>
  <c r="AO271" i="1"/>
  <c r="AR271" i="1" s="1"/>
  <c r="AS271" i="1" s="1"/>
  <c r="AO486" i="1"/>
  <c r="AR486" i="1" s="1"/>
  <c r="AS486" i="1" s="1"/>
  <c r="AO200" i="1"/>
  <c r="AR200" i="1" s="1"/>
  <c r="AS200" i="1" s="1"/>
  <c r="AO274" i="1"/>
  <c r="AR274" i="1" s="1"/>
  <c r="AS274" i="1" s="1"/>
  <c r="CK104" i="1"/>
  <c r="AR365" i="1"/>
  <c r="AS365" i="1" s="1"/>
  <c r="AR451" i="1"/>
  <c r="AS451" i="1" s="1"/>
  <c r="AR144" i="1"/>
  <c r="AS144" i="1" s="1"/>
  <c r="AR35" i="1"/>
  <c r="AS35" i="1" s="1"/>
  <c r="AR437" i="1"/>
  <c r="AS437" i="1" s="1"/>
  <c r="AR242" i="1"/>
  <c r="AS242" i="1" s="1"/>
  <c r="AR441" i="1"/>
  <c r="AS441" i="1" s="1"/>
  <c r="AR18" i="1"/>
  <c r="AS18" i="1" s="1"/>
  <c r="AR392" i="1"/>
  <c r="AS392" i="1" s="1"/>
  <c r="AR389" i="1"/>
  <c r="AS389" i="1" s="1"/>
  <c r="AR53" i="1"/>
  <c r="AS53" i="1" s="1"/>
  <c r="AR133" i="1"/>
  <c r="AS133" i="1" s="1"/>
  <c r="AR348" i="1"/>
  <c r="AS348" i="1" s="1"/>
  <c r="AR122" i="1"/>
  <c r="AS122" i="1" s="1"/>
  <c r="AR436" i="1"/>
  <c r="AS436" i="1" s="1"/>
  <c r="AR45" i="1"/>
  <c r="AS45" i="1" s="1"/>
  <c r="AR37" i="1"/>
  <c r="AS37" i="1" s="1"/>
  <c r="AR449" i="1"/>
  <c r="AS449" i="1" s="1"/>
  <c r="AR478" i="1"/>
  <c r="AS478" i="1" s="1"/>
  <c r="AR490" i="1"/>
  <c r="AS490" i="1" s="1"/>
  <c r="AR443" i="1"/>
  <c r="AS443" i="1" s="1"/>
  <c r="AR140" i="1"/>
  <c r="AS140" i="1" s="1"/>
  <c r="AR481" i="1"/>
  <c r="AS481" i="1" s="1"/>
  <c r="AR130" i="1"/>
  <c r="AS130" i="1" s="1"/>
  <c r="AR107" i="1"/>
  <c r="AS107" i="1" s="1"/>
  <c r="AR248" i="1"/>
  <c r="AS248" i="1" s="1"/>
  <c r="AR480" i="1"/>
  <c r="AS480" i="1" s="1"/>
  <c r="AR397" i="1"/>
  <c r="AS397" i="1" s="1"/>
  <c r="AO156" i="1"/>
  <c r="AR156" i="1" s="1"/>
  <c r="AS156" i="1" s="1"/>
  <c r="AO118" i="1"/>
  <c r="AR118" i="1" s="1"/>
  <c r="AS118" i="1" s="1"/>
  <c r="AO254" i="1"/>
  <c r="AR254" i="1" s="1"/>
  <c r="AS254" i="1" s="1"/>
  <c r="AO354" i="1"/>
  <c r="AR354" i="1" s="1"/>
  <c r="AS354" i="1" s="1"/>
  <c r="AO209" i="1"/>
  <c r="AR209" i="1" s="1"/>
  <c r="AS209" i="1" s="1"/>
  <c r="AO159" i="1"/>
  <c r="AR159" i="1" s="1"/>
  <c r="AS159" i="1" s="1"/>
  <c r="AO158" i="1"/>
  <c r="AP158" i="1" s="1"/>
  <c r="AO513" i="1"/>
  <c r="CK513" i="1" s="1"/>
  <c r="AO307" i="1"/>
  <c r="AR307" i="1" s="1"/>
  <c r="AS307" i="1" s="1"/>
  <c r="AO396" i="1"/>
  <c r="AR396" i="1" s="1"/>
  <c r="AS396" i="1" s="1"/>
  <c r="AO170" i="1"/>
  <c r="AR170" i="1" s="1"/>
  <c r="AS170" i="1" s="1"/>
  <c r="AO472" i="1"/>
  <c r="AR472" i="1" s="1"/>
  <c r="AS472" i="1" s="1"/>
  <c r="AO427" i="1"/>
  <c r="CK427" i="1" s="1"/>
  <c r="AO376" i="1"/>
  <c r="AR376" i="1" s="1"/>
  <c r="AS376" i="1" s="1"/>
  <c r="AO363" i="1"/>
  <c r="AR363" i="1" s="1"/>
  <c r="AS363" i="1" s="1"/>
  <c r="AO203" i="1"/>
  <c r="AR203" i="1" s="1"/>
  <c r="AS203" i="1" s="1"/>
  <c r="AO180" i="1"/>
  <c r="AR180" i="1" s="1"/>
  <c r="AS180" i="1" s="1"/>
  <c r="BG301" i="1"/>
  <c r="AR302" i="1"/>
  <c r="AS302" i="1" s="1"/>
  <c r="CK241" i="1"/>
  <c r="AU241" i="1"/>
  <c r="AR433" i="1"/>
  <c r="AS433" i="1" s="1"/>
  <c r="AR55" i="1"/>
  <c r="AS55" i="1" s="1"/>
  <c r="AR88" i="1"/>
  <c r="AS88" i="1" s="1"/>
  <c r="AR36" i="1"/>
  <c r="AS36" i="1" s="1"/>
  <c r="AR447" i="1"/>
  <c r="AS447" i="1" s="1"/>
  <c r="AR457" i="1"/>
  <c r="AS457" i="1" s="1"/>
  <c r="AR132" i="1"/>
  <c r="AS132" i="1" s="1"/>
  <c r="CK484" i="1"/>
  <c r="AU484" i="1"/>
  <c r="AO257" i="1"/>
  <c r="CK257" i="1" s="1"/>
  <c r="AO351" i="1"/>
  <c r="AR351" i="1" s="1"/>
  <c r="AS351" i="1" s="1"/>
  <c r="AO383" i="1"/>
  <c r="AR383" i="1" s="1"/>
  <c r="AS383" i="1" s="1"/>
  <c r="AO352" i="1"/>
  <c r="AR352" i="1" s="1"/>
  <c r="AS352" i="1" s="1"/>
  <c r="AO404" i="1"/>
  <c r="CK404" i="1" s="1"/>
  <c r="AO29" i="1"/>
  <c r="CK29" i="1" s="1"/>
  <c r="AO174" i="1"/>
  <c r="CK174" i="1" s="1"/>
  <c r="AO503" i="1"/>
  <c r="AR503" i="1" s="1"/>
  <c r="AS503" i="1" s="1"/>
  <c r="CK425" i="1"/>
  <c r="AR339" i="1"/>
  <c r="AS339" i="1" s="1"/>
  <c r="AO502" i="1"/>
  <c r="AR502" i="1" s="1"/>
  <c r="AS502" i="1" s="1"/>
  <c r="AO283" i="1"/>
  <c r="AR283" i="1" s="1"/>
  <c r="AS283" i="1" s="1"/>
  <c r="AO206" i="1"/>
  <c r="AR206" i="1" s="1"/>
  <c r="AS206" i="1" s="1"/>
  <c r="AO414" i="1"/>
  <c r="AR414" i="1" s="1"/>
  <c r="AS414" i="1" s="1"/>
  <c r="AO303" i="1"/>
  <c r="AR303" i="1" s="1"/>
  <c r="AS303" i="1" s="1"/>
  <c r="AO183" i="1"/>
  <c r="AR183" i="1" s="1"/>
  <c r="AS183" i="1" s="1"/>
  <c r="AO267" i="1"/>
  <c r="AR267" i="1" s="1"/>
  <c r="AS267" i="1" s="1"/>
  <c r="AO498" i="1"/>
  <c r="AR498" i="1" s="1"/>
  <c r="AS498" i="1" s="1"/>
  <c r="AO429" i="1"/>
  <c r="AR429" i="1" s="1"/>
  <c r="AS429" i="1" s="1"/>
  <c r="AR116" i="1"/>
  <c r="AS116" i="1" s="1"/>
  <c r="AR431" i="1"/>
  <c r="AS431" i="1" s="1"/>
  <c r="AR455" i="1"/>
  <c r="AS455" i="1" s="1"/>
  <c r="AR324" i="1"/>
  <c r="AS324" i="1" s="1"/>
  <c r="AR123" i="1"/>
  <c r="AS123" i="1" s="1"/>
  <c r="AR221" i="1"/>
  <c r="AS221" i="1" s="1"/>
  <c r="AR141" i="1"/>
  <c r="AS141" i="1" s="1"/>
  <c r="AR153" i="1"/>
  <c r="AS153" i="1" s="1"/>
  <c r="AR459" i="1"/>
  <c r="AS459" i="1" s="1"/>
  <c r="AR323" i="1"/>
  <c r="AS323" i="1" s="1"/>
  <c r="AR450" i="1"/>
  <c r="AS450" i="1" s="1"/>
  <c r="AR96" i="1"/>
  <c r="AS96" i="1" s="1"/>
  <c r="AR357" i="1"/>
  <c r="AS357" i="1" s="1"/>
  <c r="AR6" i="1"/>
  <c r="AS6" i="1" s="1"/>
  <c r="AR5" i="1"/>
  <c r="AR309" i="1"/>
  <c r="AS309" i="1" s="1"/>
  <c r="AR143" i="1"/>
  <c r="AS143" i="1" s="1"/>
  <c r="AR434" i="1"/>
  <c r="AS434" i="1" s="1"/>
  <c r="AR167" i="1"/>
  <c r="AS167" i="1" s="1"/>
  <c r="AR139" i="1"/>
  <c r="AS139" i="1" s="1"/>
  <c r="AR60" i="1"/>
  <c r="AS60" i="1" s="1"/>
  <c r="AR127" i="1"/>
  <c r="AS127" i="1" s="1"/>
  <c r="AR317" i="1"/>
  <c r="AS317" i="1" s="1"/>
  <c r="AO54" i="1"/>
  <c r="AR54" i="1" s="1"/>
  <c r="AS54" i="1" s="1"/>
  <c r="AO405" i="1"/>
  <c r="AR405" i="1" s="1"/>
  <c r="AS405" i="1" s="1"/>
  <c r="AO277" i="1"/>
  <c r="AR277" i="1" s="1"/>
  <c r="AS277" i="1" s="1"/>
  <c r="AO273" i="1"/>
  <c r="AR273" i="1" s="1"/>
  <c r="AS273" i="1" s="1"/>
  <c r="AO428" i="1"/>
  <c r="AR428" i="1" s="1"/>
  <c r="AS428" i="1" s="1"/>
  <c r="AO378" i="1"/>
  <c r="AR378" i="1" s="1"/>
  <c r="AS378" i="1" s="1"/>
  <c r="AR420" i="1"/>
  <c r="AS420" i="1" s="1"/>
  <c r="AO259" i="1"/>
  <c r="AR259" i="1" s="1"/>
  <c r="AS259" i="1" s="1"/>
  <c r="AO121" i="1"/>
  <c r="CK121" i="1" s="1"/>
  <c r="AO469" i="1"/>
  <c r="CK469" i="1" s="1"/>
  <c r="AO117" i="1"/>
  <c r="AR117" i="1" s="1"/>
  <c r="AS117" i="1" s="1"/>
  <c r="AO272" i="1"/>
  <c r="AR272" i="1" s="1"/>
  <c r="AS272" i="1" s="1"/>
  <c r="AO269" i="1"/>
  <c r="AR269" i="1" s="1"/>
  <c r="AS269" i="1" s="1"/>
  <c r="AO356" i="1"/>
  <c r="AR356" i="1" s="1"/>
  <c r="AS356" i="1" s="1"/>
  <c r="AO297" i="1"/>
  <c r="AU297" i="1" s="1"/>
  <c r="AO256" i="1"/>
  <c r="CK256" i="1" s="1"/>
  <c r="AO371" i="1"/>
  <c r="AR371" i="1" s="1"/>
  <c r="AS371" i="1" s="1"/>
  <c r="AO278" i="1"/>
  <c r="AR278" i="1" s="1"/>
  <c r="AS278" i="1" s="1"/>
  <c r="AO470" i="1"/>
  <c r="AR470" i="1" s="1"/>
  <c r="AS470" i="1" s="1"/>
  <c r="CK336" i="1"/>
  <c r="AU336" i="1"/>
  <c r="CK337" i="1"/>
  <c r="AU337" i="1"/>
  <c r="AO120" i="1"/>
  <c r="AR120" i="1" s="1"/>
  <c r="AS120" i="1" s="1"/>
  <c r="AO410" i="1"/>
  <c r="AR410" i="1" s="1"/>
  <c r="AS410" i="1" s="1"/>
  <c r="AO175" i="1"/>
  <c r="AR175" i="1" s="1"/>
  <c r="AS175" i="1" s="1"/>
  <c r="AO399" i="1"/>
  <c r="AR399" i="1" s="1"/>
  <c r="AS399" i="1" s="1"/>
  <c r="BG111" i="1"/>
  <c r="AO385" i="1"/>
  <c r="AR385" i="1" s="1"/>
  <c r="AS385" i="1" s="1"/>
  <c r="AO275" i="1"/>
  <c r="AR275" i="1" s="1"/>
  <c r="AS275" i="1" s="1"/>
  <c r="AO426" i="1"/>
  <c r="AR426" i="1" s="1"/>
  <c r="AS426" i="1" s="1"/>
  <c r="AO416" i="1"/>
  <c r="AR416" i="1" s="1"/>
  <c r="AS416" i="1" s="1"/>
  <c r="AO306" i="1"/>
  <c r="CK306" i="1" s="1"/>
  <c r="AO191" i="1"/>
  <c r="AR191" i="1" s="1"/>
  <c r="AS191" i="1" s="1"/>
  <c r="AO286" i="1"/>
  <c r="AR286" i="1" s="1"/>
  <c r="AS286" i="1" s="1"/>
  <c r="AO280" i="1"/>
  <c r="AR280" i="1" s="1"/>
  <c r="AS280" i="1" s="1"/>
  <c r="AO402" i="1"/>
  <c r="AR402" i="1" s="1"/>
  <c r="AS402" i="1" s="1"/>
  <c r="AO381" i="1"/>
  <c r="AR381" i="1" s="1"/>
  <c r="AS381" i="1" s="1"/>
  <c r="AO49" i="1"/>
  <c r="AR49" i="1" s="1"/>
  <c r="AS49" i="1" s="1"/>
  <c r="AR340" i="1"/>
  <c r="AS340" i="1" s="1"/>
  <c r="AO50" i="1"/>
  <c r="AR50" i="1" s="1"/>
  <c r="AS50" i="1" s="1"/>
  <c r="AO476" i="1"/>
  <c r="AR476" i="1" s="1"/>
  <c r="AS476" i="1" s="1"/>
  <c r="AO468" i="1"/>
  <c r="AR468" i="1" s="1"/>
  <c r="AS468" i="1" s="1"/>
  <c r="AO369" i="1"/>
  <c r="AR369" i="1" s="1"/>
  <c r="AS369" i="1" s="1"/>
  <c r="AO361" i="1"/>
  <c r="AR361" i="1" s="1"/>
  <c r="AS361" i="1" s="1"/>
  <c r="BG380" i="1"/>
  <c r="AO188" i="1"/>
  <c r="AR188" i="1" s="1"/>
  <c r="AS188" i="1" s="1"/>
  <c r="AO393" i="1"/>
  <c r="AR393" i="1" s="1"/>
  <c r="AS393" i="1" s="1"/>
  <c r="AR347" i="1"/>
  <c r="AS347" i="1" s="1"/>
  <c r="AO260" i="1"/>
  <c r="AR260" i="1" s="1"/>
  <c r="AS260" i="1" s="1"/>
  <c r="AO413" i="1"/>
  <c r="AR413" i="1" s="1"/>
  <c r="AS413" i="1" s="1"/>
  <c r="AO359" i="1"/>
  <c r="AR359" i="1" s="1"/>
  <c r="AS359" i="1" s="1"/>
  <c r="AO119" i="1"/>
  <c r="AR119" i="1" s="1"/>
  <c r="AS119" i="1" s="1"/>
  <c r="AO202" i="1"/>
  <c r="AR202" i="1" s="1"/>
  <c r="AS202" i="1" s="1"/>
  <c r="AU249" i="1"/>
  <c r="AR7" i="1"/>
  <c r="AS7" i="1" s="1"/>
  <c r="AR461" i="1"/>
  <c r="AS461" i="1" s="1"/>
  <c r="AR391" i="1"/>
  <c r="AS391" i="1" s="1"/>
  <c r="AR249" i="1"/>
  <c r="AS249" i="1" s="1"/>
  <c r="AR462" i="1"/>
  <c r="AS462" i="1" s="1"/>
  <c r="AR310" i="1"/>
  <c r="AS310" i="1" s="1"/>
  <c r="AR321" i="1"/>
  <c r="AS321" i="1" s="1"/>
  <c r="AR136" i="1"/>
  <c r="AS136" i="1" s="1"/>
  <c r="CK220" i="1"/>
  <c r="AU220" i="1"/>
  <c r="CK59" i="1"/>
  <c r="AU59" i="1"/>
  <c r="CK251" i="1"/>
  <c r="AU251" i="1"/>
  <c r="AR446" i="1"/>
  <c r="AS446" i="1" s="1"/>
  <c r="AR488" i="1"/>
  <c r="AS488" i="1" s="1"/>
  <c r="AR232" i="1"/>
  <c r="AS232" i="1" s="1"/>
  <c r="AR440" i="1"/>
  <c r="AS440" i="1" s="1"/>
  <c r="AR442" i="1"/>
  <c r="AS442" i="1" s="1"/>
  <c r="AR128" i="1"/>
  <c r="AS128" i="1" s="1"/>
  <c r="AR129" i="1"/>
  <c r="AS129" i="1" s="1"/>
  <c r="AR485" i="1"/>
  <c r="AS485" i="1" s="1"/>
  <c r="AR465" i="1"/>
  <c r="AS465" i="1" s="1"/>
  <c r="AR126" i="1"/>
  <c r="AS126" i="1" s="1"/>
  <c r="AR137" i="1"/>
  <c r="AS137" i="1" s="1"/>
  <c r="AR8" i="1"/>
  <c r="AS8" i="1" s="1"/>
  <c r="AR454" i="1"/>
  <c r="AS454" i="1" s="1"/>
  <c r="AR131" i="1"/>
  <c r="AS131" i="1" s="1"/>
  <c r="AR458" i="1"/>
  <c r="AS458" i="1" s="1"/>
  <c r="AR432" i="1"/>
  <c r="AS432" i="1" s="1"/>
  <c r="AR482" i="1"/>
  <c r="AS482" i="1" s="1"/>
  <c r="AR452" i="1"/>
  <c r="AS452" i="1" s="1"/>
  <c r="AR489" i="1"/>
  <c r="AS489" i="1" s="1"/>
  <c r="AR316" i="1"/>
  <c r="AS316" i="1" s="1"/>
  <c r="AR453" i="1"/>
  <c r="AS453" i="1" s="1"/>
  <c r="AR325" i="1"/>
  <c r="AS325" i="1" s="1"/>
  <c r="AO411" i="1"/>
  <c r="AR411" i="1" s="1"/>
  <c r="AS411" i="1" s="1"/>
  <c r="AO261" i="1"/>
  <c r="AR261" i="1" s="1"/>
  <c r="AS261" i="1" s="1"/>
  <c r="AO62" i="1"/>
  <c r="AU62" i="1" s="1"/>
  <c r="AO12" i="1"/>
  <c r="AR12" i="1" s="1"/>
  <c r="AS12" i="1" s="1"/>
  <c r="AO212" i="1"/>
  <c r="AR212" i="1" s="1"/>
  <c r="AS212" i="1" s="1"/>
  <c r="BG353" i="1"/>
  <c r="AO181" i="1"/>
  <c r="AR181" i="1" s="1"/>
  <c r="AS181" i="1" s="1"/>
  <c r="AO78" i="1"/>
  <c r="CK78" i="1" s="1"/>
  <c r="AO61" i="1"/>
  <c r="AU61" i="1" s="1"/>
  <c r="AO401" i="1"/>
  <c r="AR401" i="1" s="1"/>
  <c r="AS401" i="1" s="1"/>
  <c r="AO178" i="1"/>
  <c r="AR178" i="1" s="1"/>
  <c r="AS178" i="1" s="1"/>
  <c r="AO42" i="1"/>
  <c r="AR42" i="1" s="1"/>
  <c r="AS42" i="1" s="1"/>
  <c r="AO217" i="1"/>
  <c r="AR217" i="1" s="1"/>
  <c r="AS217" i="1" s="1"/>
  <c r="AO216" i="1"/>
  <c r="AR216" i="1" s="1"/>
  <c r="AS216" i="1" s="1"/>
  <c r="AO412" i="1"/>
  <c r="CK412" i="1" s="1"/>
  <c r="AO173" i="1"/>
  <c r="CK173" i="1" s="1"/>
  <c r="AO91" i="1"/>
  <c r="AR91" i="1" s="1"/>
  <c r="AS91" i="1" s="1"/>
  <c r="AO95" i="1"/>
  <c r="AR95" i="1" s="1"/>
  <c r="AS95" i="1" s="1"/>
  <c r="AO262" i="1"/>
  <c r="AR262" i="1" s="1"/>
  <c r="AS262" i="1" s="1"/>
  <c r="AO189" i="1"/>
  <c r="AR189" i="1" s="1"/>
  <c r="AS189" i="1" s="1"/>
  <c r="AO379" i="1"/>
  <c r="AR379" i="1" s="1"/>
  <c r="AS379" i="1" s="1"/>
  <c r="AO215" i="1"/>
  <c r="AR215" i="1" s="1"/>
  <c r="AS215" i="1" s="1"/>
  <c r="AO218" i="1"/>
  <c r="AR218" i="1" s="1"/>
  <c r="AS218" i="1" s="1"/>
  <c r="AO177" i="1"/>
  <c r="AR177" i="1" s="1"/>
  <c r="AS177" i="1" s="1"/>
  <c r="CK326" i="1"/>
  <c r="AU326" i="1"/>
  <c r="CK438" i="1"/>
  <c r="CK38" i="1"/>
  <c r="AU38" i="1"/>
  <c r="CK250" i="1"/>
  <c r="AU250" i="1"/>
  <c r="N719" i="1"/>
  <c r="B6" i="8" s="1"/>
  <c r="I6" i="8" s="1"/>
  <c r="BH811" i="4"/>
  <c r="AD146" i="1"/>
  <c r="AE146" i="1" s="1"/>
  <c r="AF146" i="1" s="1"/>
  <c r="AG146" i="1" s="1"/>
  <c r="AH146" i="1" s="1"/>
  <c r="AI146" i="1" s="1"/>
  <c r="AJ146" i="1" s="1"/>
  <c r="AK146" i="1" s="1"/>
  <c r="AL146" i="1" s="1"/>
  <c r="AM146" i="1" s="1"/>
  <c r="AN146" i="1" s="1"/>
  <c r="AU577" i="1"/>
  <c r="N717" i="1"/>
  <c r="AA715" i="1"/>
  <c r="BH699" i="4"/>
  <c r="BH640" i="4"/>
  <c r="BH893" i="4"/>
  <c r="BH169" i="4"/>
  <c r="BH1003" i="4"/>
  <c r="BH265" i="4"/>
  <c r="AT577" i="1"/>
  <c r="BH711" i="4"/>
  <c r="BH171" i="4"/>
  <c r="BH962" i="4"/>
  <c r="BH692" i="4"/>
  <c r="BH910" i="4"/>
  <c r="BH744" i="4"/>
  <c r="BH827" i="4"/>
  <c r="BH899" i="4"/>
  <c r="BH907" i="4"/>
  <c r="BH824" i="4"/>
  <c r="BH703" i="4"/>
  <c r="AV532" i="1"/>
  <c r="AW532" i="1" s="1"/>
  <c r="AX532" i="1" s="1"/>
  <c r="AY532" i="1" s="1"/>
  <c r="AZ532" i="1" s="1"/>
  <c r="BA532" i="1" s="1"/>
  <c r="BB532" i="1" s="1"/>
  <c r="BC532" i="1" s="1"/>
  <c r="BD532" i="1" s="1"/>
  <c r="BE532" i="1" s="1"/>
  <c r="BH969" i="4"/>
  <c r="BH835" i="4"/>
  <c r="BH172" i="4"/>
  <c r="BH620" i="4"/>
  <c r="BH884" i="4"/>
  <c r="BH158" i="4"/>
  <c r="BH632" i="4"/>
  <c r="BH896" i="4"/>
  <c r="BH1029" i="4"/>
  <c r="BH1028" i="4"/>
  <c r="BH883" i="4"/>
  <c r="BH858" i="4"/>
  <c r="BH906" i="4"/>
  <c r="BH697" i="4"/>
  <c r="BH650" i="4"/>
  <c r="BH606" i="4"/>
  <c r="BH891" i="4"/>
  <c r="BH649" i="4"/>
  <c r="BH696" i="4"/>
  <c r="AV185" i="1"/>
  <c r="AW185" i="1" s="1"/>
  <c r="AX185" i="1" s="1"/>
  <c r="AY185" i="1" s="1"/>
  <c r="AZ185" i="1" s="1"/>
  <c r="BA185" i="1" s="1"/>
  <c r="BB185" i="1" s="1"/>
  <c r="BC185" i="1" s="1"/>
  <c r="BD185" i="1" s="1"/>
  <c r="BE185" i="1" s="1"/>
  <c r="BH914" i="4"/>
  <c r="BH581" i="4"/>
  <c r="BH860" i="4"/>
  <c r="BH989" i="4"/>
  <c r="BH967" i="4"/>
  <c r="BH572" i="4"/>
  <c r="BH724" i="4"/>
  <c r="BH465" i="4"/>
  <c r="BH848" i="4"/>
  <c r="BH634" i="4"/>
  <c r="BH911" i="4"/>
  <c r="BH161" i="4"/>
  <c r="BH829" i="4"/>
  <c r="BH621" i="4"/>
  <c r="BH980" i="4"/>
  <c r="BH855" i="4"/>
  <c r="BH596" i="4"/>
  <c r="BH745" i="4"/>
  <c r="BH543" i="4"/>
  <c r="BH518" i="4"/>
  <c r="AT532" i="1"/>
  <c r="BH207" i="4"/>
  <c r="BH174" i="4"/>
  <c r="BH970" i="4"/>
  <c r="BH162" i="4"/>
  <c r="BH642" i="4"/>
  <c r="BH968" i="4"/>
  <c r="AV184" i="1"/>
  <c r="AW184" i="1" s="1"/>
  <c r="AX184" i="1" s="1"/>
  <c r="AY184" i="1" s="1"/>
  <c r="AZ184" i="1" s="1"/>
  <c r="BA184" i="1" s="1"/>
  <c r="BB184" i="1" s="1"/>
  <c r="BC184" i="1" s="1"/>
  <c r="BD184" i="1" s="1"/>
  <c r="BE184" i="1" s="1"/>
  <c r="BH607" i="4"/>
  <c r="BH694" i="4"/>
  <c r="AV389" i="1"/>
  <c r="AW389" i="1" s="1"/>
  <c r="AX389" i="1" s="1"/>
  <c r="AY389" i="1" s="1"/>
  <c r="AZ389" i="1" s="1"/>
  <c r="BA389" i="1" s="1"/>
  <c r="BB389" i="1" s="1"/>
  <c r="BC389" i="1" s="1"/>
  <c r="BD389" i="1" s="1"/>
  <c r="BE389" i="1" s="1"/>
  <c r="BH831" i="4"/>
  <c r="AV284" i="1"/>
  <c r="AW284" i="1" s="1"/>
  <c r="AX284" i="1" s="1"/>
  <c r="AY284" i="1" s="1"/>
  <c r="AZ284" i="1" s="1"/>
  <c r="BA284" i="1" s="1"/>
  <c r="BB284" i="1" s="1"/>
  <c r="BC284" i="1" s="1"/>
  <c r="BD284" i="1" s="1"/>
  <c r="BE284" i="1" s="1"/>
  <c r="BH758" i="4"/>
  <c r="BH965" i="4"/>
  <c r="AV193" i="1"/>
  <c r="AW193" i="1" s="1"/>
  <c r="AX193" i="1" s="1"/>
  <c r="AY193" i="1" s="1"/>
  <c r="AZ193" i="1" s="1"/>
  <c r="BA193" i="1" s="1"/>
  <c r="BB193" i="1" s="1"/>
  <c r="BC193" i="1" s="1"/>
  <c r="BD193" i="1" s="1"/>
  <c r="BE193" i="1" s="1"/>
  <c r="BH652" i="4"/>
  <c r="BH575" i="4"/>
  <c r="BH912" i="4"/>
  <c r="BH500" i="4"/>
  <c r="BH908" i="4"/>
  <c r="BH753" i="4"/>
  <c r="BH704" i="4"/>
  <c r="BH517" i="4"/>
  <c r="BH541" i="4"/>
  <c r="BH826" i="4"/>
  <c r="BH570" i="4"/>
  <c r="BH859" i="4"/>
  <c r="BH714" i="4"/>
  <c r="BH720" i="4"/>
  <c r="BH845" i="4"/>
  <c r="BH598" i="4"/>
  <c r="BH888" i="4"/>
  <c r="BH825" i="4"/>
  <c r="BH651" i="4"/>
  <c r="BH872" i="4"/>
  <c r="BH630" i="4"/>
  <c r="BH571" i="4"/>
  <c r="BH847" i="4"/>
  <c r="BH107" i="4"/>
  <c r="BH850" i="4"/>
  <c r="BH710" i="4"/>
  <c r="AV576" i="1"/>
  <c r="AW576" i="1" s="1"/>
  <c r="AX576" i="1" s="1"/>
  <c r="AY576" i="1" s="1"/>
  <c r="AZ576" i="1" s="1"/>
  <c r="BA576" i="1" s="1"/>
  <c r="BB576" i="1" s="1"/>
  <c r="BC576" i="1" s="1"/>
  <c r="BD576" i="1" s="1"/>
  <c r="BE576" i="1" s="1"/>
  <c r="AV517" i="1"/>
  <c r="AW517" i="1" s="1"/>
  <c r="AX517" i="1" s="1"/>
  <c r="AY517" i="1" s="1"/>
  <c r="AZ517" i="1" s="1"/>
  <c r="BA517" i="1" s="1"/>
  <c r="BB517" i="1" s="1"/>
  <c r="BC517" i="1" s="1"/>
  <c r="BD517" i="1" s="1"/>
  <c r="BE517" i="1" s="1"/>
  <c r="BH909" i="4"/>
  <c r="BH593" i="4"/>
  <c r="BH626" i="4"/>
  <c r="BH646" i="4"/>
  <c r="BH882" i="4"/>
  <c r="AV187" i="1"/>
  <c r="AW187" i="1" s="1"/>
  <c r="AX187" i="1" s="1"/>
  <c r="AY187" i="1" s="1"/>
  <c r="AZ187" i="1" s="1"/>
  <c r="BA187" i="1" s="1"/>
  <c r="BB187" i="1" s="1"/>
  <c r="BC187" i="1" s="1"/>
  <c r="BD187" i="1" s="1"/>
  <c r="BE187" i="1" s="1"/>
  <c r="BH964" i="4"/>
  <c r="BH737" i="4"/>
  <c r="BH584" i="4"/>
  <c r="BH639" i="4"/>
  <c r="BH715" i="4"/>
  <c r="BH727" i="4"/>
  <c r="BH712" i="4"/>
  <c r="BH544" i="4"/>
  <c r="BH713" i="4"/>
  <c r="BH1020" i="4"/>
  <c r="BH721" i="4"/>
  <c r="BH1017" i="4"/>
  <c r="BH846" i="4"/>
  <c r="BH966" i="4"/>
  <c r="BH960" i="4"/>
  <c r="BH498" i="4"/>
  <c r="BH688" i="4"/>
  <c r="BH913" i="4"/>
  <c r="BH834" i="4"/>
  <c r="BH718" i="4"/>
  <c r="BH690" i="4"/>
  <c r="BH709" i="4"/>
  <c r="BH691" i="4"/>
  <c r="BH723" i="4"/>
  <c r="AV28" i="1"/>
  <c r="AW28" i="1" s="1"/>
  <c r="AX28" i="1" s="1"/>
  <c r="AY28" i="1" s="1"/>
  <c r="AZ28" i="1" s="1"/>
  <c r="BA28" i="1" s="1"/>
  <c r="BB28" i="1" s="1"/>
  <c r="BC28" i="1" s="1"/>
  <c r="BD28" i="1" s="1"/>
  <c r="BE28" i="1" s="1"/>
  <c r="BH173" i="4"/>
  <c r="BH157" i="4"/>
  <c r="BH886" i="4"/>
  <c r="BH881" i="4"/>
  <c r="BH654" i="4"/>
  <c r="BH175" i="4"/>
  <c r="BH759" i="4"/>
  <c r="BH125" i="4"/>
  <c r="AV298" i="1"/>
  <c r="AW298" i="1" s="1"/>
  <c r="AX298" i="1" s="1"/>
  <c r="AY298" i="1" s="1"/>
  <c r="AZ298" i="1" s="1"/>
  <c r="BA298" i="1" s="1"/>
  <c r="BB298" i="1" s="1"/>
  <c r="BC298" i="1" s="1"/>
  <c r="BD298" i="1" s="1"/>
  <c r="BE298" i="1" s="1"/>
  <c r="BH857" i="4"/>
  <c r="BH864" i="4"/>
  <c r="BH540" i="4"/>
  <c r="AV370" i="1"/>
  <c r="AW370" i="1" s="1"/>
  <c r="AX370" i="1" s="1"/>
  <c r="AY370" i="1" s="1"/>
  <c r="AZ370" i="1" s="1"/>
  <c r="BA370" i="1" s="1"/>
  <c r="BB370" i="1" s="1"/>
  <c r="BC370" i="1" s="1"/>
  <c r="BD370" i="1" s="1"/>
  <c r="BE370" i="1" s="1"/>
  <c r="BH170" i="4"/>
  <c r="BH717" i="4"/>
  <c r="BH895" i="4"/>
  <c r="BH702" i="4"/>
  <c r="BH991" i="4"/>
  <c r="BH648" i="4"/>
  <c r="BH862" i="4"/>
  <c r="BH176" i="4"/>
  <c r="BH852" i="4"/>
  <c r="BH963" i="4"/>
  <c r="BH877" i="4"/>
  <c r="BH516" i="4"/>
  <c r="BH588" i="4"/>
  <c r="BH160" i="4"/>
  <c r="BH894" i="4"/>
  <c r="BH887" i="4"/>
  <c r="BH833" i="4"/>
  <c r="BH496" i="4"/>
  <c r="CZ582" i="1" l="1"/>
  <c r="CN312" i="1"/>
  <c r="CO312" i="1" s="1"/>
  <c r="CP312" i="1" s="1"/>
  <c r="CQ312" i="1" s="1"/>
  <c r="CR312" i="1" s="1"/>
  <c r="CS312" i="1" s="1"/>
  <c r="CT312" i="1" s="1"/>
  <c r="CU312" i="1" s="1"/>
  <c r="CV312" i="1" s="1"/>
  <c r="CW312" i="1" s="1"/>
  <c r="CX312" i="1" s="1"/>
  <c r="CY312" i="1" s="1"/>
  <c r="CN530" i="1"/>
  <c r="CO530" i="1" s="1"/>
  <c r="CP530" i="1" s="1"/>
  <c r="CQ530" i="1" s="1"/>
  <c r="CR530" i="1" s="1"/>
  <c r="CS530" i="1" s="1"/>
  <c r="CT530" i="1" s="1"/>
  <c r="CU530" i="1" s="1"/>
  <c r="CV530" i="1" s="1"/>
  <c r="CW530" i="1" s="1"/>
  <c r="CX530" i="1" s="1"/>
  <c r="CY530" i="1" s="1"/>
  <c r="CN394" i="1"/>
  <c r="CO394" i="1" s="1"/>
  <c r="CP394" i="1" s="1"/>
  <c r="CQ394" i="1" s="1"/>
  <c r="CR394" i="1" s="1"/>
  <c r="CS394" i="1" s="1"/>
  <c r="CT394" i="1" s="1"/>
  <c r="CU394" i="1" s="1"/>
  <c r="CV394" i="1" s="1"/>
  <c r="CW394" i="1" s="1"/>
  <c r="CX394" i="1" s="1"/>
  <c r="CY394" i="1" s="1"/>
  <c r="CN567" i="1"/>
  <c r="CN287" i="1"/>
  <c r="CO287" i="1" s="1"/>
  <c r="CP287" i="1" s="1"/>
  <c r="CQ287" i="1" s="1"/>
  <c r="CR287" i="1" s="1"/>
  <c r="CS287" i="1" s="1"/>
  <c r="CT287" i="1" s="1"/>
  <c r="CU287" i="1" s="1"/>
  <c r="CV287" i="1" s="1"/>
  <c r="CW287" i="1" s="1"/>
  <c r="CX287" i="1" s="1"/>
  <c r="CY287" i="1" s="1"/>
  <c r="CN161" i="1"/>
  <c r="CO161" i="1" s="1"/>
  <c r="CP161" i="1" s="1"/>
  <c r="CQ161" i="1" s="1"/>
  <c r="CR161" i="1" s="1"/>
  <c r="CS161" i="1" s="1"/>
  <c r="CT161" i="1" s="1"/>
  <c r="CU161" i="1" s="1"/>
  <c r="CV161" i="1" s="1"/>
  <c r="CW161" i="1" s="1"/>
  <c r="CX161" i="1" s="1"/>
  <c r="CY161" i="1" s="1"/>
  <c r="CN581" i="1"/>
  <c r="CO581" i="1" s="1"/>
  <c r="CP581" i="1" s="1"/>
  <c r="CQ581" i="1" s="1"/>
  <c r="CR581" i="1" s="1"/>
  <c r="CS581" i="1" s="1"/>
  <c r="CT581" i="1" s="1"/>
  <c r="CU581" i="1" s="1"/>
  <c r="CV581" i="1" s="1"/>
  <c r="CW581" i="1" s="1"/>
  <c r="CX581" i="1" s="1"/>
  <c r="CY581" i="1" s="1"/>
  <c r="CN583" i="1"/>
  <c r="CO583" i="1" s="1"/>
  <c r="CP583" i="1" s="1"/>
  <c r="CQ583" i="1" s="1"/>
  <c r="CR583" i="1" s="1"/>
  <c r="CS583" i="1" s="1"/>
  <c r="CT583" i="1" s="1"/>
  <c r="CU583" i="1" s="1"/>
  <c r="CV583" i="1" s="1"/>
  <c r="CW583" i="1" s="1"/>
  <c r="CX583" i="1" s="1"/>
  <c r="CY583" i="1" s="1"/>
  <c r="CN409" i="1"/>
  <c r="CO409" i="1" s="1"/>
  <c r="CP409" i="1" s="1"/>
  <c r="CQ409" i="1" s="1"/>
  <c r="CR409" i="1" s="1"/>
  <c r="CS409" i="1" s="1"/>
  <c r="CT409" i="1" s="1"/>
  <c r="CU409" i="1" s="1"/>
  <c r="CV409" i="1" s="1"/>
  <c r="CW409" i="1" s="1"/>
  <c r="CX409" i="1" s="1"/>
  <c r="CY409" i="1" s="1"/>
  <c r="CN19" i="1"/>
  <c r="CO19" i="1" s="1"/>
  <c r="CP19" i="1" s="1"/>
  <c r="CQ19" i="1" s="1"/>
  <c r="CR19" i="1" s="1"/>
  <c r="CS19" i="1" s="1"/>
  <c r="CT19" i="1" s="1"/>
  <c r="CU19" i="1" s="1"/>
  <c r="CV19" i="1" s="1"/>
  <c r="CW19" i="1" s="1"/>
  <c r="CX19" i="1" s="1"/>
  <c r="CY19" i="1" s="1"/>
  <c r="CN20" i="1"/>
  <c r="CO20" i="1" s="1"/>
  <c r="CP20" i="1" s="1"/>
  <c r="CQ20" i="1" s="1"/>
  <c r="CR20" i="1" s="1"/>
  <c r="CS20" i="1" s="1"/>
  <c r="CT20" i="1" s="1"/>
  <c r="CU20" i="1" s="1"/>
  <c r="CV20" i="1" s="1"/>
  <c r="CW20" i="1" s="1"/>
  <c r="CX20" i="1" s="1"/>
  <c r="CY20" i="1" s="1"/>
  <c r="CN531" i="1"/>
  <c r="CO531" i="1" s="1"/>
  <c r="CP531" i="1" s="1"/>
  <c r="CQ531" i="1" s="1"/>
  <c r="CR531" i="1" s="1"/>
  <c r="CS531" i="1" s="1"/>
  <c r="CT531" i="1" s="1"/>
  <c r="CU531" i="1" s="1"/>
  <c r="CV531" i="1" s="1"/>
  <c r="CW531" i="1" s="1"/>
  <c r="CX531" i="1" s="1"/>
  <c r="CY531" i="1" s="1"/>
  <c r="CN529" i="1"/>
  <c r="CO529" i="1" s="1"/>
  <c r="CP529" i="1" s="1"/>
  <c r="CQ529" i="1" s="1"/>
  <c r="CR529" i="1" s="1"/>
  <c r="CS529" i="1" s="1"/>
  <c r="CT529" i="1" s="1"/>
  <c r="CU529" i="1" s="1"/>
  <c r="CV529" i="1" s="1"/>
  <c r="CW529" i="1" s="1"/>
  <c r="CX529" i="1" s="1"/>
  <c r="CY529" i="1" s="1"/>
  <c r="CN314" i="1"/>
  <c r="CO314" i="1" s="1"/>
  <c r="CP314" i="1" s="1"/>
  <c r="CQ314" i="1" s="1"/>
  <c r="CR314" i="1" s="1"/>
  <c r="CS314" i="1" s="1"/>
  <c r="CT314" i="1" s="1"/>
  <c r="CU314" i="1" s="1"/>
  <c r="CV314" i="1" s="1"/>
  <c r="CW314" i="1" s="1"/>
  <c r="CX314" i="1" s="1"/>
  <c r="CY314" i="1" s="1"/>
  <c r="CN97" i="1"/>
  <c r="CO97" i="1" s="1"/>
  <c r="CP97" i="1" s="1"/>
  <c r="CQ97" i="1" s="1"/>
  <c r="CR97" i="1" s="1"/>
  <c r="CS97" i="1" s="1"/>
  <c r="CT97" i="1" s="1"/>
  <c r="CU97" i="1" s="1"/>
  <c r="CV97" i="1" s="1"/>
  <c r="CW97" i="1" s="1"/>
  <c r="CX97" i="1" s="1"/>
  <c r="CY97" i="1" s="1"/>
  <c r="CN522" i="1"/>
  <c r="CO522" i="1" s="1"/>
  <c r="CP522" i="1" s="1"/>
  <c r="CQ522" i="1" s="1"/>
  <c r="CR522" i="1" s="1"/>
  <c r="CS522" i="1" s="1"/>
  <c r="CT522" i="1" s="1"/>
  <c r="CU522" i="1" s="1"/>
  <c r="CV522" i="1" s="1"/>
  <c r="CW522" i="1" s="1"/>
  <c r="CX522" i="1" s="1"/>
  <c r="CY522" i="1" s="1"/>
  <c r="CN570" i="1"/>
  <c r="CN523" i="1"/>
  <c r="CO523" i="1" s="1"/>
  <c r="CP523" i="1" s="1"/>
  <c r="CQ523" i="1" s="1"/>
  <c r="CR523" i="1" s="1"/>
  <c r="CS523" i="1" s="1"/>
  <c r="CT523" i="1" s="1"/>
  <c r="CU523" i="1" s="1"/>
  <c r="CV523" i="1" s="1"/>
  <c r="CW523" i="1" s="1"/>
  <c r="CX523" i="1" s="1"/>
  <c r="CY523" i="1" s="1"/>
  <c r="CN100" i="1"/>
  <c r="CO100" i="1" s="1"/>
  <c r="CP100" i="1" s="1"/>
  <c r="CQ100" i="1" s="1"/>
  <c r="CR100" i="1" s="1"/>
  <c r="CS100" i="1" s="1"/>
  <c r="CT100" i="1" s="1"/>
  <c r="CU100" i="1" s="1"/>
  <c r="CV100" i="1" s="1"/>
  <c r="CW100" i="1" s="1"/>
  <c r="CX100" i="1" s="1"/>
  <c r="CY100" i="1" s="1"/>
  <c r="CN519" i="1"/>
  <c r="CO519" i="1" s="1"/>
  <c r="CP519" i="1" s="1"/>
  <c r="CQ519" i="1" s="1"/>
  <c r="CR519" i="1" s="1"/>
  <c r="CS519" i="1" s="1"/>
  <c r="CT519" i="1" s="1"/>
  <c r="CU519" i="1" s="1"/>
  <c r="CV519" i="1" s="1"/>
  <c r="CW519" i="1" s="1"/>
  <c r="CX519" i="1" s="1"/>
  <c r="CY519" i="1" s="1"/>
  <c r="CN507" i="1"/>
  <c r="CO507" i="1" s="1"/>
  <c r="CP507" i="1" s="1"/>
  <c r="CQ507" i="1" s="1"/>
  <c r="CR507" i="1" s="1"/>
  <c r="CS507" i="1" s="1"/>
  <c r="CT507" i="1" s="1"/>
  <c r="CU507" i="1" s="1"/>
  <c r="CV507" i="1" s="1"/>
  <c r="CW507" i="1" s="1"/>
  <c r="CX507" i="1" s="1"/>
  <c r="CY507" i="1" s="1"/>
  <c r="AU114" i="1"/>
  <c r="AP705" i="1"/>
  <c r="G20" i="8" s="1"/>
  <c r="AP73" i="1"/>
  <c r="AU73" i="1"/>
  <c r="AT705" i="1"/>
  <c r="G8" i="8" s="1"/>
  <c r="AT706" i="1"/>
  <c r="H8" i="8" s="1"/>
  <c r="AV38" i="1"/>
  <c r="AV59" i="1"/>
  <c r="AW59" i="1" s="1"/>
  <c r="AX59" i="1" s="1"/>
  <c r="AY59" i="1" s="1"/>
  <c r="AZ59" i="1" s="1"/>
  <c r="BA59" i="1" s="1"/>
  <c r="BB59" i="1" s="1"/>
  <c r="BC59" i="1" s="1"/>
  <c r="BD59" i="1" s="1"/>
  <c r="BE59" i="1" s="1"/>
  <c r="BF59" i="1" s="1"/>
  <c r="CZ59" i="1" s="1"/>
  <c r="AV248" i="1"/>
  <c r="AW248" i="1" s="1"/>
  <c r="AX248" i="1" s="1"/>
  <c r="AY248" i="1" s="1"/>
  <c r="AZ248" i="1" s="1"/>
  <c r="CZ248" i="1" s="1"/>
  <c r="AV179" i="1"/>
  <c r="AW179" i="1" s="1"/>
  <c r="AX179" i="1" s="1"/>
  <c r="AY179" i="1" s="1"/>
  <c r="AZ179" i="1" s="1"/>
  <c r="BA179" i="1" s="1"/>
  <c r="BB179" i="1" s="1"/>
  <c r="BC179" i="1" s="1"/>
  <c r="BD179" i="1" s="1"/>
  <c r="BE179" i="1" s="1"/>
  <c r="BF179" i="1" s="1"/>
  <c r="BG179" i="1" s="1"/>
  <c r="AV172" i="1"/>
  <c r="AW172" i="1" s="1"/>
  <c r="AX172" i="1" s="1"/>
  <c r="AY172" i="1" s="1"/>
  <c r="AZ172" i="1" s="1"/>
  <c r="BA172" i="1" s="1"/>
  <c r="BB172" i="1" s="1"/>
  <c r="BC172" i="1" s="1"/>
  <c r="BD172" i="1" s="1"/>
  <c r="BE172" i="1" s="1"/>
  <c r="BF172" i="1" s="1"/>
  <c r="BG172" i="1" s="1"/>
  <c r="AV575" i="1"/>
  <c r="AW575" i="1" s="1"/>
  <c r="AX575" i="1" s="1"/>
  <c r="AY575" i="1" s="1"/>
  <c r="AZ575" i="1" s="1"/>
  <c r="BA575" i="1" s="1"/>
  <c r="BB575" i="1" s="1"/>
  <c r="BC575" i="1" s="1"/>
  <c r="BD575" i="1" s="1"/>
  <c r="BE575" i="1" s="1"/>
  <c r="BF575" i="1" s="1"/>
  <c r="BG575" i="1" s="1"/>
  <c r="AV208" i="1"/>
  <c r="AW208" i="1" s="1"/>
  <c r="AX208" i="1" s="1"/>
  <c r="AY208" i="1" s="1"/>
  <c r="AZ208" i="1" s="1"/>
  <c r="BA208" i="1" s="1"/>
  <c r="BB208" i="1" s="1"/>
  <c r="BC208" i="1" s="1"/>
  <c r="BD208" i="1" s="1"/>
  <c r="BE208" i="1" s="1"/>
  <c r="BF208" i="1" s="1"/>
  <c r="BJ208" i="1" s="1"/>
  <c r="CZ40" i="1"/>
  <c r="AV249" i="1"/>
  <c r="AW249" i="1" s="1"/>
  <c r="AX249" i="1" s="1"/>
  <c r="AY249" i="1" s="1"/>
  <c r="AZ249" i="1" s="1"/>
  <c r="BA249" i="1" s="1"/>
  <c r="BB249" i="1" s="1"/>
  <c r="BC249" i="1" s="1"/>
  <c r="BD249" i="1" s="1"/>
  <c r="BE249" i="1" s="1"/>
  <c r="AV210" i="1"/>
  <c r="AW210" i="1" s="1"/>
  <c r="AX210" i="1" s="1"/>
  <c r="AY210" i="1" s="1"/>
  <c r="AZ210" i="1" s="1"/>
  <c r="BA210" i="1" s="1"/>
  <c r="BB210" i="1" s="1"/>
  <c r="BC210" i="1" s="1"/>
  <c r="BD210" i="1" s="1"/>
  <c r="BE210" i="1" s="1"/>
  <c r="BF210" i="1" s="1"/>
  <c r="BJ210" i="1" s="1"/>
  <c r="AV372" i="1"/>
  <c r="AW372" i="1" s="1"/>
  <c r="BV372" i="1" s="1"/>
  <c r="AV45" i="1"/>
  <c r="AW45" i="1" s="1"/>
  <c r="AX45" i="1" s="1"/>
  <c r="AY45" i="1" s="1"/>
  <c r="AZ45" i="1" s="1"/>
  <c r="BA45" i="1" s="1"/>
  <c r="BB45" i="1" s="1"/>
  <c r="BC45" i="1" s="1"/>
  <c r="BD45" i="1" s="1"/>
  <c r="BE45" i="1" s="1"/>
  <c r="BF45" i="1" s="1"/>
  <c r="BV45" i="1" s="1"/>
  <c r="AV48" i="1"/>
  <c r="AW48" i="1" s="1"/>
  <c r="AX48" i="1" s="1"/>
  <c r="AY48" i="1" s="1"/>
  <c r="AZ48" i="1" s="1"/>
  <c r="BA48" i="1" s="1"/>
  <c r="BB48" i="1" s="1"/>
  <c r="BC48" i="1" s="1"/>
  <c r="BD48" i="1" s="1"/>
  <c r="BE48" i="1" s="1"/>
  <c r="BF48" i="1" s="1"/>
  <c r="BG48" i="1" s="1"/>
  <c r="CZ17" i="1"/>
  <c r="AV366" i="1"/>
  <c r="AW366" i="1" s="1"/>
  <c r="AX366" i="1" s="1"/>
  <c r="AY366" i="1" s="1"/>
  <c r="AZ366" i="1" s="1"/>
  <c r="BA366" i="1" s="1"/>
  <c r="BB366" i="1" s="1"/>
  <c r="BC366" i="1" s="1"/>
  <c r="BD366" i="1" s="1"/>
  <c r="BE366" i="1" s="1"/>
  <c r="AV485" i="1"/>
  <c r="AW485" i="1" s="1"/>
  <c r="AX485" i="1" s="1"/>
  <c r="AY485" i="1" s="1"/>
  <c r="AZ485" i="1" s="1"/>
  <c r="BA485" i="1" s="1"/>
  <c r="BB485" i="1" s="1"/>
  <c r="BC485" i="1" s="1"/>
  <c r="BD485" i="1" s="1"/>
  <c r="BE485" i="1" s="1"/>
  <c r="BF485" i="1" s="1"/>
  <c r="CZ485" i="1" s="1"/>
  <c r="AV197" i="1"/>
  <c r="AW197" i="1" s="1"/>
  <c r="AX197" i="1" s="1"/>
  <c r="AY197" i="1" s="1"/>
  <c r="AZ197" i="1" s="1"/>
  <c r="BA197" i="1" s="1"/>
  <c r="BB197" i="1" s="1"/>
  <c r="BC197" i="1" s="1"/>
  <c r="BD197" i="1" s="1"/>
  <c r="BE197" i="1" s="1"/>
  <c r="BF197" i="1" s="1"/>
  <c r="BG197" i="1" s="1"/>
  <c r="AV299" i="1"/>
  <c r="AW299" i="1" s="1"/>
  <c r="AX299" i="1" s="1"/>
  <c r="AY299" i="1" s="1"/>
  <c r="AZ299" i="1" s="1"/>
  <c r="BA299" i="1" s="1"/>
  <c r="BB299" i="1" s="1"/>
  <c r="BC299" i="1" s="1"/>
  <c r="BD299" i="1" s="1"/>
  <c r="BE299" i="1" s="1"/>
  <c r="BF299" i="1" s="1"/>
  <c r="BG299" i="1" s="1"/>
  <c r="AV61" i="1"/>
  <c r="AW61" i="1" s="1"/>
  <c r="AX61" i="1" s="1"/>
  <c r="AY61" i="1" s="1"/>
  <c r="AZ61" i="1" s="1"/>
  <c r="BA61" i="1" s="1"/>
  <c r="BB61" i="1" s="1"/>
  <c r="BC61" i="1" s="1"/>
  <c r="BD61" i="1" s="1"/>
  <c r="BE61" i="1" s="1"/>
  <c r="AV62" i="1"/>
  <c r="AW62" i="1" s="1"/>
  <c r="AX62" i="1" s="1"/>
  <c r="AY62" i="1" s="1"/>
  <c r="AZ62" i="1" s="1"/>
  <c r="BA62" i="1" s="1"/>
  <c r="BB62" i="1" s="1"/>
  <c r="BC62" i="1" s="1"/>
  <c r="BD62" i="1" s="1"/>
  <c r="BE62" i="1" s="1"/>
  <c r="BF62" i="1" s="1"/>
  <c r="BJ62" i="1" s="1"/>
  <c r="BK62" i="1" s="1"/>
  <c r="BL62" i="1" s="1"/>
  <c r="BM62" i="1" s="1"/>
  <c r="BN62" i="1" s="1"/>
  <c r="BO62" i="1" s="1"/>
  <c r="BP62" i="1" s="1"/>
  <c r="BQ62" i="1" s="1"/>
  <c r="BR62" i="1" s="1"/>
  <c r="BS62" i="1" s="1"/>
  <c r="BT62" i="1" s="1"/>
  <c r="AV337" i="1"/>
  <c r="AW337" i="1" s="1"/>
  <c r="AX337" i="1" s="1"/>
  <c r="AV44" i="1"/>
  <c r="AW44" i="1" s="1"/>
  <c r="AX44" i="1" s="1"/>
  <c r="AY44" i="1" s="1"/>
  <c r="AZ44" i="1" s="1"/>
  <c r="BA44" i="1" s="1"/>
  <c r="BB44" i="1" s="1"/>
  <c r="BC44" i="1" s="1"/>
  <c r="BD44" i="1" s="1"/>
  <c r="BE44" i="1" s="1"/>
  <c r="BF44" i="1" s="1"/>
  <c r="BG44" i="1" s="1"/>
  <c r="AV453" i="1"/>
  <c r="AW453" i="1" s="1"/>
  <c r="AX453" i="1" s="1"/>
  <c r="AY453" i="1" s="1"/>
  <c r="CZ453" i="1" s="1"/>
  <c r="AV458" i="1"/>
  <c r="AW458" i="1" s="1"/>
  <c r="AX458" i="1" s="1"/>
  <c r="AY458" i="1" s="1"/>
  <c r="AV436" i="1"/>
  <c r="AW436" i="1" s="1"/>
  <c r="AX436" i="1" s="1"/>
  <c r="AY436" i="1" s="1"/>
  <c r="AZ436" i="1" s="1"/>
  <c r="BA436" i="1" s="1"/>
  <c r="BB436" i="1" s="1"/>
  <c r="BC436" i="1" s="1"/>
  <c r="BD436" i="1" s="1"/>
  <c r="BE436" i="1" s="1"/>
  <c r="BF436" i="1" s="1"/>
  <c r="AV250" i="1"/>
  <c r="AW250" i="1" s="1"/>
  <c r="AX250" i="1" s="1"/>
  <c r="AY250" i="1" s="1"/>
  <c r="AZ250" i="1" s="1"/>
  <c r="BA250" i="1" s="1"/>
  <c r="BB250" i="1" s="1"/>
  <c r="BC250" i="1" s="1"/>
  <c r="BD250" i="1" s="1"/>
  <c r="BE250" i="1" s="1"/>
  <c r="BF250" i="1" s="1"/>
  <c r="CZ250" i="1" s="1"/>
  <c r="AV326" i="1"/>
  <c r="AW326" i="1" s="1"/>
  <c r="AX326" i="1" s="1"/>
  <c r="AY326" i="1" s="1"/>
  <c r="AZ326" i="1" s="1"/>
  <c r="BA326" i="1" s="1"/>
  <c r="BB326" i="1" s="1"/>
  <c r="BC326" i="1" s="1"/>
  <c r="BD326" i="1" s="1"/>
  <c r="BE326" i="1" s="1"/>
  <c r="BF326" i="1" s="1"/>
  <c r="BV326" i="1" s="1"/>
  <c r="AV251" i="1"/>
  <c r="AW251" i="1" s="1"/>
  <c r="AX251" i="1" s="1"/>
  <c r="AY251" i="1" s="1"/>
  <c r="AZ251" i="1" s="1"/>
  <c r="BA251" i="1" s="1"/>
  <c r="BB251" i="1" s="1"/>
  <c r="BC251" i="1" s="1"/>
  <c r="BD251" i="1" s="1"/>
  <c r="BE251" i="1" s="1"/>
  <c r="BF251" i="1" s="1"/>
  <c r="CZ251" i="1" s="1"/>
  <c r="AV252" i="1"/>
  <c r="AW252" i="1" s="1"/>
  <c r="AX252" i="1" s="1"/>
  <c r="AY252" i="1" s="1"/>
  <c r="AZ252" i="1" s="1"/>
  <c r="BA252" i="1" s="1"/>
  <c r="BB252" i="1" s="1"/>
  <c r="BC252" i="1" s="1"/>
  <c r="BD252" i="1" s="1"/>
  <c r="BE252" i="1" s="1"/>
  <c r="BF252" i="1" s="1"/>
  <c r="AV211" i="1"/>
  <c r="AW211" i="1" s="1"/>
  <c r="AX211" i="1" s="1"/>
  <c r="AY211" i="1" s="1"/>
  <c r="AZ211" i="1" s="1"/>
  <c r="BA211" i="1" s="1"/>
  <c r="BB211" i="1" s="1"/>
  <c r="BC211" i="1" s="1"/>
  <c r="BD211" i="1" s="1"/>
  <c r="BE211" i="1" s="1"/>
  <c r="BF211" i="1" s="1"/>
  <c r="BJ211" i="1" s="1"/>
  <c r="AV483" i="1"/>
  <c r="AW483" i="1" s="1"/>
  <c r="AX483" i="1" s="1"/>
  <c r="AY483" i="1" s="1"/>
  <c r="AZ483" i="1" s="1"/>
  <c r="BA483" i="1" s="1"/>
  <c r="BB483" i="1" s="1"/>
  <c r="BC483" i="1" s="1"/>
  <c r="BD483" i="1" s="1"/>
  <c r="BE483" i="1" s="1"/>
  <c r="BF483" i="1" s="1"/>
  <c r="CZ483" i="1" s="1"/>
  <c r="AV342" i="1"/>
  <c r="AW342" i="1" s="1"/>
  <c r="AX342" i="1" s="1"/>
  <c r="AY342" i="1" s="1"/>
  <c r="AZ342" i="1" s="1"/>
  <c r="BA342" i="1" s="1"/>
  <c r="BB342" i="1" s="1"/>
  <c r="BC342" i="1" s="1"/>
  <c r="BD342" i="1" s="1"/>
  <c r="BE342" i="1" s="1"/>
  <c r="BF342" i="1" s="1"/>
  <c r="BJ342" i="1" s="1"/>
  <c r="AV205" i="1"/>
  <c r="AW205" i="1" s="1"/>
  <c r="AX205" i="1" s="1"/>
  <c r="AY205" i="1" s="1"/>
  <c r="AZ205" i="1" s="1"/>
  <c r="BA205" i="1" s="1"/>
  <c r="BB205" i="1" s="1"/>
  <c r="BC205" i="1" s="1"/>
  <c r="BD205" i="1" s="1"/>
  <c r="BE205" i="1" s="1"/>
  <c r="BF205" i="1" s="1"/>
  <c r="BG205" i="1" s="1"/>
  <c r="CZ438" i="1"/>
  <c r="AV220" i="1"/>
  <c r="AW220" i="1" s="1"/>
  <c r="AX220" i="1" s="1"/>
  <c r="AY220" i="1" s="1"/>
  <c r="AZ220" i="1" s="1"/>
  <c r="BV220" i="1" s="1"/>
  <c r="AV484" i="1"/>
  <c r="AW484" i="1" s="1"/>
  <c r="AX484" i="1" s="1"/>
  <c r="AY484" i="1" s="1"/>
  <c r="AZ484" i="1" s="1"/>
  <c r="BA484" i="1" s="1"/>
  <c r="BB484" i="1" s="1"/>
  <c r="BC484" i="1" s="1"/>
  <c r="BD484" i="1" s="1"/>
  <c r="BE484" i="1" s="1"/>
  <c r="BF484" i="1" s="1"/>
  <c r="BV484" i="1" s="1"/>
  <c r="AV577" i="1"/>
  <c r="AW577" i="1" s="1"/>
  <c r="AX577" i="1" s="1"/>
  <c r="AY577" i="1" s="1"/>
  <c r="AZ577" i="1" s="1"/>
  <c r="BA577" i="1" s="1"/>
  <c r="BB577" i="1" s="1"/>
  <c r="BC577" i="1" s="1"/>
  <c r="BD577" i="1" s="1"/>
  <c r="BE577" i="1" s="1"/>
  <c r="BF577" i="1" s="1"/>
  <c r="AV336" i="1"/>
  <c r="AW336" i="1" s="1"/>
  <c r="AX336" i="1" s="1"/>
  <c r="CZ336" i="1" s="1"/>
  <c r="AV241" i="1"/>
  <c r="AW241" i="1" s="1"/>
  <c r="AX241" i="1" s="1"/>
  <c r="AY241" i="1" s="1"/>
  <c r="AZ241" i="1" s="1"/>
  <c r="BA241" i="1" s="1"/>
  <c r="BB241" i="1" s="1"/>
  <c r="BC241" i="1" s="1"/>
  <c r="BD241" i="1" s="1"/>
  <c r="BE241" i="1" s="1"/>
  <c r="BF241" i="1" s="1"/>
  <c r="CZ241" i="1" s="1"/>
  <c r="AV304" i="1"/>
  <c r="AW304" i="1" s="1"/>
  <c r="AX304" i="1" s="1"/>
  <c r="AY304" i="1" s="1"/>
  <c r="AZ304" i="1" s="1"/>
  <c r="BA304" i="1" s="1"/>
  <c r="BB304" i="1" s="1"/>
  <c r="BC304" i="1" s="1"/>
  <c r="BD304" i="1" s="1"/>
  <c r="BE304" i="1" s="1"/>
  <c r="BF304" i="1" s="1"/>
  <c r="BG304" i="1" s="1"/>
  <c r="AV435" i="1"/>
  <c r="AW435" i="1" s="1"/>
  <c r="AX435" i="1" s="1"/>
  <c r="AY435" i="1" s="1"/>
  <c r="AZ435" i="1" s="1"/>
  <c r="BA435" i="1" s="1"/>
  <c r="BB435" i="1" s="1"/>
  <c r="BC435" i="1" s="1"/>
  <c r="BD435" i="1" s="1"/>
  <c r="BE435" i="1" s="1"/>
  <c r="BF435" i="1" s="1"/>
  <c r="AV344" i="1"/>
  <c r="AW344" i="1" s="1"/>
  <c r="AX344" i="1" s="1"/>
  <c r="AY344" i="1" s="1"/>
  <c r="AZ344" i="1" s="1"/>
  <c r="BA344" i="1" s="1"/>
  <c r="BB344" i="1" s="1"/>
  <c r="BC344" i="1" s="1"/>
  <c r="BD344" i="1" s="1"/>
  <c r="BE344" i="1" s="1"/>
  <c r="BF344" i="1" s="1"/>
  <c r="AV242" i="1"/>
  <c r="AW242" i="1" s="1"/>
  <c r="AX242" i="1" s="1"/>
  <c r="AY242" i="1" s="1"/>
  <c r="AZ242" i="1" s="1"/>
  <c r="BA242" i="1" s="1"/>
  <c r="BB242" i="1" s="1"/>
  <c r="BC242" i="1" s="1"/>
  <c r="BD242" i="1" s="1"/>
  <c r="BE242" i="1" s="1"/>
  <c r="AV392" i="1"/>
  <c r="AW392" i="1" s="1"/>
  <c r="AX392" i="1" s="1"/>
  <c r="AY392" i="1" s="1"/>
  <c r="AZ392" i="1" s="1"/>
  <c r="BA392" i="1" s="1"/>
  <c r="BB392" i="1" s="1"/>
  <c r="BC392" i="1" s="1"/>
  <c r="BD392" i="1" s="1"/>
  <c r="BE392" i="1" s="1"/>
  <c r="BF392" i="1" s="1"/>
  <c r="BV392" i="1" s="1"/>
  <c r="AV300" i="1"/>
  <c r="AW300" i="1" s="1"/>
  <c r="AX300" i="1" s="1"/>
  <c r="AY300" i="1" s="1"/>
  <c r="AZ300" i="1" s="1"/>
  <c r="BA300" i="1" s="1"/>
  <c r="BB300" i="1" s="1"/>
  <c r="BC300" i="1" s="1"/>
  <c r="BD300" i="1" s="1"/>
  <c r="BE300" i="1" s="1"/>
  <c r="BF300" i="1" s="1"/>
  <c r="BG300" i="1" s="1"/>
  <c r="AV325" i="1"/>
  <c r="AW325" i="1" s="1"/>
  <c r="AX325" i="1" s="1"/>
  <c r="AY325" i="1" s="1"/>
  <c r="AZ325" i="1" s="1"/>
  <c r="BA325" i="1" s="1"/>
  <c r="BB325" i="1" s="1"/>
  <c r="BC325" i="1" s="1"/>
  <c r="BD325" i="1" s="1"/>
  <c r="BE325" i="1" s="1"/>
  <c r="BF325" i="1" s="1"/>
  <c r="BV325" i="1" s="1"/>
  <c r="AU308" i="1"/>
  <c r="AV308" i="1" s="1"/>
  <c r="AW308" i="1" s="1"/>
  <c r="AX308" i="1" s="1"/>
  <c r="AY308" i="1" s="1"/>
  <c r="AZ308" i="1" s="1"/>
  <c r="BA308" i="1" s="1"/>
  <c r="BB308" i="1" s="1"/>
  <c r="BC308" i="1" s="1"/>
  <c r="BD308" i="1" s="1"/>
  <c r="BE308" i="1" s="1"/>
  <c r="AP702" i="1"/>
  <c r="D20" i="8" s="1"/>
  <c r="AU486" i="1"/>
  <c r="BV485" i="1"/>
  <c r="AU470" i="1"/>
  <c r="AV470" i="1" s="1"/>
  <c r="AW470" i="1" s="1"/>
  <c r="AX470" i="1" s="1"/>
  <c r="AY470" i="1" s="1"/>
  <c r="AZ470" i="1" s="1"/>
  <c r="BA470" i="1" s="1"/>
  <c r="BB470" i="1" s="1"/>
  <c r="BC470" i="1" s="1"/>
  <c r="BD470" i="1" s="1"/>
  <c r="BE470" i="1" s="1"/>
  <c r="AU54" i="1"/>
  <c r="AU265" i="1"/>
  <c r="AV265" i="1" s="1"/>
  <c r="AW265" i="1" s="1"/>
  <c r="AX265" i="1" s="1"/>
  <c r="AY265" i="1" s="1"/>
  <c r="AZ265" i="1" s="1"/>
  <c r="BA265" i="1" s="1"/>
  <c r="BB265" i="1" s="1"/>
  <c r="BC265" i="1" s="1"/>
  <c r="BD265" i="1" s="1"/>
  <c r="BE265" i="1" s="1"/>
  <c r="AP54" i="1"/>
  <c r="AU402" i="1"/>
  <c r="AU95" i="1"/>
  <c r="AV95" i="1" s="1"/>
  <c r="AW95" i="1" s="1"/>
  <c r="AX95" i="1" s="1"/>
  <c r="AY95" i="1" s="1"/>
  <c r="AZ95" i="1" s="1"/>
  <c r="BA95" i="1" s="1"/>
  <c r="BB95" i="1" s="1"/>
  <c r="BC95" i="1" s="1"/>
  <c r="BD95" i="1" s="1"/>
  <c r="BE95" i="1" s="1"/>
  <c r="AU177" i="1"/>
  <c r="AV177" i="1" s="1"/>
  <c r="AW177" i="1" s="1"/>
  <c r="AX177" i="1" s="1"/>
  <c r="AY177" i="1" s="1"/>
  <c r="AZ177" i="1" s="1"/>
  <c r="BA177" i="1" s="1"/>
  <c r="BB177" i="1" s="1"/>
  <c r="BC177" i="1" s="1"/>
  <c r="BD177" i="1" s="1"/>
  <c r="BE177" i="1" s="1"/>
  <c r="AU42" i="1"/>
  <c r="AU404" i="1"/>
  <c r="AV404" i="1" s="1"/>
  <c r="AW404" i="1" s="1"/>
  <c r="AX404" i="1" s="1"/>
  <c r="AY404" i="1" s="1"/>
  <c r="AZ404" i="1" s="1"/>
  <c r="AU424" i="1"/>
  <c r="AP296" i="1"/>
  <c r="CK111" i="1"/>
  <c r="BV560" i="1"/>
  <c r="BG518" i="1"/>
  <c r="AU399" i="1"/>
  <c r="AV399" i="1" s="1"/>
  <c r="AW399" i="1" s="1"/>
  <c r="AX399" i="1" s="1"/>
  <c r="AY399" i="1" s="1"/>
  <c r="AZ399" i="1" s="1"/>
  <c r="BA399" i="1" s="1"/>
  <c r="BB399" i="1" s="1"/>
  <c r="BC399" i="1" s="1"/>
  <c r="BD399" i="1" s="1"/>
  <c r="BE399" i="1" s="1"/>
  <c r="AU170" i="1"/>
  <c r="AV170" i="1" s="1"/>
  <c r="AW170" i="1" s="1"/>
  <c r="AX170" i="1" s="1"/>
  <c r="AY170" i="1" s="1"/>
  <c r="AZ170" i="1" s="1"/>
  <c r="BA170" i="1" s="1"/>
  <c r="BB170" i="1" s="1"/>
  <c r="BC170" i="1" s="1"/>
  <c r="BD170" i="1" s="1"/>
  <c r="BE170" i="1" s="1"/>
  <c r="AU267" i="1"/>
  <c r="AU277" i="1"/>
  <c r="AV277" i="1" s="1"/>
  <c r="AW277" i="1" s="1"/>
  <c r="AX277" i="1" s="1"/>
  <c r="AY277" i="1" s="1"/>
  <c r="AZ277" i="1" s="1"/>
  <c r="BA277" i="1" s="1"/>
  <c r="BB277" i="1" s="1"/>
  <c r="BC277" i="1" s="1"/>
  <c r="BD277" i="1" s="1"/>
  <c r="BE277" i="1" s="1"/>
  <c r="AP273" i="1"/>
  <c r="AA719" i="1"/>
  <c r="B19" i="8" s="1"/>
  <c r="I19" i="8" s="1"/>
  <c r="J19" i="8" s="1"/>
  <c r="AU396" i="1"/>
  <c r="AV396" i="1" s="1"/>
  <c r="AW396" i="1" s="1"/>
  <c r="AX396" i="1" s="1"/>
  <c r="AY396" i="1" s="1"/>
  <c r="AZ396" i="1" s="1"/>
  <c r="BA396" i="1" s="1"/>
  <c r="BB396" i="1" s="1"/>
  <c r="BC396" i="1" s="1"/>
  <c r="BD396" i="1" s="1"/>
  <c r="BE396" i="1" s="1"/>
  <c r="AU78" i="1"/>
  <c r="AV78" i="1" s="1"/>
  <c r="AW78" i="1" s="1"/>
  <c r="AX78" i="1" s="1"/>
  <c r="AY78" i="1" s="1"/>
  <c r="AZ78" i="1" s="1"/>
  <c r="BA78" i="1" s="1"/>
  <c r="BB78" i="1" s="1"/>
  <c r="BC78" i="1" s="1"/>
  <c r="BD78" i="1" s="1"/>
  <c r="BE78" i="1" s="1"/>
  <c r="AU352" i="1"/>
  <c r="AU261" i="1"/>
  <c r="AV261" i="1" s="1"/>
  <c r="AW261" i="1" s="1"/>
  <c r="AX261" i="1" s="1"/>
  <c r="AY261" i="1" s="1"/>
  <c r="AZ261" i="1" s="1"/>
  <c r="BA261" i="1" s="1"/>
  <c r="BB261" i="1" s="1"/>
  <c r="BC261" i="1" s="1"/>
  <c r="BD261" i="1" s="1"/>
  <c r="BE261" i="1" s="1"/>
  <c r="AP266" i="1"/>
  <c r="AP396" i="1"/>
  <c r="AP486" i="1"/>
  <c r="AU256" i="1"/>
  <c r="AV256" i="1" s="1"/>
  <c r="AW256" i="1" s="1"/>
  <c r="AX256" i="1" s="1"/>
  <c r="AY256" i="1" s="1"/>
  <c r="AZ256" i="1" s="1"/>
  <c r="BA256" i="1" s="1"/>
  <c r="BB256" i="1" s="1"/>
  <c r="BC256" i="1" s="1"/>
  <c r="BD256" i="1" s="1"/>
  <c r="BE256" i="1" s="1"/>
  <c r="AU273" i="1"/>
  <c r="AV273" i="1" s="1"/>
  <c r="AW273" i="1" s="1"/>
  <c r="AX273" i="1" s="1"/>
  <c r="AY273" i="1" s="1"/>
  <c r="AZ273" i="1" s="1"/>
  <c r="BA273" i="1" s="1"/>
  <c r="BB273" i="1" s="1"/>
  <c r="BC273" i="1" s="1"/>
  <c r="BD273" i="1" s="1"/>
  <c r="BE273" i="1" s="1"/>
  <c r="AU361" i="1"/>
  <c r="AU191" i="1"/>
  <c r="AU270" i="1"/>
  <c r="AU359" i="1"/>
  <c r="AV359" i="1" s="1"/>
  <c r="AW359" i="1" s="1"/>
  <c r="AX359" i="1" s="1"/>
  <c r="AY359" i="1" s="1"/>
  <c r="AZ359" i="1" s="1"/>
  <c r="BA359" i="1" s="1"/>
  <c r="BB359" i="1" s="1"/>
  <c r="BC359" i="1" s="1"/>
  <c r="BD359" i="1" s="1"/>
  <c r="BE359" i="1" s="1"/>
  <c r="AP368" i="1"/>
  <c r="CK512" i="1"/>
  <c r="CK709" i="1" s="1"/>
  <c r="F23" i="8" s="1"/>
  <c r="AP92" i="1"/>
  <c r="AU368" i="1"/>
  <c r="AP400" i="1"/>
  <c r="AP182" i="1"/>
  <c r="AU49" i="1"/>
  <c r="AU293" i="1"/>
  <c r="AV293" i="1" s="1"/>
  <c r="AW293" i="1" s="1"/>
  <c r="AX293" i="1" s="1"/>
  <c r="AY293" i="1" s="1"/>
  <c r="AZ293" i="1" s="1"/>
  <c r="BA293" i="1" s="1"/>
  <c r="BB293" i="1" s="1"/>
  <c r="BC293" i="1" s="1"/>
  <c r="BD293" i="1" s="1"/>
  <c r="BE293" i="1" s="1"/>
  <c r="AU217" i="1"/>
  <c r="AP191" i="1"/>
  <c r="AU209" i="1"/>
  <c r="AP474" i="1"/>
  <c r="AU71" i="1"/>
  <c r="AP111" i="1"/>
  <c r="AP413" i="1"/>
  <c r="AU254" i="1"/>
  <c r="AU413" i="1"/>
  <c r="AV413" i="1" s="1"/>
  <c r="AW413" i="1" s="1"/>
  <c r="AX413" i="1" s="1"/>
  <c r="AY413" i="1" s="1"/>
  <c r="AZ413" i="1" s="1"/>
  <c r="BA413" i="1" s="1"/>
  <c r="BB413" i="1" s="1"/>
  <c r="BC413" i="1" s="1"/>
  <c r="BD413" i="1" s="1"/>
  <c r="BE413" i="1" s="1"/>
  <c r="AU282" i="1"/>
  <c r="AU467" i="1"/>
  <c r="AP177" i="1"/>
  <c r="AP176" i="1"/>
  <c r="AP270" i="1"/>
  <c r="AP424" i="1"/>
  <c r="BG400" i="1"/>
  <c r="AU255" i="1"/>
  <c r="AU176" i="1"/>
  <c r="AV176" i="1" s="1"/>
  <c r="AW176" i="1" s="1"/>
  <c r="AX176" i="1" s="1"/>
  <c r="AY176" i="1" s="1"/>
  <c r="AZ176" i="1" s="1"/>
  <c r="BA176" i="1" s="1"/>
  <c r="BB176" i="1" s="1"/>
  <c r="BC176" i="1" s="1"/>
  <c r="BD176" i="1" s="1"/>
  <c r="BE176" i="1" s="1"/>
  <c r="AP277" i="1"/>
  <c r="AP256" i="1"/>
  <c r="AP361" i="1"/>
  <c r="AP411" i="1"/>
  <c r="AP383" i="1"/>
  <c r="AU189" i="1"/>
  <c r="AP209" i="1"/>
  <c r="AP414" i="1"/>
  <c r="AU303" i="1"/>
  <c r="AU354" i="1"/>
  <c r="AV354" i="1" s="1"/>
  <c r="AW354" i="1" s="1"/>
  <c r="AX354" i="1" s="1"/>
  <c r="AY354" i="1" s="1"/>
  <c r="AZ354" i="1" s="1"/>
  <c r="BA354" i="1" s="1"/>
  <c r="BB354" i="1" s="1"/>
  <c r="BC354" i="1" s="1"/>
  <c r="BD354" i="1" s="1"/>
  <c r="BE354" i="1" s="1"/>
  <c r="AP261" i="1"/>
  <c r="AP354" i="1"/>
  <c r="CK340" i="1"/>
  <c r="J6" i="8"/>
  <c r="AP42" i="1"/>
  <c r="AU64" i="1"/>
  <c r="AU121" i="1"/>
  <c r="AV121" i="1" s="1"/>
  <c r="AW121" i="1" s="1"/>
  <c r="AX121" i="1" s="1"/>
  <c r="AY121" i="1" s="1"/>
  <c r="AZ121" i="1" s="1"/>
  <c r="BA121" i="1" s="1"/>
  <c r="BB121" i="1" s="1"/>
  <c r="BC121" i="1" s="1"/>
  <c r="BD121" i="1" s="1"/>
  <c r="BE121" i="1" s="1"/>
  <c r="AP181" i="1"/>
  <c r="AU411" i="1"/>
  <c r="AU369" i="1"/>
  <c r="AP157" i="1"/>
  <c r="AP121" i="1"/>
  <c r="CK353" i="1"/>
  <c r="AP706" i="1"/>
  <c r="H20" i="8" s="1"/>
  <c r="AU79" i="1"/>
  <c r="AP178" i="1"/>
  <c r="AU376" i="1"/>
  <c r="AU414" i="1"/>
  <c r="AP79" i="1"/>
  <c r="CK400" i="1"/>
  <c r="AU118" i="1"/>
  <c r="AU278" i="1"/>
  <c r="AP499" i="1"/>
  <c r="AU503" i="1"/>
  <c r="AP214" i="1"/>
  <c r="AU499" i="1"/>
  <c r="AU378" i="1"/>
  <c r="AU269" i="1"/>
  <c r="AU513" i="1"/>
  <c r="AP503" i="1"/>
  <c r="AU275" i="1"/>
  <c r="AP64" i="1"/>
  <c r="AP118" i="1"/>
  <c r="BV566" i="1"/>
  <c r="AP429" i="1"/>
  <c r="AU12" i="1"/>
  <c r="AU280" i="1"/>
  <c r="AP272" i="1"/>
  <c r="CK347" i="1"/>
  <c r="AP275" i="1"/>
  <c r="AP402" i="1"/>
  <c r="AP75" i="1"/>
  <c r="AU157" i="1"/>
  <c r="AU203" i="1"/>
  <c r="AU474" i="1"/>
  <c r="AP352" i="1"/>
  <c r="AU214" i="1"/>
  <c r="AU92" i="1"/>
  <c r="AU266" i="1"/>
  <c r="AP203" i="1"/>
  <c r="AP376" i="1"/>
  <c r="AU215" i="1"/>
  <c r="AU75" i="1"/>
  <c r="AU213" i="1"/>
  <c r="AU206" i="1"/>
  <c r="AP280" i="1"/>
  <c r="AP206" i="1"/>
  <c r="AP362" i="1"/>
  <c r="AP202" i="1"/>
  <c r="AU272" i="1"/>
  <c r="AU173" i="1"/>
  <c r="AP427" i="1"/>
  <c r="AU406" i="1"/>
  <c r="AU174" i="1"/>
  <c r="AU379" i="1"/>
  <c r="AP401" i="1"/>
  <c r="AU429" i="1"/>
  <c r="AP213" i="1"/>
  <c r="AU393" i="1"/>
  <c r="AU274" i="1"/>
  <c r="AU381" i="1"/>
  <c r="AP95" i="1"/>
  <c r="AU112" i="1"/>
  <c r="AU427" i="1"/>
  <c r="AP476" i="1"/>
  <c r="AP119" i="1"/>
  <c r="AU286" i="1"/>
  <c r="AP156" i="1"/>
  <c r="AU428" i="1"/>
  <c r="AP393" i="1"/>
  <c r="AP406" i="1"/>
  <c r="AP379" i="1"/>
  <c r="AU117" i="1"/>
  <c r="AP412" i="1"/>
  <c r="AP278" i="1"/>
  <c r="AU412" i="1"/>
  <c r="AP50" i="1"/>
  <c r="AU476" i="1"/>
  <c r="AU202" i="1"/>
  <c r="AP353" i="1"/>
  <c r="AU119" i="1"/>
  <c r="AP188" i="1"/>
  <c r="AU155" i="1"/>
  <c r="AU156" i="1"/>
  <c r="AP274" i="1"/>
  <c r="AU257" i="1"/>
  <c r="AP174" i="1"/>
  <c r="AP215" i="1"/>
  <c r="AP416" i="1"/>
  <c r="BV248" i="1"/>
  <c r="AU159" i="1"/>
  <c r="AU178" i="1"/>
  <c r="AU91" i="1"/>
  <c r="AP471" i="1"/>
  <c r="AP212" i="1"/>
  <c r="AU472" i="1"/>
  <c r="AU296" i="1"/>
  <c r="AP155" i="1"/>
  <c r="AP513" i="1"/>
  <c r="AP709" i="1" s="1"/>
  <c r="F20" i="8" s="1"/>
  <c r="AP71" i="1"/>
  <c r="AP255" i="1"/>
  <c r="AP359" i="1"/>
  <c r="AP410" i="1"/>
  <c r="AP257" i="1"/>
  <c r="BG340" i="1"/>
  <c r="BV559" i="1"/>
  <c r="AU279" i="1"/>
  <c r="AV279" i="1" s="1"/>
  <c r="AW279" i="1" s="1"/>
  <c r="AX279" i="1" s="1"/>
  <c r="AY279" i="1" s="1"/>
  <c r="AZ279" i="1" s="1"/>
  <c r="BA279" i="1" s="1"/>
  <c r="BB279" i="1" s="1"/>
  <c r="BC279" i="1" s="1"/>
  <c r="BD279" i="1" s="1"/>
  <c r="BE279" i="1" s="1"/>
  <c r="AU180" i="1"/>
  <c r="AU175" i="1"/>
  <c r="AU410" i="1"/>
  <c r="AP267" i="1"/>
  <c r="AP467" i="1"/>
  <c r="AP112" i="1"/>
  <c r="AP399" i="1"/>
  <c r="AP114" i="1"/>
  <c r="AP49" i="1"/>
  <c r="BV17" i="1"/>
  <c r="AP405" i="1"/>
  <c r="AP472" i="1"/>
  <c r="AP470" i="1"/>
  <c r="AU471" i="1"/>
  <c r="AU212" i="1"/>
  <c r="AU200" i="1"/>
  <c r="AU475" i="1"/>
  <c r="AU283" i="1"/>
  <c r="AV283" i="1" s="1"/>
  <c r="AW283" i="1" s="1"/>
  <c r="AX283" i="1" s="1"/>
  <c r="AY283" i="1" s="1"/>
  <c r="AZ283" i="1" s="1"/>
  <c r="BA283" i="1" s="1"/>
  <c r="BB283" i="1" s="1"/>
  <c r="BC283" i="1" s="1"/>
  <c r="BD283" i="1" s="1"/>
  <c r="BE283" i="1" s="1"/>
  <c r="AP200" i="1"/>
  <c r="AU468" i="1"/>
  <c r="AP404" i="1"/>
  <c r="AP468" i="1"/>
  <c r="AP269" i="1"/>
  <c r="AP308" i="1"/>
  <c r="AU473" i="1"/>
  <c r="AP373" i="1"/>
  <c r="AP173" i="1"/>
  <c r="AU426" i="1"/>
  <c r="AU502" i="1"/>
  <c r="AP180" i="1"/>
  <c r="AP475" i="1"/>
  <c r="AP12" i="1"/>
  <c r="BG420" i="1"/>
  <c r="AA722" i="1"/>
  <c r="AP371" i="1"/>
  <c r="AP356" i="1"/>
  <c r="AU416" i="1"/>
  <c r="AP498" i="1"/>
  <c r="AP381" i="1"/>
  <c r="AU405" i="1"/>
  <c r="AU373" i="1"/>
  <c r="AU383" i="1"/>
  <c r="AU218" i="1"/>
  <c r="AP423" i="1"/>
  <c r="AU362" i="1"/>
  <c r="AP159" i="1"/>
  <c r="AP293" i="1"/>
  <c r="AP425" i="1"/>
  <c r="AU356" i="1"/>
  <c r="AP78" i="1"/>
  <c r="AP216" i="1"/>
  <c r="AP279" i="1"/>
  <c r="AU401" i="1"/>
  <c r="AV401" i="1" s="1"/>
  <c r="AW401" i="1" s="1"/>
  <c r="AX401" i="1" s="1"/>
  <c r="AY401" i="1" s="1"/>
  <c r="AZ401" i="1" s="1"/>
  <c r="BA401" i="1" s="1"/>
  <c r="BB401" i="1" s="1"/>
  <c r="BC401" i="1" s="1"/>
  <c r="BD401" i="1" s="1"/>
  <c r="BE401" i="1" s="1"/>
  <c r="AP63" i="1"/>
  <c r="AP175" i="1"/>
  <c r="AP303" i="1"/>
  <c r="AP297" i="1"/>
  <c r="AP502" i="1"/>
  <c r="AP307" i="1"/>
  <c r="AP426" i="1"/>
  <c r="AP91" i="1"/>
  <c r="AP170" i="1"/>
  <c r="BG341" i="1"/>
  <c r="AP117" i="1"/>
  <c r="AU50" i="1"/>
  <c r="AU371" i="1"/>
  <c r="AU216" i="1"/>
  <c r="AU307" i="1"/>
  <c r="AP286" i="1"/>
  <c r="AU259" i="1"/>
  <c r="AU63" i="1"/>
  <c r="AV63" i="1" s="1"/>
  <c r="AW63" i="1" s="1"/>
  <c r="AX63" i="1" s="1"/>
  <c r="AY63" i="1" s="1"/>
  <c r="AZ63" i="1" s="1"/>
  <c r="BA63" i="1" s="1"/>
  <c r="BB63" i="1" s="1"/>
  <c r="BC63" i="1" s="1"/>
  <c r="BD63" i="1" s="1"/>
  <c r="BE63" i="1" s="1"/>
  <c r="AU498" i="1"/>
  <c r="AU182" i="1"/>
  <c r="AU188" i="1"/>
  <c r="AU423" i="1"/>
  <c r="AP259" i="1"/>
  <c r="AP473" i="1"/>
  <c r="CK301" i="1"/>
  <c r="AP254" i="1"/>
  <c r="AP369" i="1"/>
  <c r="AP428" i="1"/>
  <c r="AP189" i="1"/>
  <c r="BG425" i="1"/>
  <c r="AP218" i="1"/>
  <c r="BG347" i="1"/>
  <c r="BU317" i="1"/>
  <c r="BY317" i="1" s="1"/>
  <c r="BZ317" i="1" s="1"/>
  <c r="CA317" i="1" s="1"/>
  <c r="CB317" i="1" s="1"/>
  <c r="CC317" i="1" s="1"/>
  <c r="CD317" i="1" s="1"/>
  <c r="CE317" i="1" s="1"/>
  <c r="CF317" i="1" s="1"/>
  <c r="CG317" i="1" s="1"/>
  <c r="CH317" i="1" s="1"/>
  <c r="CI317" i="1" s="1"/>
  <c r="CJ317" i="1" s="1"/>
  <c r="BU449" i="1"/>
  <c r="BY449" i="1" s="1"/>
  <c r="BZ449" i="1" s="1"/>
  <c r="CA449" i="1" s="1"/>
  <c r="CB449" i="1" s="1"/>
  <c r="CC449" i="1" s="1"/>
  <c r="CD449" i="1" s="1"/>
  <c r="CE449" i="1" s="1"/>
  <c r="CF449" i="1" s="1"/>
  <c r="CG449" i="1" s="1"/>
  <c r="CH449" i="1" s="1"/>
  <c r="BU479" i="1"/>
  <c r="BY479" i="1" s="1"/>
  <c r="BZ479" i="1" s="1"/>
  <c r="CA479" i="1" s="1"/>
  <c r="CB479" i="1" s="1"/>
  <c r="CC479" i="1" s="1"/>
  <c r="CD479" i="1" s="1"/>
  <c r="CE479" i="1" s="1"/>
  <c r="CF479" i="1" s="1"/>
  <c r="CG479" i="1" s="1"/>
  <c r="CH479" i="1" s="1"/>
  <c r="CI479" i="1" s="1"/>
  <c r="CJ479" i="1" s="1"/>
  <c r="BU51" i="1"/>
  <c r="BY51" i="1" s="1"/>
  <c r="BZ51" i="1" s="1"/>
  <c r="CA51" i="1" s="1"/>
  <c r="CB51" i="1" s="1"/>
  <c r="CC51" i="1" s="1"/>
  <c r="CD51" i="1" s="1"/>
  <c r="CE51" i="1" s="1"/>
  <c r="CF51" i="1" s="1"/>
  <c r="CG51" i="1" s="1"/>
  <c r="CH51" i="1" s="1"/>
  <c r="CI51" i="1" s="1"/>
  <c r="CJ51" i="1" s="1"/>
  <c r="BU36" i="1"/>
  <c r="BY36" i="1" s="1"/>
  <c r="BZ36" i="1" s="1"/>
  <c r="CA36" i="1" s="1"/>
  <c r="CB36" i="1" s="1"/>
  <c r="CC36" i="1" s="1"/>
  <c r="CD36" i="1" s="1"/>
  <c r="CE36" i="1" s="1"/>
  <c r="CF36" i="1" s="1"/>
  <c r="CG36" i="1" s="1"/>
  <c r="CH36" i="1" s="1"/>
  <c r="CI36" i="1" s="1"/>
  <c r="CJ36" i="1" s="1"/>
  <c r="BU221" i="1"/>
  <c r="BY221" i="1" s="1"/>
  <c r="BZ221" i="1" s="1"/>
  <c r="CA221" i="1" s="1"/>
  <c r="CB221" i="1" s="1"/>
  <c r="CC221" i="1" s="1"/>
  <c r="CD221" i="1" s="1"/>
  <c r="CE221" i="1" s="1"/>
  <c r="CF221" i="1" s="1"/>
  <c r="CG221" i="1" s="1"/>
  <c r="CH221" i="1" s="1"/>
  <c r="CI221" i="1" s="1"/>
  <c r="CJ221" i="1" s="1"/>
  <c r="BU311" i="1"/>
  <c r="BY311" i="1" s="1"/>
  <c r="BZ311" i="1" s="1"/>
  <c r="CA311" i="1" s="1"/>
  <c r="CB311" i="1" s="1"/>
  <c r="CC311" i="1" s="1"/>
  <c r="CD311" i="1" s="1"/>
  <c r="CE311" i="1" s="1"/>
  <c r="CF311" i="1" s="1"/>
  <c r="CG311" i="1" s="1"/>
  <c r="CH311" i="1" s="1"/>
  <c r="CI311" i="1" s="1"/>
  <c r="CJ311" i="1" s="1"/>
  <c r="BU122" i="1"/>
  <c r="BY122" i="1" s="1"/>
  <c r="BZ122" i="1" s="1"/>
  <c r="CA122" i="1" s="1"/>
  <c r="CB122" i="1" s="1"/>
  <c r="CC122" i="1" s="1"/>
  <c r="CD122" i="1" s="1"/>
  <c r="CE122" i="1" s="1"/>
  <c r="CF122" i="1" s="1"/>
  <c r="CG122" i="1" s="1"/>
  <c r="CH122" i="1" s="1"/>
  <c r="CI122" i="1" s="1"/>
  <c r="CJ122" i="1" s="1"/>
  <c r="BU98" i="1"/>
  <c r="BY98" i="1" s="1"/>
  <c r="BZ98" i="1" s="1"/>
  <c r="CA98" i="1" s="1"/>
  <c r="CB98" i="1" s="1"/>
  <c r="CC98" i="1" s="1"/>
  <c r="CD98" i="1" s="1"/>
  <c r="CE98" i="1" s="1"/>
  <c r="CF98" i="1" s="1"/>
  <c r="CG98" i="1" s="1"/>
  <c r="CH98" i="1" s="1"/>
  <c r="CI98" i="1" s="1"/>
  <c r="CJ98" i="1" s="1"/>
  <c r="BU442" i="1"/>
  <c r="BY442" i="1" s="1"/>
  <c r="BZ442" i="1" s="1"/>
  <c r="CA442" i="1" s="1"/>
  <c r="CB442" i="1" s="1"/>
  <c r="CC442" i="1" s="1"/>
  <c r="CD442" i="1" s="1"/>
  <c r="CE442" i="1" s="1"/>
  <c r="CF442" i="1" s="1"/>
  <c r="CG442" i="1" s="1"/>
  <c r="CH442" i="1" s="1"/>
  <c r="CI442" i="1" s="1"/>
  <c r="CJ442" i="1" s="1"/>
  <c r="BU441" i="1"/>
  <c r="BY441" i="1" s="1"/>
  <c r="BZ441" i="1" s="1"/>
  <c r="CA441" i="1" s="1"/>
  <c r="CB441" i="1" s="1"/>
  <c r="CC441" i="1" s="1"/>
  <c r="CD441" i="1" s="1"/>
  <c r="CE441" i="1" s="1"/>
  <c r="CF441" i="1" s="1"/>
  <c r="CG441" i="1" s="1"/>
  <c r="CH441" i="1" s="1"/>
  <c r="CI441" i="1" s="1"/>
  <c r="CJ441" i="1" s="1"/>
  <c r="BU397" i="1"/>
  <c r="BY397" i="1" s="1"/>
  <c r="BZ397" i="1" s="1"/>
  <c r="CA397" i="1" s="1"/>
  <c r="CB397" i="1" s="1"/>
  <c r="CC397" i="1" s="1"/>
  <c r="CD397" i="1" s="1"/>
  <c r="CE397" i="1" s="1"/>
  <c r="CF397" i="1" s="1"/>
  <c r="CG397" i="1" s="1"/>
  <c r="CH397" i="1" s="1"/>
  <c r="CI397" i="1" s="1"/>
  <c r="CJ397" i="1" s="1"/>
  <c r="BU7" i="1"/>
  <c r="BY7" i="1" s="1"/>
  <c r="BZ7" i="1" s="1"/>
  <c r="CA7" i="1" s="1"/>
  <c r="CB7" i="1" s="1"/>
  <c r="CC7" i="1" s="1"/>
  <c r="CD7" i="1" s="1"/>
  <c r="CE7" i="1" s="1"/>
  <c r="CF7" i="1" s="1"/>
  <c r="CG7" i="1" s="1"/>
  <c r="CH7" i="1" s="1"/>
  <c r="CI7" i="1" s="1"/>
  <c r="CJ7" i="1" s="1"/>
  <c r="BU37" i="1"/>
  <c r="BY37" i="1" s="1"/>
  <c r="BZ37" i="1" s="1"/>
  <c r="CA37" i="1" s="1"/>
  <c r="CB37" i="1" s="1"/>
  <c r="CC37" i="1" s="1"/>
  <c r="CD37" i="1" s="1"/>
  <c r="CE37" i="1" s="1"/>
  <c r="CF37" i="1" s="1"/>
  <c r="CG37" i="1" s="1"/>
  <c r="CH37" i="1" s="1"/>
  <c r="CI37" i="1" s="1"/>
  <c r="CJ37" i="1" s="1"/>
  <c r="BU358" i="1"/>
  <c r="BY358" i="1" s="1"/>
  <c r="BZ358" i="1" s="1"/>
  <c r="CA358" i="1" s="1"/>
  <c r="CB358" i="1" s="1"/>
  <c r="CC358" i="1" s="1"/>
  <c r="CD358" i="1" s="1"/>
  <c r="CE358" i="1" s="1"/>
  <c r="CF358" i="1" s="1"/>
  <c r="CG358" i="1" s="1"/>
  <c r="CH358" i="1" s="1"/>
  <c r="CI358" i="1" s="1"/>
  <c r="CJ358" i="1" s="1"/>
  <c r="BU465" i="1"/>
  <c r="BY465" i="1" s="1"/>
  <c r="BZ465" i="1" s="1"/>
  <c r="CA465" i="1" s="1"/>
  <c r="CB465" i="1" s="1"/>
  <c r="CC465" i="1" s="1"/>
  <c r="CD465" i="1" s="1"/>
  <c r="CE465" i="1" s="1"/>
  <c r="CF465" i="1" s="1"/>
  <c r="CG465" i="1" s="1"/>
  <c r="CH465" i="1" s="1"/>
  <c r="CI465" i="1" s="1"/>
  <c r="CJ465" i="1" s="1"/>
  <c r="BU338" i="1"/>
  <c r="BY338" i="1" s="1"/>
  <c r="BZ338" i="1" s="1"/>
  <c r="CA338" i="1" s="1"/>
  <c r="CB338" i="1" s="1"/>
  <c r="CC338" i="1" s="1"/>
  <c r="CD338" i="1" s="1"/>
  <c r="CE338" i="1" s="1"/>
  <c r="CF338" i="1" s="1"/>
  <c r="CG338" i="1" s="1"/>
  <c r="CH338" i="1" s="1"/>
  <c r="CI338" i="1" s="1"/>
  <c r="CJ338" i="1" s="1"/>
  <c r="BU365" i="1"/>
  <c r="BY365" i="1" s="1"/>
  <c r="BZ365" i="1" s="1"/>
  <c r="CA365" i="1" s="1"/>
  <c r="CB365" i="1" s="1"/>
  <c r="CC365" i="1" s="1"/>
  <c r="CD365" i="1" s="1"/>
  <c r="CE365" i="1" s="1"/>
  <c r="CF365" i="1" s="1"/>
  <c r="CG365" i="1" s="1"/>
  <c r="CH365" i="1" s="1"/>
  <c r="CI365" i="1" s="1"/>
  <c r="CJ365" i="1" s="1"/>
  <c r="BU5" i="1"/>
  <c r="BY5" i="1" s="1"/>
  <c r="BZ5" i="1" s="1"/>
  <c r="CA5" i="1" s="1"/>
  <c r="CB5" i="1" s="1"/>
  <c r="CC5" i="1" s="1"/>
  <c r="CD5" i="1" s="1"/>
  <c r="CE5" i="1" s="1"/>
  <c r="CF5" i="1" s="1"/>
  <c r="CG5" i="1" s="1"/>
  <c r="CH5" i="1" s="1"/>
  <c r="CI5" i="1" s="1"/>
  <c r="CJ5" i="1" s="1"/>
  <c r="BU455" i="1"/>
  <c r="BY455" i="1" s="1"/>
  <c r="BZ455" i="1" s="1"/>
  <c r="CA455" i="1" s="1"/>
  <c r="CB455" i="1" s="1"/>
  <c r="CC455" i="1" s="1"/>
  <c r="CD455" i="1" s="1"/>
  <c r="CE455" i="1" s="1"/>
  <c r="CF455" i="1" s="1"/>
  <c r="CG455" i="1" s="1"/>
  <c r="CH455" i="1" s="1"/>
  <c r="CI455" i="1" s="1"/>
  <c r="BU310" i="1"/>
  <c r="BY310" i="1" s="1"/>
  <c r="BZ310" i="1" s="1"/>
  <c r="CA310" i="1" s="1"/>
  <c r="CB310" i="1" s="1"/>
  <c r="CC310" i="1" s="1"/>
  <c r="CD310" i="1" s="1"/>
  <c r="CE310" i="1" s="1"/>
  <c r="CF310" i="1" s="1"/>
  <c r="CG310" i="1" s="1"/>
  <c r="CH310" i="1" s="1"/>
  <c r="CI310" i="1" s="1"/>
  <c r="CJ310" i="1" s="1"/>
  <c r="BU167" i="1"/>
  <c r="BY167" i="1" s="1"/>
  <c r="BZ167" i="1" s="1"/>
  <c r="CA167" i="1" s="1"/>
  <c r="CB167" i="1" s="1"/>
  <c r="CC167" i="1" s="1"/>
  <c r="CD167" i="1" s="1"/>
  <c r="CE167" i="1" s="1"/>
  <c r="CF167" i="1" s="1"/>
  <c r="CG167" i="1" s="1"/>
  <c r="CH167" i="1" s="1"/>
  <c r="CI167" i="1" s="1"/>
  <c r="CJ167" i="1" s="1"/>
  <c r="BU360" i="1"/>
  <c r="BY360" i="1" s="1"/>
  <c r="BZ360" i="1" s="1"/>
  <c r="CA360" i="1" s="1"/>
  <c r="CB360" i="1" s="1"/>
  <c r="CC360" i="1" s="1"/>
  <c r="CD360" i="1" s="1"/>
  <c r="CE360" i="1" s="1"/>
  <c r="CF360" i="1" s="1"/>
  <c r="CG360" i="1" s="1"/>
  <c r="CH360" i="1" s="1"/>
  <c r="CI360" i="1" s="1"/>
  <c r="CJ360" i="1" s="1"/>
  <c r="BU35" i="1"/>
  <c r="BY35" i="1" s="1"/>
  <c r="BZ35" i="1" s="1"/>
  <c r="CA35" i="1" s="1"/>
  <c r="CB35" i="1" s="1"/>
  <c r="CC35" i="1" s="1"/>
  <c r="CD35" i="1" s="1"/>
  <c r="CE35" i="1" s="1"/>
  <c r="CF35" i="1" s="1"/>
  <c r="CG35" i="1" s="1"/>
  <c r="CH35" i="1" s="1"/>
  <c r="CI35" i="1" s="1"/>
  <c r="CJ35" i="1" s="1"/>
  <c r="BU107" i="1"/>
  <c r="BY107" i="1" s="1"/>
  <c r="BZ107" i="1" s="1"/>
  <c r="CA107" i="1" s="1"/>
  <c r="CB107" i="1" s="1"/>
  <c r="CC107" i="1" s="1"/>
  <c r="CD107" i="1" s="1"/>
  <c r="CE107" i="1" s="1"/>
  <c r="CF107" i="1" s="1"/>
  <c r="CG107" i="1" s="1"/>
  <c r="CH107" i="1" s="1"/>
  <c r="CI107" i="1" s="1"/>
  <c r="CJ107" i="1" s="1"/>
  <c r="BU153" i="1"/>
  <c r="BY153" i="1" s="1"/>
  <c r="BZ153" i="1" s="1"/>
  <c r="CA153" i="1" s="1"/>
  <c r="CB153" i="1" s="1"/>
  <c r="CC153" i="1" s="1"/>
  <c r="CD153" i="1" s="1"/>
  <c r="CE153" i="1" s="1"/>
  <c r="CF153" i="1" s="1"/>
  <c r="CG153" i="1" s="1"/>
  <c r="CH153" i="1" s="1"/>
  <c r="CI153" i="1" s="1"/>
  <c r="CJ153" i="1" s="1"/>
  <c r="BU103" i="1"/>
  <c r="BY103" i="1" s="1"/>
  <c r="BZ103" i="1" s="1"/>
  <c r="CA103" i="1" s="1"/>
  <c r="CB103" i="1" s="1"/>
  <c r="CC103" i="1" s="1"/>
  <c r="CD103" i="1" s="1"/>
  <c r="CE103" i="1" s="1"/>
  <c r="CF103" i="1" s="1"/>
  <c r="CG103" i="1" s="1"/>
  <c r="CH103" i="1" s="1"/>
  <c r="CI103" i="1" s="1"/>
  <c r="CJ103" i="1" s="1"/>
  <c r="CK302" i="1"/>
  <c r="BU482" i="1"/>
  <c r="BY482" i="1" s="1"/>
  <c r="BZ482" i="1" s="1"/>
  <c r="CA482" i="1" s="1"/>
  <c r="CB482" i="1" s="1"/>
  <c r="CC482" i="1" s="1"/>
  <c r="CD482" i="1" s="1"/>
  <c r="CE482" i="1" s="1"/>
  <c r="CF482" i="1" s="1"/>
  <c r="CG482" i="1" s="1"/>
  <c r="CH482" i="1" s="1"/>
  <c r="CI482" i="1" s="1"/>
  <c r="CJ482" i="1" s="1"/>
  <c r="BU348" i="1"/>
  <c r="BY348" i="1" s="1"/>
  <c r="BZ348" i="1" s="1"/>
  <c r="CA348" i="1" s="1"/>
  <c r="CB348" i="1" s="1"/>
  <c r="CC348" i="1" s="1"/>
  <c r="CD348" i="1" s="1"/>
  <c r="CE348" i="1" s="1"/>
  <c r="CF348" i="1" s="1"/>
  <c r="CG348" i="1" s="1"/>
  <c r="CH348" i="1" s="1"/>
  <c r="CI348" i="1" s="1"/>
  <c r="CJ348" i="1" s="1"/>
  <c r="BU89" i="1"/>
  <c r="BY89" i="1" s="1"/>
  <c r="BZ89" i="1" s="1"/>
  <c r="CA89" i="1" s="1"/>
  <c r="CB89" i="1" s="1"/>
  <c r="CC89" i="1" s="1"/>
  <c r="CD89" i="1" s="1"/>
  <c r="CE89" i="1" s="1"/>
  <c r="CF89" i="1" s="1"/>
  <c r="CG89" i="1" s="1"/>
  <c r="CH89" i="1" s="1"/>
  <c r="CI89" i="1" s="1"/>
  <c r="CJ89" i="1" s="1"/>
  <c r="BU60" i="1"/>
  <c r="BY60" i="1" s="1"/>
  <c r="BZ60" i="1" s="1"/>
  <c r="CA60" i="1" s="1"/>
  <c r="CB60" i="1" s="1"/>
  <c r="CC60" i="1" s="1"/>
  <c r="CD60" i="1" s="1"/>
  <c r="CE60" i="1" s="1"/>
  <c r="CF60" i="1" s="1"/>
  <c r="CG60" i="1" s="1"/>
  <c r="CH60" i="1" s="1"/>
  <c r="CI60" i="1" s="1"/>
  <c r="CJ60" i="1" s="1"/>
  <c r="BU102" i="1"/>
  <c r="BY102" i="1" s="1"/>
  <c r="BZ102" i="1" s="1"/>
  <c r="CA102" i="1" s="1"/>
  <c r="CB102" i="1" s="1"/>
  <c r="CC102" i="1" s="1"/>
  <c r="CD102" i="1" s="1"/>
  <c r="CE102" i="1" s="1"/>
  <c r="CF102" i="1" s="1"/>
  <c r="CG102" i="1" s="1"/>
  <c r="CH102" i="1" s="1"/>
  <c r="CI102" i="1" s="1"/>
  <c r="CJ102" i="1" s="1"/>
  <c r="BU6" i="1"/>
  <c r="BY6" i="1" s="1"/>
  <c r="BZ6" i="1" s="1"/>
  <c r="CA6" i="1" s="1"/>
  <c r="CB6" i="1" s="1"/>
  <c r="CC6" i="1" s="1"/>
  <c r="CD6" i="1" s="1"/>
  <c r="CE6" i="1" s="1"/>
  <c r="CF6" i="1" s="1"/>
  <c r="CG6" i="1" s="1"/>
  <c r="CH6" i="1" s="1"/>
  <c r="CI6" i="1" s="1"/>
  <c r="CJ6" i="1" s="1"/>
  <c r="BU169" i="1"/>
  <c r="BY169" i="1" s="1"/>
  <c r="BZ169" i="1" s="1"/>
  <c r="CA169" i="1" s="1"/>
  <c r="CB169" i="1" s="1"/>
  <c r="CC169" i="1" s="1"/>
  <c r="CD169" i="1" s="1"/>
  <c r="CE169" i="1" s="1"/>
  <c r="CF169" i="1" s="1"/>
  <c r="CG169" i="1" s="1"/>
  <c r="CH169" i="1" s="1"/>
  <c r="CI169" i="1" s="1"/>
  <c r="CJ169" i="1" s="1"/>
  <c r="BU461" i="1"/>
  <c r="BY461" i="1" s="1"/>
  <c r="BZ461" i="1" s="1"/>
  <c r="CA461" i="1" s="1"/>
  <c r="CB461" i="1" s="1"/>
  <c r="CC461" i="1" s="1"/>
  <c r="CD461" i="1" s="1"/>
  <c r="CE461" i="1" s="1"/>
  <c r="CF461" i="1" s="1"/>
  <c r="CG461" i="1" s="1"/>
  <c r="CH461" i="1" s="1"/>
  <c r="CI461" i="1" s="1"/>
  <c r="CJ461" i="1" s="1"/>
  <c r="BU316" i="1"/>
  <c r="BY316" i="1" s="1"/>
  <c r="BZ316" i="1" s="1"/>
  <c r="CA316" i="1" s="1"/>
  <c r="CB316" i="1" s="1"/>
  <c r="CC316" i="1" s="1"/>
  <c r="CD316" i="1" s="1"/>
  <c r="CE316" i="1" s="1"/>
  <c r="CF316" i="1" s="1"/>
  <c r="CG316" i="1" s="1"/>
  <c r="CH316" i="1" s="1"/>
  <c r="CI316" i="1" s="1"/>
  <c r="CJ316" i="1" s="1"/>
  <c r="BU349" i="1"/>
  <c r="BY349" i="1" s="1"/>
  <c r="BZ349" i="1" s="1"/>
  <c r="CA349" i="1" s="1"/>
  <c r="CB349" i="1" s="1"/>
  <c r="CC349" i="1" s="1"/>
  <c r="CD349" i="1" s="1"/>
  <c r="CE349" i="1" s="1"/>
  <c r="CF349" i="1" s="1"/>
  <c r="CG349" i="1" s="1"/>
  <c r="CH349" i="1" s="1"/>
  <c r="CI349" i="1" s="1"/>
  <c r="CJ349" i="1" s="1"/>
  <c r="BU350" i="1"/>
  <c r="BY350" i="1" s="1"/>
  <c r="BZ350" i="1" s="1"/>
  <c r="CA350" i="1" s="1"/>
  <c r="CB350" i="1" s="1"/>
  <c r="CC350" i="1" s="1"/>
  <c r="CD350" i="1" s="1"/>
  <c r="CE350" i="1" s="1"/>
  <c r="CF350" i="1" s="1"/>
  <c r="CG350" i="1" s="1"/>
  <c r="CH350" i="1" s="1"/>
  <c r="CI350" i="1" s="1"/>
  <c r="CJ350" i="1" s="1"/>
  <c r="BU451" i="1"/>
  <c r="BY451" i="1" s="1"/>
  <c r="BZ451" i="1" s="1"/>
  <c r="CA451" i="1" s="1"/>
  <c r="CB451" i="1" s="1"/>
  <c r="CC451" i="1" s="1"/>
  <c r="CD451" i="1" s="1"/>
  <c r="CE451" i="1" s="1"/>
  <c r="CF451" i="1" s="1"/>
  <c r="CG451" i="1" s="1"/>
  <c r="CH451" i="1" s="1"/>
  <c r="CI451" i="1" s="1"/>
  <c r="CJ451" i="1" s="1"/>
  <c r="BU88" i="1"/>
  <c r="BY88" i="1" s="1"/>
  <c r="BZ88" i="1" s="1"/>
  <c r="CA88" i="1" s="1"/>
  <c r="CB88" i="1" s="1"/>
  <c r="CC88" i="1" s="1"/>
  <c r="CD88" i="1" s="1"/>
  <c r="CE88" i="1" s="1"/>
  <c r="CF88" i="1" s="1"/>
  <c r="CG88" i="1" s="1"/>
  <c r="CH88" i="1" s="1"/>
  <c r="CI88" i="1" s="1"/>
  <c r="CJ88" i="1" s="1"/>
  <c r="BU481" i="1"/>
  <c r="BY481" i="1" s="1"/>
  <c r="BZ481" i="1" s="1"/>
  <c r="CA481" i="1" s="1"/>
  <c r="CB481" i="1" s="1"/>
  <c r="CC481" i="1" s="1"/>
  <c r="CD481" i="1" s="1"/>
  <c r="CE481" i="1" s="1"/>
  <c r="CF481" i="1" s="1"/>
  <c r="CG481" i="1" s="1"/>
  <c r="CH481" i="1" s="1"/>
  <c r="CI481" i="1" s="1"/>
  <c r="CJ481" i="1" s="1"/>
  <c r="BU53" i="1"/>
  <c r="BY53" i="1" s="1"/>
  <c r="BZ53" i="1" s="1"/>
  <c r="CA53" i="1" s="1"/>
  <c r="CB53" i="1" s="1"/>
  <c r="CC53" i="1" s="1"/>
  <c r="CD53" i="1" s="1"/>
  <c r="CE53" i="1" s="1"/>
  <c r="CF53" i="1" s="1"/>
  <c r="CG53" i="1" s="1"/>
  <c r="CH53" i="1" s="1"/>
  <c r="CI53" i="1" s="1"/>
  <c r="CJ53" i="1" s="1"/>
  <c r="BU433" i="1"/>
  <c r="BY433" i="1" s="1"/>
  <c r="BZ433" i="1" s="1"/>
  <c r="CA433" i="1" s="1"/>
  <c r="CB433" i="1" s="1"/>
  <c r="CC433" i="1" s="1"/>
  <c r="CD433" i="1" s="1"/>
  <c r="CE433" i="1" s="1"/>
  <c r="CF433" i="1" s="1"/>
  <c r="CG433" i="1" s="1"/>
  <c r="CH433" i="1" s="1"/>
  <c r="CI433" i="1" s="1"/>
  <c r="CJ433" i="1" s="1"/>
  <c r="BU232" i="1"/>
  <c r="BY232" i="1" s="1"/>
  <c r="BZ232" i="1" s="1"/>
  <c r="CA232" i="1" s="1"/>
  <c r="CB232" i="1" s="1"/>
  <c r="CC232" i="1" s="1"/>
  <c r="CD232" i="1" s="1"/>
  <c r="CE232" i="1" s="1"/>
  <c r="CF232" i="1" s="1"/>
  <c r="CG232" i="1" s="1"/>
  <c r="CH232" i="1" s="1"/>
  <c r="CI232" i="1" s="1"/>
  <c r="CJ232" i="1" s="1"/>
  <c r="BU460" i="1"/>
  <c r="BY460" i="1" s="1"/>
  <c r="BZ460" i="1" s="1"/>
  <c r="CA460" i="1" s="1"/>
  <c r="CB460" i="1" s="1"/>
  <c r="CC460" i="1" s="1"/>
  <c r="CD460" i="1" s="1"/>
  <c r="CE460" i="1" s="1"/>
  <c r="CF460" i="1" s="1"/>
  <c r="CG460" i="1" s="1"/>
  <c r="CH460" i="1" s="1"/>
  <c r="CI460" i="1" s="1"/>
  <c r="CJ460" i="1" s="1"/>
  <c r="BU96" i="1"/>
  <c r="BY96" i="1" s="1"/>
  <c r="BZ96" i="1" s="1"/>
  <c r="CA96" i="1" s="1"/>
  <c r="CB96" i="1" s="1"/>
  <c r="CC96" i="1" s="1"/>
  <c r="CD96" i="1" s="1"/>
  <c r="CE96" i="1" s="1"/>
  <c r="CF96" i="1" s="1"/>
  <c r="CG96" i="1" s="1"/>
  <c r="CH96" i="1" s="1"/>
  <c r="CI96" i="1" s="1"/>
  <c r="CJ96" i="1" s="1"/>
  <c r="BU477" i="1"/>
  <c r="BY477" i="1" s="1"/>
  <c r="BZ477" i="1" s="1"/>
  <c r="CA477" i="1" s="1"/>
  <c r="CB477" i="1" s="1"/>
  <c r="CC477" i="1" s="1"/>
  <c r="CD477" i="1" s="1"/>
  <c r="CE477" i="1" s="1"/>
  <c r="CF477" i="1" s="1"/>
  <c r="CG477" i="1" s="1"/>
  <c r="CH477" i="1" s="1"/>
  <c r="CI477" i="1" s="1"/>
  <c r="CJ477" i="1" s="1"/>
  <c r="BU452" i="1"/>
  <c r="BY452" i="1" s="1"/>
  <c r="BZ452" i="1" s="1"/>
  <c r="CA452" i="1" s="1"/>
  <c r="CB452" i="1" s="1"/>
  <c r="CC452" i="1" s="1"/>
  <c r="CD452" i="1" s="1"/>
  <c r="CE452" i="1" s="1"/>
  <c r="CF452" i="1" s="1"/>
  <c r="CG452" i="1" s="1"/>
  <c r="CH452" i="1" s="1"/>
  <c r="CI452" i="1" s="1"/>
  <c r="CJ452" i="1" s="1"/>
  <c r="BU16" i="1"/>
  <c r="BY16" i="1" s="1"/>
  <c r="BZ16" i="1" s="1"/>
  <c r="CA16" i="1" s="1"/>
  <c r="CB16" i="1" s="1"/>
  <c r="CC16" i="1" s="1"/>
  <c r="CD16" i="1" s="1"/>
  <c r="CE16" i="1" s="1"/>
  <c r="CF16" i="1" s="1"/>
  <c r="CG16" i="1" s="1"/>
  <c r="CH16" i="1" s="1"/>
  <c r="CI16" i="1" s="1"/>
  <c r="CJ16" i="1" s="1"/>
  <c r="BU445" i="1"/>
  <c r="BY445" i="1" s="1"/>
  <c r="BZ445" i="1" s="1"/>
  <c r="CA445" i="1" s="1"/>
  <c r="CB445" i="1" s="1"/>
  <c r="CC445" i="1" s="1"/>
  <c r="CD445" i="1" s="1"/>
  <c r="CE445" i="1" s="1"/>
  <c r="CF445" i="1" s="1"/>
  <c r="CG445" i="1" s="1"/>
  <c r="CH445" i="1" s="1"/>
  <c r="CI445" i="1" s="1"/>
  <c r="CJ445" i="1" s="1"/>
  <c r="BU8" i="1"/>
  <c r="BY8" i="1" s="1"/>
  <c r="BZ8" i="1" s="1"/>
  <c r="CA8" i="1" s="1"/>
  <c r="CB8" i="1" s="1"/>
  <c r="CC8" i="1" s="1"/>
  <c r="CD8" i="1" s="1"/>
  <c r="CE8" i="1" s="1"/>
  <c r="CF8" i="1" s="1"/>
  <c r="CG8" i="1" s="1"/>
  <c r="CH8" i="1" s="1"/>
  <c r="CI8" i="1" s="1"/>
  <c r="CJ8" i="1" s="1"/>
  <c r="BU322" i="1"/>
  <c r="BY322" i="1" s="1"/>
  <c r="BZ322" i="1" s="1"/>
  <c r="CA322" i="1" s="1"/>
  <c r="CB322" i="1" s="1"/>
  <c r="CC322" i="1" s="1"/>
  <c r="CD322" i="1" s="1"/>
  <c r="CE322" i="1" s="1"/>
  <c r="CF322" i="1" s="1"/>
  <c r="CG322" i="1" s="1"/>
  <c r="CH322" i="1" s="1"/>
  <c r="CI322" i="1" s="1"/>
  <c r="CJ322" i="1" s="1"/>
  <c r="BU309" i="1"/>
  <c r="BY309" i="1" s="1"/>
  <c r="BZ309" i="1" s="1"/>
  <c r="CA309" i="1" s="1"/>
  <c r="CB309" i="1" s="1"/>
  <c r="CC309" i="1" s="1"/>
  <c r="CD309" i="1" s="1"/>
  <c r="CE309" i="1" s="1"/>
  <c r="CF309" i="1" s="1"/>
  <c r="CG309" i="1" s="1"/>
  <c r="CH309" i="1" s="1"/>
  <c r="CI309" i="1" s="1"/>
  <c r="CJ309" i="1" s="1"/>
  <c r="BU321" i="1"/>
  <c r="BY321" i="1" s="1"/>
  <c r="BZ321" i="1" s="1"/>
  <c r="CA321" i="1" s="1"/>
  <c r="CB321" i="1" s="1"/>
  <c r="CC321" i="1" s="1"/>
  <c r="CD321" i="1" s="1"/>
  <c r="BY569" i="1"/>
  <c r="BU443" i="1"/>
  <c r="BY443" i="1" s="1"/>
  <c r="BZ443" i="1" s="1"/>
  <c r="CA443" i="1" s="1"/>
  <c r="CB443" i="1" s="1"/>
  <c r="CC443" i="1" s="1"/>
  <c r="CD443" i="1" s="1"/>
  <c r="CE443" i="1" s="1"/>
  <c r="CF443" i="1" s="1"/>
  <c r="CG443" i="1" s="1"/>
  <c r="CH443" i="1" s="1"/>
  <c r="BU434" i="1"/>
  <c r="BY434" i="1" s="1"/>
  <c r="BZ434" i="1" s="1"/>
  <c r="CA434" i="1" s="1"/>
  <c r="CB434" i="1" s="1"/>
  <c r="CC434" i="1" s="1"/>
  <c r="CD434" i="1" s="1"/>
  <c r="CE434" i="1" s="1"/>
  <c r="CF434" i="1" s="1"/>
  <c r="CG434" i="1" s="1"/>
  <c r="CH434" i="1" s="1"/>
  <c r="CI434" i="1" s="1"/>
  <c r="CJ434" i="1" s="1"/>
  <c r="BU488" i="1"/>
  <c r="BY488" i="1" s="1"/>
  <c r="BZ488" i="1" s="1"/>
  <c r="CA488" i="1" s="1"/>
  <c r="CB488" i="1" s="1"/>
  <c r="CC488" i="1" s="1"/>
  <c r="CD488" i="1" s="1"/>
  <c r="CE488" i="1" s="1"/>
  <c r="CF488" i="1" s="1"/>
  <c r="CG488" i="1" s="1"/>
  <c r="CH488" i="1" s="1"/>
  <c r="CI488" i="1" s="1"/>
  <c r="CJ488" i="1" s="1"/>
  <c r="BU480" i="1"/>
  <c r="BY480" i="1" s="1"/>
  <c r="BZ480" i="1" s="1"/>
  <c r="CA480" i="1" s="1"/>
  <c r="CB480" i="1" s="1"/>
  <c r="CC480" i="1" s="1"/>
  <c r="CD480" i="1" s="1"/>
  <c r="CE480" i="1" s="1"/>
  <c r="CF480" i="1" s="1"/>
  <c r="CG480" i="1" s="1"/>
  <c r="CH480" i="1" s="1"/>
  <c r="CI480" i="1" s="1"/>
  <c r="CJ480" i="1" s="1"/>
  <c r="BU450" i="1"/>
  <c r="BY450" i="1" s="1"/>
  <c r="BZ450" i="1" s="1"/>
  <c r="CA450" i="1" s="1"/>
  <c r="CB450" i="1" s="1"/>
  <c r="CC450" i="1" s="1"/>
  <c r="CD450" i="1" s="1"/>
  <c r="CE450" i="1" s="1"/>
  <c r="CF450" i="1" s="1"/>
  <c r="CG450" i="1" s="1"/>
  <c r="CH450" i="1" s="1"/>
  <c r="BU432" i="1"/>
  <c r="BY432" i="1" s="1"/>
  <c r="BZ432" i="1" s="1"/>
  <c r="CA432" i="1" s="1"/>
  <c r="CB432" i="1" s="1"/>
  <c r="CC432" i="1" s="1"/>
  <c r="CD432" i="1" s="1"/>
  <c r="CE432" i="1" s="1"/>
  <c r="CF432" i="1" s="1"/>
  <c r="CG432" i="1" s="1"/>
  <c r="CH432" i="1" s="1"/>
  <c r="CI432" i="1" s="1"/>
  <c r="CJ432" i="1" s="1"/>
  <c r="BU315" i="1"/>
  <c r="BY315" i="1" s="1"/>
  <c r="BZ315" i="1" s="1"/>
  <c r="CA315" i="1" s="1"/>
  <c r="CB315" i="1" s="1"/>
  <c r="CC315" i="1" s="1"/>
  <c r="CD315" i="1" s="1"/>
  <c r="CE315" i="1" s="1"/>
  <c r="CF315" i="1" s="1"/>
  <c r="CG315" i="1" s="1"/>
  <c r="CH315" i="1" s="1"/>
  <c r="CI315" i="1" s="1"/>
  <c r="CJ315" i="1" s="1"/>
  <c r="BU463" i="1"/>
  <c r="BY463" i="1" s="1"/>
  <c r="BZ463" i="1" s="1"/>
  <c r="CA463" i="1" s="1"/>
  <c r="CB463" i="1" s="1"/>
  <c r="CC463" i="1" s="1"/>
  <c r="CD463" i="1" s="1"/>
  <c r="CE463" i="1" s="1"/>
  <c r="CF463" i="1" s="1"/>
  <c r="CG463" i="1" s="1"/>
  <c r="CH463" i="1" s="1"/>
  <c r="CI463" i="1" s="1"/>
  <c r="CJ463" i="1" s="1"/>
  <c r="BU456" i="1"/>
  <c r="BY456" i="1" s="1"/>
  <c r="BZ456" i="1" s="1"/>
  <c r="CA456" i="1" s="1"/>
  <c r="CB456" i="1" s="1"/>
  <c r="CC456" i="1" s="1"/>
  <c r="CD456" i="1" s="1"/>
  <c r="CE456" i="1" s="1"/>
  <c r="CF456" i="1" s="1"/>
  <c r="CG456" i="1" s="1"/>
  <c r="CH456" i="1" s="1"/>
  <c r="CI456" i="1" s="1"/>
  <c r="CJ456" i="1" s="1"/>
  <c r="BU357" i="1"/>
  <c r="BY357" i="1" s="1"/>
  <c r="BZ357" i="1" s="1"/>
  <c r="CA357" i="1" s="1"/>
  <c r="CB357" i="1" s="1"/>
  <c r="CC357" i="1" s="1"/>
  <c r="CD357" i="1" s="1"/>
  <c r="CE357" i="1" s="1"/>
  <c r="CF357" i="1" s="1"/>
  <c r="CG357" i="1" s="1"/>
  <c r="CH357" i="1" s="1"/>
  <c r="CI357" i="1" s="1"/>
  <c r="CJ357" i="1" s="1"/>
  <c r="BU324" i="1"/>
  <c r="BY324" i="1" s="1"/>
  <c r="BZ324" i="1" s="1"/>
  <c r="CA324" i="1" s="1"/>
  <c r="CB324" i="1" s="1"/>
  <c r="CC324" i="1" s="1"/>
  <c r="CD324" i="1" s="1"/>
  <c r="CE324" i="1" s="1"/>
  <c r="CF324" i="1" s="1"/>
  <c r="CG324" i="1" s="1"/>
  <c r="CH324" i="1" s="1"/>
  <c r="CI324" i="1" s="1"/>
  <c r="CJ324" i="1" s="1"/>
  <c r="BU462" i="1"/>
  <c r="BY462" i="1" s="1"/>
  <c r="BZ462" i="1" s="1"/>
  <c r="CA462" i="1" s="1"/>
  <c r="CB462" i="1" s="1"/>
  <c r="CC462" i="1" s="1"/>
  <c r="CD462" i="1" s="1"/>
  <c r="CE462" i="1" s="1"/>
  <c r="CF462" i="1" s="1"/>
  <c r="CG462" i="1" s="1"/>
  <c r="CH462" i="1" s="1"/>
  <c r="CI462" i="1" s="1"/>
  <c r="CJ462" i="1" s="1"/>
  <c r="BU478" i="1"/>
  <c r="BY478" i="1" s="1"/>
  <c r="BZ478" i="1" s="1"/>
  <c r="CA478" i="1" s="1"/>
  <c r="CB478" i="1" s="1"/>
  <c r="CC478" i="1" s="1"/>
  <c r="CD478" i="1" s="1"/>
  <c r="CE478" i="1" s="1"/>
  <c r="CF478" i="1" s="1"/>
  <c r="CG478" i="1" s="1"/>
  <c r="CH478" i="1" s="1"/>
  <c r="CI478" i="1" s="1"/>
  <c r="CJ478" i="1" s="1"/>
  <c r="BU292" i="1"/>
  <c r="BY292" i="1" s="1"/>
  <c r="BZ292" i="1" s="1"/>
  <c r="CA292" i="1" s="1"/>
  <c r="CB292" i="1" s="1"/>
  <c r="CC292" i="1" s="1"/>
  <c r="CD292" i="1" s="1"/>
  <c r="CE292" i="1" s="1"/>
  <c r="CF292" i="1" s="1"/>
  <c r="CG292" i="1" s="1"/>
  <c r="CH292" i="1" s="1"/>
  <c r="CI292" i="1" s="1"/>
  <c r="CJ292" i="1" s="1"/>
  <c r="BU116" i="1"/>
  <c r="BY116" i="1" s="1"/>
  <c r="BZ116" i="1" s="1"/>
  <c r="CA116" i="1" s="1"/>
  <c r="CB116" i="1" s="1"/>
  <c r="CC116" i="1" s="1"/>
  <c r="CD116" i="1" s="1"/>
  <c r="CE116" i="1" s="1"/>
  <c r="CF116" i="1" s="1"/>
  <c r="CG116" i="1" s="1"/>
  <c r="CH116" i="1" s="1"/>
  <c r="CI116" i="1" s="1"/>
  <c r="CJ116" i="1" s="1"/>
  <c r="BU454" i="1"/>
  <c r="BY454" i="1" s="1"/>
  <c r="BZ454" i="1" s="1"/>
  <c r="CA454" i="1" s="1"/>
  <c r="CB454" i="1" s="1"/>
  <c r="CC454" i="1" s="1"/>
  <c r="CD454" i="1" s="1"/>
  <c r="CE454" i="1" s="1"/>
  <c r="CF454" i="1" s="1"/>
  <c r="CG454" i="1" s="1"/>
  <c r="CH454" i="1" s="1"/>
  <c r="CI454" i="1" s="1"/>
  <c r="BU446" i="1"/>
  <c r="BY446" i="1" s="1"/>
  <c r="BZ446" i="1" s="1"/>
  <c r="CA446" i="1" s="1"/>
  <c r="CB446" i="1" s="1"/>
  <c r="CC446" i="1" s="1"/>
  <c r="CD446" i="1" s="1"/>
  <c r="CE446" i="1" s="1"/>
  <c r="CF446" i="1" s="1"/>
  <c r="CG446" i="1" s="1"/>
  <c r="CH446" i="1" s="1"/>
  <c r="CI446" i="1" s="1"/>
  <c r="CJ446" i="1" s="1"/>
  <c r="BU457" i="1"/>
  <c r="BY457" i="1" s="1"/>
  <c r="BZ457" i="1" s="1"/>
  <c r="CA457" i="1" s="1"/>
  <c r="CB457" i="1" s="1"/>
  <c r="CC457" i="1" s="1"/>
  <c r="CD457" i="1" s="1"/>
  <c r="CE457" i="1" s="1"/>
  <c r="CF457" i="1" s="1"/>
  <c r="CG457" i="1" s="1"/>
  <c r="CH457" i="1" s="1"/>
  <c r="CI457" i="1" s="1"/>
  <c r="CJ457" i="1" s="1"/>
  <c r="BU459" i="1"/>
  <c r="BY459" i="1" s="1"/>
  <c r="BZ459" i="1" s="1"/>
  <c r="CA459" i="1" s="1"/>
  <c r="CB459" i="1" s="1"/>
  <c r="CC459" i="1" s="1"/>
  <c r="CD459" i="1" s="1"/>
  <c r="CE459" i="1" s="1"/>
  <c r="CF459" i="1" s="1"/>
  <c r="CG459" i="1" s="1"/>
  <c r="CH459" i="1" s="1"/>
  <c r="CI459" i="1" s="1"/>
  <c r="CJ459" i="1" s="1"/>
  <c r="BU55" i="1"/>
  <c r="BY55" i="1" s="1"/>
  <c r="BZ55" i="1" s="1"/>
  <c r="CA55" i="1" s="1"/>
  <c r="CB55" i="1" s="1"/>
  <c r="CC55" i="1" s="1"/>
  <c r="CD55" i="1" s="1"/>
  <c r="CE55" i="1" s="1"/>
  <c r="CF55" i="1" s="1"/>
  <c r="CG55" i="1" s="1"/>
  <c r="CH55" i="1" s="1"/>
  <c r="CI55" i="1" s="1"/>
  <c r="CJ55" i="1" s="1"/>
  <c r="BU281" i="1"/>
  <c r="BY281" i="1" s="1"/>
  <c r="BZ281" i="1" s="1"/>
  <c r="CA281" i="1" s="1"/>
  <c r="CB281" i="1" s="1"/>
  <c r="CC281" i="1" s="1"/>
  <c r="CD281" i="1" s="1"/>
  <c r="CE281" i="1" s="1"/>
  <c r="CF281" i="1" s="1"/>
  <c r="CG281" i="1" s="1"/>
  <c r="CH281" i="1" s="1"/>
  <c r="CI281" i="1" s="1"/>
  <c r="CJ281" i="1" s="1"/>
  <c r="BU447" i="1"/>
  <c r="BY447" i="1" s="1"/>
  <c r="BZ447" i="1" s="1"/>
  <c r="CA447" i="1" s="1"/>
  <c r="CB447" i="1" s="1"/>
  <c r="CC447" i="1" s="1"/>
  <c r="CD447" i="1" s="1"/>
  <c r="CE447" i="1" s="1"/>
  <c r="CF447" i="1" s="1"/>
  <c r="CG447" i="1" s="1"/>
  <c r="CH447" i="1" s="1"/>
  <c r="CI447" i="1" s="1"/>
  <c r="CJ447" i="1" s="1"/>
  <c r="BU466" i="1"/>
  <c r="BY466" i="1" s="1"/>
  <c r="BZ466" i="1" s="1"/>
  <c r="CA466" i="1" s="1"/>
  <c r="CB466" i="1" s="1"/>
  <c r="CC466" i="1" s="1"/>
  <c r="CD466" i="1" s="1"/>
  <c r="CE466" i="1" s="1"/>
  <c r="CF466" i="1" s="1"/>
  <c r="CG466" i="1" s="1"/>
  <c r="CH466" i="1" s="1"/>
  <c r="CI466" i="1" s="1"/>
  <c r="CJ466" i="1" s="1"/>
  <c r="BU148" i="1"/>
  <c r="BY148" i="1" s="1"/>
  <c r="BZ148" i="1" s="1"/>
  <c r="CA148" i="1" s="1"/>
  <c r="CB148" i="1" s="1"/>
  <c r="CC148" i="1" s="1"/>
  <c r="CD148" i="1" s="1"/>
  <c r="CE148" i="1" s="1"/>
  <c r="CF148" i="1" s="1"/>
  <c r="CG148" i="1" s="1"/>
  <c r="CH148" i="1" s="1"/>
  <c r="CI148" i="1" s="1"/>
  <c r="CJ148" i="1" s="1"/>
  <c r="BU391" i="1"/>
  <c r="BY391" i="1" s="1"/>
  <c r="BZ391" i="1" s="1"/>
  <c r="CA391" i="1" s="1"/>
  <c r="CB391" i="1" s="1"/>
  <c r="CC391" i="1" s="1"/>
  <c r="CD391" i="1" s="1"/>
  <c r="CE391" i="1" s="1"/>
  <c r="CF391" i="1" s="1"/>
  <c r="CG391" i="1" s="1"/>
  <c r="CH391" i="1" s="1"/>
  <c r="CI391" i="1" s="1"/>
  <c r="CJ391" i="1" s="1"/>
  <c r="BF187" i="1"/>
  <c r="BG187" i="1" s="1"/>
  <c r="BF370" i="1"/>
  <c r="BJ370" i="1" s="1"/>
  <c r="BF298" i="1"/>
  <c r="BJ298" i="1" s="1"/>
  <c r="BF517" i="1"/>
  <c r="BG517" i="1" s="1"/>
  <c r="BF186" i="1"/>
  <c r="BJ186" i="1" s="1"/>
  <c r="BF389" i="1"/>
  <c r="CZ389" i="1" s="1"/>
  <c r="BF185" i="1"/>
  <c r="BJ185" i="1" s="1"/>
  <c r="BV572" i="1"/>
  <c r="CZ325" i="1"/>
  <c r="BF305" i="1"/>
  <c r="BG305" i="1" s="1"/>
  <c r="BF366" i="1"/>
  <c r="BJ366" i="1" s="1"/>
  <c r="BF28" i="1"/>
  <c r="BJ28" i="1" s="1"/>
  <c r="BF576" i="1"/>
  <c r="BJ576" i="1" s="1"/>
  <c r="BF193" i="1"/>
  <c r="BJ193" i="1" s="1"/>
  <c r="BF184" i="1"/>
  <c r="BJ184" i="1" s="1"/>
  <c r="CK420" i="1"/>
  <c r="BF61" i="1"/>
  <c r="BJ61" i="1" s="1"/>
  <c r="BK61" i="1" s="1"/>
  <c r="BL61" i="1" s="1"/>
  <c r="BM61" i="1" s="1"/>
  <c r="BN61" i="1" s="1"/>
  <c r="BO61" i="1" s="1"/>
  <c r="BP61" i="1" s="1"/>
  <c r="BQ61" i="1" s="1"/>
  <c r="BR61" i="1" s="1"/>
  <c r="BS61" i="1" s="1"/>
  <c r="BT61" i="1" s="1"/>
  <c r="BV337" i="1"/>
  <c r="CZ38" i="1"/>
  <c r="AR423" i="1"/>
  <c r="AS423" i="1" s="1"/>
  <c r="BF242" i="1"/>
  <c r="BF284" i="1"/>
  <c r="BJ284" i="1" s="1"/>
  <c r="BF285" i="1"/>
  <c r="BG285" i="1" s="1"/>
  <c r="BF532" i="1"/>
  <c r="BJ532" i="1" s="1"/>
  <c r="BF501" i="1"/>
  <c r="BJ501" i="1" s="1"/>
  <c r="BF249" i="1"/>
  <c r="AR255" i="1"/>
  <c r="AS255" i="1" s="1"/>
  <c r="BG302" i="1"/>
  <c r="CK339" i="1"/>
  <c r="AU260" i="1"/>
  <c r="AU422" i="1"/>
  <c r="AU351" i="1"/>
  <c r="AP283" i="1"/>
  <c r="AU262" i="1"/>
  <c r="AP469" i="1"/>
  <c r="AP271" i="1"/>
  <c r="AP378" i="1"/>
  <c r="AP120" i="1"/>
  <c r="AP262" i="1"/>
  <c r="AU306" i="1"/>
  <c r="AP363" i="1"/>
  <c r="AP351" i="1"/>
  <c r="AU469" i="1"/>
  <c r="AU385" i="1"/>
  <c r="AP171" i="1"/>
  <c r="AU271" i="1"/>
  <c r="AP282" i="1"/>
  <c r="AP306" i="1"/>
  <c r="AP422" i="1"/>
  <c r="AP260" i="1"/>
  <c r="AP183" i="1"/>
  <c r="AR380" i="1"/>
  <c r="AS380" i="1" s="1"/>
  <c r="AR297" i="1"/>
  <c r="AS297" i="1" s="1"/>
  <c r="AR158" i="1"/>
  <c r="AS158" i="1" s="1"/>
  <c r="AR207" i="1"/>
  <c r="AS207" i="1" s="1"/>
  <c r="AU183" i="1"/>
  <c r="AU158" i="1"/>
  <c r="AP380" i="1"/>
  <c r="AU363" i="1"/>
  <c r="AU207" i="1"/>
  <c r="AP385" i="1"/>
  <c r="CK380" i="1"/>
  <c r="AP265" i="1"/>
  <c r="AU181" i="1"/>
  <c r="AU120" i="1"/>
  <c r="AU171" i="1"/>
  <c r="AU430" i="1"/>
  <c r="AP29" i="1"/>
  <c r="AP430" i="1"/>
  <c r="AP217" i="1"/>
  <c r="AR427" i="1"/>
  <c r="AS427" i="1" s="1"/>
  <c r="AR29" i="1"/>
  <c r="AS29" i="1" s="1"/>
  <c r="AR121" i="1"/>
  <c r="AS121" i="1" s="1"/>
  <c r="AR404" i="1"/>
  <c r="AS404" i="1" s="1"/>
  <c r="AO146" i="1"/>
  <c r="AU146" i="1" s="1"/>
  <c r="AR306" i="1"/>
  <c r="AS306" i="1" s="1"/>
  <c r="AR256" i="1"/>
  <c r="AS256" i="1" s="1"/>
  <c r="AR469" i="1"/>
  <c r="AS469" i="1" s="1"/>
  <c r="AS5" i="1"/>
  <c r="AR173" i="1"/>
  <c r="AS173" i="1" s="1"/>
  <c r="AR412" i="1"/>
  <c r="AS412" i="1" s="1"/>
  <c r="AR61" i="1"/>
  <c r="AS61" i="1" s="1"/>
  <c r="AR62" i="1"/>
  <c r="AS62" i="1" s="1"/>
  <c r="AR78" i="1"/>
  <c r="AS78" i="1" s="1"/>
  <c r="AR174" i="1"/>
  <c r="AS174" i="1" s="1"/>
  <c r="AR257" i="1"/>
  <c r="AS257" i="1" s="1"/>
  <c r="AR513" i="1"/>
  <c r="AS513" i="1" s="1"/>
  <c r="CO567" i="1"/>
  <c r="CP567" i="1" s="1"/>
  <c r="CQ567" i="1" s="1"/>
  <c r="CR567" i="1" s="1"/>
  <c r="CS567" i="1" s="1"/>
  <c r="CT567" i="1" s="1"/>
  <c r="CU567" i="1" s="1"/>
  <c r="CV567" i="1" s="1"/>
  <c r="CW567" i="1" s="1"/>
  <c r="CX567" i="1" s="1"/>
  <c r="CY567" i="1" s="1"/>
  <c r="CK570" i="1"/>
  <c r="CO570" i="1"/>
  <c r="CP570" i="1" s="1"/>
  <c r="CQ570" i="1" s="1"/>
  <c r="CR570" i="1" s="1"/>
  <c r="CS570" i="1" s="1"/>
  <c r="CT570" i="1" s="1"/>
  <c r="CU570" i="1" s="1"/>
  <c r="CV570" i="1" s="1"/>
  <c r="CW570" i="1" s="1"/>
  <c r="CX570" i="1" s="1"/>
  <c r="CY570" i="1" s="1"/>
  <c r="BK518" i="1"/>
  <c r="AC717" i="1"/>
  <c r="AC719" i="1"/>
  <c r="B7" i="8" s="1"/>
  <c r="I7" i="8" s="1"/>
  <c r="J7" i="8" s="1"/>
  <c r="AA712" i="1"/>
  <c r="AA725" i="1" s="1"/>
  <c r="AV73" i="1"/>
  <c r="AW73" i="1" s="1"/>
  <c r="AX73" i="1" s="1"/>
  <c r="AY73" i="1" s="1"/>
  <c r="AZ73" i="1" s="1"/>
  <c r="BA73" i="1" s="1"/>
  <c r="BB73" i="1" s="1"/>
  <c r="BC73" i="1" s="1"/>
  <c r="BD73" i="1" s="1"/>
  <c r="BE73" i="1" s="1"/>
  <c r="AV114" i="1"/>
  <c r="AW114" i="1" s="1"/>
  <c r="AX114" i="1" s="1"/>
  <c r="AY114" i="1" s="1"/>
  <c r="AZ114" i="1" s="1"/>
  <c r="BA114" i="1" s="1"/>
  <c r="BB114" i="1" s="1"/>
  <c r="BC114" i="1" s="1"/>
  <c r="BD114" i="1" s="1"/>
  <c r="BE114" i="1" s="1"/>
  <c r="AV297" i="1"/>
  <c r="AW297" i="1" s="1"/>
  <c r="AX297" i="1" s="1"/>
  <c r="AY297" i="1" s="1"/>
  <c r="AZ297" i="1" s="1"/>
  <c r="BA297" i="1" s="1"/>
  <c r="BB297" i="1" s="1"/>
  <c r="BC297" i="1" s="1"/>
  <c r="BD297" i="1" s="1"/>
  <c r="BE297" i="1" s="1"/>
  <c r="AV379" i="1"/>
  <c r="AW379" i="1" s="1"/>
  <c r="AX379" i="1" s="1"/>
  <c r="AY379" i="1" s="1"/>
  <c r="AZ379" i="1" s="1"/>
  <c r="BA379" i="1" s="1"/>
  <c r="BB379" i="1" s="1"/>
  <c r="BC379" i="1" s="1"/>
  <c r="BD379" i="1" s="1"/>
  <c r="BE379" i="1" s="1"/>
  <c r="AT503" i="1"/>
  <c r="BH602" i="4"/>
  <c r="AT118" i="1"/>
  <c r="BH1063" i="4"/>
  <c r="AV402" i="1"/>
  <c r="AW402" i="1" s="1"/>
  <c r="AX402" i="1" s="1"/>
  <c r="AY402" i="1" s="1"/>
  <c r="AZ402" i="1" s="1"/>
  <c r="BA402" i="1" s="1"/>
  <c r="BB402" i="1" s="1"/>
  <c r="BC402" i="1" s="1"/>
  <c r="BD402" i="1" s="1"/>
  <c r="BE402" i="1" s="1"/>
  <c r="AC712" i="1"/>
  <c r="AC725" i="1" s="1"/>
  <c r="AV486" i="1"/>
  <c r="AW486" i="1" s="1"/>
  <c r="AX486" i="1" s="1"/>
  <c r="AY486" i="1" s="1"/>
  <c r="AZ486" i="1" s="1"/>
  <c r="BA486" i="1" s="1"/>
  <c r="BB486" i="1" s="1"/>
  <c r="BC486" i="1" s="1"/>
  <c r="BD486" i="1" s="1"/>
  <c r="BE486" i="1" s="1"/>
  <c r="N712" i="1"/>
  <c r="N725" i="1" s="1"/>
  <c r="AV270" i="1"/>
  <c r="AW270" i="1" s="1"/>
  <c r="AX270" i="1" s="1"/>
  <c r="AY270" i="1" s="1"/>
  <c r="AZ270" i="1" s="1"/>
  <c r="BA270" i="1" s="1"/>
  <c r="BB270" i="1" s="1"/>
  <c r="BC270" i="1" s="1"/>
  <c r="BD270" i="1" s="1"/>
  <c r="BE270" i="1" s="1"/>
  <c r="BH521" i="4"/>
  <c r="BH537" i="4"/>
  <c r="AV42" i="1"/>
  <c r="AW42" i="1" s="1"/>
  <c r="AX42" i="1" s="1"/>
  <c r="AY42" i="1" s="1"/>
  <c r="AZ42" i="1" s="1"/>
  <c r="BA42" i="1" s="1"/>
  <c r="BB42" i="1" s="1"/>
  <c r="BC42" i="1" s="1"/>
  <c r="BD42" i="1" s="1"/>
  <c r="BE42" i="1" s="1"/>
  <c r="CZ45" i="1" l="1"/>
  <c r="CN459" i="1"/>
  <c r="CO459" i="1" s="1"/>
  <c r="CP459" i="1" s="1"/>
  <c r="CQ459" i="1" s="1"/>
  <c r="CR459" i="1" s="1"/>
  <c r="CS459" i="1" s="1"/>
  <c r="CT459" i="1" s="1"/>
  <c r="CU459" i="1" s="1"/>
  <c r="CV459" i="1" s="1"/>
  <c r="CW459" i="1" s="1"/>
  <c r="CX459" i="1" s="1"/>
  <c r="CY459" i="1" s="1"/>
  <c r="CN55" i="1"/>
  <c r="CO55" i="1" s="1"/>
  <c r="CP55" i="1" s="1"/>
  <c r="CQ55" i="1" s="1"/>
  <c r="CR55" i="1" s="1"/>
  <c r="CS55" i="1" s="1"/>
  <c r="CT55" i="1" s="1"/>
  <c r="CU55" i="1" s="1"/>
  <c r="CV55" i="1" s="1"/>
  <c r="CW55" i="1" s="1"/>
  <c r="CX55" i="1" s="1"/>
  <c r="CY55" i="1" s="1"/>
  <c r="CN292" i="1"/>
  <c r="CO292" i="1" s="1"/>
  <c r="CP292" i="1" s="1"/>
  <c r="CQ292" i="1" s="1"/>
  <c r="CR292" i="1" s="1"/>
  <c r="CS292" i="1" s="1"/>
  <c r="CT292" i="1" s="1"/>
  <c r="CU292" i="1" s="1"/>
  <c r="CV292" i="1" s="1"/>
  <c r="CW292" i="1" s="1"/>
  <c r="CX292" i="1" s="1"/>
  <c r="CY292" i="1" s="1"/>
  <c r="CN463" i="1"/>
  <c r="CO463" i="1" s="1"/>
  <c r="CP463" i="1" s="1"/>
  <c r="CQ463" i="1" s="1"/>
  <c r="CR463" i="1" s="1"/>
  <c r="CS463" i="1" s="1"/>
  <c r="CT463" i="1" s="1"/>
  <c r="CU463" i="1" s="1"/>
  <c r="CV463" i="1" s="1"/>
  <c r="CW463" i="1" s="1"/>
  <c r="CX463" i="1" s="1"/>
  <c r="CY463" i="1" s="1"/>
  <c r="CN434" i="1"/>
  <c r="CO434" i="1" s="1"/>
  <c r="CP434" i="1" s="1"/>
  <c r="CQ434" i="1" s="1"/>
  <c r="CR434" i="1" s="1"/>
  <c r="CS434" i="1" s="1"/>
  <c r="CT434" i="1" s="1"/>
  <c r="CU434" i="1" s="1"/>
  <c r="CV434" i="1" s="1"/>
  <c r="CW434" i="1" s="1"/>
  <c r="CX434" i="1" s="1"/>
  <c r="CY434" i="1" s="1"/>
  <c r="CN8" i="1"/>
  <c r="CO8" i="1" s="1"/>
  <c r="CP8" i="1" s="1"/>
  <c r="CQ8" i="1" s="1"/>
  <c r="CR8" i="1" s="1"/>
  <c r="CS8" i="1" s="1"/>
  <c r="CT8" i="1" s="1"/>
  <c r="CN460" i="1"/>
  <c r="CO460" i="1" s="1"/>
  <c r="CP460" i="1" s="1"/>
  <c r="CQ460" i="1" s="1"/>
  <c r="CR460" i="1" s="1"/>
  <c r="CS460" i="1" s="1"/>
  <c r="CT460" i="1" s="1"/>
  <c r="CU460" i="1" s="1"/>
  <c r="CV460" i="1" s="1"/>
  <c r="CW460" i="1" s="1"/>
  <c r="CX460" i="1" s="1"/>
  <c r="CY460" i="1" s="1"/>
  <c r="CN451" i="1"/>
  <c r="CO451" i="1" s="1"/>
  <c r="CP451" i="1" s="1"/>
  <c r="CQ451" i="1" s="1"/>
  <c r="CR451" i="1" s="1"/>
  <c r="CS451" i="1" s="1"/>
  <c r="CT451" i="1" s="1"/>
  <c r="CU451" i="1" s="1"/>
  <c r="CV451" i="1" s="1"/>
  <c r="CW451" i="1" s="1"/>
  <c r="CX451" i="1" s="1"/>
  <c r="CY451" i="1" s="1"/>
  <c r="CN6" i="1"/>
  <c r="CO6" i="1" s="1"/>
  <c r="CP6" i="1" s="1"/>
  <c r="CQ6" i="1" s="1"/>
  <c r="CR6" i="1" s="1"/>
  <c r="CS6" i="1" s="1"/>
  <c r="CT6" i="1" s="1"/>
  <c r="CU6" i="1" s="1"/>
  <c r="CV6" i="1" s="1"/>
  <c r="CW6" i="1" s="1"/>
  <c r="CX6" i="1" s="1"/>
  <c r="CY6" i="1" s="1"/>
  <c r="CN167" i="1"/>
  <c r="CO167" i="1" s="1"/>
  <c r="CP167" i="1" s="1"/>
  <c r="CQ167" i="1" s="1"/>
  <c r="CR167" i="1" s="1"/>
  <c r="CS167" i="1" s="1"/>
  <c r="CT167" i="1" s="1"/>
  <c r="CU167" i="1" s="1"/>
  <c r="CV167" i="1" s="1"/>
  <c r="CW167" i="1" s="1"/>
  <c r="CX167" i="1" s="1"/>
  <c r="CY167" i="1" s="1"/>
  <c r="CN465" i="1"/>
  <c r="CO465" i="1" s="1"/>
  <c r="CP465" i="1" s="1"/>
  <c r="CQ465" i="1" s="1"/>
  <c r="CR465" i="1" s="1"/>
  <c r="CS465" i="1" s="1"/>
  <c r="CT465" i="1" s="1"/>
  <c r="CU465" i="1" s="1"/>
  <c r="CV465" i="1" s="1"/>
  <c r="CW465" i="1" s="1"/>
  <c r="CX465" i="1" s="1"/>
  <c r="CY465" i="1" s="1"/>
  <c r="CN442" i="1"/>
  <c r="CO442" i="1" s="1"/>
  <c r="CP442" i="1" s="1"/>
  <c r="CQ442" i="1" s="1"/>
  <c r="CR442" i="1" s="1"/>
  <c r="CS442" i="1" s="1"/>
  <c r="CT442" i="1" s="1"/>
  <c r="CU442" i="1" s="1"/>
  <c r="CV442" i="1" s="1"/>
  <c r="CW442" i="1" s="1"/>
  <c r="CN51" i="1"/>
  <c r="CO51" i="1" s="1"/>
  <c r="CP51" i="1" s="1"/>
  <c r="CQ51" i="1" s="1"/>
  <c r="CR51" i="1" s="1"/>
  <c r="CS51" i="1" s="1"/>
  <c r="CN478" i="1"/>
  <c r="CO478" i="1" s="1"/>
  <c r="CP478" i="1" s="1"/>
  <c r="CQ478" i="1" s="1"/>
  <c r="CR478" i="1" s="1"/>
  <c r="CS478" i="1" s="1"/>
  <c r="CN445" i="1"/>
  <c r="CO445" i="1" s="1"/>
  <c r="CP445" i="1" s="1"/>
  <c r="CQ445" i="1" s="1"/>
  <c r="CR445" i="1" s="1"/>
  <c r="CS445" i="1" s="1"/>
  <c r="CN102" i="1"/>
  <c r="CO102" i="1" s="1"/>
  <c r="CP102" i="1" s="1"/>
  <c r="CQ102" i="1" s="1"/>
  <c r="CR102" i="1" s="1"/>
  <c r="CS102" i="1" s="1"/>
  <c r="CT102" i="1" s="1"/>
  <c r="CN358" i="1"/>
  <c r="CO358" i="1" s="1"/>
  <c r="CP358" i="1" s="1"/>
  <c r="CQ358" i="1" s="1"/>
  <c r="CR358" i="1" s="1"/>
  <c r="CS358" i="1" s="1"/>
  <c r="CT358" i="1" s="1"/>
  <c r="CU358" i="1" s="1"/>
  <c r="CV358" i="1" s="1"/>
  <c r="CW358" i="1" s="1"/>
  <c r="CX358" i="1" s="1"/>
  <c r="CY358" i="1" s="1"/>
  <c r="CN462" i="1"/>
  <c r="CO462" i="1" s="1"/>
  <c r="CP462" i="1" s="1"/>
  <c r="CQ462" i="1" s="1"/>
  <c r="CR462" i="1" s="1"/>
  <c r="CS462" i="1" s="1"/>
  <c r="CT462" i="1" s="1"/>
  <c r="CU462" i="1" s="1"/>
  <c r="CV462" i="1" s="1"/>
  <c r="CW462" i="1" s="1"/>
  <c r="CX462" i="1" s="1"/>
  <c r="CY462" i="1" s="1"/>
  <c r="CN433" i="1"/>
  <c r="CO433" i="1" s="1"/>
  <c r="CP433" i="1" s="1"/>
  <c r="CQ433" i="1" s="1"/>
  <c r="CR433" i="1" s="1"/>
  <c r="CS433" i="1" s="1"/>
  <c r="CT433" i="1" s="1"/>
  <c r="CU433" i="1" s="1"/>
  <c r="CV433" i="1" s="1"/>
  <c r="CW433" i="1" s="1"/>
  <c r="CX433" i="1" s="1"/>
  <c r="CY433" i="1" s="1"/>
  <c r="CN153" i="1"/>
  <c r="CO153" i="1" s="1"/>
  <c r="CP153" i="1" s="1"/>
  <c r="CQ153" i="1" s="1"/>
  <c r="CR153" i="1" s="1"/>
  <c r="CS153" i="1" s="1"/>
  <c r="CT153" i="1" s="1"/>
  <c r="CU153" i="1" s="1"/>
  <c r="CV153" i="1" s="1"/>
  <c r="CW153" i="1" s="1"/>
  <c r="CX153" i="1" s="1"/>
  <c r="CY153" i="1" s="1"/>
  <c r="CN37" i="1"/>
  <c r="CO37" i="1" s="1"/>
  <c r="CP37" i="1" s="1"/>
  <c r="CQ37" i="1" s="1"/>
  <c r="CR37" i="1" s="1"/>
  <c r="CS37" i="1" s="1"/>
  <c r="CT37" i="1" s="1"/>
  <c r="CU37" i="1" s="1"/>
  <c r="CV37" i="1" s="1"/>
  <c r="CW37" i="1" s="1"/>
  <c r="CX37" i="1" s="1"/>
  <c r="CY37" i="1" s="1"/>
  <c r="CN466" i="1"/>
  <c r="CO466" i="1" s="1"/>
  <c r="CP466" i="1" s="1"/>
  <c r="CQ466" i="1" s="1"/>
  <c r="CR466" i="1" s="1"/>
  <c r="CS466" i="1" s="1"/>
  <c r="CT466" i="1" s="1"/>
  <c r="CU466" i="1" s="1"/>
  <c r="CV466" i="1" s="1"/>
  <c r="CW466" i="1" s="1"/>
  <c r="CX466" i="1" s="1"/>
  <c r="CY466" i="1" s="1"/>
  <c r="CN324" i="1"/>
  <c r="CO324" i="1" s="1"/>
  <c r="CP324" i="1" s="1"/>
  <c r="CQ324" i="1" s="1"/>
  <c r="CR324" i="1" s="1"/>
  <c r="CS324" i="1" s="1"/>
  <c r="CT324" i="1" s="1"/>
  <c r="CU324" i="1" s="1"/>
  <c r="CV324" i="1" s="1"/>
  <c r="CW324" i="1" s="1"/>
  <c r="CX324" i="1" s="1"/>
  <c r="CY324" i="1" s="1"/>
  <c r="CN53" i="1"/>
  <c r="CO53" i="1" s="1"/>
  <c r="CP53" i="1" s="1"/>
  <c r="CN316" i="1"/>
  <c r="CO316" i="1" s="1"/>
  <c r="CP316" i="1" s="1"/>
  <c r="CQ316" i="1" s="1"/>
  <c r="CR316" i="1" s="1"/>
  <c r="CS316" i="1" s="1"/>
  <c r="CT316" i="1" s="1"/>
  <c r="CU316" i="1" s="1"/>
  <c r="CV316" i="1" s="1"/>
  <c r="CW316" i="1" s="1"/>
  <c r="CX316" i="1" s="1"/>
  <c r="CY316" i="1" s="1"/>
  <c r="CN89" i="1"/>
  <c r="CO89" i="1" s="1"/>
  <c r="CP89" i="1" s="1"/>
  <c r="CQ89" i="1" s="1"/>
  <c r="CR89" i="1" s="1"/>
  <c r="CS89" i="1" s="1"/>
  <c r="CT89" i="1" s="1"/>
  <c r="CU89" i="1" s="1"/>
  <c r="CV89" i="1" s="1"/>
  <c r="CW89" i="1" s="1"/>
  <c r="CX89" i="1" s="1"/>
  <c r="CY89" i="1" s="1"/>
  <c r="CN107" i="1"/>
  <c r="CO107" i="1" s="1"/>
  <c r="CP107" i="1" s="1"/>
  <c r="CQ107" i="1" s="1"/>
  <c r="CR107" i="1" s="1"/>
  <c r="CS107" i="1" s="1"/>
  <c r="CT107" i="1" s="1"/>
  <c r="CU107" i="1" s="1"/>
  <c r="CV107" i="1" s="1"/>
  <c r="CW107" i="1" s="1"/>
  <c r="CX107" i="1" s="1"/>
  <c r="CY107" i="1" s="1"/>
  <c r="CN5" i="1"/>
  <c r="CO5" i="1" s="1"/>
  <c r="CP5" i="1" s="1"/>
  <c r="CQ5" i="1" s="1"/>
  <c r="CR5" i="1" s="1"/>
  <c r="CS5" i="1" s="1"/>
  <c r="CT5" i="1" s="1"/>
  <c r="CU5" i="1" s="1"/>
  <c r="CV5" i="1" s="1"/>
  <c r="CW5" i="1" s="1"/>
  <c r="CX5" i="1" s="1"/>
  <c r="CY5" i="1" s="1"/>
  <c r="CN7" i="1"/>
  <c r="CO7" i="1" s="1"/>
  <c r="CP7" i="1" s="1"/>
  <c r="CQ7" i="1" s="1"/>
  <c r="CR7" i="1" s="1"/>
  <c r="CS7" i="1" s="1"/>
  <c r="CT7" i="1" s="1"/>
  <c r="CU7" i="1" s="1"/>
  <c r="CV7" i="1" s="1"/>
  <c r="CW7" i="1" s="1"/>
  <c r="CX7" i="1" s="1"/>
  <c r="CY7" i="1" s="1"/>
  <c r="CN311" i="1"/>
  <c r="CO311" i="1" s="1"/>
  <c r="CP311" i="1" s="1"/>
  <c r="CQ311" i="1" s="1"/>
  <c r="CR311" i="1" s="1"/>
  <c r="CS311" i="1" s="1"/>
  <c r="CT311" i="1" s="1"/>
  <c r="CU311" i="1" s="1"/>
  <c r="CV311" i="1" s="1"/>
  <c r="CW311" i="1" s="1"/>
  <c r="CX311" i="1" s="1"/>
  <c r="CY311" i="1" s="1"/>
  <c r="CN317" i="1"/>
  <c r="CO317" i="1" s="1"/>
  <c r="CP317" i="1" s="1"/>
  <c r="CQ317" i="1" s="1"/>
  <c r="CR317" i="1" s="1"/>
  <c r="CS317" i="1" s="1"/>
  <c r="CT317" i="1" s="1"/>
  <c r="CU317" i="1" s="1"/>
  <c r="CV317" i="1" s="1"/>
  <c r="CW317" i="1" s="1"/>
  <c r="CX317" i="1" s="1"/>
  <c r="CY317" i="1" s="1"/>
  <c r="CN391" i="1"/>
  <c r="CO391" i="1" s="1"/>
  <c r="CP391" i="1" s="1"/>
  <c r="CQ391" i="1" s="1"/>
  <c r="CR391" i="1" s="1"/>
  <c r="CS391" i="1" s="1"/>
  <c r="CT391" i="1" s="1"/>
  <c r="CU391" i="1" s="1"/>
  <c r="CV391" i="1" s="1"/>
  <c r="CW391" i="1" s="1"/>
  <c r="CX391" i="1" s="1"/>
  <c r="CY391" i="1" s="1"/>
  <c r="CN350" i="1"/>
  <c r="CO350" i="1" s="1"/>
  <c r="CP350" i="1" s="1"/>
  <c r="CQ350" i="1" s="1"/>
  <c r="CR350" i="1" s="1"/>
  <c r="CS350" i="1" s="1"/>
  <c r="CT350" i="1" s="1"/>
  <c r="CU350" i="1" s="1"/>
  <c r="CV350" i="1" s="1"/>
  <c r="CW350" i="1" s="1"/>
  <c r="CX350" i="1" s="1"/>
  <c r="CY350" i="1" s="1"/>
  <c r="CN310" i="1"/>
  <c r="CO310" i="1" s="1"/>
  <c r="CP310" i="1" s="1"/>
  <c r="CQ310" i="1" s="1"/>
  <c r="CR310" i="1" s="1"/>
  <c r="CS310" i="1" s="1"/>
  <c r="CT310" i="1" s="1"/>
  <c r="CU310" i="1" s="1"/>
  <c r="CV310" i="1" s="1"/>
  <c r="CW310" i="1" s="1"/>
  <c r="CX310" i="1" s="1"/>
  <c r="CY310" i="1" s="1"/>
  <c r="CN479" i="1"/>
  <c r="CO479" i="1" s="1"/>
  <c r="CP479" i="1" s="1"/>
  <c r="CQ479" i="1" s="1"/>
  <c r="CR479" i="1" s="1"/>
  <c r="CS479" i="1" s="1"/>
  <c r="CT479" i="1" s="1"/>
  <c r="CU479" i="1" s="1"/>
  <c r="CV479" i="1" s="1"/>
  <c r="CW479" i="1" s="1"/>
  <c r="CX479" i="1" s="1"/>
  <c r="CY479" i="1" s="1"/>
  <c r="CN457" i="1"/>
  <c r="CO457" i="1" s="1"/>
  <c r="CP457" i="1" s="1"/>
  <c r="CQ457" i="1" s="1"/>
  <c r="CR457" i="1" s="1"/>
  <c r="CS457" i="1" s="1"/>
  <c r="CT457" i="1" s="1"/>
  <c r="CU457" i="1" s="1"/>
  <c r="CV457" i="1" s="1"/>
  <c r="CW457" i="1" s="1"/>
  <c r="CX457" i="1" s="1"/>
  <c r="CY457" i="1" s="1"/>
  <c r="CN16" i="1"/>
  <c r="CO16" i="1" s="1"/>
  <c r="CP16" i="1" s="1"/>
  <c r="CQ16" i="1" s="1"/>
  <c r="CR16" i="1" s="1"/>
  <c r="CS16" i="1" s="1"/>
  <c r="CN60" i="1"/>
  <c r="CO60" i="1" s="1"/>
  <c r="CP60" i="1" s="1"/>
  <c r="CQ60" i="1" s="1"/>
  <c r="CR60" i="1" s="1"/>
  <c r="CS60" i="1" s="1"/>
  <c r="CT60" i="1" s="1"/>
  <c r="CU60" i="1" s="1"/>
  <c r="CV60" i="1" s="1"/>
  <c r="CW60" i="1" s="1"/>
  <c r="CX60" i="1" s="1"/>
  <c r="CY60" i="1" s="1"/>
  <c r="CN122" i="1"/>
  <c r="CO122" i="1" s="1"/>
  <c r="CP122" i="1" s="1"/>
  <c r="CQ122" i="1" s="1"/>
  <c r="CR122" i="1" s="1"/>
  <c r="CS122" i="1" s="1"/>
  <c r="CT122" i="1" s="1"/>
  <c r="CU122" i="1" s="1"/>
  <c r="CV122" i="1" s="1"/>
  <c r="CW122" i="1" s="1"/>
  <c r="CX122" i="1" s="1"/>
  <c r="CY122" i="1" s="1"/>
  <c r="CN446" i="1"/>
  <c r="CO446" i="1" s="1"/>
  <c r="CP446" i="1" s="1"/>
  <c r="CQ446" i="1" s="1"/>
  <c r="CR446" i="1" s="1"/>
  <c r="CS446" i="1" s="1"/>
  <c r="CN452" i="1"/>
  <c r="CO452" i="1" s="1"/>
  <c r="CP452" i="1" s="1"/>
  <c r="CQ452" i="1" s="1"/>
  <c r="CR452" i="1" s="1"/>
  <c r="CS452" i="1" s="1"/>
  <c r="CT452" i="1" s="1"/>
  <c r="CU452" i="1" s="1"/>
  <c r="CV452" i="1" s="1"/>
  <c r="CW452" i="1" s="1"/>
  <c r="CX452" i="1" s="1"/>
  <c r="CY452" i="1" s="1"/>
  <c r="CN480" i="1"/>
  <c r="CO480" i="1" s="1"/>
  <c r="CP480" i="1" s="1"/>
  <c r="CQ480" i="1" s="1"/>
  <c r="CR480" i="1" s="1"/>
  <c r="CS480" i="1" s="1"/>
  <c r="CT480" i="1" s="1"/>
  <c r="CU480" i="1" s="1"/>
  <c r="CV480" i="1" s="1"/>
  <c r="CW480" i="1" s="1"/>
  <c r="CX480" i="1" s="1"/>
  <c r="CY480" i="1" s="1"/>
  <c r="CN477" i="1"/>
  <c r="CO477" i="1" s="1"/>
  <c r="CP477" i="1" s="1"/>
  <c r="CQ477" i="1" s="1"/>
  <c r="CR477" i="1" s="1"/>
  <c r="CS477" i="1" s="1"/>
  <c r="CT477" i="1" s="1"/>
  <c r="CN461" i="1"/>
  <c r="CO461" i="1" s="1"/>
  <c r="CP461" i="1" s="1"/>
  <c r="CQ461" i="1" s="1"/>
  <c r="CR461" i="1" s="1"/>
  <c r="CS461" i="1" s="1"/>
  <c r="CT461" i="1" s="1"/>
  <c r="CU461" i="1" s="1"/>
  <c r="CV461" i="1" s="1"/>
  <c r="CW461" i="1" s="1"/>
  <c r="CX461" i="1" s="1"/>
  <c r="CY461" i="1" s="1"/>
  <c r="CN365" i="1"/>
  <c r="CO365" i="1" s="1"/>
  <c r="CP365" i="1" s="1"/>
  <c r="CQ365" i="1" s="1"/>
  <c r="CR365" i="1" s="1"/>
  <c r="CS365" i="1" s="1"/>
  <c r="CT365" i="1" s="1"/>
  <c r="CU365" i="1" s="1"/>
  <c r="CV365" i="1" s="1"/>
  <c r="CW365" i="1" s="1"/>
  <c r="CX365" i="1" s="1"/>
  <c r="CY365" i="1" s="1"/>
  <c r="CN221" i="1"/>
  <c r="CO221" i="1" s="1"/>
  <c r="CP221" i="1" s="1"/>
  <c r="CQ221" i="1" s="1"/>
  <c r="CR221" i="1" s="1"/>
  <c r="CS221" i="1" s="1"/>
  <c r="CT221" i="1" s="1"/>
  <c r="CU221" i="1" s="1"/>
  <c r="CV221" i="1" s="1"/>
  <c r="CW221" i="1" s="1"/>
  <c r="CX221" i="1" s="1"/>
  <c r="CY221" i="1" s="1"/>
  <c r="CN315" i="1"/>
  <c r="CO315" i="1" s="1"/>
  <c r="CP315" i="1" s="1"/>
  <c r="CQ315" i="1" s="1"/>
  <c r="CR315" i="1" s="1"/>
  <c r="CS315" i="1" s="1"/>
  <c r="CT315" i="1" s="1"/>
  <c r="CU315" i="1" s="1"/>
  <c r="CV315" i="1" s="1"/>
  <c r="CW315" i="1" s="1"/>
  <c r="CX315" i="1" s="1"/>
  <c r="CY315" i="1" s="1"/>
  <c r="CN232" i="1"/>
  <c r="CO232" i="1" s="1"/>
  <c r="CP232" i="1" s="1"/>
  <c r="CQ232" i="1" s="1"/>
  <c r="CR232" i="1" s="1"/>
  <c r="CS232" i="1" s="1"/>
  <c r="CT232" i="1" s="1"/>
  <c r="CU232" i="1" s="1"/>
  <c r="CV232" i="1" s="1"/>
  <c r="CW232" i="1" s="1"/>
  <c r="CX232" i="1" s="1"/>
  <c r="CY232" i="1" s="1"/>
  <c r="CN103" i="1"/>
  <c r="CO103" i="1" s="1"/>
  <c r="CP103" i="1" s="1"/>
  <c r="CQ103" i="1" s="1"/>
  <c r="CR103" i="1" s="1"/>
  <c r="CS103" i="1" s="1"/>
  <c r="CT103" i="1" s="1"/>
  <c r="CU103" i="1" s="1"/>
  <c r="CV103" i="1" s="1"/>
  <c r="CW103" i="1" s="1"/>
  <c r="CX103" i="1" s="1"/>
  <c r="CY103" i="1" s="1"/>
  <c r="CN98" i="1"/>
  <c r="CO98" i="1" s="1"/>
  <c r="CP98" i="1" s="1"/>
  <c r="CQ98" i="1" s="1"/>
  <c r="CR98" i="1" s="1"/>
  <c r="CS98" i="1" s="1"/>
  <c r="CT98" i="1" s="1"/>
  <c r="CU98" i="1" s="1"/>
  <c r="CV98" i="1" s="1"/>
  <c r="CW98" i="1" s="1"/>
  <c r="CX98" i="1" s="1"/>
  <c r="CY98" i="1" s="1"/>
  <c r="CN148" i="1"/>
  <c r="CO148" i="1" s="1"/>
  <c r="CP148" i="1" s="1"/>
  <c r="CQ148" i="1" s="1"/>
  <c r="CR148" i="1" s="1"/>
  <c r="CS148" i="1" s="1"/>
  <c r="CT148" i="1" s="1"/>
  <c r="CU148" i="1" s="1"/>
  <c r="CV148" i="1" s="1"/>
  <c r="CW148" i="1" s="1"/>
  <c r="CX148" i="1" s="1"/>
  <c r="CY148" i="1" s="1"/>
  <c r="CN432" i="1"/>
  <c r="CO432" i="1" s="1"/>
  <c r="CP432" i="1" s="1"/>
  <c r="CQ432" i="1" s="1"/>
  <c r="CR432" i="1" s="1"/>
  <c r="CS432" i="1" s="1"/>
  <c r="CT432" i="1" s="1"/>
  <c r="CU432" i="1" s="1"/>
  <c r="CV432" i="1" s="1"/>
  <c r="CW432" i="1" s="1"/>
  <c r="CX432" i="1" s="1"/>
  <c r="CY432" i="1" s="1"/>
  <c r="CN349" i="1"/>
  <c r="CO349" i="1" s="1"/>
  <c r="CP349" i="1" s="1"/>
  <c r="CQ349" i="1" s="1"/>
  <c r="CR349" i="1" s="1"/>
  <c r="CS349" i="1" s="1"/>
  <c r="CT349" i="1" s="1"/>
  <c r="CU349" i="1" s="1"/>
  <c r="CV349" i="1" s="1"/>
  <c r="CW349" i="1" s="1"/>
  <c r="CX349" i="1" s="1"/>
  <c r="CY349" i="1" s="1"/>
  <c r="CN447" i="1"/>
  <c r="CO447" i="1" s="1"/>
  <c r="CP447" i="1" s="1"/>
  <c r="CQ447" i="1" s="1"/>
  <c r="CR447" i="1" s="1"/>
  <c r="CS447" i="1" s="1"/>
  <c r="CN357" i="1"/>
  <c r="CO357" i="1" s="1"/>
  <c r="CP357" i="1" s="1"/>
  <c r="CQ357" i="1" s="1"/>
  <c r="CR357" i="1" s="1"/>
  <c r="CS357" i="1" s="1"/>
  <c r="CT357" i="1" s="1"/>
  <c r="CU357" i="1" s="1"/>
  <c r="CV357" i="1" s="1"/>
  <c r="CW357" i="1" s="1"/>
  <c r="CX357" i="1" s="1"/>
  <c r="CY357" i="1" s="1"/>
  <c r="CN309" i="1"/>
  <c r="CO309" i="1" s="1"/>
  <c r="CP309" i="1" s="1"/>
  <c r="CQ309" i="1" s="1"/>
  <c r="CR309" i="1" s="1"/>
  <c r="CS309" i="1" s="1"/>
  <c r="CT309" i="1" s="1"/>
  <c r="CU309" i="1" s="1"/>
  <c r="CV309" i="1" s="1"/>
  <c r="CW309" i="1" s="1"/>
  <c r="CX309" i="1" s="1"/>
  <c r="CY309" i="1" s="1"/>
  <c r="CN481" i="1"/>
  <c r="CO481" i="1" s="1"/>
  <c r="CP481" i="1" s="1"/>
  <c r="CQ481" i="1" s="1"/>
  <c r="CR481" i="1" s="1"/>
  <c r="CS481" i="1" s="1"/>
  <c r="CT481" i="1" s="1"/>
  <c r="CU481" i="1" s="1"/>
  <c r="CV481" i="1" s="1"/>
  <c r="CW481" i="1" s="1"/>
  <c r="CX481" i="1" s="1"/>
  <c r="CY481" i="1" s="1"/>
  <c r="CN348" i="1"/>
  <c r="CO348" i="1" s="1"/>
  <c r="CP348" i="1" s="1"/>
  <c r="CQ348" i="1" s="1"/>
  <c r="CR348" i="1" s="1"/>
  <c r="CS348" i="1" s="1"/>
  <c r="CT348" i="1" s="1"/>
  <c r="CU348" i="1" s="1"/>
  <c r="CV348" i="1" s="1"/>
  <c r="CW348" i="1" s="1"/>
  <c r="CX348" i="1" s="1"/>
  <c r="CY348" i="1" s="1"/>
  <c r="CN35" i="1"/>
  <c r="CO35" i="1" s="1"/>
  <c r="CP35" i="1" s="1"/>
  <c r="CQ35" i="1" s="1"/>
  <c r="CR35" i="1" s="1"/>
  <c r="CS35" i="1" s="1"/>
  <c r="CT35" i="1" s="1"/>
  <c r="CU35" i="1" s="1"/>
  <c r="CV35" i="1" s="1"/>
  <c r="CW35" i="1" s="1"/>
  <c r="CX35" i="1" s="1"/>
  <c r="CY35" i="1" s="1"/>
  <c r="CN397" i="1"/>
  <c r="CO397" i="1" s="1"/>
  <c r="CP397" i="1" s="1"/>
  <c r="CQ397" i="1" s="1"/>
  <c r="CR397" i="1" s="1"/>
  <c r="CS397" i="1" s="1"/>
  <c r="CT397" i="1" s="1"/>
  <c r="CU397" i="1" s="1"/>
  <c r="CV397" i="1" s="1"/>
  <c r="CW397" i="1" s="1"/>
  <c r="CX397" i="1" s="1"/>
  <c r="CY397" i="1" s="1"/>
  <c r="CN281" i="1"/>
  <c r="CO281" i="1" s="1"/>
  <c r="CP281" i="1" s="1"/>
  <c r="CQ281" i="1" s="1"/>
  <c r="CR281" i="1" s="1"/>
  <c r="CN116" i="1"/>
  <c r="CO116" i="1" s="1"/>
  <c r="CP116" i="1" s="1"/>
  <c r="CQ116" i="1" s="1"/>
  <c r="CR116" i="1" s="1"/>
  <c r="CS116" i="1" s="1"/>
  <c r="CT116" i="1" s="1"/>
  <c r="CU116" i="1" s="1"/>
  <c r="CV116" i="1" s="1"/>
  <c r="CW116" i="1" s="1"/>
  <c r="CX116" i="1" s="1"/>
  <c r="CY116" i="1" s="1"/>
  <c r="CN456" i="1"/>
  <c r="CO456" i="1" s="1"/>
  <c r="CP456" i="1" s="1"/>
  <c r="CQ456" i="1" s="1"/>
  <c r="CR456" i="1" s="1"/>
  <c r="CS456" i="1" s="1"/>
  <c r="CT456" i="1" s="1"/>
  <c r="CU456" i="1" s="1"/>
  <c r="CV456" i="1" s="1"/>
  <c r="CW456" i="1" s="1"/>
  <c r="CX456" i="1" s="1"/>
  <c r="CY456" i="1" s="1"/>
  <c r="CN488" i="1"/>
  <c r="CO488" i="1" s="1"/>
  <c r="CP488" i="1" s="1"/>
  <c r="CQ488" i="1" s="1"/>
  <c r="CR488" i="1" s="1"/>
  <c r="CS488" i="1" s="1"/>
  <c r="CT488" i="1" s="1"/>
  <c r="CU488" i="1" s="1"/>
  <c r="CV488" i="1" s="1"/>
  <c r="CW488" i="1" s="1"/>
  <c r="CX488" i="1" s="1"/>
  <c r="CY488" i="1" s="1"/>
  <c r="CN322" i="1"/>
  <c r="CO322" i="1" s="1"/>
  <c r="CP322" i="1" s="1"/>
  <c r="CQ322" i="1" s="1"/>
  <c r="CR322" i="1" s="1"/>
  <c r="CS322" i="1" s="1"/>
  <c r="CT322" i="1" s="1"/>
  <c r="CU322" i="1" s="1"/>
  <c r="CV322" i="1" s="1"/>
  <c r="CW322" i="1" s="1"/>
  <c r="CX322" i="1" s="1"/>
  <c r="CY322" i="1" s="1"/>
  <c r="CN96" i="1"/>
  <c r="CO96" i="1" s="1"/>
  <c r="CP96" i="1" s="1"/>
  <c r="CQ96" i="1" s="1"/>
  <c r="CR96" i="1" s="1"/>
  <c r="CS96" i="1" s="1"/>
  <c r="CT96" i="1" s="1"/>
  <c r="CU96" i="1" s="1"/>
  <c r="CV96" i="1" s="1"/>
  <c r="CW96" i="1" s="1"/>
  <c r="CX96" i="1" s="1"/>
  <c r="CY96" i="1" s="1"/>
  <c r="CN88" i="1"/>
  <c r="CO88" i="1" s="1"/>
  <c r="CP88" i="1" s="1"/>
  <c r="CQ88" i="1" s="1"/>
  <c r="CR88" i="1" s="1"/>
  <c r="CS88" i="1" s="1"/>
  <c r="CT88" i="1" s="1"/>
  <c r="CU88" i="1" s="1"/>
  <c r="CV88" i="1" s="1"/>
  <c r="CW88" i="1" s="1"/>
  <c r="CX88" i="1" s="1"/>
  <c r="CY88" i="1" s="1"/>
  <c r="CN169" i="1"/>
  <c r="CO169" i="1" s="1"/>
  <c r="CP169" i="1" s="1"/>
  <c r="CQ169" i="1" s="1"/>
  <c r="CR169" i="1" s="1"/>
  <c r="CS169" i="1" s="1"/>
  <c r="CT169" i="1" s="1"/>
  <c r="CU169" i="1" s="1"/>
  <c r="CV169" i="1" s="1"/>
  <c r="CW169" i="1" s="1"/>
  <c r="CX169" i="1" s="1"/>
  <c r="CY169" i="1" s="1"/>
  <c r="CN482" i="1"/>
  <c r="CO482" i="1" s="1"/>
  <c r="CP482" i="1" s="1"/>
  <c r="CQ482" i="1" s="1"/>
  <c r="CR482" i="1" s="1"/>
  <c r="CS482" i="1" s="1"/>
  <c r="CT482" i="1" s="1"/>
  <c r="CU482" i="1" s="1"/>
  <c r="CV482" i="1" s="1"/>
  <c r="CW482" i="1" s="1"/>
  <c r="CX482" i="1" s="1"/>
  <c r="CY482" i="1" s="1"/>
  <c r="CN360" i="1"/>
  <c r="CO360" i="1" s="1"/>
  <c r="CP360" i="1" s="1"/>
  <c r="CQ360" i="1" s="1"/>
  <c r="CR360" i="1" s="1"/>
  <c r="CS360" i="1" s="1"/>
  <c r="CT360" i="1" s="1"/>
  <c r="CU360" i="1" s="1"/>
  <c r="CV360" i="1" s="1"/>
  <c r="CW360" i="1" s="1"/>
  <c r="CX360" i="1" s="1"/>
  <c r="CY360" i="1" s="1"/>
  <c r="CN338" i="1"/>
  <c r="CO338" i="1" s="1"/>
  <c r="CP338" i="1" s="1"/>
  <c r="CQ338" i="1" s="1"/>
  <c r="CR338" i="1" s="1"/>
  <c r="CS338" i="1" s="1"/>
  <c r="CT338" i="1" s="1"/>
  <c r="CU338" i="1" s="1"/>
  <c r="CV338" i="1" s="1"/>
  <c r="CW338" i="1" s="1"/>
  <c r="CX338" i="1" s="1"/>
  <c r="CY338" i="1" s="1"/>
  <c r="CN441" i="1"/>
  <c r="CO441" i="1" s="1"/>
  <c r="CP441" i="1" s="1"/>
  <c r="CQ441" i="1" s="1"/>
  <c r="CR441" i="1" s="1"/>
  <c r="CS441" i="1" s="1"/>
  <c r="CN36" i="1"/>
  <c r="CO36" i="1" s="1"/>
  <c r="CP36" i="1" s="1"/>
  <c r="CQ36" i="1" s="1"/>
  <c r="CR36" i="1" s="1"/>
  <c r="CS36" i="1" s="1"/>
  <c r="CT36" i="1" s="1"/>
  <c r="CU36" i="1" s="1"/>
  <c r="CV36" i="1" s="1"/>
  <c r="CW36" i="1" s="1"/>
  <c r="CX36" i="1" s="1"/>
  <c r="CY36" i="1" s="1"/>
  <c r="AP703" i="1"/>
  <c r="BJ575" i="1"/>
  <c r="BV483" i="1"/>
  <c r="BV453" i="1"/>
  <c r="AT710" i="1"/>
  <c r="AT720" i="1" s="1"/>
  <c r="C8" i="8" s="1"/>
  <c r="AV171" i="1"/>
  <c r="AW171" i="1" s="1"/>
  <c r="AX171" i="1" s="1"/>
  <c r="AY171" i="1" s="1"/>
  <c r="AZ171" i="1" s="1"/>
  <c r="BA171" i="1" s="1"/>
  <c r="BB171" i="1" s="1"/>
  <c r="BC171" i="1" s="1"/>
  <c r="BD171" i="1" s="1"/>
  <c r="BE171" i="1" s="1"/>
  <c r="BF171" i="1" s="1"/>
  <c r="BG171" i="1" s="1"/>
  <c r="AV207" i="1"/>
  <c r="AW207" i="1" s="1"/>
  <c r="AX207" i="1" s="1"/>
  <c r="AY207" i="1" s="1"/>
  <c r="AZ207" i="1" s="1"/>
  <c r="BA207" i="1" s="1"/>
  <c r="BB207" i="1" s="1"/>
  <c r="BC207" i="1" s="1"/>
  <c r="BD207" i="1" s="1"/>
  <c r="BE207" i="1" s="1"/>
  <c r="BF207" i="1" s="1"/>
  <c r="BJ207" i="1" s="1"/>
  <c r="AV260" i="1"/>
  <c r="AW260" i="1" s="1"/>
  <c r="AX260" i="1" s="1"/>
  <c r="AY260" i="1" s="1"/>
  <c r="AZ260" i="1" s="1"/>
  <c r="BA260" i="1" s="1"/>
  <c r="BB260" i="1" s="1"/>
  <c r="BC260" i="1" s="1"/>
  <c r="BD260" i="1" s="1"/>
  <c r="BE260" i="1" s="1"/>
  <c r="AV423" i="1"/>
  <c r="CZ423" i="1" s="1"/>
  <c r="AV362" i="1"/>
  <c r="AW362" i="1" s="1"/>
  <c r="AX362" i="1" s="1"/>
  <c r="AY362" i="1" s="1"/>
  <c r="AZ362" i="1" s="1"/>
  <c r="BA362" i="1" s="1"/>
  <c r="BB362" i="1" s="1"/>
  <c r="BC362" i="1" s="1"/>
  <c r="BD362" i="1" s="1"/>
  <c r="BE362" i="1" s="1"/>
  <c r="AV212" i="1"/>
  <c r="AW212" i="1" s="1"/>
  <c r="AX212" i="1" s="1"/>
  <c r="AY212" i="1" s="1"/>
  <c r="AZ212" i="1" s="1"/>
  <c r="BA212" i="1" s="1"/>
  <c r="BB212" i="1" s="1"/>
  <c r="BC212" i="1" s="1"/>
  <c r="BD212" i="1" s="1"/>
  <c r="BE212" i="1" s="1"/>
  <c r="BF212" i="1" s="1"/>
  <c r="BG212" i="1" s="1"/>
  <c r="AV91" i="1"/>
  <c r="AW91" i="1" s="1"/>
  <c r="AX91" i="1" s="1"/>
  <c r="AY91" i="1" s="1"/>
  <c r="AZ91" i="1" s="1"/>
  <c r="BA91" i="1" s="1"/>
  <c r="BB91" i="1" s="1"/>
  <c r="BC91" i="1" s="1"/>
  <c r="BD91" i="1" s="1"/>
  <c r="BE91" i="1" s="1"/>
  <c r="BF91" i="1" s="1"/>
  <c r="BG91" i="1" s="1"/>
  <c r="AV155" i="1"/>
  <c r="AW155" i="1" s="1"/>
  <c r="AX155" i="1" s="1"/>
  <c r="AY155" i="1" s="1"/>
  <c r="AZ155" i="1" s="1"/>
  <c r="BA155" i="1" s="1"/>
  <c r="BB155" i="1" s="1"/>
  <c r="BC155" i="1" s="1"/>
  <c r="BD155" i="1" s="1"/>
  <c r="BE155" i="1" s="1"/>
  <c r="BF155" i="1" s="1"/>
  <c r="BG155" i="1" s="1"/>
  <c r="AV393" i="1"/>
  <c r="AW393" i="1" s="1"/>
  <c r="AX393" i="1" s="1"/>
  <c r="AY393" i="1" s="1"/>
  <c r="AZ393" i="1" s="1"/>
  <c r="BA393" i="1" s="1"/>
  <c r="BB393" i="1" s="1"/>
  <c r="BC393" i="1" s="1"/>
  <c r="BD393" i="1" s="1"/>
  <c r="BE393" i="1" s="1"/>
  <c r="BF393" i="1" s="1"/>
  <c r="AV406" i="1"/>
  <c r="AW406" i="1" s="1"/>
  <c r="AX406" i="1" s="1"/>
  <c r="AY406" i="1" s="1"/>
  <c r="AZ406" i="1" s="1"/>
  <c r="BA406" i="1" s="1"/>
  <c r="BB406" i="1" s="1"/>
  <c r="BC406" i="1" s="1"/>
  <c r="BD406" i="1" s="1"/>
  <c r="BE406" i="1" s="1"/>
  <c r="AV474" i="1"/>
  <c r="AW474" i="1" s="1"/>
  <c r="AX474" i="1" s="1"/>
  <c r="AY474" i="1" s="1"/>
  <c r="AZ474" i="1" s="1"/>
  <c r="BA474" i="1" s="1"/>
  <c r="BB474" i="1" s="1"/>
  <c r="BC474" i="1" s="1"/>
  <c r="BD474" i="1" s="1"/>
  <c r="BE474" i="1" s="1"/>
  <c r="BF474" i="1" s="1"/>
  <c r="BJ474" i="1" s="1"/>
  <c r="AV378" i="1"/>
  <c r="AW378" i="1" s="1"/>
  <c r="AX378" i="1" s="1"/>
  <c r="AY378" i="1" s="1"/>
  <c r="AZ378" i="1" s="1"/>
  <c r="BA378" i="1" s="1"/>
  <c r="BB378" i="1" s="1"/>
  <c r="BC378" i="1" s="1"/>
  <c r="BD378" i="1" s="1"/>
  <c r="BE378" i="1" s="1"/>
  <c r="BF378" i="1" s="1"/>
  <c r="BJ378" i="1" s="1"/>
  <c r="AV118" i="1"/>
  <c r="AW118" i="1" s="1"/>
  <c r="AX118" i="1" s="1"/>
  <c r="AY118" i="1" s="1"/>
  <c r="AZ118" i="1" s="1"/>
  <c r="BA118" i="1" s="1"/>
  <c r="BB118" i="1" s="1"/>
  <c r="BC118" i="1" s="1"/>
  <c r="BD118" i="1" s="1"/>
  <c r="BE118" i="1" s="1"/>
  <c r="BF118" i="1" s="1"/>
  <c r="BJ118" i="1" s="1"/>
  <c r="AV79" i="1"/>
  <c r="AW79" i="1" s="1"/>
  <c r="AX79" i="1" s="1"/>
  <c r="AY79" i="1" s="1"/>
  <c r="AZ79" i="1" s="1"/>
  <c r="BA79" i="1" s="1"/>
  <c r="BB79" i="1" s="1"/>
  <c r="BC79" i="1" s="1"/>
  <c r="BD79" i="1" s="1"/>
  <c r="BE79" i="1" s="1"/>
  <c r="BF79" i="1" s="1"/>
  <c r="BG79" i="1" s="1"/>
  <c r="AV411" i="1"/>
  <c r="AW411" i="1" s="1"/>
  <c r="AX411" i="1" s="1"/>
  <c r="AY411" i="1" s="1"/>
  <c r="AZ411" i="1" s="1"/>
  <c r="BA411" i="1" s="1"/>
  <c r="BB411" i="1" s="1"/>
  <c r="BC411" i="1" s="1"/>
  <c r="BD411" i="1" s="1"/>
  <c r="BE411" i="1" s="1"/>
  <c r="BF411" i="1" s="1"/>
  <c r="BJ411" i="1" s="1"/>
  <c r="AV217" i="1"/>
  <c r="AW217" i="1" s="1"/>
  <c r="AX217" i="1" s="1"/>
  <c r="AY217" i="1" s="1"/>
  <c r="AZ217" i="1" s="1"/>
  <c r="BA217" i="1" s="1"/>
  <c r="BB217" i="1" s="1"/>
  <c r="BC217" i="1" s="1"/>
  <c r="BD217" i="1" s="1"/>
  <c r="BE217" i="1" s="1"/>
  <c r="AV361" i="1"/>
  <c r="AW361" i="1" s="1"/>
  <c r="AX361" i="1" s="1"/>
  <c r="AY361" i="1" s="1"/>
  <c r="AZ361" i="1" s="1"/>
  <c r="BA361" i="1" s="1"/>
  <c r="BB361" i="1" s="1"/>
  <c r="BC361" i="1" s="1"/>
  <c r="BD361" i="1" s="1"/>
  <c r="BE361" i="1" s="1"/>
  <c r="AV189" i="1"/>
  <c r="AW189" i="1" s="1"/>
  <c r="AX189" i="1" s="1"/>
  <c r="AY189" i="1" s="1"/>
  <c r="AZ189" i="1" s="1"/>
  <c r="BA189" i="1" s="1"/>
  <c r="BB189" i="1" s="1"/>
  <c r="BC189" i="1" s="1"/>
  <c r="BD189" i="1" s="1"/>
  <c r="BE189" i="1" s="1"/>
  <c r="BF189" i="1" s="1"/>
  <c r="BJ189" i="1" s="1"/>
  <c r="AV468" i="1"/>
  <c r="AW468" i="1" s="1"/>
  <c r="AX468" i="1" s="1"/>
  <c r="AY468" i="1" s="1"/>
  <c r="AZ468" i="1" s="1"/>
  <c r="BA468" i="1" s="1"/>
  <c r="BB468" i="1" s="1"/>
  <c r="BC468" i="1" s="1"/>
  <c r="BD468" i="1" s="1"/>
  <c r="BE468" i="1" s="1"/>
  <c r="AV471" i="1"/>
  <c r="AW471" i="1" s="1"/>
  <c r="AX471" i="1" s="1"/>
  <c r="AY471" i="1" s="1"/>
  <c r="AZ471" i="1" s="1"/>
  <c r="BA471" i="1" s="1"/>
  <c r="BB471" i="1" s="1"/>
  <c r="BC471" i="1" s="1"/>
  <c r="BD471" i="1" s="1"/>
  <c r="BE471" i="1" s="1"/>
  <c r="BF471" i="1" s="1"/>
  <c r="BG471" i="1" s="1"/>
  <c r="AV410" i="1"/>
  <c r="AW410" i="1" s="1"/>
  <c r="AX410" i="1" s="1"/>
  <c r="AY410" i="1" s="1"/>
  <c r="AZ410" i="1" s="1"/>
  <c r="BA410" i="1" s="1"/>
  <c r="BB410" i="1" s="1"/>
  <c r="BC410" i="1" s="1"/>
  <c r="BD410" i="1" s="1"/>
  <c r="BE410" i="1" s="1"/>
  <c r="AV178" i="1"/>
  <c r="AW178" i="1" s="1"/>
  <c r="AX178" i="1" s="1"/>
  <c r="AY178" i="1" s="1"/>
  <c r="AZ178" i="1" s="1"/>
  <c r="BA178" i="1" s="1"/>
  <c r="BB178" i="1" s="1"/>
  <c r="BC178" i="1" s="1"/>
  <c r="BD178" i="1" s="1"/>
  <c r="BE178" i="1" s="1"/>
  <c r="BF178" i="1" s="1"/>
  <c r="BJ178" i="1" s="1"/>
  <c r="AV412" i="1"/>
  <c r="AW412" i="1" s="1"/>
  <c r="AX412" i="1" s="1"/>
  <c r="AY412" i="1" s="1"/>
  <c r="AZ412" i="1" s="1"/>
  <c r="BA412" i="1" s="1"/>
  <c r="BB412" i="1" s="1"/>
  <c r="BC412" i="1" s="1"/>
  <c r="BD412" i="1" s="1"/>
  <c r="BE412" i="1" s="1"/>
  <c r="AV427" i="1"/>
  <c r="AW427" i="1" s="1"/>
  <c r="AX427" i="1" s="1"/>
  <c r="AY427" i="1" s="1"/>
  <c r="AZ427" i="1" s="1"/>
  <c r="BA427" i="1" s="1"/>
  <c r="BB427" i="1" s="1"/>
  <c r="BC427" i="1" s="1"/>
  <c r="BD427" i="1" s="1"/>
  <c r="BE427" i="1" s="1"/>
  <c r="BF427" i="1" s="1"/>
  <c r="BJ427" i="1" s="1"/>
  <c r="BV427" i="1" s="1"/>
  <c r="AV203" i="1"/>
  <c r="AW203" i="1" s="1"/>
  <c r="AX203" i="1" s="1"/>
  <c r="AY203" i="1" s="1"/>
  <c r="AZ203" i="1" s="1"/>
  <c r="BA203" i="1" s="1"/>
  <c r="BB203" i="1" s="1"/>
  <c r="BC203" i="1" s="1"/>
  <c r="BD203" i="1" s="1"/>
  <c r="BE203" i="1" s="1"/>
  <c r="BF203" i="1" s="1"/>
  <c r="BG203" i="1" s="1"/>
  <c r="AV499" i="1"/>
  <c r="AW499" i="1" s="1"/>
  <c r="AX499" i="1" s="1"/>
  <c r="AY499" i="1" s="1"/>
  <c r="AZ499" i="1" s="1"/>
  <c r="BA499" i="1" s="1"/>
  <c r="BB499" i="1" s="1"/>
  <c r="BC499" i="1" s="1"/>
  <c r="BD499" i="1" s="1"/>
  <c r="BE499" i="1" s="1"/>
  <c r="BF499" i="1" s="1"/>
  <c r="BJ499" i="1" s="1"/>
  <c r="AV181" i="1"/>
  <c r="AW181" i="1" s="1"/>
  <c r="AX181" i="1" s="1"/>
  <c r="AY181" i="1" s="1"/>
  <c r="AZ181" i="1" s="1"/>
  <c r="BA181" i="1" s="1"/>
  <c r="BB181" i="1" s="1"/>
  <c r="BC181" i="1" s="1"/>
  <c r="BD181" i="1" s="1"/>
  <c r="BE181" i="1" s="1"/>
  <c r="BF181" i="1" s="1"/>
  <c r="BJ181" i="1" s="1"/>
  <c r="AV271" i="1"/>
  <c r="AW271" i="1" s="1"/>
  <c r="AX271" i="1" s="1"/>
  <c r="AY271" i="1" s="1"/>
  <c r="AZ271" i="1" s="1"/>
  <c r="BA271" i="1" s="1"/>
  <c r="BB271" i="1" s="1"/>
  <c r="BC271" i="1" s="1"/>
  <c r="BD271" i="1" s="1"/>
  <c r="BE271" i="1" s="1"/>
  <c r="AV306" i="1"/>
  <c r="AW306" i="1" s="1"/>
  <c r="AX306" i="1" s="1"/>
  <c r="AY306" i="1" s="1"/>
  <c r="AZ306" i="1" s="1"/>
  <c r="BA306" i="1" s="1"/>
  <c r="BB306" i="1" s="1"/>
  <c r="BC306" i="1" s="1"/>
  <c r="BD306" i="1" s="1"/>
  <c r="BE306" i="1" s="1"/>
  <c r="BF306" i="1" s="1"/>
  <c r="CZ306" i="1" s="1"/>
  <c r="AV262" i="1"/>
  <c r="AW262" i="1" s="1"/>
  <c r="AX262" i="1" s="1"/>
  <c r="AY262" i="1" s="1"/>
  <c r="AZ262" i="1" s="1"/>
  <c r="BA262" i="1" s="1"/>
  <c r="BB262" i="1" s="1"/>
  <c r="BC262" i="1" s="1"/>
  <c r="BD262" i="1" s="1"/>
  <c r="BE262" i="1" s="1"/>
  <c r="BF262" i="1" s="1"/>
  <c r="BJ262" i="1" s="1"/>
  <c r="AV182" i="1"/>
  <c r="AW182" i="1" s="1"/>
  <c r="AX182" i="1" s="1"/>
  <c r="AY182" i="1" s="1"/>
  <c r="AZ182" i="1" s="1"/>
  <c r="BA182" i="1" s="1"/>
  <c r="BB182" i="1" s="1"/>
  <c r="BC182" i="1" s="1"/>
  <c r="BD182" i="1" s="1"/>
  <c r="BE182" i="1" s="1"/>
  <c r="BF182" i="1" s="1"/>
  <c r="BJ182" i="1" s="1"/>
  <c r="AV216" i="1"/>
  <c r="AW216" i="1" s="1"/>
  <c r="AX216" i="1" s="1"/>
  <c r="AY216" i="1" s="1"/>
  <c r="AZ216" i="1" s="1"/>
  <c r="BA216" i="1" s="1"/>
  <c r="BB216" i="1" s="1"/>
  <c r="BC216" i="1" s="1"/>
  <c r="BD216" i="1" s="1"/>
  <c r="BE216" i="1" s="1"/>
  <c r="BF216" i="1" s="1"/>
  <c r="BJ216" i="1" s="1"/>
  <c r="AV356" i="1"/>
  <c r="AW356" i="1" s="1"/>
  <c r="AX356" i="1" s="1"/>
  <c r="AY356" i="1" s="1"/>
  <c r="AZ356" i="1" s="1"/>
  <c r="BA356" i="1" s="1"/>
  <c r="BB356" i="1" s="1"/>
  <c r="BC356" i="1" s="1"/>
  <c r="BD356" i="1" s="1"/>
  <c r="BE356" i="1" s="1"/>
  <c r="AV218" i="1"/>
  <c r="AW218" i="1" s="1"/>
  <c r="AX218" i="1" s="1"/>
  <c r="AY218" i="1" s="1"/>
  <c r="AZ218" i="1" s="1"/>
  <c r="BA218" i="1" s="1"/>
  <c r="BB218" i="1" s="1"/>
  <c r="BC218" i="1" s="1"/>
  <c r="BD218" i="1" s="1"/>
  <c r="BE218" i="1" s="1"/>
  <c r="AV416" i="1"/>
  <c r="AW416" i="1" s="1"/>
  <c r="AX416" i="1" s="1"/>
  <c r="AY416" i="1" s="1"/>
  <c r="AZ416" i="1" s="1"/>
  <c r="BA416" i="1" s="1"/>
  <c r="BB416" i="1" s="1"/>
  <c r="BC416" i="1" s="1"/>
  <c r="BD416" i="1" s="1"/>
  <c r="BE416" i="1" s="1"/>
  <c r="BF416" i="1" s="1"/>
  <c r="CZ416" i="1" s="1"/>
  <c r="AV473" i="1"/>
  <c r="AW473" i="1" s="1"/>
  <c r="AX473" i="1" s="1"/>
  <c r="AY473" i="1" s="1"/>
  <c r="AZ473" i="1" s="1"/>
  <c r="BA473" i="1" s="1"/>
  <c r="BB473" i="1" s="1"/>
  <c r="BC473" i="1" s="1"/>
  <c r="BD473" i="1" s="1"/>
  <c r="BE473" i="1" s="1"/>
  <c r="BF473" i="1" s="1"/>
  <c r="BG473" i="1" s="1"/>
  <c r="AV175" i="1"/>
  <c r="AW175" i="1" s="1"/>
  <c r="AX175" i="1" s="1"/>
  <c r="AY175" i="1" s="1"/>
  <c r="AZ175" i="1" s="1"/>
  <c r="BA175" i="1" s="1"/>
  <c r="BB175" i="1" s="1"/>
  <c r="BC175" i="1" s="1"/>
  <c r="BD175" i="1" s="1"/>
  <c r="BE175" i="1" s="1"/>
  <c r="BF175" i="1" s="1"/>
  <c r="BG175" i="1" s="1"/>
  <c r="AV296" i="1"/>
  <c r="AW296" i="1" s="1"/>
  <c r="AX296" i="1" s="1"/>
  <c r="AY296" i="1" s="1"/>
  <c r="AZ296" i="1" s="1"/>
  <c r="BA296" i="1" s="1"/>
  <c r="BB296" i="1" s="1"/>
  <c r="BC296" i="1" s="1"/>
  <c r="BD296" i="1" s="1"/>
  <c r="BE296" i="1" s="1"/>
  <c r="BF296" i="1" s="1"/>
  <c r="BJ296" i="1" s="1"/>
  <c r="AV159" i="1"/>
  <c r="AW159" i="1" s="1"/>
  <c r="AX159" i="1" s="1"/>
  <c r="AY159" i="1" s="1"/>
  <c r="AZ159" i="1" s="1"/>
  <c r="BA159" i="1" s="1"/>
  <c r="BB159" i="1" s="1"/>
  <c r="BC159" i="1" s="1"/>
  <c r="BD159" i="1" s="1"/>
  <c r="BE159" i="1" s="1"/>
  <c r="AV119" i="1"/>
  <c r="AW119" i="1" s="1"/>
  <c r="AX119" i="1" s="1"/>
  <c r="AY119" i="1" s="1"/>
  <c r="AZ119" i="1" s="1"/>
  <c r="BA119" i="1" s="1"/>
  <c r="BB119" i="1" s="1"/>
  <c r="BC119" i="1" s="1"/>
  <c r="BD119" i="1" s="1"/>
  <c r="BE119" i="1" s="1"/>
  <c r="AV428" i="1"/>
  <c r="AW428" i="1" s="1"/>
  <c r="AX428" i="1" s="1"/>
  <c r="AY428" i="1" s="1"/>
  <c r="AZ428" i="1" s="1"/>
  <c r="BA428" i="1" s="1"/>
  <c r="BB428" i="1" s="1"/>
  <c r="BC428" i="1" s="1"/>
  <c r="BD428" i="1" s="1"/>
  <c r="BE428" i="1" s="1"/>
  <c r="BF428" i="1" s="1"/>
  <c r="BJ428" i="1" s="1"/>
  <c r="AV112" i="1"/>
  <c r="AW112" i="1" s="1"/>
  <c r="AX112" i="1" s="1"/>
  <c r="AY112" i="1" s="1"/>
  <c r="AZ112" i="1" s="1"/>
  <c r="BA112" i="1" s="1"/>
  <c r="BB112" i="1" s="1"/>
  <c r="BC112" i="1" s="1"/>
  <c r="BD112" i="1" s="1"/>
  <c r="BE112" i="1" s="1"/>
  <c r="BF112" i="1" s="1"/>
  <c r="BG112" i="1" s="1"/>
  <c r="AV429" i="1"/>
  <c r="AW429" i="1" s="1"/>
  <c r="AX429" i="1" s="1"/>
  <c r="AY429" i="1" s="1"/>
  <c r="AZ429" i="1" s="1"/>
  <c r="BA429" i="1" s="1"/>
  <c r="BB429" i="1" s="1"/>
  <c r="BC429" i="1" s="1"/>
  <c r="BD429" i="1" s="1"/>
  <c r="BE429" i="1" s="1"/>
  <c r="BF429" i="1" s="1"/>
  <c r="BG429" i="1" s="1"/>
  <c r="AV173" i="1"/>
  <c r="AW173" i="1" s="1"/>
  <c r="AX173" i="1" s="1"/>
  <c r="AY173" i="1" s="1"/>
  <c r="AZ173" i="1" s="1"/>
  <c r="BA173" i="1" s="1"/>
  <c r="BB173" i="1" s="1"/>
  <c r="BC173" i="1" s="1"/>
  <c r="BD173" i="1" s="1"/>
  <c r="BE173" i="1" s="1"/>
  <c r="BF173" i="1" s="1"/>
  <c r="BJ173" i="1" s="1"/>
  <c r="AV206" i="1"/>
  <c r="AW206" i="1" s="1"/>
  <c r="AX206" i="1" s="1"/>
  <c r="AY206" i="1" s="1"/>
  <c r="AZ206" i="1" s="1"/>
  <c r="BA206" i="1" s="1"/>
  <c r="BB206" i="1" s="1"/>
  <c r="BC206" i="1" s="1"/>
  <c r="BD206" i="1" s="1"/>
  <c r="BE206" i="1" s="1"/>
  <c r="AV266" i="1"/>
  <c r="AW266" i="1" s="1"/>
  <c r="AX266" i="1" s="1"/>
  <c r="AY266" i="1" s="1"/>
  <c r="AZ266" i="1" s="1"/>
  <c r="BA266" i="1" s="1"/>
  <c r="BB266" i="1" s="1"/>
  <c r="BC266" i="1" s="1"/>
  <c r="BD266" i="1" s="1"/>
  <c r="BE266" i="1" s="1"/>
  <c r="BF266" i="1" s="1"/>
  <c r="BJ266" i="1" s="1"/>
  <c r="AV157" i="1"/>
  <c r="AW157" i="1" s="1"/>
  <c r="AX157" i="1" s="1"/>
  <c r="AY157" i="1" s="1"/>
  <c r="AZ157" i="1" s="1"/>
  <c r="BA157" i="1" s="1"/>
  <c r="BB157" i="1" s="1"/>
  <c r="BC157" i="1" s="1"/>
  <c r="BD157" i="1" s="1"/>
  <c r="BE157" i="1" s="1"/>
  <c r="BF157" i="1" s="1"/>
  <c r="BJ157" i="1" s="1"/>
  <c r="AV280" i="1"/>
  <c r="AW280" i="1" s="1"/>
  <c r="AX280" i="1" s="1"/>
  <c r="AY280" i="1" s="1"/>
  <c r="AZ280" i="1" s="1"/>
  <c r="BA280" i="1" s="1"/>
  <c r="BB280" i="1" s="1"/>
  <c r="BC280" i="1" s="1"/>
  <c r="BD280" i="1" s="1"/>
  <c r="BE280" i="1" s="1"/>
  <c r="BF280" i="1" s="1"/>
  <c r="BG280" i="1" s="1"/>
  <c r="AV275" i="1"/>
  <c r="AW275" i="1" s="1"/>
  <c r="AX275" i="1" s="1"/>
  <c r="AY275" i="1" s="1"/>
  <c r="AZ275" i="1" s="1"/>
  <c r="BA275" i="1" s="1"/>
  <c r="BB275" i="1" s="1"/>
  <c r="BC275" i="1" s="1"/>
  <c r="BD275" i="1" s="1"/>
  <c r="BE275" i="1" s="1"/>
  <c r="BF275" i="1" s="1"/>
  <c r="BG275" i="1" s="1"/>
  <c r="AV255" i="1"/>
  <c r="AW255" i="1" s="1"/>
  <c r="AX255" i="1" s="1"/>
  <c r="AY255" i="1" s="1"/>
  <c r="AZ255" i="1" s="1"/>
  <c r="BA255" i="1" s="1"/>
  <c r="BB255" i="1" s="1"/>
  <c r="BC255" i="1" s="1"/>
  <c r="BD255" i="1" s="1"/>
  <c r="BE255" i="1" s="1"/>
  <c r="BF255" i="1" s="1"/>
  <c r="BJ255" i="1" s="1"/>
  <c r="AV467" i="1"/>
  <c r="AW467" i="1" s="1"/>
  <c r="AX467" i="1" s="1"/>
  <c r="AY467" i="1" s="1"/>
  <c r="AZ467" i="1" s="1"/>
  <c r="BA467" i="1" s="1"/>
  <c r="BB467" i="1" s="1"/>
  <c r="BC467" i="1" s="1"/>
  <c r="BD467" i="1" s="1"/>
  <c r="BE467" i="1" s="1"/>
  <c r="AV71" i="1"/>
  <c r="AW71" i="1" s="1"/>
  <c r="AX71" i="1" s="1"/>
  <c r="AY71" i="1" s="1"/>
  <c r="AZ71" i="1" s="1"/>
  <c r="BA71" i="1" s="1"/>
  <c r="BB71" i="1" s="1"/>
  <c r="BC71" i="1" s="1"/>
  <c r="BD71" i="1" s="1"/>
  <c r="BE71" i="1" s="1"/>
  <c r="AV49" i="1"/>
  <c r="AW49" i="1" s="1"/>
  <c r="AX49" i="1" s="1"/>
  <c r="AY49" i="1" s="1"/>
  <c r="AZ49" i="1" s="1"/>
  <c r="BA49" i="1" s="1"/>
  <c r="BB49" i="1" s="1"/>
  <c r="BC49" i="1" s="1"/>
  <c r="BD49" i="1" s="1"/>
  <c r="BE49" i="1" s="1"/>
  <c r="BF49" i="1" s="1"/>
  <c r="BJ49" i="1" s="1"/>
  <c r="AV352" i="1"/>
  <c r="AW352" i="1" s="1"/>
  <c r="AX352" i="1" s="1"/>
  <c r="AY352" i="1" s="1"/>
  <c r="AZ352" i="1" s="1"/>
  <c r="BA352" i="1" s="1"/>
  <c r="BB352" i="1" s="1"/>
  <c r="BC352" i="1" s="1"/>
  <c r="BD352" i="1" s="1"/>
  <c r="BE352" i="1" s="1"/>
  <c r="BF352" i="1" s="1"/>
  <c r="BJ352" i="1" s="1"/>
  <c r="AV267" i="1"/>
  <c r="AW267" i="1" s="1"/>
  <c r="AX267" i="1" s="1"/>
  <c r="AY267" i="1" s="1"/>
  <c r="AZ267" i="1" s="1"/>
  <c r="BA267" i="1" s="1"/>
  <c r="BB267" i="1" s="1"/>
  <c r="BC267" i="1" s="1"/>
  <c r="BD267" i="1" s="1"/>
  <c r="BE267" i="1" s="1"/>
  <c r="BF267" i="1" s="1"/>
  <c r="BG267" i="1" s="1"/>
  <c r="AV363" i="1"/>
  <c r="AW363" i="1" s="1"/>
  <c r="AX363" i="1" s="1"/>
  <c r="AY363" i="1" s="1"/>
  <c r="AZ363" i="1" s="1"/>
  <c r="BA363" i="1" s="1"/>
  <c r="BB363" i="1" s="1"/>
  <c r="BC363" i="1" s="1"/>
  <c r="BD363" i="1" s="1"/>
  <c r="BE363" i="1" s="1"/>
  <c r="BF363" i="1" s="1"/>
  <c r="BJ363" i="1" s="1"/>
  <c r="AV146" i="1"/>
  <c r="AW146" i="1" s="1"/>
  <c r="AX146" i="1" s="1"/>
  <c r="AY146" i="1" s="1"/>
  <c r="AZ146" i="1" s="1"/>
  <c r="BA146" i="1" s="1"/>
  <c r="BB146" i="1" s="1"/>
  <c r="BC146" i="1" s="1"/>
  <c r="BD146" i="1" s="1"/>
  <c r="BE146" i="1" s="1"/>
  <c r="BF146" i="1" s="1"/>
  <c r="BJ146" i="1" s="1"/>
  <c r="BK146" i="1" s="1"/>
  <c r="BL146" i="1" s="1"/>
  <c r="BM146" i="1" s="1"/>
  <c r="BN146" i="1" s="1"/>
  <c r="BO146" i="1" s="1"/>
  <c r="BP146" i="1" s="1"/>
  <c r="BQ146" i="1" s="1"/>
  <c r="BR146" i="1" s="1"/>
  <c r="BS146" i="1" s="1"/>
  <c r="BT146" i="1" s="1"/>
  <c r="AV498" i="1"/>
  <c r="AW498" i="1" s="1"/>
  <c r="AX498" i="1" s="1"/>
  <c r="AY498" i="1" s="1"/>
  <c r="AZ498" i="1" s="1"/>
  <c r="BA498" i="1" s="1"/>
  <c r="BB498" i="1" s="1"/>
  <c r="BC498" i="1" s="1"/>
  <c r="BD498" i="1" s="1"/>
  <c r="BE498" i="1" s="1"/>
  <c r="AV371" i="1"/>
  <c r="AW371" i="1" s="1"/>
  <c r="AX371" i="1" s="1"/>
  <c r="AY371" i="1" s="1"/>
  <c r="AZ371" i="1" s="1"/>
  <c r="BA371" i="1" s="1"/>
  <c r="BB371" i="1" s="1"/>
  <c r="BC371" i="1" s="1"/>
  <c r="BD371" i="1" s="1"/>
  <c r="BE371" i="1" s="1"/>
  <c r="AV383" i="1"/>
  <c r="AW383" i="1" s="1"/>
  <c r="AX383" i="1" s="1"/>
  <c r="AY383" i="1" s="1"/>
  <c r="AZ383" i="1" s="1"/>
  <c r="BA383" i="1" s="1"/>
  <c r="BB383" i="1" s="1"/>
  <c r="BC383" i="1" s="1"/>
  <c r="BD383" i="1" s="1"/>
  <c r="BE383" i="1" s="1"/>
  <c r="BF383" i="1" s="1"/>
  <c r="BJ383" i="1" s="1"/>
  <c r="AV180" i="1"/>
  <c r="AW180" i="1" s="1"/>
  <c r="AX180" i="1" s="1"/>
  <c r="AY180" i="1" s="1"/>
  <c r="AZ180" i="1" s="1"/>
  <c r="BA180" i="1" s="1"/>
  <c r="BB180" i="1" s="1"/>
  <c r="BC180" i="1" s="1"/>
  <c r="BD180" i="1" s="1"/>
  <c r="BE180" i="1" s="1"/>
  <c r="BF180" i="1" s="1"/>
  <c r="BJ180" i="1" s="1"/>
  <c r="AV472" i="1"/>
  <c r="AW472" i="1" s="1"/>
  <c r="AX472" i="1" s="1"/>
  <c r="AY472" i="1" s="1"/>
  <c r="AZ472" i="1" s="1"/>
  <c r="BA472" i="1" s="1"/>
  <c r="BB472" i="1" s="1"/>
  <c r="BC472" i="1" s="1"/>
  <c r="BD472" i="1" s="1"/>
  <c r="BE472" i="1" s="1"/>
  <c r="BF472" i="1" s="1"/>
  <c r="BJ472" i="1" s="1"/>
  <c r="AV257" i="1"/>
  <c r="AW257" i="1" s="1"/>
  <c r="AX257" i="1" s="1"/>
  <c r="AY257" i="1" s="1"/>
  <c r="AZ257" i="1" s="1"/>
  <c r="BA257" i="1" s="1"/>
  <c r="BB257" i="1" s="1"/>
  <c r="BC257" i="1" s="1"/>
  <c r="BD257" i="1" s="1"/>
  <c r="BE257" i="1" s="1"/>
  <c r="AV272" i="1"/>
  <c r="AW272" i="1" s="1"/>
  <c r="AX272" i="1" s="1"/>
  <c r="AY272" i="1" s="1"/>
  <c r="AZ272" i="1" s="1"/>
  <c r="BA272" i="1" s="1"/>
  <c r="BB272" i="1" s="1"/>
  <c r="BC272" i="1" s="1"/>
  <c r="BD272" i="1" s="1"/>
  <c r="BE272" i="1" s="1"/>
  <c r="AV213" i="1"/>
  <c r="AW213" i="1" s="1"/>
  <c r="AX213" i="1" s="1"/>
  <c r="AY213" i="1" s="1"/>
  <c r="AZ213" i="1" s="1"/>
  <c r="BA213" i="1" s="1"/>
  <c r="BB213" i="1" s="1"/>
  <c r="BC213" i="1" s="1"/>
  <c r="BD213" i="1" s="1"/>
  <c r="BE213" i="1" s="1"/>
  <c r="AV92" i="1"/>
  <c r="AW92" i="1" s="1"/>
  <c r="AX92" i="1" s="1"/>
  <c r="AY92" i="1" s="1"/>
  <c r="AZ92" i="1" s="1"/>
  <c r="BA92" i="1" s="1"/>
  <c r="BB92" i="1" s="1"/>
  <c r="BC92" i="1" s="1"/>
  <c r="BD92" i="1" s="1"/>
  <c r="BE92" i="1" s="1"/>
  <c r="BF92" i="1" s="1"/>
  <c r="BG92" i="1" s="1"/>
  <c r="AV12" i="1"/>
  <c r="AW12" i="1" s="1"/>
  <c r="AX12" i="1" s="1"/>
  <c r="AY12" i="1" s="1"/>
  <c r="AZ12" i="1" s="1"/>
  <c r="BA12" i="1" s="1"/>
  <c r="BB12" i="1" s="1"/>
  <c r="BC12" i="1" s="1"/>
  <c r="BD12" i="1" s="1"/>
  <c r="BE12" i="1" s="1"/>
  <c r="BF12" i="1" s="1"/>
  <c r="BG12" i="1" s="1"/>
  <c r="AV503" i="1"/>
  <c r="AW503" i="1" s="1"/>
  <c r="AX503" i="1" s="1"/>
  <c r="AY503" i="1" s="1"/>
  <c r="AZ503" i="1" s="1"/>
  <c r="BA503" i="1" s="1"/>
  <c r="BB503" i="1" s="1"/>
  <c r="BC503" i="1" s="1"/>
  <c r="BD503" i="1" s="1"/>
  <c r="BE503" i="1" s="1"/>
  <c r="BF503" i="1" s="1"/>
  <c r="BG503" i="1" s="1"/>
  <c r="AV414" i="1"/>
  <c r="AW414" i="1" s="1"/>
  <c r="AX414" i="1" s="1"/>
  <c r="AY414" i="1" s="1"/>
  <c r="AZ414" i="1" s="1"/>
  <c r="BA414" i="1" s="1"/>
  <c r="BB414" i="1" s="1"/>
  <c r="BC414" i="1" s="1"/>
  <c r="BD414" i="1" s="1"/>
  <c r="BE414" i="1" s="1"/>
  <c r="AV64" i="1"/>
  <c r="AW64" i="1" s="1"/>
  <c r="AX64" i="1" s="1"/>
  <c r="AY64" i="1" s="1"/>
  <c r="AZ64" i="1" s="1"/>
  <c r="BA64" i="1" s="1"/>
  <c r="BB64" i="1" s="1"/>
  <c r="BC64" i="1" s="1"/>
  <c r="BD64" i="1" s="1"/>
  <c r="BE64" i="1" s="1"/>
  <c r="AV282" i="1"/>
  <c r="AW282" i="1" s="1"/>
  <c r="AX282" i="1" s="1"/>
  <c r="AY282" i="1" s="1"/>
  <c r="AZ282" i="1" s="1"/>
  <c r="BA282" i="1" s="1"/>
  <c r="BB282" i="1" s="1"/>
  <c r="BC282" i="1" s="1"/>
  <c r="BD282" i="1" s="1"/>
  <c r="BE282" i="1" s="1"/>
  <c r="AV424" i="1"/>
  <c r="AW424" i="1" s="1"/>
  <c r="AX424" i="1" s="1"/>
  <c r="AY424" i="1" s="1"/>
  <c r="AZ424" i="1" s="1"/>
  <c r="BA424" i="1" s="1"/>
  <c r="BB424" i="1" s="1"/>
  <c r="BC424" i="1" s="1"/>
  <c r="BD424" i="1" s="1"/>
  <c r="BE424" i="1" s="1"/>
  <c r="BF424" i="1" s="1"/>
  <c r="BJ424" i="1" s="1"/>
  <c r="AV120" i="1"/>
  <c r="AW120" i="1" s="1"/>
  <c r="AX120" i="1" s="1"/>
  <c r="AY120" i="1" s="1"/>
  <c r="AZ120" i="1" s="1"/>
  <c r="BA120" i="1" s="1"/>
  <c r="BB120" i="1" s="1"/>
  <c r="BC120" i="1" s="1"/>
  <c r="BD120" i="1" s="1"/>
  <c r="BE120" i="1" s="1"/>
  <c r="BF120" i="1" s="1"/>
  <c r="BG120" i="1" s="1"/>
  <c r="CZ29" i="1"/>
  <c r="AV183" i="1"/>
  <c r="AW183" i="1" s="1"/>
  <c r="AX183" i="1" s="1"/>
  <c r="AY183" i="1" s="1"/>
  <c r="AZ183" i="1" s="1"/>
  <c r="BA183" i="1" s="1"/>
  <c r="BB183" i="1" s="1"/>
  <c r="BC183" i="1" s="1"/>
  <c r="BD183" i="1" s="1"/>
  <c r="BE183" i="1" s="1"/>
  <c r="AV385" i="1"/>
  <c r="AW385" i="1" s="1"/>
  <c r="AX385" i="1" s="1"/>
  <c r="AY385" i="1" s="1"/>
  <c r="AZ385" i="1" s="1"/>
  <c r="BA385" i="1" s="1"/>
  <c r="BB385" i="1" s="1"/>
  <c r="BC385" i="1" s="1"/>
  <c r="BD385" i="1" s="1"/>
  <c r="BE385" i="1" s="1"/>
  <c r="BF385" i="1" s="1"/>
  <c r="BJ385" i="1" s="1"/>
  <c r="AV351" i="1"/>
  <c r="AW351" i="1" s="1"/>
  <c r="AX351" i="1" s="1"/>
  <c r="AY351" i="1" s="1"/>
  <c r="AZ351" i="1" s="1"/>
  <c r="BA351" i="1" s="1"/>
  <c r="BB351" i="1" s="1"/>
  <c r="BC351" i="1" s="1"/>
  <c r="BD351" i="1" s="1"/>
  <c r="BE351" i="1" s="1"/>
  <c r="BF351" i="1" s="1"/>
  <c r="BG351" i="1" s="1"/>
  <c r="AV50" i="1"/>
  <c r="AW50" i="1" s="1"/>
  <c r="AX50" i="1" s="1"/>
  <c r="AY50" i="1" s="1"/>
  <c r="AZ50" i="1" s="1"/>
  <c r="BA50" i="1" s="1"/>
  <c r="BB50" i="1" s="1"/>
  <c r="BC50" i="1" s="1"/>
  <c r="BD50" i="1" s="1"/>
  <c r="BE50" i="1" s="1"/>
  <c r="BF50" i="1" s="1"/>
  <c r="BG50" i="1" s="1"/>
  <c r="AV373" i="1"/>
  <c r="AW373" i="1" s="1"/>
  <c r="AX373" i="1" s="1"/>
  <c r="AY373" i="1" s="1"/>
  <c r="AZ373" i="1" s="1"/>
  <c r="BA373" i="1" s="1"/>
  <c r="BB373" i="1" s="1"/>
  <c r="BC373" i="1" s="1"/>
  <c r="BD373" i="1" s="1"/>
  <c r="BE373" i="1" s="1"/>
  <c r="BF373" i="1" s="1"/>
  <c r="BG373" i="1" s="1"/>
  <c r="AV502" i="1"/>
  <c r="AW502" i="1" s="1"/>
  <c r="AX502" i="1" s="1"/>
  <c r="AY502" i="1" s="1"/>
  <c r="AZ502" i="1" s="1"/>
  <c r="BA502" i="1" s="1"/>
  <c r="BB502" i="1" s="1"/>
  <c r="BC502" i="1" s="1"/>
  <c r="BD502" i="1" s="1"/>
  <c r="BE502" i="1" s="1"/>
  <c r="BF502" i="1" s="1"/>
  <c r="BG502" i="1" s="1"/>
  <c r="AV475" i="1"/>
  <c r="AW475" i="1" s="1"/>
  <c r="AX475" i="1" s="1"/>
  <c r="AY475" i="1" s="1"/>
  <c r="AZ475" i="1" s="1"/>
  <c r="BA475" i="1" s="1"/>
  <c r="BB475" i="1" s="1"/>
  <c r="BC475" i="1" s="1"/>
  <c r="BD475" i="1" s="1"/>
  <c r="BE475" i="1" s="1"/>
  <c r="AV202" i="1"/>
  <c r="AW202" i="1" s="1"/>
  <c r="AX202" i="1" s="1"/>
  <c r="AY202" i="1" s="1"/>
  <c r="AZ202" i="1" s="1"/>
  <c r="BA202" i="1" s="1"/>
  <c r="BB202" i="1" s="1"/>
  <c r="BC202" i="1" s="1"/>
  <c r="BD202" i="1" s="1"/>
  <c r="BE202" i="1" s="1"/>
  <c r="AV117" i="1"/>
  <c r="AW117" i="1" s="1"/>
  <c r="AX117" i="1" s="1"/>
  <c r="AY117" i="1" s="1"/>
  <c r="AZ117" i="1" s="1"/>
  <c r="BA117" i="1" s="1"/>
  <c r="BB117" i="1" s="1"/>
  <c r="BC117" i="1" s="1"/>
  <c r="BD117" i="1" s="1"/>
  <c r="BE117" i="1" s="1"/>
  <c r="BF117" i="1" s="1"/>
  <c r="BJ117" i="1" s="1"/>
  <c r="AV286" i="1"/>
  <c r="AW286" i="1" s="1"/>
  <c r="AX286" i="1" s="1"/>
  <c r="AY286" i="1" s="1"/>
  <c r="AZ286" i="1" s="1"/>
  <c r="BA286" i="1" s="1"/>
  <c r="BB286" i="1" s="1"/>
  <c r="BC286" i="1" s="1"/>
  <c r="BD286" i="1" s="1"/>
  <c r="BE286" i="1" s="1"/>
  <c r="BF286" i="1" s="1"/>
  <c r="BG286" i="1" s="1"/>
  <c r="AV381" i="1"/>
  <c r="AW381" i="1" s="1"/>
  <c r="AX381" i="1" s="1"/>
  <c r="AY381" i="1" s="1"/>
  <c r="AZ381" i="1" s="1"/>
  <c r="BA381" i="1" s="1"/>
  <c r="BB381" i="1" s="1"/>
  <c r="BC381" i="1" s="1"/>
  <c r="BD381" i="1" s="1"/>
  <c r="BE381" i="1" s="1"/>
  <c r="BF381" i="1" s="1"/>
  <c r="BG381" i="1" s="1"/>
  <c r="AV75" i="1"/>
  <c r="AW75" i="1" s="1"/>
  <c r="AX75" i="1" s="1"/>
  <c r="AY75" i="1" s="1"/>
  <c r="AZ75" i="1" s="1"/>
  <c r="BA75" i="1" s="1"/>
  <c r="BB75" i="1" s="1"/>
  <c r="BC75" i="1" s="1"/>
  <c r="BD75" i="1" s="1"/>
  <c r="BE75" i="1" s="1"/>
  <c r="BF75" i="1" s="1"/>
  <c r="BJ75" i="1" s="1"/>
  <c r="AV214" i="1"/>
  <c r="AW214" i="1" s="1"/>
  <c r="AX214" i="1" s="1"/>
  <c r="AY214" i="1" s="1"/>
  <c r="AZ214" i="1" s="1"/>
  <c r="BA214" i="1" s="1"/>
  <c r="BB214" i="1" s="1"/>
  <c r="BC214" i="1" s="1"/>
  <c r="BD214" i="1" s="1"/>
  <c r="BE214" i="1" s="1"/>
  <c r="AV513" i="1"/>
  <c r="AW513" i="1" s="1"/>
  <c r="AX513" i="1" s="1"/>
  <c r="AY513" i="1" s="1"/>
  <c r="AZ513" i="1" s="1"/>
  <c r="BA513" i="1" s="1"/>
  <c r="BB513" i="1" s="1"/>
  <c r="BC513" i="1" s="1"/>
  <c r="BD513" i="1" s="1"/>
  <c r="BE513" i="1" s="1"/>
  <c r="AV376" i="1"/>
  <c r="AW376" i="1" s="1"/>
  <c r="AX376" i="1" s="1"/>
  <c r="AY376" i="1" s="1"/>
  <c r="AZ376" i="1" s="1"/>
  <c r="BA376" i="1" s="1"/>
  <c r="BB376" i="1" s="1"/>
  <c r="BC376" i="1" s="1"/>
  <c r="BD376" i="1" s="1"/>
  <c r="BE376" i="1" s="1"/>
  <c r="BF376" i="1" s="1"/>
  <c r="BG376" i="1" s="1"/>
  <c r="AV303" i="1"/>
  <c r="AW303" i="1" s="1"/>
  <c r="AX303" i="1" s="1"/>
  <c r="AY303" i="1" s="1"/>
  <c r="AZ303" i="1" s="1"/>
  <c r="BA303" i="1" s="1"/>
  <c r="BB303" i="1" s="1"/>
  <c r="BC303" i="1" s="1"/>
  <c r="BD303" i="1" s="1"/>
  <c r="BE303" i="1" s="1"/>
  <c r="BF303" i="1" s="1"/>
  <c r="BJ303" i="1" s="1"/>
  <c r="AV209" i="1"/>
  <c r="AW209" i="1" s="1"/>
  <c r="AX209" i="1" s="1"/>
  <c r="AY209" i="1" s="1"/>
  <c r="AZ209" i="1" s="1"/>
  <c r="BA209" i="1" s="1"/>
  <c r="BB209" i="1" s="1"/>
  <c r="BC209" i="1" s="1"/>
  <c r="BD209" i="1" s="1"/>
  <c r="BE209" i="1" s="1"/>
  <c r="AV188" i="1"/>
  <c r="AW188" i="1" s="1"/>
  <c r="AX188" i="1" s="1"/>
  <c r="AY188" i="1" s="1"/>
  <c r="AZ188" i="1" s="1"/>
  <c r="BA188" i="1" s="1"/>
  <c r="BB188" i="1" s="1"/>
  <c r="BC188" i="1" s="1"/>
  <c r="BD188" i="1" s="1"/>
  <c r="BE188" i="1" s="1"/>
  <c r="BF188" i="1" s="1"/>
  <c r="BJ188" i="1" s="1"/>
  <c r="AV307" i="1"/>
  <c r="AW307" i="1" s="1"/>
  <c r="AX307" i="1" s="1"/>
  <c r="AY307" i="1" s="1"/>
  <c r="AZ307" i="1" s="1"/>
  <c r="BA307" i="1" s="1"/>
  <c r="BB307" i="1" s="1"/>
  <c r="BC307" i="1" s="1"/>
  <c r="BD307" i="1" s="1"/>
  <c r="BE307" i="1" s="1"/>
  <c r="AV158" i="1"/>
  <c r="AW158" i="1" s="1"/>
  <c r="AX158" i="1" s="1"/>
  <c r="AY158" i="1" s="1"/>
  <c r="AZ158" i="1" s="1"/>
  <c r="BA158" i="1" s="1"/>
  <c r="BB158" i="1" s="1"/>
  <c r="BC158" i="1" s="1"/>
  <c r="BD158" i="1" s="1"/>
  <c r="BE158" i="1" s="1"/>
  <c r="BF158" i="1" s="1"/>
  <c r="BG158" i="1" s="1"/>
  <c r="AV430" i="1"/>
  <c r="AW430" i="1" s="1"/>
  <c r="AX430" i="1" s="1"/>
  <c r="AY430" i="1" s="1"/>
  <c r="AZ430" i="1" s="1"/>
  <c r="BA430" i="1" s="1"/>
  <c r="BB430" i="1" s="1"/>
  <c r="BC430" i="1" s="1"/>
  <c r="BD430" i="1" s="1"/>
  <c r="BE430" i="1" s="1"/>
  <c r="BF430" i="1" s="1"/>
  <c r="BG430" i="1" s="1"/>
  <c r="AV469" i="1"/>
  <c r="AW469" i="1" s="1"/>
  <c r="AX469" i="1" s="1"/>
  <c r="AY469" i="1" s="1"/>
  <c r="AZ469" i="1" s="1"/>
  <c r="BA469" i="1" s="1"/>
  <c r="BB469" i="1" s="1"/>
  <c r="BC469" i="1" s="1"/>
  <c r="BD469" i="1" s="1"/>
  <c r="BE469" i="1" s="1"/>
  <c r="BF469" i="1" s="1"/>
  <c r="BV469" i="1" s="1"/>
  <c r="AV422" i="1"/>
  <c r="AW422" i="1" s="1"/>
  <c r="AX422" i="1" s="1"/>
  <c r="AY422" i="1" s="1"/>
  <c r="AZ422" i="1" s="1"/>
  <c r="BA422" i="1" s="1"/>
  <c r="BB422" i="1" s="1"/>
  <c r="BC422" i="1" s="1"/>
  <c r="BD422" i="1" s="1"/>
  <c r="BE422" i="1" s="1"/>
  <c r="BF422" i="1" s="1"/>
  <c r="BG422" i="1" s="1"/>
  <c r="AV259" i="1"/>
  <c r="AW259" i="1" s="1"/>
  <c r="AX259" i="1" s="1"/>
  <c r="AY259" i="1" s="1"/>
  <c r="AZ259" i="1" s="1"/>
  <c r="BA259" i="1" s="1"/>
  <c r="BB259" i="1" s="1"/>
  <c r="BC259" i="1" s="1"/>
  <c r="BD259" i="1" s="1"/>
  <c r="BE259" i="1" s="1"/>
  <c r="BF259" i="1" s="1"/>
  <c r="BJ259" i="1" s="1"/>
  <c r="AV405" i="1"/>
  <c r="AW405" i="1" s="1"/>
  <c r="AX405" i="1" s="1"/>
  <c r="AY405" i="1" s="1"/>
  <c r="AZ405" i="1" s="1"/>
  <c r="BA405" i="1" s="1"/>
  <c r="BB405" i="1" s="1"/>
  <c r="BC405" i="1" s="1"/>
  <c r="BD405" i="1" s="1"/>
  <c r="BE405" i="1" s="1"/>
  <c r="BF405" i="1" s="1"/>
  <c r="BG405" i="1" s="1"/>
  <c r="AV426" i="1"/>
  <c r="AW426" i="1" s="1"/>
  <c r="AX426" i="1" s="1"/>
  <c r="AY426" i="1" s="1"/>
  <c r="AZ426" i="1" s="1"/>
  <c r="BA426" i="1" s="1"/>
  <c r="BB426" i="1" s="1"/>
  <c r="BC426" i="1" s="1"/>
  <c r="BD426" i="1" s="1"/>
  <c r="BE426" i="1" s="1"/>
  <c r="BF426" i="1" s="1"/>
  <c r="BG426" i="1" s="1"/>
  <c r="AV200" i="1"/>
  <c r="AW200" i="1" s="1"/>
  <c r="AX200" i="1" s="1"/>
  <c r="AY200" i="1" s="1"/>
  <c r="AZ200" i="1" s="1"/>
  <c r="BA200" i="1" s="1"/>
  <c r="BB200" i="1" s="1"/>
  <c r="BC200" i="1" s="1"/>
  <c r="BD200" i="1" s="1"/>
  <c r="BE200" i="1" s="1"/>
  <c r="BF200" i="1" s="1"/>
  <c r="BJ200" i="1" s="1"/>
  <c r="AV156" i="1"/>
  <c r="AW156" i="1" s="1"/>
  <c r="AX156" i="1" s="1"/>
  <c r="AY156" i="1" s="1"/>
  <c r="AZ156" i="1" s="1"/>
  <c r="BA156" i="1" s="1"/>
  <c r="BB156" i="1" s="1"/>
  <c r="BC156" i="1" s="1"/>
  <c r="BD156" i="1" s="1"/>
  <c r="BE156" i="1" s="1"/>
  <c r="BF156" i="1" s="1"/>
  <c r="BJ156" i="1" s="1"/>
  <c r="AV476" i="1"/>
  <c r="AW476" i="1" s="1"/>
  <c r="AX476" i="1" s="1"/>
  <c r="AY476" i="1" s="1"/>
  <c r="AZ476" i="1" s="1"/>
  <c r="BA476" i="1" s="1"/>
  <c r="BB476" i="1" s="1"/>
  <c r="BC476" i="1" s="1"/>
  <c r="BD476" i="1" s="1"/>
  <c r="BE476" i="1" s="1"/>
  <c r="BF476" i="1" s="1"/>
  <c r="BG476" i="1" s="1"/>
  <c r="AV274" i="1"/>
  <c r="AW274" i="1" s="1"/>
  <c r="AX274" i="1" s="1"/>
  <c r="AY274" i="1" s="1"/>
  <c r="AZ274" i="1" s="1"/>
  <c r="BA274" i="1" s="1"/>
  <c r="BB274" i="1" s="1"/>
  <c r="BC274" i="1" s="1"/>
  <c r="BD274" i="1" s="1"/>
  <c r="BE274" i="1" s="1"/>
  <c r="BF274" i="1" s="1"/>
  <c r="BG274" i="1" s="1"/>
  <c r="AV174" i="1"/>
  <c r="AW174" i="1" s="1"/>
  <c r="AX174" i="1" s="1"/>
  <c r="AY174" i="1" s="1"/>
  <c r="AZ174" i="1" s="1"/>
  <c r="BA174" i="1" s="1"/>
  <c r="BB174" i="1" s="1"/>
  <c r="BC174" i="1" s="1"/>
  <c r="BD174" i="1" s="1"/>
  <c r="BE174" i="1" s="1"/>
  <c r="AV215" i="1"/>
  <c r="AW215" i="1" s="1"/>
  <c r="AX215" i="1" s="1"/>
  <c r="AY215" i="1" s="1"/>
  <c r="AZ215" i="1" s="1"/>
  <c r="BA215" i="1" s="1"/>
  <c r="BB215" i="1" s="1"/>
  <c r="BC215" i="1" s="1"/>
  <c r="BD215" i="1" s="1"/>
  <c r="BE215" i="1" s="1"/>
  <c r="AV269" i="1"/>
  <c r="AW269" i="1" s="1"/>
  <c r="AX269" i="1" s="1"/>
  <c r="AY269" i="1" s="1"/>
  <c r="AZ269" i="1" s="1"/>
  <c r="BA269" i="1" s="1"/>
  <c r="BB269" i="1" s="1"/>
  <c r="BC269" i="1" s="1"/>
  <c r="BD269" i="1" s="1"/>
  <c r="BE269" i="1" s="1"/>
  <c r="BF269" i="1" s="1"/>
  <c r="BJ269" i="1" s="1"/>
  <c r="AV278" i="1"/>
  <c r="AW278" i="1" s="1"/>
  <c r="AX278" i="1" s="1"/>
  <c r="AY278" i="1" s="1"/>
  <c r="AZ278" i="1" s="1"/>
  <c r="BA278" i="1" s="1"/>
  <c r="BB278" i="1" s="1"/>
  <c r="BC278" i="1" s="1"/>
  <c r="BD278" i="1" s="1"/>
  <c r="BE278" i="1" s="1"/>
  <c r="BF278" i="1" s="1"/>
  <c r="BJ278" i="1" s="1"/>
  <c r="AV369" i="1"/>
  <c r="AW369" i="1" s="1"/>
  <c r="AX369" i="1" s="1"/>
  <c r="AY369" i="1" s="1"/>
  <c r="AZ369" i="1" s="1"/>
  <c r="BA369" i="1" s="1"/>
  <c r="BB369" i="1" s="1"/>
  <c r="BC369" i="1" s="1"/>
  <c r="BD369" i="1" s="1"/>
  <c r="BE369" i="1" s="1"/>
  <c r="BF369" i="1" s="1"/>
  <c r="BJ369" i="1" s="1"/>
  <c r="AV254" i="1"/>
  <c r="AW254" i="1" s="1"/>
  <c r="AX254" i="1" s="1"/>
  <c r="AY254" i="1" s="1"/>
  <c r="AZ254" i="1" s="1"/>
  <c r="BA254" i="1" s="1"/>
  <c r="BB254" i="1" s="1"/>
  <c r="BC254" i="1" s="1"/>
  <c r="BD254" i="1" s="1"/>
  <c r="BE254" i="1" s="1"/>
  <c r="BF254" i="1" s="1"/>
  <c r="BJ254" i="1" s="1"/>
  <c r="AV368" i="1"/>
  <c r="AW368" i="1" s="1"/>
  <c r="AX368" i="1" s="1"/>
  <c r="AY368" i="1" s="1"/>
  <c r="AZ368" i="1" s="1"/>
  <c r="BA368" i="1" s="1"/>
  <c r="BB368" i="1" s="1"/>
  <c r="BC368" i="1" s="1"/>
  <c r="BD368" i="1" s="1"/>
  <c r="BE368" i="1" s="1"/>
  <c r="AV191" i="1"/>
  <c r="AW191" i="1" s="1"/>
  <c r="AX191" i="1" s="1"/>
  <c r="AY191" i="1" s="1"/>
  <c r="AZ191" i="1" s="1"/>
  <c r="BA191" i="1" s="1"/>
  <c r="BB191" i="1" s="1"/>
  <c r="BC191" i="1" s="1"/>
  <c r="BD191" i="1" s="1"/>
  <c r="BE191" i="1" s="1"/>
  <c r="BF191" i="1" s="1"/>
  <c r="BJ191" i="1" s="1"/>
  <c r="AV54" i="1"/>
  <c r="AW54" i="1" s="1"/>
  <c r="AX54" i="1" s="1"/>
  <c r="AY54" i="1" s="1"/>
  <c r="AZ54" i="1" s="1"/>
  <c r="BA54" i="1" s="1"/>
  <c r="BB54" i="1" s="1"/>
  <c r="BC54" i="1" s="1"/>
  <c r="BD54" i="1" s="1"/>
  <c r="BE54" i="1" s="1"/>
  <c r="BF54" i="1" s="1"/>
  <c r="BJ54" i="1" s="1"/>
  <c r="AP711" i="1"/>
  <c r="BG572" i="1"/>
  <c r="BV241" i="1"/>
  <c r="CZ572" i="1"/>
  <c r="BJ304" i="1"/>
  <c r="CZ392" i="1"/>
  <c r="BG501" i="1"/>
  <c r="BJ172" i="1"/>
  <c r="BK172" i="1" s="1"/>
  <c r="BG298" i="1"/>
  <c r="AP715" i="1"/>
  <c r="CZ532" i="1"/>
  <c r="BJ179" i="1"/>
  <c r="BV59" i="1"/>
  <c r="BG28" i="1"/>
  <c r="AP704" i="1"/>
  <c r="BG184" i="1"/>
  <c r="BV38" i="1"/>
  <c r="BJ197" i="1"/>
  <c r="BG389" i="1"/>
  <c r="BG370" i="1"/>
  <c r="BV389" i="1"/>
  <c r="BJ285" i="1"/>
  <c r="CZ220" i="1"/>
  <c r="BV438" i="1"/>
  <c r="BG193" i="1"/>
  <c r="BG702" i="1" s="1"/>
  <c r="D21" i="8" s="1"/>
  <c r="BG186" i="1"/>
  <c r="BG208" i="1"/>
  <c r="BJ48" i="1"/>
  <c r="CZ337" i="1"/>
  <c r="BJ299" i="1"/>
  <c r="BG284" i="1"/>
  <c r="BJ300" i="1"/>
  <c r="BK300" i="1" s="1"/>
  <c r="BJ205" i="1"/>
  <c r="BJ187" i="1"/>
  <c r="CZ326" i="1"/>
  <c r="BG210" i="1"/>
  <c r="BJ305" i="1"/>
  <c r="CZ484" i="1"/>
  <c r="AP710" i="1"/>
  <c r="AP720" i="1" s="1"/>
  <c r="C20" i="8" s="1"/>
  <c r="BG372" i="1"/>
  <c r="BG211" i="1"/>
  <c r="BG392" i="1"/>
  <c r="BG576" i="1"/>
  <c r="AP708" i="1"/>
  <c r="CZ372" i="1"/>
  <c r="BG532" i="1"/>
  <c r="BJ517" i="1"/>
  <c r="BJ44" i="1"/>
  <c r="BV251" i="1"/>
  <c r="AT711" i="1"/>
  <c r="AT697" i="1"/>
  <c r="BG342" i="1"/>
  <c r="BV250" i="1"/>
  <c r="BV336" i="1"/>
  <c r="AP697" i="1"/>
  <c r="BZ569" i="1"/>
  <c r="CA569" i="1" s="1"/>
  <c r="CB569" i="1" s="1"/>
  <c r="CC569" i="1" s="1"/>
  <c r="CD569" i="1" s="1"/>
  <c r="CE569" i="1" s="1"/>
  <c r="CF569" i="1" s="1"/>
  <c r="CG569" i="1" s="1"/>
  <c r="CH569" i="1" s="1"/>
  <c r="CI569" i="1" s="1"/>
  <c r="CJ569" i="1" s="1"/>
  <c r="BU62" i="1"/>
  <c r="BY62" i="1" s="1"/>
  <c r="BZ62" i="1" s="1"/>
  <c r="CA62" i="1" s="1"/>
  <c r="CB62" i="1" s="1"/>
  <c r="CC62" i="1" s="1"/>
  <c r="CD62" i="1" s="1"/>
  <c r="CE62" i="1" s="1"/>
  <c r="CF62" i="1" s="1"/>
  <c r="CG62" i="1" s="1"/>
  <c r="CH62" i="1" s="1"/>
  <c r="CI62" i="1" s="1"/>
  <c r="CJ62" i="1" s="1"/>
  <c r="BU61" i="1"/>
  <c r="BY61" i="1" s="1"/>
  <c r="BZ61" i="1" s="1"/>
  <c r="CA61" i="1" s="1"/>
  <c r="CB61" i="1" s="1"/>
  <c r="CC61" i="1" s="1"/>
  <c r="CD61" i="1" s="1"/>
  <c r="CE61" i="1" s="1"/>
  <c r="CF61" i="1" s="1"/>
  <c r="CG61" i="1" s="1"/>
  <c r="CH61" i="1" s="1"/>
  <c r="CI61" i="1" s="1"/>
  <c r="CJ61" i="1" s="1"/>
  <c r="BG185" i="1"/>
  <c r="BG366" i="1"/>
  <c r="BF176" i="1"/>
  <c r="BG176" i="1" s="1"/>
  <c r="BF362" i="1"/>
  <c r="BG362" i="1" s="1"/>
  <c r="BF279" i="1"/>
  <c r="BJ279" i="1" s="1"/>
  <c r="BF114" i="1"/>
  <c r="BG114" i="1" s="1"/>
  <c r="BF265" i="1"/>
  <c r="BG265" i="1" s="1"/>
  <c r="BF359" i="1"/>
  <c r="BJ359" i="1" s="1"/>
  <c r="BF71" i="1"/>
  <c r="BJ71" i="1" s="1"/>
  <c r="BF206" i="1"/>
  <c r="BG206" i="1" s="1"/>
  <c r="CZ249" i="1"/>
  <c r="BV249" i="1"/>
  <c r="CZ252" i="1"/>
  <c r="BV252" i="1"/>
  <c r="BF399" i="1"/>
  <c r="BG399" i="1" s="1"/>
  <c r="BF170" i="1"/>
  <c r="BJ170" i="1" s="1"/>
  <c r="BF95" i="1"/>
  <c r="BJ95" i="1" s="1"/>
  <c r="BF256" i="1"/>
  <c r="BG256" i="1" s="1"/>
  <c r="BF475" i="1"/>
  <c r="BG475" i="1" s="1"/>
  <c r="BF272" i="1"/>
  <c r="BG272" i="1" s="1"/>
  <c r="BF73" i="1"/>
  <c r="BG73" i="1" s="1"/>
  <c r="BF412" i="1"/>
  <c r="CZ412" i="1" s="1"/>
  <c r="BF78" i="1"/>
  <c r="BG78" i="1" s="1"/>
  <c r="BG703" i="1" s="1"/>
  <c r="BF257" i="1"/>
  <c r="BJ257" i="1" s="1"/>
  <c r="BF261" i="1"/>
  <c r="BG261" i="1" s="1"/>
  <c r="BF486" i="1"/>
  <c r="BG486" i="1" s="1"/>
  <c r="BF368" i="1"/>
  <c r="BJ368" i="1" s="1"/>
  <c r="BF159" i="1"/>
  <c r="BJ159" i="1" s="1"/>
  <c r="BF218" i="1"/>
  <c r="BG218" i="1" s="1"/>
  <c r="BF63" i="1"/>
  <c r="BG63" i="1" s="1"/>
  <c r="BF217" i="1"/>
  <c r="BJ217" i="1" s="1"/>
  <c r="CZ404" i="1"/>
  <c r="BF361" i="1"/>
  <c r="BJ361" i="1" s="1"/>
  <c r="BF414" i="1"/>
  <c r="BJ414" i="1" s="1"/>
  <c r="BF283" i="1"/>
  <c r="BJ283" i="1" s="1"/>
  <c r="BF183" i="1"/>
  <c r="BJ183" i="1" s="1"/>
  <c r="BF413" i="1"/>
  <c r="BG413" i="1" s="1"/>
  <c r="CZ436" i="1"/>
  <c r="BV436" i="1"/>
  <c r="BF64" i="1"/>
  <c r="BJ64" i="1" s="1"/>
  <c r="BF271" i="1"/>
  <c r="BJ271" i="1" s="1"/>
  <c r="BF119" i="1"/>
  <c r="BJ119" i="1" s="1"/>
  <c r="BF273" i="1"/>
  <c r="BG273" i="1" s="1"/>
  <c r="BF356" i="1"/>
  <c r="BJ356" i="1" s="1"/>
  <c r="BF270" i="1"/>
  <c r="BG270" i="1" s="1"/>
  <c r="BF354" i="1"/>
  <c r="BJ354" i="1" s="1"/>
  <c r="BJ344" i="1"/>
  <c r="CZ344" i="1"/>
  <c r="CZ437" i="1"/>
  <c r="BV437" i="1"/>
  <c r="BF260" i="1"/>
  <c r="BJ260" i="1" s="1"/>
  <c r="BF498" i="1"/>
  <c r="BG498" i="1" s="1"/>
  <c r="BF401" i="1"/>
  <c r="BJ401" i="1" s="1"/>
  <c r="BF177" i="1"/>
  <c r="BJ177" i="1" s="1"/>
  <c r="BF42" i="1"/>
  <c r="BG42" i="1" s="1"/>
  <c r="BF307" i="1"/>
  <c r="BJ307" i="1" s="1"/>
  <c r="BF282" i="1"/>
  <c r="BG282" i="1" s="1"/>
  <c r="BF214" i="1"/>
  <c r="BJ214" i="1" s="1"/>
  <c r="BF308" i="1"/>
  <c r="BJ308" i="1" s="1"/>
  <c r="BF396" i="1"/>
  <c r="BJ396" i="1" s="1"/>
  <c r="BF121" i="1"/>
  <c r="CZ121" i="1" s="1"/>
  <c r="BF277" i="1"/>
  <c r="BJ277" i="1" s="1"/>
  <c r="BF410" i="1"/>
  <c r="BJ410" i="1" s="1"/>
  <c r="BF379" i="1"/>
  <c r="BG379" i="1" s="1"/>
  <c r="BF467" i="1"/>
  <c r="BG467" i="1" s="1"/>
  <c r="BF213" i="1"/>
  <c r="BJ213" i="1" s="1"/>
  <c r="BF215" i="1"/>
  <c r="BG215" i="1" s="1"/>
  <c r="BF513" i="1"/>
  <c r="CZ513" i="1" s="1"/>
  <c r="CZ709" i="1" s="1"/>
  <c r="F24" i="8" s="1"/>
  <c r="BF402" i="1"/>
  <c r="BG402" i="1" s="1"/>
  <c r="BF470" i="1"/>
  <c r="BG470" i="1" s="1"/>
  <c r="BF371" i="1"/>
  <c r="CZ242" i="1"/>
  <c r="BV242" i="1"/>
  <c r="CZ458" i="1"/>
  <c r="BV458" i="1"/>
  <c r="CZ435" i="1"/>
  <c r="BV435" i="1"/>
  <c r="BV440" i="1"/>
  <c r="CZ440" i="1"/>
  <c r="BF209" i="1"/>
  <c r="BG209" i="1" s="1"/>
  <c r="BF174" i="1"/>
  <c r="CZ174" i="1" s="1"/>
  <c r="BF202" i="1"/>
  <c r="BG202" i="1" s="1"/>
  <c r="BF293" i="1"/>
  <c r="BJ293" i="1" s="1"/>
  <c r="BF468" i="1"/>
  <c r="BJ468" i="1" s="1"/>
  <c r="BF297" i="1"/>
  <c r="BJ297" i="1" s="1"/>
  <c r="BF406" i="1"/>
  <c r="BG406" i="1" s="1"/>
  <c r="AR146" i="1"/>
  <c r="AS146" i="1" s="1"/>
  <c r="AS697" i="1" s="1"/>
  <c r="CZ570" i="1"/>
  <c r="BJ114" i="1"/>
  <c r="BJ577" i="1"/>
  <c r="BL518" i="1"/>
  <c r="BM518" i="1" s="1"/>
  <c r="BN518" i="1" s="1"/>
  <c r="BO518" i="1" s="1"/>
  <c r="BP518" i="1" s="1"/>
  <c r="BQ518" i="1" s="1"/>
  <c r="BR518" i="1" s="1"/>
  <c r="BS518" i="1" s="1"/>
  <c r="BT518" i="1" s="1"/>
  <c r="BG577" i="1"/>
  <c r="BK28" i="1"/>
  <c r="BK186" i="1"/>
  <c r="BK197" i="1"/>
  <c r="BK532" i="1"/>
  <c r="BK366" i="1"/>
  <c r="BK575" i="1"/>
  <c r="BK304" i="1"/>
  <c r="BK576" i="1"/>
  <c r="BK517" i="1"/>
  <c r="BK298" i="1"/>
  <c r="BK342" i="1"/>
  <c r="BK208" i="1"/>
  <c r="BK211" i="1"/>
  <c r="BK501" i="1"/>
  <c r="BK184" i="1"/>
  <c r="BK210" i="1"/>
  <c r="BK284" i="1"/>
  <c r="BK370" i="1"/>
  <c r="BK185" i="1"/>
  <c r="N722" i="1"/>
  <c r="BH1077" i="4"/>
  <c r="CN61" i="1" l="1"/>
  <c r="CO61" i="1" s="1"/>
  <c r="CP61" i="1" s="1"/>
  <c r="CQ61" i="1" s="1"/>
  <c r="CR61" i="1" s="1"/>
  <c r="CS61" i="1" s="1"/>
  <c r="CT61" i="1" s="1"/>
  <c r="CU61" i="1" s="1"/>
  <c r="CV61" i="1" s="1"/>
  <c r="CW61" i="1" s="1"/>
  <c r="CX61" i="1" s="1"/>
  <c r="CY61" i="1" s="1"/>
  <c r="CN569" i="1"/>
  <c r="CN62" i="1"/>
  <c r="CO62" i="1" s="1"/>
  <c r="CP62" i="1" s="1"/>
  <c r="CQ62" i="1" s="1"/>
  <c r="CR62" i="1" s="1"/>
  <c r="CS62" i="1" s="1"/>
  <c r="CT62" i="1" s="1"/>
  <c r="CU62" i="1" s="1"/>
  <c r="CV62" i="1" s="1"/>
  <c r="CW62" i="1" s="1"/>
  <c r="CX62" i="1" s="1"/>
  <c r="CY62" i="1" s="1"/>
  <c r="BG705" i="1"/>
  <c r="G21" i="8" s="1"/>
  <c r="BK299" i="1"/>
  <c r="BK305" i="1"/>
  <c r="BL305" i="1" s="1"/>
  <c r="BM305" i="1" s="1"/>
  <c r="BN305" i="1" s="1"/>
  <c r="BO305" i="1" s="1"/>
  <c r="BP305" i="1" s="1"/>
  <c r="BQ305" i="1" s="1"/>
  <c r="BR305" i="1" s="1"/>
  <c r="BS305" i="1" s="1"/>
  <c r="BT305" i="1" s="1"/>
  <c r="BK577" i="1"/>
  <c r="BL577" i="1" s="1"/>
  <c r="BM577" i="1" s="1"/>
  <c r="BN577" i="1" s="1"/>
  <c r="BO577" i="1" s="1"/>
  <c r="BP577" i="1" s="1"/>
  <c r="BQ577" i="1" s="1"/>
  <c r="BR577" i="1" s="1"/>
  <c r="BS577" i="1" s="1"/>
  <c r="BT577" i="1" s="1"/>
  <c r="BK44" i="1"/>
  <c r="BK179" i="1"/>
  <c r="BL179" i="1" s="1"/>
  <c r="BM179" i="1" s="1"/>
  <c r="BN179" i="1" s="1"/>
  <c r="BO179" i="1" s="1"/>
  <c r="BP179" i="1" s="1"/>
  <c r="BQ179" i="1" s="1"/>
  <c r="BR179" i="1" s="1"/>
  <c r="BS179" i="1" s="1"/>
  <c r="BT179" i="1" s="1"/>
  <c r="BK187" i="1"/>
  <c r="BL187" i="1" s="1"/>
  <c r="BM187" i="1" s="1"/>
  <c r="BN187" i="1" s="1"/>
  <c r="BO187" i="1" s="1"/>
  <c r="BP187" i="1" s="1"/>
  <c r="BQ187" i="1" s="1"/>
  <c r="BR187" i="1" s="1"/>
  <c r="BS187" i="1" s="1"/>
  <c r="BT187" i="1" s="1"/>
  <c r="BK48" i="1"/>
  <c r="BK285" i="1"/>
  <c r="BK205" i="1"/>
  <c r="BJ399" i="1"/>
  <c r="BJ175" i="1"/>
  <c r="BG293" i="1"/>
  <c r="BJ476" i="1"/>
  <c r="BJ274" i="1"/>
  <c r="BK274" i="1" s="1"/>
  <c r="BG177" i="1"/>
  <c r="BG213" i="1"/>
  <c r="BG368" i="1"/>
  <c r="BG173" i="1"/>
  <c r="AP719" i="1"/>
  <c r="B20" i="8" s="1"/>
  <c r="I20" i="8" s="1"/>
  <c r="J20" i="8" s="1"/>
  <c r="BG414" i="1"/>
  <c r="BG416" i="1"/>
  <c r="BJ467" i="1"/>
  <c r="BG283" i="1"/>
  <c r="BG207" i="1"/>
  <c r="BG378" i="1"/>
  <c r="BG396" i="1"/>
  <c r="BG117" i="1"/>
  <c r="BG174" i="1"/>
  <c r="BG307" i="1"/>
  <c r="BG217" i="1"/>
  <c r="BJ486" i="1"/>
  <c r="BJ275" i="1"/>
  <c r="BK275" i="1" s="1"/>
  <c r="BG410" i="1"/>
  <c r="BG255" i="1"/>
  <c r="BJ12" i="1"/>
  <c r="BJ273" i="1"/>
  <c r="CK569" i="1"/>
  <c r="BJ209" i="1"/>
  <c r="BJ92" i="1"/>
  <c r="BG257" i="1"/>
  <c r="BG474" i="1"/>
  <c r="BG308" i="1"/>
  <c r="BG297" i="1"/>
  <c r="BJ91" i="1"/>
  <c r="BJ42" i="1"/>
  <c r="CZ257" i="1"/>
  <c r="BG277" i="1"/>
  <c r="CZ255" i="1"/>
  <c r="BJ63" i="1"/>
  <c r="BG401" i="1"/>
  <c r="BG303" i="1"/>
  <c r="BG279" i="1"/>
  <c r="BG715" i="1" s="1"/>
  <c r="BG49" i="1"/>
  <c r="BJ203" i="1"/>
  <c r="BG260" i="1"/>
  <c r="BG428" i="1"/>
  <c r="BG361" i="1"/>
  <c r="AR697" i="1"/>
  <c r="BG188" i="1"/>
  <c r="BJ362" i="1"/>
  <c r="BJ429" i="1"/>
  <c r="BJ261" i="1"/>
  <c r="BK261" i="1" s="1"/>
  <c r="BG159" i="1"/>
  <c r="BG191" i="1"/>
  <c r="BG359" i="1"/>
  <c r="BJ402" i="1"/>
  <c r="CZ78" i="1"/>
  <c r="BJ416" i="1"/>
  <c r="BG383" i="1"/>
  <c r="BG411" i="1"/>
  <c r="BG356" i="1"/>
  <c r="BJ471" i="1"/>
  <c r="BJ282" i="1"/>
  <c r="BJ379" i="1"/>
  <c r="BK379" i="1" s="1"/>
  <c r="CZ170" i="1"/>
  <c r="BG513" i="1"/>
  <c r="BG709" i="1" s="1"/>
  <c r="F21" i="8" s="1"/>
  <c r="BG95" i="1"/>
  <c r="BG189" i="1"/>
  <c r="BG181" i="1"/>
  <c r="BG180" i="1"/>
  <c r="BG183" i="1"/>
  <c r="BG259" i="1"/>
  <c r="CZ173" i="1"/>
  <c r="BJ79" i="1"/>
  <c r="BJ267" i="1"/>
  <c r="BG170" i="1"/>
  <c r="BG354" i="1"/>
  <c r="BJ155" i="1"/>
  <c r="BJ73" i="1"/>
  <c r="BG262" i="1"/>
  <c r="BG369" i="1"/>
  <c r="BG271" i="1"/>
  <c r="BJ212" i="1"/>
  <c r="BJ176" i="1"/>
  <c r="BG71" i="1"/>
  <c r="BG412" i="1"/>
  <c r="BG423" i="1"/>
  <c r="BG468" i="1"/>
  <c r="BV29" i="1"/>
  <c r="BJ286" i="1"/>
  <c r="BV412" i="1"/>
  <c r="CZ256" i="1"/>
  <c r="BG182" i="1"/>
  <c r="BG499" i="1"/>
  <c r="BG178" i="1"/>
  <c r="BG29" i="1"/>
  <c r="BG352" i="1"/>
  <c r="BJ50" i="1"/>
  <c r="BJ78" i="1"/>
  <c r="BV513" i="1"/>
  <c r="BV709" i="1" s="1"/>
  <c r="F22" i="8" s="1"/>
  <c r="BV423" i="1"/>
  <c r="BJ120" i="1"/>
  <c r="BJ280" i="1"/>
  <c r="BJ270" i="1"/>
  <c r="BG119" i="1"/>
  <c r="BG427" i="1"/>
  <c r="BG424" i="1"/>
  <c r="BG54" i="1"/>
  <c r="BJ158" i="1"/>
  <c r="BK158" i="1" s="1"/>
  <c r="BJ215" i="1"/>
  <c r="BJ306" i="1"/>
  <c r="CZ469" i="1"/>
  <c r="CZ427" i="1"/>
  <c r="BG75" i="1"/>
  <c r="BG216" i="1"/>
  <c r="BG306" i="1"/>
  <c r="BG157" i="1"/>
  <c r="BG363" i="1"/>
  <c r="BJ202" i="1"/>
  <c r="BJ112" i="1"/>
  <c r="BG706" i="1"/>
  <c r="H21" i="8" s="1"/>
  <c r="BU518" i="1"/>
  <c r="BY518" i="1" s="1"/>
  <c r="BZ518" i="1" s="1"/>
  <c r="CA518" i="1" s="1"/>
  <c r="CB518" i="1" s="1"/>
  <c r="CC518" i="1" s="1"/>
  <c r="CD518" i="1" s="1"/>
  <c r="CE518" i="1" s="1"/>
  <c r="CF518" i="1" s="1"/>
  <c r="CG518" i="1" s="1"/>
  <c r="CH518" i="1" s="1"/>
  <c r="CI518" i="1" s="1"/>
  <c r="CJ518" i="1" s="1"/>
  <c r="BU577" i="1"/>
  <c r="BY577" i="1" s="1"/>
  <c r="BZ577" i="1" s="1"/>
  <c r="CA577" i="1" s="1"/>
  <c r="CB577" i="1" s="1"/>
  <c r="CC577" i="1" s="1"/>
  <c r="CD577" i="1" s="1"/>
  <c r="CE577" i="1" s="1"/>
  <c r="CF577" i="1" s="1"/>
  <c r="CG577" i="1" s="1"/>
  <c r="CH577" i="1" s="1"/>
  <c r="CI577" i="1" s="1"/>
  <c r="CJ577" i="1" s="1"/>
  <c r="BU146" i="1"/>
  <c r="BY146" i="1" s="1"/>
  <c r="BZ146" i="1" s="1"/>
  <c r="CA146" i="1" s="1"/>
  <c r="CB146" i="1" s="1"/>
  <c r="CC146" i="1" s="1"/>
  <c r="CD146" i="1" s="1"/>
  <c r="CE146" i="1" s="1"/>
  <c r="CF146" i="1" s="1"/>
  <c r="CG146" i="1" s="1"/>
  <c r="CH146" i="1" s="1"/>
  <c r="CI146" i="1" s="1"/>
  <c r="CJ146" i="1" s="1"/>
  <c r="CO569" i="1"/>
  <c r="CP569" i="1" s="1"/>
  <c r="CQ569" i="1" s="1"/>
  <c r="CR569" i="1" s="1"/>
  <c r="CS569" i="1" s="1"/>
  <c r="CT569" i="1" s="1"/>
  <c r="CU569" i="1" s="1"/>
  <c r="CV569" i="1" s="1"/>
  <c r="CW569" i="1" s="1"/>
  <c r="CX569" i="1" s="1"/>
  <c r="CY569" i="1" s="1"/>
  <c r="BJ256" i="1"/>
  <c r="BJ218" i="1"/>
  <c r="BJ430" i="1"/>
  <c r="BG214" i="1"/>
  <c r="BG200" i="1"/>
  <c r="BG278" i="1"/>
  <c r="BG385" i="1"/>
  <c r="BG118" i="1"/>
  <c r="BG472" i="1"/>
  <c r="BG156" i="1"/>
  <c r="BG404" i="1"/>
  <c r="BJ272" i="1"/>
  <c r="BV404" i="1"/>
  <c r="BJ121" i="1"/>
  <c r="BJ422" i="1"/>
  <c r="BG121" i="1"/>
  <c r="BG64" i="1"/>
  <c r="BG254" i="1"/>
  <c r="BJ502" i="1"/>
  <c r="BG469" i="1"/>
  <c r="BG269" i="1"/>
  <c r="BG371" i="1"/>
  <c r="BG393" i="1"/>
  <c r="BG296" i="1"/>
  <c r="BG266" i="1"/>
  <c r="BJ206" i="1"/>
  <c r="BJ393" i="1"/>
  <c r="BJ174" i="1"/>
  <c r="BJ473" i="1"/>
  <c r="BJ351" i="1"/>
  <c r="BJ503" i="1"/>
  <c r="BJ470" i="1"/>
  <c r="BJ171" i="1"/>
  <c r="CZ378" i="1"/>
  <c r="BJ475" i="1"/>
  <c r="BJ373" i="1"/>
  <c r="BJ376" i="1"/>
  <c r="BJ406" i="1"/>
  <c r="BJ413" i="1"/>
  <c r="BJ265" i="1"/>
  <c r="BJ371" i="1"/>
  <c r="BJ498" i="1"/>
  <c r="BJ405" i="1"/>
  <c r="BJ381" i="1"/>
  <c r="BJ426" i="1"/>
  <c r="BK344" i="1"/>
  <c r="BL344" i="1" s="1"/>
  <c r="BM344" i="1" s="1"/>
  <c r="BN344" i="1" s="1"/>
  <c r="AP717" i="1"/>
  <c r="AP712" i="1"/>
  <c r="AP725" i="1" s="1"/>
  <c r="AT712" i="1"/>
  <c r="AT725" i="1" s="1"/>
  <c r="BL210" i="1"/>
  <c r="BM210" i="1" s="1"/>
  <c r="BN210" i="1" s="1"/>
  <c r="BO210" i="1" s="1"/>
  <c r="BP210" i="1" s="1"/>
  <c r="BQ210" i="1" s="1"/>
  <c r="BR210" i="1" s="1"/>
  <c r="BS210" i="1" s="1"/>
  <c r="BT210" i="1" s="1"/>
  <c r="BL342" i="1"/>
  <c r="BM342" i="1" s="1"/>
  <c r="BN342" i="1" s="1"/>
  <c r="BO342" i="1" s="1"/>
  <c r="BP342" i="1" s="1"/>
  <c r="BQ342" i="1" s="1"/>
  <c r="BR342" i="1" s="1"/>
  <c r="BS342" i="1" s="1"/>
  <c r="BT342" i="1" s="1"/>
  <c r="BL299" i="1"/>
  <c r="BM299" i="1" s="1"/>
  <c r="BN299" i="1" s="1"/>
  <c r="BO299" i="1" s="1"/>
  <c r="BP299" i="1" s="1"/>
  <c r="BQ299" i="1" s="1"/>
  <c r="BR299" i="1" s="1"/>
  <c r="BS299" i="1" s="1"/>
  <c r="BT299" i="1" s="1"/>
  <c r="BL285" i="1"/>
  <c r="BL298" i="1"/>
  <c r="BM298" i="1" s="1"/>
  <c r="BN298" i="1" s="1"/>
  <c r="BO298" i="1" s="1"/>
  <c r="BP298" i="1" s="1"/>
  <c r="BQ298" i="1" s="1"/>
  <c r="BR298" i="1" s="1"/>
  <c r="BS298" i="1" s="1"/>
  <c r="BT298" i="1" s="1"/>
  <c r="BL575" i="1"/>
  <c r="BM575" i="1" s="1"/>
  <c r="BN575" i="1" s="1"/>
  <c r="BO575" i="1" s="1"/>
  <c r="BP575" i="1" s="1"/>
  <c r="BQ575" i="1" s="1"/>
  <c r="BR575" i="1" s="1"/>
  <c r="BS575" i="1" s="1"/>
  <c r="BT575" i="1" s="1"/>
  <c r="BL28" i="1"/>
  <c r="BM28" i="1" s="1"/>
  <c r="BN28" i="1" s="1"/>
  <c r="BO28" i="1" s="1"/>
  <c r="BP28" i="1" s="1"/>
  <c r="BQ28" i="1" s="1"/>
  <c r="BR28" i="1" s="1"/>
  <c r="BS28" i="1" s="1"/>
  <c r="BT28" i="1" s="1"/>
  <c r="BL184" i="1"/>
  <c r="BM184" i="1" s="1"/>
  <c r="BN184" i="1" s="1"/>
  <c r="BO184" i="1" s="1"/>
  <c r="BP184" i="1" s="1"/>
  <c r="BQ184" i="1" s="1"/>
  <c r="BR184" i="1" s="1"/>
  <c r="BS184" i="1" s="1"/>
  <c r="BT184" i="1" s="1"/>
  <c r="BL172" i="1"/>
  <c r="BM172" i="1" s="1"/>
  <c r="BN172" i="1" s="1"/>
  <c r="BO172" i="1" s="1"/>
  <c r="BP172" i="1" s="1"/>
  <c r="BQ172" i="1" s="1"/>
  <c r="BR172" i="1" s="1"/>
  <c r="BS172" i="1" s="1"/>
  <c r="BT172" i="1" s="1"/>
  <c r="BL366" i="1"/>
  <c r="BM366" i="1" s="1"/>
  <c r="BN366" i="1" s="1"/>
  <c r="BO366" i="1" s="1"/>
  <c r="BP366" i="1" s="1"/>
  <c r="BQ366" i="1" s="1"/>
  <c r="BR366" i="1" s="1"/>
  <c r="BS366" i="1" s="1"/>
  <c r="BT366" i="1" s="1"/>
  <c r="BL44" i="1"/>
  <c r="BM44" i="1" s="1"/>
  <c r="BN44" i="1" s="1"/>
  <c r="BO44" i="1" s="1"/>
  <c r="BP44" i="1" s="1"/>
  <c r="BQ44" i="1" s="1"/>
  <c r="BR44" i="1" s="1"/>
  <c r="BS44" i="1" s="1"/>
  <c r="BT44" i="1" s="1"/>
  <c r="BL501" i="1"/>
  <c r="BM501" i="1" s="1"/>
  <c r="BN501" i="1" s="1"/>
  <c r="BO501" i="1" s="1"/>
  <c r="BP501" i="1" s="1"/>
  <c r="BQ501" i="1" s="1"/>
  <c r="BR501" i="1" s="1"/>
  <c r="BS501" i="1" s="1"/>
  <c r="BT501" i="1" s="1"/>
  <c r="BL532" i="1"/>
  <c r="BM532" i="1" s="1"/>
  <c r="BN532" i="1" s="1"/>
  <c r="BO532" i="1" s="1"/>
  <c r="BP532" i="1" s="1"/>
  <c r="BQ532" i="1" s="1"/>
  <c r="BR532" i="1" s="1"/>
  <c r="BS532" i="1" s="1"/>
  <c r="BV532" i="1" s="1"/>
  <c r="BL185" i="1"/>
  <c r="BM185" i="1" s="1"/>
  <c r="BN185" i="1" s="1"/>
  <c r="BO185" i="1" s="1"/>
  <c r="BP185" i="1" s="1"/>
  <c r="BQ185" i="1" s="1"/>
  <c r="BR185" i="1" s="1"/>
  <c r="BS185" i="1" s="1"/>
  <c r="BT185" i="1" s="1"/>
  <c r="BL205" i="1"/>
  <c r="BM205" i="1" s="1"/>
  <c r="BN205" i="1" s="1"/>
  <c r="BO205" i="1" s="1"/>
  <c r="BP205" i="1" s="1"/>
  <c r="BQ205" i="1" s="1"/>
  <c r="BR205" i="1" s="1"/>
  <c r="BS205" i="1" s="1"/>
  <c r="BT205" i="1" s="1"/>
  <c r="BL197" i="1"/>
  <c r="BM197" i="1" s="1"/>
  <c r="BN197" i="1" s="1"/>
  <c r="BO197" i="1" s="1"/>
  <c r="BP197" i="1" s="1"/>
  <c r="BQ197" i="1" s="1"/>
  <c r="BR197" i="1" s="1"/>
  <c r="BS197" i="1" s="1"/>
  <c r="BT197" i="1" s="1"/>
  <c r="BL370" i="1"/>
  <c r="BM370" i="1" s="1"/>
  <c r="BN370" i="1" s="1"/>
  <c r="BO370" i="1" s="1"/>
  <c r="BP370" i="1" s="1"/>
  <c r="BQ370" i="1" s="1"/>
  <c r="BR370" i="1" s="1"/>
  <c r="BS370" i="1" s="1"/>
  <c r="BT370" i="1" s="1"/>
  <c r="BL211" i="1"/>
  <c r="BM211" i="1" s="1"/>
  <c r="BN211" i="1" s="1"/>
  <c r="BO211" i="1" s="1"/>
  <c r="BP211" i="1" s="1"/>
  <c r="BQ211" i="1" s="1"/>
  <c r="BR211" i="1" s="1"/>
  <c r="BS211" i="1" s="1"/>
  <c r="BT211" i="1" s="1"/>
  <c r="BL517" i="1"/>
  <c r="BM517" i="1" s="1"/>
  <c r="BN517" i="1" s="1"/>
  <c r="BO517" i="1" s="1"/>
  <c r="BP517" i="1" s="1"/>
  <c r="BQ517" i="1" s="1"/>
  <c r="BR517" i="1" s="1"/>
  <c r="BS517" i="1" s="1"/>
  <c r="BT517" i="1" s="1"/>
  <c r="BL300" i="1"/>
  <c r="BM300" i="1" s="1"/>
  <c r="BN300" i="1" s="1"/>
  <c r="BO300" i="1" s="1"/>
  <c r="BP300" i="1" s="1"/>
  <c r="BQ300" i="1" s="1"/>
  <c r="BR300" i="1" s="1"/>
  <c r="BS300" i="1" s="1"/>
  <c r="BT300" i="1" s="1"/>
  <c r="BL284" i="1"/>
  <c r="BM284" i="1" s="1"/>
  <c r="BN284" i="1" s="1"/>
  <c r="BO284" i="1" s="1"/>
  <c r="BP284" i="1" s="1"/>
  <c r="BQ284" i="1" s="1"/>
  <c r="BR284" i="1" s="1"/>
  <c r="BS284" i="1" s="1"/>
  <c r="BT284" i="1" s="1"/>
  <c r="BL208" i="1"/>
  <c r="BM208" i="1" s="1"/>
  <c r="BN208" i="1" s="1"/>
  <c r="BO208" i="1" s="1"/>
  <c r="BP208" i="1" s="1"/>
  <c r="BQ208" i="1" s="1"/>
  <c r="BR208" i="1" s="1"/>
  <c r="BS208" i="1" s="1"/>
  <c r="BT208" i="1" s="1"/>
  <c r="BL576" i="1"/>
  <c r="BM576" i="1" s="1"/>
  <c r="BN576" i="1" s="1"/>
  <c r="BO576" i="1" s="1"/>
  <c r="BP576" i="1" s="1"/>
  <c r="BQ576" i="1" s="1"/>
  <c r="BR576" i="1" s="1"/>
  <c r="BS576" i="1" s="1"/>
  <c r="BT576" i="1" s="1"/>
  <c r="BL186" i="1"/>
  <c r="BM186" i="1" s="1"/>
  <c r="BN186" i="1" s="1"/>
  <c r="BO186" i="1" s="1"/>
  <c r="BP186" i="1" s="1"/>
  <c r="BQ186" i="1" s="1"/>
  <c r="BR186" i="1" s="1"/>
  <c r="BS186" i="1" s="1"/>
  <c r="BT186" i="1" s="1"/>
  <c r="BL48" i="1"/>
  <c r="BM48" i="1" s="1"/>
  <c r="BN48" i="1" s="1"/>
  <c r="BO48" i="1" s="1"/>
  <c r="BP48" i="1" s="1"/>
  <c r="BQ48" i="1" s="1"/>
  <c r="BR48" i="1" s="1"/>
  <c r="BS48" i="1" s="1"/>
  <c r="BT48" i="1" s="1"/>
  <c r="BL304" i="1"/>
  <c r="BM304" i="1" s="1"/>
  <c r="BN304" i="1" s="1"/>
  <c r="BO304" i="1" s="1"/>
  <c r="BP304" i="1" s="1"/>
  <c r="BQ304" i="1" s="1"/>
  <c r="BR304" i="1" s="1"/>
  <c r="BS304" i="1" s="1"/>
  <c r="BT304" i="1" s="1"/>
  <c r="BK63" i="1"/>
  <c r="BK279" i="1"/>
  <c r="BK183" i="1"/>
  <c r="BK180" i="1"/>
  <c r="BK217" i="1"/>
  <c r="BK396" i="1"/>
  <c r="BK170" i="1"/>
  <c r="BK257" i="1"/>
  <c r="BK159" i="1"/>
  <c r="BK352" i="1"/>
  <c r="BK296" i="1"/>
  <c r="BK278" i="1"/>
  <c r="BK368" i="1"/>
  <c r="BK157" i="1"/>
  <c r="BK269" i="1"/>
  <c r="BK401" i="1"/>
  <c r="BK307" i="1"/>
  <c r="BK262" i="1"/>
  <c r="BK216" i="1"/>
  <c r="BK308" i="1"/>
  <c r="BK499" i="1"/>
  <c r="BK71" i="1"/>
  <c r="BK255" i="1"/>
  <c r="BK359" i="1"/>
  <c r="BK189" i="1"/>
  <c r="BK254" i="1"/>
  <c r="BK178" i="1"/>
  <c r="BK173" i="1"/>
  <c r="BK383" i="1"/>
  <c r="BK411" i="1"/>
  <c r="BK207" i="1"/>
  <c r="BK177" i="1"/>
  <c r="BK49" i="1"/>
  <c r="BK414" i="1"/>
  <c r="BK476" i="1"/>
  <c r="BK472" i="1"/>
  <c r="BK54" i="1"/>
  <c r="BK486" i="1"/>
  <c r="BK200" i="1"/>
  <c r="BK260" i="1"/>
  <c r="BK283" i="1"/>
  <c r="BK117" i="1"/>
  <c r="BK213" i="1"/>
  <c r="BK181" i="1"/>
  <c r="BK361" i="1"/>
  <c r="BK424" i="1"/>
  <c r="BK271" i="1"/>
  <c r="BK297" i="1"/>
  <c r="BK385" i="1"/>
  <c r="BK277" i="1"/>
  <c r="BK303" i="1"/>
  <c r="BK182" i="1"/>
  <c r="BK467" i="1"/>
  <c r="BK369" i="1"/>
  <c r="BK95" i="1"/>
  <c r="BK64" i="1"/>
  <c r="BK363" i="1"/>
  <c r="BK468" i="1"/>
  <c r="BK193" i="1"/>
  <c r="BK410" i="1"/>
  <c r="BK209" i="1"/>
  <c r="BK356" i="1"/>
  <c r="BK428" i="1"/>
  <c r="BK399" i="1"/>
  <c r="BK188" i="1"/>
  <c r="BK75" i="1"/>
  <c r="BK354" i="1"/>
  <c r="BK259" i="1"/>
  <c r="BK293" i="1"/>
  <c r="BK114" i="1"/>
  <c r="BK119" i="1"/>
  <c r="BK266" i="1"/>
  <c r="BK191" i="1"/>
  <c r="BK214" i="1"/>
  <c r="BK378" i="1"/>
  <c r="BK474" i="1"/>
  <c r="BK156" i="1"/>
  <c r="AT717" i="1"/>
  <c r="AT719" i="1"/>
  <c r="B8" i="8" s="1"/>
  <c r="I8" i="8" s="1"/>
  <c r="J8" i="8" s="1"/>
  <c r="CN577" i="1" l="1"/>
  <c r="CN146" i="1"/>
  <c r="CO146" i="1" s="1"/>
  <c r="CP146" i="1" s="1"/>
  <c r="CQ146" i="1" s="1"/>
  <c r="CR146" i="1" s="1"/>
  <c r="CS146" i="1" s="1"/>
  <c r="CT146" i="1" s="1"/>
  <c r="CU146" i="1" s="1"/>
  <c r="CV146" i="1" s="1"/>
  <c r="CW146" i="1" s="1"/>
  <c r="CX146" i="1" s="1"/>
  <c r="CY146" i="1" s="1"/>
  <c r="CN518" i="1"/>
  <c r="BK406" i="1"/>
  <c r="BK121" i="1"/>
  <c r="BK405" i="1"/>
  <c r="BL405" i="1" s="1"/>
  <c r="BM405" i="1" s="1"/>
  <c r="BN405" i="1" s="1"/>
  <c r="BO405" i="1" s="1"/>
  <c r="BP405" i="1" s="1"/>
  <c r="BQ405" i="1" s="1"/>
  <c r="BR405" i="1" s="1"/>
  <c r="BS405" i="1" s="1"/>
  <c r="BT405" i="1" s="1"/>
  <c r="BK376" i="1"/>
  <c r="BL376" i="1" s="1"/>
  <c r="BM376" i="1" s="1"/>
  <c r="BN376" i="1" s="1"/>
  <c r="BO376" i="1" s="1"/>
  <c r="BP376" i="1" s="1"/>
  <c r="BQ376" i="1" s="1"/>
  <c r="BR376" i="1" s="1"/>
  <c r="BS376" i="1" s="1"/>
  <c r="BT376" i="1" s="1"/>
  <c r="BK503" i="1"/>
  <c r="BK502" i="1"/>
  <c r="BL502" i="1" s="1"/>
  <c r="BM502" i="1" s="1"/>
  <c r="BN502" i="1" s="1"/>
  <c r="BO502" i="1" s="1"/>
  <c r="BP502" i="1" s="1"/>
  <c r="BQ502" i="1" s="1"/>
  <c r="BR502" i="1" s="1"/>
  <c r="BS502" i="1" s="1"/>
  <c r="BT502" i="1" s="1"/>
  <c r="BK256" i="1"/>
  <c r="BK112" i="1"/>
  <c r="BK120" i="1"/>
  <c r="BL120" i="1" s="1"/>
  <c r="BM120" i="1" s="1"/>
  <c r="BN120" i="1" s="1"/>
  <c r="BO120" i="1" s="1"/>
  <c r="BP120" i="1" s="1"/>
  <c r="BQ120" i="1" s="1"/>
  <c r="BR120" i="1" s="1"/>
  <c r="BS120" i="1" s="1"/>
  <c r="BT120" i="1" s="1"/>
  <c r="BK286" i="1"/>
  <c r="BL286" i="1" s="1"/>
  <c r="BM286" i="1" s="1"/>
  <c r="BN286" i="1" s="1"/>
  <c r="BO286" i="1" s="1"/>
  <c r="BP286" i="1" s="1"/>
  <c r="BQ286" i="1" s="1"/>
  <c r="BR286" i="1" s="1"/>
  <c r="BS286" i="1" s="1"/>
  <c r="BT286" i="1" s="1"/>
  <c r="BK176" i="1"/>
  <c r="BK155" i="1"/>
  <c r="BL155" i="1" s="1"/>
  <c r="BM155" i="1" s="1"/>
  <c r="BN155" i="1" s="1"/>
  <c r="BO155" i="1" s="1"/>
  <c r="BP155" i="1" s="1"/>
  <c r="BQ155" i="1" s="1"/>
  <c r="BR155" i="1" s="1"/>
  <c r="BS155" i="1" s="1"/>
  <c r="BT155" i="1" s="1"/>
  <c r="BK498" i="1"/>
  <c r="BK373" i="1"/>
  <c r="BK351" i="1"/>
  <c r="BL351" i="1" s="1"/>
  <c r="BM351" i="1" s="1"/>
  <c r="BN351" i="1" s="1"/>
  <c r="BO351" i="1" s="1"/>
  <c r="BP351" i="1" s="1"/>
  <c r="BQ351" i="1" s="1"/>
  <c r="BR351" i="1" s="1"/>
  <c r="BS351" i="1" s="1"/>
  <c r="BT351" i="1" s="1"/>
  <c r="BK272" i="1"/>
  <c r="BL272" i="1" s="1"/>
  <c r="BM272" i="1" s="1"/>
  <c r="BN272" i="1" s="1"/>
  <c r="BO272" i="1" s="1"/>
  <c r="BP272" i="1" s="1"/>
  <c r="BQ272" i="1" s="1"/>
  <c r="BR272" i="1" s="1"/>
  <c r="BS272" i="1" s="1"/>
  <c r="BT272" i="1" s="1"/>
  <c r="BK202" i="1"/>
  <c r="BL202" i="1" s="1"/>
  <c r="BM202" i="1" s="1"/>
  <c r="BN202" i="1" s="1"/>
  <c r="BO202" i="1" s="1"/>
  <c r="BP202" i="1" s="1"/>
  <c r="BQ202" i="1" s="1"/>
  <c r="BR202" i="1" s="1"/>
  <c r="BS202" i="1" s="1"/>
  <c r="BT202" i="1" s="1"/>
  <c r="BK212" i="1"/>
  <c r="BL212" i="1" s="1"/>
  <c r="BM212" i="1" s="1"/>
  <c r="BN212" i="1" s="1"/>
  <c r="BO212" i="1" s="1"/>
  <c r="BP212" i="1" s="1"/>
  <c r="BQ212" i="1" s="1"/>
  <c r="BR212" i="1" s="1"/>
  <c r="BS212" i="1" s="1"/>
  <c r="BT212" i="1" s="1"/>
  <c r="BK42" i="1"/>
  <c r="BK92" i="1"/>
  <c r="BK416" i="1"/>
  <c r="BL416" i="1" s="1"/>
  <c r="BK91" i="1"/>
  <c r="BL91" i="1" s="1"/>
  <c r="BM91" i="1" s="1"/>
  <c r="BN91" i="1" s="1"/>
  <c r="BO91" i="1" s="1"/>
  <c r="BP91" i="1" s="1"/>
  <c r="BQ91" i="1" s="1"/>
  <c r="BR91" i="1" s="1"/>
  <c r="BS91" i="1" s="1"/>
  <c r="BT91" i="1" s="1"/>
  <c r="BK470" i="1"/>
  <c r="BL470" i="1" s="1"/>
  <c r="BM470" i="1" s="1"/>
  <c r="BN470" i="1" s="1"/>
  <c r="BO470" i="1" s="1"/>
  <c r="BP470" i="1" s="1"/>
  <c r="BQ470" i="1" s="1"/>
  <c r="BR470" i="1" s="1"/>
  <c r="BS470" i="1" s="1"/>
  <c r="BT470" i="1" s="1"/>
  <c r="BK265" i="1"/>
  <c r="BL265" i="1" s="1"/>
  <c r="BM265" i="1" s="1"/>
  <c r="BN265" i="1" s="1"/>
  <c r="BO265" i="1" s="1"/>
  <c r="BP265" i="1" s="1"/>
  <c r="BQ265" i="1" s="1"/>
  <c r="BR265" i="1" s="1"/>
  <c r="BS265" i="1" s="1"/>
  <c r="BT265" i="1" s="1"/>
  <c r="BK174" i="1"/>
  <c r="BK306" i="1"/>
  <c r="BK78" i="1"/>
  <c r="BL78" i="1" s="1"/>
  <c r="BM78" i="1" s="1"/>
  <c r="BN78" i="1" s="1"/>
  <c r="BO78" i="1" s="1"/>
  <c r="BP78" i="1" s="1"/>
  <c r="BV78" i="1" s="1"/>
  <c r="BK267" i="1"/>
  <c r="BK282" i="1"/>
  <c r="BK429" i="1"/>
  <c r="BL429" i="1" s="1"/>
  <c r="BM429" i="1" s="1"/>
  <c r="BN429" i="1" s="1"/>
  <c r="BO429" i="1" s="1"/>
  <c r="BP429" i="1" s="1"/>
  <c r="BQ429" i="1" s="1"/>
  <c r="BR429" i="1" s="1"/>
  <c r="BS429" i="1" s="1"/>
  <c r="BT429" i="1" s="1"/>
  <c r="BK381" i="1"/>
  <c r="BK206" i="1"/>
  <c r="BL206" i="1" s="1"/>
  <c r="BM206" i="1" s="1"/>
  <c r="BN206" i="1" s="1"/>
  <c r="BO206" i="1" s="1"/>
  <c r="BP206" i="1" s="1"/>
  <c r="BQ206" i="1" s="1"/>
  <c r="BR206" i="1" s="1"/>
  <c r="BS206" i="1" s="1"/>
  <c r="BT206" i="1" s="1"/>
  <c r="BK218" i="1"/>
  <c r="BL218" i="1" s="1"/>
  <c r="BM218" i="1" s="1"/>
  <c r="BN218" i="1" s="1"/>
  <c r="BO218" i="1" s="1"/>
  <c r="BP218" i="1" s="1"/>
  <c r="BQ218" i="1" s="1"/>
  <c r="BR218" i="1" s="1"/>
  <c r="BS218" i="1" s="1"/>
  <c r="BT218" i="1" s="1"/>
  <c r="BK371" i="1"/>
  <c r="BL371" i="1" s="1"/>
  <c r="BM371" i="1" s="1"/>
  <c r="BN371" i="1" s="1"/>
  <c r="BO371" i="1" s="1"/>
  <c r="BP371" i="1" s="1"/>
  <c r="BQ371" i="1" s="1"/>
  <c r="BR371" i="1" s="1"/>
  <c r="BS371" i="1" s="1"/>
  <c r="BT371" i="1" s="1"/>
  <c r="BK475" i="1"/>
  <c r="BK473" i="1"/>
  <c r="BK426" i="1"/>
  <c r="BK413" i="1"/>
  <c r="BL413" i="1" s="1"/>
  <c r="BM413" i="1" s="1"/>
  <c r="BN413" i="1" s="1"/>
  <c r="BO413" i="1" s="1"/>
  <c r="BP413" i="1" s="1"/>
  <c r="BQ413" i="1" s="1"/>
  <c r="BR413" i="1" s="1"/>
  <c r="BS413" i="1" s="1"/>
  <c r="BT413" i="1" s="1"/>
  <c r="BK171" i="1"/>
  <c r="BL171" i="1" s="1"/>
  <c r="BM171" i="1" s="1"/>
  <c r="BN171" i="1" s="1"/>
  <c r="BO171" i="1" s="1"/>
  <c r="BP171" i="1" s="1"/>
  <c r="BQ171" i="1" s="1"/>
  <c r="BR171" i="1" s="1"/>
  <c r="BS171" i="1" s="1"/>
  <c r="BT171" i="1" s="1"/>
  <c r="BK393" i="1"/>
  <c r="BL393" i="1" s="1"/>
  <c r="BM393" i="1" s="1"/>
  <c r="BN393" i="1" s="1"/>
  <c r="BO393" i="1" s="1"/>
  <c r="BP393" i="1" s="1"/>
  <c r="BQ393" i="1" s="1"/>
  <c r="BR393" i="1" s="1"/>
  <c r="BS393" i="1" s="1"/>
  <c r="BT393" i="1" s="1"/>
  <c r="BK422" i="1"/>
  <c r="BK430" i="1"/>
  <c r="BL430" i="1" s="1"/>
  <c r="BK215" i="1"/>
  <c r="BK270" i="1"/>
  <c r="BK50" i="1"/>
  <c r="BK79" i="1"/>
  <c r="BL79" i="1" s="1"/>
  <c r="BM79" i="1" s="1"/>
  <c r="BN79" i="1" s="1"/>
  <c r="BO79" i="1" s="1"/>
  <c r="BP79" i="1" s="1"/>
  <c r="BQ79" i="1" s="1"/>
  <c r="BR79" i="1" s="1"/>
  <c r="BS79" i="1" s="1"/>
  <c r="BT79" i="1" s="1"/>
  <c r="BK471" i="1"/>
  <c r="BK402" i="1"/>
  <c r="BL402" i="1" s="1"/>
  <c r="BM402" i="1" s="1"/>
  <c r="BN402" i="1" s="1"/>
  <c r="BO402" i="1" s="1"/>
  <c r="BP402" i="1" s="1"/>
  <c r="BQ402" i="1" s="1"/>
  <c r="BR402" i="1" s="1"/>
  <c r="BS402" i="1" s="1"/>
  <c r="BT402" i="1" s="1"/>
  <c r="BK362" i="1"/>
  <c r="BK203" i="1"/>
  <c r="BK273" i="1"/>
  <c r="BL273" i="1" s="1"/>
  <c r="BM273" i="1" s="1"/>
  <c r="BN273" i="1" s="1"/>
  <c r="BO273" i="1" s="1"/>
  <c r="BP273" i="1" s="1"/>
  <c r="BQ273" i="1" s="1"/>
  <c r="BR273" i="1" s="1"/>
  <c r="BS273" i="1" s="1"/>
  <c r="BT273" i="1" s="1"/>
  <c r="BK280" i="1"/>
  <c r="BL280" i="1" s="1"/>
  <c r="BM280" i="1" s="1"/>
  <c r="BN280" i="1" s="1"/>
  <c r="BO280" i="1" s="1"/>
  <c r="BP280" i="1" s="1"/>
  <c r="BQ280" i="1" s="1"/>
  <c r="BR280" i="1" s="1"/>
  <c r="BS280" i="1" s="1"/>
  <c r="BT280" i="1" s="1"/>
  <c r="BK73" i="1"/>
  <c r="BL73" i="1" s="1"/>
  <c r="BM73" i="1" s="1"/>
  <c r="BN73" i="1" s="1"/>
  <c r="BO73" i="1" s="1"/>
  <c r="BP73" i="1" s="1"/>
  <c r="BQ73" i="1" s="1"/>
  <c r="BR73" i="1" s="1"/>
  <c r="BS73" i="1" s="1"/>
  <c r="BT73" i="1" s="1"/>
  <c r="BK12" i="1"/>
  <c r="BL12" i="1" s="1"/>
  <c r="BM12" i="1" s="1"/>
  <c r="BN12" i="1" s="1"/>
  <c r="BO12" i="1" s="1"/>
  <c r="BP12" i="1" s="1"/>
  <c r="BQ12" i="1" s="1"/>
  <c r="BR12" i="1" s="1"/>
  <c r="BS12" i="1" s="1"/>
  <c r="BT12" i="1" s="1"/>
  <c r="BK175" i="1"/>
  <c r="BG711" i="1"/>
  <c r="BG710" i="1"/>
  <c r="BG720" i="1" s="1"/>
  <c r="C21" i="8" s="1"/>
  <c r="BV577" i="1"/>
  <c r="BV518" i="1"/>
  <c r="BG704" i="1"/>
  <c r="CZ569" i="1"/>
  <c r="BG697" i="1"/>
  <c r="BG708" i="1"/>
  <c r="BU576" i="1"/>
  <c r="BY576" i="1" s="1"/>
  <c r="BZ576" i="1" s="1"/>
  <c r="CA576" i="1" s="1"/>
  <c r="CB576" i="1" s="1"/>
  <c r="CC576" i="1" s="1"/>
  <c r="CD576" i="1" s="1"/>
  <c r="CE576" i="1" s="1"/>
  <c r="CF576" i="1" s="1"/>
  <c r="CG576" i="1" s="1"/>
  <c r="CH576" i="1" s="1"/>
  <c r="CI576" i="1" s="1"/>
  <c r="CJ576" i="1" s="1"/>
  <c r="BU370" i="1"/>
  <c r="BY370" i="1" s="1"/>
  <c r="BZ370" i="1" s="1"/>
  <c r="CA370" i="1" s="1"/>
  <c r="CB370" i="1" s="1"/>
  <c r="CC370" i="1" s="1"/>
  <c r="CD370" i="1" s="1"/>
  <c r="CE370" i="1" s="1"/>
  <c r="CF370" i="1" s="1"/>
  <c r="CG370" i="1" s="1"/>
  <c r="CH370" i="1" s="1"/>
  <c r="CI370" i="1" s="1"/>
  <c r="CJ370" i="1" s="1"/>
  <c r="BU187" i="1"/>
  <c r="BY187" i="1" s="1"/>
  <c r="BZ187" i="1" s="1"/>
  <c r="CA187" i="1" s="1"/>
  <c r="CB187" i="1" s="1"/>
  <c r="CC187" i="1" s="1"/>
  <c r="CD187" i="1" s="1"/>
  <c r="CE187" i="1" s="1"/>
  <c r="CF187" i="1" s="1"/>
  <c r="CG187" i="1" s="1"/>
  <c r="CH187" i="1" s="1"/>
  <c r="CI187" i="1" s="1"/>
  <c r="CJ187" i="1" s="1"/>
  <c r="BU28" i="1"/>
  <c r="BY28" i="1" s="1"/>
  <c r="BZ28" i="1" s="1"/>
  <c r="CA28" i="1" s="1"/>
  <c r="CB28" i="1" s="1"/>
  <c r="CC28" i="1" s="1"/>
  <c r="CD28" i="1" s="1"/>
  <c r="CE28" i="1" s="1"/>
  <c r="CF28" i="1" s="1"/>
  <c r="CG28" i="1" s="1"/>
  <c r="CH28" i="1" s="1"/>
  <c r="CI28" i="1" s="1"/>
  <c r="CJ28" i="1" s="1"/>
  <c r="BU210" i="1"/>
  <c r="BY210" i="1" s="1"/>
  <c r="BZ210" i="1" s="1"/>
  <c r="CA210" i="1" s="1"/>
  <c r="CB210" i="1" s="1"/>
  <c r="CC210" i="1" s="1"/>
  <c r="CD210" i="1" s="1"/>
  <c r="CE210" i="1" s="1"/>
  <c r="CF210" i="1" s="1"/>
  <c r="CG210" i="1" s="1"/>
  <c r="CH210" i="1" s="1"/>
  <c r="CI210" i="1" s="1"/>
  <c r="CJ210" i="1" s="1"/>
  <c r="BU208" i="1"/>
  <c r="BY208" i="1" s="1"/>
  <c r="BZ208" i="1" s="1"/>
  <c r="CA208" i="1" s="1"/>
  <c r="CB208" i="1" s="1"/>
  <c r="CC208" i="1" s="1"/>
  <c r="CD208" i="1" s="1"/>
  <c r="CE208" i="1" s="1"/>
  <c r="CF208" i="1" s="1"/>
  <c r="CG208" i="1" s="1"/>
  <c r="CH208" i="1" s="1"/>
  <c r="CI208" i="1" s="1"/>
  <c r="CJ208" i="1" s="1"/>
  <c r="BU197" i="1"/>
  <c r="BY197" i="1" s="1"/>
  <c r="BZ197" i="1" s="1"/>
  <c r="CA197" i="1" s="1"/>
  <c r="CB197" i="1" s="1"/>
  <c r="CC197" i="1" s="1"/>
  <c r="CD197" i="1" s="1"/>
  <c r="CE197" i="1" s="1"/>
  <c r="CF197" i="1" s="1"/>
  <c r="CG197" i="1" s="1"/>
  <c r="CH197" i="1" s="1"/>
  <c r="CI197" i="1" s="1"/>
  <c r="CJ197" i="1" s="1"/>
  <c r="BU501" i="1"/>
  <c r="BY501" i="1" s="1"/>
  <c r="BZ501" i="1" s="1"/>
  <c r="CA501" i="1" s="1"/>
  <c r="CB501" i="1" s="1"/>
  <c r="CC501" i="1" s="1"/>
  <c r="CD501" i="1" s="1"/>
  <c r="CE501" i="1" s="1"/>
  <c r="CF501" i="1" s="1"/>
  <c r="CG501" i="1" s="1"/>
  <c r="CH501" i="1" s="1"/>
  <c r="CI501" i="1" s="1"/>
  <c r="CJ501" i="1" s="1"/>
  <c r="BU575" i="1"/>
  <c r="BY575" i="1" s="1"/>
  <c r="BZ575" i="1" s="1"/>
  <c r="CA575" i="1" s="1"/>
  <c r="CB575" i="1" s="1"/>
  <c r="CC575" i="1" s="1"/>
  <c r="CD575" i="1" s="1"/>
  <c r="CE575" i="1" s="1"/>
  <c r="CF575" i="1" s="1"/>
  <c r="CG575" i="1" s="1"/>
  <c r="CH575" i="1" s="1"/>
  <c r="CI575" i="1" s="1"/>
  <c r="CJ575" i="1" s="1"/>
  <c r="BU305" i="1"/>
  <c r="BY305" i="1" s="1"/>
  <c r="BZ305" i="1" s="1"/>
  <c r="CA305" i="1" s="1"/>
  <c r="CB305" i="1" s="1"/>
  <c r="CC305" i="1" s="1"/>
  <c r="CD305" i="1" s="1"/>
  <c r="CE305" i="1" s="1"/>
  <c r="CF305" i="1" s="1"/>
  <c r="CG305" i="1" s="1"/>
  <c r="CH305" i="1" s="1"/>
  <c r="CI305" i="1" s="1"/>
  <c r="CJ305" i="1" s="1"/>
  <c r="BU284" i="1"/>
  <c r="BY284" i="1" s="1"/>
  <c r="BZ284" i="1" s="1"/>
  <c r="CA284" i="1" s="1"/>
  <c r="CB284" i="1" s="1"/>
  <c r="CC284" i="1" s="1"/>
  <c r="CD284" i="1" s="1"/>
  <c r="CE284" i="1" s="1"/>
  <c r="CF284" i="1" s="1"/>
  <c r="CG284" i="1" s="1"/>
  <c r="CH284" i="1" s="1"/>
  <c r="CI284" i="1" s="1"/>
  <c r="CJ284" i="1" s="1"/>
  <c r="BU179" i="1"/>
  <c r="BY179" i="1" s="1"/>
  <c r="BZ179" i="1" s="1"/>
  <c r="CA179" i="1" s="1"/>
  <c r="CB179" i="1" s="1"/>
  <c r="CC179" i="1" s="1"/>
  <c r="CD179" i="1" s="1"/>
  <c r="CE179" i="1" s="1"/>
  <c r="CF179" i="1" s="1"/>
  <c r="CG179" i="1" s="1"/>
  <c r="CH179" i="1" s="1"/>
  <c r="CI179" i="1" s="1"/>
  <c r="CJ179" i="1" s="1"/>
  <c r="BU44" i="1"/>
  <c r="BY44" i="1" s="1"/>
  <c r="BZ44" i="1" s="1"/>
  <c r="CA44" i="1" s="1"/>
  <c r="CB44" i="1" s="1"/>
  <c r="CC44" i="1" s="1"/>
  <c r="CD44" i="1" s="1"/>
  <c r="CE44" i="1" s="1"/>
  <c r="CF44" i="1" s="1"/>
  <c r="CG44" i="1" s="1"/>
  <c r="CH44" i="1" s="1"/>
  <c r="CI44" i="1" s="1"/>
  <c r="CJ44" i="1" s="1"/>
  <c r="BU298" i="1"/>
  <c r="BY298" i="1" s="1"/>
  <c r="BZ298" i="1" s="1"/>
  <c r="CA298" i="1" s="1"/>
  <c r="CB298" i="1" s="1"/>
  <c r="CC298" i="1" s="1"/>
  <c r="CD298" i="1" s="1"/>
  <c r="CE298" i="1" s="1"/>
  <c r="CF298" i="1" s="1"/>
  <c r="CG298" i="1" s="1"/>
  <c r="CH298" i="1" s="1"/>
  <c r="CI298" i="1" s="1"/>
  <c r="CJ298" i="1" s="1"/>
  <c r="BU304" i="1"/>
  <c r="BY304" i="1" s="1"/>
  <c r="BZ304" i="1" s="1"/>
  <c r="CA304" i="1" s="1"/>
  <c r="CB304" i="1" s="1"/>
  <c r="CC304" i="1" s="1"/>
  <c r="CD304" i="1" s="1"/>
  <c r="CE304" i="1" s="1"/>
  <c r="CF304" i="1" s="1"/>
  <c r="CG304" i="1" s="1"/>
  <c r="CH304" i="1" s="1"/>
  <c r="CI304" i="1" s="1"/>
  <c r="CJ304" i="1" s="1"/>
  <c r="BU300" i="1"/>
  <c r="BY300" i="1" s="1"/>
  <c r="BZ300" i="1" s="1"/>
  <c r="CA300" i="1" s="1"/>
  <c r="CB300" i="1" s="1"/>
  <c r="CC300" i="1" s="1"/>
  <c r="CD300" i="1" s="1"/>
  <c r="CE300" i="1" s="1"/>
  <c r="CF300" i="1" s="1"/>
  <c r="CG300" i="1" s="1"/>
  <c r="CH300" i="1" s="1"/>
  <c r="CI300" i="1" s="1"/>
  <c r="CJ300" i="1" s="1"/>
  <c r="BU205" i="1"/>
  <c r="BY205" i="1" s="1"/>
  <c r="BZ205" i="1" s="1"/>
  <c r="CA205" i="1" s="1"/>
  <c r="CB205" i="1" s="1"/>
  <c r="CC205" i="1" s="1"/>
  <c r="CD205" i="1" s="1"/>
  <c r="CE205" i="1" s="1"/>
  <c r="CF205" i="1" s="1"/>
  <c r="CG205" i="1" s="1"/>
  <c r="CH205" i="1" s="1"/>
  <c r="CI205" i="1" s="1"/>
  <c r="CJ205" i="1" s="1"/>
  <c r="BU366" i="1"/>
  <c r="BY366" i="1" s="1"/>
  <c r="BZ366" i="1" s="1"/>
  <c r="CA366" i="1" s="1"/>
  <c r="CB366" i="1" s="1"/>
  <c r="CC366" i="1" s="1"/>
  <c r="CD366" i="1" s="1"/>
  <c r="CE366" i="1" s="1"/>
  <c r="CF366" i="1" s="1"/>
  <c r="CG366" i="1" s="1"/>
  <c r="CH366" i="1" s="1"/>
  <c r="CI366" i="1" s="1"/>
  <c r="CJ366" i="1" s="1"/>
  <c r="BU48" i="1"/>
  <c r="BY48" i="1" s="1"/>
  <c r="BZ48" i="1" s="1"/>
  <c r="CA48" i="1" s="1"/>
  <c r="CB48" i="1" s="1"/>
  <c r="CC48" i="1" s="1"/>
  <c r="CD48" i="1" s="1"/>
  <c r="CE48" i="1" s="1"/>
  <c r="CF48" i="1" s="1"/>
  <c r="CG48" i="1" s="1"/>
  <c r="CH48" i="1" s="1"/>
  <c r="CI48" i="1" s="1"/>
  <c r="CJ48" i="1" s="1"/>
  <c r="BU517" i="1"/>
  <c r="BY517" i="1" s="1"/>
  <c r="BZ517" i="1" s="1"/>
  <c r="CA517" i="1" s="1"/>
  <c r="CB517" i="1" s="1"/>
  <c r="CC517" i="1" s="1"/>
  <c r="CD517" i="1" s="1"/>
  <c r="CE517" i="1" s="1"/>
  <c r="CF517" i="1" s="1"/>
  <c r="CG517" i="1" s="1"/>
  <c r="CH517" i="1" s="1"/>
  <c r="CI517" i="1" s="1"/>
  <c r="CJ517" i="1" s="1"/>
  <c r="BU185" i="1"/>
  <c r="BY185" i="1" s="1"/>
  <c r="BZ185" i="1" s="1"/>
  <c r="CA185" i="1" s="1"/>
  <c r="CB185" i="1" s="1"/>
  <c r="CC185" i="1" s="1"/>
  <c r="CD185" i="1" s="1"/>
  <c r="CE185" i="1" s="1"/>
  <c r="CF185" i="1" s="1"/>
  <c r="CG185" i="1" s="1"/>
  <c r="CH185" i="1" s="1"/>
  <c r="CI185" i="1" s="1"/>
  <c r="CJ185" i="1" s="1"/>
  <c r="BU172" i="1"/>
  <c r="BY172" i="1" s="1"/>
  <c r="BZ172" i="1" s="1"/>
  <c r="CA172" i="1" s="1"/>
  <c r="CB172" i="1" s="1"/>
  <c r="CC172" i="1" s="1"/>
  <c r="CD172" i="1" s="1"/>
  <c r="CE172" i="1" s="1"/>
  <c r="CF172" i="1" s="1"/>
  <c r="CG172" i="1" s="1"/>
  <c r="CH172" i="1" s="1"/>
  <c r="CI172" i="1" s="1"/>
  <c r="CJ172" i="1" s="1"/>
  <c r="BU299" i="1"/>
  <c r="BY299" i="1" s="1"/>
  <c r="BZ299" i="1" s="1"/>
  <c r="CA299" i="1" s="1"/>
  <c r="CB299" i="1" s="1"/>
  <c r="CC299" i="1" s="1"/>
  <c r="CD299" i="1" s="1"/>
  <c r="CE299" i="1" s="1"/>
  <c r="CF299" i="1" s="1"/>
  <c r="CG299" i="1" s="1"/>
  <c r="CH299" i="1" s="1"/>
  <c r="CI299" i="1" s="1"/>
  <c r="CJ299" i="1" s="1"/>
  <c r="BU186" i="1"/>
  <c r="BY186" i="1" s="1"/>
  <c r="BZ186" i="1" s="1"/>
  <c r="CA186" i="1" s="1"/>
  <c r="CB186" i="1" s="1"/>
  <c r="CC186" i="1" s="1"/>
  <c r="CD186" i="1" s="1"/>
  <c r="CE186" i="1" s="1"/>
  <c r="CF186" i="1" s="1"/>
  <c r="CG186" i="1" s="1"/>
  <c r="CH186" i="1" s="1"/>
  <c r="CI186" i="1" s="1"/>
  <c r="CJ186" i="1" s="1"/>
  <c r="BU211" i="1"/>
  <c r="BY211" i="1" s="1"/>
  <c r="BZ211" i="1" s="1"/>
  <c r="CA211" i="1" s="1"/>
  <c r="CB211" i="1" s="1"/>
  <c r="CC211" i="1" s="1"/>
  <c r="CD211" i="1" s="1"/>
  <c r="CE211" i="1" s="1"/>
  <c r="CF211" i="1" s="1"/>
  <c r="CG211" i="1" s="1"/>
  <c r="CH211" i="1" s="1"/>
  <c r="CI211" i="1" s="1"/>
  <c r="CJ211" i="1" s="1"/>
  <c r="BU184" i="1"/>
  <c r="BY184" i="1" s="1"/>
  <c r="BZ184" i="1" s="1"/>
  <c r="CA184" i="1" s="1"/>
  <c r="CB184" i="1" s="1"/>
  <c r="CC184" i="1" s="1"/>
  <c r="CD184" i="1" s="1"/>
  <c r="CE184" i="1" s="1"/>
  <c r="CF184" i="1" s="1"/>
  <c r="CG184" i="1" s="1"/>
  <c r="CH184" i="1" s="1"/>
  <c r="CI184" i="1" s="1"/>
  <c r="CJ184" i="1" s="1"/>
  <c r="BU342" i="1"/>
  <c r="BY342" i="1" s="1"/>
  <c r="BZ342" i="1" s="1"/>
  <c r="CA342" i="1" s="1"/>
  <c r="CB342" i="1" s="1"/>
  <c r="CC342" i="1" s="1"/>
  <c r="CD342" i="1" s="1"/>
  <c r="CE342" i="1" s="1"/>
  <c r="CF342" i="1" s="1"/>
  <c r="CG342" i="1" s="1"/>
  <c r="CH342" i="1" s="1"/>
  <c r="CI342" i="1" s="1"/>
  <c r="CJ342" i="1" s="1"/>
  <c r="BM285" i="1"/>
  <c r="BN285" i="1" s="1"/>
  <c r="BO285" i="1" s="1"/>
  <c r="BP285" i="1" s="1"/>
  <c r="BQ285" i="1" s="1"/>
  <c r="BR285" i="1" s="1"/>
  <c r="BS285" i="1" s="1"/>
  <c r="BT285" i="1" s="1"/>
  <c r="CK577" i="1"/>
  <c r="CO577" i="1"/>
  <c r="CP577" i="1" s="1"/>
  <c r="CQ577" i="1" s="1"/>
  <c r="CR577" i="1" s="1"/>
  <c r="CS577" i="1" s="1"/>
  <c r="CT577" i="1" s="1"/>
  <c r="CU577" i="1" s="1"/>
  <c r="CV577" i="1" s="1"/>
  <c r="CW577" i="1" s="1"/>
  <c r="CX577" i="1" s="1"/>
  <c r="CY577" i="1" s="1"/>
  <c r="CK518" i="1"/>
  <c r="CO518" i="1"/>
  <c r="CP518" i="1" s="1"/>
  <c r="CQ518" i="1" s="1"/>
  <c r="CR518" i="1" s="1"/>
  <c r="CS518" i="1" s="1"/>
  <c r="CT518" i="1" s="1"/>
  <c r="CU518" i="1" s="1"/>
  <c r="CV518" i="1" s="1"/>
  <c r="CW518" i="1" s="1"/>
  <c r="CX518" i="1" s="1"/>
  <c r="CY518" i="1" s="1"/>
  <c r="BL379" i="1"/>
  <c r="BM379" i="1" s="1"/>
  <c r="BN379" i="1" s="1"/>
  <c r="BO379" i="1" s="1"/>
  <c r="BP379" i="1" s="1"/>
  <c r="BQ379" i="1" s="1"/>
  <c r="BR379" i="1" s="1"/>
  <c r="BS379" i="1" s="1"/>
  <c r="BT379" i="1" s="1"/>
  <c r="BL75" i="1"/>
  <c r="BM75" i="1" s="1"/>
  <c r="BN75" i="1" s="1"/>
  <c r="BO75" i="1" s="1"/>
  <c r="BP75" i="1" s="1"/>
  <c r="BQ75" i="1" s="1"/>
  <c r="BR75" i="1" s="1"/>
  <c r="BS75" i="1" s="1"/>
  <c r="BT75" i="1" s="1"/>
  <c r="BL256" i="1"/>
  <c r="BM256" i="1" s="1"/>
  <c r="BV256" i="1" s="1"/>
  <c r="BL473" i="1"/>
  <c r="BM473" i="1" s="1"/>
  <c r="BN473" i="1" s="1"/>
  <c r="BO473" i="1" s="1"/>
  <c r="BP473" i="1" s="1"/>
  <c r="BQ473" i="1" s="1"/>
  <c r="BR473" i="1" s="1"/>
  <c r="BS473" i="1" s="1"/>
  <c r="BT473" i="1" s="1"/>
  <c r="BL275" i="1"/>
  <c r="BM275" i="1" s="1"/>
  <c r="BN275" i="1" s="1"/>
  <c r="BO275" i="1" s="1"/>
  <c r="BP275" i="1" s="1"/>
  <c r="BQ275" i="1" s="1"/>
  <c r="BR275" i="1" s="1"/>
  <c r="BS275" i="1" s="1"/>
  <c r="BT275" i="1" s="1"/>
  <c r="BL213" i="1"/>
  <c r="BL472" i="1"/>
  <c r="BM472" i="1" s="1"/>
  <c r="BN472" i="1" s="1"/>
  <c r="BO472" i="1" s="1"/>
  <c r="BP472" i="1" s="1"/>
  <c r="BQ472" i="1" s="1"/>
  <c r="BR472" i="1" s="1"/>
  <c r="BS472" i="1" s="1"/>
  <c r="BT472" i="1" s="1"/>
  <c r="BL411" i="1"/>
  <c r="BM411" i="1" s="1"/>
  <c r="BN411" i="1" s="1"/>
  <c r="BO411" i="1" s="1"/>
  <c r="BP411" i="1" s="1"/>
  <c r="BQ411" i="1" s="1"/>
  <c r="BR411" i="1" s="1"/>
  <c r="BS411" i="1" s="1"/>
  <c r="BT411" i="1" s="1"/>
  <c r="BL173" i="1"/>
  <c r="BM173" i="1" s="1"/>
  <c r="BV173" i="1" s="1"/>
  <c r="BL176" i="1"/>
  <c r="BM176" i="1" s="1"/>
  <c r="BN176" i="1" s="1"/>
  <c r="BO176" i="1" s="1"/>
  <c r="BP176" i="1" s="1"/>
  <c r="BQ176" i="1" s="1"/>
  <c r="BR176" i="1" s="1"/>
  <c r="BS176" i="1" s="1"/>
  <c r="BT176" i="1" s="1"/>
  <c r="BL499" i="1"/>
  <c r="BL426" i="1"/>
  <c r="BM426" i="1" s="1"/>
  <c r="BN426" i="1" s="1"/>
  <c r="BO426" i="1" s="1"/>
  <c r="BP426" i="1" s="1"/>
  <c r="BQ426" i="1" s="1"/>
  <c r="BR426" i="1" s="1"/>
  <c r="BS426" i="1" s="1"/>
  <c r="BT426" i="1" s="1"/>
  <c r="BL279" i="1"/>
  <c r="BM279" i="1" s="1"/>
  <c r="BN279" i="1" s="1"/>
  <c r="BO279" i="1" s="1"/>
  <c r="BP279" i="1" s="1"/>
  <c r="BQ279" i="1" s="1"/>
  <c r="BR279" i="1" s="1"/>
  <c r="BS279" i="1" s="1"/>
  <c r="BT279" i="1" s="1"/>
  <c r="BL467" i="1"/>
  <c r="BM467" i="1" s="1"/>
  <c r="BN467" i="1" s="1"/>
  <c r="BO467" i="1" s="1"/>
  <c r="BP467" i="1" s="1"/>
  <c r="BQ467" i="1" s="1"/>
  <c r="BR467" i="1" s="1"/>
  <c r="BS467" i="1" s="1"/>
  <c r="BT467" i="1" s="1"/>
  <c r="BL414" i="1"/>
  <c r="BM414" i="1" s="1"/>
  <c r="BN414" i="1" s="1"/>
  <c r="BO414" i="1" s="1"/>
  <c r="BP414" i="1" s="1"/>
  <c r="BQ414" i="1" s="1"/>
  <c r="BR414" i="1" s="1"/>
  <c r="BS414" i="1" s="1"/>
  <c r="BT414" i="1" s="1"/>
  <c r="BL378" i="1"/>
  <c r="BM378" i="1" s="1"/>
  <c r="BN378" i="1" s="1"/>
  <c r="BO378" i="1" s="1"/>
  <c r="BP378" i="1" s="1"/>
  <c r="BQ378" i="1" s="1"/>
  <c r="BR378" i="1" s="1"/>
  <c r="BS378" i="1" s="1"/>
  <c r="BT378" i="1" s="1"/>
  <c r="BL410" i="1"/>
  <c r="BM410" i="1" s="1"/>
  <c r="BN410" i="1" s="1"/>
  <c r="BO410" i="1" s="1"/>
  <c r="BP410" i="1" s="1"/>
  <c r="BQ410" i="1" s="1"/>
  <c r="BR410" i="1" s="1"/>
  <c r="BS410" i="1" s="1"/>
  <c r="BT410" i="1" s="1"/>
  <c r="BL214" i="1"/>
  <c r="BL188" i="1"/>
  <c r="BM188" i="1" s="1"/>
  <c r="BN188" i="1" s="1"/>
  <c r="BO188" i="1" s="1"/>
  <c r="BP188" i="1" s="1"/>
  <c r="BQ188" i="1" s="1"/>
  <c r="BR188" i="1" s="1"/>
  <c r="BS188" i="1" s="1"/>
  <c r="BT188" i="1" s="1"/>
  <c r="BL193" i="1"/>
  <c r="BM193" i="1" s="1"/>
  <c r="BN193" i="1" s="1"/>
  <c r="BO193" i="1" s="1"/>
  <c r="BP193" i="1" s="1"/>
  <c r="BQ193" i="1" s="1"/>
  <c r="BR193" i="1" s="1"/>
  <c r="BS193" i="1" s="1"/>
  <c r="BT193" i="1" s="1"/>
  <c r="BL95" i="1"/>
  <c r="BM95" i="1" s="1"/>
  <c r="BN95" i="1" s="1"/>
  <c r="BO95" i="1" s="1"/>
  <c r="BP95" i="1" s="1"/>
  <c r="BQ95" i="1" s="1"/>
  <c r="BR95" i="1" s="1"/>
  <c r="BS95" i="1" s="1"/>
  <c r="BT95" i="1" s="1"/>
  <c r="BL277" i="1"/>
  <c r="BM277" i="1" s="1"/>
  <c r="BN277" i="1" s="1"/>
  <c r="BO277" i="1" s="1"/>
  <c r="BP277" i="1" s="1"/>
  <c r="BQ277" i="1" s="1"/>
  <c r="BR277" i="1" s="1"/>
  <c r="BS277" i="1" s="1"/>
  <c r="BT277" i="1" s="1"/>
  <c r="BL117" i="1"/>
  <c r="BM117" i="1" s="1"/>
  <c r="BN117" i="1" s="1"/>
  <c r="BO117" i="1" s="1"/>
  <c r="BP117" i="1" s="1"/>
  <c r="BQ117" i="1" s="1"/>
  <c r="BR117" i="1" s="1"/>
  <c r="BS117" i="1" s="1"/>
  <c r="BT117" i="1" s="1"/>
  <c r="BL112" i="1"/>
  <c r="BM112" i="1" s="1"/>
  <c r="BN112" i="1" s="1"/>
  <c r="BO112" i="1" s="1"/>
  <c r="BP112" i="1" s="1"/>
  <c r="BQ112" i="1" s="1"/>
  <c r="BR112" i="1" s="1"/>
  <c r="BS112" i="1" s="1"/>
  <c r="BT112" i="1" s="1"/>
  <c r="BL383" i="1"/>
  <c r="BM383" i="1" s="1"/>
  <c r="BN383" i="1" s="1"/>
  <c r="BO383" i="1" s="1"/>
  <c r="BP383" i="1" s="1"/>
  <c r="BQ383" i="1" s="1"/>
  <c r="BR383" i="1" s="1"/>
  <c r="BS383" i="1" s="1"/>
  <c r="BT383" i="1" s="1"/>
  <c r="BL178" i="1"/>
  <c r="BM178" i="1" s="1"/>
  <c r="BN178" i="1" s="1"/>
  <c r="BO178" i="1" s="1"/>
  <c r="BP178" i="1" s="1"/>
  <c r="BQ178" i="1" s="1"/>
  <c r="BR178" i="1" s="1"/>
  <c r="BS178" i="1" s="1"/>
  <c r="BT178" i="1" s="1"/>
  <c r="BL406" i="1"/>
  <c r="BM406" i="1" s="1"/>
  <c r="BN406" i="1" s="1"/>
  <c r="BO406" i="1" s="1"/>
  <c r="BP406" i="1" s="1"/>
  <c r="BQ406" i="1" s="1"/>
  <c r="BR406" i="1" s="1"/>
  <c r="BS406" i="1" s="1"/>
  <c r="BT406" i="1" s="1"/>
  <c r="BL261" i="1"/>
  <c r="BM261" i="1" s="1"/>
  <c r="BN261" i="1" s="1"/>
  <c r="BO261" i="1" s="1"/>
  <c r="BP261" i="1" s="1"/>
  <c r="BQ261" i="1" s="1"/>
  <c r="BR261" i="1" s="1"/>
  <c r="BS261" i="1" s="1"/>
  <c r="BT261" i="1" s="1"/>
  <c r="BL381" i="1"/>
  <c r="BM381" i="1" s="1"/>
  <c r="BN381" i="1" s="1"/>
  <c r="BO381" i="1" s="1"/>
  <c r="BP381" i="1" s="1"/>
  <c r="BQ381" i="1" s="1"/>
  <c r="BR381" i="1" s="1"/>
  <c r="BS381" i="1" s="1"/>
  <c r="BT381" i="1" s="1"/>
  <c r="BL428" i="1"/>
  <c r="BM428" i="1" s="1"/>
  <c r="BN428" i="1" s="1"/>
  <c r="BO428" i="1" s="1"/>
  <c r="BP428" i="1" s="1"/>
  <c r="BQ428" i="1" s="1"/>
  <c r="BR428" i="1" s="1"/>
  <c r="BS428" i="1" s="1"/>
  <c r="BT428" i="1" s="1"/>
  <c r="BL156" i="1"/>
  <c r="BM156" i="1" s="1"/>
  <c r="BN156" i="1" s="1"/>
  <c r="BO156" i="1" s="1"/>
  <c r="BP156" i="1" s="1"/>
  <c r="BQ156" i="1" s="1"/>
  <c r="BR156" i="1" s="1"/>
  <c r="BS156" i="1" s="1"/>
  <c r="BT156" i="1" s="1"/>
  <c r="BL191" i="1"/>
  <c r="BM191" i="1" s="1"/>
  <c r="BN191" i="1" s="1"/>
  <c r="BO191" i="1" s="1"/>
  <c r="BP191" i="1" s="1"/>
  <c r="BQ191" i="1" s="1"/>
  <c r="BR191" i="1" s="1"/>
  <c r="BS191" i="1" s="1"/>
  <c r="BT191" i="1" s="1"/>
  <c r="BL399" i="1"/>
  <c r="BM399" i="1" s="1"/>
  <c r="BN399" i="1" s="1"/>
  <c r="BO399" i="1" s="1"/>
  <c r="BP399" i="1" s="1"/>
  <c r="BQ399" i="1" s="1"/>
  <c r="BR399" i="1" s="1"/>
  <c r="BS399" i="1" s="1"/>
  <c r="BT399" i="1" s="1"/>
  <c r="BL468" i="1"/>
  <c r="BM468" i="1" s="1"/>
  <c r="BN468" i="1" s="1"/>
  <c r="BO468" i="1" s="1"/>
  <c r="BP468" i="1" s="1"/>
  <c r="BQ468" i="1" s="1"/>
  <c r="BR468" i="1" s="1"/>
  <c r="BS468" i="1" s="1"/>
  <c r="BT468" i="1" s="1"/>
  <c r="BL369" i="1"/>
  <c r="BM369" i="1" s="1"/>
  <c r="BN369" i="1" s="1"/>
  <c r="BO369" i="1" s="1"/>
  <c r="BP369" i="1" s="1"/>
  <c r="BQ369" i="1" s="1"/>
  <c r="BR369" i="1" s="1"/>
  <c r="BS369" i="1" s="1"/>
  <c r="BT369" i="1" s="1"/>
  <c r="BL297" i="1"/>
  <c r="BM297" i="1" s="1"/>
  <c r="BN297" i="1" s="1"/>
  <c r="BO297" i="1" s="1"/>
  <c r="BP297" i="1" s="1"/>
  <c r="BQ297" i="1" s="1"/>
  <c r="BR297" i="1" s="1"/>
  <c r="BS297" i="1" s="1"/>
  <c r="BT297" i="1" s="1"/>
  <c r="BL283" i="1"/>
  <c r="BM283" i="1" s="1"/>
  <c r="BN283" i="1" s="1"/>
  <c r="BO283" i="1" s="1"/>
  <c r="BP283" i="1" s="1"/>
  <c r="BQ283" i="1" s="1"/>
  <c r="BR283" i="1" s="1"/>
  <c r="BS283" i="1" s="1"/>
  <c r="BT283" i="1" s="1"/>
  <c r="BL476" i="1"/>
  <c r="BM476" i="1" s="1"/>
  <c r="BN476" i="1" s="1"/>
  <c r="BO476" i="1" s="1"/>
  <c r="BP476" i="1" s="1"/>
  <c r="BQ476" i="1" s="1"/>
  <c r="BR476" i="1" s="1"/>
  <c r="BS476" i="1" s="1"/>
  <c r="BT476" i="1" s="1"/>
  <c r="BL175" i="1"/>
  <c r="BM175" i="1" s="1"/>
  <c r="BN175" i="1" s="1"/>
  <c r="BO175" i="1" s="1"/>
  <c r="BP175" i="1" s="1"/>
  <c r="BQ175" i="1" s="1"/>
  <c r="BR175" i="1" s="1"/>
  <c r="BS175" i="1" s="1"/>
  <c r="BT175" i="1" s="1"/>
  <c r="BL401" i="1"/>
  <c r="BM401" i="1" s="1"/>
  <c r="BN401" i="1" s="1"/>
  <c r="BO401" i="1" s="1"/>
  <c r="BP401" i="1" s="1"/>
  <c r="BQ401" i="1" s="1"/>
  <c r="BR401" i="1" s="1"/>
  <c r="BS401" i="1" s="1"/>
  <c r="BT401" i="1" s="1"/>
  <c r="BL296" i="1"/>
  <c r="BM296" i="1" s="1"/>
  <c r="BN296" i="1" s="1"/>
  <c r="BO296" i="1" s="1"/>
  <c r="BP296" i="1" s="1"/>
  <c r="BQ296" i="1" s="1"/>
  <c r="BR296" i="1" s="1"/>
  <c r="BS296" i="1" s="1"/>
  <c r="BT296" i="1" s="1"/>
  <c r="BL217" i="1"/>
  <c r="BM217" i="1" s="1"/>
  <c r="BN217" i="1" s="1"/>
  <c r="BO217" i="1" s="1"/>
  <c r="BP217" i="1" s="1"/>
  <c r="BQ217" i="1" s="1"/>
  <c r="BR217" i="1" s="1"/>
  <c r="BS217" i="1" s="1"/>
  <c r="BT217" i="1" s="1"/>
  <c r="BL63" i="1"/>
  <c r="BM63" i="1" s="1"/>
  <c r="BN63" i="1" s="1"/>
  <c r="BO63" i="1" s="1"/>
  <c r="BP63" i="1" s="1"/>
  <c r="BQ63" i="1" s="1"/>
  <c r="BR63" i="1" s="1"/>
  <c r="BS63" i="1" s="1"/>
  <c r="BT63" i="1" s="1"/>
  <c r="BL189" i="1"/>
  <c r="BM189" i="1" s="1"/>
  <c r="BN189" i="1" s="1"/>
  <c r="BO189" i="1" s="1"/>
  <c r="BP189" i="1" s="1"/>
  <c r="BQ189" i="1" s="1"/>
  <c r="BR189" i="1" s="1"/>
  <c r="BS189" i="1" s="1"/>
  <c r="BT189" i="1" s="1"/>
  <c r="BL92" i="1"/>
  <c r="BL269" i="1"/>
  <c r="BM269" i="1" s="1"/>
  <c r="BN269" i="1" s="1"/>
  <c r="BO269" i="1" s="1"/>
  <c r="BP269" i="1" s="1"/>
  <c r="BQ269" i="1" s="1"/>
  <c r="BR269" i="1" s="1"/>
  <c r="BS269" i="1" s="1"/>
  <c r="BT269" i="1" s="1"/>
  <c r="BL352" i="1"/>
  <c r="BM352" i="1" s="1"/>
  <c r="BN352" i="1" s="1"/>
  <c r="BO352" i="1" s="1"/>
  <c r="BP352" i="1" s="1"/>
  <c r="BQ352" i="1" s="1"/>
  <c r="BR352" i="1" s="1"/>
  <c r="BS352" i="1" s="1"/>
  <c r="BT352" i="1" s="1"/>
  <c r="BL266" i="1"/>
  <c r="BM266" i="1" s="1"/>
  <c r="BN266" i="1" s="1"/>
  <c r="BO266" i="1" s="1"/>
  <c r="BP266" i="1" s="1"/>
  <c r="BQ266" i="1" s="1"/>
  <c r="BR266" i="1" s="1"/>
  <c r="BS266" i="1" s="1"/>
  <c r="BT266" i="1" s="1"/>
  <c r="BL215" i="1"/>
  <c r="BM215" i="1" s="1"/>
  <c r="BN215" i="1" s="1"/>
  <c r="BO215" i="1" s="1"/>
  <c r="BP215" i="1" s="1"/>
  <c r="BQ215" i="1" s="1"/>
  <c r="BR215" i="1" s="1"/>
  <c r="BS215" i="1" s="1"/>
  <c r="BT215" i="1" s="1"/>
  <c r="BL200" i="1"/>
  <c r="BM200" i="1" s="1"/>
  <c r="BN200" i="1" s="1"/>
  <c r="BO200" i="1" s="1"/>
  <c r="BP200" i="1" s="1"/>
  <c r="BQ200" i="1" s="1"/>
  <c r="BR200" i="1" s="1"/>
  <c r="BS200" i="1" s="1"/>
  <c r="BT200" i="1" s="1"/>
  <c r="BL49" i="1"/>
  <c r="BM49" i="1" s="1"/>
  <c r="BN49" i="1" s="1"/>
  <c r="BO49" i="1" s="1"/>
  <c r="BP49" i="1" s="1"/>
  <c r="BQ49" i="1" s="1"/>
  <c r="BR49" i="1" s="1"/>
  <c r="BS49" i="1" s="1"/>
  <c r="BT49" i="1" s="1"/>
  <c r="BL475" i="1"/>
  <c r="BM475" i="1" s="1"/>
  <c r="BN475" i="1" s="1"/>
  <c r="BO475" i="1" s="1"/>
  <c r="BP475" i="1" s="1"/>
  <c r="BQ475" i="1" s="1"/>
  <c r="BR475" i="1" s="1"/>
  <c r="BS475" i="1" s="1"/>
  <c r="BT475" i="1" s="1"/>
  <c r="BL359" i="1"/>
  <c r="BM359" i="1" s="1"/>
  <c r="BN359" i="1" s="1"/>
  <c r="BO359" i="1" s="1"/>
  <c r="BP359" i="1" s="1"/>
  <c r="BQ359" i="1" s="1"/>
  <c r="BR359" i="1" s="1"/>
  <c r="BS359" i="1" s="1"/>
  <c r="BT359" i="1" s="1"/>
  <c r="BL308" i="1"/>
  <c r="BM308" i="1" s="1"/>
  <c r="BN308" i="1" s="1"/>
  <c r="BO308" i="1" s="1"/>
  <c r="BP308" i="1" s="1"/>
  <c r="BQ308" i="1" s="1"/>
  <c r="BR308" i="1" s="1"/>
  <c r="BS308" i="1" s="1"/>
  <c r="BT308" i="1" s="1"/>
  <c r="BL159" i="1"/>
  <c r="BM159" i="1" s="1"/>
  <c r="BN159" i="1" s="1"/>
  <c r="BO159" i="1" s="1"/>
  <c r="BP159" i="1" s="1"/>
  <c r="BQ159" i="1" s="1"/>
  <c r="BR159" i="1" s="1"/>
  <c r="BS159" i="1" s="1"/>
  <c r="BT159" i="1" s="1"/>
  <c r="BL180" i="1"/>
  <c r="BM180" i="1" s="1"/>
  <c r="BN180" i="1" s="1"/>
  <c r="BO180" i="1" s="1"/>
  <c r="BP180" i="1" s="1"/>
  <c r="BQ180" i="1" s="1"/>
  <c r="BR180" i="1" s="1"/>
  <c r="BS180" i="1" s="1"/>
  <c r="BT180" i="1" s="1"/>
  <c r="BL362" i="1"/>
  <c r="BM362" i="1" s="1"/>
  <c r="BN362" i="1" s="1"/>
  <c r="BO362" i="1" s="1"/>
  <c r="BP362" i="1" s="1"/>
  <c r="BQ362" i="1" s="1"/>
  <c r="BR362" i="1" s="1"/>
  <c r="BS362" i="1" s="1"/>
  <c r="BT362" i="1" s="1"/>
  <c r="BL42" i="1"/>
  <c r="BL293" i="1"/>
  <c r="BM293" i="1" s="1"/>
  <c r="BN293" i="1" s="1"/>
  <c r="BO293" i="1" s="1"/>
  <c r="BP293" i="1" s="1"/>
  <c r="BQ293" i="1" s="1"/>
  <c r="BR293" i="1" s="1"/>
  <c r="BS293" i="1" s="1"/>
  <c r="BT293" i="1" s="1"/>
  <c r="BL356" i="1"/>
  <c r="BM356" i="1" s="1"/>
  <c r="BN356" i="1" s="1"/>
  <c r="BO356" i="1" s="1"/>
  <c r="BP356" i="1" s="1"/>
  <c r="BQ356" i="1" s="1"/>
  <c r="BR356" i="1" s="1"/>
  <c r="BS356" i="1" s="1"/>
  <c r="BT356" i="1" s="1"/>
  <c r="BL64" i="1"/>
  <c r="BM64" i="1" s="1"/>
  <c r="BN64" i="1" s="1"/>
  <c r="BO64" i="1" s="1"/>
  <c r="BP64" i="1" s="1"/>
  <c r="BQ64" i="1" s="1"/>
  <c r="BR64" i="1" s="1"/>
  <c r="BS64" i="1" s="1"/>
  <c r="BT64" i="1" s="1"/>
  <c r="BL282" i="1"/>
  <c r="BM282" i="1" s="1"/>
  <c r="BN282" i="1" s="1"/>
  <c r="BO282" i="1" s="1"/>
  <c r="BP282" i="1" s="1"/>
  <c r="BQ282" i="1" s="1"/>
  <c r="BR282" i="1" s="1"/>
  <c r="BS282" i="1" s="1"/>
  <c r="BT282" i="1" s="1"/>
  <c r="BL306" i="1"/>
  <c r="BM306" i="1" s="1"/>
  <c r="BN306" i="1" s="1"/>
  <c r="BO306" i="1" s="1"/>
  <c r="BP306" i="1" s="1"/>
  <c r="BQ306" i="1" s="1"/>
  <c r="BR306" i="1" s="1"/>
  <c r="BS306" i="1" s="1"/>
  <c r="BV306" i="1" s="1"/>
  <c r="BL361" i="1"/>
  <c r="BM361" i="1" s="1"/>
  <c r="BN361" i="1" s="1"/>
  <c r="BO361" i="1" s="1"/>
  <c r="BP361" i="1" s="1"/>
  <c r="BQ361" i="1" s="1"/>
  <c r="BR361" i="1" s="1"/>
  <c r="BS361" i="1" s="1"/>
  <c r="BT361" i="1" s="1"/>
  <c r="BL486" i="1"/>
  <c r="BM486" i="1" s="1"/>
  <c r="BN486" i="1" s="1"/>
  <c r="BO486" i="1" s="1"/>
  <c r="BP486" i="1" s="1"/>
  <c r="BQ486" i="1" s="1"/>
  <c r="BR486" i="1" s="1"/>
  <c r="BS486" i="1" s="1"/>
  <c r="BT486" i="1" s="1"/>
  <c r="BL177" i="1"/>
  <c r="BM177" i="1" s="1"/>
  <c r="BN177" i="1" s="1"/>
  <c r="BO177" i="1" s="1"/>
  <c r="BP177" i="1" s="1"/>
  <c r="BQ177" i="1" s="1"/>
  <c r="BR177" i="1" s="1"/>
  <c r="BS177" i="1" s="1"/>
  <c r="BT177" i="1" s="1"/>
  <c r="BL422" i="1"/>
  <c r="BM422" i="1" s="1"/>
  <c r="BN422" i="1" s="1"/>
  <c r="BO422" i="1" s="1"/>
  <c r="BP422" i="1" s="1"/>
  <c r="BQ422" i="1" s="1"/>
  <c r="BR422" i="1" s="1"/>
  <c r="BS422" i="1" s="1"/>
  <c r="BT422" i="1" s="1"/>
  <c r="BL254" i="1"/>
  <c r="BM254" i="1" s="1"/>
  <c r="BN254" i="1" s="1"/>
  <c r="BO254" i="1" s="1"/>
  <c r="BP254" i="1" s="1"/>
  <c r="BQ254" i="1" s="1"/>
  <c r="BR254" i="1" s="1"/>
  <c r="BS254" i="1" s="1"/>
  <c r="BT254" i="1" s="1"/>
  <c r="BL255" i="1"/>
  <c r="BL216" i="1"/>
  <c r="BL157" i="1"/>
  <c r="BL257" i="1"/>
  <c r="BM257" i="1" s="1"/>
  <c r="BN257" i="1" s="1"/>
  <c r="BO257" i="1" s="1"/>
  <c r="BP257" i="1" s="1"/>
  <c r="BQ257" i="1" s="1"/>
  <c r="BR257" i="1" s="1"/>
  <c r="BS257" i="1" s="1"/>
  <c r="BT257" i="1" s="1"/>
  <c r="BL119" i="1"/>
  <c r="BM119" i="1" s="1"/>
  <c r="BN119" i="1" s="1"/>
  <c r="BO119" i="1" s="1"/>
  <c r="BP119" i="1" s="1"/>
  <c r="BQ119" i="1" s="1"/>
  <c r="BR119" i="1" s="1"/>
  <c r="BS119" i="1" s="1"/>
  <c r="BT119" i="1" s="1"/>
  <c r="BL50" i="1"/>
  <c r="BM50" i="1" s="1"/>
  <c r="BN50" i="1" s="1"/>
  <c r="BO50" i="1" s="1"/>
  <c r="BP50" i="1" s="1"/>
  <c r="BQ50" i="1" s="1"/>
  <c r="BR50" i="1" s="1"/>
  <c r="BS50" i="1" s="1"/>
  <c r="BT50" i="1" s="1"/>
  <c r="BL373" i="1"/>
  <c r="BM373" i="1" s="1"/>
  <c r="BN373" i="1" s="1"/>
  <c r="BO373" i="1" s="1"/>
  <c r="BP373" i="1" s="1"/>
  <c r="BQ373" i="1" s="1"/>
  <c r="BR373" i="1" s="1"/>
  <c r="BS373" i="1" s="1"/>
  <c r="BT373" i="1" s="1"/>
  <c r="BL271" i="1"/>
  <c r="BM271" i="1" s="1"/>
  <c r="BN271" i="1" s="1"/>
  <c r="BO271" i="1" s="1"/>
  <c r="BP271" i="1" s="1"/>
  <c r="BQ271" i="1" s="1"/>
  <c r="BR271" i="1" s="1"/>
  <c r="BS271" i="1" s="1"/>
  <c r="BT271" i="1" s="1"/>
  <c r="BL260" i="1"/>
  <c r="BM260" i="1" s="1"/>
  <c r="BN260" i="1" s="1"/>
  <c r="BO260" i="1" s="1"/>
  <c r="BP260" i="1" s="1"/>
  <c r="BQ260" i="1" s="1"/>
  <c r="BR260" i="1" s="1"/>
  <c r="BS260" i="1" s="1"/>
  <c r="BT260" i="1" s="1"/>
  <c r="BL474" i="1"/>
  <c r="BM474" i="1" s="1"/>
  <c r="BN474" i="1" s="1"/>
  <c r="BO474" i="1" s="1"/>
  <c r="BP474" i="1" s="1"/>
  <c r="BQ474" i="1" s="1"/>
  <c r="BR474" i="1" s="1"/>
  <c r="BS474" i="1" s="1"/>
  <c r="BT474" i="1" s="1"/>
  <c r="BL114" i="1"/>
  <c r="BM114" i="1" s="1"/>
  <c r="BN114" i="1" s="1"/>
  <c r="BO114" i="1" s="1"/>
  <c r="BP114" i="1" s="1"/>
  <c r="BQ114" i="1" s="1"/>
  <c r="BR114" i="1" s="1"/>
  <c r="BS114" i="1" s="1"/>
  <c r="BT114" i="1" s="1"/>
  <c r="BL363" i="1"/>
  <c r="BM363" i="1" s="1"/>
  <c r="BN363" i="1" s="1"/>
  <c r="BO363" i="1" s="1"/>
  <c r="BP363" i="1" s="1"/>
  <c r="BQ363" i="1" s="1"/>
  <c r="BR363" i="1" s="1"/>
  <c r="BS363" i="1" s="1"/>
  <c r="BT363" i="1" s="1"/>
  <c r="BL424" i="1"/>
  <c r="BM424" i="1" s="1"/>
  <c r="BN424" i="1" s="1"/>
  <c r="BO424" i="1" s="1"/>
  <c r="BP424" i="1" s="1"/>
  <c r="BQ424" i="1" s="1"/>
  <c r="BR424" i="1" s="1"/>
  <c r="BS424" i="1" s="1"/>
  <c r="BT424" i="1" s="1"/>
  <c r="BL158" i="1"/>
  <c r="BM158" i="1" s="1"/>
  <c r="BN158" i="1" s="1"/>
  <c r="BO158" i="1" s="1"/>
  <c r="BP158" i="1" s="1"/>
  <c r="BQ158" i="1" s="1"/>
  <c r="BR158" i="1" s="1"/>
  <c r="BS158" i="1" s="1"/>
  <c r="BT158" i="1" s="1"/>
  <c r="BL503" i="1"/>
  <c r="BM503" i="1" s="1"/>
  <c r="BN503" i="1" s="1"/>
  <c r="BO503" i="1" s="1"/>
  <c r="BP503" i="1" s="1"/>
  <c r="BQ503" i="1" s="1"/>
  <c r="BR503" i="1" s="1"/>
  <c r="BS503" i="1" s="1"/>
  <c r="BT503" i="1" s="1"/>
  <c r="BL259" i="1"/>
  <c r="BM259" i="1" s="1"/>
  <c r="BN259" i="1" s="1"/>
  <c r="BO259" i="1" s="1"/>
  <c r="BP259" i="1" s="1"/>
  <c r="BQ259" i="1" s="1"/>
  <c r="BR259" i="1" s="1"/>
  <c r="BS259" i="1" s="1"/>
  <c r="BT259" i="1" s="1"/>
  <c r="BL209" i="1"/>
  <c r="BM209" i="1" s="1"/>
  <c r="BN209" i="1" s="1"/>
  <c r="BO209" i="1" s="1"/>
  <c r="BP209" i="1" s="1"/>
  <c r="BQ209" i="1" s="1"/>
  <c r="BR209" i="1" s="1"/>
  <c r="BS209" i="1" s="1"/>
  <c r="BT209" i="1" s="1"/>
  <c r="BL182" i="1"/>
  <c r="BM182" i="1" s="1"/>
  <c r="BN182" i="1" s="1"/>
  <c r="BO182" i="1" s="1"/>
  <c r="BP182" i="1" s="1"/>
  <c r="BQ182" i="1" s="1"/>
  <c r="BR182" i="1" s="1"/>
  <c r="BS182" i="1" s="1"/>
  <c r="BT182" i="1" s="1"/>
  <c r="BL203" i="1"/>
  <c r="BM203" i="1" s="1"/>
  <c r="BN203" i="1" s="1"/>
  <c r="BO203" i="1" s="1"/>
  <c r="BP203" i="1" s="1"/>
  <c r="BQ203" i="1" s="1"/>
  <c r="BR203" i="1" s="1"/>
  <c r="BS203" i="1" s="1"/>
  <c r="BT203" i="1" s="1"/>
  <c r="BL274" i="1"/>
  <c r="BM274" i="1" s="1"/>
  <c r="BN274" i="1" s="1"/>
  <c r="BO274" i="1" s="1"/>
  <c r="BP274" i="1" s="1"/>
  <c r="BQ274" i="1" s="1"/>
  <c r="BR274" i="1" s="1"/>
  <c r="BS274" i="1" s="1"/>
  <c r="BT274" i="1" s="1"/>
  <c r="BL54" i="1"/>
  <c r="BM54" i="1" s="1"/>
  <c r="BN54" i="1" s="1"/>
  <c r="BO54" i="1" s="1"/>
  <c r="BP54" i="1" s="1"/>
  <c r="BQ54" i="1" s="1"/>
  <c r="BR54" i="1" s="1"/>
  <c r="BS54" i="1" s="1"/>
  <c r="BT54" i="1" s="1"/>
  <c r="BL207" i="1"/>
  <c r="BM207" i="1" s="1"/>
  <c r="BN207" i="1" s="1"/>
  <c r="BO207" i="1" s="1"/>
  <c r="BP207" i="1" s="1"/>
  <c r="BQ207" i="1" s="1"/>
  <c r="BR207" i="1" s="1"/>
  <c r="BS207" i="1" s="1"/>
  <c r="BT207" i="1" s="1"/>
  <c r="BL498" i="1"/>
  <c r="BM498" i="1" s="1"/>
  <c r="BN498" i="1" s="1"/>
  <c r="BO498" i="1" s="1"/>
  <c r="BP498" i="1" s="1"/>
  <c r="BQ498" i="1" s="1"/>
  <c r="BR498" i="1" s="1"/>
  <c r="BS498" i="1" s="1"/>
  <c r="BT498" i="1" s="1"/>
  <c r="BL71" i="1"/>
  <c r="BM71" i="1" s="1"/>
  <c r="BN71" i="1" s="1"/>
  <c r="BO71" i="1" s="1"/>
  <c r="BP71" i="1" s="1"/>
  <c r="BQ71" i="1" s="1"/>
  <c r="BR71" i="1" s="1"/>
  <c r="BS71" i="1" s="1"/>
  <c r="BT71" i="1" s="1"/>
  <c r="BL262" i="1"/>
  <c r="BM262" i="1" s="1"/>
  <c r="BN262" i="1" s="1"/>
  <c r="BO262" i="1" s="1"/>
  <c r="BP262" i="1" s="1"/>
  <c r="BQ262" i="1" s="1"/>
  <c r="BR262" i="1" s="1"/>
  <c r="BS262" i="1" s="1"/>
  <c r="BT262" i="1" s="1"/>
  <c r="BL368" i="1"/>
  <c r="BM368" i="1" s="1"/>
  <c r="BN368" i="1" s="1"/>
  <c r="BO368" i="1" s="1"/>
  <c r="BP368" i="1" s="1"/>
  <c r="BQ368" i="1" s="1"/>
  <c r="BR368" i="1" s="1"/>
  <c r="BS368" i="1" s="1"/>
  <c r="BT368" i="1" s="1"/>
  <c r="BL170" i="1"/>
  <c r="BM170" i="1" s="1"/>
  <c r="BN170" i="1" s="1"/>
  <c r="BO170" i="1" s="1"/>
  <c r="BP170" i="1" s="1"/>
  <c r="BQ170" i="1" s="1"/>
  <c r="BR170" i="1" s="1"/>
  <c r="BS170" i="1" s="1"/>
  <c r="BT170" i="1" s="1"/>
  <c r="BL121" i="1"/>
  <c r="BM121" i="1" s="1"/>
  <c r="BN121" i="1" s="1"/>
  <c r="BO121" i="1" s="1"/>
  <c r="BP121" i="1" s="1"/>
  <c r="BV121" i="1" s="1"/>
  <c r="BL354" i="1"/>
  <c r="BM354" i="1" s="1"/>
  <c r="BN354" i="1" s="1"/>
  <c r="BO354" i="1" s="1"/>
  <c r="BP354" i="1" s="1"/>
  <c r="BQ354" i="1" s="1"/>
  <c r="BR354" i="1" s="1"/>
  <c r="BS354" i="1" s="1"/>
  <c r="BT354" i="1" s="1"/>
  <c r="BL267" i="1"/>
  <c r="BM267" i="1" s="1"/>
  <c r="BN267" i="1" s="1"/>
  <c r="BO267" i="1" s="1"/>
  <c r="BP267" i="1" s="1"/>
  <c r="BQ267" i="1" s="1"/>
  <c r="BR267" i="1" s="1"/>
  <c r="BS267" i="1" s="1"/>
  <c r="BT267" i="1" s="1"/>
  <c r="BL303" i="1"/>
  <c r="BM303" i="1" s="1"/>
  <c r="BN303" i="1" s="1"/>
  <c r="BO303" i="1" s="1"/>
  <c r="BP303" i="1" s="1"/>
  <c r="BQ303" i="1" s="1"/>
  <c r="BR303" i="1" s="1"/>
  <c r="BS303" i="1" s="1"/>
  <c r="BT303" i="1" s="1"/>
  <c r="BL385" i="1"/>
  <c r="BM385" i="1" s="1"/>
  <c r="BN385" i="1" s="1"/>
  <c r="BO385" i="1" s="1"/>
  <c r="BP385" i="1" s="1"/>
  <c r="BQ385" i="1" s="1"/>
  <c r="BR385" i="1" s="1"/>
  <c r="BS385" i="1" s="1"/>
  <c r="BT385" i="1" s="1"/>
  <c r="BL181" i="1"/>
  <c r="BM181" i="1" s="1"/>
  <c r="BN181" i="1" s="1"/>
  <c r="BO181" i="1" s="1"/>
  <c r="BP181" i="1" s="1"/>
  <c r="BQ181" i="1" s="1"/>
  <c r="BR181" i="1" s="1"/>
  <c r="BS181" i="1" s="1"/>
  <c r="BT181" i="1" s="1"/>
  <c r="BL471" i="1"/>
  <c r="BM471" i="1" s="1"/>
  <c r="BN471" i="1" s="1"/>
  <c r="BO471" i="1" s="1"/>
  <c r="BP471" i="1" s="1"/>
  <c r="BQ471" i="1" s="1"/>
  <c r="BR471" i="1" s="1"/>
  <c r="BS471" i="1" s="1"/>
  <c r="BT471" i="1" s="1"/>
  <c r="BL174" i="1"/>
  <c r="BM174" i="1" s="1"/>
  <c r="BN174" i="1" s="1"/>
  <c r="BO174" i="1" s="1"/>
  <c r="BP174" i="1" s="1"/>
  <c r="BQ174" i="1" s="1"/>
  <c r="BR174" i="1" s="1"/>
  <c r="BS174" i="1" s="1"/>
  <c r="BT174" i="1" s="1"/>
  <c r="BL270" i="1"/>
  <c r="BL307" i="1"/>
  <c r="BM307" i="1" s="1"/>
  <c r="BN307" i="1" s="1"/>
  <c r="BO307" i="1" s="1"/>
  <c r="BP307" i="1" s="1"/>
  <c r="BQ307" i="1" s="1"/>
  <c r="BR307" i="1" s="1"/>
  <c r="BS307" i="1" s="1"/>
  <c r="BT307" i="1" s="1"/>
  <c r="BL278" i="1"/>
  <c r="BM278" i="1" s="1"/>
  <c r="BN278" i="1" s="1"/>
  <c r="BO278" i="1" s="1"/>
  <c r="BP278" i="1" s="1"/>
  <c r="BQ278" i="1" s="1"/>
  <c r="BR278" i="1" s="1"/>
  <c r="BS278" i="1" s="1"/>
  <c r="BT278" i="1" s="1"/>
  <c r="BL396" i="1"/>
  <c r="BM396" i="1" s="1"/>
  <c r="BN396" i="1" s="1"/>
  <c r="BO396" i="1" s="1"/>
  <c r="BP396" i="1" s="1"/>
  <c r="BQ396" i="1" s="1"/>
  <c r="BR396" i="1" s="1"/>
  <c r="BS396" i="1" s="1"/>
  <c r="BT396" i="1" s="1"/>
  <c r="BL183" i="1"/>
  <c r="BM183" i="1" s="1"/>
  <c r="BN183" i="1" s="1"/>
  <c r="BO183" i="1" s="1"/>
  <c r="BP183" i="1" s="1"/>
  <c r="BQ183" i="1" s="1"/>
  <c r="BR183" i="1" s="1"/>
  <c r="BS183" i="1" s="1"/>
  <c r="BT183" i="1" s="1"/>
  <c r="BK118" i="1"/>
  <c r="CN211" i="1" l="1"/>
  <c r="CN48" i="1"/>
  <c r="CN44" i="1"/>
  <c r="CN197" i="1"/>
  <c r="CN576" i="1"/>
  <c r="CN366" i="1"/>
  <c r="CN179" i="1"/>
  <c r="CN186" i="1"/>
  <c r="CN299" i="1"/>
  <c r="CN205" i="1"/>
  <c r="CN284" i="1"/>
  <c r="CN210" i="1"/>
  <c r="CN172" i="1"/>
  <c r="CN300" i="1"/>
  <c r="CN305" i="1"/>
  <c r="CN28" i="1"/>
  <c r="CN208" i="1"/>
  <c r="CN342" i="1"/>
  <c r="CN185" i="1"/>
  <c r="CN304" i="1"/>
  <c r="CN575" i="1"/>
  <c r="CN187" i="1"/>
  <c r="CN184" i="1"/>
  <c r="CN517" i="1"/>
  <c r="CN298" i="1"/>
  <c r="CN501" i="1"/>
  <c r="CN370" i="1"/>
  <c r="BV184" i="1"/>
  <c r="BV370" i="1"/>
  <c r="BV517" i="1"/>
  <c r="BV705" i="1" s="1"/>
  <c r="G22" i="8" s="1"/>
  <c r="BV298" i="1"/>
  <c r="BV501" i="1"/>
  <c r="BV576" i="1"/>
  <c r="BV48" i="1"/>
  <c r="BV211" i="1"/>
  <c r="BV44" i="1"/>
  <c r="BV703" i="1" s="1"/>
  <c r="BV197" i="1"/>
  <c r="BV300" i="1"/>
  <c r="BV28" i="1"/>
  <c r="BV305" i="1"/>
  <c r="BV172" i="1"/>
  <c r="BG712" i="1"/>
  <c r="BG725" i="1" s="1"/>
  <c r="BV284" i="1"/>
  <c r="BG717" i="1"/>
  <c r="BV366" i="1"/>
  <c r="BV179" i="1"/>
  <c r="BG719" i="1"/>
  <c r="B21" i="8" s="1"/>
  <c r="I21" i="8" s="1"/>
  <c r="J21" i="8" s="1"/>
  <c r="BV304" i="1"/>
  <c r="BV210" i="1"/>
  <c r="BV185" i="1"/>
  <c r="BV575" i="1"/>
  <c r="BV706" i="1" s="1"/>
  <c r="H22" i="8" s="1"/>
  <c r="BV342" i="1"/>
  <c r="BV208" i="1"/>
  <c r="BV187" i="1"/>
  <c r="BV299" i="1"/>
  <c r="BV205" i="1"/>
  <c r="BU267" i="1"/>
  <c r="BY267" i="1" s="1"/>
  <c r="BZ267" i="1" s="1"/>
  <c r="CA267" i="1" s="1"/>
  <c r="CB267" i="1" s="1"/>
  <c r="CC267" i="1" s="1"/>
  <c r="CD267" i="1" s="1"/>
  <c r="CE267" i="1" s="1"/>
  <c r="CF267" i="1" s="1"/>
  <c r="CG267" i="1" s="1"/>
  <c r="CH267" i="1" s="1"/>
  <c r="CI267" i="1" s="1"/>
  <c r="CJ267" i="1" s="1"/>
  <c r="BU209" i="1"/>
  <c r="BY209" i="1" s="1"/>
  <c r="BZ209" i="1" s="1"/>
  <c r="CA209" i="1" s="1"/>
  <c r="CB209" i="1" s="1"/>
  <c r="CC209" i="1" s="1"/>
  <c r="CD209" i="1" s="1"/>
  <c r="CE209" i="1" s="1"/>
  <c r="CF209" i="1" s="1"/>
  <c r="CG209" i="1" s="1"/>
  <c r="CH209" i="1" s="1"/>
  <c r="CI209" i="1" s="1"/>
  <c r="CJ209" i="1" s="1"/>
  <c r="BU362" i="1"/>
  <c r="BY362" i="1" s="1"/>
  <c r="BU191" i="1"/>
  <c r="BY191" i="1" s="1"/>
  <c r="BZ191" i="1" s="1"/>
  <c r="CA191" i="1" s="1"/>
  <c r="CB191" i="1" s="1"/>
  <c r="CC191" i="1" s="1"/>
  <c r="CD191" i="1" s="1"/>
  <c r="CE191" i="1" s="1"/>
  <c r="CF191" i="1" s="1"/>
  <c r="CG191" i="1" s="1"/>
  <c r="CH191" i="1" s="1"/>
  <c r="CI191" i="1" s="1"/>
  <c r="CJ191" i="1" s="1"/>
  <c r="BU467" i="1"/>
  <c r="BY467" i="1" s="1"/>
  <c r="BZ467" i="1" s="1"/>
  <c r="CA467" i="1" s="1"/>
  <c r="CB467" i="1" s="1"/>
  <c r="CC467" i="1" s="1"/>
  <c r="CD467" i="1" s="1"/>
  <c r="CE467" i="1" s="1"/>
  <c r="CF467" i="1" s="1"/>
  <c r="CG467" i="1" s="1"/>
  <c r="CH467" i="1" s="1"/>
  <c r="CI467" i="1" s="1"/>
  <c r="CJ467" i="1" s="1"/>
  <c r="BU396" i="1"/>
  <c r="BY396" i="1" s="1"/>
  <c r="BZ396" i="1" s="1"/>
  <c r="CA396" i="1" s="1"/>
  <c r="CB396" i="1" s="1"/>
  <c r="CC396" i="1" s="1"/>
  <c r="CD396" i="1" s="1"/>
  <c r="CE396" i="1" s="1"/>
  <c r="CF396" i="1" s="1"/>
  <c r="CG396" i="1" s="1"/>
  <c r="CH396" i="1" s="1"/>
  <c r="CI396" i="1" s="1"/>
  <c r="CJ396" i="1" s="1"/>
  <c r="BU385" i="1"/>
  <c r="BY385" i="1" s="1"/>
  <c r="BZ385" i="1" s="1"/>
  <c r="CA385" i="1" s="1"/>
  <c r="CB385" i="1" s="1"/>
  <c r="CC385" i="1" s="1"/>
  <c r="CD385" i="1" s="1"/>
  <c r="CE385" i="1" s="1"/>
  <c r="CF385" i="1" s="1"/>
  <c r="CG385" i="1" s="1"/>
  <c r="CH385" i="1" s="1"/>
  <c r="CI385" i="1" s="1"/>
  <c r="CJ385" i="1" s="1"/>
  <c r="BU218" i="1"/>
  <c r="BY218" i="1" s="1"/>
  <c r="BV174" i="1"/>
  <c r="BU303" i="1"/>
  <c r="BY303" i="1" s="1"/>
  <c r="BZ303" i="1" s="1"/>
  <c r="CA303" i="1" s="1"/>
  <c r="CB303" i="1" s="1"/>
  <c r="CC303" i="1" s="1"/>
  <c r="CD303" i="1" s="1"/>
  <c r="CE303" i="1" s="1"/>
  <c r="CF303" i="1" s="1"/>
  <c r="CG303" i="1" s="1"/>
  <c r="CH303" i="1" s="1"/>
  <c r="CI303" i="1" s="1"/>
  <c r="CJ303" i="1" s="1"/>
  <c r="BU155" i="1"/>
  <c r="BY155" i="1" s="1"/>
  <c r="BZ155" i="1" s="1"/>
  <c r="CA155" i="1" s="1"/>
  <c r="CB155" i="1" s="1"/>
  <c r="CC155" i="1" s="1"/>
  <c r="CD155" i="1" s="1"/>
  <c r="CE155" i="1" s="1"/>
  <c r="CF155" i="1" s="1"/>
  <c r="CG155" i="1" s="1"/>
  <c r="CH155" i="1" s="1"/>
  <c r="CI155" i="1" s="1"/>
  <c r="CJ155" i="1" s="1"/>
  <c r="BU498" i="1"/>
  <c r="BY498" i="1" s="1"/>
  <c r="BZ498" i="1" s="1"/>
  <c r="CA498" i="1" s="1"/>
  <c r="CB498" i="1" s="1"/>
  <c r="CC498" i="1" s="1"/>
  <c r="CD498" i="1" s="1"/>
  <c r="CE498" i="1" s="1"/>
  <c r="CF498" i="1" s="1"/>
  <c r="CG498" i="1" s="1"/>
  <c r="CH498" i="1" s="1"/>
  <c r="CI498" i="1" s="1"/>
  <c r="CJ498" i="1" s="1"/>
  <c r="BU286" i="1"/>
  <c r="BY286" i="1" s="1"/>
  <c r="BZ286" i="1" s="1"/>
  <c r="CA286" i="1" s="1"/>
  <c r="CB286" i="1" s="1"/>
  <c r="CC286" i="1" s="1"/>
  <c r="CD286" i="1" s="1"/>
  <c r="CE286" i="1" s="1"/>
  <c r="CF286" i="1" s="1"/>
  <c r="CG286" i="1" s="1"/>
  <c r="CH286" i="1" s="1"/>
  <c r="CI286" i="1" s="1"/>
  <c r="CJ286" i="1" s="1"/>
  <c r="BU363" i="1"/>
  <c r="BY363" i="1" s="1"/>
  <c r="BU373" i="1"/>
  <c r="BY373" i="1" s="1"/>
  <c r="BZ373" i="1" s="1"/>
  <c r="CA373" i="1" s="1"/>
  <c r="CB373" i="1" s="1"/>
  <c r="CC373" i="1" s="1"/>
  <c r="CD373" i="1" s="1"/>
  <c r="CE373" i="1" s="1"/>
  <c r="CF373" i="1" s="1"/>
  <c r="CG373" i="1" s="1"/>
  <c r="CH373" i="1" s="1"/>
  <c r="CI373" i="1" s="1"/>
  <c r="CJ373" i="1" s="1"/>
  <c r="BU361" i="1"/>
  <c r="BY361" i="1" s="1"/>
  <c r="BZ361" i="1" s="1"/>
  <c r="CA361" i="1" s="1"/>
  <c r="CB361" i="1" s="1"/>
  <c r="CC361" i="1" s="1"/>
  <c r="CD361" i="1" s="1"/>
  <c r="CE361" i="1" s="1"/>
  <c r="CF361" i="1" s="1"/>
  <c r="CG361" i="1" s="1"/>
  <c r="CH361" i="1" s="1"/>
  <c r="CI361" i="1" s="1"/>
  <c r="CJ361" i="1" s="1"/>
  <c r="BU359" i="1"/>
  <c r="BY359" i="1" s="1"/>
  <c r="BZ359" i="1" s="1"/>
  <c r="CA359" i="1" s="1"/>
  <c r="CB359" i="1" s="1"/>
  <c r="CC359" i="1" s="1"/>
  <c r="CD359" i="1" s="1"/>
  <c r="CE359" i="1" s="1"/>
  <c r="CF359" i="1" s="1"/>
  <c r="CG359" i="1" s="1"/>
  <c r="CH359" i="1" s="1"/>
  <c r="CI359" i="1" s="1"/>
  <c r="CJ359" i="1" s="1"/>
  <c r="BU215" i="1"/>
  <c r="BY215" i="1" s="1"/>
  <c r="BZ215" i="1" s="1"/>
  <c r="CA215" i="1" s="1"/>
  <c r="CB215" i="1" s="1"/>
  <c r="CC215" i="1" s="1"/>
  <c r="CD215" i="1" s="1"/>
  <c r="CE215" i="1" s="1"/>
  <c r="CF215" i="1" s="1"/>
  <c r="CG215" i="1" s="1"/>
  <c r="CH215" i="1" s="1"/>
  <c r="CI215" i="1" s="1"/>
  <c r="CJ215" i="1" s="1"/>
  <c r="BU269" i="1"/>
  <c r="BY269" i="1" s="1"/>
  <c r="BZ269" i="1" s="1"/>
  <c r="CA269" i="1" s="1"/>
  <c r="CB269" i="1" s="1"/>
  <c r="CC269" i="1" s="1"/>
  <c r="CD269" i="1" s="1"/>
  <c r="CE269" i="1" s="1"/>
  <c r="CF269" i="1" s="1"/>
  <c r="CG269" i="1" s="1"/>
  <c r="CH269" i="1" s="1"/>
  <c r="CI269" i="1" s="1"/>
  <c r="CJ269" i="1" s="1"/>
  <c r="BU401" i="1"/>
  <c r="BY401" i="1" s="1"/>
  <c r="BZ401" i="1" s="1"/>
  <c r="CA401" i="1" s="1"/>
  <c r="CB401" i="1" s="1"/>
  <c r="CC401" i="1" s="1"/>
  <c r="CD401" i="1" s="1"/>
  <c r="CE401" i="1" s="1"/>
  <c r="CF401" i="1" s="1"/>
  <c r="CG401" i="1" s="1"/>
  <c r="CH401" i="1" s="1"/>
  <c r="CI401" i="1" s="1"/>
  <c r="CJ401" i="1" s="1"/>
  <c r="BU283" i="1"/>
  <c r="BY283" i="1" s="1"/>
  <c r="BU470" i="1"/>
  <c r="BY470" i="1" s="1"/>
  <c r="BZ470" i="1" s="1"/>
  <c r="CA470" i="1" s="1"/>
  <c r="CB470" i="1" s="1"/>
  <c r="CC470" i="1" s="1"/>
  <c r="CD470" i="1" s="1"/>
  <c r="CE470" i="1" s="1"/>
  <c r="CF470" i="1" s="1"/>
  <c r="CG470" i="1" s="1"/>
  <c r="CH470" i="1" s="1"/>
  <c r="CI470" i="1" s="1"/>
  <c r="CJ470" i="1" s="1"/>
  <c r="BU91" i="1"/>
  <c r="BY91" i="1" s="1"/>
  <c r="BZ91" i="1" s="1"/>
  <c r="CA91" i="1" s="1"/>
  <c r="CB91" i="1" s="1"/>
  <c r="CC91" i="1" s="1"/>
  <c r="CD91" i="1" s="1"/>
  <c r="CE91" i="1" s="1"/>
  <c r="CF91" i="1" s="1"/>
  <c r="CG91" i="1" s="1"/>
  <c r="CH91" i="1" s="1"/>
  <c r="CI91" i="1" s="1"/>
  <c r="CJ91" i="1" s="1"/>
  <c r="BU112" i="1"/>
  <c r="BY112" i="1" s="1"/>
  <c r="BZ112" i="1" s="1"/>
  <c r="CA112" i="1" s="1"/>
  <c r="CB112" i="1" s="1"/>
  <c r="CC112" i="1" s="1"/>
  <c r="CD112" i="1" s="1"/>
  <c r="CE112" i="1" s="1"/>
  <c r="CF112" i="1" s="1"/>
  <c r="CG112" i="1" s="1"/>
  <c r="CH112" i="1" s="1"/>
  <c r="CI112" i="1" s="1"/>
  <c r="CJ112" i="1" s="1"/>
  <c r="BU188" i="1"/>
  <c r="BY188" i="1" s="1"/>
  <c r="BZ188" i="1" s="1"/>
  <c r="CA188" i="1" s="1"/>
  <c r="CB188" i="1" s="1"/>
  <c r="CC188" i="1" s="1"/>
  <c r="CD188" i="1" s="1"/>
  <c r="CE188" i="1" s="1"/>
  <c r="CF188" i="1" s="1"/>
  <c r="CG188" i="1" s="1"/>
  <c r="CH188" i="1" s="1"/>
  <c r="CI188" i="1" s="1"/>
  <c r="CJ188" i="1" s="1"/>
  <c r="BU414" i="1"/>
  <c r="BY414" i="1" s="1"/>
  <c r="BZ414" i="1" s="1"/>
  <c r="CA414" i="1" s="1"/>
  <c r="CB414" i="1" s="1"/>
  <c r="CC414" i="1" s="1"/>
  <c r="CD414" i="1" s="1"/>
  <c r="CE414" i="1" s="1"/>
  <c r="CF414" i="1" s="1"/>
  <c r="CG414" i="1" s="1"/>
  <c r="CH414" i="1" s="1"/>
  <c r="CI414" i="1" s="1"/>
  <c r="CJ414" i="1" s="1"/>
  <c r="BU265" i="1"/>
  <c r="BY265" i="1" s="1"/>
  <c r="BU285" i="1"/>
  <c r="BY285" i="1" s="1"/>
  <c r="BZ285" i="1" s="1"/>
  <c r="CA285" i="1" s="1"/>
  <c r="CB285" i="1" s="1"/>
  <c r="CC285" i="1" s="1"/>
  <c r="CD285" i="1" s="1"/>
  <c r="CE285" i="1" s="1"/>
  <c r="CF285" i="1" s="1"/>
  <c r="CG285" i="1" s="1"/>
  <c r="CH285" i="1" s="1"/>
  <c r="CI285" i="1" s="1"/>
  <c r="CJ285" i="1" s="1"/>
  <c r="BU183" i="1"/>
  <c r="BY183" i="1" s="1"/>
  <c r="BZ183" i="1" s="1"/>
  <c r="CA183" i="1" s="1"/>
  <c r="CB183" i="1" s="1"/>
  <c r="CC183" i="1" s="1"/>
  <c r="CD183" i="1" s="1"/>
  <c r="CE183" i="1" s="1"/>
  <c r="CF183" i="1" s="1"/>
  <c r="CG183" i="1" s="1"/>
  <c r="CH183" i="1" s="1"/>
  <c r="CI183" i="1" s="1"/>
  <c r="CJ183" i="1" s="1"/>
  <c r="BU207" i="1"/>
  <c r="BY207" i="1" s="1"/>
  <c r="BZ207" i="1" s="1"/>
  <c r="CA207" i="1" s="1"/>
  <c r="CB207" i="1" s="1"/>
  <c r="CC207" i="1" s="1"/>
  <c r="CD207" i="1" s="1"/>
  <c r="CE207" i="1" s="1"/>
  <c r="CF207" i="1" s="1"/>
  <c r="CG207" i="1" s="1"/>
  <c r="CH207" i="1" s="1"/>
  <c r="CI207" i="1" s="1"/>
  <c r="CJ207" i="1" s="1"/>
  <c r="BU50" i="1"/>
  <c r="BY50" i="1" s="1"/>
  <c r="BZ50" i="1" s="1"/>
  <c r="CA50" i="1" s="1"/>
  <c r="CB50" i="1" s="1"/>
  <c r="CC50" i="1" s="1"/>
  <c r="CD50" i="1" s="1"/>
  <c r="CE50" i="1" s="1"/>
  <c r="CF50" i="1" s="1"/>
  <c r="CG50" i="1" s="1"/>
  <c r="CH50" i="1" s="1"/>
  <c r="CI50" i="1" s="1"/>
  <c r="CJ50" i="1" s="1"/>
  <c r="BU212" i="1"/>
  <c r="BY212" i="1" s="1"/>
  <c r="BZ212" i="1" s="1"/>
  <c r="CA212" i="1" s="1"/>
  <c r="CB212" i="1" s="1"/>
  <c r="CC212" i="1" s="1"/>
  <c r="CD212" i="1" s="1"/>
  <c r="CE212" i="1" s="1"/>
  <c r="CF212" i="1" s="1"/>
  <c r="CG212" i="1" s="1"/>
  <c r="CH212" i="1" s="1"/>
  <c r="CI212" i="1" s="1"/>
  <c r="CJ212" i="1" s="1"/>
  <c r="BU117" i="1"/>
  <c r="BY117" i="1" s="1"/>
  <c r="BZ117" i="1" s="1"/>
  <c r="CA117" i="1" s="1"/>
  <c r="CB117" i="1" s="1"/>
  <c r="CC117" i="1" s="1"/>
  <c r="CD117" i="1" s="1"/>
  <c r="CE117" i="1" s="1"/>
  <c r="CF117" i="1" s="1"/>
  <c r="CG117" i="1" s="1"/>
  <c r="CH117" i="1" s="1"/>
  <c r="CI117" i="1" s="1"/>
  <c r="CJ117" i="1" s="1"/>
  <c r="BU405" i="1"/>
  <c r="BY405" i="1" s="1"/>
  <c r="BZ405" i="1" s="1"/>
  <c r="CA405" i="1" s="1"/>
  <c r="CB405" i="1" s="1"/>
  <c r="CC405" i="1" s="1"/>
  <c r="CD405" i="1" s="1"/>
  <c r="CE405" i="1" s="1"/>
  <c r="CF405" i="1" s="1"/>
  <c r="CG405" i="1" s="1"/>
  <c r="CH405" i="1" s="1"/>
  <c r="CI405" i="1" s="1"/>
  <c r="CJ405" i="1" s="1"/>
  <c r="BU368" i="1"/>
  <c r="BY368" i="1" s="1"/>
  <c r="BZ368" i="1" s="1"/>
  <c r="CA368" i="1" s="1"/>
  <c r="CB368" i="1" s="1"/>
  <c r="CC368" i="1" s="1"/>
  <c r="CD368" i="1" s="1"/>
  <c r="CE368" i="1" s="1"/>
  <c r="CF368" i="1" s="1"/>
  <c r="CG368" i="1" s="1"/>
  <c r="CH368" i="1" s="1"/>
  <c r="CI368" i="1" s="1"/>
  <c r="CJ368" i="1" s="1"/>
  <c r="BU54" i="1"/>
  <c r="BY54" i="1" s="1"/>
  <c r="BZ54" i="1" s="1"/>
  <c r="CA54" i="1" s="1"/>
  <c r="CB54" i="1" s="1"/>
  <c r="CC54" i="1" s="1"/>
  <c r="CD54" i="1" s="1"/>
  <c r="CE54" i="1" s="1"/>
  <c r="CF54" i="1" s="1"/>
  <c r="CG54" i="1" s="1"/>
  <c r="CH54" i="1" s="1"/>
  <c r="CI54" i="1" s="1"/>
  <c r="CJ54" i="1" s="1"/>
  <c r="BU259" i="1"/>
  <c r="BY259" i="1" s="1"/>
  <c r="BZ259" i="1" s="1"/>
  <c r="CA259" i="1" s="1"/>
  <c r="CB259" i="1" s="1"/>
  <c r="CC259" i="1" s="1"/>
  <c r="CD259" i="1" s="1"/>
  <c r="CE259" i="1" s="1"/>
  <c r="CF259" i="1" s="1"/>
  <c r="CG259" i="1" s="1"/>
  <c r="CH259" i="1" s="1"/>
  <c r="CI259" i="1" s="1"/>
  <c r="CJ259" i="1" s="1"/>
  <c r="BU474" i="1"/>
  <c r="BY474" i="1" s="1"/>
  <c r="BZ474" i="1" s="1"/>
  <c r="CA474" i="1" s="1"/>
  <c r="CB474" i="1" s="1"/>
  <c r="CC474" i="1" s="1"/>
  <c r="CD474" i="1" s="1"/>
  <c r="CE474" i="1" s="1"/>
  <c r="CF474" i="1" s="1"/>
  <c r="CG474" i="1" s="1"/>
  <c r="CH474" i="1" s="1"/>
  <c r="CI474" i="1" s="1"/>
  <c r="CJ474" i="1" s="1"/>
  <c r="BU119" i="1"/>
  <c r="BY119" i="1" s="1"/>
  <c r="BU254" i="1"/>
  <c r="BY254" i="1" s="1"/>
  <c r="BZ254" i="1" s="1"/>
  <c r="CA254" i="1" s="1"/>
  <c r="CB254" i="1" s="1"/>
  <c r="CC254" i="1" s="1"/>
  <c r="CD254" i="1" s="1"/>
  <c r="CE254" i="1" s="1"/>
  <c r="CF254" i="1" s="1"/>
  <c r="CG254" i="1" s="1"/>
  <c r="CH254" i="1" s="1"/>
  <c r="CI254" i="1" s="1"/>
  <c r="CJ254" i="1" s="1"/>
  <c r="BU282" i="1"/>
  <c r="BY282" i="1" s="1"/>
  <c r="BZ282" i="1" s="1"/>
  <c r="CA282" i="1" s="1"/>
  <c r="CB282" i="1" s="1"/>
  <c r="CC282" i="1" s="1"/>
  <c r="CD282" i="1" s="1"/>
  <c r="CE282" i="1" s="1"/>
  <c r="CF282" i="1" s="1"/>
  <c r="CG282" i="1" s="1"/>
  <c r="CH282" i="1" s="1"/>
  <c r="CI282" i="1" s="1"/>
  <c r="CJ282" i="1" s="1"/>
  <c r="BU180" i="1"/>
  <c r="BY180" i="1" s="1"/>
  <c r="BZ180" i="1" s="1"/>
  <c r="CA180" i="1" s="1"/>
  <c r="CB180" i="1" s="1"/>
  <c r="CC180" i="1" s="1"/>
  <c r="CD180" i="1" s="1"/>
  <c r="CE180" i="1" s="1"/>
  <c r="CF180" i="1" s="1"/>
  <c r="CG180" i="1" s="1"/>
  <c r="CH180" i="1" s="1"/>
  <c r="CI180" i="1" s="1"/>
  <c r="CJ180" i="1" s="1"/>
  <c r="BU73" i="1"/>
  <c r="BY73" i="1" s="1"/>
  <c r="BZ73" i="1" s="1"/>
  <c r="CA73" i="1" s="1"/>
  <c r="CB73" i="1" s="1"/>
  <c r="CC73" i="1" s="1"/>
  <c r="CD73" i="1" s="1"/>
  <c r="CE73" i="1" s="1"/>
  <c r="CF73" i="1" s="1"/>
  <c r="CG73" i="1" s="1"/>
  <c r="CH73" i="1" s="1"/>
  <c r="CI73" i="1" s="1"/>
  <c r="CJ73" i="1" s="1"/>
  <c r="BU266" i="1"/>
  <c r="BY266" i="1" s="1"/>
  <c r="BZ266" i="1" s="1"/>
  <c r="CA266" i="1" s="1"/>
  <c r="CB266" i="1" s="1"/>
  <c r="CC266" i="1" s="1"/>
  <c r="CD266" i="1" s="1"/>
  <c r="CE266" i="1" s="1"/>
  <c r="CF266" i="1" s="1"/>
  <c r="CG266" i="1" s="1"/>
  <c r="CH266" i="1" s="1"/>
  <c r="CI266" i="1" s="1"/>
  <c r="CJ266" i="1" s="1"/>
  <c r="BU189" i="1"/>
  <c r="BY189" i="1" s="1"/>
  <c r="BZ189" i="1" s="1"/>
  <c r="CA189" i="1" s="1"/>
  <c r="CB189" i="1" s="1"/>
  <c r="CC189" i="1" s="1"/>
  <c r="CD189" i="1" s="1"/>
  <c r="CE189" i="1" s="1"/>
  <c r="CF189" i="1" s="1"/>
  <c r="CG189" i="1" s="1"/>
  <c r="CH189" i="1" s="1"/>
  <c r="CI189" i="1" s="1"/>
  <c r="CJ189" i="1" s="1"/>
  <c r="BU175" i="1"/>
  <c r="BY175" i="1" s="1"/>
  <c r="BZ175" i="1" s="1"/>
  <c r="CA175" i="1" s="1"/>
  <c r="CB175" i="1" s="1"/>
  <c r="CC175" i="1" s="1"/>
  <c r="CD175" i="1" s="1"/>
  <c r="CE175" i="1" s="1"/>
  <c r="CF175" i="1" s="1"/>
  <c r="CG175" i="1" s="1"/>
  <c r="CH175" i="1" s="1"/>
  <c r="CI175" i="1" s="1"/>
  <c r="CJ175" i="1" s="1"/>
  <c r="BU393" i="1"/>
  <c r="BY393" i="1" s="1"/>
  <c r="BZ393" i="1" s="1"/>
  <c r="CA393" i="1" s="1"/>
  <c r="CB393" i="1" s="1"/>
  <c r="CC393" i="1" s="1"/>
  <c r="CD393" i="1" s="1"/>
  <c r="CE393" i="1" s="1"/>
  <c r="CF393" i="1" s="1"/>
  <c r="CG393" i="1" s="1"/>
  <c r="CH393" i="1" s="1"/>
  <c r="CI393" i="1" s="1"/>
  <c r="CJ393" i="1" s="1"/>
  <c r="BU156" i="1"/>
  <c r="BY156" i="1" s="1"/>
  <c r="BZ156" i="1" s="1"/>
  <c r="CA156" i="1" s="1"/>
  <c r="CB156" i="1" s="1"/>
  <c r="CC156" i="1" s="1"/>
  <c r="CD156" i="1" s="1"/>
  <c r="CE156" i="1" s="1"/>
  <c r="CF156" i="1" s="1"/>
  <c r="CG156" i="1" s="1"/>
  <c r="CH156" i="1" s="1"/>
  <c r="CI156" i="1" s="1"/>
  <c r="CJ156" i="1" s="1"/>
  <c r="BU261" i="1"/>
  <c r="BY261" i="1" s="1"/>
  <c r="BZ261" i="1" s="1"/>
  <c r="CA261" i="1" s="1"/>
  <c r="CB261" i="1" s="1"/>
  <c r="CC261" i="1" s="1"/>
  <c r="CD261" i="1" s="1"/>
  <c r="CE261" i="1" s="1"/>
  <c r="CF261" i="1" s="1"/>
  <c r="CG261" i="1" s="1"/>
  <c r="CH261" i="1" s="1"/>
  <c r="CI261" i="1" s="1"/>
  <c r="CJ261" i="1" s="1"/>
  <c r="BU202" i="1"/>
  <c r="BY202" i="1" s="1"/>
  <c r="BZ202" i="1" s="1"/>
  <c r="CA202" i="1" s="1"/>
  <c r="CB202" i="1" s="1"/>
  <c r="CC202" i="1" s="1"/>
  <c r="CD202" i="1" s="1"/>
  <c r="CE202" i="1" s="1"/>
  <c r="CF202" i="1" s="1"/>
  <c r="CG202" i="1" s="1"/>
  <c r="CH202" i="1" s="1"/>
  <c r="CI202" i="1" s="1"/>
  <c r="CJ202" i="1" s="1"/>
  <c r="BU206" i="1"/>
  <c r="BY206" i="1" s="1"/>
  <c r="BZ206" i="1" s="1"/>
  <c r="CA206" i="1" s="1"/>
  <c r="CB206" i="1" s="1"/>
  <c r="CC206" i="1" s="1"/>
  <c r="CD206" i="1" s="1"/>
  <c r="CE206" i="1" s="1"/>
  <c r="CF206" i="1" s="1"/>
  <c r="CG206" i="1" s="1"/>
  <c r="CH206" i="1" s="1"/>
  <c r="CI206" i="1" s="1"/>
  <c r="CJ206" i="1" s="1"/>
  <c r="BU176" i="1"/>
  <c r="BY176" i="1" s="1"/>
  <c r="BZ176" i="1" s="1"/>
  <c r="CA176" i="1" s="1"/>
  <c r="CB176" i="1" s="1"/>
  <c r="CC176" i="1" s="1"/>
  <c r="CD176" i="1" s="1"/>
  <c r="CE176" i="1" s="1"/>
  <c r="CF176" i="1" s="1"/>
  <c r="CG176" i="1" s="1"/>
  <c r="CH176" i="1" s="1"/>
  <c r="CI176" i="1" s="1"/>
  <c r="CJ176" i="1" s="1"/>
  <c r="BU473" i="1"/>
  <c r="BY473" i="1" s="1"/>
  <c r="BZ473" i="1" s="1"/>
  <c r="CA473" i="1" s="1"/>
  <c r="CB473" i="1" s="1"/>
  <c r="CC473" i="1" s="1"/>
  <c r="CD473" i="1" s="1"/>
  <c r="CE473" i="1" s="1"/>
  <c r="CF473" i="1" s="1"/>
  <c r="CG473" i="1" s="1"/>
  <c r="CH473" i="1" s="1"/>
  <c r="CI473" i="1" s="1"/>
  <c r="CJ473" i="1" s="1"/>
  <c r="BU354" i="1"/>
  <c r="BY354" i="1" s="1"/>
  <c r="BZ354" i="1" s="1"/>
  <c r="CA354" i="1" s="1"/>
  <c r="CB354" i="1" s="1"/>
  <c r="CC354" i="1" s="1"/>
  <c r="CD354" i="1" s="1"/>
  <c r="CE354" i="1" s="1"/>
  <c r="CF354" i="1" s="1"/>
  <c r="CG354" i="1" s="1"/>
  <c r="CH354" i="1" s="1"/>
  <c r="CI354" i="1" s="1"/>
  <c r="CJ354" i="1" s="1"/>
  <c r="BU262" i="1"/>
  <c r="BY262" i="1" s="1"/>
  <c r="BZ262" i="1" s="1"/>
  <c r="CA262" i="1" s="1"/>
  <c r="CB262" i="1" s="1"/>
  <c r="CC262" i="1" s="1"/>
  <c r="CD262" i="1" s="1"/>
  <c r="CE262" i="1" s="1"/>
  <c r="CF262" i="1" s="1"/>
  <c r="CG262" i="1" s="1"/>
  <c r="CH262" i="1" s="1"/>
  <c r="CI262" i="1" s="1"/>
  <c r="CJ262" i="1" s="1"/>
  <c r="BU274" i="1"/>
  <c r="BY274" i="1" s="1"/>
  <c r="BZ274" i="1" s="1"/>
  <c r="CA274" i="1" s="1"/>
  <c r="CB274" i="1" s="1"/>
  <c r="CC274" i="1" s="1"/>
  <c r="CD274" i="1" s="1"/>
  <c r="CE274" i="1" s="1"/>
  <c r="CF274" i="1" s="1"/>
  <c r="CG274" i="1" s="1"/>
  <c r="CH274" i="1" s="1"/>
  <c r="CI274" i="1" s="1"/>
  <c r="CJ274" i="1" s="1"/>
  <c r="BU503" i="1"/>
  <c r="BY503" i="1" s="1"/>
  <c r="BZ503" i="1" s="1"/>
  <c r="CA503" i="1" s="1"/>
  <c r="CB503" i="1" s="1"/>
  <c r="CC503" i="1" s="1"/>
  <c r="CD503" i="1" s="1"/>
  <c r="CE503" i="1" s="1"/>
  <c r="CF503" i="1" s="1"/>
  <c r="CG503" i="1" s="1"/>
  <c r="CH503" i="1" s="1"/>
  <c r="CI503" i="1" s="1"/>
  <c r="CJ503" i="1" s="1"/>
  <c r="BU171" i="1"/>
  <c r="BY171" i="1" s="1"/>
  <c r="BZ171" i="1" s="1"/>
  <c r="CA171" i="1" s="1"/>
  <c r="CB171" i="1" s="1"/>
  <c r="CC171" i="1" s="1"/>
  <c r="CD171" i="1" s="1"/>
  <c r="CE171" i="1" s="1"/>
  <c r="CF171" i="1" s="1"/>
  <c r="CG171" i="1" s="1"/>
  <c r="CH171" i="1" s="1"/>
  <c r="CI171" i="1" s="1"/>
  <c r="CJ171" i="1" s="1"/>
  <c r="BU272" i="1"/>
  <c r="BY272" i="1" s="1"/>
  <c r="BZ272" i="1" s="1"/>
  <c r="CA272" i="1" s="1"/>
  <c r="CB272" i="1" s="1"/>
  <c r="CC272" i="1" s="1"/>
  <c r="CD272" i="1" s="1"/>
  <c r="CE272" i="1" s="1"/>
  <c r="CF272" i="1" s="1"/>
  <c r="CG272" i="1" s="1"/>
  <c r="CH272" i="1" s="1"/>
  <c r="CI272" i="1" s="1"/>
  <c r="CJ272" i="1" s="1"/>
  <c r="BU422" i="1"/>
  <c r="BY422" i="1" s="1"/>
  <c r="BZ422" i="1" s="1"/>
  <c r="CA422" i="1" s="1"/>
  <c r="CB422" i="1" s="1"/>
  <c r="CC422" i="1" s="1"/>
  <c r="CD422" i="1" s="1"/>
  <c r="CE422" i="1" s="1"/>
  <c r="CF422" i="1" s="1"/>
  <c r="CG422" i="1" s="1"/>
  <c r="CH422" i="1" s="1"/>
  <c r="CI422" i="1" s="1"/>
  <c r="CJ422" i="1" s="1"/>
  <c r="BU64" i="1"/>
  <c r="BY64" i="1" s="1"/>
  <c r="BZ64" i="1" s="1"/>
  <c r="CA64" i="1" s="1"/>
  <c r="CB64" i="1" s="1"/>
  <c r="CC64" i="1" s="1"/>
  <c r="CD64" i="1" s="1"/>
  <c r="CE64" i="1" s="1"/>
  <c r="CF64" i="1" s="1"/>
  <c r="CG64" i="1" s="1"/>
  <c r="CH64" i="1" s="1"/>
  <c r="CI64" i="1" s="1"/>
  <c r="CJ64" i="1" s="1"/>
  <c r="BU159" i="1"/>
  <c r="BY159" i="1" s="1"/>
  <c r="BU49" i="1"/>
  <c r="BY49" i="1" s="1"/>
  <c r="BZ49" i="1" s="1"/>
  <c r="CA49" i="1" s="1"/>
  <c r="CB49" i="1" s="1"/>
  <c r="CC49" i="1" s="1"/>
  <c r="CD49" i="1" s="1"/>
  <c r="CE49" i="1" s="1"/>
  <c r="CF49" i="1" s="1"/>
  <c r="CG49" i="1" s="1"/>
  <c r="CH49" i="1" s="1"/>
  <c r="CI49" i="1" s="1"/>
  <c r="CJ49" i="1" s="1"/>
  <c r="BU351" i="1"/>
  <c r="BY351" i="1" s="1"/>
  <c r="BZ351" i="1" s="1"/>
  <c r="CA351" i="1" s="1"/>
  <c r="CB351" i="1" s="1"/>
  <c r="CC351" i="1" s="1"/>
  <c r="CD351" i="1" s="1"/>
  <c r="CE351" i="1" s="1"/>
  <c r="CF351" i="1" s="1"/>
  <c r="CG351" i="1" s="1"/>
  <c r="CH351" i="1" s="1"/>
  <c r="CI351" i="1" s="1"/>
  <c r="CJ351" i="1" s="1"/>
  <c r="BU63" i="1"/>
  <c r="BY63" i="1" s="1"/>
  <c r="BZ63" i="1" s="1"/>
  <c r="CA63" i="1" s="1"/>
  <c r="CB63" i="1" s="1"/>
  <c r="CC63" i="1" s="1"/>
  <c r="CD63" i="1" s="1"/>
  <c r="CE63" i="1" s="1"/>
  <c r="CF63" i="1" s="1"/>
  <c r="CG63" i="1" s="1"/>
  <c r="CH63" i="1" s="1"/>
  <c r="CI63" i="1" s="1"/>
  <c r="CJ63" i="1" s="1"/>
  <c r="BU12" i="1"/>
  <c r="BY12" i="1" s="1"/>
  <c r="BZ12" i="1" s="1"/>
  <c r="CA12" i="1" s="1"/>
  <c r="CB12" i="1" s="1"/>
  <c r="CC12" i="1" s="1"/>
  <c r="CD12" i="1" s="1"/>
  <c r="CE12" i="1" s="1"/>
  <c r="CF12" i="1" s="1"/>
  <c r="CG12" i="1" s="1"/>
  <c r="CH12" i="1" s="1"/>
  <c r="CI12" i="1" s="1"/>
  <c r="CJ12" i="1" s="1"/>
  <c r="BU369" i="1"/>
  <c r="BY369" i="1" s="1"/>
  <c r="BZ369" i="1" s="1"/>
  <c r="CA369" i="1" s="1"/>
  <c r="CB369" i="1" s="1"/>
  <c r="CC369" i="1" s="1"/>
  <c r="CD369" i="1" s="1"/>
  <c r="CE369" i="1" s="1"/>
  <c r="CF369" i="1" s="1"/>
  <c r="CG369" i="1" s="1"/>
  <c r="CH369" i="1" s="1"/>
  <c r="CI369" i="1" s="1"/>
  <c r="CJ369" i="1" s="1"/>
  <c r="BU428" i="1"/>
  <c r="BY428" i="1" s="1"/>
  <c r="BU406" i="1"/>
  <c r="BY406" i="1" s="1"/>
  <c r="BZ406" i="1" s="1"/>
  <c r="CA406" i="1" s="1"/>
  <c r="CB406" i="1" s="1"/>
  <c r="CC406" i="1" s="1"/>
  <c r="CD406" i="1" s="1"/>
  <c r="CE406" i="1" s="1"/>
  <c r="CF406" i="1" s="1"/>
  <c r="CG406" i="1" s="1"/>
  <c r="CH406" i="1" s="1"/>
  <c r="CI406" i="1" s="1"/>
  <c r="CJ406" i="1" s="1"/>
  <c r="BU277" i="1"/>
  <c r="BY277" i="1" s="1"/>
  <c r="BZ277" i="1" s="1"/>
  <c r="CA277" i="1" s="1"/>
  <c r="CB277" i="1" s="1"/>
  <c r="CC277" i="1" s="1"/>
  <c r="CD277" i="1" s="1"/>
  <c r="CE277" i="1" s="1"/>
  <c r="CF277" i="1" s="1"/>
  <c r="CG277" i="1" s="1"/>
  <c r="CH277" i="1" s="1"/>
  <c r="CI277" i="1" s="1"/>
  <c r="CJ277" i="1" s="1"/>
  <c r="BU376" i="1"/>
  <c r="BY376" i="1" s="1"/>
  <c r="BZ376" i="1" s="1"/>
  <c r="CA376" i="1" s="1"/>
  <c r="CB376" i="1" s="1"/>
  <c r="CC376" i="1" s="1"/>
  <c r="CD376" i="1" s="1"/>
  <c r="CE376" i="1" s="1"/>
  <c r="CF376" i="1" s="1"/>
  <c r="CG376" i="1" s="1"/>
  <c r="CH376" i="1" s="1"/>
  <c r="CI376" i="1" s="1"/>
  <c r="CJ376" i="1" s="1"/>
  <c r="BU279" i="1"/>
  <c r="BY279" i="1" s="1"/>
  <c r="BZ279" i="1" s="1"/>
  <c r="CA279" i="1" s="1"/>
  <c r="CB279" i="1" s="1"/>
  <c r="CC279" i="1" s="1"/>
  <c r="CD279" i="1" s="1"/>
  <c r="CE279" i="1" s="1"/>
  <c r="CF279" i="1" s="1"/>
  <c r="CG279" i="1" s="1"/>
  <c r="CH279" i="1" s="1"/>
  <c r="CI279" i="1" s="1"/>
  <c r="CJ279" i="1" s="1"/>
  <c r="BU170" i="1"/>
  <c r="BY170" i="1" s="1"/>
  <c r="CK170" i="1" s="1"/>
  <c r="BU297" i="1"/>
  <c r="BY297" i="1" s="1"/>
  <c r="BZ297" i="1" s="1"/>
  <c r="CA297" i="1" s="1"/>
  <c r="CB297" i="1" s="1"/>
  <c r="CC297" i="1" s="1"/>
  <c r="CD297" i="1" s="1"/>
  <c r="CE297" i="1" s="1"/>
  <c r="CF297" i="1" s="1"/>
  <c r="CG297" i="1" s="1"/>
  <c r="CH297" i="1" s="1"/>
  <c r="CI297" i="1" s="1"/>
  <c r="CJ297" i="1" s="1"/>
  <c r="BU275" i="1"/>
  <c r="BY275" i="1" s="1"/>
  <c r="BZ275" i="1" s="1"/>
  <c r="CA275" i="1" s="1"/>
  <c r="CB275" i="1" s="1"/>
  <c r="CC275" i="1" s="1"/>
  <c r="CD275" i="1" s="1"/>
  <c r="CE275" i="1" s="1"/>
  <c r="CF275" i="1" s="1"/>
  <c r="CG275" i="1" s="1"/>
  <c r="CH275" i="1" s="1"/>
  <c r="CI275" i="1" s="1"/>
  <c r="CJ275" i="1" s="1"/>
  <c r="BU471" i="1"/>
  <c r="BY471" i="1" s="1"/>
  <c r="BZ471" i="1" s="1"/>
  <c r="CA471" i="1" s="1"/>
  <c r="CB471" i="1" s="1"/>
  <c r="CC471" i="1" s="1"/>
  <c r="CD471" i="1" s="1"/>
  <c r="CE471" i="1" s="1"/>
  <c r="CF471" i="1" s="1"/>
  <c r="CG471" i="1" s="1"/>
  <c r="CH471" i="1" s="1"/>
  <c r="CI471" i="1" s="1"/>
  <c r="CJ471" i="1" s="1"/>
  <c r="BU278" i="1"/>
  <c r="BY278" i="1" s="1"/>
  <c r="BZ278" i="1" s="1"/>
  <c r="CA278" i="1" s="1"/>
  <c r="CB278" i="1" s="1"/>
  <c r="CC278" i="1" s="1"/>
  <c r="CD278" i="1" s="1"/>
  <c r="CE278" i="1" s="1"/>
  <c r="CF278" i="1" s="1"/>
  <c r="CG278" i="1" s="1"/>
  <c r="CH278" i="1" s="1"/>
  <c r="CI278" i="1" s="1"/>
  <c r="CJ278" i="1" s="1"/>
  <c r="BU307" i="1"/>
  <c r="BY307" i="1" s="1"/>
  <c r="BZ307" i="1" s="1"/>
  <c r="CA307" i="1" s="1"/>
  <c r="CB307" i="1" s="1"/>
  <c r="CC307" i="1" s="1"/>
  <c r="CD307" i="1" s="1"/>
  <c r="CE307" i="1" s="1"/>
  <c r="CF307" i="1" s="1"/>
  <c r="CG307" i="1" s="1"/>
  <c r="CH307" i="1" s="1"/>
  <c r="CI307" i="1" s="1"/>
  <c r="CJ307" i="1" s="1"/>
  <c r="BU181" i="1"/>
  <c r="BY181" i="1" s="1"/>
  <c r="BZ181" i="1" s="1"/>
  <c r="CA181" i="1" s="1"/>
  <c r="CB181" i="1" s="1"/>
  <c r="CC181" i="1" s="1"/>
  <c r="CD181" i="1" s="1"/>
  <c r="CE181" i="1" s="1"/>
  <c r="CF181" i="1" s="1"/>
  <c r="CG181" i="1" s="1"/>
  <c r="CH181" i="1" s="1"/>
  <c r="CI181" i="1" s="1"/>
  <c r="CJ181" i="1" s="1"/>
  <c r="BU273" i="1"/>
  <c r="BY273" i="1" s="1"/>
  <c r="BU71" i="1"/>
  <c r="BY71" i="1" s="1"/>
  <c r="BU203" i="1"/>
  <c r="BY203" i="1" s="1"/>
  <c r="BZ203" i="1" s="1"/>
  <c r="CA203" i="1" s="1"/>
  <c r="CB203" i="1" s="1"/>
  <c r="CC203" i="1" s="1"/>
  <c r="CD203" i="1" s="1"/>
  <c r="CE203" i="1" s="1"/>
  <c r="CF203" i="1" s="1"/>
  <c r="CG203" i="1" s="1"/>
  <c r="CH203" i="1" s="1"/>
  <c r="CI203" i="1" s="1"/>
  <c r="CJ203" i="1" s="1"/>
  <c r="BU158" i="1"/>
  <c r="BY158" i="1" s="1"/>
  <c r="BZ158" i="1" s="1"/>
  <c r="CA158" i="1" s="1"/>
  <c r="CB158" i="1" s="1"/>
  <c r="CC158" i="1" s="1"/>
  <c r="CD158" i="1" s="1"/>
  <c r="CE158" i="1" s="1"/>
  <c r="CF158" i="1" s="1"/>
  <c r="CG158" i="1" s="1"/>
  <c r="CH158" i="1" s="1"/>
  <c r="CI158" i="1" s="1"/>
  <c r="CJ158" i="1" s="1"/>
  <c r="BU260" i="1"/>
  <c r="BY260" i="1" s="1"/>
  <c r="BZ260" i="1" s="1"/>
  <c r="CA260" i="1" s="1"/>
  <c r="CB260" i="1" s="1"/>
  <c r="CC260" i="1" s="1"/>
  <c r="CD260" i="1" s="1"/>
  <c r="CE260" i="1" s="1"/>
  <c r="CF260" i="1" s="1"/>
  <c r="CG260" i="1" s="1"/>
  <c r="CH260" i="1" s="1"/>
  <c r="CI260" i="1" s="1"/>
  <c r="CJ260" i="1" s="1"/>
  <c r="BV257" i="1"/>
  <c r="BU177" i="1"/>
  <c r="BY177" i="1" s="1"/>
  <c r="BZ177" i="1" s="1"/>
  <c r="CA177" i="1" s="1"/>
  <c r="CB177" i="1" s="1"/>
  <c r="CC177" i="1" s="1"/>
  <c r="CD177" i="1" s="1"/>
  <c r="CE177" i="1" s="1"/>
  <c r="CF177" i="1" s="1"/>
  <c r="CG177" i="1" s="1"/>
  <c r="CH177" i="1" s="1"/>
  <c r="CI177" i="1" s="1"/>
  <c r="CJ177" i="1" s="1"/>
  <c r="BU356" i="1"/>
  <c r="BY356" i="1" s="1"/>
  <c r="BZ356" i="1" s="1"/>
  <c r="CA356" i="1" s="1"/>
  <c r="CB356" i="1" s="1"/>
  <c r="CC356" i="1" s="1"/>
  <c r="CD356" i="1" s="1"/>
  <c r="CE356" i="1" s="1"/>
  <c r="CF356" i="1" s="1"/>
  <c r="CG356" i="1" s="1"/>
  <c r="CH356" i="1" s="1"/>
  <c r="CI356" i="1" s="1"/>
  <c r="CJ356" i="1" s="1"/>
  <c r="BU402" i="1"/>
  <c r="BY402" i="1" s="1"/>
  <c r="BZ402" i="1" s="1"/>
  <c r="CA402" i="1" s="1"/>
  <c r="CB402" i="1" s="1"/>
  <c r="CC402" i="1" s="1"/>
  <c r="CD402" i="1" s="1"/>
  <c r="CE402" i="1" s="1"/>
  <c r="CF402" i="1" s="1"/>
  <c r="CG402" i="1" s="1"/>
  <c r="CH402" i="1" s="1"/>
  <c r="CI402" i="1" s="1"/>
  <c r="CJ402" i="1" s="1"/>
  <c r="BU200" i="1"/>
  <c r="BY200" i="1" s="1"/>
  <c r="BZ200" i="1" s="1"/>
  <c r="CA200" i="1" s="1"/>
  <c r="CB200" i="1" s="1"/>
  <c r="CC200" i="1" s="1"/>
  <c r="CD200" i="1" s="1"/>
  <c r="CE200" i="1" s="1"/>
  <c r="CF200" i="1" s="1"/>
  <c r="CG200" i="1" s="1"/>
  <c r="CH200" i="1" s="1"/>
  <c r="CI200" i="1" s="1"/>
  <c r="CJ200" i="1" s="1"/>
  <c r="BU120" i="1"/>
  <c r="BY120" i="1" s="1"/>
  <c r="BZ120" i="1" s="1"/>
  <c r="CA120" i="1" s="1"/>
  <c r="CB120" i="1" s="1"/>
  <c r="CC120" i="1" s="1"/>
  <c r="CD120" i="1" s="1"/>
  <c r="CE120" i="1" s="1"/>
  <c r="CF120" i="1" s="1"/>
  <c r="CG120" i="1" s="1"/>
  <c r="CH120" i="1" s="1"/>
  <c r="CI120" i="1" s="1"/>
  <c r="CJ120" i="1" s="1"/>
  <c r="BU217" i="1"/>
  <c r="BY217" i="1" s="1"/>
  <c r="BZ217" i="1" s="1"/>
  <c r="CA217" i="1" s="1"/>
  <c r="CB217" i="1" s="1"/>
  <c r="CC217" i="1" s="1"/>
  <c r="CD217" i="1" s="1"/>
  <c r="CE217" i="1" s="1"/>
  <c r="CF217" i="1" s="1"/>
  <c r="CG217" i="1" s="1"/>
  <c r="CH217" i="1" s="1"/>
  <c r="CI217" i="1" s="1"/>
  <c r="CJ217" i="1" s="1"/>
  <c r="BU79" i="1"/>
  <c r="BY79" i="1" s="1"/>
  <c r="BZ79" i="1" s="1"/>
  <c r="CA79" i="1" s="1"/>
  <c r="CB79" i="1" s="1"/>
  <c r="CC79" i="1" s="1"/>
  <c r="CD79" i="1" s="1"/>
  <c r="CE79" i="1" s="1"/>
  <c r="CF79" i="1" s="1"/>
  <c r="CG79" i="1" s="1"/>
  <c r="CH79" i="1" s="1"/>
  <c r="CI79" i="1" s="1"/>
  <c r="CJ79" i="1" s="1"/>
  <c r="BU468" i="1"/>
  <c r="BY468" i="1" s="1"/>
  <c r="BZ468" i="1" s="1"/>
  <c r="CA468" i="1" s="1"/>
  <c r="CB468" i="1" s="1"/>
  <c r="CC468" i="1" s="1"/>
  <c r="CD468" i="1" s="1"/>
  <c r="CE468" i="1" s="1"/>
  <c r="CF468" i="1" s="1"/>
  <c r="CG468" i="1" s="1"/>
  <c r="CH468" i="1" s="1"/>
  <c r="CI468" i="1" s="1"/>
  <c r="CJ468" i="1" s="1"/>
  <c r="BU381" i="1"/>
  <c r="BY381" i="1" s="1"/>
  <c r="BZ381" i="1" s="1"/>
  <c r="CA381" i="1" s="1"/>
  <c r="CB381" i="1" s="1"/>
  <c r="CC381" i="1" s="1"/>
  <c r="CD381" i="1" s="1"/>
  <c r="CE381" i="1" s="1"/>
  <c r="CF381" i="1" s="1"/>
  <c r="CG381" i="1" s="1"/>
  <c r="CH381" i="1" s="1"/>
  <c r="CI381" i="1" s="1"/>
  <c r="CJ381" i="1" s="1"/>
  <c r="BU178" i="1"/>
  <c r="BY178" i="1" s="1"/>
  <c r="BZ178" i="1" s="1"/>
  <c r="CA178" i="1" s="1"/>
  <c r="CB178" i="1" s="1"/>
  <c r="CC178" i="1" s="1"/>
  <c r="CD178" i="1" s="1"/>
  <c r="CE178" i="1" s="1"/>
  <c r="CF178" i="1" s="1"/>
  <c r="CG178" i="1" s="1"/>
  <c r="CH178" i="1" s="1"/>
  <c r="CI178" i="1" s="1"/>
  <c r="CJ178" i="1" s="1"/>
  <c r="BU95" i="1"/>
  <c r="BY95" i="1" s="1"/>
  <c r="BZ95" i="1" s="1"/>
  <c r="CA95" i="1" s="1"/>
  <c r="CB95" i="1" s="1"/>
  <c r="CC95" i="1" s="1"/>
  <c r="CD95" i="1" s="1"/>
  <c r="CE95" i="1" s="1"/>
  <c r="CF95" i="1" s="1"/>
  <c r="CG95" i="1" s="1"/>
  <c r="CH95" i="1" s="1"/>
  <c r="CI95" i="1" s="1"/>
  <c r="CJ95" i="1" s="1"/>
  <c r="BU410" i="1"/>
  <c r="BY410" i="1" s="1"/>
  <c r="BZ410" i="1" s="1"/>
  <c r="CA410" i="1" s="1"/>
  <c r="CB410" i="1" s="1"/>
  <c r="CC410" i="1" s="1"/>
  <c r="CD410" i="1" s="1"/>
  <c r="CE410" i="1" s="1"/>
  <c r="CF410" i="1" s="1"/>
  <c r="CG410" i="1" s="1"/>
  <c r="CH410" i="1" s="1"/>
  <c r="CI410" i="1" s="1"/>
  <c r="CJ410" i="1" s="1"/>
  <c r="BU426" i="1"/>
  <c r="BY426" i="1" s="1"/>
  <c r="BZ426" i="1" s="1"/>
  <c r="CA426" i="1" s="1"/>
  <c r="CB426" i="1" s="1"/>
  <c r="CC426" i="1" s="1"/>
  <c r="CD426" i="1" s="1"/>
  <c r="CE426" i="1" s="1"/>
  <c r="CF426" i="1" s="1"/>
  <c r="CG426" i="1" s="1"/>
  <c r="CH426" i="1" s="1"/>
  <c r="CI426" i="1" s="1"/>
  <c r="CJ426" i="1" s="1"/>
  <c r="BU411" i="1"/>
  <c r="BY411" i="1" s="1"/>
  <c r="BU75" i="1"/>
  <c r="BY75" i="1" s="1"/>
  <c r="BZ75" i="1" s="1"/>
  <c r="CA75" i="1" s="1"/>
  <c r="CB75" i="1" s="1"/>
  <c r="CC75" i="1" s="1"/>
  <c r="CD75" i="1" s="1"/>
  <c r="CE75" i="1" s="1"/>
  <c r="CF75" i="1" s="1"/>
  <c r="CG75" i="1" s="1"/>
  <c r="CH75" i="1" s="1"/>
  <c r="CI75" i="1" s="1"/>
  <c r="CJ75" i="1" s="1"/>
  <c r="BV186" i="1"/>
  <c r="BU114" i="1"/>
  <c r="BY114" i="1" s="1"/>
  <c r="BZ114" i="1" s="1"/>
  <c r="CA114" i="1" s="1"/>
  <c r="CB114" i="1" s="1"/>
  <c r="CC114" i="1" s="1"/>
  <c r="CD114" i="1" s="1"/>
  <c r="CE114" i="1" s="1"/>
  <c r="CF114" i="1" s="1"/>
  <c r="CG114" i="1" s="1"/>
  <c r="CH114" i="1" s="1"/>
  <c r="CI114" i="1" s="1"/>
  <c r="CJ114" i="1" s="1"/>
  <c r="BU475" i="1"/>
  <c r="BY475" i="1" s="1"/>
  <c r="BZ475" i="1" s="1"/>
  <c r="CA475" i="1" s="1"/>
  <c r="CB475" i="1" s="1"/>
  <c r="CC475" i="1" s="1"/>
  <c r="CD475" i="1" s="1"/>
  <c r="CE475" i="1" s="1"/>
  <c r="CF475" i="1" s="1"/>
  <c r="CG475" i="1" s="1"/>
  <c r="CH475" i="1" s="1"/>
  <c r="CI475" i="1" s="1"/>
  <c r="CJ475" i="1" s="1"/>
  <c r="BU413" i="1"/>
  <c r="BY413" i="1" s="1"/>
  <c r="BZ413" i="1" s="1"/>
  <c r="CA413" i="1" s="1"/>
  <c r="CB413" i="1" s="1"/>
  <c r="CC413" i="1" s="1"/>
  <c r="CD413" i="1" s="1"/>
  <c r="CE413" i="1" s="1"/>
  <c r="CF413" i="1" s="1"/>
  <c r="CG413" i="1" s="1"/>
  <c r="CH413" i="1" s="1"/>
  <c r="CI413" i="1" s="1"/>
  <c r="CJ413" i="1" s="1"/>
  <c r="BU371" i="1"/>
  <c r="BY371" i="1" s="1"/>
  <c r="BZ371" i="1" s="1"/>
  <c r="CA371" i="1" s="1"/>
  <c r="CB371" i="1" s="1"/>
  <c r="CC371" i="1" s="1"/>
  <c r="CD371" i="1" s="1"/>
  <c r="CE371" i="1" s="1"/>
  <c r="CF371" i="1" s="1"/>
  <c r="CG371" i="1" s="1"/>
  <c r="CH371" i="1" s="1"/>
  <c r="CI371" i="1" s="1"/>
  <c r="CJ371" i="1" s="1"/>
  <c r="BU182" i="1"/>
  <c r="BY182" i="1" s="1"/>
  <c r="BZ182" i="1" s="1"/>
  <c r="CA182" i="1" s="1"/>
  <c r="CB182" i="1" s="1"/>
  <c r="CC182" i="1" s="1"/>
  <c r="CD182" i="1" s="1"/>
  <c r="CE182" i="1" s="1"/>
  <c r="CF182" i="1" s="1"/>
  <c r="CG182" i="1" s="1"/>
  <c r="CH182" i="1" s="1"/>
  <c r="CI182" i="1" s="1"/>
  <c r="CJ182" i="1" s="1"/>
  <c r="BU424" i="1"/>
  <c r="BY424" i="1" s="1"/>
  <c r="BZ424" i="1" s="1"/>
  <c r="CA424" i="1" s="1"/>
  <c r="CB424" i="1" s="1"/>
  <c r="CC424" i="1" s="1"/>
  <c r="CD424" i="1" s="1"/>
  <c r="CE424" i="1" s="1"/>
  <c r="CF424" i="1" s="1"/>
  <c r="CG424" i="1" s="1"/>
  <c r="CH424" i="1" s="1"/>
  <c r="CI424" i="1" s="1"/>
  <c r="CJ424" i="1" s="1"/>
  <c r="BU271" i="1"/>
  <c r="BY271" i="1" s="1"/>
  <c r="BZ271" i="1" s="1"/>
  <c r="CA271" i="1" s="1"/>
  <c r="CB271" i="1" s="1"/>
  <c r="CC271" i="1" s="1"/>
  <c r="CD271" i="1" s="1"/>
  <c r="CE271" i="1" s="1"/>
  <c r="CF271" i="1" s="1"/>
  <c r="CG271" i="1" s="1"/>
  <c r="CH271" i="1" s="1"/>
  <c r="CI271" i="1" s="1"/>
  <c r="CJ271" i="1" s="1"/>
  <c r="BU486" i="1"/>
  <c r="BY486" i="1" s="1"/>
  <c r="BZ486" i="1" s="1"/>
  <c r="CA486" i="1" s="1"/>
  <c r="CB486" i="1" s="1"/>
  <c r="CC486" i="1" s="1"/>
  <c r="CD486" i="1" s="1"/>
  <c r="CE486" i="1" s="1"/>
  <c r="CF486" i="1" s="1"/>
  <c r="CG486" i="1" s="1"/>
  <c r="CH486" i="1" s="1"/>
  <c r="CI486" i="1" s="1"/>
  <c r="CJ486" i="1" s="1"/>
  <c r="BU293" i="1"/>
  <c r="BY293" i="1" s="1"/>
  <c r="BZ293" i="1" s="1"/>
  <c r="CA293" i="1" s="1"/>
  <c r="CB293" i="1" s="1"/>
  <c r="CC293" i="1" s="1"/>
  <c r="CD293" i="1" s="1"/>
  <c r="CE293" i="1" s="1"/>
  <c r="CF293" i="1" s="1"/>
  <c r="CG293" i="1" s="1"/>
  <c r="CH293" i="1" s="1"/>
  <c r="CI293" i="1" s="1"/>
  <c r="CJ293" i="1" s="1"/>
  <c r="BU308" i="1"/>
  <c r="BY308" i="1" s="1"/>
  <c r="BU280" i="1"/>
  <c r="BY280" i="1" s="1"/>
  <c r="BZ280" i="1" s="1"/>
  <c r="CA280" i="1" s="1"/>
  <c r="CB280" i="1" s="1"/>
  <c r="CC280" i="1" s="1"/>
  <c r="CD280" i="1" s="1"/>
  <c r="CE280" i="1" s="1"/>
  <c r="CF280" i="1" s="1"/>
  <c r="CG280" i="1" s="1"/>
  <c r="CH280" i="1" s="1"/>
  <c r="CI280" i="1" s="1"/>
  <c r="CJ280" i="1" s="1"/>
  <c r="BU352" i="1"/>
  <c r="BY352" i="1" s="1"/>
  <c r="BZ352" i="1" s="1"/>
  <c r="CA352" i="1" s="1"/>
  <c r="CB352" i="1" s="1"/>
  <c r="CC352" i="1" s="1"/>
  <c r="CD352" i="1" s="1"/>
  <c r="CE352" i="1" s="1"/>
  <c r="CF352" i="1" s="1"/>
  <c r="CG352" i="1" s="1"/>
  <c r="CH352" i="1" s="1"/>
  <c r="CI352" i="1" s="1"/>
  <c r="CJ352" i="1" s="1"/>
  <c r="BU296" i="1"/>
  <c r="BY296" i="1" s="1"/>
  <c r="BZ296" i="1" s="1"/>
  <c r="CA296" i="1" s="1"/>
  <c r="CB296" i="1" s="1"/>
  <c r="CC296" i="1" s="1"/>
  <c r="CD296" i="1" s="1"/>
  <c r="CE296" i="1" s="1"/>
  <c r="CF296" i="1" s="1"/>
  <c r="CG296" i="1" s="1"/>
  <c r="CH296" i="1" s="1"/>
  <c r="CI296" i="1" s="1"/>
  <c r="CJ296" i="1" s="1"/>
  <c r="BU476" i="1"/>
  <c r="BY476" i="1" s="1"/>
  <c r="BZ476" i="1" s="1"/>
  <c r="CA476" i="1" s="1"/>
  <c r="CB476" i="1" s="1"/>
  <c r="CC476" i="1" s="1"/>
  <c r="CD476" i="1" s="1"/>
  <c r="CE476" i="1" s="1"/>
  <c r="CF476" i="1" s="1"/>
  <c r="CG476" i="1" s="1"/>
  <c r="CH476" i="1" s="1"/>
  <c r="CI476" i="1" s="1"/>
  <c r="CJ476" i="1" s="1"/>
  <c r="BU399" i="1"/>
  <c r="BY399" i="1" s="1"/>
  <c r="BU502" i="1"/>
  <c r="BY502" i="1" s="1"/>
  <c r="BZ502" i="1" s="1"/>
  <c r="CA502" i="1" s="1"/>
  <c r="CB502" i="1" s="1"/>
  <c r="CC502" i="1" s="1"/>
  <c r="CD502" i="1" s="1"/>
  <c r="CE502" i="1" s="1"/>
  <c r="CF502" i="1" s="1"/>
  <c r="CG502" i="1" s="1"/>
  <c r="CH502" i="1" s="1"/>
  <c r="CI502" i="1" s="1"/>
  <c r="CJ502" i="1" s="1"/>
  <c r="BU383" i="1"/>
  <c r="BY383" i="1" s="1"/>
  <c r="BZ383" i="1" s="1"/>
  <c r="CA383" i="1" s="1"/>
  <c r="CB383" i="1" s="1"/>
  <c r="CC383" i="1" s="1"/>
  <c r="CD383" i="1" s="1"/>
  <c r="CE383" i="1" s="1"/>
  <c r="CF383" i="1" s="1"/>
  <c r="CG383" i="1" s="1"/>
  <c r="CH383" i="1" s="1"/>
  <c r="CI383" i="1" s="1"/>
  <c r="CJ383" i="1" s="1"/>
  <c r="BU193" i="1"/>
  <c r="BY193" i="1" s="1"/>
  <c r="BZ193" i="1" s="1"/>
  <c r="CA193" i="1" s="1"/>
  <c r="CB193" i="1" s="1"/>
  <c r="CC193" i="1" s="1"/>
  <c r="CD193" i="1" s="1"/>
  <c r="CE193" i="1" s="1"/>
  <c r="CF193" i="1" s="1"/>
  <c r="CG193" i="1" s="1"/>
  <c r="CH193" i="1" s="1"/>
  <c r="CI193" i="1" s="1"/>
  <c r="CJ193" i="1" s="1"/>
  <c r="BU378" i="1"/>
  <c r="BY378" i="1" s="1"/>
  <c r="CK378" i="1" s="1"/>
  <c r="BU429" i="1"/>
  <c r="BY429" i="1" s="1"/>
  <c r="BZ429" i="1" s="1"/>
  <c r="CA429" i="1" s="1"/>
  <c r="CB429" i="1" s="1"/>
  <c r="CC429" i="1" s="1"/>
  <c r="CD429" i="1" s="1"/>
  <c r="CE429" i="1" s="1"/>
  <c r="CF429" i="1" s="1"/>
  <c r="CG429" i="1" s="1"/>
  <c r="CH429" i="1" s="1"/>
  <c r="CI429" i="1" s="1"/>
  <c r="CJ429" i="1" s="1"/>
  <c r="BU472" i="1"/>
  <c r="BY472" i="1" s="1"/>
  <c r="BZ472" i="1" s="1"/>
  <c r="CA472" i="1" s="1"/>
  <c r="CB472" i="1" s="1"/>
  <c r="CC472" i="1" s="1"/>
  <c r="CD472" i="1" s="1"/>
  <c r="CE472" i="1" s="1"/>
  <c r="CF472" i="1" s="1"/>
  <c r="CG472" i="1" s="1"/>
  <c r="CH472" i="1" s="1"/>
  <c r="CI472" i="1" s="1"/>
  <c r="CJ472" i="1" s="1"/>
  <c r="BU379" i="1"/>
  <c r="BY379" i="1" s="1"/>
  <c r="BZ379" i="1" s="1"/>
  <c r="CA379" i="1" s="1"/>
  <c r="CB379" i="1" s="1"/>
  <c r="CC379" i="1" s="1"/>
  <c r="CD379" i="1" s="1"/>
  <c r="CE379" i="1" s="1"/>
  <c r="CF379" i="1" s="1"/>
  <c r="CG379" i="1" s="1"/>
  <c r="CH379" i="1" s="1"/>
  <c r="CI379" i="1" s="1"/>
  <c r="CJ379" i="1" s="1"/>
  <c r="CK366" i="1"/>
  <c r="CZ518" i="1"/>
  <c r="CK501" i="1"/>
  <c r="CK284" i="1"/>
  <c r="CK184" i="1"/>
  <c r="CK44" i="1"/>
  <c r="CK703" i="1" s="1"/>
  <c r="CK205" i="1"/>
  <c r="CZ577" i="1"/>
  <c r="CK575" i="1"/>
  <c r="CK211" i="1"/>
  <c r="CK185" i="1"/>
  <c r="CK576" i="1"/>
  <c r="CK304" i="1"/>
  <c r="CO300" i="1"/>
  <c r="CP300" i="1" s="1"/>
  <c r="CQ300" i="1" s="1"/>
  <c r="CR300" i="1" s="1"/>
  <c r="CS300" i="1" s="1"/>
  <c r="CT300" i="1" s="1"/>
  <c r="CU300" i="1" s="1"/>
  <c r="CV300" i="1" s="1"/>
  <c r="CW300" i="1" s="1"/>
  <c r="CX300" i="1" s="1"/>
  <c r="CY300" i="1" s="1"/>
  <c r="BZ283" i="1"/>
  <c r="CA283" i="1" s="1"/>
  <c r="CB283" i="1" s="1"/>
  <c r="CC283" i="1" s="1"/>
  <c r="CD283" i="1" s="1"/>
  <c r="CE283" i="1" s="1"/>
  <c r="CF283" i="1" s="1"/>
  <c r="CG283" i="1" s="1"/>
  <c r="CH283" i="1" s="1"/>
  <c r="CI283" i="1" s="1"/>
  <c r="CJ283" i="1" s="1"/>
  <c r="BZ411" i="1"/>
  <c r="CA411" i="1" s="1"/>
  <c r="CB411" i="1" s="1"/>
  <c r="CC411" i="1" s="1"/>
  <c r="CD411" i="1" s="1"/>
  <c r="CE411" i="1" s="1"/>
  <c r="CF411" i="1" s="1"/>
  <c r="CG411" i="1" s="1"/>
  <c r="CH411" i="1" s="1"/>
  <c r="CI411" i="1" s="1"/>
  <c r="CJ411" i="1" s="1"/>
  <c r="CO576" i="1"/>
  <c r="CP576" i="1" s="1"/>
  <c r="CQ576" i="1" s="1"/>
  <c r="CR576" i="1" s="1"/>
  <c r="CS576" i="1" s="1"/>
  <c r="CT576" i="1" s="1"/>
  <c r="CU576" i="1" s="1"/>
  <c r="CV576" i="1" s="1"/>
  <c r="CW576" i="1" s="1"/>
  <c r="CX576" i="1" s="1"/>
  <c r="CY576" i="1" s="1"/>
  <c r="CO366" i="1"/>
  <c r="CP366" i="1" s="1"/>
  <c r="CQ366" i="1" s="1"/>
  <c r="CR366" i="1" s="1"/>
  <c r="CS366" i="1" s="1"/>
  <c r="CT366" i="1" s="1"/>
  <c r="CU366" i="1" s="1"/>
  <c r="CV366" i="1" s="1"/>
  <c r="CW366" i="1" s="1"/>
  <c r="CX366" i="1" s="1"/>
  <c r="CY366" i="1" s="1"/>
  <c r="CO517" i="1"/>
  <c r="CP517" i="1" s="1"/>
  <c r="CQ517" i="1" s="1"/>
  <c r="CR517" i="1" s="1"/>
  <c r="CS517" i="1" s="1"/>
  <c r="CT517" i="1" s="1"/>
  <c r="CU517" i="1" s="1"/>
  <c r="CV517" i="1" s="1"/>
  <c r="CW517" i="1" s="1"/>
  <c r="CX517" i="1" s="1"/>
  <c r="CY517" i="1" s="1"/>
  <c r="BV189" i="1"/>
  <c r="CO185" i="1"/>
  <c r="CP185" i="1" s="1"/>
  <c r="CQ185" i="1" s="1"/>
  <c r="CR185" i="1" s="1"/>
  <c r="CS185" i="1" s="1"/>
  <c r="CT185" i="1" s="1"/>
  <c r="CU185" i="1" s="1"/>
  <c r="CV185" i="1" s="1"/>
  <c r="CW185" i="1" s="1"/>
  <c r="CX185" i="1" s="1"/>
  <c r="CY185" i="1" s="1"/>
  <c r="CK370" i="1"/>
  <c r="CK210" i="1"/>
  <c r="CK197" i="1"/>
  <c r="CK299" i="1"/>
  <c r="CK305" i="1"/>
  <c r="BZ308" i="1"/>
  <c r="CA308" i="1" s="1"/>
  <c r="CB308" i="1" s="1"/>
  <c r="CC308" i="1" s="1"/>
  <c r="CD308" i="1" s="1"/>
  <c r="CE308" i="1" s="1"/>
  <c r="CF308" i="1" s="1"/>
  <c r="CG308" i="1" s="1"/>
  <c r="CH308" i="1" s="1"/>
  <c r="CI308" i="1" s="1"/>
  <c r="CJ308" i="1" s="1"/>
  <c r="BM416" i="1"/>
  <c r="BN416" i="1" s="1"/>
  <c r="BO416" i="1" s="1"/>
  <c r="BP416" i="1" s="1"/>
  <c r="BQ416" i="1" s="1"/>
  <c r="BR416" i="1" s="1"/>
  <c r="BS416" i="1" s="1"/>
  <c r="BT416" i="1" s="1"/>
  <c r="CO208" i="1"/>
  <c r="CP208" i="1" s="1"/>
  <c r="CQ208" i="1" s="1"/>
  <c r="CR208" i="1" s="1"/>
  <c r="CS208" i="1" s="1"/>
  <c r="CT208" i="1" s="1"/>
  <c r="CU208" i="1" s="1"/>
  <c r="CV208" i="1" s="1"/>
  <c r="CW208" i="1" s="1"/>
  <c r="CX208" i="1" s="1"/>
  <c r="CY208" i="1" s="1"/>
  <c r="BZ119" i="1"/>
  <c r="CA119" i="1" s="1"/>
  <c r="CB119" i="1" s="1"/>
  <c r="CC119" i="1" s="1"/>
  <c r="CD119" i="1" s="1"/>
  <c r="CE119" i="1" s="1"/>
  <c r="CF119" i="1" s="1"/>
  <c r="CG119" i="1" s="1"/>
  <c r="CH119" i="1" s="1"/>
  <c r="CI119" i="1" s="1"/>
  <c r="CJ119" i="1" s="1"/>
  <c r="BM214" i="1"/>
  <c r="BN214" i="1" s="1"/>
  <c r="BO214" i="1" s="1"/>
  <c r="BP214" i="1" s="1"/>
  <c r="BQ214" i="1" s="1"/>
  <c r="BR214" i="1" s="1"/>
  <c r="BS214" i="1" s="1"/>
  <c r="BT214" i="1" s="1"/>
  <c r="BM213" i="1"/>
  <c r="BN213" i="1" s="1"/>
  <c r="BO213" i="1" s="1"/>
  <c r="BP213" i="1" s="1"/>
  <c r="BQ213" i="1" s="1"/>
  <c r="BR213" i="1" s="1"/>
  <c r="BS213" i="1" s="1"/>
  <c r="BT213" i="1" s="1"/>
  <c r="CO370" i="1"/>
  <c r="CP370" i="1" s="1"/>
  <c r="CQ370" i="1" s="1"/>
  <c r="CR370" i="1" s="1"/>
  <c r="CS370" i="1" s="1"/>
  <c r="CT370" i="1" s="1"/>
  <c r="CU370" i="1" s="1"/>
  <c r="CV370" i="1" s="1"/>
  <c r="CW370" i="1" s="1"/>
  <c r="CX370" i="1" s="1"/>
  <c r="CY370" i="1" s="1"/>
  <c r="CO210" i="1"/>
  <c r="CP210" i="1" s="1"/>
  <c r="CQ210" i="1" s="1"/>
  <c r="CR210" i="1" s="1"/>
  <c r="CS210" i="1" s="1"/>
  <c r="CT210" i="1" s="1"/>
  <c r="CU210" i="1" s="1"/>
  <c r="CV210" i="1" s="1"/>
  <c r="CW210" i="1" s="1"/>
  <c r="CX210" i="1" s="1"/>
  <c r="CY210" i="1" s="1"/>
  <c r="CO197" i="1"/>
  <c r="CP197" i="1" s="1"/>
  <c r="CQ197" i="1" s="1"/>
  <c r="CR197" i="1" s="1"/>
  <c r="CS197" i="1" s="1"/>
  <c r="CT197" i="1" s="1"/>
  <c r="CU197" i="1" s="1"/>
  <c r="CV197" i="1" s="1"/>
  <c r="CW197" i="1" s="1"/>
  <c r="CX197" i="1" s="1"/>
  <c r="CY197" i="1" s="1"/>
  <c r="CO299" i="1"/>
  <c r="CP299" i="1" s="1"/>
  <c r="CQ299" i="1" s="1"/>
  <c r="CR299" i="1" s="1"/>
  <c r="CS299" i="1" s="1"/>
  <c r="CT299" i="1" s="1"/>
  <c r="CU299" i="1" s="1"/>
  <c r="CV299" i="1" s="1"/>
  <c r="CW299" i="1" s="1"/>
  <c r="CX299" i="1" s="1"/>
  <c r="CY299" i="1" s="1"/>
  <c r="CO305" i="1"/>
  <c r="CP305" i="1" s="1"/>
  <c r="CQ305" i="1" s="1"/>
  <c r="CR305" i="1" s="1"/>
  <c r="CS305" i="1" s="1"/>
  <c r="CT305" i="1" s="1"/>
  <c r="CU305" i="1" s="1"/>
  <c r="CV305" i="1" s="1"/>
  <c r="CW305" i="1" s="1"/>
  <c r="CX305" i="1" s="1"/>
  <c r="CY305" i="1" s="1"/>
  <c r="BV49" i="1"/>
  <c r="BV474" i="1"/>
  <c r="BM255" i="1"/>
  <c r="BN255" i="1" s="1"/>
  <c r="BO255" i="1" s="1"/>
  <c r="BP255" i="1" s="1"/>
  <c r="BQ255" i="1" s="1"/>
  <c r="BR255" i="1" s="1"/>
  <c r="BS255" i="1" s="1"/>
  <c r="BT255" i="1" s="1"/>
  <c r="CO28" i="1"/>
  <c r="CP28" i="1" s="1"/>
  <c r="CQ28" i="1" s="1"/>
  <c r="CR28" i="1" s="1"/>
  <c r="CS28" i="1" s="1"/>
  <c r="CT28" i="1" s="1"/>
  <c r="CU28" i="1" s="1"/>
  <c r="CV28" i="1" s="1"/>
  <c r="CW28" i="1" s="1"/>
  <c r="CX28" i="1" s="1"/>
  <c r="CY28" i="1" s="1"/>
  <c r="BZ428" i="1"/>
  <c r="CA428" i="1" s="1"/>
  <c r="CB428" i="1" s="1"/>
  <c r="CC428" i="1" s="1"/>
  <c r="CD428" i="1" s="1"/>
  <c r="CE428" i="1" s="1"/>
  <c r="CF428" i="1" s="1"/>
  <c r="CG428" i="1" s="1"/>
  <c r="CH428" i="1" s="1"/>
  <c r="CI428" i="1" s="1"/>
  <c r="CJ428" i="1" s="1"/>
  <c r="BZ363" i="1"/>
  <c r="CA363" i="1" s="1"/>
  <c r="CB363" i="1" s="1"/>
  <c r="CC363" i="1" s="1"/>
  <c r="CD363" i="1" s="1"/>
  <c r="CE363" i="1" s="1"/>
  <c r="CF363" i="1" s="1"/>
  <c r="CG363" i="1" s="1"/>
  <c r="CH363" i="1" s="1"/>
  <c r="CI363" i="1" s="1"/>
  <c r="CJ363" i="1" s="1"/>
  <c r="BM42" i="1"/>
  <c r="BN42" i="1" s="1"/>
  <c r="BO42" i="1" s="1"/>
  <c r="BP42" i="1" s="1"/>
  <c r="BQ42" i="1" s="1"/>
  <c r="BR42" i="1" s="1"/>
  <c r="BS42" i="1" s="1"/>
  <c r="BT42" i="1" s="1"/>
  <c r="BM270" i="1"/>
  <c r="BN270" i="1" s="1"/>
  <c r="BO270" i="1" s="1"/>
  <c r="BP270" i="1" s="1"/>
  <c r="BQ270" i="1" s="1"/>
  <c r="BR270" i="1" s="1"/>
  <c r="BS270" i="1" s="1"/>
  <c r="BT270" i="1" s="1"/>
  <c r="BZ362" i="1"/>
  <c r="CA362" i="1" s="1"/>
  <c r="CB362" i="1" s="1"/>
  <c r="CC362" i="1" s="1"/>
  <c r="CD362" i="1" s="1"/>
  <c r="CE362" i="1" s="1"/>
  <c r="CF362" i="1" s="1"/>
  <c r="CG362" i="1" s="1"/>
  <c r="CH362" i="1" s="1"/>
  <c r="CI362" i="1" s="1"/>
  <c r="CJ362" i="1" s="1"/>
  <c r="CO284" i="1"/>
  <c r="CP284" i="1" s="1"/>
  <c r="CQ284" i="1" s="1"/>
  <c r="CR284" i="1" s="1"/>
  <c r="CS284" i="1" s="1"/>
  <c r="CT284" i="1" s="1"/>
  <c r="CU284" i="1" s="1"/>
  <c r="CV284" i="1" s="1"/>
  <c r="CW284" i="1" s="1"/>
  <c r="CX284" i="1" s="1"/>
  <c r="CY284" i="1" s="1"/>
  <c r="CO184" i="1"/>
  <c r="CP184" i="1" s="1"/>
  <c r="CQ184" i="1" s="1"/>
  <c r="CR184" i="1" s="1"/>
  <c r="CS184" i="1" s="1"/>
  <c r="CT184" i="1" s="1"/>
  <c r="CU184" i="1" s="1"/>
  <c r="CV184" i="1" s="1"/>
  <c r="CW184" i="1" s="1"/>
  <c r="CX184" i="1" s="1"/>
  <c r="CY184" i="1" s="1"/>
  <c r="CK172" i="1"/>
  <c r="CK186" i="1"/>
  <c r="CK48" i="1"/>
  <c r="CO501" i="1"/>
  <c r="CP501" i="1" s="1"/>
  <c r="CQ501" i="1" s="1"/>
  <c r="CR501" i="1" s="1"/>
  <c r="CS501" i="1" s="1"/>
  <c r="CT501" i="1" s="1"/>
  <c r="CU501" i="1" s="1"/>
  <c r="CV501" i="1" s="1"/>
  <c r="CW501" i="1" s="1"/>
  <c r="CX501" i="1" s="1"/>
  <c r="CY501" i="1" s="1"/>
  <c r="CK298" i="1"/>
  <c r="CO172" i="1"/>
  <c r="CP172" i="1" s="1"/>
  <c r="CQ172" i="1" s="1"/>
  <c r="CR172" i="1" s="1"/>
  <c r="CS172" i="1" s="1"/>
  <c r="CT172" i="1" s="1"/>
  <c r="CU172" i="1" s="1"/>
  <c r="CV172" i="1" s="1"/>
  <c r="CW172" i="1" s="1"/>
  <c r="CX172" i="1" s="1"/>
  <c r="CY172" i="1" s="1"/>
  <c r="CO186" i="1"/>
  <c r="CP186" i="1" s="1"/>
  <c r="CQ186" i="1" s="1"/>
  <c r="CR186" i="1" s="1"/>
  <c r="CS186" i="1" s="1"/>
  <c r="CT186" i="1" s="1"/>
  <c r="CU186" i="1" s="1"/>
  <c r="CV186" i="1" s="1"/>
  <c r="CW186" i="1" s="1"/>
  <c r="CX186" i="1" s="1"/>
  <c r="CY186" i="1" s="1"/>
  <c r="CO48" i="1"/>
  <c r="CP48" i="1" s="1"/>
  <c r="CQ48" i="1" s="1"/>
  <c r="CR48" i="1" s="1"/>
  <c r="CS48" i="1" s="1"/>
  <c r="CT48" i="1" s="1"/>
  <c r="CU48" i="1" s="1"/>
  <c r="CV48" i="1" s="1"/>
  <c r="CW48" i="1" s="1"/>
  <c r="CX48" i="1" s="1"/>
  <c r="CY48" i="1" s="1"/>
  <c r="CO298" i="1"/>
  <c r="CP298" i="1" s="1"/>
  <c r="CQ298" i="1" s="1"/>
  <c r="CR298" i="1" s="1"/>
  <c r="CS298" i="1" s="1"/>
  <c r="CT298" i="1" s="1"/>
  <c r="CU298" i="1" s="1"/>
  <c r="CV298" i="1" s="1"/>
  <c r="CW298" i="1" s="1"/>
  <c r="CX298" i="1" s="1"/>
  <c r="CY298" i="1" s="1"/>
  <c r="BV159" i="1"/>
  <c r="BV283" i="1"/>
  <c r="BM430" i="1"/>
  <c r="BN430" i="1" s="1"/>
  <c r="BO430" i="1" s="1"/>
  <c r="BP430" i="1" s="1"/>
  <c r="BQ430" i="1" s="1"/>
  <c r="BR430" i="1" s="1"/>
  <c r="BS430" i="1" s="1"/>
  <c r="BT430" i="1" s="1"/>
  <c r="BZ218" i="1"/>
  <c r="CA218" i="1" s="1"/>
  <c r="CB218" i="1" s="1"/>
  <c r="CC218" i="1" s="1"/>
  <c r="CD218" i="1" s="1"/>
  <c r="CE218" i="1" s="1"/>
  <c r="CF218" i="1" s="1"/>
  <c r="CG218" i="1" s="1"/>
  <c r="CH218" i="1" s="1"/>
  <c r="CI218" i="1" s="1"/>
  <c r="CJ218" i="1" s="1"/>
  <c r="BM157" i="1"/>
  <c r="BN157" i="1" s="1"/>
  <c r="BO157" i="1" s="1"/>
  <c r="BP157" i="1" s="1"/>
  <c r="BQ157" i="1" s="1"/>
  <c r="BR157" i="1" s="1"/>
  <c r="BS157" i="1" s="1"/>
  <c r="BT157" i="1" s="1"/>
  <c r="BZ159" i="1"/>
  <c r="CA159" i="1" s="1"/>
  <c r="CB159" i="1" s="1"/>
  <c r="CC159" i="1" s="1"/>
  <c r="CD159" i="1" s="1"/>
  <c r="CE159" i="1" s="1"/>
  <c r="CF159" i="1" s="1"/>
  <c r="CG159" i="1" s="1"/>
  <c r="CH159" i="1" s="1"/>
  <c r="CI159" i="1" s="1"/>
  <c r="CJ159" i="1" s="1"/>
  <c r="BM92" i="1"/>
  <c r="BN92" i="1" s="1"/>
  <c r="BO92" i="1" s="1"/>
  <c r="BP92" i="1" s="1"/>
  <c r="BQ92" i="1" s="1"/>
  <c r="BR92" i="1" s="1"/>
  <c r="BS92" i="1" s="1"/>
  <c r="BT92" i="1" s="1"/>
  <c r="BZ399" i="1"/>
  <c r="CA399" i="1" s="1"/>
  <c r="CB399" i="1" s="1"/>
  <c r="CC399" i="1" s="1"/>
  <c r="CD399" i="1" s="1"/>
  <c r="CE399" i="1" s="1"/>
  <c r="CF399" i="1" s="1"/>
  <c r="CG399" i="1" s="1"/>
  <c r="CH399" i="1" s="1"/>
  <c r="CI399" i="1" s="1"/>
  <c r="CJ399" i="1" s="1"/>
  <c r="BM499" i="1"/>
  <c r="BN499" i="1" s="1"/>
  <c r="BO499" i="1" s="1"/>
  <c r="BP499" i="1" s="1"/>
  <c r="BQ499" i="1" s="1"/>
  <c r="BR499" i="1" s="1"/>
  <c r="BS499" i="1" s="1"/>
  <c r="BT499" i="1" s="1"/>
  <c r="CO575" i="1"/>
  <c r="CP575" i="1" s="1"/>
  <c r="CQ575" i="1" s="1"/>
  <c r="CR575" i="1" s="1"/>
  <c r="CS575" i="1" s="1"/>
  <c r="CT575" i="1" s="1"/>
  <c r="CU575" i="1" s="1"/>
  <c r="CV575" i="1" s="1"/>
  <c r="CW575" i="1" s="1"/>
  <c r="CX575" i="1" s="1"/>
  <c r="CY575" i="1" s="1"/>
  <c r="CO44" i="1"/>
  <c r="CP44" i="1" s="1"/>
  <c r="CQ44" i="1" s="1"/>
  <c r="CR44" i="1" s="1"/>
  <c r="CS44" i="1" s="1"/>
  <c r="CT44" i="1" s="1"/>
  <c r="CU44" i="1" s="1"/>
  <c r="CV44" i="1" s="1"/>
  <c r="CW44" i="1" s="1"/>
  <c r="CX44" i="1" s="1"/>
  <c r="CY44" i="1" s="1"/>
  <c r="CO205" i="1"/>
  <c r="CP205" i="1" s="1"/>
  <c r="CQ205" i="1" s="1"/>
  <c r="CR205" i="1" s="1"/>
  <c r="CS205" i="1" s="1"/>
  <c r="CT205" i="1" s="1"/>
  <c r="CU205" i="1" s="1"/>
  <c r="CV205" i="1" s="1"/>
  <c r="CW205" i="1" s="1"/>
  <c r="CX205" i="1" s="1"/>
  <c r="CY205" i="1" s="1"/>
  <c r="CK179" i="1"/>
  <c r="CK342" i="1"/>
  <c r="CO211" i="1"/>
  <c r="CP211" i="1" s="1"/>
  <c r="CQ211" i="1" s="1"/>
  <c r="CR211" i="1" s="1"/>
  <c r="CS211" i="1" s="1"/>
  <c r="CT211" i="1" s="1"/>
  <c r="CU211" i="1" s="1"/>
  <c r="CV211" i="1" s="1"/>
  <c r="CW211" i="1" s="1"/>
  <c r="CX211" i="1" s="1"/>
  <c r="CY211" i="1" s="1"/>
  <c r="CK187" i="1"/>
  <c r="BV373" i="1"/>
  <c r="BV502" i="1"/>
  <c r="BV426" i="1"/>
  <c r="BZ71" i="1"/>
  <c r="CA71" i="1" s="1"/>
  <c r="CB71" i="1" s="1"/>
  <c r="CC71" i="1" s="1"/>
  <c r="CD71" i="1" s="1"/>
  <c r="CE71" i="1" s="1"/>
  <c r="CF71" i="1" s="1"/>
  <c r="CG71" i="1" s="1"/>
  <c r="CH71" i="1" s="1"/>
  <c r="CI71" i="1" s="1"/>
  <c r="CJ71" i="1" s="1"/>
  <c r="BZ265" i="1"/>
  <c r="CA265" i="1" s="1"/>
  <c r="CB265" i="1" s="1"/>
  <c r="CC265" i="1" s="1"/>
  <c r="CD265" i="1" s="1"/>
  <c r="CE265" i="1" s="1"/>
  <c r="CF265" i="1" s="1"/>
  <c r="CG265" i="1" s="1"/>
  <c r="CH265" i="1" s="1"/>
  <c r="CI265" i="1" s="1"/>
  <c r="CJ265" i="1" s="1"/>
  <c r="BZ273" i="1"/>
  <c r="CA273" i="1" s="1"/>
  <c r="CB273" i="1" s="1"/>
  <c r="CC273" i="1" s="1"/>
  <c r="CD273" i="1" s="1"/>
  <c r="CE273" i="1" s="1"/>
  <c r="CF273" i="1" s="1"/>
  <c r="CG273" i="1" s="1"/>
  <c r="CH273" i="1" s="1"/>
  <c r="CI273" i="1" s="1"/>
  <c r="CJ273" i="1" s="1"/>
  <c r="BM216" i="1"/>
  <c r="BN216" i="1" s="1"/>
  <c r="BO216" i="1" s="1"/>
  <c r="BP216" i="1" s="1"/>
  <c r="BQ216" i="1" s="1"/>
  <c r="BR216" i="1" s="1"/>
  <c r="BS216" i="1" s="1"/>
  <c r="BT216" i="1" s="1"/>
  <c r="CK300" i="1"/>
  <c r="CK28" i="1"/>
  <c r="CK208" i="1"/>
  <c r="CO179" i="1"/>
  <c r="CP179" i="1" s="1"/>
  <c r="CQ179" i="1" s="1"/>
  <c r="CR179" i="1" s="1"/>
  <c r="CS179" i="1" s="1"/>
  <c r="CT179" i="1" s="1"/>
  <c r="CU179" i="1" s="1"/>
  <c r="CV179" i="1" s="1"/>
  <c r="CW179" i="1" s="1"/>
  <c r="CX179" i="1" s="1"/>
  <c r="CY179" i="1" s="1"/>
  <c r="CO342" i="1"/>
  <c r="CP342" i="1" s="1"/>
  <c r="CQ342" i="1" s="1"/>
  <c r="CR342" i="1" s="1"/>
  <c r="CS342" i="1" s="1"/>
  <c r="CT342" i="1" s="1"/>
  <c r="CU342" i="1" s="1"/>
  <c r="CV342" i="1" s="1"/>
  <c r="CW342" i="1" s="1"/>
  <c r="CX342" i="1" s="1"/>
  <c r="CY342" i="1" s="1"/>
  <c r="CO187" i="1"/>
  <c r="CP187" i="1" s="1"/>
  <c r="CQ187" i="1" s="1"/>
  <c r="CR187" i="1" s="1"/>
  <c r="CS187" i="1" s="1"/>
  <c r="CT187" i="1" s="1"/>
  <c r="CU187" i="1" s="1"/>
  <c r="CV187" i="1" s="1"/>
  <c r="CW187" i="1" s="1"/>
  <c r="CX187" i="1" s="1"/>
  <c r="CY187" i="1" s="1"/>
  <c r="BV308" i="1"/>
  <c r="BV362" i="1"/>
  <c r="CO304" i="1"/>
  <c r="CP304" i="1" s="1"/>
  <c r="CQ304" i="1" s="1"/>
  <c r="CR304" i="1" s="1"/>
  <c r="CS304" i="1" s="1"/>
  <c r="CT304" i="1" s="1"/>
  <c r="CU304" i="1" s="1"/>
  <c r="CV304" i="1" s="1"/>
  <c r="CW304" i="1" s="1"/>
  <c r="CX304" i="1" s="1"/>
  <c r="CY304" i="1" s="1"/>
  <c r="CK517" i="1"/>
  <c r="CK705" i="1" s="1"/>
  <c r="G23" i="8" s="1"/>
  <c r="BV363" i="1"/>
  <c r="BV265" i="1"/>
  <c r="BV209" i="1"/>
  <c r="BV503" i="1"/>
  <c r="BL118" i="1"/>
  <c r="BM118" i="1" s="1"/>
  <c r="BN118" i="1" s="1"/>
  <c r="BO118" i="1" s="1"/>
  <c r="BP118" i="1" s="1"/>
  <c r="BQ118" i="1" s="1"/>
  <c r="BR118" i="1" s="1"/>
  <c r="BS118" i="1" s="1"/>
  <c r="BT118" i="1" s="1"/>
  <c r="CN218" i="1" l="1"/>
  <c r="CN280" i="1"/>
  <c r="CN381" i="1"/>
  <c r="CN351" i="1"/>
  <c r="CO351" i="1" s="1"/>
  <c r="CP351" i="1" s="1"/>
  <c r="CQ351" i="1" s="1"/>
  <c r="CR351" i="1" s="1"/>
  <c r="CS351" i="1" s="1"/>
  <c r="CT351" i="1" s="1"/>
  <c r="CU351" i="1" s="1"/>
  <c r="CV351" i="1" s="1"/>
  <c r="CW351" i="1" s="1"/>
  <c r="CX351" i="1" s="1"/>
  <c r="CY351" i="1" s="1"/>
  <c r="CN361" i="1"/>
  <c r="CN411" i="1"/>
  <c r="CO411" i="1" s="1"/>
  <c r="CP411" i="1" s="1"/>
  <c r="CQ411" i="1" s="1"/>
  <c r="CR411" i="1" s="1"/>
  <c r="CS411" i="1" s="1"/>
  <c r="CT411" i="1" s="1"/>
  <c r="CU411" i="1" s="1"/>
  <c r="CV411" i="1" s="1"/>
  <c r="CW411" i="1" s="1"/>
  <c r="CX411" i="1" s="1"/>
  <c r="CY411" i="1" s="1"/>
  <c r="CN476" i="1"/>
  <c r="CN475" i="1"/>
  <c r="CN217" i="1"/>
  <c r="CN64" i="1"/>
  <c r="CN261" i="1"/>
  <c r="CZ259" i="1"/>
  <c r="CN188" i="1"/>
  <c r="CN385" i="1"/>
  <c r="CN159" i="1"/>
  <c r="CN308" i="1"/>
  <c r="CO308" i="1" s="1"/>
  <c r="CP308" i="1" s="1"/>
  <c r="CQ308" i="1" s="1"/>
  <c r="CR308" i="1" s="1"/>
  <c r="CS308" i="1" s="1"/>
  <c r="CT308" i="1" s="1"/>
  <c r="CU308" i="1" s="1"/>
  <c r="CV308" i="1" s="1"/>
  <c r="CW308" i="1" s="1"/>
  <c r="CX308" i="1" s="1"/>
  <c r="CY308" i="1" s="1"/>
  <c r="CN283" i="1"/>
  <c r="CN296" i="1"/>
  <c r="CN271" i="1"/>
  <c r="CN114" i="1"/>
  <c r="CN95" i="1"/>
  <c r="CN120" i="1"/>
  <c r="CN260" i="1"/>
  <c r="CN307" i="1"/>
  <c r="CO307" i="1" s="1"/>
  <c r="CP307" i="1" s="1"/>
  <c r="CQ307" i="1" s="1"/>
  <c r="CR307" i="1" s="1"/>
  <c r="CS307" i="1" s="1"/>
  <c r="CT307" i="1" s="1"/>
  <c r="CU307" i="1" s="1"/>
  <c r="CV307" i="1" s="1"/>
  <c r="CW307" i="1" s="1"/>
  <c r="CX307" i="1" s="1"/>
  <c r="CY307" i="1" s="1"/>
  <c r="CN279" i="1"/>
  <c r="CN12" i="1"/>
  <c r="CN422" i="1"/>
  <c r="CN354" i="1"/>
  <c r="CN156" i="1"/>
  <c r="CN180" i="1"/>
  <c r="CN54" i="1"/>
  <c r="CN207" i="1"/>
  <c r="CN112" i="1"/>
  <c r="CN215" i="1"/>
  <c r="CO215" i="1" s="1"/>
  <c r="CP215" i="1" s="1"/>
  <c r="CQ215" i="1" s="1"/>
  <c r="CR215" i="1" s="1"/>
  <c r="CS215" i="1" s="1"/>
  <c r="CT215" i="1" s="1"/>
  <c r="CU215" i="1" s="1"/>
  <c r="CV215" i="1" s="1"/>
  <c r="CW215" i="1" s="1"/>
  <c r="CX215" i="1" s="1"/>
  <c r="CY215" i="1" s="1"/>
  <c r="CN498" i="1"/>
  <c r="CN396" i="1"/>
  <c r="CN182" i="1"/>
  <c r="CN471" i="1"/>
  <c r="CN405" i="1"/>
  <c r="CN362" i="1"/>
  <c r="CO362" i="1" s="1"/>
  <c r="CP362" i="1" s="1"/>
  <c r="CQ362" i="1" s="1"/>
  <c r="CR362" i="1" s="1"/>
  <c r="CS362" i="1" s="1"/>
  <c r="CT362" i="1" s="1"/>
  <c r="CU362" i="1" s="1"/>
  <c r="CV362" i="1" s="1"/>
  <c r="CW362" i="1" s="1"/>
  <c r="CX362" i="1" s="1"/>
  <c r="CY362" i="1" s="1"/>
  <c r="CN429" i="1"/>
  <c r="CN486" i="1"/>
  <c r="CN410" i="1"/>
  <c r="CN181" i="1"/>
  <c r="CN369" i="1"/>
  <c r="CN262" i="1"/>
  <c r="CN73" i="1"/>
  <c r="CN50" i="1"/>
  <c r="CO50" i="1" s="1"/>
  <c r="CP50" i="1" s="1"/>
  <c r="CQ50" i="1" s="1"/>
  <c r="CR50" i="1" s="1"/>
  <c r="CS50" i="1" s="1"/>
  <c r="CT50" i="1" s="1"/>
  <c r="CU50" i="1" s="1"/>
  <c r="CV50" i="1" s="1"/>
  <c r="CW50" i="1" s="1"/>
  <c r="CX50" i="1" s="1"/>
  <c r="CY50" i="1" s="1"/>
  <c r="CN269" i="1"/>
  <c r="CN286" i="1"/>
  <c r="CN267" i="1"/>
  <c r="CN193" i="1"/>
  <c r="CO193" i="1" s="1"/>
  <c r="CP193" i="1" s="1"/>
  <c r="CQ193" i="1" s="1"/>
  <c r="CR193" i="1" s="1"/>
  <c r="CS193" i="1" s="1"/>
  <c r="CT193" i="1" s="1"/>
  <c r="CU193" i="1" s="1"/>
  <c r="CV193" i="1" s="1"/>
  <c r="CW193" i="1" s="1"/>
  <c r="CX193" i="1" s="1"/>
  <c r="CY193" i="1" s="1"/>
  <c r="CN352" i="1"/>
  <c r="CN424" i="1"/>
  <c r="CO424" i="1" s="1"/>
  <c r="CP424" i="1" s="1"/>
  <c r="CQ424" i="1" s="1"/>
  <c r="CR424" i="1" s="1"/>
  <c r="CS424" i="1" s="1"/>
  <c r="CT424" i="1" s="1"/>
  <c r="CU424" i="1" s="1"/>
  <c r="CV424" i="1" s="1"/>
  <c r="CW424" i="1" s="1"/>
  <c r="CX424" i="1" s="1"/>
  <c r="CY424" i="1" s="1"/>
  <c r="CN178" i="1"/>
  <c r="CN200" i="1"/>
  <c r="CN158" i="1"/>
  <c r="CN278" i="1"/>
  <c r="CO278" i="1" s="1"/>
  <c r="CP278" i="1" s="1"/>
  <c r="CQ278" i="1" s="1"/>
  <c r="CR278" i="1" s="1"/>
  <c r="CS278" i="1" s="1"/>
  <c r="CT278" i="1" s="1"/>
  <c r="CU278" i="1" s="1"/>
  <c r="CV278" i="1" s="1"/>
  <c r="CW278" i="1" s="1"/>
  <c r="CX278" i="1" s="1"/>
  <c r="CY278" i="1" s="1"/>
  <c r="CZ376" i="1"/>
  <c r="CN63" i="1"/>
  <c r="CO63" i="1" s="1"/>
  <c r="CP63" i="1" s="1"/>
  <c r="CQ63" i="1" s="1"/>
  <c r="CR63" i="1" s="1"/>
  <c r="CS63" i="1" s="1"/>
  <c r="CT63" i="1" s="1"/>
  <c r="CU63" i="1" s="1"/>
  <c r="CV63" i="1" s="1"/>
  <c r="CW63" i="1" s="1"/>
  <c r="CX63" i="1" s="1"/>
  <c r="CY63" i="1" s="1"/>
  <c r="CN272" i="1"/>
  <c r="CN473" i="1"/>
  <c r="CN393" i="1"/>
  <c r="CN282" i="1"/>
  <c r="CN368" i="1"/>
  <c r="CN183" i="1"/>
  <c r="CO183" i="1" s="1"/>
  <c r="CP183" i="1" s="1"/>
  <c r="CQ183" i="1" s="1"/>
  <c r="CR183" i="1" s="1"/>
  <c r="CS183" i="1" s="1"/>
  <c r="CT183" i="1" s="1"/>
  <c r="CU183" i="1" s="1"/>
  <c r="CV183" i="1" s="1"/>
  <c r="CW183" i="1" s="1"/>
  <c r="CX183" i="1" s="1"/>
  <c r="CY183" i="1" s="1"/>
  <c r="CN91" i="1"/>
  <c r="CN359" i="1"/>
  <c r="CN155" i="1"/>
  <c r="CN467" i="1"/>
  <c r="CN203" i="1"/>
  <c r="CN176" i="1"/>
  <c r="CN285" i="1"/>
  <c r="CN191" i="1"/>
  <c r="CN379" i="1"/>
  <c r="CN502" i="1"/>
  <c r="CO502" i="1" s="1"/>
  <c r="CP502" i="1" s="1"/>
  <c r="CQ502" i="1" s="1"/>
  <c r="CR502" i="1" s="1"/>
  <c r="CS502" i="1" s="1"/>
  <c r="CT502" i="1" s="1"/>
  <c r="CU502" i="1" s="1"/>
  <c r="CV502" i="1" s="1"/>
  <c r="CW502" i="1" s="1"/>
  <c r="CX502" i="1" s="1"/>
  <c r="CY502" i="1" s="1"/>
  <c r="CN371" i="1"/>
  <c r="CN468" i="1"/>
  <c r="CN356" i="1"/>
  <c r="CN275" i="1"/>
  <c r="CN406" i="1"/>
  <c r="CN49" i="1"/>
  <c r="CN503" i="1"/>
  <c r="CN206" i="1"/>
  <c r="CN189" i="1"/>
  <c r="CN117" i="1"/>
  <c r="CN373" i="1"/>
  <c r="CN273" i="1"/>
  <c r="CN363" i="1"/>
  <c r="CN383" i="1"/>
  <c r="CO383" i="1" s="1"/>
  <c r="CP383" i="1" s="1"/>
  <c r="CQ383" i="1" s="1"/>
  <c r="CR383" i="1" s="1"/>
  <c r="CS383" i="1" s="1"/>
  <c r="CT383" i="1" s="1"/>
  <c r="CU383" i="1" s="1"/>
  <c r="CV383" i="1" s="1"/>
  <c r="CW383" i="1" s="1"/>
  <c r="CX383" i="1" s="1"/>
  <c r="CY383" i="1" s="1"/>
  <c r="CN402" i="1"/>
  <c r="CN171" i="1"/>
  <c r="CZ254" i="1"/>
  <c r="CN303" i="1"/>
  <c r="CN265" i="1"/>
  <c r="CN428" i="1"/>
  <c r="CN119" i="1"/>
  <c r="CN71" i="1"/>
  <c r="CN399" i="1"/>
  <c r="CN472" i="1"/>
  <c r="CN293" i="1"/>
  <c r="CN413" i="1"/>
  <c r="CO413" i="1" s="1"/>
  <c r="CP413" i="1" s="1"/>
  <c r="CQ413" i="1" s="1"/>
  <c r="CR413" i="1" s="1"/>
  <c r="CS413" i="1" s="1"/>
  <c r="CT413" i="1" s="1"/>
  <c r="CU413" i="1" s="1"/>
  <c r="CV413" i="1" s="1"/>
  <c r="CW413" i="1" s="1"/>
  <c r="CX413" i="1" s="1"/>
  <c r="CY413" i="1" s="1"/>
  <c r="CN426" i="1"/>
  <c r="CN79" i="1"/>
  <c r="CN177" i="1"/>
  <c r="CN297" i="1"/>
  <c r="CO297" i="1" s="1"/>
  <c r="CP297" i="1" s="1"/>
  <c r="CQ297" i="1" s="1"/>
  <c r="CR297" i="1" s="1"/>
  <c r="CS297" i="1" s="1"/>
  <c r="CT297" i="1" s="1"/>
  <c r="CU297" i="1" s="1"/>
  <c r="CV297" i="1" s="1"/>
  <c r="CW297" i="1" s="1"/>
  <c r="CX297" i="1" s="1"/>
  <c r="CY297" i="1" s="1"/>
  <c r="CN274" i="1"/>
  <c r="CN202" i="1"/>
  <c r="CN266" i="1"/>
  <c r="CN474" i="1"/>
  <c r="CN212" i="1"/>
  <c r="CN414" i="1"/>
  <c r="CN401" i="1"/>
  <c r="CN209" i="1"/>
  <c r="CN75" i="1"/>
  <c r="CN277" i="1"/>
  <c r="CN175" i="1"/>
  <c r="CN470" i="1"/>
  <c r="CO470" i="1" s="1"/>
  <c r="CP470" i="1" s="1"/>
  <c r="CQ470" i="1" s="1"/>
  <c r="CR470" i="1" s="1"/>
  <c r="CS470" i="1" s="1"/>
  <c r="CT470" i="1" s="1"/>
  <c r="CU470" i="1" s="1"/>
  <c r="CV470" i="1" s="1"/>
  <c r="CW470" i="1" s="1"/>
  <c r="CX470" i="1" s="1"/>
  <c r="CY470" i="1" s="1"/>
  <c r="BV356" i="1"/>
  <c r="BV411" i="1"/>
  <c r="BV117" i="1"/>
  <c r="BV275" i="1"/>
  <c r="BV371" i="1"/>
  <c r="BV71" i="1"/>
  <c r="BV406" i="1"/>
  <c r="BV269" i="1"/>
  <c r="BV468" i="1"/>
  <c r="BV73" i="1"/>
  <c r="BV486" i="1"/>
  <c r="BV262" i="1"/>
  <c r="BV206" i="1"/>
  <c r="BV119" i="1"/>
  <c r="BV79" i="1"/>
  <c r="BV273" i="1"/>
  <c r="BV498" i="1"/>
  <c r="BV293" i="1"/>
  <c r="BV215" i="1"/>
  <c r="BV207" i="1"/>
  <c r="BV112" i="1"/>
  <c r="BV378" i="1"/>
  <c r="BV271" i="1"/>
  <c r="BV260" i="1"/>
  <c r="BV95" i="1"/>
  <c r="BV422" i="1"/>
  <c r="BV156" i="1"/>
  <c r="BV12" i="1"/>
  <c r="BV354" i="1"/>
  <c r="BV307" i="1"/>
  <c r="BV120" i="1"/>
  <c r="BV180" i="1"/>
  <c r="BV396" i="1"/>
  <c r="BV279" i="1"/>
  <c r="BV54" i="1"/>
  <c r="BV114" i="1"/>
  <c r="BV297" i="1"/>
  <c r="BV202" i="1"/>
  <c r="BV472" i="1"/>
  <c r="BV218" i="1"/>
  <c r="CK706" i="1"/>
  <c r="H23" i="8" s="1"/>
  <c r="BV413" i="1"/>
  <c r="BV212" i="1"/>
  <c r="BV177" i="1"/>
  <c r="BV254" i="1"/>
  <c r="BV424" i="1"/>
  <c r="BV274" i="1"/>
  <c r="BV470" i="1"/>
  <c r="BV399" i="1"/>
  <c r="BV401" i="1"/>
  <c r="BV414" i="1"/>
  <c r="BV266" i="1"/>
  <c r="BV428" i="1"/>
  <c r="BV91" i="1"/>
  <c r="BV280" i="1"/>
  <c r="BV191" i="1"/>
  <c r="BV473" i="1"/>
  <c r="BV277" i="1"/>
  <c r="BV471" i="1"/>
  <c r="BV171" i="1"/>
  <c r="BV303" i="1"/>
  <c r="BV379" i="1"/>
  <c r="BV193" i="1"/>
  <c r="BV702" i="1" s="1"/>
  <c r="D22" i="8" s="1"/>
  <c r="BV467" i="1"/>
  <c r="BV183" i="1"/>
  <c r="BV282" i="1"/>
  <c r="BV158" i="1"/>
  <c r="BV359" i="1"/>
  <c r="BV278" i="1"/>
  <c r="BV352" i="1"/>
  <c r="BV351" i="1"/>
  <c r="BV63" i="1"/>
  <c r="CK275" i="1"/>
  <c r="BV272" i="1"/>
  <c r="BV178" i="1"/>
  <c r="BV361" i="1"/>
  <c r="BV155" i="1"/>
  <c r="BV393" i="1"/>
  <c r="BV182" i="1"/>
  <c r="BV402" i="1"/>
  <c r="BV203" i="1"/>
  <c r="BV381" i="1"/>
  <c r="BV376" i="1"/>
  <c r="BV200" i="1"/>
  <c r="BV75" i="1"/>
  <c r="BV405" i="1"/>
  <c r="BV368" i="1"/>
  <c r="BV383" i="1"/>
  <c r="BV176" i="1"/>
  <c r="BV286" i="1"/>
  <c r="BV385" i="1"/>
  <c r="BV170" i="1"/>
  <c r="BV476" i="1"/>
  <c r="BV259" i="1"/>
  <c r="BV261" i="1"/>
  <c r="BV475" i="1"/>
  <c r="BV369" i="1"/>
  <c r="BV217" i="1"/>
  <c r="BV181" i="1"/>
  <c r="BV267" i="1"/>
  <c r="BV410" i="1"/>
  <c r="BV50" i="1"/>
  <c r="BV429" i="1"/>
  <c r="BV64" i="1"/>
  <c r="BV188" i="1"/>
  <c r="BV175" i="1"/>
  <c r="BV285" i="1"/>
  <c r="BU92" i="1"/>
  <c r="BY92" i="1" s="1"/>
  <c r="BZ92" i="1" s="1"/>
  <c r="CA92" i="1" s="1"/>
  <c r="CB92" i="1" s="1"/>
  <c r="CC92" i="1" s="1"/>
  <c r="CD92" i="1" s="1"/>
  <c r="CE92" i="1" s="1"/>
  <c r="CF92" i="1" s="1"/>
  <c r="CG92" i="1" s="1"/>
  <c r="CH92" i="1" s="1"/>
  <c r="CI92" i="1" s="1"/>
  <c r="CJ92" i="1" s="1"/>
  <c r="BU214" i="1"/>
  <c r="BY214" i="1" s="1"/>
  <c r="BZ214" i="1" s="1"/>
  <c r="CA214" i="1" s="1"/>
  <c r="CB214" i="1" s="1"/>
  <c r="CC214" i="1" s="1"/>
  <c r="CD214" i="1" s="1"/>
  <c r="CE214" i="1" s="1"/>
  <c r="CF214" i="1" s="1"/>
  <c r="CG214" i="1" s="1"/>
  <c r="CH214" i="1" s="1"/>
  <c r="CI214" i="1" s="1"/>
  <c r="CJ214" i="1" s="1"/>
  <c r="BU430" i="1"/>
  <c r="BY430" i="1" s="1"/>
  <c r="BZ430" i="1" s="1"/>
  <c r="CA430" i="1" s="1"/>
  <c r="CB430" i="1" s="1"/>
  <c r="CC430" i="1" s="1"/>
  <c r="CD430" i="1" s="1"/>
  <c r="CE430" i="1" s="1"/>
  <c r="CF430" i="1" s="1"/>
  <c r="CG430" i="1" s="1"/>
  <c r="CH430" i="1" s="1"/>
  <c r="CI430" i="1" s="1"/>
  <c r="CJ430" i="1" s="1"/>
  <c r="BU42" i="1"/>
  <c r="BY42" i="1" s="1"/>
  <c r="BZ42" i="1" s="1"/>
  <c r="CA42" i="1" s="1"/>
  <c r="CB42" i="1" s="1"/>
  <c r="CC42" i="1" s="1"/>
  <c r="CD42" i="1" s="1"/>
  <c r="CE42" i="1" s="1"/>
  <c r="CF42" i="1" s="1"/>
  <c r="CG42" i="1" s="1"/>
  <c r="CH42" i="1" s="1"/>
  <c r="CI42" i="1" s="1"/>
  <c r="CJ42" i="1" s="1"/>
  <c r="BU216" i="1"/>
  <c r="BY216" i="1" s="1"/>
  <c r="BZ216" i="1" s="1"/>
  <c r="CA216" i="1" s="1"/>
  <c r="CB216" i="1" s="1"/>
  <c r="CC216" i="1" s="1"/>
  <c r="CD216" i="1" s="1"/>
  <c r="CE216" i="1" s="1"/>
  <c r="CF216" i="1" s="1"/>
  <c r="CG216" i="1" s="1"/>
  <c r="CH216" i="1" s="1"/>
  <c r="CI216" i="1" s="1"/>
  <c r="CJ216" i="1" s="1"/>
  <c r="BU499" i="1"/>
  <c r="BY499" i="1" s="1"/>
  <c r="BZ499" i="1" s="1"/>
  <c r="CA499" i="1" s="1"/>
  <c r="CB499" i="1" s="1"/>
  <c r="CC499" i="1" s="1"/>
  <c r="CD499" i="1" s="1"/>
  <c r="CE499" i="1" s="1"/>
  <c r="CF499" i="1" s="1"/>
  <c r="CG499" i="1" s="1"/>
  <c r="CH499" i="1" s="1"/>
  <c r="CI499" i="1" s="1"/>
  <c r="CJ499" i="1" s="1"/>
  <c r="BU270" i="1"/>
  <c r="BY270" i="1" s="1"/>
  <c r="BZ270" i="1" s="1"/>
  <c r="CA270" i="1" s="1"/>
  <c r="CB270" i="1" s="1"/>
  <c r="CC270" i="1" s="1"/>
  <c r="CD270" i="1" s="1"/>
  <c r="CE270" i="1" s="1"/>
  <c r="CF270" i="1" s="1"/>
  <c r="CG270" i="1" s="1"/>
  <c r="CH270" i="1" s="1"/>
  <c r="CI270" i="1" s="1"/>
  <c r="CJ270" i="1" s="1"/>
  <c r="BV296" i="1"/>
  <c r="BU157" i="1"/>
  <c r="BY157" i="1" s="1"/>
  <c r="BZ157" i="1" s="1"/>
  <c r="CA157" i="1" s="1"/>
  <c r="CB157" i="1" s="1"/>
  <c r="CC157" i="1" s="1"/>
  <c r="CD157" i="1" s="1"/>
  <c r="CE157" i="1" s="1"/>
  <c r="CF157" i="1" s="1"/>
  <c r="CG157" i="1" s="1"/>
  <c r="CH157" i="1" s="1"/>
  <c r="CI157" i="1" s="1"/>
  <c r="CJ157" i="1" s="1"/>
  <c r="BU416" i="1"/>
  <c r="CK416" i="1" s="1"/>
  <c r="BU118" i="1"/>
  <c r="BY118" i="1" s="1"/>
  <c r="BZ118" i="1" s="1"/>
  <c r="CA118" i="1" s="1"/>
  <c r="CB118" i="1" s="1"/>
  <c r="CC118" i="1" s="1"/>
  <c r="CD118" i="1" s="1"/>
  <c r="CE118" i="1" s="1"/>
  <c r="CF118" i="1" s="1"/>
  <c r="CG118" i="1" s="1"/>
  <c r="CH118" i="1" s="1"/>
  <c r="CI118" i="1" s="1"/>
  <c r="CJ118" i="1" s="1"/>
  <c r="BU213" i="1"/>
  <c r="BY213" i="1" s="1"/>
  <c r="BZ213" i="1" s="1"/>
  <c r="CA213" i="1" s="1"/>
  <c r="CB213" i="1" s="1"/>
  <c r="CC213" i="1" s="1"/>
  <c r="CD213" i="1" s="1"/>
  <c r="CE213" i="1" s="1"/>
  <c r="CF213" i="1" s="1"/>
  <c r="CG213" i="1" s="1"/>
  <c r="CH213" i="1" s="1"/>
  <c r="CI213" i="1" s="1"/>
  <c r="CJ213" i="1" s="1"/>
  <c r="CK297" i="1"/>
  <c r="CK354" i="1"/>
  <c r="CZ304" i="1"/>
  <c r="CK473" i="1"/>
  <c r="CK406" i="1"/>
  <c r="CK381" i="1"/>
  <c r="CK259" i="1"/>
  <c r="CK379" i="1"/>
  <c r="CK280" i="1"/>
  <c r="CK475" i="1"/>
  <c r="CK368" i="1"/>
  <c r="CK49" i="1"/>
  <c r="CK279" i="1"/>
  <c r="CZ187" i="1"/>
  <c r="CK176" i="1"/>
  <c r="CK286" i="1"/>
  <c r="BV255" i="1"/>
  <c r="CK293" i="1"/>
  <c r="CZ205" i="1"/>
  <c r="CK426" i="1"/>
  <c r="CK401" i="1"/>
  <c r="CK191" i="1"/>
  <c r="CK200" i="1"/>
  <c r="CK405" i="1"/>
  <c r="CZ44" i="1"/>
  <c r="CZ703" i="1" s="1"/>
  <c r="CK12" i="1"/>
  <c r="CK114" i="1"/>
  <c r="CK177" i="1"/>
  <c r="CK428" i="1"/>
  <c r="CZ197" i="1"/>
  <c r="CK274" i="1"/>
  <c r="CZ366" i="1"/>
  <c r="CK209" i="1"/>
  <c r="CZ48" i="1"/>
  <c r="CK73" i="1"/>
  <c r="CK308" i="1"/>
  <c r="CK277" i="1"/>
  <c r="CK203" i="1"/>
  <c r="CK91" i="1"/>
  <c r="CK171" i="1"/>
  <c r="CK502" i="1"/>
  <c r="CK472" i="1"/>
  <c r="CZ210" i="1"/>
  <c r="CK120" i="1"/>
  <c r="CK303" i="1"/>
  <c r="CK351" i="1"/>
  <c r="CZ208" i="1"/>
  <c r="CZ179" i="1"/>
  <c r="CK402" i="1"/>
  <c r="CK424" i="1"/>
  <c r="CK470" i="1"/>
  <c r="CK413" i="1"/>
  <c r="CK278" i="1"/>
  <c r="CZ299" i="1"/>
  <c r="CK393" i="1"/>
  <c r="CK119" i="1"/>
  <c r="CK383" i="1"/>
  <c r="CK50" i="1"/>
  <c r="CK467" i="1"/>
  <c r="CK503" i="1"/>
  <c r="CZ576" i="1"/>
  <c r="CO91" i="1"/>
  <c r="CP91" i="1" s="1"/>
  <c r="CQ91" i="1" s="1"/>
  <c r="CR91" i="1" s="1"/>
  <c r="CS91" i="1" s="1"/>
  <c r="CT91" i="1" s="1"/>
  <c r="CU91" i="1" s="1"/>
  <c r="CV91" i="1" s="1"/>
  <c r="CW91" i="1" s="1"/>
  <c r="CX91" i="1" s="1"/>
  <c r="CY91" i="1" s="1"/>
  <c r="CO286" i="1"/>
  <c r="CP286" i="1" s="1"/>
  <c r="CQ286" i="1" s="1"/>
  <c r="CR286" i="1" s="1"/>
  <c r="CS286" i="1" s="1"/>
  <c r="CT286" i="1" s="1"/>
  <c r="CU286" i="1" s="1"/>
  <c r="CV286" i="1" s="1"/>
  <c r="CW286" i="1" s="1"/>
  <c r="CX286" i="1" s="1"/>
  <c r="CY286" i="1" s="1"/>
  <c r="CO275" i="1"/>
  <c r="CP275" i="1" s="1"/>
  <c r="CQ275" i="1" s="1"/>
  <c r="CR275" i="1" s="1"/>
  <c r="CS275" i="1" s="1"/>
  <c r="CT275" i="1" s="1"/>
  <c r="CU275" i="1" s="1"/>
  <c r="CV275" i="1" s="1"/>
  <c r="CW275" i="1" s="1"/>
  <c r="CX275" i="1" s="1"/>
  <c r="CY275" i="1" s="1"/>
  <c r="CO49" i="1"/>
  <c r="CP49" i="1" s="1"/>
  <c r="CQ49" i="1" s="1"/>
  <c r="CR49" i="1" s="1"/>
  <c r="CS49" i="1" s="1"/>
  <c r="CT49" i="1" s="1"/>
  <c r="CU49" i="1" s="1"/>
  <c r="CV49" i="1" s="1"/>
  <c r="CW49" i="1" s="1"/>
  <c r="CX49" i="1" s="1"/>
  <c r="CY49" i="1" s="1"/>
  <c r="CO114" i="1"/>
  <c r="CP114" i="1" s="1"/>
  <c r="CQ114" i="1" s="1"/>
  <c r="CR114" i="1" s="1"/>
  <c r="CS114" i="1" s="1"/>
  <c r="CT114" i="1" s="1"/>
  <c r="CU114" i="1" s="1"/>
  <c r="CV114" i="1" s="1"/>
  <c r="CW114" i="1" s="1"/>
  <c r="CX114" i="1" s="1"/>
  <c r="CY114" i="1" s="1"/>
  <c r="CO368" i="1"/>
  <c r="CP368" i="1" s="1"/>
  <c r="CQ368" i="1" s="1"/>
  <c r="CR368" i="1" s="1"/>
  <c r="CS368" i="1" s="1"/>
  <c r="CT368" i="1" s="1"/>
  <c r="CU368" i="1" s="1"/>
  <c r="CV368" i="1" s="1"/>
  <c r="CW368" i="1" s="1"/>
  <c r="CX368" i="1" s="1"/>
  <c r="CY368" i="1" s="1"/>
  <c r="CO428" i="1"/>
  <c r="CP428" i="1" s="1"/>
  <c r="CQ428" i="1" s="1"/>
  <c r="CR428" i="1" s="1"/>
  <c r="CS428" i="1" s="1"/>
  <c r="CT428" i="1" s="1"/>
  <c r="CU428" i="1" s="1"/>
  <c r="CV428" i="1" s="1"/>
  <c r="CW428" i="1" s="1"/>
  <c r="CX428" i="1" s="1"/>
  <c r="CY428" i="1" s="1"/>
  <c r="CO406" i="1"/>
  <c r="CP406" i="1" s="1"/>
  <c r="CQ406" i="1" s="1"/>
  <c r="CR406" i="1" s="1"/>
  <c r="CS406" i="1" s="1"/>
  <c r="CT406" i="1" s="1"/>
  <c r="CU406" i="1" s="1"/>
  <c r="CV406" i="1" s="1"/>
  <c r="CW406" i="1" s="1"/>
  <c r="CX406" i="1" s="1"/>
  <c r="CY406" i="1" s="1"/>
  <c r="CO381" i="1"/>
  <c r="CP381" i="1" s="1"/>
  <c r="CQ381" i="1" s="1"/>
  <c r="CR381" i="1" s="1"/>
  <c r="CS381" i="1" s="1"/>
  <c r="CT381" i="1" s="1"/>
  <c r="CU381" i="1" s="1"/>
  <c r="CV381" i="1" s="1"/>
  <c r="CW381" i="1" s="1"/>
  <c r="CX381" i="1" s="1"/>
  <c r="CY381" i="1" s="1"/>
  <c r="CO73" i="1"/>
  <c r="CP73" i="1" s="1"/>
  <c r="CQ73" i="1" s="1"/>
  <c r="CR73" i="1" s="1"/>
  <c r="CS73" i="1" s="1"/>
  <c r="CT73" i="1" s="1"/>
  <c r="CU73" i="1" s="1"/>
  <c r="CV73" i="1" s="1"/>
  <c r="CW73" i="1" s="1"/>
  <c r="CX73" i="1" s="1"/>
  <c r="CY73" i="1" s="1"/>
  <c r="CO279" i="1"/>
  <c r="CP279" i="1" s="1"/>
  <c r="CQ279" i="1" s="1"/>
  <c r="CR279" i="1" s="1"/>
  <c r="CS279" i="1" s="1"/>
  <c r="CT279" i="1" s="1"/>
  <c r="CU279" i="1" s="1"/>
  <c r="CV279" i="1" s="1"/>
  <c r="CW279" i="1" s="1"/>
  <c r="CX279" i="1" s="1"/>
  <c r="CY279" i="1" s="1"/>
  <c r="CO293" i="1"/>
  <c r="CP293" i="1" s="1"/>
  <c r="CQ293" i="1" s="1"/>
  <c r="CR293" i="1" s="1"/>
  <c r="CS293" i="1" s="1"/>
  <c r="CT293" i="1" s="1"/>
  <c r="CU293" i="1" s="1"/>
  <c r="CV293" i="1" s="1"/>
  <c r="CW293" i="1" s="1"/>
  <c r="CX293" i="1" s="1"/>
  <c r="CY293" i="1" s="1"/>
  <c r="CO379" i="1"/>
  <c r="CP379" i="1" s="1"/>
  <c r="CQ379" i="1" s="1"/>
  <c r="CR379" i="1" s="1"/>
  <c r="CS379" i="1" s="1"/>
  <c r="CT379" i="1" s="1"/>
  <c r="CU379" i="1" s="1"/>
  <c r="CV379" i="1" s="1"/>
  <c r="CW379" i="1" s="1"/>
  <c r="CX379" i="1" s="1"/>
  <c r="CY379" i="1" s="1"/>
  <c r="CZ185" i="1"/>
  <c r="CZ517" i="1"/>
  <c r="CZ705" i="1" s="1"/>
  <c r="G24" i="8" s="1"/>
  <c r="CK411" i="1"/>
  <c r="CK156" i="1"/>
  <c r="CK359" i="1"/>
  <c r="CK158" i="1"/>
  <c r="CK396" i="1"/>
  <c r="CK64" i="1"/>
  <c r="CO159" i="1"/>
  <c r="CP159" i="1" s="1"/>
  <c r="CQ159" i="1" s="1"/>
  <c r="CR159" i="1" s="1"/>
  <c r="CS159" i="1" s="1"/>
  <c r="CT159" i="1" s="1"/>
  <c r="CU159" i="1" s="1"/>
  <c r="CV159" i="1" s="1"/>
  <c r="CW159" i="1" s="1"/>
  <c r="CX159" i="1" s="1"/>
  <c r="CY159" i="1" s="1"/>
  <c r="CO176" i="1"/>
  <c r="CP176" i="1" s="1"/>
  <c r="CQ176" i="1" s="1"/>
  <c r="CR176" i="1" s="1"/>
  <c r="CS176" i="1" s="1"/>
  <c r="CT176" i="1" s="1"/>
  <c r="CU176" i="1" s="1"/>
  <c r="CV176" i="1" s="1"/>
  <c r="CW176" i="1" s="1"/>
  <c r="CX176" i="1" s="1"/>
  <c r="CY176" i="1" s="1"/>
  <c r="CO402" i="1"/>
  <c r="CP402" i="1" s="1"/>
  <c r="CQ402" i="1" s="1"/>
  <c r="CR402" i="1" s="1"/>
  <c r="CS402" i="1" s="1"/>
  <c r="CT402" i="1" s="1"/>
  <c r="CU402" i="1" s="1"/>
  <c r="CV402" i="1" s="1"/>
  <c r="CW402" i="1" s="1"/>
  <c r="CX402" i="1" s="1"/>
  <c r="CY402" i="1" s="1"/>
  <c r="CO473" i="1"/>
  <c r="CP473" i="1" s="1"/>
  <c r="CQ473" i="1" s="1"/>
  <c r="CR473" i="1" s="1"/>
  <c r="CS473" i="1" s="1"/>
  <c r="CT473" i="1" s="1"/>
  <c r="CU473" i="1" s="1"/>
  <c r="CV473" i="1" s="1"/>
  <c r="CW473" i="1" s="1"/>
  <c r="CX473" i="1" s="1"/>
  <c r="CY473" i="1" s="1"/>
  <c r="CO200" i="1"/>
  <c r="CP200" i="1" s="1"/>
  <c r="CQ200" i="1" s="1"/>
  <c r="CR200" i="1" s="1"/>
  <c r="CS200" i="1" s="1"/>
  <c r="CT200" i="1" s="1"/>
  <c r="CU200" i="1" s="1"/>
  <c r="CV200" i="1" s="1"/>
  <c r="CW200" i="1" s="1"/>
  <c r="CX200" i="1" s="1"/>
  <c r="CY200" i="1" s="1"/>
  <c r="CK414" i="1"/>
  <c r="CK79" i="1"/>
  <c r="CK282" i="1"/>
  <c r="CK498" i="1"/>
  <c r="CK265" i="1"/>
  <c r="CK468" i="1"/>
  <c r="CK180" i="1"/>
  <c r="CK71" i="1"/>
  <c r="CO12" i="1"/>
  <c r="CP12" i="1" s="1"/>
  <c r="CQ12" i="1" s="1"/>
  <c r="CR12" i="1" s="1"/>
  <c r="CS12" i="1" s="1"/>
  <c r="CT12" i="1" s="1"/>
  <c r="CU12" i="1" s="1"/>
  <c r="CV12" i="1" s="1"/>
  <c r="CW12" i="1" s="1"/>
  <c r="CX12" i="1" s="1"/>
  <c r="CY12" i="1" s="1"/>
  <c r="CO354" i="1"/>
  <c r="CP354" i="1" s="1"/>
  <c r="CQ354" i="1" s="1"/>
  <c r="CR354" i="1" s="1"/>
  <c r="CS354" i="1" s="1"/>
  <c r="CT354" i="1" s="1"/>
  <c r="CU354" i="1" s="1"/>
  <c r="CV354" i="1" s="1"/>
  <c r="CW354" i="1" s="1"/>
  <c r="CX354" i="1" s="1"/>
  <c r="CY354" i="1" s="1"/>
  <c r="CZ186" i="1"/>
  <c r="CK429" i="1"/>
  <c r="CK369" i="1"/>
  <c r="CK362" i="1"/>
  <c r="CK182" i="1"/>
  <c r="CK307" i="1"/>
  <c r="CK296" i="1"/>
  <c r="CK385" i="1"/>
  <c r="CK63" i="1"/>
  <c r="CO156" i="1"/>
  <c r="CP156" i="1" s="1"/>
  <c r="CQ156" i="1" s="1"/>
  <c r="CR156" i="1" s="1"/>
  <c r="CS156" i="1" s="1"/>
  <c r="CT156" i="1" s="1"/>
  <c r="CU156" i="1" s="1"/>
  <c r="CV156" i="1" s="1"/>
  <c r="CW156" i="1" s="1"/>
  <c r="CX156" i="1" s="1"/>
  <c r="CY156" i="1" s="1"/>
  <c r="CO359" i="1"/>
  <c r="CP359" i="1" s="1"/>
  <c r="CQ359" i="1" s="1"/>
  <c r="CR359" i="1" s="1"/>
  <c r="CS359" i="1" s="1"/>
  <c r="CT359" i="1" s="1"/>
  <c r="CU359" i="1" s="1"/>
  <c r="CV359" i="1" s="1"/>
  <c r="CW359" i="1" s="1"/>
  <c r="CX359" i="1" s="1"/>
  <c r="CY359" i="1" s="1"/>
  <c r="CO158" i="1"/>
  <c r="CP158" i="1" s="1"/>
  <c r="CQ158" i="1" s="1"/>
  <c r="CR158" i="1" s="1"/>
  <c r="CS158" i="1" s="1"/>
  <c r="CT158" i="1" s="1"/>
  <c r="CU158" i="1" s="1"/>
  <c r="CV158" i="1" s="1"/>
  <c r="CW158" i="1" s="1"/>
  <c r="CX158" i="1" s="1"/>
  <c r="CY158" i="1" s="1"/>
  <c r="CO396" i="1"/>
  <c r="CP396" i="1" s="1"/>
  <c r="CQ396" i="1" s="1"/>
  <c r="CR396" i="1" s="1"/>
  <c r="CS396" i="1" s="1"/>
  <c r="CT396" i="1" s="1"/>
  <c r="CU396" i="1" s="1"/>
  <c r="CV396" i="1" s="1"/>
  <c r="CW396" i="1" s="1"/>
  <c r="CX396" i="1" s="1"/>
  <c r="CY396" i="1" s="1"/>
  <c r="CO64" i="1"/>
  <c r="CP64" i="1" s="1"/>
  <c r="CQ64" i="1" s="1"/>
  <c r="CR64" i="1" s="1"/>
  <c r="CS64" i="1" s="1"/>
  <c r="CT64" i="1" s="1"/>
  <c r="CU64" i="1" s="1"/>
  <c r="CV64" i="1" s="1"/>
  <c r="CW64" i="1" s="1"/>
  <c r="CX64" i="1" s="1"/>
  <c r="CY64" i="1" s="1"/>
  <c r="CO414" i="1"/>
  <c r="CP414" i="1" s="1"/>
  <c r="CQ414" i="1" s="1"/>
  <c r="CR414" i="1" s="1"/>
  <c r="CS414" i="1" s="1"/>
  <c r="CT414" i="1" s="1"/>
  <c r="CU414" i="1" s="1"/>
  <c r="CV414" i="1" s="1"/>
  <c r="CW414" i="1" s="1"/>
  <c r="CX414" i="1" s="1"/>
  <c r="CY414" i="1" s="1"/>
  <c r="CO265" i="1"/>
  <c r="CP265" i="1" s="1"/>
  <c r="CQ265" i="1" s="1"/>
  <c r="CR265" i="1" s="1"/>
  <c r="CS265" i="1" s="1"/>
  <c r="CT265" i="1" s="1"/>
  <c r="CU265" i="1" s="1"/>
  <c r="CV265" i="1" s="1"/>
  <c r="CW265" i="1" s="1"/>
  <c r="CX265" i="1" s="1"/>
  <c r="CY265" i="1" s="1"/>
  <c r="CO429" i="1"/>
  <c r="CP429" i="1" s="1"/>
  <c r="CQ429" i="1" s="1"/>
  <c r="CR429" i="1" s="1"/>
  <c r="CS429" i="1" s="1"/>
  <c r="CT429" i="1" s="1"/>
  <c r="CU429" i="1" s="1"/>
  <c r="CV429" i="1" s="1"/>
  <c r="CW429" i="1" s="1"/>
  <c r="CX429" i="1" s="1"/>
  <c r="CY429" i="1" s="1"/>
  <c r="CO369" i="1"/>
  <c r="CP369" i="1" s="1"/>
  <c r="CQ369" i="1" s="1"/>
  <c r="CR369" i="1" s="1"/>
  <c r="CS369" i="1" s="1"/>
  <c r="CT369" i="1" s="1"/>
  <c r="CU369" i="1" s="1"/>
  <c r="CV369" i="1" s="1"/>
  <c r="CW369" i="1" s="1"/>
  <c r="CX369" i="1" s="1"/>
  <c r="CY369" i="1" s="1"/>
  <c r="CO182" i="1"/>
  <c r="CP182" i="1" s="1"/>
  <c r="CQ182" i="1" s="1"/>
  <c r="CR182" i="1" s="1"/>
  <c r="CS182" i="1" s="1"/>
  <c r="CT182" i="1" s="1"/>
  <c r="CU182" i="1" s="1"/>
  <c r="CV182" i="1" s="1"/>
  <c r="CW182" i="1" s="1"/>
  <c r="CX182" i="1" s="1"/>
  <c r="CY182" i="1" s="1"/>
  <c r="CO296" i="1"/>
  <c r="CP296" i="1" s="1"/>
  <c r="CQ296" i="1" s="1"/>
  <c r="CR296" i="1" s="1"/>
  <c r="CS296" i="1" s="1"/>
  <c r="CT296" i="1" s="1"/>
  <c r="CU296" i="1" s="1"/>
  <c r="CV296" i="1" s="1"/>
  <c r="CW296" i="1" s="1"/>
  <c r="CX296" i="1" s="1"/>
  <c r="CY296" i="1" s="1"/>
  <c r="CO385" i="1"/>
  <c r="CP385" i="1" s="1"/>
  <c r="CQ385" i="1" s="1"/>
  <c r="CR385" i="1" s="1"/>
  <c r="CS385" i="1" s="1"/>
  <c r="CT385" i="1" s="1"/>
  <c r="CU385" i="1" s="1"/>
  <c r="CV385" i="1" s="1"/>
  <c r="CW385" i="1" s="1"/>
  <c r="CX385" i="1" s="1"/>
  <c r="CY385" i="1" s="1"/>
  <c r="CO426" i="1"/>
  <c r="CP426" i="1" s="1"/>
  <c r="CQ426" i="1" s="1"/>
  <c r="CR426" i="1" s="1"/>
  <c r="CS426" i="1" s="1"/>
  <c r="CT426" i="1" s="1"/>
  <c r="CU426" i="1" s="1"/>
  <c r="CV426" i="1" s="1"/>
  <c r="CW426" i="1" s="1"/>
  <c r="CX426" i="1" s="1"/>
  <c r="CY426" i="1" s="1"/>
  <c r="CO393" i="1"/>
  <c r="CP393" i="1" s="1"/>
  <c r="CQ393" i="1" s="1"/>
  <c r="CR393" i="1" s="1"/>
  <c r="CS393" i="1" s="1"/>
  <c r="CT393" i="1" s="1"/>
  <c r="CU393" i="1" s="1"/>
  <c r="CV393" i="1" s="1"/>
  <c r="CW393" i="1" s="1"/>
  <c r="CX393" i="1" s="1"/>
  <c r="CY393" i="1" s="1"/>
  <c r="CO119" i="1"/>
  <c r="CP119" i="1" s="1"/>
  <c r="CQ119" i="1" s="1"/>
  <c r="CR119" i="1" s="1"/>
  <c r="CS119" i="1" s="1"/>
  <c r="CT119" i="1" s="1"/>
  <c r="CU119" i="1" s="1"/>
  <c r="CV119" i="1" s="1"/>
  <c r="CW119" i="1" s="1"/>
  <c r="CX119" i="1" s="1"/>
  <c r="CY119" i="1" s="1"/>
  <c r="CZ119" i="1" s="1"/>
  <c r="CO467" i="1"/>
  <c r="CP467" i="1" s="1"/>
  <c r="CQ467" i="1" s="1"/>
  <c r="CR467" i="1" s="1"/>
  <c r="CS467" i="1" s="1"/>
  <c r="CT467" i="1" s="1"/>
  <c r="CU467" i="1" s="1"/>
  <c r="CV467" i="1" s="1"/>
  <c r="CW467" i="1" s="1"/>
  <c r="CX467" i="1" s="1"/>
  <c r="CY467" i="1" s="1"/>
  <c r="CO503" i="1"/>
  <c r="CP503" i="1" s="1"/>
  <c r="CQ503" i="1" s="1"/>
  <c r="CR503" i="1" s="1"/>
  <c r="CS503" i="1" s="1"/>
  <c r="CT503" i="1" s="1"/>
  <c r="CU503" i="1" s="1"/>
  <c r="CV503" i="1" s="1"/>
  <c r="CW503" i="1" s="1"/>
  <c r="CX503" i="1" s="1"/>
  <c r="CY503" i="1" s="1"/>
  <c r="CK285" i="1"/>
  <c r="CK206" i="1"/>
  <c r="CK283" i="1"/>
  <c r="CK356" i="1"/>
  <c r="CK54" i="1"/>
  <c r="CZ300" i="1"/>
  <c r="CK207" i="1"/>
  <c r="CO399" i="1"/>
  <c r="CP399" i="1" s="1"/>
  <c r="CQ399" i="1" s="1"/>
  <c r="CR399" i="1" s="1"/>
  <c r="CS399" i="1" s="1"/>
  <c r="CT399" i="1" s="1"/>
  <c r="CU399" i="1" s="1"/>
  <c r="CV399" i="1" s="1"/>
  <c r="CW399" i="1" s="1"/>
  <c r="CX399" i="1" s="1"/>
  <c r="CY399" i="1" s="1"/>
  <c r="CO498" i="1"/>
  <c r="CP498" i="1" s="1"/>
  <c r="CQ498" i="1" s="1"/>
  <c r="CR498" i="1" s="1"/>
  <c r="CS498" i="1" s="1"/>
  <c r="CT498" i="1" s="1"/>
  <c r="CU498" i="1" s="1"/>
  <c r="CV498" i="1" s="1"/>
  <c r="CW498" i="1" s="1"/>
  <c r="CX498" i="1" s="1"/>
  <c r="CY498" i="1" s="1"/>
  <c r="CO71" i="1"/>
  <c r="CP71" i="1" s="1"/>
  <c r="CQ71" i="1" s="1"/>
  <c r="CR71" i="1" s="1"/>
  <c r="CS71" i="1" s="1"/>
  <c r="CT71" i="1" s="1"/>
  <c r="CU71" i="1" s="1"/>
  <c r="CV71" i="1" s="1"/>
  <c r="CW71" i="1" s="1"/>
  <c r="CX71" i="1" s="1"/>
  <c r="CY71" i="1" s="1"/>
  <c r="CK95" i="1"/>
  <c r="CK189" i="1"/>
  <c r="CK273" i="1"/>
  <c r="CK410" i="1"/>
  <c r="CK175" i="1"/>
  <c r="CK361" i="1"/>
  <c r="CO277" i="1"/>
  <c r="CP277" i="1" s="1"/>
  <c r="CQ277" i="1" s="1"/>
  <c r="CR277" i="1" s="1"/>
  <c r="CS277" i="1" s="1"/>
  <c r="CT277" i="1" s="1"/>
  <c r="CU277" i="1" s="1"/>
  <c r="CV277" i="1" s="1"/>
  <c r="CW277" i="1" s="1"/>
  <c r="CX277" i="1" s="1"/>
  <c r="CY277" i="1" s="1"/>
  <c r="CO171" i="1"/>
  <c r="CP171" i="1" s="1"/>
  <c r="CQ171" i="1" s="1"/>
  <c r="CR171" i="1" s="1"/>
  <c r="CS171" i="1" s="1"/>
  <c r="CT171" i="1" s="1"/>
  <c r="CU171" i="1" s="1"/>
  <c r="CV171" i="1" s="1"/>
  <c r="CW171" i="1" s="1"/>
  <c r="CX171" i="1" s="1"/>
  <c r="CY171" i="1" s="1"/>
  <c r="CZ172" i="1"/>
  <c r="CZ184" i="1"/>
  <c r="CK376" i="1"/>
  <c r="CK212" i="1"/>
  <c r="CK486" i="1"/>
  <c r="CK262" i="1"/>
  <c r="CO285" i="1"/>
  <c r="CP285" i="1" s="1"/>
  <c r="CQ285" i="1" s="1"/>
  <c r="CR285" i="1" s="1"/>
  <c r="CS285" i="1" s="1"/>
  <c r="CT285" i="1" s="1"/>
  <c r="CU285" i="1" s="1"/>
  <c r="CV285" i="1" s="1"/>
  <c r="CW285" i="1" s="1"/>
  <c r="CX285" i="1" s="1"/>
  <c r="CY285" i="1" s="1"/>
  <c r="CO206" i="1"/>
  <c r="CP206" i="1" s="1"/>
  <c r="CQ206" i="1" s="1"/>
  <c r="CR206" i="1" s="1"/>
  <c r="CS206" i="1" s="1"/>
  <c r="CT206" i="1" s="1"/>
  <c r="CU206" i="1" s="1"/>
  <c r="CV206" i="1" s="1"/>
  <c r="CW206" i="1" s="1"/>
  <c r="CX206" i="1" s="1"/>
  <c r="CY206" i="1" s="1"/>
  <c r="CO283" i="1"/>
  <c r="CP283" i="1" s="1"/>
  <c r="CQ283" i="1" s="1"/>
  <c r="CR283" i="1" s="1"/>
  <c r="CS283" i="1" s="1"/>
  <c r="CT283" i="1" s="1"/>
  <c r="CU283" i="1" s="1"/>
  <c r="CV283" i="1" s="1"/>
  <c r="CW283" i="1" s="1"/>
  <c r="CX283" i="1" s="1"/>
  <c r="CY283" i="1" s="1"/>
  <c r="CO356" i="1"/>
  <c r="CP356" i="1" s="1"/>
  <c r="CQ356" i="1" s="1"/>
  <c r="CR356" i="1" s="1"/>
  <c r="CS356" i="1" s="1"/>
  <c r="CT356" i="1" s="1"/>
  <c r="CU356" i="1" s="1"/>
  <c r="CV356" i="1" s="1"/>
  <c r="CW356" i="1" s="1"/>
  <c r="CX356" i="1" s="1"/>
  <c r="CY356" i="1" s="1"/>
  <c r="CO54" i="1"/>
  <c r="CP54" i="1" s="1"/>
  <c r="CQ54" i="1" s="1"/>
  <c r="CR54" i="1" s="1"/>
  <c r="CS54" i="1" s="1"/>
  <c r="CT54" i="1" s="1"/>
  <c r="CU54" i="1" s="1"/>
  <c r="CV54" i="1" s="1"/>
  <c r="CW54" i="1" s="1"/>
  <c r="CX54" i="1" s="1"/>
  <c r="CY54" i="1" s="1"/>
  <c r="CZ54" i="1" s="1"/>
  <c r="CO207" i="1"/>
  <c r="CP207" i="1" s="1"/>
  <c r="CQ207" i="1" s="1"/>
  <c r="CR207" i="1" s="1"/>
  <c r="CS207" i="1" s="1"/>
  <c r="CT207" i="1" s="1"/>
  <c r="CU207" i="1" s="1"/>
  <c r="CV207" i="1" s="1"/>
  <c r="CW207" i="1" s="1"/>
  <c r="CX207" i="1" s="1"/>
  <c r="CY207" i="1" s="1"/>
  <c r="CO212" i="1"/>
  <c r="CP212" i="1" s="1"/>
  <c r="CQ212" i="1" s="1"/>
  <c r="CR212" i="1" s="1"/>
  <c r="CS212" i="1" s="1"/>
  <c r="CT212" i="1" s="1"/>
  <c r="CU212" i="1" s="1"/>
  <c r="CV212" i="1" s="1"/>
  <c r="CW212" i="1" s="1"/>
  <c r="CX212" i="1" s="1"/>
  <c r="CY212" i="1" s="1"/>
  <c r="CO486" i="1"/>
  <c r="CP486" i="1" s="1"/>
  <c r="CQ486" i="1" s="1"/>
  <c r="CR486" i="1" s="1"/>
  <c r="CS486" i="1" s="1"/>
  <c r="CT486" i="1" s="1"/>
  <c r="CU486" i="1" s="1"/>
  <c r="CV486" i="1" s="1"/>
  <c r="CW486" i="1" s="1"/>
  <c r="CX486" i="1" s="1"/>
  <c r="CY486" i="1" s="1"/>
  <c r="CO262" i="1"/>
  <c r="CP262" i="1" s="1"/>
  <c r="CQ262" i="1" s="1"/>
  <c r="CR262" i="1" s="1"/>
  <c r="CS262" i="1" s="1"/>
  <c r="CT262" i="1" s="1"/>
  <c r="CU262" i="1" s="1"/>
  <c r="CV262" i="1" s="1"/>
  <c r="CW262" i="1" s="1"/>
  <c r="CX262" i="1" s="1"/>
  <c r="CY262" i="1" s="1"/>
  <c r="CO177" i="1"/>
  <c r="CP177" i="1" s="1"/>
  <c r="CQ177" i="1" s="1"/>
  <c r="CR177" i="1" s="1"/>
  <c r="CS177" i="1" s="1"/>
  <c r="CT177" i="1" s="1"/>
  <c r="CU177" i="1" s="1"/>
  <c r="CV177" i="1" s="1"/>
  <c r="CW177" i="1" s="1"/>
  <c r="CX177" i="1" s="1"/>
  <c r="CY177" i="1" s="1"/>
  <c r="CO472" i="1"/>
  <c r="CP472" i="1" s="1"/>
  <c r="CQ472" i="1" s="1"/>
  <c r="CR472" i="1" s="1"/>
  <c r="CS472" i="1" s="1"/>
  <c r="CT472" i="1" s="1"/>
  <c r="CU472" i="1" s="1"/>
  <c r="CV472" i="1" s="1"/>
  <c r="CW472" i="1" s="1"/>
  <c r="CX472" i="1" s="1"/>
  <c r="CY472" i="1" s="1"/>
  <c r="CO475" i="1"/>
  <c r="CP475" i="1" s="1"/>
  <c r="CQ475" i="1" s="1"/>
  <c r="CR475" i="1" s="1"/>
  <c r="CS475" i="1" s="1"/>
  <c r="CT475" i="1" s="1"/>
  <c r="CU475" i="1" s="1"/>
  <c r="CV475" i="1" s="1"/>
  <c r="CW475" i="1" s="1"/>
  <c r="CX475" i="1" s="1"/>
  <c r="CY475" i="1" s="1"/>
  <c r="CO401" i="1"/>
  <c r="CP401" i="1" s="1"/>
  <c r="CQ401" i="1" s="1"/>
  <c r="CR401" i="1" s="1"/>
  <c r="CS401" i="1" s="1"/>
  <c r="CT401" i="1" s="1"/>
  <c r="CU401" i="1" s="1"/>
  <c r="CV401" i="1" s="1"/>
  <c r="CW401" i="1" s="1"/>
  <c r="CX401" i="1" s="1"/>
  <c r="CY401" i="1" s="1"/>
  <c r="CO203" i="1"/>
  <c r="CP203" i="1" s="1"/>
  <c r="CQ203" i="1" s="1"/>
  <c r="CR203" i="1" s="1"/>
  <c r="CS203" i="1" s="1"/>
  <c r="CT203" i="1" s="1"/>
  <c r="CU203" i="1" s="1"/>
  <c r="CV203" i="1" s="1"/>
  <c r="CW203" i="1" s="1"/>
  <c r="CX203" i="1" s="1"/>
  <c r="CY203" i="1" s="1"/>
  <c r="CO274" i="1"/>
  <c r="CP274" i="1" s="1"/>
  <c r="CQ274" i="1" s="1"/>
  <c r="CR274" i="1" s="1"/>
  <c r="CS274" i="1" s="1"/>
  <c r="CT274" i="1" s="1"/>
  <c r="CU274" i="1" s="1"/>
  <c r="CV274" i="1" s="1"/>
  <c r="CW274" i="1" s="1"/>
  <c r="CX274" i="1" s="1"/>
  <c r="CY274" i="1" s="1"/>
  <c r="CO191" i="1"/>
  <c r="CP191" i="1" s="1"/>
  <c r="CQ191" i="1" s="1"/>
  <c r="CR191" i="1" s="1"/>
  <c r="CS191" i="1" s="1"/>
  <c r="CT191" i="1" s="1"/>
  <c r="CU191" i="1" s="1"/>
  <c r="CV191" i="1" s="1"/>
  <c r="CW191" i="1" s="1"/>
  <c r="CX191" i="1" s="1"/>
  <c r="CY191" i="1" s="1"/>
  <c r="CK188" i="1"/>
  <c r="CK217" i="1"/>
  <c r="CK254" i="1"/>
  <c r="CK155" i="1"/>
  <c r="CK193" i="1"/>
  <c r="CK702" i="1" s="1"/>
  <c r="D23" i="8" s="1"/>
  <c r="CK183" i="1"/>
  <c r="CO218" i="1"/>
  <c r="CP218" i="1" s="1"/>
  <c r="CQ218" i="1" s="1"/>
  <c r="CR218" i="1" s="1"/>
  <c r="CS218" i="1" s="1"/>
  <c r="CT218" i="1" s="1"/>
  <c r="CU218" i="1" s="1"/>
  <c r="CV218" i="1" s="1"/>
  <c r="CW218" i="1" s="1"/>
  <c r="CX218" i="1" s="1"/>
  <c r="CY218" i="1" s="1"/>
  <c r="CO79" i="1"/>
  <c r="CP79" i="1" s="1"/>
  <c r="CQ79" i="1" s="1"/>
  <c r="CR79" i="1" s="1"/>
  <c r="CS79" i="1" s="1"/>
  <c r="CT79" i="1" s="1"/>
  <c r="CU79" i="1" s="1"/>
  <c r="CV79" i="1" s="1"/>
  <c r="CW79" i="1" s="1"/>
  <c r="CX79" i="1" s="1"/>
  <c r="CY79" i="1" s="1"/>
  <c r="CO180" i="1"/>
  <c r="CP180" i="1" s="1"/>
  <c r="CQ180" i="1" s="1"/>
  <c r="CR180" i="1" s="1"/>
  <c r="CS180" i="1" s="1"/>
  <c r="CT180" i="1" s="1"/>
  <c r="CU180" i="1" s="1"/>
  <c r="CV180" i="1" s="1"/>
  <c r="CW180" i="1" s="1"/>
  <c r="CX180" i="1" s="1"/>
  <c r="CY180" i="1" s="1"/>
  <c r="CO95" i="1"/>
  <c r="CP95" i="1" s="1"/>
  <c r="CQ95" i="1" s="1"/>
  <c r="CR95" i="1" s="1"/>
  <c r="CS95" i="1" s="1"/>
  <c r="CT95" i="1" s="1"/>
  <c r="CU95" i="1" s="1"/>
  <c r="CV95" i="1" s="1"/>
  <c r="CW95" i="1" s="1"/>
  <c r="CX95" i="1" s="1"/>
  <c r="CY95" i="1" s="1"/>
  <c r="CO189" i="1"/>
  <c r="CP189" i="1" s="1"/>
  <c r="CQ189" i="1" s="1"/>
  <c r="CR189" i="1" s="1"/>
  <c r="CS189" i="1" s="1"/>
  <c r="CT189" i="1" s="1"/>
  <c r="CU189" i="1" s="1"/>
  <c r="CV189" i="1" s="1"/>
  <c r="CW189" i="1" s="1"/>
  <c r="CX189" i="1" s="1"/>
  <c r="CY189" i="1" s="1"/>
  <c r="CO273" i="1"/>
  <c r="CP273" i="1" s="1"/>
  <c r="CQ273" i="1" s="1"/>
  <c r="CR273" i="1" s="1"/>
  <c r="CS273" i="1" s="1"/>
  <c r="CT273" i="1" s="1"/>
  <c r="CU273" i="1" s="1"/>
  <c r="CV273" i="1" s="1"/>
  <c r="CW273" i="1" s="1"/>
  <c r="CX273" i="1" s="1"/>
  <c r="CY273" i="1" s="1"/>
  <c r="CO410" i="1"/>
  <c r="CP410" i="1" s="1"/>
  <c r="CQ410" i="1" s="1"/>
  <c r="CR410" i="1" s="1"/>
  <c r="CS410" i="1" s="1"/>
  <c r="CT410" i="1" s="1"/>
  <c r="CU410" i="1" s="1"/>
  <c r="CV410" i="1" s="1"/>
  <c r="CW410" i="1" s="1"/>
  <c r="CX410" i="1" s="1"/>
  <c r="CY410" i="1" s="1"/>
  <c r="CO175" i="1"/>
  <c r="CP175" i="1" s="1"/>
  <c r="CQ175" i="1" s="1"/>
  <c r="CR175" i="1" s="1"/>
  <c r="CS175" i="1" s="1"/>
  <c r="CT175" i="1" s="1"/>
  <c r="CU175" i="1" s="1"/>
  <c r="CV175" i="1" s="1"/>
  <c r="CW175" i="1" s="1"/>
  <c r="CX175" i="1" s="1"/>
  <c r="CY175" i="1" s="1"/>
  <c r="CO361" i="1"/>
  <c r="CP361" i="1" s="1"/>
  <c r="CQ361" i="1" s="1"/>
  <c r="CR361" i="1" s="1"/>
  <c r="CS361" i="1" s="1"/>
  <c r="CT361" i="1" s="1"/>
  <c r="CU361" i="1" s="1"/>
  <c r="CV361" i="1" s="1"/>
  <c r="CW361" i="1" s="1"/>
  <c r="CX361" i="1" s="1"/>
  <c r="CY361" i="1" s="1"/>
  <c r="CO405" i="1"/>
  <c r="CP405" i="1" s="1"/>
  <c r="CQ405" i="1" s="1"/>
  <c r="CR405" i="1" s="1"/>
  <c r="CS405" i="1" s="1"/>
  <c r="CT405" i="1" s="1"/>
  <c r="CU405" i="1" s="1"/>
  <c r="CV405" i="1" s="1"/>
  <c r="CW405" i="1" s="1"/>
  <c r="CX405" i="1" s="1"/>
  <c r="CY405" i="1" s="1"/>
  <c r="CK75" i="1"/>
  <c r="CK261" i="1"/>
  <c r="CK215" i="1"/>
  <c r="CK260" i="1"/>
  <c r="CK471" i="1"/>
  <c r="CK202" i="1"/>
  <c r="CK269" i="1"/>
  <c r="CK474" i="1"/>
  <c r="CO280" i="1"/>
  <c r="CP280" i="1" s="1"/>
  <c r="CQ280" i="1" s="1"/>
  <c r="CR280" i="1" s="1"/>
  <c r="CS280" i="1" s="1"/>
  <c r="CT280" i="1" s="1"/>
  <c r="CU280" i="1" s="1"/>
  <c r="CV280" i="1" s="1"/>
  <c r="CW280" i="1" s="1"/>
  <c r="CX280" i="1" s="1"/>
  <c r="CY280" i="1" s="1"/>
  <c r="CO209" i="1"/>
  <c r="CP209" i="1" s="1"/>
  <c r="CQ209" i="1" s="1"/>
  <c r="CR209" i="1" s="1"/>
  <c r="CS209" i="1" s="1"/>
  <c r="CT209" i="1" s="1"/>
  <c r="CU209" i="1" s="1"/>
  <c r="CV209" i="1" s="1"/>
  <c r="CW209" i="1" s="1"/>
  <c r="CX209" i="1" s="1"/>
  <c r="CY209" i="1" s="1"/>
  <c r="CZ298" i="1"/>
  <c r="CZ284" i="1"/>
  <c r="CK117" i="1"/>
  <c r="CK352" i="1"/>
  <c r="CK272" i="1"/>
  <c r="CK267" i="1"/>
  <c r="CK363" i="1"/>
  <c r="CK371" i="1"/>
  <c r="CK422" i="1"/>
  <c r="CZ28" i="1"/>
  <c r="CK271" i="1"/>
  <c r="CZ305" i="1"/>
  <c r="CZ370" i="1"/>
  <c r="CK112" i="1"/>
  <c r="CO188" i="1"/>
  <c r="CP188" i="1" s="1"/>
  <c r="CQ188" i="1" s="1"/>
  <c r="CR188" i="1" s="1"/>
  <c r="CS188" i="1" s="1"/>
  <c r="CT188" i="1" s="1"/>
  <c r="CU188" i="1" s="1"/>
  <c r="CV188" i="1" s="1"/>
  <c r="CW188" i="1" s="1"/>
  <c r="CX188" i="1" s="1"/>
  <c r="CY188" i="1" s="1"/>
  <c r="CO217" i="1"/>
  <c r="CP217" i="1" s="1"/>
  <c r="CQ217" i="1" s="1"/>
  <c r="CR217" i="1" s="1"/>
  <c r="CS217" i="1" s="1"/>
  <c r="CT217" i="1" s="1"/>
  <c r="CU217" i="1" s="1"/>
  <c r="CV217" i="1" s="1"/>
  <c r="CW217" i="1" s="1"/>
  <c r="CX217" i="1" s="1"/>
  <c r="CY217" i="1" s="1"/>
  <c r="CO155" i="1"/>
  <c r="CP155" i="1" s="1"/>
  <c r="CQ155" i="1" s="1"/>
  <c r="CO282" i="1"/>
  <c r="CP282" i="1" s="1"/>
  <c r="CQ282" i="1" s="1"/>
  <c r="CR282" i="1" s="1"/>
  <c r="CS282" i="1" s="1"/>
  <c r="CT282" i="1" s="1"/>
  <c r="CU282" i="1" s="1"/>
  <c r="CV282" i="1" s="1"/>
  <c r="CW282" i="1" s="1"/>
  <c r="CX282" i="1" s="1"/>
  <c r="CY282" i="1" s="1"/>
  <c r="CZ282" i="1" s="1"/>
  <c r="CO468" i="1"/>
  <c r="CP468" i="1" s="1"/>
  <c r="CQ468" i="1" s="1"/>
  <c r="CR468" i="1" s="1"/>
  <c r="CS468" i="1" s="1"/>
  <c r="CT468" i="1" s="1"/>
  <c r="CU468" i="1" s="1"/>
  <c r="CV468" i="1" s="1"/>
  <c r="CW468" i="1" s="1"/>
  <c r="CX468" i="1" s="1"/>
  <c r="CY468" i="1" s="1"/>
  <c r="CZ342" i="1"/>
  <c r="CO75" i="1"/>
  <c r="CP75" i="1" s="1"/>
  <c r="CQ75" i="1" s="1"/>
  <c r="CR75" i="1" s="1"/>
  <c r="CS75" i="1" s="1"/>
  <c r="CT75" i="1" s="1"/>
  <c r="CU75" i="1" s="1"/>
  <c r="CV75" i="1" s="1"/>
  <c r="CW75" i="1" s="1"/>
  <c r="CX75" i="1" s="1"/>
  <c r="CY75" i="1" s="1"/>
  <c r="CO261" i="1"/>
  <c r="CP261" i="1" s="1"/>
  <c r="CQ261" i="1" s="1"/>
  <c r="CR261" i="1" s="1"/>
  <c r="CS261" i="1" s="1"/>
  <c r="CT261" i="1" s="1"/>
  <c r="CU261" i="1" s="1"/>
  <c r="CV261" i="1" s="1"/>
  <c r="CW261" i="1" s="1"/>
  <c r="CX261" i="1" s="1"/>
  <c r="CY261" i="1" s="1"/>
  <c r="CO260" i="1"/>
  <c r="CP260" i="1" s="1"/>
  <c r="CQ260" i="1" s="1"/>
  <c r="CR260" i="1" s="1"/>
  <c r="CS260" i="1" s="1"/>
  <c r="CT260" i="1" s="1"/>
  <c r="CU260" i="1" s="1"/>
  <c r="CV260" i="1" s="1"/>
  <c r="CW260" i="1" s="1"/>
  <c r="CX260" i="1" s="1"/>
  <c r="CY260" i="1" s="1"/>
  <c r="CO471" i="1"/>
  <c r="CP471" i="1" s="1"/>
  <c r="CQ471" i="1" s="1"/>
  <c r="CR471" i="1" s="1"/>
  <c r="CS471" i="1" s="1"/>
  <c r="CT471" i="1" s="1"/>
  <c r="CU471" i="1" s="1"/>
  <c r="CV471" i="1" s="1"/>
  <c r="CW471" i="1" s="1"/>
  <c r="CX471" i="1" s="1"/>
  <c r="CY471" i="1" s="1"/>
  <c r="CO202" i="1"/>
  <c r="CP202" i="1" s="1"/>
  <c r="CQ202" i="1" s="1"/>
  <c r="CR202" i="1" s="1"/>
  <c r="CS202" i="1" s="1"/>
  <c r="CT202" i="1" s="1"/>
  <c r="CU202" i="1" s="1"/>
  <c r="CV202" i="1" s="1"/>
  <c r="CW202" i="1" s="1"/>
  <c r="CX202" i="1" s="1"/>
  <c r="CY202" i="1" s="1"/>
  <c r="CO269" i="1"/>
  <c r="CP269" i="1" s="1"/>
  <c r="CQ269" i="1" s="1"/>
  <c r="CR269" i="1" s="1"/>
  <c r="CS269" i="1" s="1"/>
  <c r="CT269" i="1" s="1"/>
  <c r="CU269" i="1" s="1"/>
  <c r="CV269" i="1" s="1"/>
  <c r="CW269" i="1" s="1"/>
  <c r="CX269" i="1" s="1"/>
  <c r="CY269" i="1" s="1"/>
  <c r="CO474" i="1"/>
  <c r="CP474" i="1" s="1"/>
  <c r="CQ474" i="1" s="1"/>
  <c r="CR474" i="1" s="1"/>
  <c r="CS474" i="1" s="1"/>
  <c r="CT474" i="1" s="1"/>
  <c r="CU474" i="1" s="1"/>
  <c r="CV474" i="1" s="1"/>
  <c r="CW474" i="1" s="1"/>
  <c r="CX474" i="1" s="1"/>
  <c r="CY474" i="1" s="1"/>
  <c r="CZ211" i="1"/>
  <c r="CZ575" i="1"/>
  <c r="CK399" i="1"/>
  <c r="CK159" i="1"/>
  <c r="CK218" i="1"/>
  <c r="CZ501" i="1"/>
  <c r="CO117" i="1"/>
  <c r="CP117" i="1" s="1"/>
  <c r="CQ117" i="1" s="1"/>
  <c r="CR117" i="1" s="1"/>
  <c r="CS117" i="1" s="1"/>
  <c r="CT117" i="1" s="1"/>
  <c r="CU117" i="1" s="1"/>
  <c r="CV117" i="1" s="1"/>
  <c r="CW117" i="1" s="1"/>
  <c r="CX117" i="1" s="1"/>
  <c r="CY117" i="1" s="1"/>
  <c r="CO352" i="1"/>
  <c r="CP352" i="1" s="1"/>
  <c r="CQ352" i="1" s="1"/>
  <c r="CR352" i="1" s="1"/>
  <c r="CS352" i="1" s="1"/>
  <c r="CT352" i="1" s="1"/>
  <c r="CU352" i="1" s="1"/>
  <c r="CV352" i="1" s="1"/>
  <c r="CW352" i="1" s="1"/>
  <c r="CX352" i="1" s="1"/>
  <c r="CY352" i="1" s="1"/>
  <c r="CO272" i="1"/>
  <c r="CP272" i="1" s="1"/>
  <c r="CQ272" i="1" s="1"/>
  <c r="CR272" i="1" s="1"/>
  <c r="CS272" i="1" s="1"/>
  <c r="CT272" i="1" s="1"/>
  <c r="CU272" i="1" s="1"/>
  <c r="CV272" i="1" s="1"/>
  <c r="CW272" i="1" s="1"/>
  <c r="CX272" i="1" s="1"/>
  <c r="CY272" i="1" s="1"/>
  <c r="CO267" i="1"/>
  <c r="CP267" i="1" s="1"/>
  <c r="CQ267" i="1" s="1"/>
  <c r="CR267" i="1" s="1"/>
  <c r="CS267" i="1" s="1"/>
  <c r="CT267" i="1" s="1"/>
  <c r="CU267" i="1" s="1"/>
  <c r="CV267" i="1" s="1"/>
  <c r="CW267" i="1" s="1"/>
  <c r="CX267" i="1" s="1"/>
  <c r="CY267" i="1" s="1"/>
  <c r="CO363" i="1"/>
  <c r="CP363" i="1" s="1"/>
  <c r="CQ363" i="1" s="1"/>
  <c r="CR363" i="1" s="1"/>
  <c r="CS363" i="1" s="1"/>
  <c r="CT363" i="1" s="1"/>
  <c r="CU363" i="1" s="1"/>
  <c r="CV363" i="1" s="1"/>
  <c r="CW363" i="1" s="1"/>
  <c r="CX363" i="1" s="1"/>
  <c r="CY363" i="1" s="1"/>
  <c r="CO371" i="1"/>
  <c r="CP371" i="1" s="1"/>
  <c r="CQ371" i="1" s="1"/>
  <c r="CR371" i="1" s="1"/>
  <c r="CS371" i="1" s="1"/>
  <c r="CT371" i="1" s="1"/>
  <c r="CU371" i="1" s="1"/>
  <c r="CV371" i="1" s="1"/>
  <c r="CW371" i="1" s="1"/>
  <c r="CX371" i="1" s="1"/>
  <c r="CY371" i="1" s="1"/>
  <c r="CO422" i="1"/>
  <c r="CP422" i="1" s="1"/>
  <c r="CQ422" i="1" s="1"/>
  <c r="CR422" i="1" s="1"/>
  <c r="CS422" i="1" s="1"/>
  <c r="CT422" i="1" s="1"/>
  <c r="CU422" i="1" s="1"/>
  <c r="CV422" i="1" s="1"/>
  <c r="CW422" i="1" s="1"/>
  <c r="CX422" i="1" s="1"/>
  <c r="CY422" i="1" s="1"/>
  <c r="CO271" i="1"/>
  <c r="CP271" i="1" s="1"/>
  <c r="CQ271" i="1" s="1"/>
  <c r="CR271" i="1" s="1"/>
  <c r="CS271" i="1" s="1"/>
  <c r="CT271" i="1" s="1"/>
  <c r="CU271" i="1" s="1"/>
  <c r="CV271" i="1" s="1"/>
  <c r="CW271" i="1" s="1"/>
  <c r="CX271" i="1" s="1"/>
  <c r="CY271" i="1" s="1"/>
  <c r="CO112" i="1"/>
  <c r="CP112" i="1" s="1"/>
  <c r="CQ112" i="1" s="1"/>
  <c r="CR112" i="1" s="1"/>
  <c r="CS112" i="1" s="1"/>
  <c r="CT112" i="1" s="1"/>
  <c r="CU112" i="1" s="1"/>
  <c r="CV112" i="1" s="1"/>
  <c r="CW112" i="1" s="1"/>
  <c r="CX112" i="1" s="1"/>
  <c r="CY112" i="1" s="1"/>
  <c r="CO120" i="1"/>
  <c r="CP120" i="1" s="1"/>
  <c r="CQ120" i="1" s="1"/>
  <c r="CR120" i="1" s="1"/>
  <c r="CS120" i="1" s="1"/>
  <c r="CT120" i="1" s="1"/>
  <c r="CU120" i="1" s="1"/>
  <c r="CV120" i="1" s="1"/>
  <c r="CW120" i="1" s="1"/>
  <c r="CX120" i="1" s="1"/>
  <c r="CY120" i="1" s="1"/>
  <c r="CO303" i="1"/>
  <c r="CP303" i="1" s="1"/>
  <c r="CQ303" i="1" s="1"/>
  <c r="CK178" i="1"/>
  <c r="CK266" i="1"/>
  <c r="CK373" i="1"/>
  <c r="CK181" i="1"/>
  <c r="CK476" i="1"/>
  <c r="CO178" i="1"/>
  <c r="CP178" i="1" s="1"/>
  <c r="CQ178" i="1" s="1"/>
  <c r="CR178" i="1" s="1"/>
  <c r="CS178" i="1" s="1"/>
  <c r="CT178" i="1" s="1"/>
  <c r="CU178" i="1" s="1"/>
  <c r="CV178" i="1" s="1"/>
  <c r="CW178" i="1" s="1"/>
  <c r="CX178" i="1" s="1"/>
  <c r="CY178" i="1" s="1"/>
  <c r="CO266" i="1"/>
  <c r="CP266" i="1" s="1"/>
  <c r="CQ266" i="1" s="1"/>
  <c r="CR266" i="1" s="1"/>
  <c r="CS266" i="1" s="1"/>
  <c r="CT266" i="1" s="1"/>
  <c r="CU266" i="1" s="1"/>
  <c r="CV266" i="1" s="1"/>
  <c r="CW266" i="1" s="1"/>
  <c r="CX266" i="1" s="1"/>
  <c r="CY266" i="1" s="1"/>
  <c r="CO373" i="1"/>
  <c r="CP373" i="1" s="1"/>
  <c r="CQ373" i="1" s="1"/>
  <c r="CR373" i="1" s="1"/>
  <c r="CS373" i="1" s="1"/>
  <c r="CT373" i="1" s="1"/>
  <c r="CU373" i="1" s="1"/>
  <c r="CV373" i="1" s="1"/>
  <c r="CW373" i="1" s="1"/>
  <c r="CX373" i="1" s="1"/>
  <c r="CY373" i="1" s="1"/>
  <c r="CO181" i="1"/>
  <c r="CP181" i="1" s="1"/>
  <c r="CQ181" i="1" s="1"/>
  <c r="CR181" i="1" s="1"/>
  <c r="CS181" i="1" s="1"/>
  <c r="CT181" i="1" s="1"/>
  <c r="CU181" i="1" s="1"/>
  <c r="CV181" i="1" s="1"/>
  <c r="CW181" i="1" s="1"/>
  <c r="CX181" i="1" s="1"/>
  <c r="CY181" i="1" s="1"/>
  <c r="CO476" i="1"/>
  <c r="CP476" i="1" s="1"/>
  <c r="CQ476" i="1" s="1"/>
  <c r="CR476" i="1" s="1"/>
  <c r="CS476" i="1" s="1"/>
  <c r="CT476" i="1" s="1"/>
  <c r="CU476" i="1" s="1"/>
  <c r="CV476" i="1" s="1"/>
  <c r="CW476" i="1" s="1"/>
  <c r="CX476" i="1" s="1"/>
  <c r="CY476" i="1" s="1"/>
  <c r="CN213" i="1" l="1"/>
  <c r="CN499" i="1"/>
  <c r="CN118" i="1"/>
  <c r="CN216" i="1"/>
  <c r="CN42" i="1"/>
  <c r="CN157" i="1"/>
  <c r="CO157" i="1" s="1"/>
  <c r="CP157" i="1" s="1"/>
  <c r="CQ157" i="1" s="1"/>
  <c r="CR157" i="1" s="1"/>
  <c r="CS157" i="1" s="1"/>
  <c r="CT157" i="1" s="1"/>
  <c r="CU157" i="1" s="1"/>
  <c r="CV157" i="1" s="1"/>
  <c r="CW157" i="1" s="1"/>
  <c r="CX157" i="1" s="1"/>
  <c r="CY157" i="1" s="1"/>
  <c r="CN430" i="1"/>
  <c r="CN214" i="1"/>
  <c r="CN270" i="1"/>
  <c r="CN92" i="1"/>
  <c r="CZ706" i="1"/>
  <c r="H24" i="8" s="1"/>
  <c r="CK708" i="1"/>
  <c r="BV708" i="1"/>
  <c r="BV214" i="1"/>
  <c r="BV213" i="1"/>
  <c r="BV715" i="1"/>
  <c r="BV216" i="1"/>
  <c r="BV416" i="1"/>
  <c r="BV157" i="1"/>
  <c r="BV92" i="1"/>
  <c r="BV42" i="1"/>
  <c r="BV270" i="1"/>
  <c r="BV430" i="1"/>
  <c r="BV118" i="1"/>
  <c r="BV711" i="1" s="1"/>
  <c r="BV499" i="1"/>
  <c r="CZ159" i="1"/>
  <c r="CK157" i="1"/>
  <c r="CZ202" i="1"/>
  <c r="CZ471" i="1"/>
  <c r="CZ351" i="1"/>
  <c r="CZ272" i="1"/>
  <c r="CZ373" i="1"/>
  <c r="CZ303" i="1"/>
  <c r="CZ467" i="1"/>
  <c r="CK92" i="1"/>
  <c r="CK715" i="1"/>
  <c r="CZ156" i="1"/>
  <c r="CZ261" i="1"/>
  <c r="CZ278" i="1"/>
  <c r="CZ277" i="1"/>
  <c r="CZ79" i="1"/>
  <c r="CZ393" i="1"/>
  <c r="CZ183" i="1"/>
  <c r="CZ405" i="1"/>
  <c r="CZ95" i="1"/>
  <c r="CZ49" i="1"/>
  <c r="CZ422" i="1"/>
  <c r="CZ352" i="1"/>
  <c r="CZ203" i="1"/>
  <c r="CZ177" i="1"/>
  <c r="CZ64" i="1"/>
  <c r="CZ200" i="1"/>
  <c r="CZ379" i="1"/>
  <c r="CZ178" i="1"/>
  <c r="CZ155" i="1"/>
  <c r="CZ206" i="1"/>
  <c r="CZ498" i="1"/>
  <c r="CZ180" i="1"/>
  <c r="CZ476" i="1"/>
  <c r="CZ267" i="1"/>
  <c r="CZ217" i="1"/>
  <c r="CZ285" i="1"/>
  <c r="CZ371" i="1"/>
  <c r="CZ215" i="1"/>
  <c r="CK216" i="1"/>
  <c r="CK214" i="1"/>
  <c r="CZ275" i="1"/>
  <c r="CZ181" i="1"/>
  <c r="CZ120" i="1"/>
  <c r="CZ269" i="1"/>
  <c r="CZ188" i="1"/>
  <c r="CZ209" i="1"/>
  <c r="CZ361" i="1"/>
  <c r="CZ274" i="1"/>
  <c r="CZ262" i="1"/>
  <c r="CZ171" i="1"/>
  <c r="CZ503" i="1"/>
  <c r="CZ307" i="1"/>
  <c r="CK499" i="1"/>
  <c r="CK711" i="1" s="1"/>
  <c r="CZ381" i="1"/>
  <c r="CZ297" i="1"/>
  <c r="CZ486" i="1"/>
  <c r="CZ283" i="1"/>
  <c r="CZ271" i="1"/>
  <c r="CZ75" i="1"/>
  <c r="CZ413" i="1"/>
  <c r="CZ410" i="1"/>
  <c r="CZ475" i="1"/>
  <c r="CZ273" i="1"/>
  <c r="CZ207" i="1"/>
  <c r="CZ383" i="1"/>
  <c r="CZ369" i="1"/>
  <c r="CZ502" i="1"/>
  <c r="CZ402" i="1"/>
  <c r="CZ428" i="1"/>
  <c r="CO92" i="1"/>
  <c r="CP92" i="1" s="1"/>
  <c r="CQ92" i="1" s="1"/>
  <c r="CR92" i="1" s="1"/>
  <c r="CS92" i="1" s="1"/>
  <c r="CT92" i="1" s="1"/>
  <c r="CU92" i="1" s="1"/>
  <c r="CV92" i="1" s="1"/>
  <c r="CW92" i="1" s="1"/>
  <c r="CX92" i="1" s="1"/>
  <c r="CY92" i="1" s="1"/>
  <c r="CZ385" i="1"/>
  <c r="CZ182" i="1"/>
  <c r="CZ265" i="1"/>
  <c r="CZ158" i="1"/>
  <c r="CO42" i="1"/>
  <c r="CP42" i="1" s="1"/>
  <c r="CQ42" i="1" s="1"/>
  <c r="CR42" i="1" s="1"/>
  <c r="CS42" i="1" s="1"/>
  <c r="CT42" i="1" s="1"/>
  <c r="CU42" i="1" s="1"/>
  <c r="CV42" i="1" s="1"/>
  <c r="CW42" i="1" s="1"/>
  <c r="CX42" i="1" s="1"/>
  <c r="CY42" i="1" s="1"/>
  <c r="CO499" i="1"/>
  <c r="CP499" i="1" s="1"/>
  <c r="CQ499" i="1" s="1"/>
  <c r="CR499" i="1" s="1"/>
  <c r="CS499" i="1" s="1"/>
  <c r="CT499" i="1" s="1"/>
  <c r="CU499" i="1" s="1"/>
  <c r="CV499" i="1" s="1"/>
  <c r="CW499" i="1" s="1"/>
  <c r="CX499" i="1" s="1"/>
  <c r="CY499" i="1" s="1"/>
  <c r="CZ499" i="1" s="1"/>
  <c r="CZ286" i="1"/>
  <c r="CZ266" i="1"/>
  <c r="CZ112" i="1"/>
  <c r="CZ363" i="1"/>
  <c r="CZ117" i="1"/>
  <c r="CZ474" i="1"/>
  <c r="CZ260" i="1"/>
  <c r="CZ193" i="1"/>
  <c r="CZ702" i="1" s="1"/>
  <c r="D24" i="8" s="1"/>
  <c r="CZ280" i="1"/>
  <c r="CO216" i="1"/>
  <c r="CP216" i="1" s="1"/>
  <c r="CQ216" i="1" s="1"/>
  <c r="CR216" i="1" s="1"/>
  <c r="CS216" i="1" s="1"/>
  <c r="CT216" i="1" s="1"/>
  <c r="CU216" i="1" s="1"/>
  <c r="CV216" i="1" s="1"/>
  <c r="CW216" i="1" s="1"/>
  <c r="CX216" i="1" s="1"/>
  <c r="CY216" i="1" s="1"/>
  <c r="CZ71" i="1"/>
  <c r="CZ296" i="1"/>
  <c r="CZ362" i="1"/>
  <c r="CZ414" i="1"/>
  <c r="CZ359" i="1"/>
  <c r="CZ354" i="1"/>
  <c r="CK118" i="1"/>
  <c r="CZ176" i="1"/>
  <c r="CZ293" i="1"/>
  <c r="CK213" i="1"/>
  <c r="CZ368" i="1"/>
  <c r="CO430" i="1"/>
  <c r="CP430" i="1" s="1"/>
  <c r="CQ430" i="1" s="1"/>
  <c r="CR430" i="1" s="1"/>
  <c r="CS430" i="1" s="1"/>
  <c r="CT430" i="1" s="1"/>
  <c r="CU430" i="1" s="1"/>
  <c r="CV430" i="1" s="1"/>
  <c r="CW430" i="1" s="1"/>
  <c r="CX430" i="1" s="1"/>
  <c r="CY430" i="1" s="1"/>
  <c r="CZ468" i="1"/>
  <c r="CZ175" i="1"/>
  <c r="CZ189" i="1"/>
  <c r="CZ218" i="1"/>
  <c r="CZ191" i="1"/>
  <c r="CZ401" i="1"/>
  <c r="CZ472" i="1"/>
  <c r="CZ212" i="1"/>
  <c r="CZ356" i="1"/>
  <c r="CK430" i="1"/>
  <c r="CZ50" i="1"/>
  <c r="CZ426" i="1"/>
  <c r="CO118" i="1"/>
  <c r="CP118" i="1" s="1"/>
  <c r="CQ118" i="1" s="1"/>
  <c r="CR118" i="1" s="1"/>
  <c r="CS118" i="1" s="1"/>
  <c r="CT118" i="1" s="1"/>
  <c r="CU118" i="1" s="1"/>
  <c r="CV118" i="1" s="1"/>
  <c r="CW118" i="1" s="1"/>
  <c r="CX118" i="1" s="1"/>
  <c r="CY118" i="1" s="1"/>
  <c r="CO213" i="1"/>
  <c r="CP213" i="1" s="1"/>
  <c r="CQ213" i="1" s="1"/>
  <c r="CR213" i="1" s="1"/>
  <c r="CS213" i="1" s="1"/>
  <c r="CT213" i="1" s="1"/>
  <c r="CU213" i="1" s="1"/>
  <c r="CV213" i="1" s="1"/>
  <c r="CW213" i="1" s="1"/>
  <c r="CX213" i="1" s="1"/>
  <c r="CY213" i="1" s="1"/>
  <c r="CZ91" i="1"/>
  <c r="CZ279" i="1"/>
  <c r="CZ406" i="1"/>
  <c r="CK270" i="1"/>
  <c r="CO270" i="1"/>
  <c r="CP270" i="1" s="1"/>
  <c r="CQ270" i="1" s="1"/>
  <c r="CR270" i="1" s="1"/>
  <c r="CS270" i="1" s="1"/>
  <c r="CT270" i="1" s="1"/>
  <c r="CU270" i="1" s="1"/>
  <c r="CV270" i="1" s="1"/>
  <c r="CW270" i="1" s="1"/>
  <c r="CX270" i="1" s="1"/>
  <c r="CY270" i="1" s="1"/>
  <c r="CZ470" i="1"/>
  <c r="CO214" i="1"/>
  <c r="CP214" i="1" s="1"/>
  <c r="CQ214" i="1" s="1"/>
  <c r="CR214" i="1" s="1"/>
  <c r="CS214" i="1" s="1"/>
  <c r="CT214" i="1" s="1"/>
  <c r="CU214" i="1" s="1"/>
  <c r="CV214" i="1" s="1"/>
  <c r="CW214" i="1" s="1"/>
  <c r="CX214" i="1" s="1"/>
  <c r="CY214" i="1" s="1"/>
  <c r="CZ399" i="1"/>
  <c r="CZ63" i="1"/>
  <c r="CK42" i="1"/>
  <c r="CK704" i="1" s="1"/>
  <c r="CZ429" i="1"/>
  <c r="CZ396" i="1"/>
  <c r="CZ411" i="1"/>
  <c r="CZ12" i="1"/>
  <c r="CZ473" i="1"/>
  <c r="CZ308" i="1"/>
  <c r="CZ73" i="1"/>
  <c r="CZ424" i="1"/>
  <c r="CZ114" i="1"/>
  <c r="CK710" i="1" l="1"/>
  <c r="CK720" i="1" s="1"/>
  <c r="C23" i="8" s="1"/>
  <c r="BV704" i="1"/>
  <c r="BV719" i="1" s="1"/>
  <c r="B22" i="8" s="1"/>
  <c r="BV710" i="1"/>
  <c r="BV720" i="1" s="1"/>
  <c r="C22" i="8" s="1"/>
  <c r="CZ708" i="1"/>
  <c r="BV697" i="1"/>
  <c r="CK697" i="1"/>
  <c r="CZ430" i="1"/>
  <c r="CZ118" i="1"/>
  <c r="CZ157" i="1"/>
  <c r="CZ214" i="1"/>
  <c r="CZ216" i="1"/>
  <c r="CZ715" i="1"/>
  <c r="CZ270" i="1"/>
  <c r="CZ213" i="1"/>
  <c r="CZ92" i="1"/>
  <c r="CZ42" i="1"/>
  <c r="CZ704" i="1" l="1"/>
  <c r="CZ710" i="1"/>
  <c r="CZ720" i="1" s="1"/>
  <c r="C24" i="8" s="1"/>
  <c r="CZ711" i="1"/>
  <c r="BV712" i="1"/>
  <c r="BV725" i="1" s="1"/>
  <c r="BV717" i="1"/>
  <c r="I22" i="8"/>
  <c r="J22" i="8" s="1"/>
  <c r="CZ697" i="1"/>
  <c r="CK719" i="1"/>
  <c r="B23" i="8" s="1"/>
  <c r="I23" i="8" s="1"/>
  <c r="J23" i="8" s="1"/>
  <c r="CK717" i="1"/>
  <c r="CK712" i="1"/>
  <c r="CK725" i="1" s="1"/>
  <c r="CZ719" i="1" l="1"/>
  <c r="B24" i="8" s="1"/>
  <c r="I24" i="8" s="1"/>
  <c r="J24" i="8" s="1"/>
  <c r="CZ712" i="1"/>
  <c r="CZ725" i="1" s="1"/>
  <c r="CZ7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Кравцова Елена Алексеевна</author>
    <author>Владимир В. Кириллов</author>
  </authors>
  <commentList>
    <comment ref="AB3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списано в декабре 2022 года</t>
        </r>
      </text>
    </comment>
    <comment ref="G40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9 группа. 
 360
 мес.</t>
        </r>
      </text>
    </comment>
    <comment ref="G519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после модернизации увеличили срок службы (было 480)</t>
        </r>
      </text>
    </comment>
    <comment ref="G56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108 мес. с 01.12.2021
модерниз</t>
        </r>
      </text>
    </comment>
    <comment ref="G56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по бух-ии 6 группа 132 мес.</t>
        </r>
      </text>
    </comment>
    <comment ref="G58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 мес у Предприятия
</t>
        </r>
      </text>
    </comment>
    <comment ref="G58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 мес у Предприятия
</t>
        </r>
      </text>
    </comment>
    <comment ref="G58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58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59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мес.у Предприятия
</t>
        </r>
      </text>
    </comment>
    <comment ref="G59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2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3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594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5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6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7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598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3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04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5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6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7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09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J609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610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1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2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13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614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5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6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17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8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
 мес. у Предприятияч</t>
        </r>
      </text>
    </comment>
    <comment ref="G619" authorId="0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</t>
        </r>
      </text>
    </comment>
    <comment ref="G620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остат СПИ после реконструк.</t>
        </r>
      </text>
    </comment>
    <comment ref="G621" authorId="0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</t>
        </r>
      </text>
    </comment>
    <comment ref="AC621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11 мес</t>
        </r>
      </text>
    </comment>
    <comment ref="G622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3" authorId="0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
 мес. у Предприятия
</t>
        </r>
      </text>
    </comment>
    <comment ref="G624" authorId="0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5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6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7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8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9" authorId="0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0" authorId="0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
 мес. у Предприятия</t>
        </r>
      </text>
    </comment>
    <comment ref="G631" authorId="0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2" authorId="0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3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4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5" authorId="0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6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7" authorId="0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8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9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40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1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2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3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5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
у Предприятия
</t>
        </r>
      </text>
    </comment>
    <comment ref="G646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7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48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 у Предприятия</t>
        </r>
      </text>
    </comment>
    <comment ref="G649" authorId="0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0" authorId="0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51" authorId="0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2" authorId="0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3" authorId="0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4" authorId="0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5" authorId="0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6" authorId="0" shapeId="0" xr:uid="{00000000-0006-0000-0000-000049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84 мес. у Предприятия</t>
        </r>
      </text>
    </comment>
    <comment ref="G657" authorId="0" shapeId="0" xr:uid="{00000000-0006-0000-0000-00004A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
у Предприятия
</t>
        </r>
      </text>
    </comment>
    <comment ref="G658" authorId="0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9" authorId="0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60" authorId="0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1" authorId="0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2" authorId="0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3" authorId="0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5" authorId="0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передано от КУ НАО "ЦСЗ" с остаточным сроком 73 мес</t>
        </r>
      </text>
    </comment>
    <comment ref="G666" authorId="0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у предприятия 300 мес по 6 группе</t>
        </r>
      </text>
    </comment>
    <comment ref="G671" authorId="0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у предприятия 300 мес по 6 группе</t>
        </r>
      </text>
    </comment>
    <comment ref="G673" authorId="0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AW691" authorId="1" shapeId="0" xr:uid="{83D5893A-84FA-4DAE-9589-15F7A47186D8}">
      <text>
        <r>
          <rPr>
            <b/>
            <sz val="9"/>
            <color indexed="81"/>
            <rFont val="Tahoma"/>
            <family val="2"/>
            <charset val="204"/>
          </rPr>
          <t>Согласно договора 590-2023-ПК от 28.12.2023</t>
        </r>
      </text>
    </comment>
  </commentList>
</comments>
</file>

<file path=xl/sharedStrings.xml><?xml version="1.0" encoding="utf-8"?>
<sst xmlns="http://schemas.openxmlformats.org/spreadsheetml/2006/main" count="6577" uniqueCount="2800">
  <si>
    <t>Основное средство</t>
  </si>
  <si>
    <t>Инвентарный номер</t>
  </si>
  <si>
    <t>вид деят</t>
  </si>
  <si>
    <t>Дата принятия к учету</t>
  </si>
  <si>
    <t>Подразделение</t>
  </si>
  <si>
    <t>Основное средство.СПИ (Основные средства)</t>
  </si>
  <si>
    <t>На 01.01.22</t>
  </si>
  <si>
    <t>Облаг</t>
  </si>
  <si>
    <t>ежемес аморт</t>
  </si>
  <si>
    <t>годовая амортиз
2022</t>
  </si>
  <si>
    <t>годовая амортиз
2023</t>
  </si>
  <si>
    <t>годовая амортиз
2024</t>
  </si>
  <si>
    <t>Стоимость</t>
  </si>
  <si>
    <t>Амортизация (износ)</t>
  </si>
  <si>
    <t>Остаточная стоимость</t>
  </si>
  <si>
    <t>налог 2022</t>
  </si>
  <si>
    <t>налог 2023</t>
  </si>
  <si>
    <t>налог 2024</t>
  </si>
  <si>
    <t>списана</t>
  </si>
  <si>
    <t>Теплоэнергия</t>
  </si>
  <si>
    <t>Персональный компьютер (ПК) высокой производительности с клавиатурой и мышью + 2 монитора (`27)</t>
  </si>
  <si>
    <t>000001899</t>
  </si>
  <si>
    <t>ОБЩЕПРОИЗВОДСТВЕННЫЕ РАСХОДЫ</t>
  </si>
  <si>
    <t>Машины и оборудование (кроме офисного)</t>
  </si>
  <si>
    <t>07.06.2022</t>
  </si>
  <si>
    <t>общепроизводственные расходы</t>
  </si>
  <si>
    <t>Персональный компьютер (ПК) с клавиатурой и мышью + 2 монитора (`27)</t>
  </si>
  <si>
    <t>000001900</t>
  </si>
  <si>
    <t>Узел учета ТУ № 643 от 05.10.2021 г.: МЖД г.Нарьян-Мар, ул.Авиаторов</t>
  </si>
  <si>
    <t>000001901</t>
  </si>
  <si>
    <t>СБЫТ</t>
  </si>
  <si>
    <t>Отдел энергосбыта</t>
  </si>
  <si>
    <t>Система аудио и видеонаблюдения административного здания</t>
  </si>
  <si>
    <t>000001904</t>
  </si>
  <si>
    <t>19.07.2022</t>
  </si>
  <si>
    <t>Насос КМ 80-65-160Е-ТМ-ХЛ2 (50 куб.м/ч; 32 м; 7,5 кВт) стальная проточная часть россия</t>
  </si>
  <si>
    <t>000001897</t>
  </si>
  <si>
    <t>07.04.2022</t>
  </si>
  <si>
    <t>Тепломеханический цех</t>
  </si>
  <si>
    <t>Воздушная линия 0,4кВ (ДТП №230 Ф от 26.10.2021г, гаражный бокс кадастровый номер 83:00:050003:485 в</t>
  </si>
  <si>
    <t>000001906</t>
  </si>
  <si>
    <t>ПЕРЕДАЧА</t>
  </si>
  <si>
    <t>Сооружения</t>
  </si>
  <si>
    <t>29.07.2022</t>
  </si>
  <si>
    <t>Цех электрических сетей</t>
  </si>
  <si>
    <t>Воздушная линия 0,4кВ (ДТП №343 от 11.10.2021г, здание ул.Ленина д.41 В)</t>
  </si>
  <si>
    <t>000001907</t>
  </si>
  <si>
    <t>Линии электропередачи 0,4кВ (ДТП №143 Ф от 19.07.2021г, гаражный бокс кадастровый номер 83:00:050305</t>
  </si>
  <si>
    <t>000001908</t>
  </si>
  <si>
    <t>Воздушная линия 0,4кВ (ДТП №257 Ф от 03.12.2021г, Гаражный бокс.пер.Газовиков)</t>
  </si>
  <si>
    <t>000001903</t>
  </si>
  <si>
    <t>15.07.2022</t>
  </si>
  <si>
    <t>Воздушная линия 0,4 кВ (ТУ №96 от 21.06.2021 г.)</t>
  </si>
  <si>
    <t>000001909</t>
  </si>
  <si>
    <t>29.08.2022</t>
  </si>
  <si>
    <t xml:space="preserve">Воздушная линия 0,4 кВ (ДТП №90Ф от 17.06.2021 г., гаражный бокс кадастровый номер 83:00:050305:491 </t>
  </si>
  <si>
    <t>000001910</t>
  </si>
  <si>
    <t xml:space="preserve">Кабельная линия 0,4 кВ (ДТП №90Ф от 17.06.2021 г., гаражный бокс кадастровый номер 83:00:050305:491 </t>
  </si>
  <si>
    <t>000001911</t>
  </si>
  <si>
    <t>Воздушная линия 0,4кВ (ДТП №279 Ф от 29.12.2021г, Производственное здание. п.Искателей, пр.Песчаный)</t>
  </si>
  <si>
    <t>000001898</t>
  </si>
  <si>
    <t>04.05.2022</t>
  </si>
  <si>
    <t>Воздушная линия 0,4кВ (ТУ №49 от 06.05.2021г)</t>
  </si>
  <si>
    <t>000001905</t>
  </si>
  <si>
    <t>08.08.2022</t>
  </si>
  <si>
    <t xml:space="preserve">Разрядное устройство аккумуляторных батарей 12В 20А «CONBAT», BSL-12/20 с поверкой </t>
  </si>
  <si>
    <t>000001894</t>
  </si>
  <si>
    <t>ПРОИЗВОДСТВО</t>
  </si>
  <si>
    <t>18.02.2022</t>
  </si>
  <si>
    <t>Электрический цех</t>
  </si>
  <si>
    <t>Осциллограф цифровой портативный UTD1102C 2 канала *100МГц/Uni Trend</t>
  </si>
  <si>
    <t>000001895</t>
  </si>
  <si>
    <t>03.03.2022</t>
  </si>
  <si>
    <t>Мойка высокого давления АВД 5 (моноблок) HART 250 Бар пистолет+шланг+фильтр</t>
  </si>
  <si>
    <t>000001902</t>
  </si>
  <si>
    <t>21.06.2022</t>
  </si>
  <si>
    <t>Автотранспортный цех</t>
  </si>
  <si>
    <t>Газотурбинный цех</t>
  </si>
  <si>
    <t>ДЭС п.Красное</t>
  </si>
  <si>
    <t>Общехозяйственные расходы</t>
  </si>
  <si>
    <t>Тельвиска</t>
  </si>
  <si>
    <t>производство</t>
  </si>
  <si>
    <t>передача</t>
  </si>
  <si>
    <t>сбыт</t>
  </si>
  <si>
    <t>Трансформаторная подстанция</t>
  </si>
  <si>
    <t>ТЕПЛОЭНЕРГИЯ</t>
  </si>
  <si>
    <t>Персональный компьютер высокой производительности</t>
  </si>
  <si>
    <t>Кабельная линия 0,4 кВ (ТУ 196 от 21.10.20)</t>
  </si>
  <si>
    <t>Воздушная линия 0,22кВ (ДТП №878 от 09.02.2022г, с.Тельвиска, ул.Полярная)</t>
  </si>
  <si>
    <t>Воздушная линия 0,4кВ (ДТП №349 от 26.10.2021г, животноводческая ферма)</t>
  </si>
  <si>
    <t>Воздушная линия 0,4кВ (ДТП №146 Ф от 27.07.2021г, ул. В.Поздеева)</t>
  </si>
  <si>
    <t>Кабельная линия 0,4кВ (ДТП №253 Ф от 06.12.2021г, Гаражный бокс. Ул.60 лет Октября)</t>
  </si>
  <si>
    <t>Мфу Kyocera ECOSYS M8130cidn</t>
  </si>
  <si>
    <t>Воздушная линия 0,4кВ (ДТП №207 Ф от 07.10.2021г, ул.Прибрежная)</t>
  </si>
  <si>
    <t>Строительство ВЛ-0,4кВ от ТП-58 "Монтажников 10" фидера ул. Монтажников; ул. Поморская, ул. Губкина</t>
  </si>
  <si>
    <t>Линии электропередачи 0,4кВ (ДТП №96Ф от 23.06.2021 г.)</t>
  </si>
  <si>
    <t>Кабельная линия 0,4кВ (ДТП №360 от 18.11.2021г, торговый центр ул.Ленина)</t>
  </si>
  <si>
    <t>Омметр "Виток" с комбинированным питанием</t>
  </si>
  <si>
    <t>Линии электропередач 0,4кВ (ДТП №885 от 21.02.2022г, Административное здание по ул.Первомайская)</t>
  </si>
  <si>
    <t>Трансформаторная подстанция ТП-56/1 с питающими кабельными линиями 6 кв в г. Нарьян-Маре ВЛЗ-6 Кв</t>
  </si>
  <si>
    <t>Трансформаторная подстанция ТП-56/1 с питающими кабельными линиями 6 кв в г. Нарьян-Маре КЛ-6 кВ</t>
  </si>
  <si>
    <t>Трансформаторная подстанция ТП-56/1 с питающими кабельными линиями 6 кв в г. Нарьян-Маре ВЛИ-0,4 кВ</t>
  </si>
  <si>
    <t>Трансформаторная подстанция ТП-56/1 с питающими кабельными линиями 6 кв в г. Нарьян-Маре</t>
  </si>
  <si>
    <t>Модернизация ТП-43 "Водозабор ХНГРЭ" ул. Титова у д.6А</t>
  </si>
  <si>
    <t>Мегаомметр ПСИ-2530</t>
  </si>
  <si>
    <t>Воздушная линия 0,4 кВ (ДТП №1005 от 24.05.2022 г., ИЖД 83:00:050018:298)</t>
  </si>
  <si>
    <t>000001931.</t>
  </si>
  <si>
    <t>Воздушная линия 0,4 кВ</t>
  </si>
  <si>
    <t>Воздушная линия 6 кВ</t>
  </si>
  <si>
    <t>Воздушная линия 0,4 кВ (ДТП №981 от 17.05.2022 г., гаражный бокс, ЗУ 83:00:050010:809)</t>
  </si>
  <si>
    <t>Воздушная линия 0,4 кВ (ДТП №836 от 17.01.2022 г., гараж в районе д.13 по ул. Юбилейная)</t>
  </si>
  <si>
    <t>Воздушная линия ВЛ 6 кВ в районе ул. Авиаторов</t>
  </si>
  <si>
    <t>Воздушная линия 0,4 кВ (ДТП №273Ф от 21.12.2021 г., гаражный бокс, п. Искателей, ул. Строителей)</t>
  </si>
  <si>
    <t>Инвертор сварочный BIMARC MMA-250 PRO Line (250A, 220/380B)</t>
  </si>
  <si>
    <t>000001939.</t>
  </si>
  <si>
    <t>000001940.</t>
  </si>
  <si>
    <t>000001941.</t>
  </si>
  <si>
    <t>Воздушная линия 0,4 кВ (ДТП №984 от 17.05.2022 г., гаражный бокс, ул. Авиаторов)</t>
  </si>
  <si>
    <t>Воздушная линия 0,4 кВ (ДТП №1061 от 22.06.2022 г., ул. Прибрежная)</t>
  </si>
  <si>
    <t>Воздушная линия 0,4 кВ (ДТП № 1084 от 05.07.2022 г., здание ПРЦ 83:00:050025:119)</t>
  </si>
  <si>
    <t>Воздушная линия 0,4 кВ (ДТП № 1403 от 26.12.2022 г., гаражный бокс, г. Нарьян-Мар, район санаторно-л</t>
  </si>
  <si>
    <t>ВСЕГО</t>
  </si>
  <si>
    <t>вид деятельности</t>
  </si>
  <si>
    <t>подразделение</t>
  </si>
  <si>
    <t>Общепроизводственные расходы</t>
  </si>
  <si>
    <t>Здание</t>
  </si>
  <si>
    <t>ОБЩЕПРОИЗ.</t>
  </si>
  <si>
    <t>ОБЩЕХОЗ.</t>
  </si>
  <si>
    <t>Всего</t>
  </si>
  <si>
    <t>Итого</t>
  </si>
  <si>
    <t>ГУП НАО "НАРЬЯН-МАРСКАЯ ЭЛЕКТРОСТАНЦИЯ"</t>
  </si>
  <si>
    <t>На начало периода</t>
  </si>
  <si>
    <t>За 2022 Амортизация</t>
  </si>
  <si>
    <t>На конец периода</t>
  </si>
  <si>
    <t>Среднегодовая стоимость</t>
  </si>
  <si>
    <t>налог на имущество
2022г.
(2,2%)</t>
  </si>
  <si>
    <t>Амортизация 2023</t>
  </si>
  <si>
    <t>Среднегодовая
стоимость</t>
  </si>
  <si>
    <t>налог на имущество
2023г.
(2,2%)</t>
  </si>
  <si>
    <t>Амортизация 2024</t>
  </si>
  <si>
    <t>налог на имущество
2024г.
(2,2%)</t>
  </si>
  <si>
    <t>Увеличение стоимости</t>
  </si>
  <si>
    <t>Начисление амортизации (износа)</t>
  </si>
  <si>
    <t>Уменьшение стоимости</t>
  </si>
  <si>
    <t>Списание амортизации (износа)</t>
  </si>
  <si>
    <t>январь</t>
  </si>
  <si>
    <t>февраль</t>
  </si>
  <si>
    <t>март</t>
  </si>
  <si>
    <t>апрель</t>
  </si>
  <si>
    <t>май</t>
  </si>
  <si>
    <t>июнь</t>
  </si>
  <si>
    <t>I ПОЛУГОДИЕ</t>
  </si>
  <si>
    <t>июль</t>
  </si>
  <si>
    <t>август</t>
  </si>
  <si>
    <t>сентябрь</t>
  </si>
  <si>
    <t>октябрь</t>
  </si>
  <si>
    <t>ноябрь</t>
  </si>
  <si>
    <t>декабрь</t>
  </si>
  <si>
    <t>II ПОЛУГОДИЕ</t>
  </si>
  <si>
    <t>20.1.2 Передача эл.энергии</t>
  </si>
  <si>
    <t>ППА (83:00:000000:10224)</t>
  </si>
  <si>
    <t>00-000110</t>
  </si>
  <si>
    <t>31.12.2021</t>
  </si>
  <si>
    <t>ППА (83:00:000000:13118)</t>
  </si>
  <si>
    <t>00-000108</t>
  </si>
  <si>
    <t>ППА (83:00:050015:344)</t>
  </si>
  <si>
    <t>00-000111</t>
  </si>
  <si>
    <t>ППА (83:00:050020:16)</t>
  </si>
  <si>
    <t>00-000107</t>
  </si>
  <si>
    <t>ППА (83:00:050023:666)</t>
  </si>
  <si>
    <t>00-000116</t>
  </si>
  <si>
    <t>ППА (83:00:050023:752)</t>
  </si>
  <si>
    <t>00-000117</t>
  </si>
  <si>
    <t>ППА (83:00:050903:174)</t>
  </si>
  <si>
    <t>00-000109</t>
  </si>
  <si>
    <t>ППА (83:00:070008:1247)</t>
  </si>
  <si>
    <t>00-000114</t>
  </si>
  <si>
    <t>Автомашина ВАЗ-21310 2007г /Нива/</t>
  </si>
  <si>
    <t>00001031</t>
  </si>
  <si>
    <t>30.04.2007</t>
  </si>
  <si>
    <t>Автомашина-лаборатория ЛВИ №196 ГАЗ-3308 2007г</t>
  </si>
  <si>
    <t>00001054</t>
  </si>
  <si>
    <t>31.10.2007</t>
  </si>
  <si>
    <t>000001725</t>
  </si>
  <si>
    <t>29.05.2018</t>
  </si>
  <si>
    <t>Автомобиль ГАЗ-27527 грузовой фургон цельнометалический (7 мест) VIN: X96275270K0869981</t>
  </si>
  <si>
    <t>000001758</t>
  </si>
  <si>
    <t>27.03.2019</t>
  </si>
  <si>
    <t>Автомобиль ГАЗ-27527 грузовой фургон цельнометалический (7 мест) VIN: X96275270K0870291</t>
  </si>
  <si>
    <t>000001760</t>
  </si>
  <si>
    <t>Автомобиль ГАЗ-27527 грузовой фургон цельнометалический (7 мест) VIN: X96275270K0870721</t>
  </si>
  <si>
    <t>000001759</t>
  </si>
  <si>
    <t>Автомобиль УАЗ - 315196-035</t>
  </si>
  <si>
    <t>000000071</t>
  </si>
  <si>
    <t>21.10.2013</t>
  </si>
  <si>
    <t>Автоподъемник ПСС-131.17Э</t>
  </si>
  <si>
    <t>000001656</t>
  </si>
  <si>
    <t>03.04.2015</t>
  </si>
  <si>
    <t>Гараж 3-секционный от Н-Мстрой</t>
  </si>
  <si>
    <t>00000027</t>
  </si>
  <si>
    <t>01.09.1998</t>
  </si>
  <si>
    <t>Гараж на 5 машин  1989г</t>
  </si>
  <si>
    <t>00000514</t>
  </si>
  <si>
    <t>31.12.2003</t>
  </si>
  <si>
    <t>Гаражный бокс 2007г</t>
  </si>
  <si>
    <t>00001055</t>
  </si>
  <si>
    <t>Диагностический сканер FCAR F7S-G</t>
  </si>
  <si>
    <t>000001805</t>
  </si>
  <si>
    <t>24.03.2020</t>
  </si>
  <si>
    <t>Дизкомпрессор ПКСД-5-25Д в комплекте</t>
  </si>
  <si>
    <t>00000943</t>
  </si>
  <si>
    <t>31.10.2005</t>
  </si>
  <si>
    <t>Дорожное покрытие ул 60 лет Окт 1996г.</t>
  </si>
  <si>
    <t>00000026</t>
  </si>
  <si>
    <t>30.12.1996</t>
  </si>
  <si>
    <t>Компрессор поршневой К2</t>
  </si>
  <si>
    <t>000001840</t>
  </si>
  <si>
    <t>16.03.2021</t>
  </si>
  <si>
    <t>Мебель бухгалтерия  2000г.</t>
  </si>
  <si>
    <t>00000605</t>
  </si>
  <si>
    <t>01.11.2000</t>
  </si>
  <si>
    <t>Набор мебели  1999г.</t>
  </si>
  <si>
    <t>00000066</t>
  </si>
  <si>
    <t>01.01.1999</t>
  </si>
  <si>
    <t>Насос пожарный "Гейзер"</t>
  </si>
  <si>
    <t>00001085</t>
  </si>
  <si>
    <t>30.06.2008</t>
  </si>
  <si>
    <t>Пристройка к гаражу 2001г</t>
  </si>
  <si>
    <t>00000345</t>
  </si>
  <si>
    <t>29.12.2001</t>
  </si>
  <si>
    <t>Прицеп-роспуск лесовозный 4667В2  2015г.</t>
  </si>
  <si>
    <t>000001657</t>
  </si>
  <si>
    <t>30.06.2015</t>
  </si>
  <si>
    <t>000001728</t>
  </si>
  <si>
    <t>31.05.2018</t>
  </si>
  <si>
    <t>Снегоход VK540E 2012 черный Yamaha</t>
  </si>
  <si>
    <t>00001380</t>
  </si>
  <si>
    <t>31.12.2011</t>
  </si>
  <si>
    <t>Специальный автогидроподъемник Чайка-Сервис 2784SG</t>
  </si>
  <si>
    <t>000001819</t>
  </si>
  <si>
    <t>27.08.2020</t>
  </si>
  <si>
    <t>Тельфер</t>
  </si>
  <si>
    <t>00000445</t>
  </si>
  <si>
    <t>01.01.1980</t>
  </si>
  <si>
    <t>Тепловентилятор Фаворит №1</t>
  </si>
  <si>
    <t>00001078</t>
  </si>
  <si>
    <t>29.02.2008</t>
  </si>
  <si>
    <t>Тепловентилятор Фаворит №2</t>
  </si>
  <si>
    <t>00001079</t>
  </si>
  <si>
    <t>Трактор ДТ-75 НБ  1999г.</t>
  </si>
  <si>
    <t>00000030</t>
  </si>
  <si>
    <t>30.09.1999</t>
  </si>
  <si>
    <t>Трактор ХТЗ-150К-09 с оборудованием бурильно-крановым</t>
  </si>
  <si>
    <t>000001654</t>
  </si>
  <si>
    <t>16.03.2015</t>
  </si>
  <si>
    <t>Холодильник "Саратов КШ-452"</t>
  </si>
  <si>
    <t>00000952</t>
  </si>
  <si>
    <t>30.11.2005</t>
  </si>
  <si>
    <t>2 очередь реконст. электрост. Здание ГТЭС-18 2010г</t>
  </si>
  <si>
    <t>00001166</t>
  </si>
  <si>
    <t>31.03.2010</t>
  </si>
  <si>
    <t>3х-фазный т/огр РТСТГ-10-250-0,025 УЗ №2</t>
  </si>
  <si>
    <t>00001173</t>
  </si>
  <si>
    <t>3х-фазный т/огр РТСТГ-10-250-0,025УЗ №1</t>
  </si>
  <si>
    <t>00001172</t>
  </si>
  <si>
    <t>Автоматизация АСУ ТП</t>
  </si>
  <si>
    <t>00001174</t>
  </si>
  <si>
    <t>Анализатор вибрации "Агат-М"</t>
  </si>
  <si>
    <t>000001562</t>
  </si>
  <si>
    <t>05.11.2013</t>
  </si>
  <si>
    <t>Аппаратура виброконтроля СВКА 1-2-06</t>
  </si>
  <si>
    <t>000001824</t>
  </si>
  <si>
    <t>02.11.2020</t>
  </si>
  <si>
    <t>Блок БУШ-ДГ 011 № 960610010047</t>
  </si>
  <si>
    <t>00001231</t>
  </si>
  <si>
    <t>31.08.2010</t>
  </si>
  <si>
    <t>Блок ЖТС с разводкой трубопроводов №1</t>
  </si>
  <si>
    <t>00001175</t>
  </si>
  <si>
    <t>Блок ЖТС с разводкой трубопроводов №2</t>
  </si>
  <si>
    <t>00001176</t>
  </si>
  <si>
    <t>Блок управления БУШ ДГ-011 №960811011058</t>
  </si>
  <si>
    <t>00001378</t>
  </si>
  <si>
    <t>18.10.2011</t>
  </si>
  <si>
    <t>БУШ ДГ-011</t>
  </si>
  <si>
    <t>00001024</t>
  </si>
  <si>
    <t>28.02.2007</t>
  </si>
  <si>
    <t>Вентиляция 2003г</t>
  </si>
  <si>
    <t>00000567</t>
  </si>
  <si>
    <t>01.10.2003</t>
  </si>
  <si>
    <t>Видеоэндоскоп jProbe VJ-ADV, диаметр рабочей части 6,9 мм, длин. зонда -3м</t>
  </si>
  <si>
    <t>000001640</t>
  </si>
  <si>
    <t>31.07.2014</t>
  </si>
  <si>
    <t>Внутреннее освещение 2003г</t>
  </si>
  <si>
    <t>00000509</t>
  </si>
  <si>
    <t>Внутренние тепловые сети и канализация 2003г</t>
  </si>
  <si>
    <t>00000508</t>
  </si>
  <si>
    <t>Выпрямитель для стац аккум установок №1</t>
  </si>
  <si>
    <t>00001177</t>
  </si>
  <si>
    <t>Выпрямитель для стац аккум установок №2</t>
  </si>
  <si>
    <t>00001178</t>
  </si>
  <si>
    <t>Газоанализатор СГОЭС (метан)</t>
  </si>
  <si>
    <t>000001757</t>
  </si>
  <si>
    <t>27.02.2019</t>
  </si>
  <si>
    <t>Газоанализатор СГОЭС метан ЖСКФ</t>
  </si>
  <si>
    <t>000001744</t>
  </si>
  <si>
    <t>28.08.2018</t>
  </si>
  <si>
    <t>Газоанализатор СГОЭС метан ЖСКФ.413311.002 ТУ</t>
  </si>
  <si>
    <t>000001533</t>
  </si>
  <si>
    <t>31.07.2013</t>
  </si>
  <si>
    <t>Газон 600 м2  в районе ГТЭС-18</t>
  </si>
  <si>
    <t>00001147</t>
  </si>
  <si>
    <t>30.10.2009</t>
  </si>
  <si>
    <t>Газопровод выс. давления(наружный) 2003г</t>
  </si>
  <si>
    <t>00000596</t>
  </si>
  <si>
    <t>Газотурбинный агрегат ГТА-6РМ №1</t>
  </si>
  <si>
    <t>00001168</t>
  </si>
  <si>
    <t>Газотурбинный агрегат ГТА-6РМ №2</t>
  </si>
  <si>
    <t>00001169</t>
  </si>
  <si>
    <t>Газотурбинный агрегат ГТА-6РМ №3</t>
  </si>
  <si>
    <t>00001170</t>
  </si>
  <si>
    <t>ГТА-6 РМ №1 (газотурбинная энергетич установка)</t>
  </si>
  <si>
    <t>00000505</t>
  </si>
  <si>
    <t>30.09.2005</t>
  </si>
  <si>
    <t>ГТА-6РМ №2</t>
  </si>
  <si>
    <t>00000534</t>
  </si>
  <si>
    <t>Двигатель газотурбинный резервный ГТД-6/РМ (2007г)</t>
  </si>
  <si>
    <t>00001025</t>
  </si>
  <si>
    <t>Двигатель ГТД-6РМ № В6-17</t>
  </si>
  <si>
    <t>00000928</t>
  </si>
  <si>
    <t>Двигатель ГТД-6РМ №В6-11</t>
  </si>
  <si>
    <t>00000929</t>
  </si>
  <si>
    <t>Двигатель ГТД-6РМ №В6-44</t>
  </si>
  <si>
    <t>000001872</t>
  </si>
  <si>
    <t>30.11.2021</t>
  </si>
  <si>
    <t>Двигатель ГТД-6РМ №В6-45</t>
  </si>
  <si>
    <t>000001871</t>
  </si>
  <si>
    <t>Двигатель ГТД-6РМ №В6-47</t>
  </si>
  <si>
    <t>000001870</t>
  </si>
  <si>
    <t>Двигатель ГТД-6РМ зав. №В6-69 на раме №163-069</t>
  </si>
  <si>
    <t>000001566</t>
  </si>
  <si>
    <t>30.11.2013</t>
  </si>
  <si>
    <t>Здание ГТЭС-12 2003г</t>
  </si>
  <si>
    <t>00000498</t>
  </si>
  <si>
    <t>02.10.2003</t>
  </si>
  <si>
    <t>Источник бесперебойного питания  Start-UPS</t>
  </si>
  <si>
    <t>00000973</t>
  </si>
  <si>
    <t>31.01.2006</t>
  </si>
  <si>
    <t>Источник питания 1500в АРС</t>
  </si>
  <si>
    <t>00000990</t>
  </si>
  <si>
    <t>31.08.2006</t>
  </si>
  <si>
    <t>Источник питания General Electric NetPro 1500</t>
  </si>
  <si>
    <t>000001682</t>
  </si>
  <si>
    <t>08.06.2016</t>
  </si>
  <si>
    <t>Источник питания Smart UPS 1500 i USB APS</t>
  </si>
  <si>
    <t>00000932</t>
  </si>
  <si>
    <t>Источник питания А 230в</t>
  </si>
  <si>
    <t>00000991</t>
  </si>
  <si>
    <t>Калибратор Fluke 753</t>
  </si>
  <si>
    <t>000001569</t>
  </si>
  <si>
    <t>31.12.2013</t>
  </si>
  <si>
    <t>КИП и А 2003г</t>
  </si>
  <si>
    <t>00000530</t>
  </si>
  <si>
    <t>Комплекс для измерения количества газа СГ-ЭК-Вз-Т1-2,0-2500/1,6</t>
  </si>
  <si>
    <t>000001524</t>
  </si>
  <si>
    <t>19.06.2013</t>
  </si>
  <si>
    <t>Компрессорный  контейн модуль RT-R14T-28 №2</t>
  </si>
  <si>
    <t>00001180</t>
  </si>
  <si>
    <t>Компрессорный контейн модуль RT-R14T-28 №1</t>
  </si>
  <si>
    <t>00001179</t>
  </si>
  <si>
    <t>Компрессорный контейн модуль RT-R14T-28 №3</t>
  </si>
  <si>
    <t>00001181</t>
  </si>
  <si>
    <t>Наружная  канализация 2003г</t>
  </si>
  <si>
    <t>00000632</t>
  </si>
  <si>
    <t>Насос НМШФ2-40-1,6/4(Б) №1</t>
  </si>
  <si>
    <t>00001484</t>
  </si>
  <si>
    <t>Насос НМШФ2-40-1,6/4(Б) №2</t>
  </si>
  <si>
    <t>00001485</t>
  </si>
  <si>
    <t>Насосный агрегат НМШ 5-25-4,0/25Б-1У3 с дв.5,5/1500  №7р198</t>
  </si>
  <si>
    <t>000001639</t>
  </si>
  <si>
    <t>22.09.2014</t>
  </si>
  <si>
    <t>Оборудование пожаротушения пожар сигнализация 2003</t>
  </si>
  <si>
    <t>00000635</t>
  </si>
  <si>
    <t>Панель синхронизации</t>
  </si>
  <si>
    <t>00001182</t>
  </si>
  <si>
    <t>Панель управления генератором №1</t>
  </si>
  <si>
    <t>00001183</t>
  </si>
  <si>
    <t>Панель управления генератором №2</t>
  </si>
  <si>
    <t>00001184</t>
  </si>
  <si>
    <t>Панель управления генератором №3</t>
  </si>
  <si>
    <t>00001185</t>
  </si>
  <si>
    <t>Пристройка к цеху ГТУ</t>
  </si>
  <si>
    <t>00000376</t>
  </si>
  <si>
    <t>Пульт управления ПУ-98-6РМ(У)№0032</t>
  </si>
  <si>
    <t>00001367</t>
  </si>
  <si>
    <t>19.09.2011</t>
  </si>
  <si>
    <t>Пульт управления ПУ-98-6РМ(У)№0033</t>
  </si>
  <si>
    <t>00001368</t>
  </si>
  <si>
    <t>Пункт учета газа  1983г.</t>
  </si>
  <si>
    <t>00000075</t>
  </si>
  <si>
    <t>01.01.1983</t>
  </si>
  <si>
    <t>ПУРГ-ШУГО</t>
  </si>
  <si>
    <t>00001171</t>
  </si>
  <si>
    <t>Распределительное устройство (ГТЭС-18)</t>
  </si>
  <si>
    <t>00001186</t>
  </si>
  <si>
    <t>Ресивер</t>
  </si>
  <si>
    <t>00001187</t>
  </si>
  <si>
    <t>Сборка силовая №1</t>
  </si>
  <si>
    <t>00001188</t>
  </si>
  <si>
    <t>Сборка силовая №2</t>
  </si>
  <si>
    <t>00001190</t>
  </si>
  <si>
    <t>Связь и сигнализация 2003г</t>
  </si>
  <si>
    <t>00000513</t>
  </si>
  <si>
    <t>Сигнализатор до взрывных концентраций в воздухе горючих газов СТМ30-12</t>
  </si>
  <si>
    <t>000001723</t>
  </si>
  <si>
    <t>14.05.2018</t>
  </si>
  <si>
    <t>Силовое эл. оборудование (РУ-6 кв) 2003г</t>
  </si>
  <si>
    <t>00000557</t>
  </si>
  <si>
    <t>Система бесперебойного питания</t>
  </si>
  <si>
    <t>00001191</t>
  </si>
  <si>
    <t>Система видеонаблюдения в РУ-6кВ, 0,4кВ ГТЭС-12,18</t>
  </si>
  <si>
    <t>000001664</t>
  </si>
  <si>
    <t>30.09.2015</t>
  </si>
  <si>
    <t>Система видеонаблюдения на ДККС</t>
  </si>
  <si>
    <t>000001885</t>
  </si>
  <si>
    <t>30.12.2021</t>
  </si>
  <si>
    <t>Система видеонаблюдения1 2003г</t>
  </si>
  <si>
    <t>00000634</t>
  </si>
  <si>
    <t>28.11.2003</t>
  </si>
  <si>
    <t>Система освещения ГТЭС-12, ГТЭС-18</t>
  </si>
  <si>
    <t>000001665</t>
  </si>
  <si>
    <t>30.10.2015</t>
  </si>
  <si>
    <t>Тележка для закатки двигателя 2004г</t>
  </si>
  <si>
    <t>00000121</t>
  </si>
  <si>
    <t>30.04.2004</t>
  </si>
  <si>
    <t>Технолог-кие трубопроводы(маслоподача, КВОУ) 2003г</t>
  </si>
  <si>
    <t>00000497</t>
  </si>
  <si>
    <t>Трансформатор Силовой зх-фазный</t>
  </si>
  <si>
    <t>00001192</t>
  </si>
  <si>
    <t>Фильтр влагомаслоотделитель "Арктик-П-6/16"</t>
  </si>
  <si>
    <t>00001004</t>
  </si>
  <si>
    <t>30.11.2006</t>
  </si>
  <si>
    <t>Шкаф для инструмента металлический KronVuzBox 1140</t>
  </si>
  <si>
    <t>000001839</t>
  </si>
  <si>
    <t>15.03.2021</t>
  </si>
  <si>
    <t>Шкаф распред устройств  с ячейками КРУ №7</t>
  </si>
  <si>
    <t>00001202</t>
  </si>
  <si>
    <t>Шкаф распред устройств с ячейками КРУ  №8</t>
  </si>
  <si>
    <t>00001203</t>
  </si>
  <si>
    <t>Шкаф распред устройств с ячейками КРУ №10</t>
  </si>
  <si>
    <t>00001207</t>
  </si>
  <si>
    <t>Шкаф распред устройств с ячейками КРУ №11</t>
  </si>
  <si>
    <t>00001208</t>
  </si>
  <si>
    <t>Шкаф распред устройств с ячейками КРУ №12</t>
  </si>
  <si>
    <t>00001209</t>
  </si>
  <si>
    <t>Шкаф распред устройств с ячейками КРУ №13</t>
  </si>
  <si>
    <t>00001210</t>
  </si>
  <si>
    <t>Шкаф распред устройств с ячейками КРУ №14</t>
  </si>
  <si>
    <t>00001211</t>
  </si>
  <si>
    <t>Шкаф распред устройств с ячейками КРУ №15</t>
  </si>
  <si>
    <t>00001212</t>
  </si>
  <si>
    <t>Шкаф распред устройств с ячейками КРУ №16</t>
  </si>
  <si>
    <t>00001204</t>
  </si>
  <si>
    <t>Шкаф распред устройств с ячейками КРУ №17</t>
  </si>
  <si>
    <t>00001200</t>
  </si>
  <si>
    <t>Шкаф распред устройств с ячейками КРУ №18</t>
  </si>
  <si>
    <t>00001213</t>
  </si>
  <si>
    <t>Шкаф распред устройств с ячейками КРУ №19</t>
  </si>
  <si>
    <t>00001214</t>
  </si>
  <si>
    <t>Шкаф распред устройств с ячейками КРУ №20</t>
  </si>
  <si>
    <t>00001189</t>
  </si>
  <si>
    <t>Шкаф распред устройств с ячейками КРУ №21</t>
  </si>
  <si>
    <t>00001215</t>
  </si>
  <si>
    <t>Шкаф распред устройств с ячейками КРУ №22</t>
  </si>
  <si>
    <t>00001216</t>
  </si>
  <si>
    <t>Шкаф распред устройств с ячейками КРУ №23</t>
  </si>
  <si>
    <t>00001217</t>
  </si>
  <si>
    <t>Шкаф распред устройств с ячейками КРУ №24</t>
  </si>
  <si>
    <t>00001218</t>
  </si>
  <si>
    <t>Шкаф распред устройств с ячейками КРУ №25</t>
  </si>
  <si>
    <t>00001219</t>
  </si>
  <si>
    <t>Шкаф распред устройств с ячейками КРУ №5</t>
  </si>
  <si>
    <t>00001199</t>
  </si>
  <si>
    <t>Шкаф распред устройств с ячейками КРУ №6</t>
  </si>
  <si>
    <t>00001201</t>
  </si>
  <si>
    <t>Шкаф распред устройств с ячейками КРУ №9</t>
  </si>
  <si>
    <t>00001206</t>
  </si>
  <si>
    <t>Шкаф управления №1</t>
  </si>
  <si>
    <t>00001193</t>
  </si>
  <si>
    <t>Шкаф управления №2</t>
  </si>
  <si>
    <t>00001194</t>
  </si>
  <si>
    <t>Электродвигатель ВАО2-315М-2, У2,5, 1ExdIBT4, 250 кВт, 3000 об/мин, 380/660В, IM1001</t>
  </si>
  <si>
    <t>000001539</t>
  </si>
  <si>
    <t>31.08.2013</t>
  </si>
  <si>
    <t>Электроприводные задвижки на байпас. линии ГТЭС-18</t>
  </si>
  <si>
    <t>00001234</t>
  </si>
  <si>
    <t>Ячейка генераторного выключателя КРУ СЭЩ-70</t>
  </si>
  <si>
    <t>000001652</t>
  </si>
  <si>
    <t>31.01.2015</t>
  </si>
  <si>
    <t>Ячейка трансформатора напряжения КРУ СЭЩ-70</t>
  </si>
  <si>
    <t>000001653</t>
  </si>
  <si>
    <t>Воздушная линия 0,4 кВ (ТУ 487 от 02.07.20)</t>
  </si>
  <si>
    <t>000001867</t>
  </si>
  <si>
    <t>21.10.2021</t>
  </si>
  <si>
    <t>Дизельная электростанция АДК 500.2-Baltic</t>
  </si>
  <si>
    <t>000001836</t>
  </si>
  <si>
    <t>30.12.2020</t>
  </si>
  <si>
    <t>000001804</t>
  </si>
  <si>
    <t>Комплектная трансформаторная подстанция 2КТП(М)-630-6/0,4-УХЛ1</t>
  </si>
  <si>
    <t>000001835</t>
  </si>
  <si>
    <t>Молниеотвод с прожекторами, МОГК</t>
  </si>
  <si>
    <t>000001830</t>
  </si>
  <si>
    <t>Наружные сети электроснабжения (п. Красное)</t>
  </si>
  <si>
    <t>000001674</t>
  </si>
  <si>
    <t>20.01.2016</t>
  </si>
  <si>
    <t>Наружные сети электроснабжения 0,4 кВ ( НАО п. Красное)</t>
  </si>
  <si>
    <t>000001684</t>
  </si>
  <si>
    <t>10.06.2016</t>
  </si>
  <si>
    <t>000001685</t>
  </si>
  <si>
    <t>Наружные сети электроснабжения 0,4 кВ (НАО, п. Красное)</t>
  </si>
  <si>
    <t>000001687</t>
  </si>
  <si>
    <t>29.06.2016</t>
  </si>
  <si>
    <t>000001688</t>
  </si>
  <si>
    <t>Наружные сети электроснабжения 0,4 кВ п. Красное</t>
  </si>
  <si>
    <t>000001675</t>
  </si>
  <si>
    <t>000001676</t>
  </si>
  <si>
    <t>Наружные сети электроснабжения 6 кВт, адрес: Ненецкий АО, Заполярный р-н, Красное п, Мира ул</t>
  </si>
  <si>
    <t>000001722</t>
  </si>
  <si>
    <t>03.05.2018</t>
  </si>
  <si>
    <t>Насосная дизельного топлива</t>
  </si>
  <si>
    <t>000001833</t>
  </si>
  <si>
    <t>Пункт персонала энергокомплекса</t>
  </si>
  <si>
    <t>000001837</t>
  </si>
  <si>
    <t>Резервуар горизонтальный стальной, РГСН-10м3</t>
  </si>
  <si>
    <t>000001831</t>
  </si>
  <si>
    <t>Септик FloTenk STA 1,5</t>
  </si>
  <si>
    <t>000001832</t>
  </si>
  <si>
    <t>Топливопровод</t>
  </si>
  <si>
    <t>000001834</t>
  </si>
  <si>
    <t>ТП "Амбулатория" п.Красное</t>
  </si>
  <si>
    <t>000001615</t>
  </si>
  <si>
    <t>30.04.2014</t>
  </si>
  <si>
    <t>Трансформаторная подстанция, адрес: Ненецкий АО, Заполярный р-н, Красное п, Мира ул</t>
  </si>
  <si>
    <t>000001721</t>
  </si>
  <si>
    <t>Аккустическая система</t>
  </si>
  <si>
    <t>00001481</t>
  </si>
  <si>
    <t>Ангар для складских помещений</t>
  </si>
  <si>
    <t>000001783</t>
  </si>
  <si>
    <t>16.12.2019</t>
  </si>
  <si>
    <t>Дизельная тепловая пушка  не прямого нагрева ТДПН-30000</t>
  </si>
  <si>
    <t>000001553</t>
  </si>
  <si>
    <t>25.10.2013</t>
  </si>
  <si>
    <t>Здание лаборатории  1970г.</t>
  </si>
  <si>
    <t>00000033</t>
  </si>
  <si>
    <t>01.01.1970</t>
  </si>
  <si>
    <t>Здание склада  1961г.</t>
  </si>
  <si>
    <t>00000050</t>
  </si>
  <si>
    <t>01.01.1961</t>
  </si>
  <si>
    <t>000001820</t>
  </si>
  <si>
    <t>31.08.2020</t>
  </si>
  <si>
    <t>Комплект среднегрузовых стеллажей</t>
  </si>
  <si>
    <t>000001808</t>
  </si>
  <si>
    <t>21.04.2020</t>
  </si>
  <si>
    <t>000001810</t>
  </si>
  <si>
    <t>04.06.2020</t>
  </si>
  <si>
    <t>Компьютер IRU Corp 310W</t>
  </si>
  <si>
    <t>00001163</t>
  </si>
  <si>
    <t>Компьютер IRU Corp 515W</t>
  </si>
  <si>
    <t>00001162</t>
  </si>
  <si>
    <t>000001761</t>
  </si>
  <si>
    <t>03.04.2019</t>
  </si>
  <si>
    <t>000001762</t>
  </si>
  <si>
    <t>000001763</t>
  </si>
  <si>
    <t>000001764</t>
  </si>
  <si>
    <t>Компьютер Р 4 2003г.</t>
  </si>
  <si>
    <t>00000462</t>
  </si>
  <si>
    <t>31.10.2003</t>
  </si>
  <si>
    <t>Компьютер С2D-E7300, монит  Самсунг 17</t>
  </si>
  <si>
    <t>00001118</t>
  </si>
  <si>
    <t>30.06.2009</t>
  </si>
  <si>
    <t>Компьютер С2D-E7300, монит Самсунг 17</t>
  </si>
  <si>
    <t>00001119</t>
  </si>
  <si>
    <t>00001120</t>
  </si>
  <si>
    <t>Компьютер, монитор Beng 21,5</t>
  </si>
  <si>
    <t>00001229</t>
  </si>
  <si>
    <t>31.07.2010</t>
  </si>
  <si>
    <t>Контейнер 20 ф №1</t>
  </si>
  <si>
    <t>000001521</t>
  </si>
  <si>
    <t>10.04.2013</t>
  </si>
  <si>
    <t>Контейнер 20-ти футов.CCLU 212074-8</t>
  </si>
  <si>
    <t>00000310</t>
  </si>
  <si>
    <t>31.12.2010</t>
  </si>
  <si>
    <t>Контейнер 20-ти футов.б/у MOGU 252620-9</t>
  </si>
  <si>
    <t>00000309</t>
  </si>
  <si>
    <t>Локальная вычислительная система</t>
  </si>
  <si>
    <t>000001423</t>
  </si>
  <si>
    <t>30.06.2012</t>
  </si>
  <si>
    <t>Мезонин на основе колонн №1</t>
  </si>
  <si>
    <t>000001856</t>
  </si>
  <si>
    <t>30.06.2021</t>
  </si>
  <si>
    <t>Мезонин на основе колонн №2</t>
  </si>
  <si>
    <t>000001857</t>
  </si>
  <si>
    <t>Металлический стеллаж (складской мезонин)</t>
  </si>
  <si>
    <t>000001803</t>
  </si>
  <si>
    <t>17.03.2020</t>
  </si>
  <si>
    <t>000001917</t>
  </si>
  <si>
    <t>10.11.2022</t>
  </si>
  <si>
    <t>Нагреватель жидкотоплив.Мастер BV 110E №1 зав.РС 831201046</t>
  </si>
  <si>
    <t>000001499</t>
  </si>
  <si>
    <t>01.11.2012</t>
  </si>
  <si>
    <t>Ноутбук НР 6310</t>
  </si>
  <si>
    <t>00001021</t>
  </si>
  <si>
    <t>31.01.2007</t>
  </si>
  <si>
    <t>Ограждение (сайдинг) 69м 2010г</t>
  </si>
  <si>
    <t>00000311</t>
  </si>
  <si>
    <t>30.11.2010</t>
  </si>
  <si>
    <t>Персональный компьютер (ExeGate special, AOS 27")</t>
  </si>
  <si>
    <t>000001786</t>
  </si>
  <si>
    <t>31.12.2019</t>
  </si>
  <si>
    <t>000001787</t>
  </si>
  <si>
    <t>000001788</t>
  </si>
  <si>
    <t>000001789</t>
  </si>
  <si>
    <t>000001790</t>
  </si>
  <si>
    <t>000001791</t>
  </si>
  <si>
    <t>000001792</t>
  </si>
  <si>
    <t>000001793</t>
  </si>
  <si>
    <t>000001794</t>
  </si>
  <si>
    <t>000001795</t>
  </si>
  <si>
    <t>Персональный компьютер (ExeGate special)</t>
  </si>
  <si>
    <t>000001796</t>
  </si>
  <si>
    <t>000001797</t>
  </si>
  <si>
    <t>000001798</t>
  </si>
  <si>
    <t>000001799</t>
  </si>
  <si>
    <t>000001800</t>
  </si>
  <si>
    <t>000001801</t>
  </si>
  <si>
    <t>Персональный компьютер (ExeGate, PHILIPS 27")</t>
  </si>
  <si>
    <t>000001815</t>
  </si>
  <si>
    <t>18.06.2020</t>
  </si>
  <si>
    <t>000001816</t>
  </si>
  <si>
    <t>Персональный компьютер (ExeGate, VIEWSONIK 32")</t>
  </si>
  <si>
    <t>000001814</t>
  </si>
  <si>
    <t>Персональный компьютер (ПК) с высокой производительностью</t>
  </si>
  <si>
    <t>000001745</t>
  </si>
  <si>
    <t>29.10.2018</t>
  </si>
  <si>
    <t>000001746</t>
  </si>
  <si>
    <t>000001747</t>
  </si>
  <si>
    <t>000001748</t>
  </si>
  <si>
    <t>000001749</t>
  </si>
  <si>
    <t>000001750</t>
  </si>
  <si>
    <t>000001851</t>
  </si>
  <si>
    <t>22.06.2021</t>
  </si>
  <si>
    <t>000001859</t>
  </si>
  <si>
    <t>31.08.2021</t>
  </si>
  <si>
    <t>Персональный компьютер высокой производительности c 2-мя мониторами</t>
  </si>
  <si>
    <t>000001850</t>
  </si>
  <si>
    <t>26.05.2021</t>
  </si>
  <si>
    <t>Плоттер HP Designjet (с подставкой и бумагой) HP T520 24-in ePrinter</t>
  </si>
  <si>
    <t>000001622</t>
  </si>
  <si>
    <t>30.06.2014</t>
  </si>
  <si>
    <t>ППА (83:00:050017:55)</t>
  </si>
  <si>
    <t>00-000112</t>
  </si>
  <si>
    <t>ППА (83:00:050023:37)</t>
  </si>
  <si>
    <t>00-000115</t>
  </si>
  <si>
    <t>ППА (83:00:060009:198)</t>
  </si>
  <si>
    <t>00-000113</t>
  </si>
  <si>
    <t>Принтер НР Laser Jet 1015w</t>
  </si>
  <si>
    <t>00000823</t>
  </si>
  <si>
    <t>31.10.2004</t>
  </si>
  <si>
    <t>Принтер-сканер (МФУ) Kyocera FS-6530MFP</t>
  </si>
  <si>
    <t>000001621</t>
  </si>
  <si>
    <t>Противотаранное устройство при въезде на территорию предприятия</t>
  </si>
  <si>
    <t>000001860</t>
  </si>
  <si>
    <t>13.09.2021</t>
  </si>
  <si>
    <t>Сетевой сервер DEPO Storm 3300K</t>
  </si>
  <si>
    <t>00001161</t>
  </si>
  <si>
    <t>30.06.2010</t>
  </si>
  <si>
    <t>Система контроля и управления доступом на 4 точки прохода (двери)</t>
  </si>
  <si>
    <t>000001716</t>
  </si>
  <si>
    <t>28.02.2018</t>
  </si>
  <si>
    <t>Система охран.телевидения и элект.мех.проходн.</t>
  </si>
  <si>
    <t>00001475</t>
  </si>
  <si>
    <t>Система охраны периметра и охранного телевидения</t>
  </si>
  <si>
    <t>000001712</t>
  </si>
  <si>
    <t>21.08.2017</t>
  </si>
  <si>
    <t>Системный блок  IRU Home 511</t>
  </si>
  <si>
    <t>00001164</t>
  </si>
  <si>
    <t>Системный блок  IRU Home 511 W</t>
  </si>
  <si>
    <t>00001221</t>
  </si>
  <si>
    <t>Системный блок IRU Drava Home 113</t>
  </si>
  <si>
    <t>00001083</t>
  </si>
  <si>
    <t>Системный блок IRU Home 511 W</t>
  </si>
  <si>
    <t>00001232</t>
  </si>
  <si>
    <t>Спутниковое геодезическое оборудование</t>
  </si>
  <si>
    <t>000001718</t>
  </si>
  <si>
    <t>03.04.2018</t>
  </si>
  <si>
    <t>Стеллаж металлический 5 пролетов</t>
  </si>
  <si>
    <t>000001821</t>
  </si>
  <si>
    <t>Стеллаж металлический 9 пролетов</t>
  </si>
  <si>
    <t>000001822</t>
  </si>
  <si>
    <t>Стойка напольная с лотками</t>
  </si>
  <si>
    <t>000001811</t>
  </si>
  <si>
    <t>05.06.2020</t>
  </si>
  <si>
    <t>Теодолит электронный ADA DigiTeo 2 в комплекте</t>
  </si>
  <si>
    <t>000001681</t>
  </si>
  <si>
    <t>29.04.2016</t>
  </si>
  <si>
    <t>Устройство ограждения 2009г 149,5 п.м.</t>
  </si>
  <si>
    <t>00001151</t>
  </si>
  <si>
    <t>30.11.2009</t>
  </si>
  <si>
    <t>Эстакада для хранения барабанов с кабелем</t>
  </si>
  <si>
    <t>000001874</t>
  </si>
  <si>
    <t>13.12.2021</t>
  </si>
  <si>
    <t>Автомашина RAF4 АКПП2.0 №896ЕЕ83</t>
  </si>
  <si>
    <t>00001153</t>
  </si>
  <si>
    <t>31.12.2009</t>
  </si>
  <si>
    <t>Автомобиль "Нива Шевроле" L X9L212</t>
  </si>
  <si>
    <t>000001568</t>
  </si>
  <si>
    <t>27.01.2014</t>
  </si>
  <si>
    <t>Балок 2004г</t>
  </si>
  <si>
    <t>00000702</t>
  </si>
  <si>
    <t>30.06.2004</t>
  </si>
  <si>
    <t>Балок Геолог деревянный 1991г</t>
  </si>
  <si>
    <t>00000052</t>
  </si>
  <si>
    <t>01.01.1991</t>
  </si>
  <si>
    <t>Балок Геолог деревянный 1994г.</t>
  </si>
  <si>
    <t>00000051</t>
  </si>
  <si>
    <t>01.01.1994</t>
  </si>
  <si>
    <t>Жалюзи 5 шт</t>
  </si>
  <si>
    <t>00000477</t>
  </si>
  <si>
    <t>Здание  конторы  1976г.</t>
  </si>
  <si>
    <t>00000049</t>
  </si>
  <si>
    <t>01.01.1995</t>
  </si>
  <si>
    <t>Здание конторы  1996г.</t>
  </si>
  <si>
    <t>00000048</t>
  </si>
  <si>
    <t>01.01.1965</t>
  </si>
  <si>
    <t>Здание операц зала 2006г</t>
  </si>
  <si>
    <t>00000978</t>
  </si>
  <si>
    <t>30.04.2006</t>
  </si>
  <si>
    <t>Комплект мебели для бухгалтерии цвет ЛДСП Ясень анкор светлый (1 шкаф;4 стеллажа;5 столов;4 тумбы)</t>
  </si>
  <si>
    <t>000001882</t>
  </si>
  <si>
    <t>Комплект мебели(каб. гл инженера)</t>
  </si>
  <si>
    <t>00000942</t>
  </si>
  <si>
    <t>Кофемашина Krups EA810770 1450Вт</t>
  </si>
  <si>
    <t>000001768</t>
  </si>
  <si>
    <t>27.05.2019</t>
  </si>
  <si>
    <t>Монтаж пожарной сигнализации</t>
  </si>
  <si>
    <t>00000931</t>
  </si>
  <si>
    <t>Охранная сигнализация в конторе 2004г</t>
  </si>
  <si>
    <t>00000808</t>
  </si>
  <si>
    <t>Приставка спереди стола В-МС-049</t>
  </si>
  <si>
    <t>00001115</t>
  </si>
  <si>
    <t>31.05.2010</t>
  </si>
  <si>
    <t>Пристройка архива к существующему зданию</t>
  </si>
  <si>
    <t>00001048</t>
  </si>
  <si>
    <t>000001730</t>
  </si>
  <si>
    <t>Стол асиметрич В-МС-007 Осинин</t>
  </si>
  <si>
    <t>00001013</t>
  </si>
  <si>
    <t>Стул полумягкий 6 шт</t>
  </si>
  <si>
    <t>00000361</t>
  </si>
  <si>
    <t>22.10.2001</t>
  </si>
  <si>
    <t>Стулья серые-кожаные 8 шт</t>
  </si>
  <si>
    <t>00000483</t>
  </si>
  <si>
    <t>Тумба сервисная В-МС-058 Осинин</t>
  </si>
  <si>
    <t>00000983</t>
  </si>
  <si>
    <t>Факс</t>
  </si>
  <si>
    <t>00000479</t>
  </si>
  <si>
    <t>Факс PANASONIK KX-243</t>
  </si>
  <si>
    <t>00000993</t>
  </si>
  <si>
    <t>31.10.2006</t>
  </si>
  <si>
    <t>Холодильник</t>
  </si>
  <si>
    <t>00000658</t>
  </si>
  <si>
    <t>Часы настенные 2 шт</t>
  </si>
  <si>
    <t>00000372</t>
  </si>
  <si>
    <t>Шредер Rexel Auto 300X (секр.P-4)</t>
  </si>
  <si>
    <t>000001726</t>
  </si>
  <si>
    <t>07.06.2018</t>
  </si>
  <si>
    <t>Комплект мебели для абон.отд. цвет ЛДСП Ясень анкор светлый (1 шкаф;8 стеллажей;8 столов;12 тумб)</t>
  </si>
  <si>
    <t>000001883</t>
  </si>
  <si>
    <t>О/д прибор учета эл.энергии пер. Северный, д.10</t>
  </si>
  <si>
    <t>000001479</t>
  </si>
  <si>
    <t>31.08.2012</t>
  </si>
  <si>
    <t>О/д прибор учета эл.энергии пер. Северный, д.2</t>
  </si>
  <si>
    <t>000001475</t>
  </si>
  <si>
    <t>О/д прибор учета эл.энергии пер. Северный, д.6</t>
  </si>
  <si>
    <t>000001477</t>
  </si>
  <si>
    <t>О/д прибор учета эл.энергии пер. Северный, д.8</t>
  </si>
  <si>
    <t>000001478</t>
  </si>
  <si>
    <t>О/д прибор учета эл.энергии ул. Ленина, д. 54А</t>
  </si>
  <si>
    <t>000001516</t>
  </si>
  <si>
    <t>28.02.2013</t>
  </si>
  <si>
    <t>О/д прибор учета эл.энергии ул. Пионерская, д.26А</t>
  </si>
  <si>
    <t>000001512</t>
  </si>
  <si>
    <t>О/д прибор учета эл.энергии ул. Пионерская, д.28</t>
  </si>
  <si>
    <t>000001502</t>
  </si>
  <si>
    <t>31.12.2012</t>
  </si>
  <si>
    <t>О/д прибор учета эл.энергии ул. Пионерская, д.28А</t>
  </si>
  <si>
    <t>000001513</t>
  </si>
  <si>
    <t>О/д прибор учета эл.энергии ул.60-лет Октября, 43 А</t>
  </si>
  <si>
    <t>000001465</t>
  </si>
  <si>
    <t>О/д прибор учета эл.энергии ул.60-лет Октября, 45 А</t>
  </si>
  <si>
    <t>000001466</t>
  </si>
  <si>
    <t>О/д прибор учета эл.энергии ул.60-лет Октября, 47 А</t>
  </si>
  <si>
    <t>000001467</t>
  </si>
  <si>
    <t>О/д прибор учета эл.энергии ул.60-лет Октября, 48</t>
  </si>
  <si>
    <t>000001455</t>
  </si>
  <si>
    <t>О/д прибор учета эл.энергии ул.60-лет Октября, 48 б</t>
  </si>
  <si>
    <t>000001456</t>
  </si>
  <si>
    <t>О/д прибор учета эл.энергии ул.60-лет Октября, 48а</t>
  </si>
  <si>
    <t>00001383</t>
  </si>
  <si>
    <t>О/д прибор учета эл.энергии ул.60-лет Октября, 48Г</t>
  </si>
  <si>
    <t>000001459</t>
  </si>
  <si>
    <t>О/д прибор учета эл.энергии ул.60-лет Октября, 48Д</t>
  </si>
  <si>
    <t>000001460</t>
  </si>
  <si>
    <t>О/д прибор учета эл.энергии ул.60-лет СССР, д.5</t>
  </si>
  <si>
    <t>00001411</t>
  </si>
  <si>
    <t>О/д прибор учета эл.энергии ул.Выучейского, д.22</t>
  </si>
  <si>
    <t>00001405</t>
  </si>
  <si>
    <t>О/д прибор учета эл.энергии ул.Выучейского, д.33</t>
  </si>
  <si>
    <t>00001406</t>
  </si>
  <si>
    <t>О/д прибор учета эл.энергии ул.Заводская, д.12</t>
  </si>
  <si>
    <t>00001463</t>
  </si>
  <si>
    <t>О/д прибор учета эл.энергии ул.Заводская, д.13</t>
  </si>
  <si>
    <t>000001514</t>
  </si>
  <si>
    <t>О/д прибор учета эл.энергии ул.Заводская, д.19</t>
  </si>
  <si>
    <t>00001464</t>
  </si>
  <si>
    <t>О/д прибор учета эл.энергии ул.Заводская, д.21</t>
  </si>
  <si>
    <t>00001465</t>
  </si>
  <si>
    <t>О/д прибор учета эл.энергии ул.Заводская, д.23</t>
  </si>
  <si>
    <t>00001466</t>
  </si>
  <si>
    <t>О/д прибор учета эл.энергии ул.Заводская, д.24</t>
  </si>
  <si>
    <t>00001467</t>
  </si>
  <si>
    <t>О/д прибор учета эл.энергии ул.Заводская, д.25</t>
  </si>
  <si>
    <t>000001426</t>
  </si>
  <si>
    <t>О/д прибор учета эл.энергии ул.Заводская, д.26</t>
  </si>
  <si>
    <t>00001456</t>
  </si>
  <si>
    <t>О/д прибор учета эл.энергии ул.Заводская, д.9а</t>
  </si>
  <si>
    <t>00001461</t>
  </si>
  <si>
    <t>О/д прибор учета эл.энергии ул.Заводская,д.4</t>
  </si>
  <si>
    <t>000001425</t>
  </si>
  <si>
    <t>О/д прибор учета эл.энергии ул.Заполярный, д.2</t>
  </si>
  <si>
    <t>00001458</t>
  </si>
  <si>
    <t>О/д прибор учета эл.энергии ул.Заполярный, д.4</t>
  </si>
  <si>
    <t>00001459</t>
  </si>
  <si>
    <t>О/д прибор учета эл.энергии ул.Калмыкова, 14</t>
  </si>
  <si>
    <t>00001386</t>
  </si>
  <si>
    <t>О/д прибор учета эл.энергии ул.Калмыкова, д.10</t>
  </si>
  <si>
    <t>00001389</t>
  </si>
  <si>
    <t>О/д прибор учета эл.энергии ул.Калмыкова, д.11</t>
  </si>
  <si>
    <t>00001453</t>
  </si>
  <si>
    <t>О/д прибор учета эл.энергии ул.Калмыкова, д.12</t>
  </si>
  <si>
    <t>00001390</t>
  </si>
  <si>
    <t>О/д прибор учета эл.энергии ул.Калмыкова, д.12а</t>
  </si>
  <si>
    <t>00001391</t>
  </si>
  <si>
    <t>О/д прибор учета эл.энергии ул.Калмыкова, д.2</t>
  </si>
  <si>
    <t>00001448</t>
  </si>
  <si>
    <t>О/д прибор учета эл.энергии ул.Калмыкова, д.3</t>
  </si>
  <si>
    <t>00001449</t>
  </si>
  <si>
    <t>О/д прибор учета эл.энергии ул.Калмыкова, д.4</t>
  </si>
  <si>
    <t>00001450</t>
  </si>
  <si>
    <t>О/д прибор учета эл.энергии ул.Калмыкова, д.5</t>
  </si>
  <si>
    <t>00001455</t>
  </si>
  <si>
    <t>О/д прибор учета эл.энергии ул.Калмыкова, д.7</t>
  </si>
  <si>
    <t>00001451</t>
  </si>
  <si>
    <t>О/д прибор учета эл.энергии ул.Калмыкова, д.8</t>
  </si>
  <si>
    <t>00001387</t>
  </si>
  <si>
    <t>О/д прибор учета эл.энергии ул.Калмыкова, д.8а</t>
  </si>
  <si>
    <t>00001388</t>
  </si>
  <si>
    <t>О/д прибор учета эл.энергии ул.Ленина, 45а</t>
  </si>
  <si>
    <t>00001382</t>
  </si>
  <si>
    <t>О/д прибор учета эл.энергии ул.Ленина, д.20(3-х ф)</t>
  </si>
  <si>
    <t>00001397</t>
  </si>
  <si>
    <t>О/д прибор учета эл.энергии ул.Ленина, д.27</t>
  </si>
  <si>
    <t>00001398</t>
  </si>
  <si>
    <t>О/д прибор учета эл.энергии ул.Ленина, д.31а</t>
  </si>
  <si>
    <t>00001403</t>
  </si>
  <si>
    <t>О/д прибор учета эл.энергии ул.Ленина, д.33</t>
  </si>
  <si>
    <t>00001400</t>
  </si>
  <si>
    <t>О/д прибор учета эл.энергии ул.Ленина, д.35</t>
  </si>
  <si>
    <t>00001401</t>
  </si>
  <si>
    <t>О/д прибор учета эл.энергии ул.Ленина, д.41</t>
  </si>
  <si>
    <t>00001402</t>
  </si>
  <si>
    <t>О/д прибор учета эл.энергии ул.Ленина, д.43а</t>
  </si>
  <si>
    <t>00001433</t>
  </si>
  <si>
    <t>О/д прибор учета эл.энергии ул.Ленина, д.44</t>
  </si>
  <si>
    <t>00001476</t>
  </si>
  <si>
    <t>О/д прибор учета эл.энергии ул.Ленина, д.46</t>
  </si>
  <si>
    <t>00001404</t>
  </si>
  <si>
    <t>О/д прибор учета эл.энергии ул.Ленина, д.47а</t>
  </si>
  <si>
    <t>00001434</t>
  </si>
  <si>
    <t>О/д прибор учета эл.энергии ул.Ленина, д.48</t>
  </si>
  <si>
    <t>00001416</t>
  </si>
  <si>
    <t>О/д прибор учета эл.энергии ул.Ленина, д.5</t>
  </si>
  <si>
    <t>00001409</t>
  </si>
  <si>
    <t>О/д прибор учета эл.энергии ул.М.Баева, д.1</t>
  </si>
  <si>
    <t>00001440</t>
  </si>
  <si>
    <t>О/д прибор учета эл.энергии ул.М.Баева, д.10</t>
  </si>
  <si>
    <t>00001407</t>
  </si>
  <si>
    <t>О/д прибор учета эл.энергии ул.М.Баева, д.11</t>
  </si>
  <si>
    <t>00001446</t>
  </si>
  <si>
    <t>О/д прибор учета эл.энергии ул.М.Баева, д.2</t>
  </si>
  <si>
    <t>00001441</t>
  </si>
  <si>
    <t>О/д прибор учета эл.энергии ул.М.Баева, д.4</t>
  </si>
  <si>
    <t>00001442</t>
  </si>
  <si>
    <t>О/д прибор учета эл.энергии ул.М.Баева, д.7</t>
  </si>
  <si>
    <t>00001444</t>
  </si>
  <si>
    <t>О/д прибор учета эл.энергии ул.М.Баева, д.8</t>
  </si>
  <si>
    <t>00001445</t>
  </si>
  <si>
    <t>О/д прибор учета эл.энергии ул.М.Баева, д.9</t>
  </si>
  <si>
    <t>00001430</t>
  </si>
  <si>
    <t>О/д прибор учета эл.энергии ул.Меньшикова, д.10б</t>
  </si>
  <si>
    <t>00001412</t>
  </si>
  <si>
    <t>О/д прибор учета эл.энергии ул.Меньшикова, д.16</t>
  </si>
  <si>
    <t>00001413</t>
  </si>
  <si>
    <t>О/д прибор учета эл.энергии ул.Меньшикова, д.2</t>
  </si>
  <si>
    <t>00001431</t>
  </si>
  <si>
    <t>О/д прибор учета эл.энергии ул.Меньшикова, д.4</t>
  </si>
  <si>
    <t>00001419</t>
  </si>
  <si>
    <t>О/д прибор учета эл.энергии ул.Меньшикова, д.6а</t>
  </si>
  <si>
    <t>00001432</t>
  </si>
  <si>
    <t>О/д прибор учета эл.энергии ул.Монтажников, д.1</t>
  </si>
  <si>
    <t>00001420</t>
  </si>
  <si>
    <t>О/д прибор учета эл.энергии ул.Монтажников, д.1а</t>
  </si>
  <si>
    <t>00001422</t>
  </si>
  <si>
    <t>О/д прибор учета эл.энергии ул.Монтажников, д.2</t>
  </si>
  <si>
    <t>00001421</t>
  </si>
  <si>
    <t>О/д прибор учета эл.энергии ул.Монтажников, д.2а</t>
  </si>
  <si>
    <t>00001423</t>
  </si>
  <si>
    <t>О/д прибор учета эл.энергии ул.Монтажников, д.2б</t>
  </si>
  <si>
    <t>00001424</t>
  </si>
  <si>
    <t>О/д прибор учета эл.энергии ул.Монтажников, д.3а</t>
  </si>
  <si>
    <t>00001426</t>
  </si>
  <si>
    <t>О/д прибор учета эл.энергии ул.Монтажников, д.4</t>
  </si>
  <si>
    <t>00001427</t>
  </si>
  <si>
    <t>О/д прибор учета эл.энергии ул.Монтажников, д.4б</t>
  </si>
  <si>
    <t>00001428</t>
  </si>
  <si>
    <t>О/д прибор учета эл.энергии ул.Монтажников, д.4в</t>
  </si>
  <si>
    <t>00001429</t>
  </si>
  <si>
    <t>О/д прибор учета эл.энергии ул.Ненецкая, д.2</t>
  </si>
  <si>
    <t>00001414</t>
  </si>
  <si>
    <t>О/д прибор учета эл.энергии ул.Ненецкая, д.4</t>
  </si>
  <si>
    <t>00001408</t>
  </si>
  <si>
    <t>О/д прибор учета эл.энергии ул.Первомайская, д.15</t>
  </si>
  <si>
    <t>000001427</t>
  </si>
  <si>
    <t>О/д прибор учета эл.энергии ул.Первомайская, д.17</t>
  </si>
  <si>
    <t>000001428</t>
  </si>
  <si>
    <t>О/д прибор учета эл.энергии ул.Первомайская, д.17 б</t>
  </si>
  <si>
    <t>000001433</t>
  </si>
  <si>
    <t>О/д прибор учета эл.энергии ул.Первомайская, д.19</t>
  </si>
  <si>
    <t>000001430</t>
  </si>
  <si>
    <t>О/д прибор учета эл.энергии ул.Первомайская, д.19 а</t>
  </si>
  <si>
    <t>000001431</t>
  </si>
  <si>
    <t>О/д прибор учета эл.энергии ул.Первомайская, д.19 б</t>
  </si>
  <si>
    <t>000001432</t>
  </si>
  <si>
    <t>О/д прибор учета эл.энергии ул.Пионерская, д.24 а</t>
  </si>
  <si>
    <t>000001450</t>
  </si>
  <si>
    <t>О/д прибор учета эл.энергии ул.Рабочая, д.27</t>
  </si>
  <si>
    <t>00001415</t>
  </si>
  <si>
    <t>О/д прибор учета эл.энергии ул.Рабочая, д.35</t>
  </si>
  <si>
    <t>00001393</t>
  </si>
  <si>
    <t>О/д прибор учета эл.энергии ул.Рабочая, д.37а</t>
  </si>
  <si>
    <t>00001418</t>
  </si>
  <si>
    <t>О/д прибор учета эл.энергии ул.Рабочая, д.39 (2шт)</t>
  </si>
  <si>
    <t>00001394</t>
  </si>
  <si>
    <t>О/д прибор учета эл.энергии ул.Рабочая, д.43</t>
  </si>
  <si>
    <t>00001395</t>
  </si>
  <si>
    <t>О/д прибор учета эл.энергии ул.Рабочая, д.7</t>
  </si>
  <si>
    <t>000001474</t>
  </si>
  <si>
    <t>О/д прибор учета эл.энергии ул.Рабочая, д.9</t>
  </si>
  <si>
    <t>000001472</t>
  </si>
  <si>
    <t>О/д прибор учета эл.энергии ул.Строительная, д.1</t>
  </si>
  <si>
    <t>000001464</t>
  </si>
  <si>
    <t>О/д прибор учета эл.энергии ул.Строительная, д.10</t>
  </si>
  <si>
    <t>000001452</t>
  </si>
  <si>
    <t>О/д прибор учета эл.энергии ул.Строительная, д.10А</t>
  </si>
  <si>
    <t>000001454</t>
  </si>
  <si>
    <t>О/д прибор учета эл.энергии ул.Строительная, д.11</t>
  </si>
  <si>
    <t>000001453</t>
  </si>
  <si>
    <t>О/д прибор учета эл.энергии ул.Строительная, д.3</t>
  </si>
  <si>
    <t>000001463</t>
  </si>
  <si>
    <t>О/д прибор учета эл.энергии ул.Строительная, д.3А</t>
  </si>
  <si>
    <t>000001461</t>
  </si>
  <si>
    <t>О/д прибор учета эл.энергии ул.Строительная, д.5</t>
  </si>
  <si>
    <t>000001457</t>
  </si>
  <si>
    <t>О/д прибор учета эл.энергии ул.Строительная, д.5 А</t>
  </si>
  <si>
    <t>000001469</t>
  </si>
  <si>
    <t>О/д прибор учета эл.энергии ул.Строительная, д.7</t>
  </si>
  <si>
    <t>000001451</t>
  </si>
  <si>
    <t>О/д прибор учета эл.энергии ул.Титова, 6</t>
  </si>
  <si>
    <t>00001384</t>
  </si>
  <si>
    <t>О/д прибор учета эл.энергии ул.Титова, 8</t>
  </si>
  <si>
    <t>00001385</t>
  </si>
  <si>
    <t>О/д прибор учета эл.энергии ул.Южная, д.34</t>
  </si>
  <si>
    <t>00001436</t>
  </si>
  <si>
    <t>О/д прибор учета эл.энергии ул.Южная, д.35</t>
  </si>
  <si>
    <t>00001437</t>
  </si>
  <si>
    <t>О/д прибор учета эл.энергии ул.Южная, д.37</t>
  </si>
  <si>
    <t>00001438</t>
  </si>
  <si>
    <t>О/д прибор учета эл.энергии ул.Южная, д.39 а</t>
  </si>
  <si>
    <t>000001449</t>
  </si>
  <si>
    <t>О/д прибор учета эл.энергии ул.Южная, д.41</t>
  </si>
  <si>
    <t>00001439</t>
  </si>
  <si>
    <t>О/д прибор учета эл.энергии ул.Южная, д.41 а</t>
  </si>
  <si>
    <t>000001446</t>
  </si>
  <si>
    <t>О/д прибор учета эл.энергии ул.Южная, д.41 б</t>
  </si>
  <si>
    <t>000001444</t>
  </si>
  <si>
    <t>О/д прибор учета эл.энергии ул.Южная, д.43</t>
  </si>
  <si>
    <t>00001410</t>
  </si>
  <si>
    <t>О/д прибор учета эл.энергии ул.Южная, д.43 а</t>
  </si>
  <si>
    <t>000001447</t>
  </si>
  <si>
    <t>О/д прибор учета эл.энергии ул.Южная, д.43 б</t>
  </si>
  <si>
    <t>000001448</t>
  </si>
  <si>
    <t>О/д прибор учета эл.энергии ул.Южная, д.44</t>
  </si>
  <si>
    <t>00001435</t>
  </si>
  <si>
    <t>О/д прибор учета эл.энергии ул.Южная, д.45</t>
  </si>
  <si>
    <t>000001442</t>
  </si>
  <si>
    <t>О/д прибор учета эл.энергии ул.Южная, д.45 а</t>
  </si>
  <si>
    <t>000001445</t>
  </si>
  <si>
    <t>О/д прибор учета эл.энергии ул.Южная, д.45 б</t>
  </si>
  <si>
    <t>000001443</t>
  </si>
  <si>
    <t>О/д прибор учета эл.энергии ул.Южная, д.47</t>
  </si>
  <si>
    <t>000001434</t>
  </si>
  <si>
    <t>О/д прибор учета эл.энергии ул.Явтысого, д.1</t>
  </si>
  <si>
    <t>000001435</t>
  </si>
  <si>
    <t>О/д прибор учета эл.энергии ул.Явтысого, д.1 а</t>
  </si>
  <si>
    <t>000001436</t>
  </si>
  <si>
    <t>О/д прибор учета эл.энергии ул.Явтысого, д.1 б</t>
  </si>
  <si>
    <t>000001437</t>
  </si>
  <si>
    <t>О/д прибор учета эл.энергии ул.Явтысого, д.3</t>
  </si>
  <si>
    <t>000001438</t>
  </si>
  <si>
    <t>О/д прибор учета эл.энергии ул.Явтысого, д.3 а</t>
  </si>
  <si>
    <t>000001439</t>
  </si>
  <si>
    <t>О/д прибор учета эл.энергии ул.Явтысого, д.5</t>
  </si>
  <si>
    <t>000001440</t>
  </si>
  <si>
    <t>О/д прибор учета эл.энергии ул.Явтысого, д.5 а</t>
  </si>
  <si>
    <t>000001441</t>
  </si>
  <si>
    <t>О/д приборы учета по пер. Северный (4 шт)</t>
  </si>
  <si>
    <t>000001592</t>
  </si>
  <si>
    <t>О/д приборы учета по ул. 60 лет Октября - Титова - Зеленая - Рабочая  (4 шт)</t>
  </si>
  <si>
    <t>000001594</t>
  </si>
  <si>
    <t>О/д приборы учета по ул. Авиаторов (4  шт)</t>
  </si>
  <si>
    <t>000001578</t>
  </si>
  <si>
    <t>О/д приборы учета по ул. Совхозная (4 шт)</t>
  </si>
  <si>
    <t>000001593</t>
  </si>
  <si>
    <t>О/д приборы учета по ул. Строительная (4 шт)</t>
  </si>
  <si>
    <t>000001595</t>
  </si>
  <si>
    <t>О/д приборы учета по ул. Юбилейная (2 шт)</t>
  </si>
  <si>
    <t>000001596</t>
  </si>
  <si>
    <t>О/д приборы учета по ул. Южная - Явтысого (7 шт)</t>
  </si>
  <si>
    <t>000001597</t>
  </si>
  <si>
    <t>О/д приборы учета по ул.60 лет Октября (8 шт)</t>
  </si>
  <si>
    <t>000001576</t>
  </si>
  <si>
    <t>О/д приборы учета по ул.Заводская-Заполярный-Калмыкова-Комсомольская (5 шт)</t>
  </si>
  <si>
    <t>000001579</t>
  </si>
  <si>
    <t>О/д приборы учета по ул.Ленина (6 шт) 3 гр.</t>
  </si>
  <si>
    <t>000001582</t>
  </si>
  <si>
    <t>О/д приборы учета по ул.Ленина (7 шт) 1 гр.</t>
  </si>
  <si>
    <t>000001580</t>
  </si>
  <si>
    <t>О/д приборы учета по ул.Ленина (7 шт) 2 гр.</t>
  </si>
  <si>
    <t>000001581</t>
  </si>
  <si>
    <t>О/д приборы учета по ул.Меньшикова - 60 лет СССР (4 шт)</t>
  </si>
  <si>
    <t>000001577</t>
  </si>
  <si>
    <t>О/д приборы учета по ул.Меньшикова (6 шт)</t>
  </si>
  <si>
    <t>000001583</t>
  </si>
  <si>
    <t>О/д приборы учета по ул.Октябрьская - Пионерская (5 шт)</t>
  </si>
  <si>
    <t>000001587</t>
  </si>
  <si>
    <t>О/д приборы учета по ул.Октябрьская (6 шт)</t>
  </si>
  <si>
    <t>000001584</t>
  </si>
  <si>
    <t>О/д приборы учета по ул.Оленная, д. 13 (1 шт)</t>
  </si>
  <si>
    <t>000001586</t>
  </si>
  <si>
    <t>О/д приборы учета по ул.Пионерская (7 шт)</t>
  </si>
  <si>
    <t>000001585</t>
  </si>
  <si>
    <t>О/д приборы учета по ул.Победы - Первомайская (6 шт)</t>
  </si>
  <si>
    <t>000001598</t>
  </si>
  <si>
    <t>О/д приборы учета по ул.Рабочая (5 шт) 1 гр.</t>
  </si>
  <si>
    <t>000001588</t>
  </si>
  <si>
    <t>О/д приборы учета по ул.Рабочая (5 шт) 2 гр.</t>
  </si>
  <si>
    <t>000001589</t>
  </si>
  <si>
    <t>О/д приборы учета по ул.Рыбников (5 шт)</t>
  </si>
  <si>
    <t>000001590</t>
  </si>
  <si>
    <t>О/д приборы учета по ул.Сапрыгина - Смидовича - Хатанзейского (5 шт)</t>
  </si>
  <si>
    <t>000001591</t>
  </si>
  <si>
    <t>Прибор изм  Энергомонитор 3,3Т"Стандартный" абон о</t>
  </si>
  <si>
    <t>00001117</t>
  </si>
  <si>
    <t>31.05.2009</t>
  </si>
  <si>
    <t>Стойка администратора угловая</t>
  </si>
  <si>
    <t>00000976</t>
  </si>
  <si>
    <t>28.03.2006</t>
  </si>
  <si>
    <t>Система АСКУЭ</t>
  </si>
  <si>
    <t>Энерготестер ПКЭ-А-А 1 К05</t>
  </si>
  <si>
    <t>00-000100</t>
  </si>
  <si>
    <t>28.04.2021</t>
  </si>
  <si>
    <t>резерв</t>
  </si>
  <si>
    <t>Вентилятор R3G500-AG06-03</t>
  </si>
  <si>
    <t>Производство</t>
  </si>
  <si>
    <t>000001424</t>
  </si>
  <si>
    <t>23.07.2012</t>
  </si>
  <si>
    <t>Калибратор термопары Fluke 714</t>
  </si>
  <si>
    <t>000001419</t>
  </si>
  <si>
    <t>20.06.2012</t>
  </si>
  <si>
    <t>Панель ЩО 70-1-07 №19117</t>
  </si>
  <si>
    <t>Передача</t>
  </si>
  <si>
    <t>00001250</t>
  </si>
  <si>
    <t>31.10.2010</t>
  </si>
  <si>
    <t>Панель ЩО 91-05</t>
  </si>
  <si>
    <t>000001617</t>
  </si>
  <si>
    <t>Панель ЩО 91-06</t>
  </si>
  <si>
    <t>000001618</t>
  </si>
  <si>
    <t>Трансф-р масляный ТМГ 630/6/0,4У/Ун-0 зав.№1693879</t>
  </si>
  <si>
    <t>00001366</t>
  </si>
  <si>
    <t>06.09.2011</t>
  </si>
  <si>
    <t>Трансформатор масляный ТМГ 400/6/0,4У/Ун-0 зав.№1484</t>
  </si>
  <si>
    <t>00001351</t>
  </si>
  <si>
    <t>15.03.2011</t>
  </si>
  <si>
    <t>Штабелер г/п 1т, выс. под 1</t>
  </si>
  <si>
    <t>000001549</t>
  </si>
  <si>
    <t>30.09.2013</t>
  </si>
  <si>
    <t>ЩО 70-3-02 УЗ №3</t>
  </si>
  <si>
    <t>00001107</t>
  </si>
  <si>
    <t>31.12.2008</t>
  </si>
  <si>
    <t>ЩО 70-3-02 УЗ №4</t>
  </si>
  <si>
    <t>00001108</t>
  </si>
  <si>
    <t>ЩО-70-2-72</t>
  </si>
  <si>
    <t>000001532</t>
  </si>
  <si>
    <t>30.06.2013</t>
  </si>
  <si>
    <t>Электродвигатель ВА200LB4FБУ2.5 380 зв.6в IM1001po IP55V Ч КР146-05 К/247сл</t>
  </si>
  <si>
    <t>000001420</t>
  </si>
  <si>
    <t>Автоматическая насосная станция 60л  2008г</t>
  </si>
  <si>
    <t>00001084</t>
  </si>
  <si>
    <t>31.07.2008</t>
  </si>
  <si>
    <t>Береговая насосная станция 1955г</t>
  </si>
  <si>
    <t>00000279</t>
  </si>
  <si>
    <t>30.01.1955</t>
  </si>
  <si>
    <t>Водомер СХВ-200  2000г.</t>
  </si>
  <si>
    <t>00000274</t>
  </si>
  <si>
    <t>30.09.2000</t>
  </si>
  <si>
    <t>Газон в районе основного здания</t>
  </si>
  <si>
    <t>00001236</t>
  </si>
  <si>
    <t>10.10.2010</t>
  </si>
  <si>
    <t>Газопровод высокого давления наружный (Caterpillar) 2012г</t>
  </si>
  <si>
    <t>000001505</t>
  </si>
  <si>
    <t>19.12.2012</t>
  </si>
  <si>
    <t>Газопровод среднего давления наружный (Caterpillar) 2012г</t>
  </si>
  <si>
    <t>000001614</t>
  </si>
  <si>
    <t>Градирня (бассейн)</t>
  </si>
  <si>
    <t>00000280</t>
  </si>
  <si>
    <t>30.01.1974</t>
  </si>
  <si>
    <t>Дизель-генератор -6  1986г.</t>
  </si>
  <si>
    <t>00000564</t>
  </si>
  <si>
    <t>30.01.1986</t>
  </si>
  <si>
    <t>Дизель-генератор 1-500 обор 1985г.</t>
  </si>
  <si>
    <t>00000433</t>
  </si>
  <si>
    <t>30.01.1985</t>
  </si>
  <si>
    <t>Дизель-генератор-2 1987г.</t>
  </si>
  <si>
    <t>00000565</t>
  </si>
  <si>
    <t>30.01.1987</t>
  </si>
  <si>
    <t>Дизель-генератор-5 1981г.</t>
  </si>
  <si>
    <t>00000582</t>
  </si>
  <si>
    <t>30.01.1981</t>
  </si>
  <si>
    <t>Дизель электростанция ДЭС электроснабжение объекта "Ненецкая СББЖ г.Нарьян-Мара"</t>
  </si>
  <si>
    <t>000001669</t>
  </si>
  <si>
    <t>31.12.2015</t>
  </si>
  <si>
    <t>Дизель-генератор ДГР 630/1000 с пневмопуском 2009г</t>
  </si>
  <si>
    <t>00001109</t>
  </si>
  <si>
    <t>31.01.2009</t>
  </si>
  <si>
    <t>Дизель-генератор-4  1991г.</t>
  </si>
  <si>
    <t>00000559</t>
  </si>
  <si>
    <t>30.01.1991</t>
  </si>
  <si>
    <t>Дизель-генераторная установка Caterpillar 3516BHD с двутопливной системой</t>
  </si>
  <si>
    <t>000001506</t>
  </si>
  <si>
    <t>Дорожное покрытие на территории электростанции</t>
  </si>
  <si>
    <t>00001355</t>
  </si>
  <si>
    <t>30.04.2011</t>
  </si>
  <si>
    <t>Емкость металл. 2000м3 1966г.</t>
  </si>
  <si>
    <t>00000083</t>
  </si>
  <si>
    <t>01.01.1966</t>
  </si>
  <si>
    <t>Зарядное с автоматическим циклом зарядки 24В, 35А СТЕК МХТS 70</t>
  </si>
  <si>
    <t>000001548</t>
  </si>
  <si>
    <t>Здание топливно-масл  1966г.</t>
  </si>
  <si>
    <t>00000278</t>
  </si>
  <si>
    <t>Инвертор плазменной резки Nelwin Superior Plasma 60 HF 400V</t>
  </si>
  <si>
    <t>000001619</t>
  </si>
  <si>
    <t>Компрессор REMEZA BP 10-30</t>
  </si>
  <si>
    <t>000001771</t>
  </si>
  <si>
    <t>25.06.2019</t>
  </si>
  <si>
    <t>Контейнер 20 ф №2</t>
  </si>
  <si>
    <t>000001522</t>
  </si>
  <si>
    <t>Кран мост эл тельфер 1966г.</t>
  </si>
  <si>
    <t>00000287</t>
  </si>
  <si>
    <t>30.01.1966</t>
  </si>
  <si>
    <t>Кран мостовой 1964г.</t>
  </si>
  <si>
    <t>00000288</t>
  </si>
  <si>
    <t>30.01.1964</t>
  </si>
  <si>
    <t>Нагреватель жидкотоплив.Мастер BV 110E №2</t>
  </si>
  <si>
    <t>000001500</t>
  </si>
  <si>
    <t>30.11.2012</t>
  </si>
  <si>
    <t>Насос агрегатный  1994г.</t>
  </si>
  <si>
    <t>00000589</t>
  </si>
  <si>
    <t>01.07.1994</t>
  </si>
  <si>
    <t>Насос К 45/40 (80-50-200А) с дв. 11/3000 2003г</t>
  </si>
  <si>
    <t>00000210</t>
  </si>
  <si>
    <t>30.09.2003</t>
  </si>
  <si>
    <t>Насос К 80-50-200 с дв. 15/3000 2003г</t>
  </si>
  <si>
    <t>00000209</t>
  </si>
  <si>
    <t>Насос К 90/35А с эл.дв. 11/3000</t>
  </si>
  <si>
    <t>00000211</t>
  </si>
  <si>
    <t>Насос КМ 100/32 (100-80-160) с дв. 15/3000 2003г</t>
  </si>
  <si>
    <t>00000207</t>
  </si>
  <si>
    <t>Насос КМ-100-80-160 с дв.15кВт/3000 об.мин. №2</t>
  </si>
  <si>
    <t>00001483</t>
  </si>
  <si>
    <t>Насосная 1990г</t>
  </si>
  <si>
    <t>00000281</t>
  </si>
  <si>
    <t>30.01.1990</t>
  </si>
  <si>
    <t>Насос  1984г.</t>
  </si>
  <si>
    <t>00000053</t>
  </si>
  <si>
    <t>01.01.1984</t>
  </si>
  <si>
    <t>Насос машинного зала</t>
  </si>
  <si>
    <t>00000289</t>
  </si>
  <si>
    <t>01.01.1977</t>
  </si>
  <si>
    <t>Насос машинного зала 1977г</t>
  </si>
  <si>
    <t>00000490</t>
  </si>
  <si>
    <t>Насос шестиренный 1991г.</t>
  </si>
  <si>
    <t>00000054</t>
  </si>
  <si>
    <t>Новый технологический трубопровод для перекачки дизельного топлива</t>
  </si>
  <si>
    <t>000001666</t>
  </si>
  <si>
    <t>Обор в/снабж насос 1989г</t>
  </si>
  <si>
    <t>00000293</t>
  </si>
  <si>
    <t>01.01.1989</t>
  </si>
  <si>
    <t>Пристройка для машинистов</t>
  </si>
  <si>
    <t>00000272</t>
  </si>
  <si>
    <t>01.12.1999</t>
  </si>
  <si>
    <t>Пристройка к дизельной  1965г.</t>
  </si>
  <si>
    <t>00000277</t>
  </si>
  <si>
    <t>РВС-400 (резервуар вертикальный стальной объемом 400 м3)</t>
  </si>
  <si>
    <t>000001784</t>
  </si>
  <si>
    <t>17.12.2019</t>
  </si>
  <si>
    <t>Сети водопроводные к новому водоснабж 1990г</t>
  </si>
  <si>
    <t>00000285</t>
  </si>
  <si>
    <t>01.01.1990</t>
  </si>
  <si>
    <t>Система видеонаблюдения в машинном зале ТМЦ</t>
  </si>
  <si>
    <t>000001869</t>
  </si>
  <si>
    <t>29.11.2021</t>
  </si>
  <si>
    <t>Система газового анализа с сигнализацией</t>
  </si>
  <si>
    <t>00001486</t>
  </si>
  <si>
    <t>000001732</t>
  </si>
  <si>
    <t>Сварочный аппарат</t>
  </si>
  <si>
    <t>00000480</t>
  </si>
  <si>
    <t>Смотровой колодец Копосов ВП</t>
  </si>
  <si>
    <t>00001233</t>
  </si>
  <si>
    <t>Станок сверлильный 2С125-04</t>
  </si>
  <si>
    <t>000001517</t>
  </si>
  <si>
    <t>22.03.2013</t>
  </si>
  <si>
    <t>Станок токарный 1971г</t>
  </si>
  <si>
    <t>00000291</t>
  </si>
  <si>
    <t>01.01.1971</t>
  </si>
  <si>
    <t>Счетчик жидкости ППО-40/0,6 (диз.топливо) 2003г</t>
  </si>
  <si>
    <t>00000206</t>
  </si>
  <si>
    <t>Топливный насос плунж. для ДГ Г-72</t>
  </si>
  <si>
    <t>00001258</t>
  </si>
  <si>
    <t>15.10.2011</t>
  </si>
  <si>
    <t>Точильно-шлифовальный станок мод.ТШ-2.10 с УВП800</t>
  </si>
  <si>
    <t>00001487</t>
  </si>
  <si>
    <t>Трансформатор сварочный ТДМ403 2003г</t>
  </si>
  <si>
    <t>00000070</t>
  </si>
  <si>
    <t>31.01.2003</t>
  </si>
  <si>
    <t>Трубогиб РГУ-2</t>
  </si>
  <si>
    <t>00000951</t>
  </si>
  <si>
    <t>Трубопроводное техводоснабжение</t>
  </si>
  <si>
    <t>000000284</t>
  </si>
  <si>
    <t>01.01.1955</t>
  </si>
  <si>
    <t>Установка "Факел 1Мк2"</t>
  </si>
  <si>
    <t>000001270</t>
  </si>
  <si>
    <t>31.05.2013</t>
  </si>
  <si>
    <t>Устройство ограждения 2007г 120м</t>
  </si>
  <si>
    <t>00001038</t>
  </si>
  <si>
    <t>31.07.2007</t>
  </si>
  <si>
    <t>Устройство ограждения 2008г</t>
  </si>
  <si>
    <t>00001094</t>
  </si>
  <si>
    <t>30.09.2008</t>
  </si>
  <si>
    <t>Устройство ограждения 2010г</t>
  </si>
  <si>
    <t>00001228</t>
  </si>
  <si>
    <t>24.08.2010</t>
  </si>
  <si>
    <t>Шлагбаум 2007г</t>
  </si>
  <si>
    <t>00001037</t>
  </si>
  <si>
    <t>Электроагрегат 1-й степени автоматизации 2011г</t>
  </si>
  <si>
    <t>000001395</t>
  </si>
  <si>
    <t>31.07.2012</t>
  </si>
  <si>
    <t>Электронасос типа КМ 100-80-160-5 15кВт</t>
  </si>
  <si>
    <t>000001809</t>
  </si>
  <si>
    <t>Электростанция  1955г.</t>
  </si>
  <si>
    <t>00000275</t>
  </si>
  <si>
    <t>31.01.1955</t>
  </si>
  <si>
    <t>Электротельфер 1990г.</t>
  </si>
  <si>
    <t>00000296</t>
  </si>
  <si>
    <t>Реконструкция ДГ-6. демонтаж, установка ДГУ</t>
  </si>
  <si>
    <t>Газопроводные трубы 1981г.</t>
  </si>
  <si>
    <t>КОТЕЛЬНАЯ</t>
  </si>
  <si>
    <t>00000603</t>
  </si>
  <si>
    <t>01.01.1981</t>
  </si>
  <si>
    <t>Газосчетчик СГ-16МТ-100-30</t>
  </si>
  <si>
    <t>00000989</t>
  </si>
  <si>
    <t>Горелка AL-35V 120-360 кВт с компрессором</t>
  </si>
  <si>
    <t>000001551</t>
  </si>
  <si>
    <t>000001767</t>
  </si>
  <si>
    <t>18.04.2019</t>
  </si>
  <si>
    <t>Здание углеподачи  1955г.</t>
  </si>
  <si>
    <t>00000090</t>
  </si>
  <si>
    <t>Котел в комплекте 2000г. Универсал-6</t>
  </si>
  <si>
    <t>00000073</t>
  </si>
  <si>
    <t>30.08.2000</t>
  </si>
  <si>
    <t>Котельная  1964г.</t>
  </si>
  <si>
    <t>00000276</t>
  </si>
  <si>
    <t>01.01.1964</t>
  </si>
  <si>
    <t>Насос КМ-100-80-160 с дв.15кВт/3000 об.мин. №1</t>
  </si>
  <si>
    <t>00001482</t>
  </si>
  <si>
    <t>Тепловые сети(наружные) 2003г</t>
  </si>
  <si>
    <t>00000556</t>
  </si>
  <si>
    <t>Теплосети к новому оборот водоснабжению 1990г</t>
  </si>
  <si>
    <t>00000286</t>
  </si>
  <si>
    <t>Тепловые сети объекта "Ангар для складских помещений"</t>
  </si>
  <si>
    <t>000001782</t>
  </si>
  <si>
    <t>000001770</t>
  </si>
  <si>
    <t>11.06.2019</t>
  </si>
  <si>
    <t>00000270</t>
  </si>
  <si>
    <t>00000179</t>
  </si>
  <si>
    <t>01.01.1996</t>
  </si>
  <si>
    <t>*- Н/в каб ТП20 до РКЦ l=117м ТП10 до РКЦ l=351,5м</t>
  </si>
  <si>
    <t>00000443</t>
  </si>
  <si>
    <t>28.02.2002</t>
  </si>
  <si>
    <t>00000237</t>
  </si>
  <si>
    <t>01.02.1996</t>
  </si>
  <si>
    <t>1-я кабельная линия КЛ-6кВ 2007г</t>
  </si>
  <si>
    <t>00001032</t>
  </si>
  <si>
    <t>2-я кабельная линия КЛ-6кВ 2007г</t>
  </si>
  <si>
    <t>00001033</t>
  </si>
  <si>
    <t>Автомат ВА 55-41 1000А №1</t>
  </si>
  <si>
    <t>00001029</t>
  </si>
  <si>
    <t>Автомат ВА 55-41 1000А №2</t>
  </si>
  <si>
    <t>00001026</t>
  </si>
  <si>
    <t>Автомат ВА 55-41 1000А №3</t>
  </si>
  <si>
    <t>00001028</t>
  </si>
  <si>
    <t>Автомат ВА 55-41 1000А №4</t>
  </si>
  <si>
    <t>00001030</t>
  </si>
  <si>
    <t>Автомат ВА 55-41 1000А №5</t>
  </si>
  <si>
    <t>00001027</t>
  </si>
  <si>
    <t>Анализатор качества электрической энергии Metrel MI 2592 PowerQ4</t>
  </si>
  <si>
    <t>000001565</t>
  </si>
  <si>
    <t>Б/пила Хускварна-257</t>
  </si>
  <si>
    <t>00001047</t>
  </si>
  <si>
    <t>Бензогенератор 5200</t>
  </si>
  <si>
    <t>00000975</t>
  </si>
  <si>
    <t>28.02.2006</t>
  </si>
  <si>
    <t>Блок МПЗ SEPAM 1000+ S42 зав.19132637</t>
  </si>
  <si>
    <t>000001776</t>
  </si>
  <si>
    <t>30.07.2019</t>
  </si>
  <si>
    <t>В/в каб 6кв от ТП20 до ТП12 ААБ3х95 1988г.  252м</t>
  </si>
  <si>
    <t>00000580</t>
  </si>
  <si>
    <t>01.01.1988</t>
  </si>
  <si>
    <t>В/в каб ААБ-3-150 от РУ 6 кв 1990г.</t>
  </si>
  <si>
    <t>00000158</t>
  </si>
  <si>
    <t>В/в каб ААБ-3-95 от ЛЭП 6 кв до ТП-34 1991г</t>
  </si>
  <si>
    <t>00000159</t>
  </si>
  <si>
    <t>В/в каб ААБ-3х95 от ТП-6 до ЛЭП 6кв Хатанзейс 275м</t>
  </si>
  <si>
    <t>00000124</t>
  </si>
  <si>
    <t>В/в каб от ГКТП до ТП-3 АСБ 3-120  840м</t>
  </si>
  <si>
    <t>00000123</t>
  </si>
  <si>
    <t>В/в каб от ДЭС до в/ч 12403 1989г.  3750м</t>
  </si>
  <si>
    <t>00000122</t>
  </si>
  <si>
    <t>В/в каб от ТП-8 до ТП-32 1988г.  480м</t>
  </si>
  <si>
    <t>00000521</t>
  </si>
  <si>
    <t>В/в кабель  6 кв ААБ-3х70 от ТП-20 до ТП-32</t>
  </si>
  <si>
    <t>00000574</t>
  </si>
  <si>
    <t>В/в кабель Город-1 1968г.  1546м</t>
  </si>
  <si>
    <t>00000549</t>
  </si>
  <si>
    <t>01.01.1968</t>
  </si>
  <si>
    <t>В/в кабель Город-3 от РУ-6 кв до ТП-4</t>
  </si>
  <si>
    <t>00000531</t>
  </si>
  <si>
    <t>В/в кабель на очистные от ТП-21 ТП-30  924м 1988г.</t>
  </si>
  <si>
    <t>00000576</t>
  </si>
  <si>
    <t>В/в кабель от РУ-6кв  Водозабор до ТП-31 1988г</t>
  </si>
  <si>
    <t>00000525</t>
  </si>
  <si>
    <t>В/в кабель ул, 60 лет СССР от ТП-18 до ТП-12 1988г</t>
  </si>
  <si>
    <t>00000547</t>
  </si>
  <si>
    <t>ВА 5341 1000А станц р/пр на ТП-37 Ленина.27</t>
  </si>
  <si>
    <t>00001160</t>
  </si>
  <si>
    <t>28.02.2010</t>
  </si>
  <si>
    <t>Вводной щит ЩО-70-2-34УЗ</t>
  </si>
  <si>
    <t>000001488</t>
  </si>
  <si>
    <t>24.09.2012</t>
  </si>
  <si>
    <t>000001733</t>
  </si>
  <si>
    <t>26.06.2018</t>
  </si>
  <si>
    <t>ВЛ *- Воздушные ЛЭП п Факел 1996г.  1500м</t>
  </si>
  <si>
    <t>00000182</t>
  </si>
  <si>
    <t>01.04.1996</t>
  </si>
  <si>
    <t>00000183</t>
  </si>
  <si>
    <t>01.01.1976</t>
  </si>
  <si>
    <t>ВЛ 0,4 кВ от ТП-7 "Столовая" фидер "Первомайская 1"</t>
  </si>
  <si>
    <t>000001780</t>
  </si>
  <si>
    <t>11.10.2019</t>
  </si>
  <si>
    <t>ВЛ В-Воздуш.ЛЭП -6кВ до ТП-69 2002г</t>
  </si>
  <si>
    <t>00000387</t>
  </si>
  <si>
    <t>30.06.2002</t>
  </si>
  <si>
    <t>ВЛ Воздушная ЛЭП в районе школы №2</t>
  </si>
  <si>
    <t>00001157</t>
  </si>
  <si>
    <t>ВЛ наружные сети ВЛ-6 кв п Искат  1997г.</t>
  </si>
  <si>
    <t>00000186</t>
  </si>
  <si>
    <t>01.12.1997</t>
  </si>
  <si>
    <t>ВЛ- 0,4кв по ул Молод, Лаявожс проезд  200м</t>
  </si>
  <si>
    <t>00000181</t>
  </si>
  <si>
    <t>ВЛ- Воздушные ЛЭП-0,4 кв 1996г</t>
  </si>
  <si>
    <t>00000184</t>
  </si>
  <si>
    <t>ВЛ-0,22 кВ лыжная база "Старт"</t>
  </si>
  <si>
    <t>00001239</t>
  </si>
  <si>
    <t>ВЛ-0,22 кВ на территории электростанции 85м</t>
  </si>
  <si>
    <t>00001469</t>
  </si>
  <si>
    <t>ВЛ-0,4 кВ (СИП-2) в р-не маг. "Арбат" от ТП№61 "Поликлиника"</t>
  </si>
  <si>
    <t>00001356</t>
  </si>
  <si>
    <t>30.06.2011</t>
  </si>
  <si>
    <t>ВЛ-0,4 КВ 1800м на дер опоре  ул Монт 1998г</t>
  </si>
  <si>
    <t>00000255</t>
  </si>
  <si>
    <t>ВЛ-0,4 кВ в р-не поселка Вилладж</t>
  </si>
  <si>
    <t>00001358</t>
  </si>
  <si>
    <t>ВЛ-0,4 кВ в районе ул. Газовиков, д.22а 65м</t>
  </si>
  <si>
    <t>00001471</t>
  </si>
  <si>
    <t>000001826</t>
  </si>
  <si>
    <t>04.12.2020</t>
  </si>
  <si>
    <t>000001919</t>
  </si>
  <si>
    <t>22.11.2022</t>
  </si>
  <si>
    <t>ВЛ-0,4 кВ пер. Дорожный 28 м</t>
  </si>
  <si>
    <t>00001470</t>
  </si>
  <si>
    <t>ВЛ-0,4 кВ по ул.Газовиков, д.12, д.14 123м</t>
  </si>
  <si>
    <t>00001359</t>
  </si>
  <si>
    <t>ВЛ-0,4 кВ р-н ул.Первомайская, д.8  160м</t>
  </si>
  <si>
    <t>00001360</t>
  </si>
  <si>
    <t>ВЛ-0,4 кВ р-н ул.Садецкого, д.35  63м</t>
  </si>
  <si>
    <t>00001361</t>
  </si>
  <si>
    <t>ВЛ-0,4 кВ ул Летняя п Факел</t>
  </si>
  <si>
    <t>00001057</t>
  </si>
  <si>
    <t>ВЛ-0,4 кВ ул. Заводская, д.2 110м</t>
  </si>
  <si>
    <t>00001472</t>
  </si>
  <si>
    <t>ВЛ-0,4 кВ, ул. Зимняя, д. №10</t>
  </si>
  <si>
    <t>000001422</t>
  </si>
  <si>
    <t>31.05.2012</t>
  </si>
  <si>
    <t>ВЛ-0,4кВ "Малый Качгорт"</t>
  </si>
  <si>
    <t>000001698</t>
  </si>
  <si>
    <t>09.12.2016</t>
  </si>
  <si>
    <t>ВЛ-0,4кВ (от ТП Бондарная до очистных) 240м</t>
  </si>
  <si>
    <t>00001225</t>
  </si>
  <si>
    <t>ВЛ-0,4кВ в районе д.1 по ул. Морская</t>
  </si>
  <si>
    <t>00001479</t>
  </si>
  <si>
    <t>ВЛ-0,4кВ от ТП22 "Поселок РБК", г.Нарьян-Мар, Ненецкий автономный округ</t>
  </si>
  <si>
    <t>000001829</t>
  </si>
  <si>
    <t>ВЛ-0,4кВ по ул. Светлая район д.№3 (ТП №55 "Старый Аэропорт")</t>
  </si>
  <si>
    <t>00001480</t>
  </si>
  <si>
    <t>ВЛ-6кВ "Малый Качгорт"</t>
  </si>
  <si>
    <t>000001696</t>
  </si>
  <si>
    <t>ВЛ-6кВ лыжная база "Старт"</t>
  </si>
  <si>
    <t>00001257</t>
  </si>
  <si>
    <t>000001925</t>
  </si>
  <si>
    <t>30.12.2022</t>
  </si>
  <si>
    <t>000001927</t>
  </si>
  <si>
    <t>000001702</t>
  </si>
  <si>
    <t>19.04.2017</t>
  </si>
  <si>
    <t>000001913</t>
  </si>
  <si>
    <t>31.10.2022</t>
  </si>
  <si>
    <t>000001914</t>
  </si>
  <si>
    <t>Воздушная линия 0,4 кВ (ТУ 13 от 28.01.21)</t>
  </si>
  <si>
    <t>000001865</t>
  </si>
  <si>
    <t>19.10.2021</t>
  </si>
  <si>
    <t>Воздушная линия 0,4 кВ (ТУ 62 от 13.05.21)</t>
  </si>
  <si>
    <t>000001866</t>
  </si>
  <si>
    <t>Воздушная линия 0,4 кВ (ТУ №42 от 16.04.2021 г.)</t>
  </si>
  <si>
    <t>000001876</t>
  </si>
  <si>
    <t>Воздушная линия 0,4 кВ (ТУ №45 от 22.04.2021 г.)</t>
  </si>
  <si>
    <t>000001878</t>
  </si>
  <si>
    <t>Воздушная линия 0,4 кВ (ТУ №57 от 12.05.2021 г.)</t>
  </si>
  <si>
    <t>000001881</t>
  </si>
  <si>
    <t>Воздушная линия 0,4 кВ (ТУ №66 от 13.05.2021 г.)</t>
  </si>
  <si>
    <t>000001880</t>
  </si>
  <si>
    <t>000001915</t>
  </si>
  <si>
    <t>08.11.2022</t>
  </si>
  <si>
    <t>000001918</t>
  </si>
  <si>
    <t>15.11.2022</t>
  </si>
  <si>
    <t>000001823</t>
  </si>
  <si>
    <t>16.09.2020</t>
  </si>
  <si>
    <t>Воздушные линии 6 кВ в составе объекта "ТП-63/1 "Озерная 16" в районе ул. Озерная д.7а"</t>
  </si>
  <si>
    <t>000001828</t>
  </si>
  <si>
    <t>Выключатель автомат ВА-5541 1000А</t>
  </si>
  <si>
    <t>00000889</t>
  </si>
  <si>
    <t>30.04.2005</t>
  </si>
  <si>
    <t>Выключатель автомат ВА-5543 1600А</t>
  </si>
  <si>
    <t>00000905</t>
  </si>
  <si>
    <t>31.07.2005</t>
  </si>
  <si>
    <t>Выключатель автоматич ВА-5543 1600А</t>
  </si>
  <si>
    <t>00000906</t>
  </si>
  <si>
    <t>Выключатель автоматический ВА-5541 1000А</t>
  </si>
  <si>
    <t>00001003</t>
  </si>
  <si>
    <t>Высоковольтные сети электроснабжения 150 м п. Мирный (ТП №91)</t>
  </si>
  <si>
    <t>000001490</t>
  </si>
  <si>
    <t>31.10.2012</t>
  </si>
  <si>
    <t>Генератор силовой Е-100</t>
  </si>
  <si>
    <t>000001724</t>
  </si>
  <si>
    <t>ГКТП 400/10  1988г.</t>
  </si>
  <si>
    <t>00000250</t>
  </si>
  <si>
    <t>30.01.1988</t>
  </si>
  <si>
    <t>000001754</t>
  </si>
  <si>
    <t>21.11.2018</t>
  </si>
  <si>
    <t>ЗРУ 6кВ в районе оз. Заводская Курья</t>
  </si>
  <si>
    <t>000001785</t>
  </si>
  <si>
    <t>19.12.2019</t>
  </si>
  <si>
    <t>Измеритель расстояния</t>
  </si>
  <si>
    <t>00000007</t>
  </si>
  <si>
    <t>К/л. в/в от ТП-82 "Бассейн" до ТП-87 "Промз."</t>
  </si>
  <si>
    <t>00001090</t>
  </si>
  <si>
    <t>Кабель н/в 0,4 кв 1992г</t>
  </si>
  <si>
    <t>00000178</t>
  </si>
  <si>
    <t>01.01.1992</t>
  </si>
  <si>
    <t>Кабельная высоковольтная линия 6 кВ в с. Тельвиска НАО</t>
  </si>
  <si>
    <t>000001844</t>
  </si>
  <si>
    <t>14.04.2021</t>
  </si>
  <si>
    <t>Кабельная линия   "ЗРУ 6кВ-выход ф.Искателей" 2007</t>
  </si>
  <si>
    <t>00001035</t>
  </si>
  <si>
    <t>30.05.2007</t>
  </si>
  <si>
    <t>Кабельная линия 0,4 кВ (ДТП №336 от 01.10.2021)</t>
  </si>
  <si>
    <t>000001879</t>
  </si>
  <si>
    <t>000001921</t>
  </si>
  <si>
    <t>06.12.2022</t>
  </si>
  <si>
    <t>Кабельная линия 0,4 кВ (ТУ 174 от 20.10.20)</t>
  </si>
  <si>
    <t>000001862</t>
  </si>
  <si>
    <t>Кабельная линия 0,4 кВ (ТУ 200 от 23.10.20)</t>
  </si>
  <si>
    <t>000001861</t>
  </si>
  <si>
    <t>Кабельная линия 0,4 кВ (ТУ 581 от 25.02.21)</t>
  </si>
  <si>
    <t>000001877</t>
  </si>
  <si>
    <t>Кабельная линия 0,4 кВ (ТУ 589 от 14.04.21)</t>
  </si>
  <si>
    <t>000001864</t>
  </si>
  <si>
    <t>000001912</t>
  </si>
  <si>
    <t>Кабельная линия 0,4 кВ (ТУ №26 от 29.03.21 г.)</t>
  </si>
  <si>
    <t>000001875</t>
  </si>
  <si>
    <t>23.12.2021</t>
  </si>
  <si>
    <t>Кабельная линия 0,4 кВ (ТУ №630 от 02.08.2021г)</t>
  </si>
  <si>
    <t>000001884</t>
  </si>
  <si>
    <t>Кабельная линия 0,4 кВ от ТП №15 до ЩУ объекта "Ясли-сад №2 в г.Нарьян-Маре"</t>
  </si>
  <si>
    <t>000001863</t>
  </si>
  <si>
    <t>000001916</t>
  </si>
  <si>
    <t>Кабельная линия в районе школы №2 (ТП - возд.ЛЭП)</t>
  </si>
  <si>
    <t>00001158</t>
  </si>
  <si>
    <t>Кабельная линия в районе школы №2 (ТП - школа)</t>
  </si>
  <si>
    <t>00001156</t>
  </si>
  <si>
    <t>Кабельная линия эл.передач 6кВ 10760 м</t>
  </si>
  <si>
    <t>000001843</t>
  </si>
  <si>
    <t>Кабельная ЛЭП-6кВ РУ-6кВ ДЭС-ТП№24 фидера Город-1</t>
  </si>
  <si>
    <t>00001049</t>
  </si>
  <si>
    <t>30.09.2007</t>
  </si>
  <si>
    <t>Кабельная ЛЭП-6кВ РУ-6кВ ДЭС-ТП№3 фидера Город-2</t>
  </si>
  <si>
    <t>00001050</t>
  </si>
  <si>
    <t>Кабельная сеть ЛЭП-0,4кв от ТП-32   351,5м</t>
  </si>
  <si>
    <t>00000548</t>
  </si>
  <si>
    <t>Кабельные линии 6 кВ в составе объекта "ТП-63/1 "Озерная 16" в районе ул. Озерная д.7а"</t>
  </si>
  <si>
    <t>000001838</t>
  </si>
  <si>
    <t>00001123</t>
  </si>
  <si>
    <t>31.07.2009</t>
  </si>
  <si>
    <t>Камера КСО 298-6.1 ВВ-600, зав.№2235.1</t>
  </si>
  <si>
    <t>000001739</t>
  </si>
  <si>
    <t>31.07.2018</t>
  </si>
  <si>
    <t>Камера КСО 298-8.1 ВВ-600, зав.№2235.2</t>
  </si>
  <si>
    <t>000001740</t>
  </si>
  <si>
    <t>Камера КСО 393-03 № 1113</t>
  </si>
  <si>
    <t>00000911</t>
  </si>
  <si>
    <t>Камера КСО 393-03 №1</t>
  </si>
  <si>
    <t>00001240</t>
  </si>
  <si>
    <t>Камера КСО 393-03 №1111</t>
  </si>
  <si>
    <t>00001005</t>
  </si>
  <si>
    <t>Камера КСО 393-03 №1112</t>
  </si>
  <si>
    <t>00001006</t>
  </si>
  <si>
    <t>Камера КСО 393-03 №2</t>
  </si>
  <si>
    <t>00001241</t>
  </si>
  <si>
    <t>Камера КСО 393-03 №3</t>
  </si>
  <si>
    <t>00001242</t>
  </si>
  <si>
    <t>Камера КСО 393-03 №4</t>
  </si>
  <si>
    <t>00001243</t>
  </si>
  <si>
    <t>Камера КСО 393-03 №5</t>
  </si>
  <si>
    <t>00001244</t>
  </si>
  <si>
    <t>Камера КСО 393-03 №6</t>
  </si>
  <si>
    <t>00001245</t>
  </si>
  <si>
    <t>Камера КСО 393-04 (панель трансформатора), зав.№2235.9</t>
  </si>
  <si>
    <t>000001741</t>
  </si>
  <si>
    <t>Камера КСО 393-04 №1</t>
  </si>
  <si>
    <t>00001246</t>
  </si>
  <si>
    <t>Камера КСО 393-04 №2</t>
  </si>
  <si>
    <t>00001247</t>
  </si>
  <si>
    <t>Камера КСО 393-04 №3</t>
  </si>
  <si>
    <t>00001248</t>
  </si>
  <si>
    <t>Камера КСО 393-04 №4</t>
  </si>
  <si>
    <t>00001249</t>
  </si>
  <si>
    <t>Камера КСО 393-24УЗ №1</t>
  </si>
  <si>
    <t>00001373</t>
  </si>
  <si>
    <t>Камера КСО 393-24УЗ №2</t>
  </si>
  <si>
    <t>00001374</t>
  </si>
  <si>
    <t>Камера КСО 393-24УЗ №3</t>
  </si>
  <si>
    <t>00001375</t>
  </si>
  <si>
    <t>Камера КСО 393-24УЗ №4</t>
  </si>
  <si>
    <t>00001376</t>
  </si>
  <si>
    <t>Камера КСО-366-3 2001г</t>
  </si>
  <si>
    <t>00000318</t>
  </si>
  <si>
    <t>30.06.2001</t>
  </si>
  <si>
    <t>Камера КСО-386-1 2001г</t>
  </si>
  <si>
    <t>00000319</t>
  </si>
  <si>
    <t>Камера сборная одностороннего обслуживания КСО-298-8ВВ-630-УЗ зав.№124-1</t>
  </si>
  <si>
    <t>000001483</t>
  </si>
  <si>
    <t>Камера сборная одностороннего обслуживания КСО-298-8ВВ-630-УЗ зав.№124-2</t>
  </si>
  <si>
    <t>000001484</t>
  </si>
  <si>
    <t>Камера сборная одностороннего обслуживания КСО-298-8ВВ-630-УЗ зав.№124-3</t>
  </si>
  <si>
    <t>000001485</t>
  </si>
  <si>
    <t>Камера сборная одностороннего обслуживания КСО-298-8ВВ-630-УЗ зав.№124-4</t>
  </si>
  <si>
    <t>000001486</t>
  </si>
  <si>
    <t>Камера сборная одностороннего обслуживания КСО-298-8ВВ-630-УЗ зав.№124-5</t>
  </si>
  <si>
    <t>000001487</t>
  </si>
  <si>
    <t>00001138</t>
  </si>
  <si>
    <t>00001127</t>
  </si>
  <si>
    <t>00001128</t>
  </si>
  <si>
    <t>00001129</t>
  </si>
  <si>
    <t>00001130</t>
  </si>
  <si>
    <t>00000260</t>
  </si>
  <si>
    <t>КЛ *- Каб.линия 6кв  2кабеля по 2,31 Жив компл 2000г</t>
  </si>
  <si>
    <t>00000265</t>
  </si>
  <si>
    <t>01.05.2000</t>
  </si>
  <si>
    <t>КЛ Кабельн линия 6кв от ТП36 до ТП51 ГОСНИ  1997г.</t>
  </si>
  <si>
    <t>00000187</t>
  </si>
  <si>
    <t>КЛ Кабельна линия 6кв  от ТП22 до ТП-67школа5</t>
  </si>
  <si>
    <t>00000263</t>
  </si>
  <si>
    <t>КЛ Кабельна линия 6кв от ТП4 до ТП 51 Госни 1997г.</t>
  </si>
  <si>
    <t>00000188</t>
  </si>
  <si>
    <t>КЛ Кабельная линия 6 кв от ТП43 до ТП67 школа5</t>
  </si>
  <si>
    <t>00000264</t>
  </si>
  <si>
    <t>КЛ Кабельная линия от ТП10 Масл-д до ТП-12  1998г.</t>
  </si>
  <si>
    <t>00000259</t>
  </si>
  <si>
    <t>КЛ от ТП-35 до 7 этаж.дома по ул. Ленина - Первомайская</t>
  </si>
  <si>
    <t>000001511</t>
  </si>
  <si>
    <t>21.02.2013</t>
  </si>
  <si>
    <t>КЛ-0,4 кВ от ТП №108 до гаражей КОС</t>
  </si>
  <si>
    <t>000001649</t>
  </si>
  <si>
    <t>31.12.2014</t>
  </si>
  <si>
    <t>КЛ-0,4 кВ от ТП №108 до телерадиовещательной компании</t>
  </si>
  <si>
    <t>000001650</t>
  </si>
  <si>
    <t>КЛ-0,4 кВ от ТП-12/1до д.22А  ул.Меньшикова  66,5м</t>
  </si>
  <si>
    <t>00001474</t>
  </si>
  <si>
    <t>03.02.2012</t>
  </si>
  <si>
    <t>КЛ-0,4 кВ электроснабжение объекта "Ненецкая СББЖ г.Нарьян-Мара"</t>
  </si>
  <si>
    <t>000001671</t>
  </si>
  <si>
    <t>КЛ-0,4 кВ(от  ТП Бондарная до очистных) 40м</t>
  </si>
  <si>
    <t>00001222</t>
  </si>
  <si>
    <t>КЛ-0,4кВ (от  ТП Бондарная до ЛЭП-0,4)  25м</t>
  </si>
  <si>
    <t>00001227</t>
  </si>
  <si>
    <t>КЛ-0,4кВ (от ТП № 104  до КНС2)  ул. Авиаторов 2013г (450 м)</t>
  </si>
  <si>
    <t>000001613</t>
  </si>
  <si>
    <t>31.01.2014</t>
  </si>
  <si>
    <t>КЛ-0,4кВ (от ТП № 104  до котельной)  ул. Авиаторов 2013г (50 м)</t>
  </si>
  <si>
    <t>000001612</t>
  </si>
  <si>
    <t>КЛ-0,4кВ от ТП-61 до магазина "Арбат"</t>
  </si>
  <si>
    <t>00001357</t>
  </si>
  <si>
    <t>КЛ-0,4кВ от ТП-98 до ВЛ-0,4кВ"ЛедовыйДворец"120м</t>
  </si>
  <si>
    <t>00001473</t>
  </si>
  <si>
    <t>КЛ-0,4кВ от ТП-№6 до д.12 ул.Выучейского 91,09м</t>
  </si>
  <si>
    <t>00001502</t>
  </si>
  <si>
    <t>КЛ-0,4кВ от ТП-№6 до д.14 ул.Выучейского  65,19м</t>
  </si>
  <si>
    <t>00001080</t>
  </si>
  <si>
    <t>000001926</t>
  </si>
  <si>
    <t>КЛ-6 кВ ввод в ТП №44</t>
  </si>
  <si>
    <t>000001670</t>
  </si>
  <si>
    <t>КЛ-6 кВ от ВЛ-6 кВ до ТП 57 "Геолог"</t>
  </si>
  <si>
    <t>000001858</t>
  </si>
  <si>
    <t>11.06.2021</t>
  </si>
  <si>
    <t>КЛ-6кВ "Малый Качгорт"</t>
  </si>
  <si>
    <t>000001697</t>
  </si>
  <si>
    <t>КЛ-6кВ (от ВЛ до ТП Бондарная) 70м</t>
  </si>
  <si>
    <t>00001224</t>
  </si>
  <si>
    <t>КЛ-6кВ (от ГРУ до ТП № 104)  ул. Авиаторов 2013г (2320 м)</t>
  </si>
  <si>
    <t>000001609</t>
  </si>
  <si>
    <t>КЛ-6кВ (от ГРУ до ТП № 105)  ул. Авиаторов 2013г (1850 м)</t>
  </si>
  <si>
    <t>000001610</t>
  </si>
  <si>
    <t>КЛ-6кВ (от ТП № 104  до ТП № 105)  ул. Авиаторов 2013г (470 м)</t>
  </si>
  <si>
    <t>000001611</t>
  </si>
  <si>
    <t>КЛ-6кВ по улице Южная от ТП №34 до ТП №104</t>
  </si>
  <si>
    <t>000001691</t>
  </si>
  <si>
    <t>30.11.2016</t>
  </si>
  <si>
    <t>КЛ-6кВ ТП №21-ТП №113 "Молодежный центр"</t>
  </si>
  <si>
    <t>000001693</t>
  </si>
  <si>
    <t>КЛ-6кВ ТП №7-ТП №113 "Молодежный центр"</t>
  </si>
  <si>
    <t>000001692</t>
  </si>
  <si>
    <t>Клещи токоизмерит</t>
  </si>
  <si>
    <t>00000410</t>
  </si>
  <si>
    <t>Комплексная трансформаторная подстанция</t>
  </si>
  <si>
    <t>000001846</t>
  </si>
  <si>
    <t>Комплексная трансформаторная подстанция ЗРУ-6кВ</t>
  </si>
  <si>
    <t>000001779</t>
  </si>
  <si>
    <t>30.09.2019</t>
  </si>
  <si>
    <t>Комплект индикаторов короткого замыкания ИКЗ-В34Л-У3</t>
  </si>
  <si>
    <t>000001813</t>
  </si>
  <si>
    <t>16.06.2020</t>
  </si>
  <si>
    <t>Комплектная трансф.подстанция 2КТПН-400 6-0,4 кВ ТП№108"район очистных сооружений"</t>
  </si>
  <si>
    <t>000001481</t>
  </si>
  <si>
    <t>Комплектная трансф.подстанция 2КТПН-400 6-0,4 кВ ТП№15 "СЭС"</t>
  </si>
  <si>
    <t>000001480</t>
  </si>
  <si>
    <t>Комплектная трансф.подстанция 2КТПН-400 6-0,4 кВ ТП№61 "поликлиника"</t>
  </si>
  <si>
    <t>000001482</t>
  </si>
  <si>
    <t>Комплектная трансформаторная подстанция 6/0,4 кВ</t>
  </si>
  <si>
    <t>000001886</t>
  </si>
  <si>
    <t>Комплектная трансформаторная подстанция КТП2×400/6/0,4</t>
  </si>
  <si>
    <t>000001827</t>
  </si>
  <si>
    <t>Крун Город-3  1979г.</t>
  </si>
  <si>
    <t>00000248</t>
  </si>
  <si>
    <t>30.01.1979</t>
  </si>
  <si>
    <t>Крун ул Строительная 7  1981г.</t>
  </si>
  <si>
    <t>00000245</t>
  </si>
  <si>
    <t>КСО 393 030660 УЗ ВНА №1</t>
  </si>
  <si>
    <t>00000988</t>
  </si>
  <si>
    <t>КСО 393 030660 УЗ ВНА №2</t>
  </si>
  <si>
    <t>00000985</t>
  </si>
  <si>
    <t>КСО 393 030660 УЗ ВНА №3</t>
  </si>
  <si>
    <t>00000986</t>
  </si>
  <si>
    <t>КСО 393 030660 УЗ ВНА №4</t>
  </si>
  <si>
    <t>00000987</t>
  </si>
  <si>
    <t>КТП-40  ТП-59 школа№6  1995г.</t>
  </si>
  <si>
    <t>00000230</t>
  </si>
  <si>
    <t>КТПМ ВВ без тр-ра 160к ВА-10кв /подстанция/ 2004</t>
  </si>
  <si>
    <t>00000755</t>
  </si>
  <si>
    <t>31.08.2004</t>
  </si>
  <si>
    <t>000001743</t>
  </si>
  <si>
    <t>Лабораторно-диагностический корпус для ГУЗ "Ненецкая окружная больница". Трансформаторная подстанция</t>
  </si>
  <si>
    <t>000001713</t>
  </si>
  <si>
    <t>05.09.2017</t>
  </si>
  <si>
    <t>000001923</t>
  </si>
  <si>
    <t>29.12.2022</t>
  </si>
  <si>
    <t>000001920</t>
  </si>
  <si>
    <t>30.11.2022</t>
  </si>
  <si>
    <t>Линия ВЛ-0,4 кв по ул  Строител 1998г</t>
  </si>
  <si>
    <t>00000256</t>
  </si>
  <si>
    <t>Линия электропередач - 0,4 кВ. в с. Тельвиска</t>
  </si>
  <si>
    <t>000001842</t>
  </si>
  <si>
    <t>000001845</t>
  </si>
  <si>
    <t>Линия электропередач 20 кВ "г.Нарьян-Мар-Красное"</t>
  </si>
  <si>
    <t>000001570</t>
  </si>
  <si>
    <t>Линия электропередач 6 кВ "г.Нарьян-Мар - с.Тельвиска" НАО</t>
  </si>
  <si>
    <t>000001507</t>
  </si>
  <si>
    <t>21.12.2012</t>
  </si>
  <si>
    <t>000001887</t>
  </si>
  <si>
    <t>000001889</t>
  </si>
  <si>
    <t>Линия электропередач КЛ 6 кВ</t>
  </si>
  <si>
    <t>000001888</t>
  </si>
  <si>
    <t>ЛЭП-0,4кв от д14 60 лет Октября 550м (2006г)</t>
  </si>
  <si>
    <t>00000977</t>
  </si>
  <si>
    <t>10.05.2006</t>
  </si>
  <si>
    <t>ЛЭП-0,4кв от ТП котел №2 до Строит 22 200м 2006г</t>
  </si>
  <si>
    <t>00000994</t>
  </si>
  <si>
    <t>ЛЭП-6кВ "ЗРУ 6кВ-выход ф.Факел-2" 2007г</t>
  </si>
  <si>
    <t>00001036</t>
  </si>
  <si>
    <t>ЛЭП-6кВ ЗРУ6кВ-выход ф. Искателей-1</t>
  </si>
  <si>
    <t>00001023</t>
  </si>
  <si>
    <t>ЛЭП-6кВ по ул. Авиаторов</t>
  </si>
  <si>
    <t>000001421</t>
  </si>
  <si>
    <t>Многоквартирный жилой дом по ул. Пионерской г.Нарьян-Мар. Наружные сети электроснабжения</t>
  </si>
  <si>
    <t>000001873</t>
  </si>
  <si>
    <t>02.12.2021</t>
  </si>
  <si>
    <t>Модуль УВН КТПГС-6кВ (ЗРУ-6кВ)</t>
  </si>
  <si>
    <t>00001099</t>
  </si>
  <si>
    <t>Набор инструмента IT-1000 №1</t>
  </si>
  <si>
    <t>00001086</t>
  </si>
  <si>
    <t>Набор инструмента IT-1000 №2</t>
  </si>
  <si>
    <t>00001087</t>
  </si>
  <si>
    <t>Наружные высоковольтные сети эл/снаб. 600 м м-н Старый аэропорт (ТП №90)</t>
  </si>
  <si>
    <t>000001493</t>
  </si>
  <si>
    <t>00000257</t>
  </si>
  <si>
    <t>Оборудование КТП-250 ТП-62 1995г.</t>
  </si>
  <si>
    <t>00000233</t>
  </si>
  <si>
    <t>Оборудование ТП №83 "Теплица"</t>
  </si>
  <si>
    <t>000001648</t>
  </si>
  <si>
    <t>Оборудование ТП-11 ул Меньшикова 1</t>
  </si>
  <si>
    <t>00000197</t>
  </si>
  <si>
    <t>01.01.1972</t>
  </si>
  <si>
    <t>Оборудование ТП-14 баня</t>
  </si>
  <si>
    <t>00000199</t>
  </si>
  <si>
    <t>Оборудование ТП-16  Мирный КТП 1990г.</t>
  </si>
  <si>
    <t>00000572</t>
  </si>
  <si>
    <t>Оборудование ТП-17 ул Печорская</t>
  </si>
  <si>
    <t>00000523</t>
  </si>
  <si>
    <t>01.01.1978</t>
  </si>
  <si>
    <t>Оборудование ТП-18 ул 60 лет СССР 5</t>
  </si>
  <si>
    <t>00000569</t>
  </si>
  <si>
    <t>Оборудование ТП-19 ул  Южная, кот 2</t>
  </si>
  <si>
    <t>00000575</t>
  </si>
  <si>
    <t>Оборудование ТП-20 пер Рыбацкий</t>
  </si>
  <si>
    <t>00000526</t>
  </si>
  <si>
    <t>Оборудование ТП-21 ул Хатанзейского</t>
  </si>
  <si>
    <t>00000586</t>
  </si>
  <si>
    <t>01.01.1967</t>
  </si>
  <si>
    <t>Оборудование ТП-24 60 лет Окт 3а 1975г.</t>
  </si>
  <si>
    <t>00000579</t>
  </si>
  <si>
    <t>01.01.1975</t>
  </si>
  <si>
    <t>Оборудование ТП-25   АТП 1978г.</t>
  </si>
  <si>
    <t>00000510</t>
  </si>
  <si>
    <t>Оборудование ТП-27 канал ст шк 1 1982г.</t>
  </si>
  <si>
    <t>00000212</t>
  </si>
  <si>
    <t>01.01.1982</t>
  </si>
  <si>
    <t>Оборудование ТП-29  ГНС ул Полярная 1988г</t>
  </si>
  <si>
    <t>00000214</t>
  </si>
  <si>
    <t>Оборудование ТП-3 "Больница" ул.Ленина 2013г</t>
  </si>
  <si>
    <t>000001571</t>
  </si>
  <si>
    <t>Оборудование ТП-30  Очистные ул Хатанзей-го 1983г</t>
  </si>
  <si>
    <t>00000215</t>
  </si>
  <si>
    <t>Оборудование ТП-31, 407-3-44/75 1986г.</t>
  </si>
  <si>
    <t>00000216</t>
  </si>
  <si>
    <t>01.01.1986</t>
  </si>
  <si>
    <t>Оборудование ТП-32 ул.Ленина, 41  2013г</t>
  </si>
  <si>
    <t>000001572</t>
  </si>
  <si>
    <t>Оборудование ТП-37 ул Ленина,27 2013г</t>
  </si>
  <si>
    <t>000001573</t>
  </si>
  <si>
    <t>Оборудование ТП-4 АТС 1993г</t>
  </si>
  <si>
    <t>00000224</t>
  </si>
  <si>
    <t>01.01.1993</t>
  </si>
  <si>
    <t>000001928</t>
  </si>
  <si>
    <t>Оборудование ТП-52 Совхоз ГКТП 1982 г.</t>
  </si>
  <si>
    <t>00000220</t>
  </si>
  <si>
    <t>Оборудование ТП-53 ГКТП Качгорт 1988г.</t>
  </si>
  <si>
    <t>00000219</t>
  </si>
  <si>
    <t>Оборудование ТП-66 МРП 1998г.</t>
  </si>
  <si>
    <t>00000252</t>
  </si>
  <si>
    <t>01.06.1998</t>
  </si>
  <si>
    <t>Оборудование ТП-7 столовая 1 1967г.</t>
  </si>
  <si>
    <t>00000194</t>
  </si>
  <si>
    <t>Оборудование ТП-72 "Микрорайон Центральный"  ул Ленина, 29   2013г</t>
  </si>
  <si>
    <t>000001574</t>
  </si>
  <si>
    <t>Оборудование ТП-8 ул  Ленина 47, 47а</t>
  </si>
  <si>
    <t>00000195</t>
  </si>
  <si>
    <t>Оборудование ТП-9  ул Октябрьская 17</t>
  </si>
  <si>
    <t>00000196</t>
  </si>
  <si>
    <t>Оборудование ТП46 Молодежная Факел 1996г</t>
  </si>
  <si>
    <t>00000239</t>
  </si>
  <si>
    <t>Панели н/в ЩО70 Ленина 35б №1 02/09-1329</t>
  </si>
  <si>
    <t>00001131</t>
  </si>
  <si>
    <t>Панели н/в ЩО70 Ленина 35б №2 02/09-1330</t>
  </si>
  <si>
    <t>00001132</t>
  </si>
  <si>
    <t>Панели н/в ЩО70 Ленина 35б №3 02/09-1333</t>
  </si>
  <si>
    <t>00001139</t>
  </si>
  <si>
    <t>Панели н/в ЩО70 Ленина 35б №4 02/09-1326</t>
  </si>
  <si>
    <t>00001133</t>
  </si>
  <si>
    <t>Панели н/в ЩО70 Ленина 35б №5 02/09-1328</t>
  </si>
  <si>
    <t>00001134</t>
  </si>
  <si>
    <t>Панели н/в ЩО70 Ленина 35б №6 02/09-1331</t>
  </si>
  <si>
    <t>00001135</t>
  </si>
  <si>
    <t>Панели н/в ЩО70 Ленина 35б №7  02/09-1327</t>
  </si>
  <si>
    <t>00001136</t>
  </si>
  <si>
    <t>Панели н/в ЩО70 Ленина 35б №8 02/09-1332</t>
  </si>
  <si>
    <t>00001137</t>
  </si>
  <si>
    <t>Панель распределительная ЩО-70-1-01УЗ 2001г</t>
  </si>
  <si>
    <t>00000316</t>
  </si>
  <si>
    <t>Панель распределительная ЩО-70-1-04УЗ 2001г</t>
  </si>
  <si>
    <t>00000317</t>
  </si>
  <si>
    <t>Панель ШО-70  1996г.</t>
  </si>
  <si>
    <t>00000251</t>
  </si>
  <si>
    <t>01.12.1996</t>
  </si>
  <si>
    <t>Панель ЩО 70-1-02</t>
  </si>
  <si>
    <t>00001007</t>
  </si>
  <si>
    <t>00001008</t>
  </si>
  <si>
    <t>00001009</t>
  </si>
  <si>
    <t>Панель ЩО 70-1-32</t>
  </si>
  <si>
    <t>00001010</t>
  </si>
  <si>
    <t>00001011</t>
  </si>
  <si>
    <t>Панель ЩО 70-3-05 (Н) УЗ1 250А №6898</t>
  </si>
  <si>
    <t>00001370</t>
  </si>
  <si>
    <t>Панель ЩО 70-3-05 (Н) УЗ2 260А №6899</t>
  </si>
  <si>
    <t>00001372</t>
  </si>
  <si>
    <t>Панель ЩО 70-3-09 УЗ 1000А №6900</t>
  </si>
  <si>
    <t>00001369</t>
  </si>
  <si>
    <t>Панель ЩО 70-3М-01</t>
  </si>
  <si>
    <t>00001012</t>
  </si>
  <si>
    <t>Панель ЩО 70-3М-02 ТП-35 Ленина 5 2005г</t>
  </si>
  <si>
    <t>00000958</t>
  </si>
  <si>
    <t>Передвижная КТП</t>
  </si>
  <si>
    <t>000001641</t>
  </si>
  <si>
    <t>12.11.2014</t>
  </si>
  <si>
    <t>Перфоратор Makita HR5202C</t>
  </si>
  <si>
    <t>000001807</t>
  </si>
  <si>
    <t>16.04.2020</t>
  </si>
  <si>
    <t>Подстанция КТПКп-400 №2273 ( ТП № 2  2008г)</t>
  </si>
  <si>
    <t>00001063</t>
  </si>
  <si>
    <t>Подстанция КТПКп-400 №2275 (ТП № 65 с 18.08.09г)</t>
  </si>
  <si>
    <t>00001044</t>
  </si>
  <si>
    <t>Подстанция КТПКп-400/10/0,4 к/к (без тр-ра) 2003г</t>
  </si>
  <si>
    <t>00000205</t>
  </si>
  <si>
    <t>Подстанция трансформат. компл. КТП/ПК 630/6/0,4 кВ</t>
  </si>
  <si>
    <t>00001251</t>
  </si>
  <si>
    <t>Прибор Прорыв-КЭ</t>
  </si>
  <si>
    <t>00001056</t>
  </si>
  <si>
    <t>30.11.2007</t>
  </si>
  <si>
    <t>Пункт коммерческого учета ПКУ-6-У1 (ВМ) (16-1513.1) 16-1513.1</t>
  </si>
  <si>
    <t>000001686</t>
  </si>
  <si>
    <t>22.06.2016</t>
  </si>
  <si>
    <t>Распред устройство 6 кв Водозабор</t>
  </si>
  <si>
    <t>00000222</t>
  </si>
  <si>
    <t>Распред. устройство 6кв 1986г</t>
  </si>
  <si>
    <t>00000577</t>
  </si>
  <si>
    <t>Распределительное устройство РУ-6 кВ 2007г</t>
  </si>
  <si>
    <t>00001034</t>
  </si>
  <si>
    <t>Реклоузер вакуумный PBA/TEL фидер ЖВК на ВЛ-6кВ</t>
  </si>
  <si>
    <t>000001667</t>
  </si>
  <si>
    <t>000001701</t>
  </si>
  <si>
    <t>31.03.2017</t>
  </si>
  <si>
    <t>Реклоузер вакуумный PBA/TEL фидер Нефтебаза на ВЛ 6 кВ ул. Калмыкова, в районе дома №14</t>
  </si>
  <si>
    <t>000001700</t>
  </si>
  <si>
    <t>Реконструкция ВЛ-0,4 кВ от ТП № 43 фидер "ул. Рабочая 43" г. Нарьян-Мар НАО</t>
  </si>
  <si>
    <t>000001679</t>
  </si>
  <si>
    <t>20.02.2016</t>
  </si>
  <si>
    <t>Реконструкция ВЛ-0,4 кВ от ТП №24 фидер "ул. 60 лет Октября 3а"</t>
  </si>
  <si>
    <t>000001678</t>
  </si>
  <si>
    <t>РП-6кВ "Банное озеро" 2008г</t>
  </si>
  <si>
    <t>00001093</t>
  </si>
  <si>
    <t>РП-6кВ с питающими кабельными линиями 6 кВ по ул. Октябрьская и ул. Выучейского</t>
  </si>
  <si>
    <t>000001756</t>
  </si>
  <si>
    <t>29.12.2018</t>
  </si>
  <si>
    <t>Сети электроснабжения</t>
  </si>
  <si>
    <t>000001714</t>
  </si>
  <si>
    <t>Сети электроснабжения (База МТР)</t>
  </si>
  <si>
    <t>000001508</t>
  </si>
  <si>
    <t>29.01.2013</t>
  </si>
  <si>
    <t>000001731</t>
  </si>
  <si>
    <t>Спасательный центр в г. Нарьян-Маре. Кабель электроснабжения 6 кВ</t>
  </si>
  <si>
    <t>000001704</t>
  </si>
  <si>
    <t>24.05.2017</t>
  </si>
  <si>
    <t>Станок сверлильный JET JDP-15T 380B</t>
  </si>
  <si>
    <t>000001727</t>
  </si>
  <si>
    <t>000001825</t>
  </si>
  <si>
    <t>12.11.2020</t>
  </si>
  <si>
    <t>Строительство ВЛ-0,4кВ от ТП №2 фидер ул. 60 лет Октября д.43А г. Нарьян-Мар НАО</t>
  </si>
  <si>
    <t>000001690</t>
  </si>
  <si>
    <t>10.08.2016</t>
  </si>
  <si>
    <t>000001699</t>
  </si>
  <si>
    <t>23.12.2016</t>
  </si>
  <si>
    <t>Тепловая пушка СФО-20 2003г</t>
  </si>
  <si>
    <t>00000460</t>
  </si>
  <si>
    <t>Тепловая пушка СФО-20 №2 2003г</t>
  </si>
  <si>
    <t>00000464</t>
  </si>
  <si>
    <t>Тепловая пушка СФО-25 2003г</t>
  </si>
  <si>
    <t>00000461</t>
  </si>
  <si>
    <t>Тепловая пушка СФО-25 №2 2003г</t>
  </si>
  <si>
    <t>00000465</t>
  </si>
  <si>
    <t>Тепловизор RGK TL-80</t>
  </si>
  <si>
    <t>000001742</t>
  </si>
  <si>
    <t>Токоизмерительные клещи РК-381</t>
  </si>
  <si>
    <t>00000321</t>
  </si>
  <si>
    <t>Токоизмерительные клещи с поверкой U1213A</t>
  </si>
  <si>
    <t>000001868</t>
  </si>
  <si>
    <t>09.11.2021</t>
  </si>
  <si>
    <t>ТП 100/6/0,4кВ лыжная база "Старт"</t>
  </si>
  <si>
    <t>00001230</t>
  </si>
  <si>
    <t>ТП №1 " Сахалин "</t>
  </si>
  <si>
    <t>00000995</t>
  </si>
  <si>
    <t>ТП №10  Маслозавод    =10лет</t>
  </si>
  <si>
    <t>00000258</t>
  </si>
  <si>
    <t>ТП №101 (2КТП База МТР)</t>
  </si>
  <si>
    <t>000001510</t>
  </si>
  <si>
    <t>30.01.2013</t>
  </si>
  <si>
    <t>000001607</t>
  </si>
  <si>
    <t>000001608</t>
  </si>
  <si>
    <t>ТП №11 ул Меньшикова 1  1972г.</t>
  </si>
  <si>
    <t>00000132</t>
  </si>
  <si>
    <t>31.01.1972</t>
  </si>
  <si>
    <t>ТП №12/1 по ул. Меньшикова д.22А</t>
  </si>
  <si>
    <t>00001254</t>
  </si>
  <si>
    <t>ТП №13-1 "Бондарная"(КТПН(КК)400 с тр-мТМ250/60,4)</t>
  </si>
  <si>
    <t>00001116</t>
  </si>
  <si>
    <t>30.03.2009</t>
  </si>
  <si>
    <t>ТП №14 баня 1  1974г.</t>
  </si>
  <si>
    <t>00000536</t>
  </si>
  <si>
    <t>31.01.1974</t>
  </si>
  <si>
    <t>ТП №17 ул Печорская  1978г.</t>
  </si>
  <si>
    <t>00000136</t>
  </si>
  <si>
    <t>31.01.1978</t>
  </si>
  <si>
    <t>ТП №18 ул 60 лет СССР 5  1981г.</t>
  </si>
  <si>
    <t>00000138</t>
  </si>
  <si>
    <t>31.01.1981</t>
  </si>
  <si>
    <t>ТП №19 ул Южная 2  1968г.</t>
  </si>
  <si>
    <t>00000139</t>
  </si>
  <si>
    <t>31.01.1968</t>
  </si>
  <si>
    <t>ТП №20 пер Рыбацкий 1970г</t>
  </si>
  <si>
    <t>00000540</t>
  </si>
  <si>
    <t>31.01.1970</t>
  </si>
  <si>
    <t>ТП №21 ул Хатанзейского  1967г.</t>
  </si>
  <si>
    <t>00000541</t>
  </si>
  <si>
    <t>31.01.1967</t>
  </si>
  <si>
    <t>ТП №22  пос Р/комб   ул Строительная  1992г.</t>
  </si>
  <si>
    <t>00000527</t>
  </si>
  <si>
    <t>31.01.1992</t>
  </si>
  <si>
    <t>ТП №23 район "Тубдиспансер" 2008г</t>
  </si>
  <si>
    <t>00001091</t>
  </si>
  <si>
    <t>ТП №24   ул 60 лет Октября 3а  1975г.</t>
  </si>
  <si>
    <t>00000542</t>
  </si>
  <si>
    <t>31.01.1975</t>
  </si>
  <si>
    <t>ТП №25 Н-Марское АТП  1978г.</t>
  </si>
  <si>
    <t>00000543</t>
  </si>
  <si>
    <t>ТП №26/1 "База РСУ"</t>
  </si>
  <si>
    <t>000001645</t>
  </si>
  <si>
    <t>04.12.2014</t>
  </si>
  <si>
    <t>ТП №27 школа 1  1982г.</t>
  </si>
  <si>
    <t>00000544</t>
  </si>
  <si>
    <t>31.01.1982</t>
  </si>
  <si>
    <t>ТП №28/1 "Юбилейная"</t>
  </si>
  <si>
    <t>000001646</t>
  </si>
  <si>
    <t>ТП №3 больница 1988г.</t>
  </si>
  <si>
    <t>00000126</t>
  </si>
  <si>
    <t>31.01.1988</t>
  </si>
  <si>
    <t>ТП №31 Озерная  водонасосная 1986г</t>
  </si>
  <si>
    <t>00000585</t>
  </si>
  <si>
    <t>ТП №32 ул Ленина 41  1985г.</t>
  </si>
  <si>
    <t>00000588</t>
  </si>
  <si>
    <t>31.01.1985</t>
  </si>
  <si>
    <t>ТП №34 ул Южная 43а  ГКТП 1991г.</t>
  </si>
  <si>
    <t>00000223</t>
  </si>
  <si>
    <t>ТП №35 ул Ленина 5  1993г.</t>
  </si>
  <si>
    <t>00000551</t>
  </si>
  <si>
    <t>31.01.1993</t>
  </si>
  <si>
    <t>ТП №35 ул. Ленина р-он д.№5 2008г(оборуд-е)</t>
  </si>
  <si>
    <t>00001089</t>
  </si>
  <si>
    <t>ТП №36  КОП ресторан Север 1993г</t>
  </si>
  <si>
    <t>00000227</t>
  </si>
  <si>
    <t>ТП №37 жил, дом Ленина 27  1984г.</t>
  </si>
  <si>
    <t>00000150</t>
  </si>
  <si>
    <t>31.01.1994</t>
  </si>
  <si>
    <t>ТП №38 ул Заполярная</t>
  </si>
  <si>
    <t>00000554</t>
  </si>
  <si>
    <t>01.01.1985</t>
  </si>
  <si>
    <t>ТП №38 ул Заполярная   1985г.</t>
  </si>
  <si>
    <t>00000229</t>
  </si>
  <si>
    <t>ТП №39 л/завод котельная</t>
  </si>
  <si>
    <t>00000598</t>
  </si>
  <si>
    <t>ТП №4 АТС  КБО 1993г</t>
  </si>
  <si>
    <t>00000539</t>
  </si>
  <si>
    <t>ТП №40-1 школа №2-новая</t>
  </si>
  <si>
    <t>00001155</t>
  </si>
  <si>
    <t>ТП №42 по ул. Рабочая  2008г(оборуд-е)</t>
  </si>
  <si>
    <t>00001088</t>
  </si>
  <si>
    <t>ТП №42 ул Рабочая 21 1980г</t>
  </si>
  <si>
    <t>00000156</t>
  </si>
  <si>
    <t>31.01.1980</t>
  </si>
  <si>
    <t>ТП №43 ул Рабочая водозабор  1996г.</t>
  </si>
  <si>
    <t>00000157</t>
  </si>
  <si>
    <t>31.01.1990</t>
  </si>
  <si>
    <t>ТП №44 "Ненецкая СББЖ г.Нарьян-Мара"</t>
  </si>
  <si>
    <t>000001668</t>
  </si>
  <si>
    <t>ТП №45 ПОКиТС 2008г</t>
  </si>
  <si>
    <t>00001096</t>
  </si>
  <si>
    <t>31.10.2008</t>
  </si>
  <si>
    <t>ТП №48 Угольная</t>
  </si>
  <si>
    <t>00000231</t>
  </si>
  <si>
    <t>ТП №5/1 2КТПН-630/6/0,4 Смидовича 20А 2010г</t>
  </si>
  <si>
    <t>00000927</t>
  </si>
  <si>
    <t>ТП №51 ГОСНИ по НАО К-42-630 1997г.</t>
  </si>
  <si>
    <t>00000094</t>
  </si>
  <si>
    <t>ТП №54  на базе ДРСУ</t>
  </si>
  <si>
    <t>00000093</t>
  </si>
  <si>
    <t>ТП №56 Факел звероферма КТП  1997г  ч/з ле/з курью</t>
  </si>
  <si>
    <t>00000092</t>
  </si>
  <si>
    <t>01.01.1997</t>
  </si>
  <si>
    <t>ТП №57 Геолог 2х ТМ-250 п Искателей  1981г.</t>
  </si>
  <si>
    <t>00000496</t>
  </si>
  <si>
    <t>ТП №58 ГКТПН 10-400</t>
  </si>
  <si>
    <t>00000249</t>
  </si>
  <si>
    <t>ТП №59 ТМ-250 школа п.Искателей 1997г</t>
  </si>
  <si>
    <t>00000096</t>
  </si>
  <si>
    <t>ТП №6-1 ул Ненец-Оленн-Выуч-Полярн 96-кв дом 2010г</t>
  </si>
  <si>
    <t>00001220</t>
  </si>
  <si>
    <t>ТП №60</t>
  </si>
  <si>
    <t>00000228</t>
  </si>
  <si>
    <t>00000098</t>
  </si>
  <si>
    <t>ТП №64  Рассихина 7 ГКТП ТМ-320 пИскателей 1997г</t>
  </si>
  <si>
    <t>00000095</t>
  </si>
  <si>
    <t>ТП №65 Строителей 8  пИскателей 1997г</t>
  </si>
  <si>
    <t>00000506</t>
  </si>
  <si>
    <t>ТП №66  МРП</t>
  </si>
  <si>
    <t>00000533</t>
  </si>
  <si>
    <t>31.05.1998</t>
  </si>
  <si>
    <t>ТП №67 школа№5 2000г.</t>
  </si>
  <si>
    <t>00000262</t>
  </si>
  <si>
    <t>ТП №69 "Баня п.Лесозавод" (КТПК -250  2005гг)</t>
  </si>
  <si>
    <t>00000046</t>
  </si>
  <si>
    <t>29.09.2005</t>
  </si>
  <si>
    <t>ТП №7 столовая 1  1967г.</t>
  </si>
  <si>
    <t>00000529</t>
  </si>
  <si>
    <t>ТП №73(Трансформаторная подстанция Ленина 35б )</t>
  </si>
  <si>
    <t>00001122</t>
  </si>
  <si>
    <t>ТП №74 по ул.Выучейского (р-он маг. Евросеть)</t>
  </si>
  <si>
    <t>00000966</t>
  </si>
  <si>
    <t>02.12.2005</t>
  </si>
  <si>
    <t>ТП №75 КТП /ПК-К-250/10/04 на Неф-в 11а  2006г</t>
  </si>
  <si>
    <t>00000982</t>
  </si>
  <si>
    <t>ТП №76 котельная №2</t>
  </si>
  <si>
    <t>00001000</t>
  </si>
  <si>
    <t>ТП №77 пер Антипина п Мирный 2007г</t>
  </si>
  <si>
    <t>00001053</t>
  </si>
  <si>
    <t>16.10.2007</t>
  </si>
  <si>
    <t>ТП №8 ул Ленина 47, 47а  1978г.</t>
  </si>
  <si>
    <t>00000581</t>
  </si>
  <si>
    <t>ТП №80 "Окруж.музей" ул. Победы, р -он д.5</t>
  </si>
  <si>
    <t>00001159</t>
  </si>
  <si>
    <t>31.10.2009</t>
  </si>
  <si>
    <t>ТП №85 по ул Ненецкая ул Первомайская</t>
  </si>
  <si>
    <t>00001113</t>
  </si>
  <si>
    <t>28.02.2009</t>
  </si>
  <si>
    <t>ТП №86  "Детский сад/ясли на 220 мест с бассейном" в центральной части г. Нарьян-Мара</t>
  </si>
  <si>
    <t>000001503</t>
  </si>
  <si>
    <t>ТП №87 "Промзона в районе аэропорта" 2008г</t>
  </si>
  <si>
    <t>00001092</t>
  </si>
  <si>
    <t>ТП №89 ул Россихина 2010г</t>
  </si>
  <si>
    <t>00001235</t>
  </si>
  <si>
    <t>ТП №9 ул Октябрьская 17  1966г.</t>
  </si>
  <si>
    <t>00000137</t>
  </si>
  <si>
    <t>31.01.1966</t>
  </si>
  <si>
    <t>ТП №90 м-н Старый аэропорт(КТППК-В-400/6У1)</t>
  </si>
  <si>
    <t>000001492</t>
  </si>
  <si>
    <t>ТП №91 п. Мирный (КТП 6/0,4 кВ 1х400 кВа)</t>
  </si>
  <si>
    <t>000001491</t>
  </si>
  <si>
    <t>ТП №98"Ледовый дворец" ул.Калмыкова 2011г</t>
  </si>
  <si>
    <t>00001348</t>
  </si>
  <si>
    <t>17.02.2011</t>
  </si>
  <si>
    <t>Трансф-р масляный ТМГ 250/6/0,4У/Ун-0 зав.№1695586</t>
  </si>
  <si>
    <t>00001365</t>
  </si>
  <si>
    <t>Трансф-р масляный ТМГ 400/6/0,4У/Ун-0 зав.№1290</t>
  </si>
  <si>
    <t>00001352</t>
  </si>
  <si>
    <t>Трансф-р масляный ТМГ 630/6/0,4У/Ун-0 зав. №0756</t>
  </si>
  <si>
    <t>00001253</t>
  </si>
  <si>
    <t>Трансформатор 250 КВА 1111304 1988г</t>
  </si>
  <si>
    <t>00000241</t>
  </si>
  <si>
    <t>Трансформатор 320/6 КВА 36323</t>
  </si>
  <si>
    <t>00000240</t>
  </si>
  <si>
    <t>Трансформатор масляный ТМГ 250/6/0,4 Y/Yн-0 №0568</t>
  </si>
  <si>
    <t>00001252</t>
  </si>
  <si>
    <t>Трансформатор масляный ТМГ 400/6/0,4У/Ун-0 зав.№1478</t>
  </si>
  <si>
    <t>00001350</t>
  </si>
  <si>
    <t>Трансформатор МГ400/6 Ленина35б №1 1613837 Бела-сь</t>
  </si>
  <si>
    <t>00001124</t>
  </si>
  <si>
    <t>Трансформатор МГ400/6 Ленина35б №2 1512482 Бела-сь</t>
  </si>
  <si>
    <t>00001125</t>
  </si>
  <si>
    <t>Трансформатор ТМ 25/6 478 1975г.</t>
  </si>
  <si>
    <t>00000243</t>
  </si>
  <si>
    <t>00001100</t>
  </si>
  <si>
    <t>00001101</t>
  </si>
  <si>
    <t>Трансформатор ТМ 400/6 №2 №1542662 ТП-46</t>
  </si>
  <si>
    <t>00001103</t>
  </si>
  <si>
    <t>Трансформатор ТМ 63/6 1001093 1985г</t>
  </si>
  <si>
    <t>00000244</t>
  </si>
  <si>
    <t>Трансформатор ТМ 630/6 (школа №2)</t>
  </si>
  <si>
    <t>00001104</t>
  </si>
  <si>
    <t>Трансформатор ТМ-100-6/0,4 №40883 1996г ТП-48 Угольная</t>
  </si>
  <si>
    <t>00000204</t>
  </si>
  <si>
    <t>Трансформатор ТМ-160 КВА 6/0,4 №2984 2007г</t>
  </si>
  <si>
    <t>00001042</t>
  </si>
  <si>
    <t>00001039</t>
  </si>
  <si>
    <t>Трансформатор ТМ-160/6/0,4</t>
  </si>
  <si>
    <t>00001016</t>
  </si>
  <si>
    <t>Трансформатор ТМ-250-6-0,4  №399099г 2000г выпуск</t>
  </si>
  <si>
    <t>00000267</t>
  </si>
  <si>
    <t>01.09.2000</t>
  </si>
  <si>
    <t>Трансформатор ТМ-400 КВА 6/0,4 №30854 2007г</t>
  </si>
  <si>
    <t>000001689</t>
  </si>
  <si>
    <t>29.07.2016</t>
  </si>
  <si>
    <t>Трансформатор ТМ-400 КВА 6/0,4 №5909 2007г</t>
  </si>
  <si>
    <t>00001043</t>
  </si>
  <si>
    <t>00001045</t>
  </si>
  <si>
    <t>Трансформатор ТМ400/6 №1510715 (ТП №65 с 18.08.09)</t>
  </si>
  <si>
    <t>00001102</t>
  </si>
  <si>
    <t>Трансформатор ТМГ-160/6 1379549</t>
  </si>
  <si>
    <t>00001015</t>
  </si>
  <si>
    <t>00001014</t>
  </si>
  <si>
    <t>Трансформатор ТМГ-160/6-0,4 №145970 2001г выпуска</t>
  </si>
  <si>
    <t>00000324</t>
  </si>
  <si>
    <t>Трансформатор ТМГ-160/6/0,4 зав.№003703Y</t>
  </si>
  <si>
    <t>000001711</t>
  </si>
  <si>
    <t>31.07.2017</t>
  </si>
  <si>
    <t>Трансформатор ТМГ-160/6/6/0,4 схема и группа соединений Д/Ун-11 зав. 13417</t>
  </si>
  <si>
    <t>000001775</t>
  </si>
  <si>
    <t>Трансформатор ТМГ-250/6 №1545100</t>
  </si>
  <si>
    <t>00001018</t>
  </si>
  <si>
    <t>00001017</t>
  </si>
  <si>
    <t>Трансформатор ТМГ-250/6-0,4  № 1451843 2001г выпус</t>
  </si>
  <si>
    <t>00000315</t>
  </si>
  <si>
    <t>Трансформатор ТМГ-250/6/0 4У1 2005г №1518456 ТП-19</t>
  </si>
  <si>
    <t>00000864</t>
  </si>
  <si>
    <t>31.01.2005</t>
  </si>
  <si>
    <t>Трансформатор ТМГ-250/6/0,4 зав.№003119Y</t>
  </si>
  <si>
    <t>000001710</t>
  </si>
  <si>
    <t>Трансформатор ТМГ-250/6/0,4 схема и группа соединений Д/Ун-11 Россия завод.№636720</t>
  </si>
  <si>
    <t>000001806</t>
  </si>
  <si>
    <t>06.04.2020</t>
  </si>
  <si>
    <t>Трансформатор ТМГ-400 6/0,4кв  №1656822 2009г</t>
  </si>
  <si>
    <t>00001149</t>
  </si>
  <si>
    <t>Трансформатор ТМГ-400/6/0,4 зав.№003815Y</t>
  </si>
  <si>
    <t>000001709</t>
  </si>
  <si>
    <t>Трансформатор ТМГ-400/6/0,4 зав.№003816Y</t>
  </si>
  <si>
    <t>000001708</t>
  </si>
  <si>
    <t>Трансформатор ТМГ-400/6/0,4 зав.№003817Y</t>
  </si>
  <si>
    <t>000001707</t>
  </si>
  <si>
    <t>000001738</t>
  </si>
  <si>
    <t>Трансформатор ТМГ-63 декабрь 2003г.</t>
  </si>
  <si>
    <t>00000493</t>
  </si>
  <si>
    <t>Трансформатор ТМГ-63/6-0,4 №1461186 2001г.в.</t>
  </si>
  <si>
    <t>00000448</t>
  </si>
  <si>
    <t>Трансформатор трёхфазный 35 кВ мощностью 1000 кВ А</t>
  </si>
  <si>
    <t>000001752</t>
  </si>
  <si>
    <t>07.11.2018</t>
  </si>
  <si>
    <t>000001753</t>
  </si>
  <si>
    <t>Трансформатор-250/6/0,4 декабрь 2003г.</t>
  </si>
  <si>
    <t>00000486</t>
  </si>
  <si>
    <t>000001848</t>
  </si>
  <si>
    <t>000001924</t>
  </si>
  <si>
    <t>Трансформаторная подстанция №33</t>
  </si>
  <si>
    <t>000001781</t>
  </si>
  <si>
    <t>10.12.2019</t>
  </si>
  <si>
    <t>Трансформаторная подстанция КТП-250 (РУ-0,4 кВ)</t>
  </si>
  <si>
    <t>000001847</t>
  </si>
  <si>
    <t>Трансформаторная подстанция КТП-250 кВ центральная в с.Тельвиска</t>
  </si>
  <si>
    <t>000001849</t>
  </si>
  <si>
    <t>16.07.2021</t>
  </si>
  <si>
    <t>Трансформаторная подстанция КТП/П К-К 400/6/0,4</t>
  </si>
  <si>
    <t>00001150</t>
  </si>
  <si>
    <t>Трансформаторная подстанция ТП №100/1 "Малый Качгорт"</t>
  </si>
  <si>
    <t>000001695</t>
  </si>
  <si>
    <t>Трансформаторная подстанция ТП №113 "Молодежный центр"</t>
  </si>
  <si>
    <t>000001694</t>
  </si>
  <si>
    <t>Трансформаторная подстанция ТП-55 "Старый аэропорт"</t>
  </si>
  <si>
    <t>000001683</t>
  </si>
  <si>
    <t>000001703</t>
  </si>
  <si>
    <t>27.04.2017</t>
  </si>
  <si>
    <t>Трансформаторная подстанция, адрес: Ненецкий АО, Нарьян-Мар г, Юбилейная ул, дом №11</t>
  </si>
  <si>
    <t>000001751</t>
  </si>
  <si>
    <t>00001041</t>
  </si>
  <si>
    <t>00001046</t>
  </si>
  <si>
    <t>Трассо-дефектоискатель Поиск-410 Мастер зав.№046469</t>
  </si>
  <si>
    <t>000001518</t>
  </si>
  <si>
    <t>29.03.2013</t>
  </si>
  <si>
    <t>Трассоискатель каб.сетей  ТКС-50 2001г</t>
  </si>
  <si>
    <t>00000364</t>
  </si>
  <si>
    <t>31.10.2001</t>
  </si>
  <si>
    <t>Трехфазная группа трансформаторов напряжения 3х3НОЛП-6 зав.1323217</t>
  </si>
  <si>
    <t>000001772</t>
  </si>
  <si>
    <t>Трехфазная группа трансформаторов напряжения 3х3НОЛП-6 зав.1323218</t>
  </si>
  <si>
    <t>000001773</t>
  </si>
  <si>
    <t>Трехфазная группа трансформаторов напряжения 3х3НОЛП-6 зав.1323219</t>
  </si>
  <si>
    <t>000001774</t>
  </si>
  <si>
    <t>Указатель УВН-80/2м</t>
  </si>
  <si>
    <t>00000323</t>
  </si>
  <si>
    <t>00000327</t>
  </si>
  <si>
    <t>Участок ВЛ-0,4 кВ от ТП-66 фидер Песчаная</t>
  </si>
  <si>
    <t>000001802</t>
  </si>
  <si>
    <t>02.03.2020</t>
  </si>
  <si>
    <t>000001737</t>
  </si>
  <si>
    <t>16.07.2018</t>
  </si>
  <si>
    <t>000001736</t>
  </si>
  <si>
    <t>Щит ЩО-70-02  2шт 2000г.</t>
  </si>
  <si>
    <t>00000269</t>
  </si>
  <si>
    <t>ЩО 70-3-02 УЗ №1 ТП в районе школы №2</t>
  </si>
  <si>
    <t>00001105</t>
  </si>
  <si>
    <t>ЩО-70-3-16УЗ №1 ЛЭП-0,4кВ ТП-43 Водозабор</t>
  </si>
  <si>
    <t>00001097</t>
  </si>
  <si>
    <t>30.11.2008</t>
  </si>
  <si>
    <t>ЩО-70-3-16УЗ №2 ТП-43 Водозабор</t>
  </si>
  <si>
    <t>00001098</t>
  </si>
  <si>
    <t>Э/освещение и силовое э/обор ТП-67 шк№5  2000г.</t>
  </si>
  <si>
    <t>00000261</t>
  </si>
  <si>
    <t>Эл линии н/в 0,4 кв (от ТП№56 "Звероферма")</t>
  </si>
  <si>
    <t>00000601</t>
  </si>
  <si>
    <t>Эл линии н/в 0,4кв Явт, Авиат, Смидов  1998г.</t>
  </si>
  <si>
    <t>00000185</t>
  </si>
  <si>
    <t>01.02.1998</t>
  </si>
  <si>
    <t>Эл линия в/в 6 кв Город-3  1983г 1384м</t>
  </si>
  <si>
    <t>00000566</t>
  </si>
  <si>
    <t>Эл линия в/в 6 кв нефтебаза  5996м 1979г</t>
  </si>
  <si>
    <t>00000507</t>
  </si>
  <si>
    <t>01.01.1979</t>
  </si>
  <si>
    <t>Эл линия в/в 6 кв Факел  6494м 1980г</t>
  </si>
  <si>
    <t>00000499</t>
  </si>
  <si>
    <t>Эл линия маслозавод</t>
  </si>
  <si>
    <t>00000170</t>
  </si>
  <si>
    <t>Эл линия н/в 0,4 кв (от ТП №69) 1988г  640м</t>
  </si>
  <si>
    <t>00000168</t>
  </si>
  <si>
    <t>Эл линия н/в 0,4 кв (от ТП25 "АТП" ул. Юбилейная, 36-а)1965г  700м</t>
  </si>
  <si>
    <t>00000165</t>
  </si>
  <si>
    <t>Эл линия н/в 0,4 кв (ТП№42 фидер "ул.Зеленая")1966г  850 м</t>
  </si>
  <si>
    <t>00000166</t>
  </si>
  <si>
    <t>Эл линия н/в 0,4 кв 1992г по ул. Нефтяников</t>
  </si>
  <si>
    <t>00000177</t>
  </si>
  <si>
    <t>Эл линия ул 60 лет Октября 1983г.</t>
  </si>
  <si>
    <t>00000172</t>
  </si>
  <si>
    <t>Эл линия ул 60 лет СССР 1988г.  190м</t>
  </si>
  <si>
    <t>00000174</t>
  </si>
  <si>
    <t>Эл линия ул 60 лет СССР д9 1988г.</t>
  </si>
  <si>
    <t>00000176</t>
  </si>
  <si>
    <t>Эл линия ул Смидовича 1988г.</t>
  </si>
  <si>
    <t>00000175</t>
  </si>
  <si>
    <t>Эл.сети 0,4кв отТП Ленинградский пер. п Факел 785м</t>
  </si>
  <si>
    <t>00000907</t>
  </si>
  <si>
    <t>000001755</t>
  </si>
  <si>
    <t>17.01.2019</t>
  </si>
  <si>
    <t>Электроснабжение. Наружные сети (ул. Авиаторов)</t>
  </si>
  <si>
    <t>000001677</t>
  </si>
  <si>
    <t>000001817</t>
  </si>
  <si>
    <t>26.06.2020</t>
  </si>
  <si>
    <t>TIP-HOL-MT-7 - Универсальный монитор-тестер AHD/CVI/TVI/CVBS/SDI и IP-видеосистем</t>
  </si>
  <si>
    <t>000001855</t>
  </si>
  <si>
    <t>23.06.2021</t>
  </si>
  <si>
    <t>Аппарат для испытания масла "ВОЛНА-АИМ90В"</t>
  </si>
  <si>
    <t>000001705</t>
  </si>
  <si>
    <t>18.07.2017</t>
  </si>
  <si>
    <t>Аппарат для испытания масла 1963г.</t>
  </si>
  <si>
    <t>00000042</t>
  </si>
  <si>
    <t>30.01.1963</t>
  </si>
  <si>
    <t>Аппарат испытания диэлектриков АИД-70М</t>
  </si>
  <si>
    <t>000001564</t>
  </si>
  <si>
    <t>Бензогенератор SDMO HX 5000T</t>
  </si>
  <si>
    <t>000001519</t>
  </si>
  <si>
    <t>14.03.2013</t>
  </si>
  <si>
    <t>Вольтамперфазометр РЕТОМЕТР-М2 (НПП "ДИНАМИКА")</t>
  </si>
  <si>
    <t>000001719</t>
  </si>
  <si>
    <t>28.04.2018</t>
  </si>
  <si>
    <t>000001818</t>
  </si>
  <si>
    <t>29.06.2020</t>
  </si>
  <si>
    <t>Измеритель сопротивления заземления Metrel MI3123</t>
  </si>
  <si>
    <t>000001777</t>
  </si>
  <si>
    <t>19.08.2019</t>
  </si>
  <si>
    <t>Испытательное устройство РЕТОМ-21 НПП "Динамика"</t>
  </si>
  <si>
    <t>000001720</t>
  </si>
  <si>
    <t>Кабель н/в от главного здания  400м 1955г.</t>
  </si>
  <si>
    <t>00000034</t>
  </si>
  <si>
    <t>Кабельные линии 6 кв 2003г.</t>
  </si>
  <si>
    <t>00000597</t>
  </si>
  <si>
    <t>Камера КСО 299-5ПВ 2004г.</t>
  </si>
  <si>
    <t>00000703</t>
  </si>
  <si>
    <t>Камера КСО 299-5ПВ-630 2004г</t>
  </si>
  <si>
    <t>00000704</t>
  </si>
  <si>
    <t>КЛ 0,4 кВ "РШ-8-РЩ"Гараж. Новый бокс"</t>
  </si>
  <si>
    <t>000001647</t>
  </si>
  <si>
    <t>Комплекс измерительно-поисковый КИП-2Т</t>
  </si>
  <si>
    <t>000001812</t>
  </si>
  <si>
    <t>15.06.2020</t>
  </si>
  <si>
    <t>Комплект офисной мебели</t>
  </si>
  <si>
    <t>00001503</t>
  </si>
  <si>
    <t>06.04.2012</t>
  </si>
  <si>
    <t>Комплект тепловизора Testo 875-1</t>
  </si>
  <si>
    <t>000001536</t>
  </si>
  <si>
    <t>Контейнер 20т DC FSCU7393953</t>
  </si>
  <si>
    <t>000001537</t>
  </si>
  <si>
    <t>01.08.2013</t>
  </si>
  <si>
    <t>Маслоочистительная машина 1976г.</t>
  </si>
  <si>
    <t>00000246</t>
  </si>
  <si>
    <t>Микроомметр Metrel MI3242</t>
  </si>
  <si>
    <t>000001778</t>
  </si>
  <si>
    <t>Мини козловой кран г/п 1000 кг</t>
  </si>
  <si>
    <t>000001852</t>
  </si>
  <si>
    <t>Мини козловой кран г/п 5000 кг</t>
  </si>
  <si>
    <t>000001853</t>
  </si>
  <si>
    <t>000001854</t>
  </si>
  <si>
    <t>Монтаж систем пожарной сигнализации</t>
  </si>
  <si>
    <t>00000996</t>
  </si>
  <si>
    <t>Ноутбук М51/15900</t>
  </si>
  <si>
    <t>00001140</t>
  </si>
  <si>
    <t>000001922</t>
  </si>
  <si>
    <t>22.12.2022</t>
  </si>
  <si>
    <t>Переговорное устройство Каскад</t>
  </si>
  <si>
    <t>00000418</t>
  </si>
  <si>
    <t>31.03.2003</t>
  </si>
  <si>
    <t>Переносное устройство дожига</t>
  </si>
  <si>
    <t>00000998</t>
  </si>
  <si>
    <t>Поисковый комплекс КИП-2Т</t>
  </si>
  <si>
    <t>00001022</t>
  </si>
  <si>
    <t>Пристройка к маслосепараторной 1997г</t>
  </si>
  <si>
    <t>00000091</t>
  </si>
  <si>
    <t>01.07.1997</t>
  </si>
  <si>
    <t>Пристройка к РУ-6кВТ</t>
  </si>
  <si>
    <t>00001051</t>
  </si>
  <si>
    <t>Программно-технический комплекс Ретом - 51</t>
  </si>
  <si>
    <t>000001563</t>
  </si>
  <si>
    <t>000001605</t>
  </si>
  <si>
    <t>000001600</t>
  </si>
  <si>
    <t>000001661</t>
  </si>
  <si>
    <t>31.07.2015</t>
  </si>
  <si>
    <t>000001606</t>
  </si>
  <si>
    <t>000001601</t>
  </si>
  <si>
    <t>000001602</t>
  </si>
  <si>
    <t>000001603</t>
  </si>
  <si>
    <t>000001604</t>
  </si>
  <si>
    <t>000001620</t>
  </si>
  <si>
    <t>31.05.2014</t>
  </si>
  <si>
    <t>000001658</t>
  </si>
  <si>
    <t>Распределительное устройство  1986г.</t>
  </si>
  <si>
    <t>00000039</t>
  </si>
  <si>
    <t>Рефлектометр импульсный РИ-307 с программным обеспечением IRView 5,0</t>
  </si>
  <si>
    <t>000001663</t>
  </si>
  <si>
    <t>Система видеонаблюдения1 2004г</t>
  </si>
  <si>
    <t>00000824</t>
  </si>
  <si>
    <t>Система для высоковольтных испытаний "ВОЛНА-СВИ53В"</t>
  </si>
  <si>
    <t>000001706</t>
  </si>
  <si>
    <t>Система оперативно-диспетчерской связи Каскад-14 (Р) мод. Б-1</t>
  </si>
  <si>
    <t>000001735</t>
  </si>
  <si>
    <t>11.07.2018</t>
  </si>
  <si>
    <t>Система оперативной радиосвязи</t>
  </si>
  <si>
    <t>000001715</t>
  </si>
  <si>
    <t>05.02.2018</t>
  </si>
  <si>
    <t>000001729</t>
  </si>
  <si>
    <t>000001734</t>
  </si>
  <si>
    <t>28.06.2018</t>
  </si>
  <si>
    <t>Стремянка</t>
  </si>
  <si>
    <t>00000430</t>
  </si>
  <si>
    <t>Течетрассопоисковый  комплект "Лидер"</t>
  </si>
  <si>
    <t>00000992</t>
  </si>
  <si>
    <t>30.09.2006</t>
  </si>
  <si>
    <t>Трансформатор нагрузочный НТ-12</t>
  </si>
  <si>
    <t>00000999</t>
  </si>
  <si>
    <t>Трансформатор напряжения НАЛИ-СЭЩ-6-16-0.5/0.5/3Р-75/75/75 У2</t>
  </si>
  <si>
    <t>000001550</t>
  </si>
  <si>
    <t>Третья очередь реконструкции Нарьян-Марской электростанции с разработкой ПСД в г. Нарьян-Маре</t>
  </si>
  <si>
    <t>000001520</t>
  </si>
  <si>
    <t>13.03.2013</t>
  </si>
  <si>
    <t>Установка для прожига кабеля УП-7М2</t>
  </si>
  <si>
    <t>00000997</t>
  </si>
  <si>
    <t>Устройство механического прокола кабеля УМПК</t>
  </si>
  <si>
    <t>000001717</t>
  </si>
  <si>
    <t>Щит управления 1966г.</t>
  </si>
  <si>
    <t>00000036</t>
  </si>
  <si>
    <t>Электротельфер 1982г.</t>
  </si>
  <si>
    <t>00000040</t>
  </si>
  <si>
    <t>Ячейка КСО-СЭЩ №1</t>
  </si>
  <si>
    <t>00001058</t>
  </si>
  <si>
    <t>Ячейка КСО-СЭЩ №2</t>
  </si>
  <si>
    <t>00001059</t>
  </si>
  <si>
    <t>Ячейка КСО-СЭЩ №3</t>
  </si>
  <si>
    <t>00001060</t>
  </si>
  <si>
    <t>Ячейка КСО-СЭЩ №4</t>
  </si>
  <si>
    <t>00001061</t>
  </si>
  <si>
    <t>данные объекты списаны с баланса,но не сняты с кадастрового и налогового учёта</t>
  </si>
  <si>
    <t>гараж</t>
  </si>
  <si>
    <t>ветлаборатория</t>
  </si>
  <si>
    <t>вивария</t>
  </si>
  <si>
    <t>20.1.2.+резерв</t>
  </si>
  <si>
    <t>Газотурбинный цех, ДЭС п.Красное, Электрический цех+резерв</t>
  </si>
  <si>
    <t>Сбыт</t>
  </si>
  <si>
    <t>Котельная</t>
  </si>
  <si>
    <t>амортизация 2024 год</t>
  </si>
  <si>
    <t>Система охранно-пожарной сигнализации в помещениях здания бухгалтерии и абонентского отдела ГУП НАО "Нарьян-Марская электростанция"</t>
  </si>
  <si>
    <t>Высоковольтная установка для испытания кабелей из сшитого полиэтилена (СПЭ) повышенным напряжением сверхнизкой частоты (СНЧ/VLF) АИСТ СНЧ 36</t>
  </si>
  <si>
    <t xml:space="preserve">Комплект трассо-дефектоискателя Поиск-510 Мастер (с генератором МК-510) </t>
  </si>
  <si>
    <t>Распределительный .шкаф РШ-1 (ДГ №1)</t>
  </si>
  <si>
    <t>Распределительный шкаф (Токоприемники ДГ №4)</t>
  </si>
  <si>
    <t>Распределительный шкаф РШ-10 (Береговая водонасосная станция)</t>
  </si>
  <si>
    <t>Распределительный шкаф РШ-11 ( Водонасосная (новая)</t>
  </si>
  <si>
    <t>Распределительный шкаф РШ-2 ( ЭЦ)</t>
  </si>
  <si>
    <t>Распределительный шкаф РШ-3 ( ДГ № 3)</t>
  </si>
  <si>
    <t>Распределительный шкаф РШ-4 ( Слесарка)</t>
  </si>
  <si>
    <t>Распределительный шкаф РШ-5 ( ДГ №3)</t>
  </si>
  <si>
    <t>Распределительный шкаф РШ-8 (Маслосепараторная (старая))</t>
  </si>
  <si>
    <t>Распределительный шкаф РШ-9</t>
  </si>
  <si>
    <t>Система охранно-пожарной сигнализации в производственных помещениях ТМЦ ГУП НАО "Нарьян-Марская электростанция"</t>
  </si>
  <si>
    <t>Система охранно-пожарной сигнализации в производственных помещениях ЭЦ ГУП НАО "Нарьян-Марская электростанция"</t>
  </si>
  <si>
    <t>Стенд из белого пластика ПВХ 6мм. Размер -2050x2400 мм</t>
  </si>
  <si>
    <t>2КТПБ 1000/6/0,4-УХЛ1  №104 по ул. Авиаторов в районе котельной</t>
  </si>
  <si>
    <t>2КТПБ 1000/6/0,4-УХЛ1  №105 по ул. Авиаторов в районе жилых домов</t>
  </si>
  <si>
    <t>Автомобиль бортовой с г/м Чайка-Сервис 2784LW (КМУ Taurus 086A (сер.№А17К042) на базе, а/м КАМАЗ-43118) ш.ХТС431184Н2502321</t>
  </si>
  <si>
    <t>Верстак 3200х700х860 (нагрузка 300кг)</t>
  </si>
  <si>
    <t>ВЛ Воздушные ЛЭП-6 кв Угольная  1976г.</t>
  </si>
  <si>
    <t>ВЛ-0,4 кВ от ТП-61 "Поликлиника" фидер "Губкина 16"</t>
  </si>
  <si>
    <t>Воздушная линия 6кВ от распределительного пункта "Водозабор" до территории Воинской части №12403 и до территории "Свалка"</t>
  </si>
  <si>
    <t>Защищённый ноутбук Cyberbook S874</t>
  </si>
  <si>
    <t>Индикатор емкости свинцовых аккумуляторов Кулон-12/6р</t>
  </si>
  <si>
    <t>Камера  КСО-366 1996г.</t>
  </si>
  <si>
    <t>Камера в/в КСО 393 №1 01/09-827</t>
  </si>
  <si>
    <t>Камеры в/в КСО 393 №2 01/09-828</t>
  </si>
  <si>
    <t>Камеры в/в КСО 393 №3 01/09-829</t>
  </si>
  <si>
    <t>Камеры в/в КСО 393 №4 01/09-825</t>
  </si>
  <si>
    <t>Камеры в/в КСО 393 №5 01/09-826</t>
  </si>
  <si>
    <t>Камеры в/в КСО 393 №6 01/09-830</t>
  </si>
  <si>
    <t>КЛ Каб линия  6кв от ТП10масло-д до ТП-32  1998г.</t>
  </si>
  <si>
    <t xml:space="preserve">Линия электропередач ВЛИ 0,4кВ </t>
  </si>
  <si>
    <t xml:space="preserve">Линия электропередач КЛ 0,4 кВ </t>
  </si>
  <si>
    <t>Н/в каб от ТП-20, 10 до банка Поморск 117м  96г</t>
  </si>
  <si>
    <t xml:space="preserve">Наружные эл сети по ул Озерная </t>
  </si>
  <si>
    <t>Оборудование ТП-43  Рабочая Водозабор 1996г.</t>
  </si>
  <si>
    <t>Реклоузер вакуумный PBA/TEL фидер Искатели на ВЛ 6 кВ ул. Монтажников в районе дома №11</t>
  </si>
  <si>
    <t>Система охранно-пожарной сигнализации в производственных помещениях ЦЭС ГУП НАО "Нарьян-Марская электростанция"</t>
  </si>
  <si>
    <t>Система охранно-пожарной сигнализации в производственных помещениях АТЦ ГУП НАО "Нарьян-Марская электростанция"</t>
  </si>
  <si>
    <t>Строительство ВЛ-0,4 кВ по ул. Строителей (от ТП №65 ф. Монтажников д.15, 15б, 17, ф. Строителей д.1, 3, 3а)</t>
  </si>
  <si>
    <t>Строительство участка ВЛ-0,4 кВ от ТП №46, фидер "ул.Молодежная", фидер "ул.Юбилейная", фидер магазин "Хороший"</t>
  </si>
  <si>
    <t xml:space="preserve">ТП №60 Озерная 6  Искателей </t>
  </si>
  <si>
    <t>Трансформатор ТМ 250/6 №1 №906091</t>
  </si>
  <si>
    <t>Трансформатор ТМ 250/6 №2 №906092</t>
  </si>
  <si>
    <t>Трансформатор ТМ-160 КВА 6/0,4 №641107</t>
  </si>
  <si>
    <t>Трансформатор ТМ-400 КВА6/0,4 №3192 2007г</t>
  </si>
  <si>
    <t>Трансформатор ТМГ-160/6 №1 №146100</t>
  </si>
  <si>
    <t>Трансформатор ТМГ-250/6 №1№1399294</t>
  </si>
  <si>
    <t>Трансформатор ТМГ-400/6/0,4 схема и группа соединений Д/Ун-11, зав.№1804жг214</t>
  </si>
  <si>
    <t>Трансформаторная подстанция напряжением 6/0,4 Кв мощностью 400кВА, типа 2КТПК (п) 400/6/0,4 (к/к-13У1)</t>
  </si>
  <si>
    <t>ТрансформаторТМ-160 КВА 6/0,4 №16733 2007г</t>
  </si>
  <si>
    <t>ТрансформаторТМ-400 КВА 6/,04 №8386 2007г</t>
  </si>
  <si>
    <t>Шиногиб гидравлический ШГР2-10AL</t>
  </si>
  <si>
    <t>Шинодыр гидравлический ШД-60AL</t>
  </si>
  <si>
    <t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t>
  </si>
  <si>
    <t>Электроснабжение земельных участков, предоставленных многодетным семьям под жилищное строительство в пос. Искателей в Ненецком автономном округе</t>
  </si>
  <si>
    <t>Горелка ГБЛ-0,7К-МГ-В-Р в комплекте с группой арматурной Ду65 на низкое присоединительное давление (4,1-5 кПа)</t>
  </si>
  <si>
    <t xml:space="preserve">Комплект складских стеллажей </t>
  </si>
  <si>
    <t xml:space="preserve">Комплект стеллажей </t>
  </si>
  <si>
    <t>Компьютер в сборе: Intel Core i5 7400 (Soc-1151-v.2v Gigabyte Soc-1151H31M S2V/ DEEPCOOL THETA 21PWM)</t>
  </si>
  <si>
    <t>000001904.</t>
  </si>
  <si>
    <t>000001912.</t>
  </si>
  <si>
    <t>000001913.</t>
  </si>
  <si>
    <t>000001914.</t>
  </si>
  <si>
    <t>000001915.</t>
  </si>
  <si>
    <t>000001916.</t>
  </si>
  <si>
    <t>000001917.</t>
  </si>
  <si>
    <t>000001918.</t>
  </si>
  <si>
    <t>000001919.</t>
  </si>
  <si>
    <t>000001920.</t>
  </si>
  <si>
    <t>000001921.</t>
  </si>
  <si>
    <t>000001922.</t>
  </si>
  <si>
    <t>000001923.</t>
  </si>
  <si>
    <t>000001925.</t>
  </si>
  <si>
    <t>000001926.</t>
  </si>
  <si>
    <t>000001927.</t>
  </si>
  <si>
    <t>000001924.</t>
  </si>
  <si>
    <t>000001928.</t>
  </si>
  <si>
    <t>000001929.</t>
  </si>
  <si>
    <t>000001930.</t>
  </si>
  <si>
    <t>000001932.</t>
  </si>
  <si>
    <t>000001933.</t>
  </si>
  <si>
    <t>000001934.</t>
  </si>
  <si>
    <t>000001935.</t>
  </si>
  <si>
    <t>000001936.</t>
  </si>
  <si>
    <t>000001937.</t>
  </si>
  <si>
    <t>000001938.</t>
  </si>
  <si>
    <t>000001942.</t>
  </si>
  <si>
    <t>000001943.</t>
  </si>
  <si>
    <t>000001944.</t>
  </si>
  <si>
    <t>000001946.</t>
  </si>
  <si>
    <t>000001947.</t>
  </si>
  <si>
    <t>000001948.</t>
  </si>
  <si>
    <t>Воздушная линия 0,4 кВ (ДТП № 1445 от 25.01.2023 г., Участок строительства ИЖД по адресу: г. Нарьян-</t>
  </si>
  <si>
    <t>000001949.</t>
  </si>
  <si>
    <t>Воздушная линия 0,4кВ (ДТП №148 Ф от 27.07.2021г, индивидуальная баня кадастровый номер 83:00:050802</t>
  </si>
  <si>
    <t>000001950.</t>
  </si>
  <si>
    <t>«Воздушная линия 0,4кВ (ДТП №1204 от 01.09.2022г, гаражи по ул.Строителей)»</t>
  </si>
  <si>
    <t>000001951.</t>
  </si>
  <si>
    <t>Воздушная линия 0,4кВ (ДТП №988 от 04.05.2022г, стоянка, ЗУ 83:00:060006:870)</t>
  </si>
  <si>
    <t>000001952.</t>
  </si>
  <si>
    <t>1101340209.</t>
  </si>
  <si>
    <t>«Воздушная линия 0,4 кВ (ДТП № 1316 от 10.11.2022 г., Участок строительства ИЖД по адресу: г. Нарьян-Мар, ул. Авиаторов кад. номер ЗУ 83:00:050029:71)»</t>
  </si>
  <si>
    <t>Объект ТП</t>
  </si>
  <si>
    <t>Воздушная линия 0,4 кВ (ДТП № 338 от 05.10.2021 г., МЖД по ул. Россихина)</t>
  </si>
  <si>
    <t>«Трансформаторная подстанция с питающими линиями (ДТП №932 от 23.03.2022 г., ИЖД)»</t>
  </si>
  <si>
    <t>«Воздушная линия 0,4кВ (ДТП №1280 от 12.10.2022г, гаражи в районе д.12А по ул.Калмыкова)»</t>
  </si>
  <si>
    <t>«Воздушная линия 0,4кВ (ДТП №1072 от 30.06.2022г, гараж 83:00:050601:202)»</t>
  </si>
  <si>
    <t>«Линии электропередачи 0,4кВ (ДТП №1278 от 12.10.2022г, ЗУ 83:00:050039:131)»</t>
  </si>
  <si>
    <t>«Воздушная линия 0,4 кВ (ДТП № 1227 от 22.09.2022 г., Адм. Здание МТС по адресу: г. Нарьян-Мар, ул. Первомайская, кад. номер ЗУ 83:00:050016:114)»</t>
  </si>
  <si>
    <t>Трансформаторная подстанция с питающими линиями в районе питьевого водозабора в п. Искателей (ДТП №1025 от 26.05.2022г)</t>
  </si>
  <si>
    <t>Объект ИП</t>
  </si>
  <si>
    <t xml:space="preserve">Трансформаторная подстанция с питающими линиями в районе пром-зоны в п. Лесозавод г. Нарьян-Мар </t>
  </si>
  <si>
    <t xml:space="preserve">Трансформаторная подстанция с питающими кабельными и воздушными линиями 6 кВ от реклоузера в п. Красное до ФГУП "РТРС" </t>
  </si>
  <si>
    <t>Трансформаторная подстанция для предприятия по глубокой переработке продукции северного оленеводства в НАО с питающими воздушными линиями</t>
  </si>
  <si>
    <t>000001952</t>
  </si>
  <si>
    <t>000001951</t>
  </si>
  <si>
    <t>000001950</t>
  </si>
  <si>
    <t>000001949</t>
  </si>
  <si>
    <t>000001948</t>
  </si>
  <si>
    <t>000001947</t>
  </si>
  <si>
    <t>итого</t>
  </si>
  <si>
    <t>000000157</t>
  </si>
  <si>
    <t>модерн 21.03.2019</t>
  </si>
  <si>
    <t>модерн 19.03.2020</t>
  </si>
  <si>
    <t>в карточке ОС первонач ст/ть</t>
  </si>
  <si>
    <t>остат.ст-ть 01.09.2022</t>
  </si>
  <si>
    <t>модерн 04.08.2022</t>
  </si>
  <si>
    <t>модерн 30.06.2014</t>
  </si>
  <si>
    <t>модерн 22.11.2021</t>
  </si>
  <si>
    <t>модерн26.05.2023</t>
  </si>
  <si>
    <t>остат.ст-ть</t>
  </si>
  <si>
    <t>модерн. 01.08.2022</t>
  </si>
  <si>
    <t>модерн.29.12.2022</t>
  </si>
  <si>
    <t>модерн 21.12.2003</t>
  </si>
  <si>
    <t>модерн 31.12.2010</t>
  </si>
  <si>
    <t>модерн 31.12.2011</t>
  </si>
  <si>
    <t>модерн 30.06.2012</t>
  </si>
  <si>
    <t>модерн 31.08.2012</t>
  </si>
  <si>
    <t>модерн 30.11.12</t>
  </si>
  <si>
    <t>модерн 30.06.2015</t>
  </si>
  <si>
    <t>модерн 31.12.15</t>
  </si>
  <si>
    <t>модерн 29.07.2016</t>
  </si>
  <si>
    <t>модерн17.01.2019</t>
  </si>
  <si>
    <t>модерн 31.12.2013</t>
  </si>
  <si>
    <t>ост на 31.12.22</t>
  </si>
  <si>
    <t>модерн 31.12.2021</t>
  </si>
  <si>
    <t>модерн.16.11.2021</t>
  </si>
  <si>
    <t>изменения в 2023 году (аморт)</t>
  </si>
  <si>
    <t>модерн 16.11.2021</t>
  </si>
  <si>
    <t>изменения в 2022 (аморт)</t>
  </si>
  <si>
    <t>в карточке ОС 6 группа на 132 мес.</t>
  </si>
  <si>
    <t>мес.</t>
  </si>
  <si>
    <t xml:space="preserve"> 01.01.2022</t>
  </si>
  <si>
    <t>модерн.29.12.2017</t>
  </si>
  <si>
    <t>модерн 30.12.2021</t>
  </si>
  <si>
    <t>модерн 29.12.2017</t>
  </si>
  <si>
    <t>предп.</t>
  </si>
  <si>
    <t>модерн 30.12..2022</t>
  </si>
  <si>
    <t>с 01.01.2022  СПИ</t>
  </si>
  <si>
    <t>с 30.12.2022  СПИ</t>
  </si>
  <si>
    <t>ост.на 31.12.2021</t>
  </si>
  <si>
    <t>Ультразвуковая ванна VBS-38 PRO</t>
  </si>
  <si>
    <t>000001953</t>
  </si>
  <si>
    <t>КТП
(Трансформаторная подстанция для предприятия по глубокой переработке продукции северного оленеводства в НАО с питающими линиями)</t>
  </si>
  <si>
    <t>000001954</t>
  </si>
  <si>
    <t>ВЛЗ-6 Кв (Трансформаторная подстанция для предприятия по глубокой переработке продукции северного оленеводства в НАО с питающими линиями)</t>
  </si>
  <si>
    <t>000001955</t>
  </si>
  <si>
    <t>КЛ-6 Кв (Трансформаторная подстанция для предприятия по глубокой переработке продукции северного оленеводства в НАО с питающими линиями)</t>
  </si>
  <si>
    <t>КТП (Трансформаторная подстанция с питающими линиями в районе промзоны в п. Лесозавод г. Нарьян-Мар)</t>
  </si>
  <si>
    <t>ВЛ-6 кВ (Трансформаторная подстанция с питающими линиями в районе промзоны в п. Лесозавод г. Нарьян-Мар)</t>
  </si>
  <si>
    <t>КЛ-6 кВ (Трансформаторная подстанция с питающими линиями в районе промзоны в п. Лесозавод г. Нарьян-Мар)</t>
  </si>
  <si>
    <t>ВЛ-0,4 кВ (Трансформаторная подстанция с питающими линиями в районе промзоны в п. Лесозавод г. Нарьян-Мар)</t>
  </si>
  <si>
    <t>КЛ-0,4 кВ (Трансформаторная подстанция с питающими линиями в районе промзоны в п. Лесозавод г. Нарьян-Мар)</t>
  </si>
  <si>
    <t>000001956</t>
  </si>
  <si>
    <t>000001957</t>
  </si>
  <si>
    <t>000001958</t>
  </si>
  <si>
    <t>000001959</t>
  </si>
  <si>
    <t>000001960</t>
  </si>
  <si>
    <t>000001961</t>
  </si>
  <si>
    <t>Здания</t>
  </si>
  <si>
    <t>Воздушная линия 0,4 кВ (ДТП № 1072 от 30.06.2022 г., гараж 83:00:050601:202)</t>
  </si>
  <si>
    <t>Линии электропередачи 0,4 кВ (ДТП №1278 от 12.10.2022 г., ЗУ 83:00:050039:131)</t>
  </si>
  <si>
    <t>Воздушная линия 0,4 кВ (ДТП № 1280 от 12.10.2022 г. гаражи в районе д.12 А по ул. Калмыкова)</t>
  </si>
  <si>
    <t>000001962</t>
  </si>
  <si>
    <t>000001963</t>
  </si>
  <si>
    <t>000001964</t>
  </si>
  <si>
    <t>Трассо-дефектоискатель Поиск-510 Мастер с мультичастотным генератором МК510</t>
  </si>
  <si>
    <t>Столбовая трансформаторная подстанция (Трансформаторная подстанция с питающими линиями (ДТП № 932 от 23.03.2022., ИЖД)</t>
  </si>
  <si>
    <t>Воздушная линия защищенная 6 кВ (Трансформаторная подстанция с питающими линиями (ДТП № 932 от 23.03.2022., ИЖД)</t>
  </si>
  <si>
    <t>Кабельные линии 0,4 кВ от ТП№8 до ЩУ-1 (ДТП №1522 от 18.04.2023 г. Ясли-сад на 60 мест)</t>
  </si>
  <si>
    <t>Воздушная линия 0,4 кВ (ДТП № 1514 от 21.03.2023 г., ул. Авиаторов, (ул. Полярных летчиков) ЗУ № 83:00:050029:74)</t>
  </si>
  <si>
    <t>000001965</t>
  </si>
  <si>
    <t>000001966</t>
  </si>
  <si>
    <t>000001967</t>
  </si>
  <si>
    <t>000001968</t>
  </si>
  <si>
    <t>000001969</t>
  </si>
  <si>
    <t xml:space="preserve">без атц </t>
  </si>
  <si>
    <t>Автоматизированная система контроля и учета электроэнергии (АСКУЭ)</t>
  </si>
  <si>
    <t>000001974</t>
  </si>
  <si>
    <t>Воздушная линия 0,4 кВ (ДТП № 1586 от 22.05.2023 г., антенно-мачтовое сооружение)</t>
  </si>
  <si>
    <t>000001970</t>
  </si>
  <si>
    <t>Навесной ЩУ-2 на ТП №18 (ДТП №1522 от 18.04.2023 г. Ясли-сад на 60 мест)</t>
  </si>
  <si>
    <t>000001971</t>
  </si>
  <si>
    <t>Воздушная линия 0,4 кВ (ДТП №1227 от 22.09.2022 г., Адм.здание МТС по адресу: г. Нарьян-Мар, ул. Первомайская, кад. номер ЗУ 83:00:050016:114)</t>
  </si>
  <si>
    <t>Кабельная линия 0,4кВ (ДТП №1163 от 19.07.2022г, ул.Ненецкая)</t>
  </si>
  <si>
    <t>000001972</t>
  </si>
  <si>
    <t>000001973</t>
  </si>
  <si>
    <t>Воздушная линия 0,4 кВ (ДТП №968 от 05.05.2022г. ИЖД)</t>
  </si>
  <si>
    <t>000001975</t>
  </si>
  <si>
    <t>Воздушная линия 0,4 кВ (ДТП №338 от 05.10.2021 г., МЖД по ул. Россихина)</t>
  </si>
  <si>
    <t>000001976</t>
  </si>
  <si>
    <t>«Воздушная линия 0,4кВ (ДТП №935 от 24.03.2022г, магазин, ул.Полярная)»</t>
  </si>
  <si>
    <t>000001977</t>
  </si>
  <si>
    <t>Узел учета ДТП № 1711 от 30.06.2023 г.: Здание цеха по переработке древесины п.Искателей, проезд Лая-Вожский, д.22Г</t>
  </si>
  <si>
    <t>000001979</t>
  </si>
  <si>
    <t>Кабельная линия 0,4кВ (ДТП №1252 от 26.09.2022г, гараж по ул.Ленина)</t>
  </si>
  <si>
    <t>000001980</t>
  </si>
  <si>
    <t>Воздушная линия 0,4кВ (ДТП №992 от 23.05.2022г, гаражный бокс 83:00:060006:1405)</t>
  </si>
  <si>
    <t>000001981</t>
  </si>
  <si>
    <t>годовая амортиз
2025</t>
  </si>
  <si>
    <t>налог 2025</t>
  </si>
  <si>
    <t>годовая амортиз
2026</t>
  </si>
  <si>
    <t>налог 2026</t>
  </si>
  <si>
    <t>годовая амортиз
2027</t>
  </si>
  <si>
    <t>налог 2027</t>
  </si>
  <si>
    <t>000001982</t>
  </si>
  <si>
    <t>000001983</t>
  </si>
  <si>
    <t>000001984</t>
  </si>
  <si>
    <t>000001985</t>
  </si>
  <si>
    <t>000001986</t>
  </si>
  <si>
    <t>Воздушная линия 0,4 кВ (ДТП № 1534 от 30.03.2023 г. гаражный бокс)</t>
  </si>
  <si>
    <t>Воздушная линия 0,4 кВ (ДТП №1123 от 20.07.2022 г. гаражный бокс 83:00:050021:919)</t>
  </si>
  <si>
    <t>Воздушная линия 0,4 кВ (ДТП № 1100 от 05.07.2022 г.)</t>
  </si>
  <si>
    <t>Воздушная линия 0,4 кВ (ДТП № 1545 от 14.04.2023 г., Гаражный бокс)</t>
  </si>
  <si>
    <t>Узел учета ДТП №1798 от 14.09.2023 г.: Энергоустановки многоквартирного жилого дома г. Нарьян-Мар, у</t>
  </si>
  <si>
    <t>Портативный четырехдиапазонный подавитель дронов «Айрат 100»</t>
  </si>
  <si>
    <t>000001987</t>
  </si>
  <si>
    <t>в т.ч.</t>
  </si>
  <si>
    <t xml:space="preserve">Экскаватор-погрузчик ЧЛМЗ </t>
  </si>
  <si>
    <t>Автомобиль ГАЗ</t>
  </si>
  <si>
    <t>Трансформаторная подстанция ТП №4 "АТС" ул. Выучейского у дома 19А. Модернизация оборудования РУ 6 кВ, РУ 0,4 Кв</t>
  </si>
  <si>
    <t xml:space="preserve">Трансформаторная подстанция с питающими линиями в районе озера Сухого в п. Искателей </t>
  </si>
  <si>
    <t>Трансформаторная подстанция ТП 16/1 "Мирный" в районе ул. Мира д. 68</t>
  </si>
  <si>
    <t>транспорт</t>
  </si>
  <si>
    <t>Транспортные средства</t>
  </si>
  <si>
    <t>объект ТП</t>
  </si>
  <si>
    <t>ТП с питающими кабельными и воздушными линиями 6 Кв от реклоузера в п.Красное до ФГУП "Российская"</t>
  </si>
  <si>
    <t>Расчет амортизации основных средств</t>
  </si>
  <si>
    <t xml:space="preserve"> за период с 2022 года по 2027 год</t>
  </si>
  <si>
    <t>ГУП НАО "Нарьян-Марская электростанция</t>
  </si>
  <si>
    <t>ОБЩЕПРОИЗВ. РАСХОДЫ</t>
  </si>
  <si>
    <t>ОБЩЕХОЗ. РАСХОДЫ</t>
  </si>
  <si>
    <t>ИТОГО</t>
  </si>
  <si>
    <t>Расчет налога на имущество</t>
  </si>
  <si>
    <t xml:space="preserve">ГУП НАО "НАРЬЯН-МАРСКАЯ ЭЛЕКТРОСТАНЦИЯ"                                                             </t>
  </si>
  <si>
    <t>Выводимые данные: БУ (данные бухгалтерского учета)</t>
  </si>
  <si>
    <t>Счет</t>
  </si>
  <si>
    <t>Сальдо на начало периода</t>
  </si>
  <si>
    <t>Обороты за период</t>
  </si>
  <si>
    <t>Сальдо на конец периода</t>
  </si>
  <si>
    <t>Объекты строительства</t>
  </si>
  <si>
    <t>Дебет</t>
  </si>
  <si>
    <t>Кредит</t>
  </si>
  <si>
    <t>08.03</t>
  </si>
  <si>
    <t>2 очередь реконст. электрост. Здание ГТЭС-18 2010г (в части тома №5 "Газоснабжения"</t>
  </si>
  <si>
    <t>ВЛИ 0,4 кВ от ТП №100 "Малый качгорт"</t>
  </si>
  <si>
    <t>Воздушная линия 0,4 кВ (ДТП № 1534 от 30.03.2023, гаражный бокс)</t>
  </si>
  <si>
    <t>Воздушная линия 0,4 кВ (ДТП № 1535 от 10.04.2023 г.,Участок строительства ИЖД)</t>
  </si>
  <si>
    <t>Воздушная линия 0,4 кВ (ДТП № 1545 от 14.04.2023 г.,Гаражный бокс)</t>
  </si>
  <si>
    <t>Воздушная линия 0,4 кВ (ДТП № 1560 от 03.05.2023 г.,Участок строительства ИЖД)</t>
  </si>
  <si>
    <t>Воздушная линия 0,4 кВ (ДТП №1100 от 05.07.2022 г.)</t>
  </si>
  <si>
    <t>Воздушная линия 0,4 кВ (ДТП №1619 от 07.06.2023 г., участок строительства ИЖД)</t>
  </si>
  <si>
    <t>Воздушная линия 0,4 кВ (ДТП №1622 от 13.06.2023 г., гаражный бокс)</t>
  </si>
  <si>
    <t>Воздушная линия 0,4 кВ (ДТП №1630 от 19.06.2023 г., участок строительства ИЖД)</t>
  </si>
  <si>
    <t>Воздушная линия 0,4 кВ (ДТП №1637 от 15.06.2023 г., гаражный бокс)</t>
  </si>
  <si>
    <t>Воздушная линия 0,4 кВ (ДТП №1638 от 07.06.2023 г., участок строительства ИЖД)</t>
  </si>
  <si>
    <t>Воздушная линия 0,4 кВ (ДТП №1642 от 23.06.2023 г., участок строительства ИЖД)</t>
  </si>
  <si>
    <t>Воздушная линия 0,4 кВ (ДТП №1662 от 23.06.2023 г., участок строительства ИЖД)</t>
  </si>
  <si>
    <t>Воздушная линия 0,4 кВ (ДТП №1669 от 21.06.2023 г., часть индивидуального жилого дома)</t>
  </si>
  <si>
    <t>Воздушная линия 0,4 кВ (ДТП №1694 от 07.07.2023 г., индивидуальный гараж)</t>
  </si>
  <si>
    <t>Воздушная линия 0,4 кВ (ДТП №1714 от 10.07.2023 г., участок строительства ИЖД)</t>
  </si>
  <si>
    <t>Воздушная линия 0,4 кВ (ДТП №1738 от 18.07.2023 г., участок строительства ИЖД)</t>
  </si>
  <si>
    <t>Воздушная линия 0,4 кВ (ДТП №1749 от 21.07.2023 г., участок строительства гаража)</t>
  </si>
  <si>
    <t>Воздушная линия 0,4 кВ (ДТП №1809 от 11.09.2023 г., «Гаражный бокс» г. Нарьян-Мар, ул. Меньшикова ра</t>
  </si>
  <si>
    <t>Воздушная линия 0,4 кВ (ДТП №1818 от 12.09.2023 г., участок строительства ИЖД)</t>
  </si>
  <si>
    <t>Воздушная линия 0,4 кВ (ДТП №1837 от 25.09.2023 г., участок строительства ИЖД)</t>
  </si>
  <si>
    <t>Воздушная линия 0,4кВ (ДТП №1123 от 20.07.2022г, гаражный бокс 83:00:050021:919)</t>
  </si>
  <si>
    <t>Воздушная линия 0,4кВ (ДТП №220 Ф от 20.10.2021г, гаражный бокс, кад.№ 83:00:050305:360)</t>
  </si>
  <si>
    <t>Воздушная линия изолированная 0,4 кВ с питающей кабельной линией от ТП №75 фидер "Нефтяников, 18"</t>
  </si>
  <si>
    <t>Двухцепная ВЛЗ 6 кВ фидер "Нефтебаза", фидер "АТП" от реклоузера №2</t>
  </si>
  <si>
    <t>Защитное сооружение гражданской обороны для укрытия наибольшей работающей смены ГУП НАО "Нарьян-Марс</t>
  </si>
  <si>
    <t>Кабельная линия 0,4кВ (ДТП №859 от 26.01.2022г,МЖД, с.Тельвиска, ул.Пустозерская)</t>
  </si>
  <si>
    <t>Капремонт ГТД-6РМ №В6-44</t>
  </si>
  <si>
    <t>Линии электропередачи 0,4 кВ (ДТП № 1486 от 01.03.2023г, ул.Мира. ЗУ № 83:00:000000:13130)</t>
  </si>
  <si>
    <t>Линии электропередачи 0,4 кВ (ДТП № 1548 от 14.04.2023 г., Склад)</t>
  </si>
  <si>
    <t>Линии электропередачи 0,4 кВ (ДТП № 904 от 18.02.2022 г., здание автогаража)</t>
  </si>
  <si>
    <t xml:space="preserve">Линии электропередачи 0,4 кВ (ДТП №1272 от 27.09.2022 г., ИЖД)» </t>
  </si>
  <si>
    <t xml:space="preserve">Линии электропередачи 0,4 кВ (ДТП №1513 от 29.03.2023 г., р-н старого аэропорта, (ул. Рябиновая) ЗУ </t>
  </si>
  <si>
    <t>Линии электропередачи 0,4 кВ(ДТП №1496от22.03.2023г район п.Мирный(пер.Заречный)ЗУ№83:00:000000:79)</t>
  </si>
  <si>
    <t>Линии электропередачи 6 кВ и 0,4 кВ (ДТП №1724 от 13.07.2023 г., участок строительства ИЖД)</t>
  </si>
  <si>
    <t>Модернизация распределительного устройства 6 кВ ГТЭС-12</t>
  </si>
  <si>
    <t>Модернизация РУ 6 кВ трансформаторной подстанции ТП-7 «Столовая №1»</t>
  </si>
  <si>
    <t>Модернизация ТП-22 "РБК" ул. Строительная у д.3Б</t>
  </si>
  <si>
    <t>Модернизация трансформаторной подстанции ТП-17 "Печорская" РУ-6 кВ, РУ-0,4 кВ</t>
  </si>
  <si>
    <t>Модернизация трансформаторной подстанции ТП-67 «Школа №5»</t>
  </si>
  <si>
    <t>Модернизация третьей очереди реконструкции НМЭС</t>
  </si>
  <si>
    <t>Наружный и внутренний газопровод среднего давления к котельнойГУП НАО "Нарьян-Марская электростанция</t>
  </si>
  <si>
    <t>Реконструкция "Новый технологический трубопровод для перекачки дизельного топлива"</t>
  </si>
  <si>
    <t>Реконструкция газопровода высокого давления(наружный)2003 г.(стр-во нов. газопровода ГРС№1 - НМЭС)</t>
  </si>
  <si>
    <t>Реконструкция здания Электростанции (Котельная)</t>
  </si>
  <si>
    <t>Реконструкция здания Электростанции (Распределительное устройство, пристройка к РУ-6 кВ, распределит</t>
  </si>
  <si>
    <t>Реконструкция ТП-4 "АТС" ул.Выучейского у д.19А</t>
  </si>
  <si>
    <t xml:space="preserve">Строительство воздушной линии изолированной 0,4 кВ от трансформаторной подстанции №38, фидеров </t>
  </si>
  <si>
    <t>Строительство ТП 16/1 "Мирный" в районе ул. Мира д.68</t>
  </si>
  <si>
    <t>ТП 6/0,4 кВ с питающими кабельными и воздушными линиями 6 и 0,4 кВ в районе пер Озерный п. Искателей</t>
  </si>
  <si>
    <t xml:space="preserve">ТП с питающими кабельными и воздушными линиями 6 кВ от реклоузера в п. Красное до ФГУП "Российская </t>
  </si>
  <si>
    <t>Трансформаторная подстанция с питающими линиями (ДТП №1221 от 31.08.2022 г. школа в п.Искателей»</t>
  </si>
  <si>
    <t>Трансформаторная подстанция с питающими линиями в п.Искателей пер.Береговой ДТП 1400 от 19.12.2022</t>
  </si>
  <si>
    <t>Трансформаторная подстанция с питающими линиями в районе ЗУ 83:00:040003:361" (ДТП №1214 от 07.09.22</t>
  </si>
  <si>
    <t>Трансформаторная подстанция с питающими линиями в районе озера Сухого в п. Искателей</t>
  </si>
  <si>
    <t>Трансформаторная подстанция с питающими линиями в районе питьевого водозабора п.Искателей (ДТП №1025</t>
  </si>
  <si>
    <t>Трансформаторная подстанция ТП №49/1 «пер. Ленинградский» с питающими кабельными и воздушными линиям</t>
  </si>
  <si>
    <t>Трансформаторная подстанция ТП-115 с питающими кабельными линиями 6 кВ</t>
  </si>
  <si>
    <t>Узел учета ДТП 1711 от 30.06.2023г "Здание цеха по переработке древесины п.Искателей, проезд ЛАЯ-Вож</t>
  </si>
  <si>
    <t>Устройство инженерного защитного периметрального ограждения Энергокомплекса п. Красное</t>
  </si>
  <si>
    <t>Оборотно-сальдовая ведомость по счету 08.03 за 4 квартал 2023 г.</t>
  </si>
  <si>
    <t>Воздушная линия 0,4 кВ (ДТП № 1227 от 22.09.2022 г., Адм. Здание МТС по адресу: г. Нарьян-Мар, ул. П</t>
  </si>
  <si>
    <t>Воздушная линия 0,4 кВ (ДТП № 1316 от 10.11.2022 г., Участок строительства ИЖД по адресу: г. Нарьян</t>
  </si>
  <si>
    <t>Воздушная линия 0,4 кВ (ДТП №1586 от 22.05.2023 г., антенно-мачтовое сооружение)</t>
  </si>
  <si>
    <t>Воздушная линия 0,4кВ (ДТП №338 от 05.10.2021г, МЖД по ул.Россихина)</t>
  </si>
  <si>
    <t>000001978</t>
  </si>
  <si>
    <t>000001988</t>
  </si>
  <si>
    <t>000001991</t>
  </si>
  <si>
    <t>000001989</t>
  </si>
  <si>
    <t>000001990</t>
  </si>
  <si>
    <t>000001994</t>
  </si>
  <si>
    <t>ВЛИ-0,4 кВ</t>
  </si>
  <si>
    <t>Будут объеденены</t>
  </si>
  <si>
    <t>000001992</t>
  </si>
  <si>
    <t>000001993</t>
  </si>
  <si>
    <t>КТП</t>
  </si>
  <si>
    <t>ВЛЗ-6 кВ</t>
  </si>
  <si>
    <t>КЛ-6 кВ</t>
  </si>
  <si>
    <t>000001995</t>
  </si>
  <si>
    <t>000001996</t>
  </si>
  <si>
    <t>000001997</t>
  </si>
  <si>
    <t>Факт 2022</t>
  </si>
  <si>
    <t>Ожидайка 2023</t>
  </si>
  <si>
    <t>План 2024</t>
  </si>
  <si>
    <t>План 2025</t>
  </si>
  <si>
    <t>План 2026</t>
  </si>
  <si>
    <t>План 2027</t>
  </si>
  <si>
    <t>000001998</t>
  </si>
  <si>
    <t>000001999</t>
  </si>
  <si>
    <t>000002000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</si>
</sst>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_ ;[Red]\-#,##0.00\ "/>
    <numFmt numFmtId="165" formatCode="#,##0.00000"/>
    <numFmt numFmtId="166" formatCode="dd/mm/yy;@"/>
    <numFmt numFmtId="167" formatCode="0.00;[Red]\-0.00"/>
    <numFmt numFmtId="168" formatCode="#,##0.0000;[Red]\-#,##0.0000"/>
    <numFmt numFmtId="169" formatCode="#,##0.0"/>
    <numFmt numFmtId="170" formatCode="0.000"/>
    <numFmt numFmtId="171" formatCode="0.0"/>
  </numFmts>
  <fonts count="34" x14ac:knownFonts="1">
    <font>
      <sz val="8"/>
      <name val="Arial"/>
    </font>
    <font>
      <b/>
      <sz val="10"/>
      <color rgb="FF003F2F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003F2F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rgb="FF0070C0"/>
      <name val="Arial"/>
      <family val="2"/>
      <charset val="204"/>
    </font>
    <font>
      <sz val="1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3F2F"/>
      <name val="Times New Roman"/>
      <family val="1"/>
      <charset val="204"/>
    </font>
    <font>
      <b/>
      <sz val="9"/>
      <color rgb="FF003F2F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9" tint="-0.249977111117893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color rgb="FF003F2F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indexed="21"/>
      <name val="Arial"/>
      <family val="2"/>
      <charset val="204"/>
    </font>
    <font>
      <sz val="9"/>
      <color indexed="21"/>
      <name val="Arial"/>
      <family val="2"/>
      <charset val="204"/>
    </font>
    <font>
      <sz val="9"/>
      <name val="Arial"/>
      <family val="2"/>
      <charset val="204"/>
    </font>
    <font>
      <b/>
      <sz val="10"/>
      <color indexed="21"/>
      <name val="Arial"/>
      <family val="2"/>
      <charset val="204"/>
    </font>
    <font>
      <sz val="9"/>
      <name val="Arial"/>
    </font>
  </fonts>
  <fills count="20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0F6EF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/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hair">
        <color rgb="FFA0A0A0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5">
    <xf numFmtId="0" fontId="0" fillId="0" borderId="0"/>
    <xf numFmtId="0" fontId="2" fillId="0" borderId="0"/>
    <xf numFmtId="0" fontId="24" fillId="0" borderId="0"/>
    <xf numFmtId="0" fontId="17" fillId="0" borderId="0"/>
    <xf numFmtId="0" fontId="17" fillId="0" borderId="0"/>
  </cellStyleXfs>
  <cellXfs count="329">
    <xf numFmtId="0" fontId="0" fillId="0" borderId="0" xfId="0"/>
    <xf numFmtId="10" fontId="0" fillId="0" borderId="0" xfId="0" applyNumberFormat="1"/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4" fontId="4" fillId="0" borderId="0" xfId="0" applyNumberFormat="1" applyFont="1"/>
    <xf numFmtId="4" fontId="4" fillId="4" borderId="0" xfId="0" applyNumberFormat="1" applyFont="1" applyFill="1"/>
    <xf numFmtId="4" fontId="0" fillId="4" borderId="0" xfId="0" applyNumberFormat="1" applyFill="1"/>
    <xf numFmtId="4" fontId="2" fillId="4" borderId="0" xfId="0" applyNumberFormat="1" applyFont="1" applyFill="1"/>
    <xf numFmtId="0" fontId="0" fillId="5" borderId="0" xfId="0" applyFill="1"/>
    <xf numFmtId="0" fontId="0" fillId="6" borderId="0" xfId="0" applyFill="1"/>
    <xf numFmtId="3" fontId="4" fillId="0" borderId="0" xfId="0" applyNumberFormat="1" applyFont="1" applyAlignment="1">
      <alignment horizontal="center"/>
    </xf>
    <xf numFmtId="4" fontId="4" fillId="7" borderId="0" xfId="0" applyNumberFormat="1" applyFont="1" applyFill="1"/>
    <xf numFmtId="3" fontId="0" fillId="0" borderId="0" xfId="0" applyNumberFormat="1"/>
    <xf numFmtId="0" fontId="0" fillId="0" borderId="6" xfId="0" applyBorder="1"/>
    <xf numFmtId="0" fontId="5" fillId="0" borderId="6" xfId="0" applyFont="1" applyBorder="1"/>
    <xf numFmtId="0" fontId="3" fillId="0" borderId="0" xfId="0" applyFont="1" applyAlignment="1">
      <alignment wrapText="1"/>
    </xf>
    <xf numFmtId="0" fontId="3" fillId="0" borderId="6" xfId="0" applyFont="1" applyBorder="1"/>
    <xf numFmtId="3" fontId="3" fillId="0" borderId="0" xfId="0" applyNumberFormat="1" applyFont="1"/>
    <xf numFmtId="4" fontId="3" fillId="0" borderId="0" xfId="0" applyNumberFormat="1" applyFont="1"/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5" borderId="7" xfId="0" applyFont="1" applyFill="1" applyBorder="1" applyAlignment="1">
      <alignment horizontal="left" wrapText="1"/>
    </xf>
    <xf numFmtId="4" fontId="8" fillId="0" borderId="0" xfId="0" applyNumberFormat="1" applyFont="1" applyAlignment="1">
      <alignment vertical="center"/>
    </xf>
    <xf numFmtId="166" fontId="0" fillId="0" borderId="0" xfId="0" applyNumberFormat="1"/>
    <xf numFmtId="0" fontId="2" fillId="5" borderId="7" xfId="0" applyFont="1" applyFill="1" applyBorder="1" applyAlignment="1">
      <alignment horizontal="left" vertical="top" wrapText="1"/>
    </xf>
    <xf numFmtId="166" fontId="2" fillId="0" borderId="0" xfId="0" applyNumberFormat="1" applyFont="1"/>
    <xf numFmtId="4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5" borderId="1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4" fontId="9" fillId="0" borderId="0" xfId="0" applyNumberFormat="1" applyFont="1"/>
    <xf numFmtId="0" fontId="0" fillId="0" borderId="4" xfId="0" applyBorder="1"/>
    <xf numFmtId="0" fontId="0" fillId="7" borderId="4" xfId="0" applyFill="1" applyBorder="1"/>
    <xf numFmtId="0" fontId="0" fillId="7" borderId="0" xfId="0" applyFill="1"/>
    <xf numFmtId="0" fontId="14" fillId="0" borderId="0" xfId="1" applyFont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 wrapText="1"/>
    </xf>
    <xf numFmtId="0" fontId="14" fillId="11" borderId="7" xfId="1" applyFont="1" applyFill="1" applyBorder="1" applyAlignment="1">
      <alignment horizontal="center" vertical="center" wrapText="1"/>
    </xf>
    <xf numFmtId="0" fontId="15" fillId="11" borderId="7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vertical="center" wrapText="1"/>
    </xf>
    <xf numFmtId="40" fontId="15" fillId="4" borderId="7" xfId="1" applyNumberFormat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40" fontId="15" fillId="5" borderId="7" xfId="1" applyNumberFormat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5" borderId="7" xfId="1" applyFont="1" applyFill="1" applyBorder="1" applyAlignment="1">
      <alignment horizontal="center" vertical="center" wrapText="1"/>
    </xf>
    <xf numFmtId="0" fontId="14" fillId="4" borderId="0" xfId="1" applyFont="1" applyFill="1" applyAlignment="1">
      <alignment horizontal="center" vertical="center" wrapText="1"/>
    </xf>
    <xf numFmtId="0" fontId="15" fillId="12" borderId="7" xfId="1" applyFont="1" applyFill="1" applyBorder="1" applyAlignment="1">
      <alignment horizontal="center" vertical="center" wrapText="1"/>
    </xf>
    <xf numFmtId="40" fontId="15" fillId="12" borderId="7" xfId="1" applyNumberFormat="1" applyFont="1" applyFill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40" fontId="14" fillId="0" borderId="7" xfId="1" applyNumberFormat="1" applyFont="1" applyBorder="1" applyAlignment="1">
      <alignment horizontal="center" vertical="center" wrapText="1"/>
    </xf>
    <xf numFmtId="40" fontId="14" fillId="5" borderId="7" xfId="1" applyNumberFormat="1" applyFont="1" applyFill="1" applyBorder="1" applyAlignment="1">
      <alignment horizontal="center" vertical="center" wrapText="1"/>
    </xf>
    <xf numFmtId="164" fontId="14" fillId="5" borderId="7" xfId="1" applyNumberFormat="1" applyFont="1" applyFill="1" applyBorder="1" applyAlignment="1">
      <alignment horizontal="center" vertical="center" wrapText="1"/>
    </xf>
    <xf numFmtId="0" fontId="15" fillId="9" borderId="7" xfId="1" applyFont="1" applyFill="1" applyBorder="1" applyAlignment="1">
      <alignment horizontal="center" vertical="center" wrapText="1"/>
    </xf>
    <xf numFmtId="0" fontId="15" fillId="7" borderId="7" xfId="1" applyFont="1" applyFill="1" applyBorder="1" applyAlignment="1">
      <alignment horizontal="center" vertical="center" wrapText="1"/>
    </xf>
    <xf numFmtId="0" fontId="15" fillId="5" borderId="7" xfId="1" applyFont="1" applyFill="1" applyBorder="1" applyAlignment="1">
      <alignment horizontal="center" vertical="center" wrapText="1"/>
    </xf>
    <xf numFmtId="167" fontId="15" fillId="12" borderId="7" xfId="1" applyNumberFormat="1" applyFont="1" applyFill="1" applyBorder="1" applyAlignment="1">
      <alignment horizontal="center" vertical="center" wrapText="1"/>
    </xf>
    <xf numFmtId="164" fontId="14" fillId="4" borderId="7" xfId="1" applyNumberFormat="1" applyFont="1" applyFill="1" applyBorder="1" applyAlignment="1">
      <alignment horizontal="center" vertical="center" wrapText="1"/>
    </xf>
    <xf numFmtId="0" fontId="14" fillId="7" borderId="0" xfId="1" applyFont="1" applyFill="1" applyAlignment="1">
      <alignment horizontal="center" vertical="center" wrapText="1"/>
    </xf>
    <xf numFmtId="0" fontId="14" fillId="9" borderId="7" xfId="1" applyFont="1" applyFill="1" applyBorder="1" applyAlignment="1">
      <alignment horizontal="center" vertical="center" wrapText="1"/>
    </xf>
    <xf numFmtId="2" fontId="14" fillId="0" borderId="7" xfId="1" applyNumberFormat="1" applyFont="1" applyBorder="1" applyAlignment="1">
      <alignment horizontal="center" vertical="center" wrapText="1"/>
    </xf>
    <xf numFmtId="4" fontId="15" fillId="5" borderId="7" xfId="1" applyNumberFormat="1" applyFont="1" applyFill="1" applyBorder="1" applyAlignment="1">
      <alignment horizontal="center" vertical="center" wrapText="1"/>
    </xf>
    <xf numFmtId="40" fontId="15" fillId="7" borderId="7" xfId="1" applyNumberFormat="1" applyFont="1" applyFill="1" applyBorder="1" applyAlignment="1">
      <alignment horizontal="center" vertical="center" wrapText="1"/>
    </xf>
    <xf numFmtId="164" fontId="15" fillId="7" borderId="7" xfId="1" applyNumberFormat="1" applyFont="1" applyFill="1" applyBorder="1" applyAlignment="1">
      <alignment horizontal="center" vertical="center" wrapText="1"/>
    </xf>
    <xf numFmtId="164" fontId="15" fillId="5" borderId="7" xfId="1" applyNumberFormat="1" applyFont="1" applyFill="1" applyBorder="1" applyAlignment="1">
      <alignment horizontal="center" vertical="center" wrapText="1"/>
    </xf>
    <xf numFmtId="4" fontId="14" fillId="0" borderId="7" xfId="1" applyNumberFormat="1" applyFont="1" applyBorder="1" applyAlignment="1">
      <alignment horizontal="center" vertical="center" wrapText="1"/>
    </xf>
    <xf numFmtId="40" fontId="14" fillId="7" borderId="7" xfId="1" applyNumberFormat="1" applyFont="1" applyFill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top" wrapText="1"/>
    </xf>
    <xf numFmtId="40" fontId="14" fillId="0" borderId="7" xfId="1" applyNumberFormat="1" applyFont="1" applyBorder="1" applyAlignment="1">
      <alignment horizontal="center" vertical="top"/>
    </xf>
    <xf numFmtId="0" fontId="15" fillId="0" borderId="7" xfId="1" applyFont="1" applyBorder="1" applyAlignment="1">
      <alignment horizontal="center" vertical="center" wrapText="1"/>
    </xf>
    <xf numFmtId="167" fontId="15" fillId="5" borderId="7" xfId="1" applyNumberFormat="1" applyFont="1" applyFill="1" applyBorder="1" applyAlignment="1">
      <alignment horizontal="center" vertical="center" wrapText="1"/>
    </xf>
    <xf numFmtId="40" fontId="14" fillId="4" borderId="7" xfId="1" applyNumberFormat="1" applyFont="1" applyFill="1" applyBorder="1" applyAlignment="1">
      <alignment horizontal="center" vertical="center" wrapText="1"/>
    </xf>
    <xf numFmtId="4" fontId="2" fillId="5" borderId="7" xfId="1" applyNumberFormat="1" applyFill="1" applyBorder="1" applyAlignment="1">
      <alignment horizontal="center"/>
    </xf>
    <xf numFmtId="168" fontId="14" fillId="0" borderId="7" xfId="1" applyNumberFormat="1" applyFont="1" applyBorder="1" applyAlignment="1">
      <alignment horizontal="center" vertical="center" wrapText="1"/>
    </xf>
    <xf numFmtId="40" fontId="16" fillId="4" borderId="7" xfId="1" applyNumberFormat="1" applyFont="1" applyFill="1" applyBorder="1" applyAlignment="1">
      <alignment horizontal="center" vertical="center" wrapText="1"/>
    </xf>
    <xf numFmtId="40" fontId="16" fillId="5" borderId="7" xfId="1" applyNumberFormat="1" applyFont="1" applyFill="1" applyBorder="1" applyAlignment="1">
      <alignment horizontal="center" vertical="center" wrapText="1"/>
    </xf>
    <xf numFmtId="0" fontId="16" fillId="4" borderId="0" xfId="1" applyFont="1" applyFill="1" applyAlignment="1">
      <alignment horizontal="center" vertical="center" wrapText="1"/>
    </xf>
    <xf numFmtId="40" fontId="16" fillId="4" borderId="0" xfId="1" applyNumberFormat="1" applyFont="1" applyFill="1" applyAlignment="1">
      <alignment horizontal="center" vertical="center" wrapText="1"/>
    </xf>
    <xf numFmtId="40" fontId="16" fillId="5" borderId="0" xfId="1" applyNumberFormat="1" applyFont="1" applyFill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40" fontId="16" fillId="0" borderId="7" xfId="1" applyNumberFormat="1" applyFont="1" applyBorder="1" applyAlignment="1">
      <alignment horizontal="center" vertical="center" wrapText="1"/>
    </xf>
    <xf numFmtId="40" fontId="15" fillId="0" borderId="7" xfId="1" applyNumberFormat="1" applyFont="1" applyBorder="1" applyAlignment="1">
      <alignment horizontal="center" vertical="center" wrapText="1"/>
    </xf>
    <xf numFmtId="164" fontId="13" fillId="5" borderId="0" xfId="1" applyNumberFormat="1" applyFont="1" applyFill="1" applyAlignment="1">
      <alignment horizontal="center" vertical="center" wrapText="1"/>
    </xf>
    <xf numFmtId="164" fontId="14" fillId="0" borderId="0" xfId="1" applyNumberFormat="1" applyFont="1" applyAlignment="1">
      <alignment horizontal="center" vertical="center" wrapText="1"/>
    </xf>
    <xf numFmtId="4" fontId="13" fillId="5" borderId="0" xfId="1" applyNumberFormat="1" applyFont="1" applyFill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 wrapText="1"/>
    </xf>
    <xf numFmtId="14" fontId="14" fillId="0" borderId="7" xfId="1" applyNumberFormat="1" applyFont="1" applyBorder="1" applyAlignment="1">
      <alignment horizontal="center" vertical="center" wrapText="1"/>
    </xf>
    <xf numFmtId="164" fontId="14" fillId="0" borderId="7" xfId="1" applyNumberFormat="1" applyFont="1" applyBorder="1" applyAlignment="1">
      <alignment horizontal="center" vertical="center" wrapText="1"/>
    </xf>
    <xf numFmtId="164" fontId="14" fillId="7" borderId="7" xfId="1" applyNumberFormat="1" applyFont="1" applyFill="1" applyBorder="1" applyAlignment="1">
      <alignment horizontal="center" vertical="center" wrapText="1"/>
    </xf>
    <xf numFmtId="164" fontId="13" fillId="4" borderId="7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1" applyAlignment="1">
      <alignment wrapText="1"/>
    </xf>
    <xf numFmtId="0" fontId="2" fillId="0" borderId="0" xfId="1"/>
    <xf numFmtId="4" fontId="2" fillId="0" borderId="7" xfId="1" applyNumberFormat="1" applyBorder="1" applyAlignment="1">
      <alignment horizontal="left"/>
    </xf>
    <xf numFmtId="3" fontId="2" fillId="0" borderId="0" xfId="1" applyNumberFormat="1"/>
    <xf numFmtId="0" fontId="3" fillId="4" borderId="7" xfId="1" applyFont="1" applyFill="1" applyBorder="1" applyAlignment="1">
      <alignment horizontal="center"/>
    </xf>
    <xf numFmtId="10" fontId="3" fillId="4" borderId="7" xfId="1" applyNumberFormat="1" applyFont="1" applyFill="1" applyBorder="1" applyAlignment="1">
      <alignment horizontal="center"/>
    </xf>
    <xf numFmtId="10" fontId="2" fillId="0" borderId="0" xfId="1" applyNumberFormat="1"/>
    <xf numFmtId="4" fontId="6" fillId="4" borderId="7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>
      <alignment horizontal="center" vertical="center" wrapText="1"/>
    </xf>
    <xf numFmtId="14" fontId="3" fillId="4" borderId="7" xfId="1" applyNumberFormat="1" applyFont="1" applyFill="1" applyBorder="1" applyAlignment="1">
      <alignment horizontal="center"/>
    </xf>
    <xf numFmtId="14" fontId="2" fillId="0" borderId="0" xfId="1" applyNumberFormat="1"/>
    <xf numFmtId="0" fontId="3" fillId="0" borderId="0" xfId="1" applyFont="1"/>
    <xf numFmtId="0" fontId="6" fillId="8" borderId="7" xfId="1" applyFont="1" applyFill="1" applyBorder="1" applyAlignment="1">
      <alignment horizontal="center" vertical="center" wrapText="1"/>
    </xf>
    <xf numFmtId="4" fontId="6" fillId="8" borderId="7" xfId="1" applyNumberFormat="1" applyFont="1" applyFill="1" applyBorder="1" applyAlignment="1">
      <alignment horizontal="center" vertical="center" wrapText="1"/>
    </xf>
    <xf numFmtId="14" fontId="2" fillId="8" borderId="0" xfId="1" applyNumberFormat="1" applyFill="1"/>
    <xf numFmtId="0" fontId="3" fillId="8" borderId="0" xfId="1" applyFont="1" applyFill="1"/>
    <xf numFmtId="0" fontId="2" fillId="8" borderId="0" xfId="1" applyFill="1"/>
    <xf numFmtId="0" fontId="2" fillId="8" borderId="0" xfId="1" applyFill="1" applyAlignment="1">
      <alignment horizontal="center" wrapText="1"/>
    </xf>
    <xf numFmtId="0" fontId="2" fillId="0" borderId="7" xfId="1" applyBorder="1" applyAlignment="1">
      <alignment horizontal="left" wrapText="1"/>
    </xf>
    <xf numFmtId="0" fontId="2" fillId="0" borderId="7" xfId="1" applyBorder="1" applyAlignment="1">
      <alignment horizontal="left"/>
    </xf>
    <xf numFmtId="3" fontId="2" fillId="0" borderId="7" xfId="1" applyNumberFormat="1" applyBorder="1" applyAlignment="1">
      <alignment horizontal="left"/>
    </xf>
    <xf numFmtId="165" fontId="2" fillId="0" borderId="7" xfId="1" applyNumberFormat="1" applyBorder="1" applyAlignment="1">
      <alignment horizontal="left"/>
    </xf>
    <xf numFmtId="4" fontId="2" fillId="0" borderId="0" xfId="1" applyNumberFormat="1"/>
    <xf numFmtId="0" fontId="4" fillId="0" borderId="7" xfId="1" applyFont="1" applyBorder="1" applyAlignment="1">
      <alignment horizontal="left" wrapText="1"/>
    </xf>
    <xf numFmtId="0" fontId="4" fillId="0" borderId="7" xfId="1" applyFont="1" applyBorder="1" applyAlignment="1">
      <alignment horizontal="left"/>
    </xf>
    <xf numFmtId="4" fontId="4" fillId="0" borderId="7" xfId="1" applyNumberFormat="1" applyFont="1" applyBorder="1" applyAlignment="1">
      <alignment horizontal="left"/>
    </xf>
    <xf numFmtId="165" fontId="4" fillId="0" borderId="7" xfId="1" applyNumberFormat="1" applyFont="1" applyBorder="1" applyAlignment="1">
      <alignment horizontal="left"/>
    </xf>
    <xf numFmtId="4" fontId="4" fillId="0" borderId="0" xfId="1" applyNumberFormat="1" applyFont="1"/>
    <xf numFmtId="0" fontId="4" fillId="0" borderId="0" xfId="1" applyFont="1"/>
    <xf numFmtId="14" fontId="2" fillId="0" borderId="7" xfId="1" applyNumberFormat="1" applyBorder="1" applyAlignment="1">
      <alignment horizontal="left"/>
    </xf>
    <xf numFmtId="0" fontId="2" fillId="8" borderId="7" xfId="1" applyFill="1" applyBorder="1" applyAlignment="1">
      <alignment horizontal="left" wrapText="1"/>
    </xf>
    <xf numFmtId="0" fontId="2" fillId="8" borderId="7" xfId="1" applyFill="1" applyBorder="1" applyAlignment="1">
      <alignment horizontal="left"/>
    </xf>
    <xf numFmtId="4" fontId="3" fillId="8" borderId="7" xfId="1" applyNumberFormat="1" applyFont="1" applyFill="1" applyBorder="1" applyAlignment="1">
      <alignment horizontal="left"/>
    </xf>
    <xf numFmtId="4" fontId="2" fillId="8" borderId="0" xfId="1" applyNumberFormat="1" applyFill="1"/>
    <xf numFmtId="0" fontId="2" fillId="5" borderId="7" xfId="1" applyFill="1" applyBorder="1" applyAlignment="1">
      <alignment horizontal="left"/>
    </xf>
    <xf numFmtId="0" fontId="2" fillId="6" borderId="7" xfId="1" applyFill="1" applyBorder="1" applyAlignment="1">
      <alignment horizontal="left"/>
    </xf>
    <xf numFmtId="0" fontId="4" fillId="8" borderId="7" xfId="1" applyFont="1" applyFill="1" applyBorder="1" applyAlignment="1">
      <alignment horizontal="left" wrapText="1"/>
    </xf>
    <xf numFmtId="0" fontId="4" fillId="8" borderId="7" xfId="1" applyFont="1" applyFill="1" applyBorder="1" applyAlignment="1">
      <alignment horizontal="left"/>
    </xf>
    <xf numFmtId="4" fontId="7" fillId="8" borderId="7" xfId="1" applyNumberFormat="1" applyFont="1" applyFill="1" applyBorder="1" applyAlignment="1">
      <alignment horizontal="left"/>
    </xf>
    <xf numFmtId="4" fontId="2" fillId="8" borderId="7" xfId="1" applyNumberFormat="1" applyFill="1" applyBorder="1" applyAlignment="1">
      <alignment horizontal="left"/>
    </xf>
    <xf numFmtId="4" fontId="4" fillId="8" borderId="0" xfId="1" applyNumberFormat="1" applyFont="1" applyFill="1"/>
    <xf numFmtId="0" fontId="4" fillId="8" borderId="0" xfId="1" applyFont="1" applyFill="1"/>
    <xf numFmtId="2" fontId="2" fillId="0" borderId="7" xfId="1" applyNumberFormat="1" applyBorder="1" applyAlignment="1">
      <alignment horizontal="left"/>
    </xf>
    <xf numFmtId="169" fontId="2" fillId="0" borderId="7" xfId="1" applyNumberFormat="1" applyBorder="1" applyAlignment="1">
      <alignment horizontal="left"/>
    </xf>
    <xf numFmtId="0" fontId="2" fillId="5" borderId="7" xfId="1" applyFill="1" applyBorder="1" applyAlignment="1">
      <alignment horizontal="left" wrapText="1"/>
    </xf>
    <xf numFmtId="4" fontId="2" fillId="5" borderId="7" xfId="1" applyNumberFormat="1" applyFill="1" applyBorder="1" applyAlignment="1">
      <alignment horizontal="left"/>
    </xf>
    <xf numFmtId="1" fontId="2" fillId="5" borderId="7" xfId="1" applyNumberFormat="1" applyFill="1" applyBorder="1" applyAlignment="1">
      <alignment horizontal="left"/>
    </xf>
    <xf numFmtId="4" fontId="3" fillId="0" borderId="0" xfId="1" applyNumberFormat="1" applyFont="1"/>
    <xf numFmtId="2" fontId="2" fillId="5" borderId="7" xfId="1" applyNumberFormat="1" applyFill="1" applyBorder="1" applyAlignment="1">
      <alignment horizontal="left"/>
    </xf>
    <xf numFmtId="0" fontId="17" fillId="5" borderId="7" xfId="1" applyFont="1" applyFill="1" applyBorder="1" applyAlignment="1">
      <alignment wrapText="1"/>
    </xf>
    <xf numFmtId="0" fontId="17" fillId="0" borderId="7" xfId="1" applyFont="1" applyBorder="1"/>
    <xf numFmtId="0" fontId="18" fillId="0" borderId="7" xfId="1" applyFont="1" applyBorder="1" applyAlignment="1">
      <alignment horizontal="left" vertical="top" wrapText="1"/>
    </xf>
    <xf numFmtId="14" fontId="17" fillId="0" borderId="7" xfId="1" applyNumberFormat="1" applyFont="1" applyBorder="1" applyAlignment="1">
      <alignment horizontal="left"/>
    </xf>
    <xf numFmtId="0" fontId="17" fillId="5" borderId="7" xfId="1" applyFont="1" applyFill="1" applyBorder="1" applyAlignment="1">
      <alignment horizontal="left"/>
    </xf>
    <xf numFmtId="4" fontId="17" fillId="0" borderId="7" xfId="1" applyNumberFormat="1" applyFont="1" applyBorder="1" applyAlignment="1">
      <alignment horizontal="left"/>
    </xf>
    <xf numFmtId="3" fontId="17" fillId="5" borderId="7" xfId="1" applyNumberFormat="1" applyFont="1" applyFill="1" applyBorder="1" applyAlignment="1">
      <alignment horizontal="left"/>
    </xf>
    <xf numFmtId="0" fontId="19" fillId="13" borderId="7" xfId="1" applyFont="1" applyFill="1" applyBorder="1" applyAlignment="1">
      <alignment horizontal="justify" vertical="center"/>
    </xf>
    <xf numFmtId="0" fontId="2" fillId="0" borderId="7" xfId="1" applyBorder="1" applyAlignment="1">
      <alignment horizontal="center"/>
    </xf>
    <xf numFmtId="0" fontId="17" fillId="0" borderId="7" xfId="1" applyFont="1" applyBorder="1" applyAlignment="1">
      <alignment horizontal="left" wrapText="1"/>
    </xf>
    <xf numFmtId="14" fontId="17" fillId="0" borderId="7" xfId="1" applyNumberFormat="1" applyFont="1" applyBorder="1" applyAlignment="1">
      <alignment horizontal="center"/>
    </xf>
    <xf numFmtId="0" fontId="20" fillId="13" borderId="7" xfId="1" applyFont="1" applyFill="1" applyBorder="1" applyAlignment="1">
      <alignment wrapText="1"/>
    </xf>
    <xf numFmtId="0" fontId="2" fillId="10" borderId="7" xfId="1" applyFill="1" applyBorder="1" applyAlignment="1">
      <alignment wrapText="1"/>
    </xf>
    <xf numFmtId="0" fontId="2" fillId="10" borderId="7" xfId="1" applyFill="1" applyBorder="1"/>
    <xf numFmtId="4" fontId="2" fillId="10" borderId="7" xfId="1" applyNumberFormat="1" applyFill="1" applyBorder="1" applyAlignment="1">
      <alignment horizontal="left"/>
    </xf>
    <xf numFmtId="4" fontId="2" fillId="0" borderId="0" xfId="1" applyNumberFormat="1" applyAlignment="1">
      <alignment horizontal="left"/>
    </xf>
    <xf numFmtId="3" fontId="2" fillId="0" borderId="0" xfId="1" applyNumberFormat="1" applyAlignment="1">
      <alignment horizontal="center"/>
    </xf>
    <xf numFmtId="0" fontId="2" fillId="0" borderId="7" xfId="1" applyBorder="1"/>
    <xf numFmtId="3" fontId="2" fillId="0" borderId="7" xfId="1" applyNumberFormat="1" applyBorder="1" applyAlignment="1">
      <alignment horizontal="center"/>
    </xf>
    <xf numFmtId="4" fontId="2" fillId="11" borderId="7" xfId="1" applyNumberFormat="1" applyFill="1" applyBorder="1"/>
    <xf numFmtId="4" fontId="2" fillId="0" borderId="7" xfId="1" applyNumberFormat="1" applyBorder="1"/>
    <xf numFmtId="0" fontId="5" fillId="0" borderId="7" xfId="1" applyFont="1" applyBorder="1"/>
    <xf numFmtId="3" fontId="2" fillId="0" borderId="7" xfId="1" applyNumberFormat="1" applyBorder="1"/>
    <xf numFmtId="0" fontId="3" fillId="0" borderId="7" xfId="1" applyFont="1" applyBorder="1"/>
    <xf numFmtId="0" fontId="6" fillId="4" borderId="7" xfId="1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0" xfId="0" applyFont="1"/>
    <xf numFmtId="4" fontId="21" fillId="0" borderId="0" xfId="0" applyNumberFormat="1" applyFont="1"/>
    <xf numFmtId="3" fontId="21" fillId="0" borderId="0" xfId="0" applyNumberFormat="1" applyFont="1" applyAlignment="1">
      <alignment horizontal="center"/>
    </xf>
    <xf numFmtId="0" fontId="21" fillId="0" borderId="6" xfId="0" applyFont="1" applyBorder="1"/>
    <xf numFmtId="14" fontId="17" fillId="0" borderId="0" xfId="0" applyNumberFormat="1" applyFont="1" applyAlignment="1">
      <alignment horizontal="left"/>
    </xf>
    <xf numFmtId="49" fontId="17" fillId="0" borderId="0" xfId="0" applyNumberFormat="1" applyFont="1"/>
    <xf numFmtId="1" fontId="0" fillId="0" borderId="0" xfId="0" applyNumberFormat="1"/>
    <xf numFmtId="0" fontId="2" fillId="0" borderId="7" xfId="0" applyFont="1" applyBorder="1" applyAlignment="1">
      <alignment horizontal="left" vertical="top" wrapText="1"/>
    </xf>
    <xf numFmtId="4" fontId="7" fillId="0" borderId="0" xfId="0" applyNumberFormat="1" applyFont="1"/>
    <xf numFmtId="0" fontId="2" fillId="7" borderId="0" xfId="0" applyFont="1" applyFill="1"/>
    <xf numFmtId="4" fontId="3" fillId="7" borderId="0" xfId="0" applyNumberFormat="1" applyFont="1" applyFill="1"/>
    <xf numFmtId="0" fontId="0" fillId="0" borderId="4" xfId="0" applyBorder="1" applyAlignment="1">
      <alignment horizontal="center"/>
    </xf>
    <xf numFmtId="0" fontId="22" fillId="0" borderId="14" xfId="0" applyFont="1" applyBorder="1" applyAlignment="1">
      <alignment vertical="top" wrapText="1"/>
    </xf>
    <xf numFmtId="0" fontId="0" fillId="0" borderId="6" xfId="0" applyBorder="1" applyAlignment="1">
      <alignment vertical="center"/>
    </xf>
    <xf numFmtId="4" fontId="0" fillId="0" borderId="6" xfId="0" applyNumberFormat="1" applyBorder="1" applyAlignment="1">
      <alignment horizontal="right" vertical="center"/>
    </xf>
    <xf numFmtId="164" fontId="0" fillId="0" borderId="0" xfId="0" applyNumberFormat="1"/>
    <xf numFmtId="4" fontId="0" fillId="14" borderId="0" xfId="0" applyNumberFormat="1" applyFill="1"/>
    <xf numFmtId="40" fontId="14" fillId="0" borderId="14" xfId="0" applyNumberFormat="1" applyFont="1" applyBorder="1" applyAlignment="1">
      <alignment horizontal="right" vertical="top"/>
    </xf>
    <xf numFmtId="164" fontId="2" fillId="0" borderId="0" xfId="0" applyNumberFormat="1" applyFont="1"/>
    <xf numFmtId="49" fontId="2" fillId="0" borderId="6" xfId="0" applyNumberFormat="1" applyFont="1" applyBorder="1" applyAlignment="1">
      <alignment vertical="center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wrapText="1"/>
    </xf>
    <xf numFmtId="170" fontId="0" fillId="0" borderId="0" xfId="0" applyNumberFormat="1"/>
    <xf numFmtId="164" fontId="0" fillId="15" borderId="0" xfId="0" applyNumberFormat="1" applyFill="1"/>
    <xf numFmtId="4" fontId="0" fillId="16" borderId="0" xfId="0" applyNumberFormat="1" applyFill="1"/>
    <xf numFmtId="4" fontId="0" fillId="0" borderId="6" xfId="0" applyNumberForma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4" fontId="0" fillId="0" borderId="6" xfId="0" applyNumberFormat="1" applyBorder="1"/>
    <xf numFmtId="0" fontId="2" fillId="0" borderId="6" xfId="0" applyFont="1" applyBorder="1" applyAlignment="1">
      <alignment vertical="center" wrapText="1"/>
    </xf>
    <xf numFmtId="14" fontId="0" fillId="0" borderId="0" xfId="0" applyNumberFormat="1" applyAlignment="1">
      <alignment wrapText="1"/>
    </xf>
    <xf numFmtId="0" fontId="10" fillId="0" borderId="7" xfId="1" applyFont="1" applyBorder="1"/>
    <xf numFmtId="4" fontId="0" fillId="14" borderId="6" xfId="0" applyNumberFormat="1" applyFill="1" applyBorder="1" applyAlignment="1">
      <alignment horizontal="right" vertical="center"/>
    </xf>
    <xf numFmtId="164" fontId="0" fillId="14" borderId="0" xfId="0" applyNumberFormat="1" applyFill="1"/>
    <xf numFmtId="0" fontId="2" fillId="11" borderId="0" xfId="0" applyFont="1" applyFill="1" applyAlignment="1">
      <alignment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wrapText="1"/>
    </xf>
    <xf numFmtId="4" fontId="2" fillId="14" borderId="0" xfId="0" applyNumberFormat="1" applyFont="1" applyFill="1"/>
    <xf numFmtId="0" fontId="2" fillId="14" borderId="0" xfId="0" applyFont="1" applyFill="1"/>
    <xf numFmtId="2" fontId="0" fillId="0" borderId="0" xfId="0" applyNumberFormat="1"/>
    <xf numFmtId="171" fontId="0" fillId="0" borderId="0" xfId="0" applyNumberFormat="1"/>
    <xf numFmtId="10" fontId="0" fillId="5" borderId="0" xfId="0" applyNumberFormat="1" applyFill="1"/>
    <xf numFmtId="0" fontId="3" fillId="5" borderId="0" xfId="0" applyFont="1" applyFill="1"/>
    <xf numFmtId="4" fontId="0" fillId="5" borderId="0" xfId="0" applyNumberFormat="1" applyFill="1"/>
    <xf numFmtId="4" fontId="3" fillId="5" borderId="0" xfId="0" applyNumberFormat="1" applyFont="1" applyFill="1"/>
    <xf numFmtId="0" fontId="0" fillId="14" borderId="0" xfId="0" applyFill="1"/>
    <xf numFmtId="1" fontId="22" fillId="0" borderId="14" xfId="0" applyNumberFormat="1" applyFont="1" applyBorder="1" applyAlignment="1">
      <alignment horizontal="right" vertical="top" wrapText="1"/>
    </xf>
    <xf numFmtId="0" fontId="0" fillId="0" borderId="6" xfId="0" applyBorder="1" applyAlignment="1">
      <alignment vertical="center" wrapText="1"/>
    </xf>
    <xf numFmtId="14" fontId="0" fillId="0" borderId="6" xfId="0" applyNumberFormat="1" applyBorder="1" applyAlignment="1">
      <alignment vertical="center"/>
    </xf>
    <xf numFmtId="0" fontId="2" fillId="0" borderId="0" xfId="0" applyFont="1" applyAlignment="1">
      <alignment horizontal="right"/>
    </xf>
    <xf numFmtId="49" fontId="2" fillId="0" borderId="0" xfId="0" applyNumberFormat="1" applyFont="1"/>
    <xf numFmtId="0" fontId="17" fillId="5" borderId="7" xfId="1" applyFont="1" applyFill="1" applyBorder="1" applyAlignment="1">
      <alignment vertical="top" wrapText="1"/>
    </xf>
    <xf numFmtId="0" fontId="17" fillId="5" borderId="7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14" fontId="17" fillId="0" borderId="0" xfId="1" applyNumberFormat="1" applyFont="1" applyAlignment="1">
      <alignment horizontal="left"/>
    </xf>
    <xf numFmtId="1" fontId="2" fillId="0" borderId="0" xfId="0" applyNumberFormat="1" applyFont="1"/>
    <xf numFmtId="171" fontId="2" fillId="0" borderId="0" xfId="0" applyNumberFormat="1" applyFont="1"/>
    <xf numFmtId="4" fontId="2" fillId="5" borderId="0" xfId="0" applyNumberFormat="1" applyFont="1" applyFill="1"/>
    <xf numFmtId="0" fontId="17" fillId="5" borderId="7" xfId="0" applyFont="1" applyFill="1" applyBorder="1" applyAlignment="1">
      <alignment vertical="top" wrapText="1"/>
    </xf>
    <xf numFmtId="14" fontId="21" fillId="0" borderId="0" xfId="0" applyNumberFormat="1" applyFont="1"/>
    <xf numFmtId="0" fontId="24" fillId="0" borderId="0" xfId="2"/>
    <xf numFmtId="0" fontId="1" fillId="0" borderId="15" xfId="2" applyFont="1" applyBorder="1" applyAlignment="1">
      <alignment horizontal="center" vertical="center" wrapText="1"/>
    </xf>
    <xf numFmtId="0" fontId="24" fillId="0" borderId="0" xfId="2" applyAlignment="1">
      <alignment wrapText="1"/>
    </xf>
    <xf numFmtId="1" fontId="26" fillId="17" borderId="16" xfId="2" applyNumberFormat="1" applyFont="1" applyFill="1" applyBorder="1" applyAlignment="1">
      <alignment horizontal="center" vertical="top" wrapText="1"/>
    </xf>
    <xf numFmtId="4" fontId="26" fillId="17" borderId="16" xfId="2" applyNumberFormat="1" applyFont="1" applyFill="1" applyBorder="1" applyAlignment="1">
      <alignment vertical="top" wrapText="1"/>
    </xf>
    <xf numFmtId="4" fontId="24" fillId="0" borderId="0" xfId="2" applyNumberFormat="1"/>
    <xf numFmtId="0" fontId="2" fillId="0" borderId="0" xfId="2" applyFont="1"/>
    <xf numFmtId="0" fontId="17" fillId="0" borderId="0" xfId="3"/>
    <xf numFmtId="0" fontId="27" fillId="0" borderId="0" xfId="4" applyFont="1"/>
    <xf numFmtId="0" fontId="17" fillId="0" borderId="0" xfId="4" applyAlignment="1">
      <alignment wrapText="1"/>
    </xf>
    <xf numFmtId="0" fontId="17" fillId="0" borderId="0" xfId="4"/>
    <xf numFmtId="0" fontId="28" fillId="0" borderId="0" xfId="4" applyFont="1"/>
    <xf numFmtId="0" fontId="23" fillId="0" borderId="0" xfId="4" applyFont="1" applyAlignment="1">
      <alignment vertical="top" wrapText="1"/>
    </xf>
    <xf numFmtId="0" fontId="29" fillId="18" borderId="17" xfId="4" applyFont="1" applyFill="1" applyBorder="1" applyAlignment="1">
      <alignment vertical="top" wrapText="1"/>
    </xf>
    <xf numFmtId="0" fontId="29" fillId="18" borderId="14" xfId="4" applyFont="1" applyFill="1" applyBorder="1" applyAlignment="1">
      <alignment vertical="top" wrapText="1"/>
    </xf>
    <xf numFmtId="4" fontId="29" fillId="18" borderId="14" xfId="4" applyNumberFormat="1" applyFont="1" applyFill="1" applyBorder="1" applyAlignment="1">
      <alignment horizontal="right" vertical="top" wrapText="1"/>
    </xf>
    <xf numFmtId="0" fontId="29" fillId="18" borderId="14" xfId="4" applyFont="1" applyFill="1" applyBorder="1" applyAlignment="1">
      <alignment horizontal="right" vertical="top" wrapText="1"/>
    </xf>
    <xf numFmtId="0" fontId="31" fillId="0" borderId="14" xfId="4" applyFont="1" applyBorder="1" applyAlignment="1">
      <alignment vertical="top" wrapText="1" indent="1"/>
    </xf>
    <xf numFmtId="4" fontId="31" fillId="0" borderId="14" xfId="4" applyNumberFormat="1" applyFont="1" applyBorder="1" applyAlignment="1">
      <alignment horizontal="right" vertical="top" wrapText="1"/>
    </xf>
    <xf numFmtId="0" fontId="31" fillId="0" borderId="14" xfId="4" applyFont="1" applyBorder="1" applyAlignment="1">
      <alignment horizontal="right" vertical="top" wrapText="1"/>
    </xf>
    <xf numFmtId="2" fontId="31" fillId="0" borderId="14" xfId="4" applyNumberFormat="1" applyFont="1" applyBorder="1" applyAlignment="1">
      <alignment horizontal="right" vertical="top" wrapText="1"/>
    </xf>
    <xf numFmtId="0" fontId="32" fillId="18" borderId="17" xfId="4" applyFont="1" applyFill="1" applyBorder="1" applyAlignment="1">
      <alignment vertical="top"/>
    </xf>
    <xf numFmtId="4" fontId="32" fillId="18" borderId="17" xfId="4" applyNumberFormat="1" applyFont="1" applyFill="1" applyBorder="1" applyAlignment="1">
      <alignment horizontal="right" vertical="top" wrapText="1"/>
    </xf>
    <xf numFmtId="0" fontId="32" fillId="18" borderId="17" xfId="4" applyFont="1" applyFill="1" applyBorder="1" applyAlignment="1">
      <alignment horizontal="right" vertical="top" wrapText="1"/>
    </xf>
    <xf numFmtId="0" fontId="17" fillId="5" borderId="7" xfId="0" applyFont="1" applyFill="1" applyBorder="1" applyAlignment="1">
      <alignment vertical="center" wrapText="1"/>
    </xf>
    <xf numFmtId="0" fontId="17" fillId="19" borderId="7" xfId="0" applyFont="1" applyFill="1" applyBorder="1" applyAlignment="1">
      <alignment wrapText="1"/>
    </xf>
    <xf numFmtId="49" fontId="17" fillId="19" borderId="0" xfId="0" applyNumberFormat="1" applyFont="1" applyFill="1"/>
    <xf numFmtId="0" fontId="0" fillId="19" borderId="0" xfId="0" applyFill="1"/>
    <xf numFmtId="0" fontId="2" fillId="19" borderId="0" xfId="0" applyFont="1" applyFill="1" applyAlignment="1">
      <alignment horizontal="left"/>
    </xf>
    <xf numFmtId="14" fontId="17" fillId="19" borderId="0" xfId="0" applyNumberFormat="1" applyFont="1" applyFill="1" applyAlignment="1">
      <alignment horizontal="left"/>
    </xf>
    <xf numFmtId="1" fontId="0" fillId="19" borderId="0" xfId="0" applyNumberFormat="1" applyFill="1"/>
    <xf numFmtId="4" fontId="4" fillId="19" borderId="0" xfId="0" applyNumberFormat="1" applyFont="1" applyFill="1"/>
    <xf numFmtId="3" fontId="0" fillId="19" borderId="0" xfId="0" applyNumberFormat="1" applyFill="1" applyAlignment="1">
      <alignment horizontal="center"/>
    </xf>
    <xf numFmtId="4" fontId="0" fillId="19" borderId="0" xfId="0" applyNumberFormat="1" applyFill="1"/>
    <xf numFmtId="4" fontId="9" fillId="19" borderId="0" xfId="0" applyNumberFormat="1" applyFont="1" applyFill="1"/>
    <xf numFmtId="4" fontId="2" fillId="19" borderId="0" xfId="0" applyNumberFormat="1" applyFont="1" applyFill="1"/>
    <xf numFmtId="4" fontId="2" fillId="9" borderId="0" xfId="0" applyNumberFormat="1" applyFont="1" applyFill="1"/>
    <xf numFmtId="4" fontId="0" fillId="9" borderId="0" xfId="0" applyNumberFormat="1" applyFill="1"/>
    <xf numFmtId="4" fontId="3" fillId="9" borderId="0" xfId="0" applyNumberFormat="1" applyFont="1" applyFill="1"/>
    <xf numFmtId="0" fontId="31" fillId="19" borderId="14" xfId="4" applyFont="1" applyFill="1" applyBorder="1" applyAlignment="1">
      <alignment vertical="top" wrapText="1" indent="1"/>
    </xf>
    <xf numFmtId="4" fontId="31" fillId="19" borderId="14" xfId="4" applyNumberFormat="1" applyFont="1" applyFill="1" applyBorder="1" applyAlignment="1">
      <alignment horizontal="right" vertical="top" wrapText="1"/>
    </xf>
    <xf numFmtId="0" fontId="31" fillId="19" borderId="14" xfId="4" applyFont="1" applyFill="1" applyBorder="1" applyAlignment="1">
      <alignment horizontal="right" vertical="top" wrapText="1"/>
    </xf>
    <xf numFmtId="14" fontId="21" fillId="19" borderId="0" xfId="0" applyNumberFormat="1" applyFont="1" applyFill="1"/>
    <xf numFmtId="1" fontId="2" fillId="19" borderId="0" xfId="0" applyNumberFormat="1" applyFont="1" applyFill="1"/>
    <xf numFmtId="0" fontId="17" fillId="19" borderId="0" xfId="3" applyFill="1"/>
    <xf numFmtId="4" fontId="17" fillId="19" borderId="0" xfId="3" applyNumberFormat="1" applyFill="1"/>
    <xf numFmtId="0" fontId="22" fillId="0" borderId="14" xfId="4" applyFont="1" applyBorder="1" applyAlignment="1">
      <alignment vertical="top" wrapText="1" indent="1"/>
    </xf>
    <xf numFmtId="4" fontId="22" fillId="0" borderId="14" xfId="4" applyNumberFormat="1" applyFont="1" applyBorder="1" applyAlignment="1">
      <alignment horizontal="right" vertical="top" wrapText="1"/>
    </xf>
    <xf numFmtId="0" fontId="22" fillId="0" borderId="14" xfId="4" applyFont="1" applyBorder="1" applyAlignment="1">
      <alignment horizontal="right" vertical="top" wrapText="1"/>
    </xf>
    <xf numFmtId="0" fontId="33" fillId="0" borderId="14" xfId="4" applyFont="1" applyBorder="1" applyAlignment="1">
      <alignment vertical="top" wrapText="1" indent="1"/>
    </xf>
    <xf numFmtId="4" fontId="33" fillId="0" borderId="14" xfId="4" applyNumberFormat="1" applyFont="1" applyBorder="1" applyAlignment="1">
      <alignment horizontal="right" vertical="top" wrapText="1"/>
    </xf>
    <xf numFmtId="0" fontId="33" fillId="0" borderId="14" xfId="4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0" fontId="30" fillId="18" borderId="18" xfId="4" applyFont="1" applyFill="1" applyBorder="1" applyAlignment="1">
      <alignment horizontal="center" vertical="top"/>
    </xf>
    <xf numFmtId="0" fontId="30" fillId="18" borderId="19" xfId="4" applyFont="1" applyFill="1" applyBorder="1" applyAlignment="1">
      <alignment horizontal="center" vertical="top"/>
    </xf>
    <xf numFmtId="0" fontId="23" fillId="0" borderId="0" xfId="4" applyFont="1" applyAlignment="1">
      <alignment vertical="top" wrapText="1"/>
    </xf>
    <xf numFmtId="0" fontId="23" fillId="0" borderId="0" xfId="4" applyFont="1" applyAlignment="1">
      <alignment horizontal="center" vertical="top" wrapText="1"/>
    </xf>
    <xf numFmtId="0" fontId="17" fillId="0" borderId="0" xfId="4" applyAlignment="1">
      <alignment horizontal="center" wrapText="1"/>
    </xf>
    <xf numFmtId="0" fontId="30" fillId="18" borderId="17" xfId="4" applyFont="1" applyFill="1" applyBorder="1" applyAlignment="1">
      <alignment horizontal="center" vertical="top"/>
    </xf>
    <xf numFmtId="0" fontId="29" fillId="18" borderId="18" xfId="4" applyFont="1" applyFill="1" applyBorder="1" applyAlignment="1">
      <alignment vertical="top" wrapText="1"/>
    </xf>
    <xf numFmtId="0" fontId="29" fillId="18" borderId="19" xfId="4" applyFont="1" applyFill="1" applyBorder="1" applyAlignment="1">
      <alignment vertical="top" wrapText="1"/>
    </xf>
    <xf numFmtId="0" fontId="25" fillId="0" borderId="0" xfId="2" applyFont="1" applyAlignment="1">
      <alignment horizontal="center"/>
    </xf>
    <xf numFmtId="0" fontId="3" fillId="4" borderId="7" xfId="1" applyFont="1" applyFill="1" applyBorder="1" applyAlignment="1">
      <alignment horizontal="center" wrapText="1"/>
    </xf>
    <xf numFmtId="0" fontId="2" fillId="0" borderId="4" xfId="1" applyBorder="1" applyAlignment="1">
      <alignment horizontal="center" wrapText="1"/>
    </xf>
    <xf numFmtId="0" fontId="6" fillId="4" borderId="7" xfId="1" applyFont="1" applyFill="1" applyBorder="1" applyAlignment="1">
      <alignment horizontal="center" vertical="center" wrapText="1"/>
    </xf>
    <xf numFmtId="4" fontId="6" fillId="4" borderId="7" xfId="1" applyNumberFormat="1" applyFont="1" applyFill="1" applyBorder="1" applyAlignment="1">
      <alignment horizontal="center" vertical="center" wrapText="1"/>
    </xf>
    <xf numFmtId="3" fontId="6" fillId="4" borderId="7" xfId="1" applyNumberFormat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15" fillId="5" borderId="8" xfId="1" applyFont="1" applyFill="1" applyBorder="1" applyAlignment="1">
      <alignment horizontal="center" vertical="center" wrapText="1"/>
    </xf>
    <xf numFmtId="0" fontId="15" fillId="5" borderId="12" xfId="1" applyFont="1" applyFill="1" applyBorder="1" applyAlignment="1">
      <alignment horizontal="center" vertical="center" wrapText="1"/>
    </xf>
    <xf numFmtId="0" fontId="15" fillId="5" borderId="9" xfId="1" applyFont="1" applyFill="1" applyBorder="1" applyAlignment="1">
      <alignment horizontal="center" vertical="center" wrapText="1"/>
    </xf>
    <xf numFmtId="0" fontId="15" fillId="5" borderId="7" xfId="1" applyFont="1" applyFill="1" applyBorder="1" applyAlignment="1">
      <alignment horizontal="center" vertical="center" wrapText="1"/>
    </xf>
    <xf numFmtId="0" fontId="15" fillId="11" borderId="7" xfId="1" applyFont="1" applyFill="1" applyBorder="1" applyAlignment="1">
      <alignment horizontal="center" vertical="center" wrapText="1"/>
    </xf>
    <xf numFmtId="0" fontId="14" fillId="11" borderId="7" xfId="1" applyFont="1" applyFill="1" applyBorder="1" applyAlignment="1">
      <alignment horizontal="center" vertical="center" wrapText="1"/>
    </xf>
    <xf numFmtId="0" fontId="16" fillId="4" borderId="7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16" fillId="4" borderId="13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8D92AB13-DF97-41EB-B1E6-BFE009AAFC8C}"/>
    <cellStyle name="Обычный_08.03" xfId="4" xr:uid="{9CA7F7F2-FD03-4BC7-BCE0-B587BD43EBFD}"/>
    <cellStyle name="Обычный_Лист4" xfId="3" xr:uid="{78F808F7-2FE7-4819-8703-4D950A373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%23&#1054;&#1073;&#1084;&#1077;&#1085;\&#1069;&#1082;&#1089;&#1087;&#1077;&#1088;&#1090;&#1080;&#1079;&#1099;\&#1052;&#1085;&#1086;&#1075;&#1086;&#1087;&#1088;&#1086;&#1092;&#1080;&#1083;&#1100;&#1085;&#1099;&#1077;\&#1069;&#1083;&#1077;&#1082;&#1090;&#1088;&#1086;&#1089;&#1090;&#1072;&#1085;&#1094;&#1080;&#1103;\&#1069;&#1082;&#1089;&#1087;&#1077;&#1088;&#1090;&#1080;&#1079;&#1072;%20&#1085;&#1072;%202023-2027\&#1069;&#1082;&#1089;&#1087;&#1077;&#1088;&#1090;&#1080;&#1079;&#1072;\&#1054;&#1057;%20&#1101;&#1083;&#1077;&#1082;&#1090;&#1088;&#1086;&#1089;&#1090;&#1072;&#1085;&#1094;&#1080;&#1103;\&#1054;&#1057;%20&#1069;&#1083;&#1077;&#1082;&#1090;&#1088;&#1086;&#1089;&#1090;&#1072;&#1085;&#1094;&#1080;&#1103;%20(&#1072;&#1084;&#1086;&#1088;&#1090;,%20&#1085;&#1072;&#1083;&#1086;&#1075;)&#1059;&#1043;&#1056;&#1062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y\DOCS\Users\ekravcova\AppData\Local\Microsoft\Windows\Temporary%20Internet%20Files\Content.Outlook\WFJNBC5I\&#1056;&#1072;&#1089;&#1095;&#1105;&#1090;%20&#1072;&#1084;&#1086;&#1088;&#1090;&#1080;&#1079;&#1072;&#1094;&#1080;&#1080;%20&#1054;&#1057;%20(&#1053;&#1072;&#1083;&#1086;&#1075;%20&#1085;&#1072;%20&#1080;&#1084;&#1091;&#1097;&#1077;&#1089;&#1090;&#1074;&#1086;)_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_&#1069;&#1082;&#1086;&#1085;&#1086;&#1084;&#1080;&#1095;&#1077;&#1089;&#1082;&#1072;&#1103;%20&#1075;&#1088;&#1091;&#1087;&#1087;&#1072;\&#1056;&#1072;&#1073;&#1086;&#1095;&#1080;&#1077;%20&#1076;&#1086;&#1082;&#1091;&#1084;&#1077;&#1085;&#1090;&#1099;\&#1058;&#1072;&#1088;&#1080;&#1092;&#1099;%202024\&#1053;&#1072;%20&#1086;&#1090;&#1087;&#1088;&#1072;&#1074;&#1082;&#1091;%20&#1074;%20&#1059;&#1043;&#1056;&#1062;&#1058;%20&#1053;&#1040;&#1054;\&#1040;&#1084;&#1086;&#1088;&#1090;&#1080;&#1079;&#1072;&#1094;&#1080;&#1103;%202022&#1075;2024&#1075;..,%20&#1085;&#1072;&#1083;&#1086;&#1075;%20&#1085;&#1072;%20&#1080;&#1084;&#1091;&#1097;&#1077;&#1089;&#1090;&#1074;&#1086;%202022-2024%20(&#1086;&#1090;&#1087;&#1088;&#1072;&#1074;&#1083;.&#1074;%20&#1059;&#1043;&#1056;&#1062;&#1058;)%20%20(1&#1089;)xlsx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_&#1069;&#1082;&#1086;&#1085;&#1086;&#1084;&#1080;&#1095;&#1077;&#1089;&#1082;&#1072;&#1103;%20&#1075;&#1088;&#1091;&#1087;&#1087;&#1072;\&#1056;&#1072;&#1073;&#1086;&#1095;&#1080;&#1077;%20&#1076;&#1086;&#1082;&#1091;&#1084;&#1077;&#1085;&#1090;&#1099;\&#1055;&#1088;&#1086;&#1075;&#1088;&#1072;&#1084;&#1084;&#1072;%20&#1076;&#1077;&#1103;&#1090;&#1077;&#1083;&#1100;&#1085;&#1086;&#1089;&#1090;&#1080;%20&#1087;&#1088;&#1077;&#1076;&#1087;&#1088;&#1080;&#1103;&#1090;&#1080;&#1103;\&#1055;&#1088;&#1086;&#1075;&#1088;&#1072;&#1084;&#1084;&#1072;%20&#1076;&#1077;&#1103;&#1090;&#1077;&#1083;&#1100;&#1085;&#1086;&#1089;&#1090;&#1080;%202024\&#1048;&#1085;&#1074;&#1077;&#1089;&#1090;&#1080;&#1094;&#1080;&#1086;&#1085;&#1085;&#1072;&#1103;%20&#1087;&#1088;&#1086;&#1075;&#1088;&#1072;&#1084;&#1084;&#1072;\&#1057;&#1084;&#1077;&#1090;&#1099;\&#1057;&#1074;&#1086;&#1076;&#1085;&#1099;&#1081;%20&#1089;&#1084;&#1077;&#1090;&#1085;&#1099;&#1081;%20&#1088;&#1072;&#1089;&#1095;&#1077;&#1090;%20&#1044;&#1058;&#1055;%2093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_&#1069;&#1082;&#1086;&#1085;&#1086;&#1084;&#1080;&#1095;&#1077;&#1089;&#1082;&#1072;&#1103;%20&#1075;&#1088;&#1091;&#1087;&#1087;&#1072;\&#1056;&#1072;&#1073;&#1086;&#1095;&#1080;&#1077;%20&#1076;&#1086;&#1082;&#1091;&#1084;&#1077;&#1085;&#1090;&#1099;\&#1055;&#1088;&#1086;&#1075;&#1088;&#1072;&#1084;&#1084;&#1072;%20&#1076;&#1077;&#1103;&#1090;&#1077;&#1083;&#1100;&#1085;&#1086;&#1089;&#1090;&#1080;%20&#1087;&#1088;&#1077;&#1076;&#1087;&#1088;&#1080;&#1103;&#1090;&#1080;&#1103;\&#1055;&#1088;&#1086;&#1075;&#1088;&#1072;&#1084;&#1084;&#1072;%20&#1076;&#1077;&#1103;&#1090;&#1077;&#1083;&#1100;&#1085;&#1086;&#1089;&#1090;&#1080;%202024\&#1048;&#1085;&#1074;&#1077;&#1089;&#1090;&#1080;&#1094;&#1080;&#1086;&#1085;&#1085;&#1072;&#1103;%20&#1087;&#1088;&#1086;&#1075;&#1088;&#1072;&#1084;&#1084;&#1072;\&#1057;&#1084;&#1077;&#1090;&#1099;\&#1051;&#1057;1%20&#1044;&#1058;&#1055;%201280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Y:\#&#1054;&#1073;&#1084;&#1077;&#1085;\&#1069;&#1082;&#1089;&#1087;&#1077;&#1088;&#1090;&#1080;&#1079;&#1099;\&#1052;&#1085;&#1086;&#1075;&#1086;&#1087;&#1088;&#1086;&#1092;&#1080;&#1083;&#1100;&#1085;&#1099;&#1077;\&#1069;&#1083;&#1077;&#1082;&#1090;&#1088;&#1086;&#1089;&#1090;&#1072;&#1085;&#1094;&#1080;&#1103;\&#1069;&#1082;&#1089;&#1087;&#1077;&#1088;&#1090;&#1080;&#1079;&#1072; &#1085;&#1072; 2024 &#1075;&#1086;&#1076;\&#1055;&#1088;&#1077;&#1076;&#1083;&#1086;&#1078;&#1077;&#1085;&#1080;&#1077; &#1055;&#1088;&#1077;&#1076;&#1087;&#1088;&#1080;&#1103;&#1090;&#1080;&#1103;\&#1052;&#1072;&#1090;&#1077;&#1088;&#1080;&#1072;&#1083;&#1099;\&#1040;&#1084;&#1086;&#1088;&#1090;&#1080;&#1079;&#1072;&#1094;&#1080;&#1103; &#1085;&#1072;&#1083;&#1086;&#1075; &#1085;&#1072; &#1080;&#1084;&#1091;&#1097;\&#1040;&#1084;&#1086;&#1088;&#1090;&#1080;&#1079;&#1072;&#1094;&#1080;&#1103; 2022&#1075;2024&#1075;.., &#1085;&#1072;&#1083;&#1086;&#1075; &#1085;&#1072; &#1080;&#1084;&#1091;&#1097;&#1077;&#1089;&#1090;&#1074;&#1086; 2022-2024 (&#1086;&#1090;&#1087;&#1088;&#1072;&#1074;&#1083;.&#1074; &#1059;&#1043;&#1056;&#1062;&#1058;)  (1&#1089;)xlsx.xlsx?84450F7F" TargetMode="External"/><Relationship Id="rId1" Type="http://schemas.openxmlformats.org/officeDocument/2006/relationships/externalLinkPath" Target="file:///\\84450F7F\&#1040;&#1084;&#1086;&#1088;&#1090;&#1080;&#1079;&#1072;&#1094;&#1080;&#1103;%202022&#1075;2024&#1075;..,%20&#1085;&#1072;&#1083;&#1086;&#1075;%20&#1085;&#1072;%20&#1080;&#1084;&#1091;&#1097;&#1077;&#1089;&#1090;&#1074;&#1086;%202022-2024%20(&#1086;&#1090;&#1087;&#1088;&#1072;&#1074;&#1083;.&#1074;%20&#1059;&#1043;&#1056;&#1062;&#1058;)%20%20(1&#1089;)xls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y\_&#1069;&#1082;&#1086;&#1085;&#1086;&#1084;&#1080;&#1095;&#1077;&#1089;&#1082;&#1072;&#1103;%20&#1075;&#1088;&#1091;&#1087;&#1087;&#1072;\&#1056;&#1072;&#1073;&#1086;&#1095;&#1080;&#1077;%20&#1076;&#1086;&#1082;&#1091;&#1084;&#1077;&#1085;&#1090;&#1099;\&#1058;&#1072;&#1088;&#1080;&#1092;&#1099;%202024\&#1056;&#1072;&#1089;&#1095;&#1077;&#1090;&#1099;\&#1053;&#1072;&#1083;&#1086;&#1075;%20&#1085;&#1072;%20&#1080;&#1084;&#1091;&#1097;&#1077;&#1089;&#1090;&#1074;&#1086;\&#1089;&#1087;&#1088;&#1072;&#1074;&#1082;&#1072;%20&#1088;&#1072;&#1089;&#1095;&#1105;&#1090;&#1072;%20&#1085;&#1072;%20&#1080;&#1084;&#1091;&#1097;&#1077;&#1089;&#1090;&#1074;&#1086;%202022-2024%20&#1075;&#1086;&#1076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-2025УГРЦТ"/>
      <sheetName val="облаг"/>
      <sheetName val="2021 УГРЦТ"/>
      <sheetName val="2021"/>
      <sheetName val="Лист1"/>
      <sheetName val="Имущество 2021"/>
      <sheetName val="2022"/>
      <sheetName val="Запрос ИК"/>
      <sheetName val="Дать пояснен"/>
    </sheetNames>
    <sheetDataSet>
      <sheetData sheetId="0" refreshError="1"/>
      <sheetData sheetId="1" refreshError="1"/>
      <sheetData sheetId="2" refreshError="1">
        <row r="7">
          <cell r="A7" t="str">
            <v>2 очередь реконст. электрост. Здание ГТЭС-18 2010г</v>
          </cell>
          <cell r="B7" t="str">
            <v>00001166</v>
          </cell>
          <cell r="C7" t="str">
            <v>ПРОИЗВОДСТВО</v>
          </cell>
          <cell r="D7" t="str">
            <v>Здания</v>
          </cell>
          <cell r="E7" t="str">
            <v>31.03.2010</v>
          </cell>
          <cell r="F7" t="str">
            <v>Газотурбинный цех</v>
          </cell>
          <cell r="X7">
            <v>217511750.34</v>
          </cell>
          <cell r="Y7">
            <v>51115260.826800004</v>
          </cell>
          <cell r="Z7">
            <v>166396489.51319999</v>
          </cell>
          <cell r="AC7">
            <v>600</v>
          </cell>
        </row>
        <row r="8">
          <cell r="A8" t="str">
            <v>3х-фазный т/огр РТСТГ-10-250-0,025 УЗ №2</v>
          </cell>
          <cell r="B8" t="str">
            <v>00001173</v>
          </cell>
          <cell r="C8" t="str">
            <v>ПРОИЗВОДСТВО</v>
          </cell>
          <cell r="D8" t="str">
            <v>Машины и оборудование (кроме офисного)</v>
          </cell>
          <cell r="E8" t="str">
            <v>31.03.2010</v>
          </cell>
          <cell r="F8" t="str">
            <v>Газотурбинный цех</v>
          </cell>
          <cell r="X8">
            <v>2926500</v>
          </cell>
          <cell r="Y8">
            <v>1719318.75</v>
          </cell>
          <cell r="Z8">
            <v>1207181.25</v>
          </cell>
          <cell r="AC8">
            <v>240</v>
          </cell>
        </row>
        <row r="9">
          <cell r="A9" t="str">
            <v>3х-фазный т/огр РТСТГ-10-250-0,025УЗ №1</v>
          </cell>
          <cell r="B9" t="str">
            <v>00001172</v>
          </cell>
          <cell r="C9" t="str">
            <v>ПРОИЗВОДСТВО</v>
          </cell>
          <cell r="D9" t="str">
            <v>Машины и оборудование (кроме офисного)</v>
          </cell>
          <cell r="E9" t="str">
            <v>31.03.2010</v>
          </cell>
          <cell r="F9" t="str">
            <v>Газотурбинный цех</v>
          </cell>
          <cell r="X9">
            <v>2926500</v>
          </cell>
          <cell r="Y9">
            <v>1719318.75</v>
          </cell>
          <cell r="Z9">
            <v>1207181.25</v>
          </cell>
          <cell r="AC9">
            <v>240</v>
          </cell>
        </row>
        <row r="10">
          <cell r="A10" t="str">
            <v>TIP-HOL-MT-7 - Универсальный монитор-тестер AHD/CVI/TVI/CVBS/SDI и IP-видеосистем</v>
          </cell>
          <cell r="B10" t="str">
            <v>000001855</v>
          </cell>
          <cell r="C10" t="str">
            <v>ПРОИЗВОДСТВО</v>
          </cell>
          <cell r="D10" t="str">
            <v>Машины и оборудование (кроме офисного)</v>
          </cell>
          <cell r="E10" t="str">
            <v>23.06.2021</v>
          </cell>
          <cell r="F10" t="str">
            <v>Электрический цех</v>
          </cell>
          <cell r="X10">
            <v>82366.67</v>
          </cell>
          <cell r="Y10">
            <v>5883.3335714285713</v>
          </cell>
          <cell r="Z10">
            <v>76483.336428571434</v>
          </cell>
          <cell r="AC10">
            <v>84</v>
          </cell>
        </row>
        <row r="11">
          <cell r="A11" t="str">
            <v>Аппарат для испытания масла "ВОЛНА-АИМ90В"</v>
          </cell>
          <cell r="B11" t="str">
            <v>000001705</v>
          </cell>
          <cell r="C11" t="str">
            <v>ПРОИЗВОДСТВО</v>
          </cell>
          <cell r="D11" t="str">
            <v>Машины и оборудование (кроме офисного)</v>
          </cell>
          <cell r="E11" t="str">
            <v>18.07.2017</v>
          </cell>
          <cell r="F11" t="str">
            <v>Электрический цех</v>
          </cell>
          <cell r="X11">
            <v>142372.88</v>
          </cell>
          <cell r="Y11">
            <v>62881.328000000001</v>
          </cell>
          <cell r="Z11">
            <v>79491.551999999996</v>
          </cell>
          <cell r="AC11">
            <v>120</v>
          </cell>
        </row>
        <row r="12">
          <cell r="A12" t="str">
            <v>Аппаратура виброконтроля СВКА 1-2-06</v>
          </cell>
          <cell r="B12" t="str">
            <v>000001824</v>
          </cell>
          <cell r="C12" t="str">
            <v>ПРОИЗВОДСТВО</v>
          </cell>
          <cell r="D12" t="str">
            <v>Машины и оборудование (кроме офисного)</v>
          </cell>
          <cell r="E12" t="str">
            <v>02.11.2020</v>
          </cell>
          <cell r="F12" t="str">
            <v>Газотурбинный цех</v>
          </cell>
          <cell r="X12">
            <v>821895</v>
          </cell>
          <cell r="Y12">
            <v>127198.03142857147</v>
          </cell>
          <cell r="Z12">
            <v>694696.96857142856</v>
          </cell>
          <cell r="AC12">
            <v>84</v>
          </cell>
        </row>
        <row r="13">
          <cell r="A13" t="str">
            <v>Блок управления БУШ ДГ-011 №960811011058</v>
          </cell>
          <cell r="B13" t="str">
            <v>00001378</v>
          </cell>
          <cell r="C13" t="str">
            <v>ПРОИЗВОДСТВО</v>
          </cell>
          <cell r="D13" t="str">
            <v>Машины и оборудование (кроме офисного)</v>
          </cell>
          <cell r="E13" t="str">
            <v>18.10.2011</v>
          </cell>
          <cell r="F13" t="str">
            <v>Газотурбинный цех</v>
          </cell>
          <cell r="X13">
            <v>315000</v>
          </cell>
          <cell r="Y13">
            <v>315000</v>
          </cell>
          <cell r="Z13">
            <v>0</v>
          </cell>
          <cell r="AC13">
            <v>120</v>
          </cell>
        </row>
        <row r="14">
          <cell r="A14" t="str">
            <v>Видеоэндоскоп jProbe VJ-ADV, диаметр рабочей части 6,9 мм, длин. зонда -3м</v>
          </cell>
          <cell r="B14" t="str">
            <v>000001640</v>
          </cell>
          <cell r="C14" t="str">
            <v>ПРОИЗВОДСТВО</v>
          </cell>
          <cell r="D14" t="str">
            <v>Машины и оборудование (кроме офисного)</v>
          </cell>
          <cell r="E14" t="str">
            <v>31.07.2014</v>
          </cell>
          <cell r="F14" t="str">
            <v>Газотурбинный цех</v>
          </cell>
          <cell r="X14">
            <v>338983.05</v>
          </cell>
          <cell r="Y14">
            <v>338983.05</v>
          </cell>
          <cell r="Z14">
            <v>0</v>
          </cell>
          <cell r="AC14">
            <v>84</v>
          </cell>
        </row>
        <row r="15">
          <cell r="A15" t="str">
            <v>Воздушная линия 0,4 кВ (ТУ 487 от 02.07.20)</v>
          </cell>
          <cell r="B15" t="str">
            <v>000001867</v>
          </cell>
          <cell r="C15" t="str">
            <v>ПРОИЗВОДСТВО</v>
          </cell>
          <cell r="D15" t="str">
            <v>Сооружения</v>
          </cell>
          <cell r="E15" t="str">
            <v>21.10.2021</v>
          </cell>
          <cell r="F15" t="str">
            <v>ДЭС п.Красное</v>
          </cell>
          <cell r="X15">
            <v>205964.57</v>
          </cell>
          <cell r="Y15">
            <v>858.18570833333331</v>
          </cell>
          <cell r="Z15">
            <v>205106.38429166668</v>
          </cell>
          <cell r="AC15">
            <v>480</v>
          </cell>
        </row>
        <row r="16">
          <cell r="A16" t="str">
            <v>Вольтамперфазометр РЕТОМЕТР-М2 (НПП "ДИНАМИКА")</v>
          </cell>
          <cell r="B16" t="str">
            <v>000001719</v>
          </cell>
          <cell r="C16" t="str">
            <v>ПРОИЗВОДСТВО</v>
          </cell>
          <cell r="D16" t="str">
            <v>Машины и оборудование (кроме офисного)</v>
          </cell>
          <cell r="E16" t="str">
            <v>28.04.2018</v>
          </cell>
          <cell r="F16" t="str">
            <v>Электрический цех</v>
          </cell>
          <cell r="X16">
            <v>63431.72</v>
          </cell>
          <cell r="Y16">
            <v>46516.743999999999</v>
          </cell>
          <cell r="Z16">
            <v>16914.976000000002</v>
          </cell>
          <cell r="AC16">
            <v>60</v>
          </cell>
        </row>
        <row r="17">
          <cell r="A17" t="str">
            <v>Выпрямитель для стац аккум установок №1</v>
          </cell>
          <cell r="B17" t="str">
            <v>00001177</v>
          </cell>
          <cell r="C17" t="str">
            <v>ПРОИЗВОДСТВО</v>
          </cell>
          <cell r="D17" t="str">
            <v>Машины и оборудование (кроме офисного)</v>
          </cell>
          <cell r="E17" t="str">
            <v>31.03.2010</v>
          </cell>
          <cell r="F17" t="str">
            <v>Газотурбинный цех</v>
          </cell>
          <cell r="X17">
            <v>474500</v>
          </cell>
          <cell r="Y17">
            <v>278768.32</v>
          </cell>
          <cell r="Z17">
            <v>195731.68</v>
          </cell>
          <cell r="AC17">
            <v>240</v>
          </cell>
        </row>
        <row r="18">
          <cell r="A18" t="str">
            <v>Выпрямитель для стац аккум установок №2</v>
          </cell>
          <cell r="B18" t="str">
            <v>00001178</v>
          </cell>
          <cell r="C18" t="str">
            <v>ПРОИЗВОДСТВО</v>
          </cell>
          <cell r="D18" t="str">
            <v>Машины и оборудование (кроме офисного)</v>
          </cell>
          <cell r="E18" t="str">
            <v>31.03.2010</v>
          </cell>
          <cell r="F18" t="str">
            <v>Газотурбинный цех</v>
          </cell>
          <cell r="X18">
            <v>474500</v>
          </cell>
          <cell r="Y18">
            <v>278768.32</v>
          </cell>
          <cell r="Z18">
            <v>195731.68</v>
          </cell>
          <cell r="AC18">
            <v>240</v>
          </cell>
        </row>
        <row r="19">
          <cell r="A19" t="str">
            <v>Высоковольтная установка для испытания кабелей из сшитого полиэтилена (СПЭ) повышенным напряжением сверхнизкой частоты (СНЧ/VLF) АИСТ СНЧ 36</v>
          </cell>
          <cell r="B19" t="str">
            <v>000001818</v>
          </cell>
          <cell r="C19" t="str">
            <v>ПРОИЗВОДСТВО</v>
          </cell>
          <cell r="D19" t="str">
            <v>Машины и оборудование (кроме офисного)</v>
          </cell>
          <cell r="E19" t="str">
            <v>29.06.2020</v>
          </cell>
          <cell r="F19" t="str">
            <v>Электрический цех</v>
          </cell>
          <cell r="X19">
            <v>564250</v>
          </cell>
          <cell r="Y19">
            <v>120910.70285714288</v>
          </cell>
          <cell r="Z19">
            <v>443339.2971428571</v>
          </cell>
          <cell r="AC19">
            <v>84</v>
          </cell>
        </row>
        <row r="20">
          <cell r="A20" t="str">
            <v>Газоанализатор СГОЭС (метан)</v>
          </cell>
          <cell r="B20" t="str">
            <v>000001757</v>
          </cell>
          <cell r="C20" t="str">
            <v>ПРОИЗВОДСТВО</v>
          </cell>
          <cell r="D20" t="str">
            <v>Машины и оборудование (кроме офисного)</v>
          </cell>
          <cell r="E20" t="str">
            <v>27.02.2019</v>
          </cell>
          <cell r="F20" t="str">
            <v>Газотурбинный цех</v>
          </cell>
          <cell r="X20">
            <v>71300</v>
          </cell>
          <cell r="Y20">
            <v>40403.26</v>
          </cell>
          <cell r="Z20">
            <v>30896.739999999998</v>
          </cell>
          <cell r="AC20">
            <v>60</v>
          </cell>
        </row>
        <row r="21">
          <cell r="A21" t="str">
            <v>Газоанализатор СГОЭС метан ЖСКФ</v>
          </cell>
          <cell r="B21" t="str">
            <v>000001744</v>
          </cell>
          <cell r="C21" t="str">
            <v>ПРОИЗВОДСТВО</v>
          </cell>
          <cell r="D21" t="str">
            <v>Машины и оборудование (кроме офисного)</v>
          </cell>
          <cell r="E21" t="str">
            <v>28.08.2018</v>
          </cell>
          <cell r="F21" t="str">
            <v>Газотурбинный цех</v>
          </cell>
          <cell r="X21">
            <v>120511.36</v>
          </cell>
          <cell r="Y21">
            <v>80340.832000000009</v>
          </cell>
          <cell r="Z21">
            <v>40170.527999999991</v>
          </cell>
          <cell r="AC21">
            <v>60</v>
          </cell>
        </row>
        <row r="22">
          <cell r="A22" t="str">
            <v>Газон 600 м2  в районе ГТЭС-18</v>
          </cell>
          <cell r="B22" t="str">
            <v>00001147</v>
          </cell>
          <cell r="C22" t="str">
            <v>ПРОИЗВОДСТВО</v>
          </cell>
          <cell r="D22" t="str">
            <v>Машины и оборудование (кроме офисного)</v>
          </cell>
          <cell r="E22" t="str">
            <v>30.10.2009</v>
          </cell>
          <cell r="F22" t="str">
            <v>Газотурбинный цех</v>
          </cell>
          <cell r="X22">
            <v>325875.88</v>
          </cell>
          <cell r="Y22">
            <v>325875.88</v>
          </cell>
          <cell r="Z22">
            <v>325875.88</v>
          </cell>
          <cell r="AC22">
            <v>60</v>
          </cell>
        </row>
        <row r="23">
          <cell r="A23" t="str">
            <v>Газон в районе основного здания</v>
          </cell>
          <cell r="B23" t="str">
            <v>00001236</v>
          </cell>
          <cell r="C23" t="str">
            <v>ПРОИЗВОДСТВО</v>
          </cell>
          <cell r="D23" t="str">
            <v>Машины и оборудование (кроме офисного)</v>
          </cell>
          <cell r="E23" t="str">
            <v>10.10.2010</v>
          </cell>
          <cell r="F23" t="str">
            <v>Тепломеханический цех</v>
          </cell>
          <cell r="X23">
            <v>33100</v>
          </cell>
          <cell r="Y23">
            <v>33100</v>
          </cell>
          <cell r="Z23">
            <v>33100</v>
          </cell>
          <cell r="AC23">
            <v>60</v>
          </cell>
        </row>
        <row r="24">
          <cell r="A24" t="str">
            <v>Газопровод выс. давления(наружный) 2003г</v>
          </cell>
          <cell r="B24" t="str">
            <v>00000596</v>
          </cell>
          <cell r="C24" t="str">
            <v>ПРОИЗВОДСТВО</v>
          </cell>
          <cell r="D24" t="str">
            <v>Сооружения</v>
          </cell>
          <cell r="E24" t="str">
            <v>01.10.2003</v>
          </cell>
          <cell r="F24" t="str">
            <v>Газотурбинный цех</v>
          </cell>
          <cell r="X24">
            <v>538189.19999999995</v>
          </cell>
          <cell r="Y24">
            <v>391083.37800000003</v>
          </cell>
          <cell r="Z24">
            <v>147105.82199999993</v>
          </cell>
          <cell r="AC24">
            <v>300</v>
          </cell>
        </row>
        <row r="25">
          <cell r="A25" t="str">
            <v>Газотурбинный агрегат ГТА-6РМ №1</v>
          </cell>
          <cell r="B25" t="str">
            <v>00001168</v>
          </cell>
          <cell r="C25" t="str">
            <v>ПРОИЗВОДСТВО</v>
          </cell>
          <cell r="D25" t="str">
            <v>Машины и оборудование (кроме офисного)</v>
          </cell>
          <cell r="E25" t="str">
            <v>31.03.2010</v>
          </cell>
          <cell r="F25" t="str">
            <v>Газотурбинный цех</v>
          </cell>
          <cell r="X25">
            <v>63489676.780000001</v>
          </cell>
          <cell r="Z25">
            <v>63489676.780000001</v>
          </cell>
          <cell r="AC25">
            <v>180</v>
          </cell>
        </row>
        <row r="26">
          <cell r="A26" t="str">
            <v>Газотурбинный агрегат ГТА-6РМ №1</v>
          </cell>
          <cell r="C26" t="str">
            <v>ПРОИЗВОДСТВО</v>
          </cell>
          <cell r="D26" t="str">
            <v>Машины и оборудование (кроме офисного)</v>
          </cell>
          <cell r="F26" t="str">
            <v>Газотурбинный цех</v>
          </cell>
          <cell r="X26">
            <v>37399701.020000003</v>
          </cell>
          <cell r="Y26">
            <v>29415400.995200001</v>
          </cell>
          <cell r="Z26">
            <v>7984300.0248000035</v>
          </cell>
          <cell r="AC26">
            <v>100</v>
          </cell>
        </row>
        <row r="27">
          <cell r="A27" t="str">
            <v>Газотурбинный агрегат ГТА-6РМ №2</v>
          </cell>
          <cell r="B27" t="str">
            <v>00001169</v>
          </cell>
          <cell r="C27" t="str">
            <v>ПРОИЗВОДСТВО</v>
          </cell>
          <cell r="D27" t="str">
            <v>Машины и оборудование (кроме офисного)</v>
          </cell>
          <cell r="E27" t="str">
            <v>31.03.2010</v>
          </cell>
          <cell r="F27" t="str">
            <v>Газотурбинный цех</v>
          </cell>
          <cell r="X27">
            <v>63489676.780000001</v>
          </cell>
          <cell r="Z27">
            <v>63489676.780000001</v>
          </cell>
          <cell r="AC27">
            <v>180</v>
          </cell>
        </row>
        <row r="28">
          <cell r="A28" t="str">
            <v>Газотурбинный агрегат ГТА-6РМ №2</v>
          </cell>
          <cell r="C28" t="str">
            <v>ПРОИЗВОДСТВО</v>
          </cell>
          <cell r="D28" t="str">
            <v>Машины и оборудование (кроме офисного)</v>
          </cell>
          <cell r="F28" t="str">
            <v>Газотурбинный цех</v>
          </cell>
          <cell r="X28">
            <v>37399701.020000003</v>
          </cell>
          <cell r="Y28">
            <v>29415400.995200001</v>
          </cell>
          <cell r="Z28">
            <v>7984300.0248000035</v>
          </cell>
          <cell r="AC28">
            <v>100</v>
          </cell>
        </row>
        <row r="29">
          <cell r="A29" t="str">
            <v>Газотурбинный агрегат ГТА-6РМ №3</v>
          </cell>
          <cell r="B29" t="str">
            <v>00001170</v>
          </cell>
          <cell r="C29" t="str">
            <v>ПРОИЗВОДСТВО</v>
          </cell>
          <cell r="D29" t="str">
            <v>Машины и оборудование (кроме офисного)</v>
          </cell>
          <cell r="E29" t="str">
            <v>31.03.2010</v>
          </cell>
          <cell r="F29" t="str">
            <v>Газотурбинный цех</v>
          </cell>
          <cell r="X29">
            <v>63230670</v>
          </cell>
          <cell r="Z29">
            <v>63230670</v>
          </cell>
          <cell r="AC29">
            <v>180</v>
          </cell>
        </row>
        <row r="30">
          <cell r="A30" t="str">
            <v>Газотурбинный агрегат ГТА-6РМ №3</v>
          </cell>
          <cell r="C30" t="str">
            <v>ПРОИЗВОДСТВО</v>
          </cell>
          <cell r="D30" t="str">
            <v>Машины и оборудование (кроме офисного)</v>
          </cell>
          <cell r="F30" t="str">
            <v>Газотурбинный цех</v>
          </cell>
          <cell r="X30">
            <v>37140694.240000002</v>
          </cell>
          <cell r="Y30">
            <v>28969741.476400003</v>
          </cell>
          <cell r="Z30">
            <v>8170952.7636000002</v>
          </cell>
          <cell r="AC30">
            <v>100</v>
          </cell>
        </row>
        <row r="31">
          <cell r="A31" t="str">
            <v>Гараж на 5 машин  1989г</v>
          </cell>
          <cell r="B31" t="str">
            <v>00000514</v>
          </cell>
          <cell r="C31" t="str">
            <v>ПРОИЗВОДСТВО</v>
          </cell>
          <cell r="D31" t="str">
            <v>Здания</v>
          </cell>
          <cell r="E31" t="str">
            <v>31.12.2003</v>
          </cell>
          <cell r="F31" t="str">
            <v>Тепломеханический цех</v>
          </cell>
          <cell r="X31">
            <v>1449374.74</v>
          </cell>
          <cell r="Y31">
            <v>536104.95999999996</v>
          </cell>
          <cell r="Z31">
            <v>913269.78</v>
          </cell>
          <cell r="AC31">
            <v>480</v>
          </cell>
        </row>
        <row r="32">
          <cell r="A32" t="str">
            <v>Градирня (бассейн)</v>
          </cell>
          <cell r="B32" t="str">
            <v>00000280</v>
          </cell>
          <cell r="C32" t="str">
            <v>ПРОИЗВОДСТВО</v>
          </cell>
          <cell r="D32" t="str">
            <v>Сооружения</v>
          </cell>
          <cell r="E32" t="str">
            <v>30.01.1974</v>
          </cell>
          <cell r="F32" t="str">
            <v>Тепломеханический цех</v>
          </cell>
          <cell r="X32">
            <v>191276.19</v>
          </cell>
          <cell r="Y32">
            <v>159145.69999999998</v>
          </cell>
          <cell r="Z32">
            <v>32130.49000000002</v>
          </cell>
          <cell r="AC32">
            <v>600</v>
          </cell>
        </row>
        <row r="33">
          <cell r="A33" t="str">
            <v>ГТА-6 РМ №1 (газотурбинная энергетич установка)</v>
          </cell>
          <cell r="B33" t="str">
            <v>00000505</v>
          </cell>
          <cell r="C33" t="str">
            <v>ПРОИЗВОДСТВО</v>
          </cell>
          <cell r="D33" t="str">
            <v>Машины и оборудование (кроме офисного)</v>
          </cell>
          <cell r="E33" t="str">
            <v>30.09.2005</v>
          </cell>
          <cell r="F33" t="str">
            <v>Газотурбинный цех</v>
          </cell>
          <cell r="X33">
            <v>30784100.07</v>
          </cell>
          <cell r="Y33">
            <v>27031031.52</v>
          </cell>
          <cell r="Z33">
            <v>3753068.5500000007</v>
          </cell>
          <cell r="AC33">
            <v>132</v>
          </cell>
        </row>
        <row r="34">
          <cell r="A34" t="str">
            <v>ГТА-6РМ №2</v>
          </cell>
          <cell r="B34" t="str">
            <v>00000534</v>
          </cell>
          <cell r="C34" t="str">
            <v>ПРОИЗВОДСТВО</v>
          </cell>
          <cell r="D34" t="str">
            <v>Машины и оборудование (кроме офисного)</v>
          </cell>
          <cell r="E34" t="str">
            <v>30.09.2005</v>
          </cell>
          <cell r="F34" t="str">
            <v>Газотурбинный цех</v>
          </cell>
          <cell r="X34">
            <v>30784121.07</v>
          </cell>
          <cell r="Y34">
            <v>27031043.629999999</v>
          </cell>
          <cell r="Z34">
            <v>3753077.4400000013</v>
          </cell>
          <cell r="AC34">
            <v>132</v>
          </cell>
        </row>
        <row r="35">
          <cell r="A35" t="str">
            <v>Двигатель газотурбинный резервный ГТД-6/РМ (2007г)</v>
          </cell>
          <cell r="B35" t="str">
            <v>00001025</v>
          </cell>
          <cell r="C35" t="str">
            <v>ПРОИЗВОДСТВО</v>
          </cell>
          <cell r="D35" t="str">
            <v>Машины и оборудование (кроме офисного)</v>
          </cell>
          <cell r="E35" t="str">
            <v>28.02.2007</v>
          </cell>
          <cell r="F35" t="str">
            <v>Газотурбинный цех</v>
          </cell>
          <cell r="X35">
            <v>26107350.57</v>
          </cell>
          <cell r="Y35">
            <v>23296462.640000001</v>
          </cell>
          <cell r="Z35">
            <v>2810887.9299999997</v>
          </cell>
          <cell r="AC35">
            <v>190</v>
          </cell>
        </row>
        <row r="36">
          <cell r="A36" t="str">
            <v>Двигатель ГТД-6РМ № В6-17</v>
          </cell>
          <cell r="B36" t="str">
            <v>00000928</v>
          </cell>
          <cell r="C36" t="str">
            <v>ПРОИЗВОДСТВО</v>
          </cell>
          <cell r="D36" t="str">
            <v>Машины и оборудование (кроме офисного)</v>
          </cell>
          <cell r="E36" t="str">
            <v>30.09.2005</v>
          </cell>
          <cell r="F36" t="str">
            <v>Газотурбинный цех</v>
          </cell>
          <cell r="X36">
            <v>32415718.690000001</v>
          </cell>
          <cell r="Y36">
            <v>28188953.699999999</v>
          </cell>
          <cell r="Z36">
            <v>4226764.9900000021</v>
          </cell>
          <cell r="AC36">
            <v>180</v>
          </cell>
        </row>
        <row r="37">
          <cell r="A37" t="str">
            <v>Двигатель ГТД-6РМ №В6-11</v>
          </cell>
          <cell r="B37" t="str">
            <v>00000929</v>
          </cell>
          <cell r="C37" t="str">
            <v>ПРОИЗВОДСТВО</v>
          </cell>
          <cell r="D37" t="str">
            <v>Машины и оборудование (кроме офисного)</v>
          </cell>
          <cell r="E37" t="str">
            <v>30.09.2005</v>
          </cell>
          <cell r="F37" t="str">
            <v>Газотурбинный цех</v>
          </cell>
          <cell r="X37">
            <v>12711864.41</v>
          </cell>
          <cell r="Y37">
            <v>12146892.827333333</v>
          </cell>
          <cell r="Z37">
            <v>564971.58266666718</v>
          </cell>
          <cell r="AC37">
            <v>180</v>
          </cell>
        </row>
        <row r="38">
          <cell r="A38" t="str">
            <v>Двигатель ГТД-6РМ №В6-44</v>
          </cell>
          <cell r="B38" t="str">
            <v>000001872</v>
          </cell>
          <cell r="C38" t="str">
            <v>ПРОИЗВОДСТВО</v>
          </cell>
          <cell r="D38" t="str">
            <v>Машины и оборудование (кроме офисного)</v>
          </cell>
          <cell r="E38">
            <v>44530</v>
          </cell>
          <cell r="F38" t="str">
            <v>Газотурбинный цех</v>
          </cell>
          <cell r="X38">
            <v>5797772.3600000003</v>
          </cell>
          <cell r="Y38">
            <v>57977.723600000005</v>
          </cell>
          <cell r="Z38">
            <v>5739794.6364000002</v>
          </cell>
          <cell r="AC38">
            <v>100</v>
          </cell>
        </row>
        <row r="39">
          <cell r="A39" t="str">
            <v>Двигатель ГТД-6РМ №В6-45</v>
          </cell>
          <cell r="B39" t="str">
            <v>000001871</v>
          </cell>
          <cell r="C39" t="str">
            <v>ПРОИЗВОДСТВО</v>
          </cell>
          <cell r="D39" t="str">
            <v>Машины и оборудование (кроме офисного)</v>
          </cell>
          <cell r="E39">
            <v>44530</v>
          </cell>
          <cell r="F39" t="str">
            <v>Газотурбинный цех</v>
          </cell>
          <cell r="X39">
            <v>5797772.3600000003</v>
          </cell>
          <cell r="Y39">
            <v>57977.723600000005</v>
          </cell>
          <cell r="Z39">
            <v>5739794.6364000002</v>
          </cell>
          <cell r="AC39">
            <v>100</v>
          </cell>
        </row>
        <row r="40">
          <cell r="A40" t="str">
            <v>Двигатель ГТД-6РМ №В6-47</v>
          </cell>
          <cell r="B40" t="str">
            <v>000001870</v>
          </cell>
          <cell r="C40" t="str">
            <v>ПРОИЗВОДСТВО</v>
          </cell>
          <cell r="D40" t="str">
            <v>Машины и оборудование (кроме офисного)</v>
          </cell>
          <cell r="E40">
            <v>44530</v>
          </cell>
          <cell r="F40" t="str">
            <v>Газотурбинный цех</v>
          </cell>
          <cell r="X40">
            <v>5797772.3600000003</v>
          </cell>
          <cell r="Y40">
            <v>57977.723600000005</v>
          </cell>
          <cell r="Z40">
            <v>5739794.6364000002</v>
          </cell>
          <cell r="AC40">
            <v>100</v>
          </cell>
        </row>
        <row r="41">
          <cell r="A41" t="str">
            <v>Двигатель ГТД-6РМ зав. №В6-69 на раме №163-069</v>
          </cell>
          <cell r="B41" t="str">
            <v>000001566</v>
          </cell>
          <cell r="C41" t="str">
            <v>ПРОИЗВОДСТВО</v>
          </cell>
          <cell r="D41" t="str">
            <v>Машины и оборудование (кроме офисного)</v>
          </cell>
          <cell r="E41" t="str">
            <v>30.11.2013</v>
          </cell>
          <cell r="F41" t="str">
            <v>Газотурбинный цех</v>
          </cell>
          <cell r="X41">
            <v>35115893.210000001</v>
          </cell>
          <cell r="Y41">
            <v>27507449.400999997</v>
          </cell>
          <cell r="Z41">
            <v>7608443.8090000041</v>
          </cell>
          <cell r="AC41">
            <v>120</v>
          </cell>
        </row>
        <row r="42">
          <cell r="A42" t="str">
            <v>Дизель электростанция ДЭС электроснабжение объекта "Ненецкая СББЖ г.Нарьян-Мара"</v>
          </cell>
          <cell r="B42" t="str">
            <v>000001669</v>
          </cell>
          <cell r="C42" t="str">
            <v>ПРОИЗВОДСТВО</v>
          </cell>
          <cell r="D42" t="str">
            <v>Машины и оборудование (кроме офисного)</v>
          </cell>
          <cell r="E42" t="str">
            <v>31.12.2015</v>
          </cell>
          <cell r="F42" t="str">
            <v>Тепломеханический цех</v>
          </cell>
          <cell r="X42">
            <v>2404272.6</v>
          </cell>
          <cell r="Y42">
            <v>2060804.9142857143</v>
          </cell>
          <cell r="Z42">
            <v>343467.68571428582</v>
          </cell>
          <cell r="AC42">
            <v>84</v>
          </cell>
        </row>
        <row r="43">
          <cell r="A43" t="str">
            <v>Дизель-генератор ДГР 630/1000 с пневмопуском 2009г</v>
          </cell>
          <cell r="B43" t="str">
            <v>00001109</v>
          </cell>
          <cell r="C43" t="str">
            <v>ПРОИЗВОДСТВО</v>
          </cell>
          <cell r="D43" t="str">
            <v>Машины и оборудование (кроме офисного)</v>
          </cell>
          <cell r="E43" t="str">
            <v>31.01.2009</v>
          </cell>
          <cell r="F43" t="str">
            <v>Тепломеханический цех</v>
          </cell>
          <cell r="X43">
            <v>9872012.8699999992</v>
          </cell>
          <cell r="Y43">
            <v>8288289.1699999999</v>
          </cell>
          <cell r="Z43">
            <v>1583723.6999999993</v>
          </cell>
          <cell r="AC43">
            <v>180</v>
          </cell>
        </row>
        <row r="44">
          <cell r="A44" t="str">
            <v>Дизель-генераторная установка Caterpillar 3516BHD с двутопливной системой</v>
          </cell>
          <cell r="B44" t="str">
            <v>000001506</v>
          </cell>
          <cell r="C44" t="str">
            <v>ПРОИЗВОДСТВО</v>
          </cell>
          <cell r="D44" t="str">
            <v>Машины и оборудование (кроме офисного)</v>
          </cell>
          <cell r="E44" t="str">
            <v>19.12.2012</v>
          </cell>
          <cell r="F44" t="str">
            <v>Тепломеханический цех</v>
          </cell>
          <cell r="X44">
            <v>28190060.440000001</v>
          </cell>
          <cell r="Y44">
            <v>25370787.973999999</v>
          </cell>
          <cell r="Z44">
            <v>2819272.4660000019</v>
          </cell>
          <cell r="AC44">
            <v>120</v>
          </cell>
        </row>
        <row r="45">
          <cell r="A45" t="str">
            <v>Дизельная электростанция АДК 500.2-Baltic</v>
          </cell>
          <cell r="B45" t="str">
            <v>000001836</v>
          </cell>
          <cell r="C45" t="str">
            <v>ПРОИЗВОДСТВО</v>
          </cell>
          <cell r="D45" t="str">
            <v>Здания</v>
          </cell>
          <cell r="E45" t="str">
            <v>30.12.2020</v>
          </cell>
          <cell r="F45" t="str">
            <v>ДЭС п.Красное</v>
          </cell>
          <cell r="X45">
            <v>2315429.2200000002</v>
          </cell>
          <cell r="Y45">
            <v>77180.974000000002</v>
          </cell>
          <cell r="Z45">
            <v>2238248.2460000003</v>
          </cell>
          <cell r="AC45">
            <v>360</v>
          </cell>
        </row>
        <row r="46">
          <cell r="A46" t="str">
            <v>Зарядное с автоматическим циклом зарядки 24В, 35А СТЕК МХТS 70</v>
          </cell>
          <cell r="B46" t="str">
            <v>000001548</v>
          </cell>
          <cell r="C46" t="str">
            <v>ПРОИЗВОДСТВО</v>
          </cell>
          <cell r="D46" t="str">
            <v>Машины и оборудование (кроме офисного)</v>
          </cell>
          <cell r="E46" t="str">
            <v>30.09.2013</v>
          </cell>
          <cell r="F46" t="str">
            <v>Тепломеханический цех</v>
          </cell>
          <cell r="X46">
            <v>58050.85</v>
          </cell>
          <cell r="Y46">
            <v>31927.556666666664</v>
          </cell>
          <cell r="Z46">
            <v>26123.293333333335</v>
          </cell>
          <cell r="AC46">
            <v>180</v>
          </cell>
        </row>
        <row r="47">
          <cell r="A47" t="str">
            <v>Здание ГТЭС-12 2003г</v>
          </cell>
          <cell r="B47" t="str">
            <v>00000498</v>
          </cell>
          <cell r="C47" t="str">
            <v>ПРОИЗВОДСТВО</v>
          </cell>
          <cell r="D47" t="str">
            <v>Здания</v>
          </cell>
          <cell r="E47" t="str">
            <v>02.10.2003</v>
          </cell>
          <cell r="F47" t="str">
            <v>Газотурбинный цех</v>
          </cell>
          <cell r="X47">
            <v>40639366.43</v>
          </cell>
          <cell r="Y47">
            <v>14622810.040000001</v>
          </cell>
          <cell r="Z47">
            <v>26016556.390000001</v>
          </cell>
          <cell r="AC47">
            <v>180</v>
          </cell>
        </row>
        <row r="48">
          <cell r="A48" t="str">
            <v>Измеритель сопротивления заземления Metrel MI3123</v>
          </cell>
          <cell r="B48" t="str">
            <v>000001777</v>
          </cell>
          <cell r="C48" t="str">
            <v>ПРОИЗВОДСТВО</v>
          </cell>
          <cell r="D48" t="str">
            <v>Машины и оборудование (кроме офисного)</v>
          </cell>
          <cell r="E48" t="str">
            <v>19.08.2019</v>
          </cell>
          <cell r="F48" t="str">
            <v>Электрический цех</v>
          </cell>
          <cell r="X48">
            <v>48921.57</v>
          </cell>
          <cell r="Y48">
            <v>22830.074000000001</v>
          </cell>
          <cell r="Z48">
            <v>26091.495999999999</v>
          </cell>
          <cell r="AC48">
            <v>60</v>
          </cell>
        </row>
        <row r="49">
          <cell r="A49" t="str">
            <v>Инвертор плазменной резки Nelwin Superior Plasma 60 HF 400V</v>
          </cell>
          <cell r="B49" t="str">
            <v>000001619</v>
          </cell>
          <cell r="C49" t="str">
            <v>ПРОИЗВОДСТВО</v>
          </cell>
          <cell r="D49" t="str">
            <v>Другие виды основных средств</v>
          </cell>
          <cell r="E49" t="str">
            <v>30.04.2014</v>
          </cell>
          <cell r="F49" t="str">
            <v>Тепломеханический цех</v>
          </cell>
          <cell r="X49">
            <v>85000</v>
          </cell>
          <cell r="Y49">
            <v>85000</v>
          </cell>
          <cell r="Z49">
            <v>0</v>
          </cell>
          <cell r="AC49">
            <v>84</v>
          </cell>
        </row>
        <row r="50">
          <cell r="A50" t="str">
            <v>Испытательное устройство РЕТОМ-21 НПП "Динамика"</v>
          </cell>
          <cell r="B50" t="str">
            <v>000001720</v>
          </cell>
          <cell r="C50" t="str">
            <v>ПРОИЗВОДСТВО</v>
          </cell>
          <cell r="D50" t="str">
            <v>Машины и оборудование (кроме офисного)</v>
          </cell>
          <cell r="E50" t="str">
            <v>28.04.2018</v>
          </cell>
          <cell r="F50" t="str">
            <v>Электрический цех</v>
          </cell>
          <cell r="X50">
            <v>475686.44</v>
          </cell>
          <cell r="Y50">
            <v>348836.80799999996</v>
          </cell>
          <cell r="Z50">
            <v>126849.63200000004</v>
          </cell>
          <cell r="AC50">
            <v>60</v>
          </cell>
        </row>
        <row r="51">
          <cell r="A51" t="str">
            <v>Кабель н/в от главного здания  400м 1955г.</v>
          </cell>
          <cell r="B51" t="str">
            <v>00000034</v>
          </cell>
          <cell r="C51" t="str">
            <v>ПРОИЗВОДСТВО</v>
          </cell>
          <cell r="D51" t="str">
            <v>Сооружения</v>
          </cell>
          <cell r="E51" t="str">
            <v>01.01.1955</v>
          </cell>
          <cell r="F51" t="str">
            <v>Электрический цех</v>
          </cell>
          <cell r="X51">
            <v>483624.2</v>
          </cell>
          <cell r="Y51">
            <v>125810.16</v>
          </cell>
          <cell r="Z51">
            <v>357814.04000000004</v>
          </cell>
          <cell r="AC51">
            <v>360</v>
          </cell>
        </row>
        <row r="52">
          <cell r="A52" t="str">
            <v>Кабельные линии 6 кв 2003г.</v>
          </cell>
          <cell r="B52" t="str">
            <v>00000597</v>
          </cell>
          <cell r="C52" t="str">
            <v>ПРОИЗВОДСТВО</v>
          </cell>
          <cell r="D52" t="str">
            <v>Сооружения</v>
          </cell>
          <cell r="E52" t="str">
            <v>01.10.2003</v>
          </cell>
          <cell r="F52" t="str">
            <v>Электрический цех</v>
          </cell>
          <cell r="X52">
            <v>659676</v>
          </cell>
          <cell r="Y52">
            <v>479364.56</v>
          </cell>
          <cell r="Z52">
            <v>180311.44</v>
          </cell>
          <cell r="AC52">
            <v>300</v>
          </cell>
        </row>
        <row r="53">
          <cell r="A53" t="str">
            <v>КЛ 0,4 кВ "РШ-8-РЩ"Гараж. Новый бокс"</v>
          </cell>
          <cell r="B53" t="str">
            <v>000001647</v>
          </cell>
          <cell r="C53" t="str">
            <v>ПРОИЗВОДСТВО</v>
          </cell>
          <cell r="D53" t="str">
            <v>Сооружения</v>
          </cell>
          <cell r="E53" t="str">
            <v>31.12.2014</v>
          </cell>
          <cell r="F53" t="str">
            <v>Электрический цех</v>
          </cell>
          <cell r="X53">
            <v>45504.01</v>
          </cell>
          <cell r="Y53">
            <v>12741.1204</v>
          </cell>
          <cell r="Z53">
            <v>32762.889600000002</v>
          </cell>
          <cell r="AC53">
            <v>300</v>
          </cell>
        </row>
        <row r="54">
          <cell r="A54" t="str">
            <v>Комплекс измерительно-поисковый КИП-2Т</v>
          </cell>
          <cell r="B54" t="str">
            <v>000001812</v>
          </cell>
          <cell r="C54" t="str">
            <v>ПРОИЗВОДСТВО</v>
          </cell>
          <cell r="D54" t="str">
            <v>Машины и оборудование (кроме офисного)</v>
          </cell>
          <cell r="E54" t="str">
            <v>15.06.2020</v>
          </cell>
          <cell r="F54" t="str">
            <v>Электрический цех</v>
          </cell>
          <cell r="X54">
            <v>188333.33</v>
          </cell>
          <cell r="Y54">
            <v>40357.121428571438</v>
          </cell>
          <cell r="Z54">
            <v>147976.20857142855</v>
          </cell>
          <cell r="AC54">
            <v>84</v>
          </cell>
        </row>
        <row r="55">
          <cell r="A55" t="str">
            <v>Комплект офисной мебели</v>
          </cell>
          <cell r="B55" t="str">
            <v>00001503</v>
          </cell>
          <cell r="C55" t="str">
            <v>ПРОИЗВОДСТВО</v>
          </cell>
          <cell r="D55" t="str">
            <v>Офисное оборудование</v>
          </cell>
          <cell r="E55" t="str">
            <v>06.04.2012</v>
          </cell>
          <cell r="F55" t="str">
            <v>Электрический цех</v>
          </cell>
          <cell r="X55">
            <v>68750</v>
          </cell>
          <cell r="Y55">
            <v>68750</v>
          </cell>
          <cell r="Z55">
            <v>0</v>
          </cell>
          <cell r="AC55">
            <v>84</v>
          </cell>
        </row>
        <row r="56">
          <cell r="A56" t="str">
            <v xml:space="preserve">Комплект трассо-дефектоискателя Поиск-510 Мастер (с генератором МК-510) </v>
          </cell>
          <cell r="B56" t="str">
            <v>000001804</v>
          </cell>
          <cell r="C56" t="str">
            <v>ПРОИЗВОДСТВО</v>
          </cell>
          <cell r="D56" t="str">
            <v>Машины и оборудование (кроме офисного)</v>
          </cell>
          <cell r="E56" t="str">
            <v>24.03.2020</v>
          </cell>
          <cell r="F56" t="str">
            <v>ДЭС п.Красное</v>
          </cell>
          <cell r="X56">
            <v>45323.25</v>
          </cell>
          <cell r="Y56">
            <v>11330.79</v>
          </cell>
          <cell r="Z56">
            <v>33992.46</v>
          </cell>
          <cell r="AC56">
            <v>84</v>
          </cell>
        </row>
        <row r="57">
          <cell r="A57" t="str">
            <v>Комплектная трансформаторная подстанция 2КТП(М)-630-6/0,4-УХЛ1</v>
          </cell>
          <cell r="B57" t="str">
            <v>000001835</v>
          </cell>
          <cell r="C57" t="str">
            <v>ПРОИЗВОДСТВО</v>
          </cell>
          <cell r="D57" t="str">
            <v>Здания</v>
          </cell>
          <cell r="E57" t="str">
            <v>30.12.2020</v>
          </cell>
          <cell r="F57" t="str">
            <v>ДЭС п.Красное</v>
          </cell>
          <cell r="X57">
            <v>19015901.02</v>
          </cell>
          <cell r="Y57">
            <v>633863.36733333347</v>
          </cell>
          <cell r="Z57">
            <v>18382037.652666666</v>
          </cell>
          <cell r="AC57">
            <v>360</v>
          </cell>
        </row>
        <row r="58">
          <cell r="A58" t="str">
            <v>Компрессор REMEZA BP 10-30</v>
          </cell>
          <cell r="B58" t="str">
            <v>000001771</v>
          </cell>
          <cell r="C58" t="str">
            <v>ПРОИЗВОДСТВО</v>
          </cell>
          <cell r="D58" t="str">
            <v>Машины и оборудование (кроме офисного)</v>
          </cell>
          <cell r="E58" t="str">
            <v>25.06.2019</v>
          </cell>
          <cell r="F58" t="str">
            <v>Тепломеханический цех</v>
          </cell>
          <cell r="X58">
            <v>239750</v>
          </cell>
          <cell r="Y58">
            <v>29968.78</v>
          </cell>
          <cell r="Z58">
            <v>209781.22</v>
          </cell>
          <cell r="AC58">
            <v>240</v>
          </cell>
        </row>
        <row r="59">
          <cell r="A59" t="str">
            <v>Контейнер 20 ф №1</v>
          </cell>
          <cell r="B59" t="str">
            <v>000001521</v>
          </cell>
          <cell r="C59" t="str">
            <v>ПРОИЗВОДСТВО</v>
          </cell>
          <cell r="D59" t="str">
            <v>Другие виды основных средств</v>
          </cell>
          <cell r="E59" t="str">
            <v>10.04.2013</v>
          </cell>
          <cell r="F59" t="str">
            <v>Тепломеханический цех</v>
          </cell>
          <cell r="Y59">
            <v>28813.93888888889</v>
          </cell>
          <cell r="AC59">
            <v>180</v>
          </cell>
        </row>
        <row r="60">
          <cell r="A60" t="str">
            <v>Контейнер 20 ф №2</v>
          </cell>
          <cell r="B60" t="str">
            <v>000001522</v>
          </cell>
          <cell r="C60" t="str">
            <v>ПРОИЗВОДСТВО</v>
          </cell>
          <cell r="D60" t="str">
            <v>Другие виды основных средств</v>
          </cell>
          <cell r="E60" t="str">
            <v>10.04.2013</v>
          </cell>
          <cell r="F60" t="str">
            <v>Тепломеханический цех</v>
          </cell>
          <cell r="X60">
            <v>50847.46</v>
          </cell>
          <cell r="Y60">
            <v>29378.91066666667</v>
          </cell>
          <cell r="Z60">
            <v>21468.549333333329</v>
          </cell>
          <cell r="AC60">
            <v>180</v>
          </cell>
        </row>
        <row r="61">
          <cell r="A61" t="str">
            <v>Контейнер 20т DC FSCU7393953</v>
          </cell>
          <cell r="B61" t="str">
            <v>000001537</v>
          </cell>
          <cell r="C61" t="str">
            <v>ПРОИЗВОДСТВО</v>
          </cell>
          <cell r="D61" t="str">
            <v>Машины и оборудование (кроме офисного)</v>
          </cell>
          <cell r="E61" t="str">
            <v>01.08.2013</v>
          </cell>
          <cell r="F61" t="str">
            <v>Электрический цех</v>
          </cell>
          <cell r="X61">
            <v>88203</v>
          </cell>
          <cell r="Y61">
            <v>49001.96</v>
          </cell>
          <cell r="Z61">
            <v>39201.040000000001</v>
          </cell>
          <cell r="AC61">
            <v>180</v>
          </cell>
        </row>
        <row r="62">
          <cell r="A62" t="str">
            <v>Микроомметр Metrel MI3242</v>
          </cell>
          <cell r="B62" t="str">
            <v>000001778</v>
          </cell>
          <cell r="C62" t="str">
            <v>ПРОИЗВОДСТВО</v>
          </cell>
          <cell r="D62" t="str">
            <v>Машины и оборудование (кроме офисного)</v>
          </cell>
          <cell r="E62" t="str">
            <v>19.08.2019</v>
          </cell>
          <cell r="F62" t="str">
            <v>Электрический цех</v>
          </cell>
          <cell r="X62">
            <v>64730.39</v>
          </cell>
          <cell r="Y62">
            <v>30207.517999999996</v>
          </cell>
          <cell r="Z62">
            <v>34522.872000000003</v>
          </cell>
          <cell r="AC62">
            <v>60</v>
          </cell>
        </row>
        <row r="63">
          <cell r="A63" t="str">
            <v>Мини козловой кран г/п 1000 кг</v>
          </cell>
          <cell r="B63" t="str">
            <v>000001852</v>
          </cell>
          <cell r="C63" t="str">
            <v>ПРОИЗВОДСТВО</v>
          </cell>
          <cell r="D63" t="str">
            <v>Машины и оборудование (кроме офисного)</v>
          </cell>
          <cell r="E63" t="str">
            <v>23.06.2021</v>
          </cell>
          <cell r="F63" t="str">
            <v>Электрический цех</v>
          </cell>
          <cell r="X63">
            <v>161666.67000000001</v>
          </cell>
          <cell r="Y63">
            <v>8083.3334999999997</v>
          </cell>
          <cell r="Z63">
            <v>153583.3365</v>
          </cell>
          <cell r="AC63">
            <v>120</v>
          </cell>
        </row>
        <row r="64">
          <cell r="A64" t="str">
            <v>Мини козловой кран г/п 5000 кг</v>
          </cell>
          <cell r="B64" t="str">
            <v>000001853</v>
          </cell>
          <cell r="C64" t="str">
            <v>ПРОИЗВОДСТВО</v>
          </cell>
          <cell r="D64" t="str">
            <v>Машины и оборудование (кроме офисного)</v>
          </cell>
          <cell r="E64" t="str">
            <v>23.06.2021</v>
          </cell>
          <cell r="F64" t="str">
            <v>Электрический цех</v>
          </cell>
          <cell r="X64">
            <v>227500</v>
          </cell>
          <cell r="Y64">
            <v>11375</v>
          </cell>
          <cell r="Z64">
            <v>216125</v>
          </cell>
          <cell r="AC64">
            <v>120</v>
          </cell>
        </row>
        <row r="65">
          <cell r="A65" t="str">
            <v>Мини козловой кран г/п 5000 кг</v>
          </cell>
          <cell r="B65" t="str">
            <v>000001854</v>
          </cell>
          <cell r="C65" t="str">
            <v>ПРОИЗВОДСТВО</v>
          </cell>
          <cell r="D65" t="str">
            <v>Машины и оборудование (кроме офисного)</v>
          </cell>
          <cell r="E65" t="str">
            <v>23.06.2021</v>
          </cell>
          <cell r="F65" t="str">
            <v>Электрический цех</v>
          </cell>
          <cell r="X65">
            <v>227500</v>
          </cell>
          <cell r="Y65">
            <v>11375</v>
          </cell>
          <cell r="Z65">
            <v>216125</v>
          </cell>
          <cell r="AC65">
            <v>120</v>
          </cell>
        </row>
        <row r="66">
          <cell r="A66" t="str">
            <v>Молниеотвод с прожекторами, МОГК</v>
          </cell>
          <cell r="B66" t="str">
            <v>000001830</v>
          </cell>
          <cell r="C66" t="str">
            <v>ПРОИЗВОДСТВО</v>
          </cell>
          <cell r="D66" t="str">
            <v>Сооружения</v>
          </cell>
          <cell r="E66" t="str">
            <v>30.12.2020</v>
          </cell>
          <cell r="F66" t="str">
            <v>ДЭС п.Красное</v>
          </cell>
          <cell r="X66">
            <v>1566507.35</v>
          </cell>
          <cell r="Y66">
            <v>52216.911666666674</v>
          </cell>
          <cell r="Z66">
            <v>1514290.4383333335</v>
          </cell>
          <cell r="AC66">
            <v>360</v>
          </cell>
        </row>
        <row r="67">
          <cell r="A67" t="str">
            <v>Наружные сети электроснабжения (п. Красное)</v>
          </cell>
          <cell r="B67" t="str">
            <v>000001674</v>
          </cell>
          <cell r="C67" t="str">
            <v>ПРОИЗВОДСТВО</v>
          </cell>
          <cell r="D67" t="str">
            <v>Сооружения</v>
          </cell>
          <cell r="E67" t="str">
            <v>20.01.2016</v>
          </cell>
          <cell r="F67" t="str">
            <v>ДЭС п.Красное</v>
          </cell>
          <cell r="X67">
            <v>40883.46</v>
          </cell>
          <cell r="Y67">
            <v>16126.234</v>
          </cell>
          <cell r="Z67">
            <v>24757.225999999999</v>
          </cell>
          <cell r="AC67">
            <v>180</v>
          </cell>
        </row>
        <row r="68">
          <cell r="A68" t="str">
            <v>Наружные сети электроснабжения 0,4 кВ ( НАО п. Красное)</v>
          </cell>
          <cell r="B68" t="str">
            <v>000001684</v>
          </cell>
          <cell r="C68" t="str">
            <v>ПРОИЗВОДСТВО</v>
          </cell>
          <cell r="D68" t="str">
            <v>Сооружения</v>
          </cell>
          <cell r="E68" t="str">
            <v>10.06.2016</v>
          </cell>
          <cell r="F68" t="str">
            <v>ДЭС п.Красное</v>
          </cell>
          <cell r="X68">
            <v>239099</v>
          </cell>
          <cell r="Y68">
            <v>87669.753333333341</v>
          </cell>
          <cell r="Z68">
            <v>151429.24666666664</v>
          </cell>
          <cell r="AC68">
            <v>180</v>
          </cell>
        </row>
        <row r="69">
          <cell r="A69" t="str">
            <v>Наружные сети электроснабжения 0,4 кВ ( НАО п. Красное)</v>
          </cell>
          <cell r="B69" t="str">
            <v>000001685</v>
          </cell>
          <cell r="C69" t="str">
            <v>ПРОИЗВОДСТВО</v>
          </cell>
          <cell r="D69" t="str">
            <v>Сооружения</v>
          </cell>
          <cell r="E69" t="str">
            <v>10.06.2016</v>
          </cell>
          <cell r="F69" t="str">
            <v>ДЭС п.Красное</v>
          </cell>
          <cell r="X69">
            <v>87099</v>
          </cell>
          <cell r="Y69">
            <v>31936.12</v>
          </cell>
          <cell r="Z69">
            <v>55162.880000000005</v>
          </cell>
          <cell r="AC69">
            <v>180</v>
          </cell>
        </row>
        <row r="70">
          <cell r="A70" t="str">
            <v>Наружные сети электроснабжения 0,4 кВ (НАО, п. Красное)</v>
          </cell>
          <cell r="B70" t="str">
            <v>000001687</v>
          </cell>
          <cell r="C70" t="str">
            <v>ПРОИЗВОДСТВО</v>
          </cell>
          <cell r="D70" t="str">
            <v>Сооружения</v>
          </cell>
          <cell r="E70" t="str">
            <v>29.06.2016</v>
          </cell>
          <cell r="F70" t="str">
            <v>ДЭС п.Красное</v>
          </cell>
          <cell r="X70">
            <v>25447</v>
          </cell>
          <cell r="Y70">
            <v>9330.4466666666667</v>
          </cell>
          <cell r="Z70">
            <v>16116.553333333333</v>
          </cell>
          <cell r="AC70">
            <v>180</v>
          </cell>
        </row>
        <row r="71">
          <cell r="A71" t="str">
            <v>Наружные сети электроснабжения 0,4 кВ (НАО, п. Красное)</v>
          </cell>
          <cell r="B71" t="str">
            <v>000001688</v>
          </cell>
          <cell r="C71" t="str">
            <v>ПРОИЗВОДСТВО</v>
          </cell>
          <cell r="D71" t="str">
            <v>Сооружения</v>
          </cell>
          <cell r="E71" t="str">
            <v>29.06.2016</v>
          </cell>
          <cell r="F71" t="str">
            <v>ДЭС п.Красное</v>
          </cell>
          <cell r="X71">
            <v>36352</v>
          </cell>
          <cell r="Y71">
            <v>13329.306666666667</v>
          </cell>
          <cell r="Z71">
            <v>23022.693333333333</v>
          </cell>
          <cell r="AC71">
            <v>180</v>
          </cell>
        </row>
        <row r="72">
          <cell r="A72" t="str">
            <v>Наружные сети электроснабжения 0,4 кВ п. Красное</v>
          </cell>
          <cell r="B72" t="str">
            <v>000001675</v>
          </cell>
          <cell r="C72" t="str">
            <v>ПРОИЗВОДСТВО</v>
          </cell>
          <cell r="D72" t="str">
            <v>Сооружения</v>
          </cell>
          <cell r="E72" t="str">
            <v>20.01.2016</v>
          </cell>
          <cell r="F72" t="str">
            <v>ДЭС п.Красное</v>
          </cell>
          <cell r="X72">
            <v>347860.46</v>
          </cell>
          <cell r="Y72">
            <v>137211.73733333332</v>
          </cell>
          <cell r="Z72">
            <v>210648.7226666667</v>
          </cell>
          <cell r="AC72">
            <v>180</v>
          </cell>
        </row>
        <row r="73">
          <cell r="A73" t="str">
            <v>Наружные сети электроснабжения 0,4 кВ п. Красное</v>
          </cell>
          <cell r="B73" t="str">
            <v>000001676</v>
          </cell>
          <cell r="C73" t="str">
            <v>ПРОИЗВОДСТВО</v>
          </cell>
          <cell r="D73" t="str">
            <v>Сооружения</v>
          </cell>
          <cell r="E73" t="str">
            <v>20.01.2016</v>
          </cell>
          <cell r="F73" t="str">
            <v>ДЭС п.Красное</v>
          </cell>
          <cell r="X73">
            <v>65865.240000000005</v>
          </cell>
          <cell r="Y73">
            <v>25980.295999999998</v>
          </cell>
          <cell r="Z73">
            <v>39884.944000000003</v>
          </cell>
          <cell r="AC73">
            <v>180</v>
          </cell>
        </row>
        <row r="74">
          <cell r="A74" t="str">
            <v>Наружные сети электроснабжения 6 кВт, адрес: Ненецкий АО, Заполярный р-н, Красное п, Мира ул</v>
          </cell>
          <cell r="B74" t="str">
            <v>000001722</v>
          </cell>
          <cell r="C74" t="str">
            <v>ПРОИЗВОДСТВО</v>
          </cell>
          <cell r="D74" t="str">
            <v>Сооружения</v>
          </cell>
          <cell r="E74" t="str">
            <v>03.05.2018</v>
          </cell>
          <cell r="F74" t="str">
            <v>ДЭС п.Красное</v>
          </cell>
          <cell r="X74">
            <v>2193414</v>
          </cell>
          <cell r="Y74">
            <v>261991.22000000003</v>
          </cell>
          <cell r="Z74">
            <v>1931422.78</v>
          </cell>
          <cell r="AC74">
            <v>360</v>
          </cell>
        </row>
        <row r="75">
          <cell r="A75" t="str">
            <v>Насос агрегатный  1994г.</v>
          </cell>
          <cell r="B75" t="str">
            <v>00000589</v>
          </cell>
          <cell r="C75" t="str">
            <v>ПРОИЗВОДСТВО</v>
          </cell>
          <cell r="D75" t="str">
            <v>Машины и оборудование (кроме офисного)</v>
          </cell>
          <cell r="E75" t="str">
            <v>01.07.1994</v>
          </cell>
          <cell r="F75" t="str">
            <v>Тепломеханический цех</v>
          </cell>
          <cell r="X75">
            <v>5528</v>
          </cell>
          <cell r="Y75">
            <v>5527.9990123456791</v>
          </cell>
          <cell r="Z75">
            <v>9.876543208520161E-4</v>
          </cell>
          <cell r="AC75">
            <v>324</v>
          </cell>
        </row>
        <row r="76">
          <cell r="A76" t="str">
            <v>Насосная дизельного топлива</v>
          </cell>
          <cell r="B76" t="str">
            <v>000001833</v>
          </cell>
          <cell r="C76" t="str">
            <v>ПРОИЗВОДСТВО</v>
          </cell>
          <cell r="D76" t="str">
            <v>Сооружения</v>
          </cell>
          <cell r="E76" t="str">
            <v>30.12.2020</v>
          </cell>
          <cell r="F76" t="str">
            <v>ДЭС п.Красное</v>
          </cell>
          <cell r="X76">
            <v>1044745.03</v>
          </cell>
          <cell r="Y76">
            <v>69649.668666666665</v>
          </cell>
          <cell r="Z76">
            <v>975095.36133333342</v>
          </cell>
          <cell r="AC76">
            <v>180</v>
          </cell>
        </row>
        <row r="77">
          <cell r="A77" t="str">
            <v>Насосный агрегат НМШ 5-25-4,0/25Б-1У3 с дв.5,5/1500  №7р198</v>
          </cell>
          <cell r="B77" t="str">
            <v>000001639</v>
          </cell>
          <cell r="C77" t="str">
            <v>ПРОИЗВОДСТВО</v>
          </cell>
          <cell r="D77" t="str">
            <v>Машины и оборудование (кроме офисного)</v>
          </cell>
          <cell r="E77" t="str">
            <v>22.09.2014</v>
          </cell>
          <cell r="F77" t="str">
            <v>Газотурбинный цех</v>
          </cell>
          <cell r="X77">
            <v>57245.760000000002</v>
          </cell>
          <cell r="Y77">
            <v>57245.760000000002</v>
          </cell>
          <cell r="Z77">
            <v>0</v>
          </cell>
          <cell r="AC77">
            <v>84</v>
          </cell>
        </row>
        <row r="78">
          <cell r="A78" t="str">
            <v>Новый технологический трубопровод для перекачки дизельного топлива</v>
          </cell>
          <cell r="B78" t="str">
            <v>000001666</v>
          </cell>
          <cell r="C78" t="str">
            <v>ПРОИЗВОДСТВО</v>
          </cell>
          <cell r="D78" t="str">
            <v>Сооружения</v>
          </cell>
          <cell r="E78" t="str">
            <v>31.12.2015</v>
          </cell>
          <cell r="F78" t="str">
            <v>Тепломеханический цех</v>
          </cell>
          <cell r="X78">
            <v>3443108.29</v>
          </cell>
          <cell r="Y78">
            <v>1377243.3526666667</v>
          </cell>
          <cell r="Z78">
            <v>2065864.9373333333</v>
          </cell>
          <cell r="AC78">
            <v>180</v>
          </cell>
        </row>
        <row r="79">
          <cell r="A79" t="str">
            <v>Пристройка к маслосепараторной 1997г</v>
          </cell>
          <cell r="B79" t="str">
            <v>00000091</v>
          </cell>
          <cell r="C79" t="str">
            <v>ПРОИЗВОДСТВО</v>
          </cell>
          <cell r="D79" t="str">
            <v>Здания</v>
          </cell>
          <cell r="E79" t="str">
            <v>01.07.1997</v>
          </cell>
          <cell r="F79" t="str">
            <v>Электрический цех</v>
          </cell>
          <cell r="X79">
            <v>126170</v>
          </cell>
          <cell r="Y79">
            <v>75704.62</v>
          </cell>
          <cell r="Z79">
            <v>50465.380000000005</v>
          </cell>
          <cell r="AC79">
            <v>480</v>
          </cell>
        </row>
        <row r="80">
          <cell r="A80" t="str">
            <v>Пристройка к РУ-6кВТ</v>
          </cell>
          <cell r="B80" t="str">
            <v>00001051</v>
          </cell>
          <cell r="C80" t="str">
            <v>ПРОИЗВОДСТВО</v>
          </cell>
          <cell r="D80" t="str">
            <v>Здания</v>
          </cell>
          <cell r="E80" t="str">
            <v>30.09.2007</v>
          </cell>
          <cell r="F80" t="str">
            <v>Электрический цех</v>
          </cell>
          <cell r="X80">
            <v>590228.09</v>
          </cell>
          <cell r="Y80">
            <v>336430.49359999999</v>
          </cell>
          <cell r="Z80">
            <v>253797.59639999998</v>
          </cell>
          <cell r="AC80">
            <v>300</v>
          </cell>
        </row>
        <row r="81">
          <cell r="A81" t="str">
            <v>Пристройка к цеху ГТУ</v>
          </cell>
          <cell r="B81" t="str">
            <v>00000376</v>
          </cell>
          <cell r="C81" t="str">
            <v>ПРОИЗВОДСТВО</v>
          </cell>
          <cell r="D81" t="str">
            <v>Здания</v>
          </cell>
          <cell r="E81" t="str">
            <v>29.12.2001</v>
          </cell>
          <cell r="F81" t="str">
            <v>Газотурбинный цех</v>
          </cell>
          <cell r="X81">
            <v>55891.5</v>
          </cell>
          <cell r="Y81">
            <v>45877.375</v>
          </cell>
          <cell r="Z81">
            <v>10014.125</v>
          </cell>
          <cell r="AC81">
            <v>240</v>
          </cell>
        </row>
        <row r="82">
          <cell r="A82" t="str">
            <v>Пункт персонала энергокомплекса</v>
          </cell>
          <cell r="B82" t="str">
            <v>000001837</v>
          </cell>
          <cell r="C82" t="str">
            <v>ПРОИЗВОДСТВО</v>
          </cell>
          <cell r="D82" t="str">
            <v>Здания</v>
          </cell>
          <cell r="E82" t="str">
            <v>30.12.2020</v>
          </cell>
          <cell r="F82" t="str">
            <v>ДЭС п.Красное</v>
          </cell>
          <cell r="X82">
            <v>2322997.36</v>
          </cell>
          <cell r="Y82">
            <v>116149.86799999996</v>
          </cell>
          <cell r="Z82">
            <v>2206847.4920000001</v>
          </cell>
          <cell r="AC82">
            <v>240</v>
          </cell>
        </row>
        <row r="83">
          <cell r="A83" t="str">
            <v>Пункт учета газа  1983г.</v>
          </cell>
          <cell r="B83" t="str">
            <v>00000075</v>
          </cell>
          <cell r="C83" t="str">
            <v>ПРОИЗВОДСТВО</v>
          </cell>
          <cell r="D83" t="str">
            <v>Здания</v>
          </cell>
          <cell r="E83" t="str">
            <v>01.01.1983</v>
          </cell>
          <cell r="F83" t="str">
            <v>Газотурбинный цех</v>
          </cell>
          <cell r="X83">
            <v>182797.25</v>
          </cell>
          <cell r="Y83">
            <v>50163.42689265537</v>
          </cell>
          <cell r="Z83">
            <v>132633.82310734462</v>
          </cell>
          <cell r="AC83">
            <v>708</v>
          </cell>
        </row>
        <row r="84">
          <cell r="A84" t="str">
            <v>Распределительный .шкаф РШ-1 (ДГ №1)</v>
          </cell>
          <cell r="B84" t="str">
            <v>000001600</v>
          </cell>
          <cell r="C84" t="str">
            <v>ПРОИЗВОДСТВО</v>
          </cell>
          <cell r="D84" t="str">
            <v>Машины и оборудование (кроме офисного)</v>
          </cell>
          <cell r="E84" t="str">
            <v>31.12.2013</v>
          </cell>
          <cell r="F84" t="str">
            <v>Электрический цех</v>
          </cell>
          <cell r="X84">
            <v>145652.98000000001</v>
          </cell>
          <cell r="Y84">
            <v>77681.318666666659</v>
          </cell>
          <cell r="Z84">
            <v>67971.661333333352</v>
          </cell>
          <cell r="AC84">
            <v>180</v>
          </cell>
        </row>
        <row r="85">
          <cell r="A85" t="str">
            <v>Распределительный шкаф (Токоприемники ДГ №4)</v>
          </cell>
          <cell r="B85" t="str">
            <v>000001605</v>
          </cell>
          <cell r="C85" t="str">
            <v>ПРОИЗВОДСТВО</v>
          </cell>
          <cell r="D85" t="str">
            <v>Машины и оборудование (кроме офисного)</v>
          </cell>
          <cell r="E85" t="str">
            <v>31.12.2013</v>
          </cell>
          <cell r="F85" t="str">
            <v>Электрический цех</v>
          </cell>
          <cell r="X85">
            <v>145652.98000000001</v>
          </cell>
          <cell r="Y85">
            <v>77681.318666666659</v>
          </cell>
          <cell r="Z85">
            <v>67971.661333333352</v>
          </cell>
          <cell r="AC85">
            <v>180</v>
          </cell>
        </row>
        <row r="86">
          <cell r="A86" t="str">
            <v>Распределительный шкаф РШ-10 (Береговая водонасосная станция)</v>
          </cell>
          <cell r="B86" t="str">
            <v>000001661</v>
          </cell>
          <cell r="C86" t="str">
            <v>ПРОИЗВОДСТВО</v>
          </cell>
          <cell r="D86" t="str">
            <v>Машины и оборудование (кроме офисного)</v>
          </cell>
          <cell r="E86" t="str">
            <v>31.07.2015</v>
          </cell>
          <cell r="F86" t="str">
            <v>Электрический цех</v>
          </cell>
          <cell r="X86">
            <v>190397.71</v>
          </cell>
          <cell r="Y86">
            <v>81448.23066666667</v>
          </cell>
          <cell r="Z86">
            <v>108949.47933333332</v>
          </cell>
          <cell r="AC86">
            <v>180</v>
          </cell>
        </row>
        <row r="87">
          <cell r="A87" t="str">
            <v>Распределительный шкаф РШ-11 ( Водонасосная (новая)</v>
          </cell>
          <cell r="B87" t="str">
            <v>000001606</v>
          </cell>
          <cell r="C87" t="str">
            <v>ПРОИЗВОДСТВО</v>
          </cell>
          <cell r="D87" t="str">
            <v>Машины и оборудование (кроме офисного)</v>
          </cell>
          <cell r="E87" t="str">
            <v>31.12.2013</v>
          </cell>
          <cell r="F87" t="str">
            <v>Электрический цех</v>
          </cell>
          <cell r="X87">
            <v>145653.01999999999</v>
          </cell>
          <cell r="Y87">
            <v>77681.321333333326</v>
          </cell>
          <cell r="Z87">
            <v>67971.698666666663</v>
          </cell>
          <cell r="AC87">
            <v>180</v>
          </cell>
        </row>
        <row r="88">
          <cell r="A88" t="str">
            <v>Распределительный шкаф РШ-2 ( ЭЦ)</v>
          </cell>
          <cell r="B88" t="str">
            <v>000001601</v>
          </cell>
          <cell r="C88" t="str">
            <v>ПРОИЗВОДСТВО</v>
          </cell>
          <cell r="D88" t="str">
            <v>Машины и оборудование (кроме офисного)</v>
          </cell>
          <cell r="E88" t="str">
            <v>31.12.2013</v>
          </cell>
          <cell r="F88" t="str">
            <v>Электрический цех</v>
          </cell>
          <cell r="X88">
            <v>145652.98000000001</v>
          </cell>
          <cell r="Y88">
            <v>77681.318666666659</v>
          </cell>
          <cell r="Z88">
            <v>67971.661333333352</v>
          </cell>
          <cell r="AC88">
            <v>180</v>
          </cell>
        </row>
        <row r="89">
          <cell r="A89" t="str">
            <v>Распределительный шкаф РШ-3 ( ДГ № 3)</v>
          </cell>
          <cell r="B89" t="str">
            <v>000001602</v>
          </cell>
          <cell r="C89" t="str">
            <v>ПРОИЗВОДСТВО</v>
          </cell>
          <cell r="D89" t="str">
            <v>Машины и оборудование (кроме офисного)</v>
          </cell>
          <cell r="E89" t="str">
            <v>31.12.2013</v>
          </cell>
          <cell r="F89" t="str">
            <v>Электрический цех</v>
          </cell>
          <cell r="X89">
            <v>145652.98000000001</v>
          </cell>
          <cell r="Y89">
            <v>77681.318666666659</v>
          </cell>
          <cell r="Z89">
            <v>67971.661333333352</v>
          </cell>
          <cell r="AC89">
            <v>180</v>
          </cell>
        </row>
        <row r="90">
          <cell r="A90" t="str">
            <v>Распределительный шкаф РШ-4 ( Слесарка)</v>
          </cell>
          <cell r="B90" t="str">
            <v>000001603</v>
          </cell>
          <cell r="C90" t="str">
            <v>ПРОИЗВОДСТВО</v>
          </cell>
          <cell r="D90" t="str">
            <v>Машины и оборудование (кроме офисного)</v>
          </cell>
          <cell r="E90" t="str">
            <v>31.12.2013</v>
          </cell>
          <cell r="F90" t="str">
            <v>Электрический цех</v>
          </cell>
          <cell r="X90">
            <v>145652.98000000001</v>
          </cell>
          <cell r="Y90">
            <v>77681.318666666659</v>
          </cell>
          <cell r="Z90">
            <v>67971.661333333352</v>
          </cell>
          <cell r="AC90">
            <v>180</v>
          </cell>
        </row>
        <row r="91">
          <cell r="A91" t="str">
            <v>Распределительный шкаф РШ-5 ( ДГ №3)</v>
          </cell>
          <cell r="B91" t="str">
            <v>000001604</v>
          </cell>
          <cell r="C91" t="str">
            <v>ПРОИЗВОДСТВО</v>
          </cell>
          <cell r="D91" t="str">
            <v>Машины и оборудование (кроме офисного)</v>
          </cell>
          <cell r="E91" t="str">
            <v>31.12.2013</v>
          </cell>
          <cell r="F91" t="str">
            <v>Электрический цех</v>
          </cell>
          <cell r="X91">
            <v>145652.98000000001</v>
          </cell>
          <cell r="Y91">
            <v>77681.318666666659</v>
          </cell>
          <cell r="Z91">
            <v>67971.661333333352</v>
          </cell>
          <cell r="AC91">
            <v>180</v>
          </cell>
        </row>
        <row r="92">
          <cell r="A92" t="str">
            <v>Распределительный шкаф РШ-8 (Маслосепараторная (старая))</v>
          </cell>
          <cell r="B92" t="str">
            <v>000001620</v>
          </cell>
          <cell r="C92" t="str">
            <v>ПРОИЗВОДСТВО</v>
          </cell>
          <cell r="D92" t="str">
            <v>Машины и оборудование (кроме офисного)</v>
          </cell>
          <cell r="E92" t="str">
            <v>31.05.2014</v>
          </cell>
          <cell r="F92" t="str">
            <v>Электрический цех</v>
          </cell>
          <cell r="X92">
            <v>217362.39</v>
          </cell>
          <cell r="Y92">
            <v>109888.856</v>
          </cell>
          <cell r="Z92">
            <v>107473.53400000001</v>
          </cell>
          <cell r="AC92">
            <v>180</v>
          </cell>
        </row>
        <row r="93">
          <cell r="A93" t="str">
            <v>Распределительный шкаф РШ-9</v>
          </cell>
          <cell r="B93" t="str">
            <v>000001658</v>
          </cell>
          <cell r="C93" t="str">
            <v>ПРОИЗВОДСТВО</v>
          </cell>
          <cell r="D93" t="str">
            <v>Машины и оборудование (кроме офисного)</v>
          </cell>
          <cell r="E93" t="str">
            <v>30.06.2015</v>
          </cell>
          <cell r="F93" t="str">
            <v>Электрический цех</v>
          </cell>
          <cell r="X93">
            <v>135158.97</v>
          </cell>
          <cell r="Y93">
            <v>58568.678</v>
          </cell>
          <cell r="Z93">
            <v>76590.292000000001</v>
          </cell>
          <cell r="AC93">
            <v>180</v>
          </cell>
        </row>
        <row r="94">
          <cell r="A94" t="str">
            <v>РВС-400 (резервуар вертикальный стальной объемом 400 м3)</v>
          </cell>
          <cell r="B94" t="str">
            <v>000001784</v>
          </cell>
          <cell r="C94" t="str">
            <v>ПРОИЗВОДСТВО</v>
          </cell>
          <cell r="D94" t="str">
            <v>Сооружения</v>
          </cell>
          <cell r="E94" t="str">
            <v>17.12.2019</v>
          </cell>
          <cell r="F94" t="str">
            <v>Тепломеханический цех</v>
          </cell>
          <cell r="X94">
            <v>16224413.98</v>
          </cell>
          <cell r="Y94">
            <v>3244882.7979999995</v>
          </cell>
          <cell r="Z94">
            <v>12979531.182</v>
          </cell>
          <cell r="AC94">
            <v>120</v>
          </cell>
        </row>
        <row r="95">
          <cell r="A95" t="str">
            <v>Резервуар горизонтальный стальной, РГСН-10м3</v>
          </cell>
          <cell r="B95" t="str">
            <v>000001831</v>
          </cell>
          <cell r="C95" t="str">
            <v>ПРОИЗВОДСТВО</v>
          </cell>
          <cell r="D95" t="str">
            <v>Сооружения</v>
          </cell>
          <cell r="E95" t="str">
            <v>30.12.2020</v>
          </cell>
          <cell r="F95" t="str">
            <v>ДЭС п.Красное</v>
          </cell>
          <cell r="X95">
            <v>688417.26</v>
          </cell>
          <cell r="Y95">
            <v>45894.483999999997</v>
          </cell>
          <cell r="Z95">
            <v>642522.77600000007</v>
          </cell>
          <cell r="AC95">
            <v>180</v>
          </cell>
        </row>
        <row r="96">
          <cell r="A96" t="str">
            <v>Ресивер</v>
          </cell>
          <cell r="B96" t="str">
            <v>00001187</v>
          </cell>
          <cell r="C96" t="str">
            <v>ПРОИЗВОДСТВО</v>
          </cell>
          <cell r="D96" t="str">
            <v>Машины и оборудование (кроме офисного)</v>
          </cell>
          <cell r="E96" t="str">
            <v>31.03.2010</v>
          </cell>
          <cell r="F96" t="str">
            <v>Газотурбинный цех</v>
          </cell>
          <cell r="X96">
            <v>310000</v>
          </cell>
          <cell r="Y96">
            <v>242833.04666666666</v>
          </cell>
          <cell r="Z96">
            <v>67166.953333333338</v>
          </cell>
          <cell r="AC96">
            <v>180</v>
          </cell>
        </row>
        <row r="97">
          <cell r="A97" t="str">
            <v>Рефлектометр импульсный РИ-307 с программным обеспечением IRView 5,0</v>
          </cell>
          <cell r="B97" t="str">
            <v>000001663</v>
          </cell>
          <cell r="C97" t="str">
            <v>ПРОИЗВОДСТВО</v>
          </cell>
          <cell r="D97" t="str">
            <v>Машины и оборудование (кроме офисного)</v>
          </cell>
          <cell r="E97" t="str">
            <v>30.09.2015</v>
          </cell>
          <cell r="F97" t="str">
            <v>Электрический цех</v>
          </cell>
          <cell r="X97">
            <v>88799.57</v>
          </cell>
          <cell r="Y97">
            <v>55499.957000000002</v>
          </cell>
          <cell r="Z97">
            <v>33299.613000000005</v>
          </cell>
          <cell r="AC97">
            <v>120</v>
          </cell>
        </row>
        <row r="98">
          <cell r="A98" t="str">
            <v>Септик FloTenk STA 1,5</v>
          </cell>
          <cell r="B98" t="str">
            <v>000001832</v>
          </cell>
          <cell r="C98" t="str">
            <v>ПРОИЗВОДСТВО</v>
          </cell>
          <cell r="D98" t="str">
            <v>Сооружения</v>
          </cell>
          <cell r="E98" t="str">
            <v>30.12.2020</v>
          </cell>
          <cell r="F98" t="str">
            <v>ДЭС п.Красное</v>
          </cell>
          <cell r="X98">
            <v>561601.46</v>
          </cell>
          <cell r="Y98">
            <v>37440.097333333331</v>
          </cell>
          <cell r="Z98">
            <v>524161.36266666662</v>
          </cell>
          <cell r="AC98">
            <v>180</v>
          </cell>
        </row>
        <row r="99">
          <cell r="A99" t="str">
            <v>Сигнализатор до взрывных концентраций в воздухе горючих газов СТМ30-12</v>
          </cell>
          <cell r="B99" t="str">
            <v>000001723</v>
          </cell>
          <cell r="C99" t="str">
            <v>ПРОИЗВОДСТВО</v>
          </cell>
          <cell r="D99" t="str">
            <v>Машины и оборудование (кроме офисного)</v>
          </cell>
          <cell r="E99" t="str">
            <v>14.05.2018</v>
          </cell>
          <cell r="F99" t="str">
            <v>Газотурбинный цех</v>
          </cell>
          <cell r="X99">
            <v>41333.14</v>
          </cell>
          <cell r="Y99">
            <v>14810.954000000002</v>
          </cell>
          <cell r="Z99">
            <v>26522.185999999998</v>
          </cell>
          <cell r="AC99">
            <v>120</v>
          </cell>
        </row>
        <row r="100">
          <cell r="A100" t="str">
            <v>Силовое эл. оборудование (РУ-6 кв) 2003г</v>
          </cell>
          <cell r="B100" t="str">
            <v>00000557</v>
          </cell>
          <cell r="C100" t="str">
            <v>ПРОИЗВОДСТВО</v>
          </cell>
          <cell r="D100" t="str">
            <v>Машины и оборудование (кроме офисного)</v>
          </cell>
          <cell r="E100" t="str">
            <v>01.10.2003</v>
          </cell>
          <cell r="F100" t="str">
            <v>Газотурбинный цех</v>
          </cell>
          <cell r="X100">
            <v>13444250.890000001</v>
          </cell>
          <cell r="Y100">
            <v>12551237</v>
          </cell>
          <cell r="Z100">
            <v>893013.8900000006</v>
          </cell>
          <cell r="AC100">
            <v>303</v>
          </cell>
        </row>
        <row r="101">
          <cell r="A101" t="str">
            <v>Система видеонаблюдения в машинном зале ТМЦ</v>
          </cell>
          <cell r="B101" t="str">
            <v>000001869</v>
          </cell>
          <cell r="C101" t="str">
            <v>ПРОИЗВОДСТВО</v>
          </cell>
          <cell r="D101" t="str">
            <v>Машины и оборудование (кроме офисного)</v>
          </cell>
          <cell r="E101">
            <v>44529</v>
          </cell>
          <cell r="F101" t="str">
            <v>Тепломеханический цех</v>
          </cell>
          <cell r="X101">
            <v>535420.01</v>
          </cell>
          <cell r="Y101">
            <v>5577.2917708333334</v>
          </cell>
          <cell r="Z101">
            <v>529842.7182291667</v>
          </cell>
          <cell r="AC101">
            <v>96</v>
          </cell>
        </row>
        <row r="102">
          <cell r="A102" t="str">
            <v>Система видеонаблюдения в РУ-6кВ, 0,4кВ ГТЭС-12,18</v>
          </cell>
          <cell r="B102" t="str">
            <v>000001664</v>
          </cell>
          <cell r="C102" t="str">
            <v>ПРОИЗВОДСТВО</v>
          </cell>
          <cell r="D102" t="str">
            <v>Машины и оборудование (кроме офисного)</v>
          </cell>
          <cell r="E102" t="str">
            <v>30.09.2015</v>
          </cell>
          <cell r="F102" t="str">
            <v>Газотурбинный цех</v>
          </cell>
          <cell r="X102">
            <v>171157</v>
          </cell>
          <cell r="Y102">
            <v>152818.53999999998</v>
          </cell>
          <cell r="Z102">
            <v>18338.460000000021</v>
          </cell>
          <cell r="AC102">
            <v>84</v>
          </cell>
        </row>
        <row r="103">
          <cell r="A103" t="str">
            <v>Система видеонаблюдения на ДККС</v>
          </cell>
          <cell r="B103" t="str">
            <v>000001885</v>
          </cell>
          <cell r="C103" t="str">
            <v>ПРОИЗВОДСТВО</v>
          </cell>
          <cell r="D103" t="str">
            <v>Машины и оборудование (кроме офисного)</v>
          </cell>
          <cell r="E103">
            <v>44561</v>
          </cell>
          <cell r="F103" t="str">
            <v>Газотурбинный цех</v>
          </cell>
          <cell r="X103">
            <v>500000</v>
          </cell>
          <cell r="Z103">
            <v>500000</v>
          </cell>
          <cell r="AC103">
            <v>120</v>
          </cell>
        </row>
        <row r="104">
          <cell r="A104" t="str">
            <v>Система газового анализа с сигнализацией</v>
          </cell>
          <cell r="B104" t="str">
            <v>00001486</v>
          </cell>
          <cell r="C104" t="str">
            <v>ПРОИЗВОДСТВО</v>
          </cell>
          <cell r="D104" t="str">
            <v>Другие виды основных средств</v>
          </cell>
          <cell r="E104" t="str">
            <v>31.12.2011</v>
          </cell>
          <cell r="F104" t="str">
            <v>Тепломеханический цех</v>
          </cell>
          <cell r="X104">
            <v>601793.94999999995</v>
          </cell>
          <cell r="Y104">
            <v>579527.52</v>
          </cell>
          <cell r="Z104">
            <v>22266.429999999935</v>
          </cell>
          <cell r="AC104">
            <v>84</v>
          </cell>
        </row>
        <row r="105">
          <cell r="A105" t="str">
            <v>Система для высоковольтных испытаний "ВОЛНА-СВИ53В"</v>
          </cell>
          <cell r="B105" t="str">
            <v>000001706</v>
          </cell>
          <cell r="C105" t="str">
            <v>ПРОИЗВОДСТВО</v>
          </cell>
          <cell r="D105" t="str">
            <v>Машины и оборудование (кроме офисного)</v>
          </cell>
          <cell r="E105" t="str">
            <v>18.07.2017</v>
          </cell>
          <cell r="F105" t="str">
            <v>Электрический цех</v>
          </cell>
          <cell r="X105">
            <v>338050.85</v>
          </cell>
          <cell r="Y105">
            <v>149305.77499999999</v>
          </cell>
          <cell r="Z105">
            <v>188745.07499999998</v>
          </cell>
          <cell r="AC105">
            <v>120</v>
          </cell>
        </row>
        <row r="106">
          <cell r="A106" t="str">
            <v>Система оперативно-диспетчерской связи Каскад-14 (Р) мод. Б-1</v>
          </cell>
          <cell r="B106" t="str">
            <v>000001735</v>
          </cell>
          <cell r="C106" t="str">
            <v>ПРОИЗВОДСТВО</v>
          </cell>
          <cell r="D106" t="str">
            <v>Машины и оборудование (кроме офисного)</v>
          </cell>
          <cell r="E106" t="str">
            <v>11.07.2018</v>
          </cell>
          <cell r="F106" t="str">
            <v>Электрический цех</v>
          </cell>
          <cell r="X106">
            <v>130271.88</v>
          </cell>
          <cell r="Y106">
            <v>44509.588000000003</v>
          </cell>
          <cell r="Z106">
            <v>85762.292000000001</v>
          </cell>
          <cell r="AC106">
            <v>120</v>
          </cell>
        </row>
        <row r="107">
          <cell r="A107" t="str">
            <v>Система оперативной радиосвязи</v>
          </cell>
          <cell r="B107" t="str">
            <v>000001715</v>
          </cell>
          <cell r="C107" t="str">
            <v>ПРОИЗВОДСТВО</v>
          </cell>
          <cell r="D107" t="str">
            <v>Машины и оборудование (кроме офисного)</v>
          </cell>
          <cell r="E107" t="str">
            <v>05.02.2018</v>
          </cell>
          <cell r="F107" t="str">
            <v>Электрический цех</v>
          </cell>
          <cell r="X107">
            <v>92585.46</v>
          </cell>
          <cell r="Y107">
            <v>70982.152000000002</v>
          </cell>
          <cell r="Z107">
            <v>21603.308000000005</v>
          </cell>
          <cell r="AC107">
            <v>60</v>
          </cell>
        </row>
        <row r="108">
          <cell r="A108" t="str">
            <v>Система освещения ГТЭС-12, ГТЭС-18</v>
          </cell>
          <cell r="B108" t="str">
            <v>000001665</v>
          </cell>
          <cell r="C108" t="str">
            <v>ПРОИЗВОДСТВО</v>
          </cell>
          <cell r="D108" t="str">
            <v>Сооружения</v>
          </cell>
          <cell r="E108" t="str">
            <v>30.10.2015</v>
          </cell>
          <cell r="F108" t="str">
            <v>Газотурбинный цех</v>
          </cell>
          <cell r="X108">
            <v>1972995.34</v>
          </cell>
          <cell r="Y108">
            <v>811120.60266666661</v>
          </cell>
          <cell r="Z108">
            <v>1161874.7373333336</v>
          </cell>
          <cell r="AC108">
            <v>180</v>
          </cell>
        </row>
        <row r="109">
          <cell r="A109" t="str">
            <v>Система охранно-пожарной сигнализации в производственных помещениях ТМЦ ГУП НАО "Нарьян-Марская электростанция"</v>
          </cell>
          <cell r="B109" t="str">
            <v>000001732</v>
          </cell>
          <cell r="C109" t="str">
            <v>ПРОИЗВОДСТВО</v>
          </cell>
          <cell r="D109" t="str">
            <v>Машины и оборудование (кроме офисного)</v>
          </cell>
          <cell r="E109" t="str">
            <v>31.05.2018</v>
          </cell>
          <cell r="F109" t="str">
            <v>Тепломеханический цех</v>
          </cell>
          <cell r="X109">
            <v>235520.27</v>
          </cell>
          <cell r="Y109">
            <v>56263.301333333329</v>
          </cell>
          <cell r="Z109">
            <v>179256.96866666665</v>
          </cell>
          <cell r="AC109">
            <v>180</v>
          </cell>
        </row>
        <row r="110">
          <cell r="A110" t="str">
            <v>Система охранно-пожарной сигнализации в производственных помещениях ЭЦ ГУП НАО "Нарьян-Марская электростанция"</v>
          </cell>
          <cell r="B110" t="str">
            <v>000001729</v>
          </cell>
          <cell r="C110" t="str">
            <v>ПРОИЗВОДСТВО</v>
          </cell>
          <cell r="D110" t="str">
            <v>Машины и оборудование (кроме офисного)</v>
          </cell>
          <cell r="E110" t="str">
            <v>31.05.2018</v>
          </cell>
          <cell r="F110" t="str">
            <v>Электрический цех</v>
          </cell>
          <cell r="X110">
            <v>41824.660000000003</v>
          </cell>
          <cell r="Y110">
            <v>9991.470666666668</v>
          </cell>
          <cell r="Z110">
            <v>31833.189333333336</v>
          </cell>
          <cell r="AC110">
            <v>180</v>
          </cell>
        </row>
        <row r="111">
          <cell r="A111" t="str">
            <v>Смотровой колодец Копосов ВП</v>
          </cell>
          <cell r="B111" t="str">
            <v>00001233</v>
          </cell>
          <cell r="C111" t="str">
            <v>ПРОИЗВОДСТВО</v>
          </cell>
          <cell r="D111" t="str">
            <v>Сооружения</v>
          </cell>
          <cell r="E111" t="str">
            <v>31.08.2010</v>
          </cell>
          <cell r="F111" t="str">
            <v>Тепломеханический цех</v>
          </cell>
          <cell r="X111">
            <v>56080</v>
          </cell>
          <cell r="Y111">
            <v>25422.52</v>
          </cell>
          <cell r="Z111">
            <v>30657.48</v>
          </cell>
          <cell r="AC111">
            <v>300</v>
          </cell>
        </row>
        <row r="112">
          <cell r="A112" t="str">
            <v>Станок сверлильный 2С125-04</v>
          </cell>
          <cell r="B112" t="str">
            <v>000001517</v>
          </cell>
          <cell r="C112" t="str">
            <v>ПРОИЗВОДСТВО</v>
          </cell>
          <cell r="D112" t="str">
            <v>Машины и оборудование (кроме офисного)</v>
          </cell>
          <cell r="E112" t="str">
            <v>22.03.2013</v>
          </cell>
          <cell r="F112" t="str">
            <v>Тепломеханический цех</v>
          </cell>
          <cell r="X112">
            <v>163516.95000000001</v>
          </cell>
          <cell r="Y112">
            <v>143077.215</v>
          </cell>
          <cell r="Z112">
            <v>20439.735000000015</v>
          </cell>
          <cell r="AC112">
            <v>120</v>
          </cell>
        </row>
        <row r="113">
          <cell r="A113" t="str">
            <v>Стенд из белого пластика ПВХ 6мм. Размер -2050x2400 мм</v>
          </cell>
          <cell r="B113" t="str">
            <v>000001734</v>
          </cell>
          <cell r="C113" t="str">
            <v>ПРОИЗВОДСТВО</v>
          </cell>
          <cell r="D113" t="str">
            <v>Производственный и хозяйственный инвентарь</v>
          </cell>
          <cell r="E113" t="str">
            <v>28.06.2018</v>
          </cell>
          <cell r="F113" t="str">
            <v>Электрический цех</v>
          </cell>
          <cell r="X113">
            <v>49704</v>
          </cell>
          <cell r="Y113">
            <v>34792.799999999996</v>
          </cell>
          <cell r="Z113">
            <v>14911.200000000004</v>
          </cell>
          <cell r="AC113">
            <v>60</v>
          </cell>
        </row>
        <row r="114">
          <cell r="A114" t="str">
            <v>Технолог-кие трубопроводы(маслоподача, КВОУ) 2003г</v>
          </cell>
          <cell r="B114" t="str">
            <v>00000497</v>
          </cell>
          <cell r="C114" t="str">
            <v>ПРОИЗВОДСТВО</v>
          </cell>
          <cell r="D114" t="str">
            <v>Сооружения</v>
          </cell>
          <cell r="E114" t="str">
            <v>01.10.2003</v>
          </cell>
          <cell r="F114" t="str">
            <v>Газотурбинный цех</v>
          </cell>
          <cell r="X114">
            <v>157899.6</v>
          </cell>
          <cell r="Y114">
            <v>143426.5</v>
          </cell>
          <cell r="Z114">
            <v>14473.100000000006</v>
          </cell>
          <cell r="AC114">
            <v>240</v>
          </cell>
        </row>
        <row r="115">
          <cell r="A115" t="str">
            <v>Топливопровод</v>
          </cell>
          <cell r="B115" t="str">
            <v>000001834</v>
          </cell>
          <cell r="C115" t="str">
            <v>ПРОИЗВОДСТВО</v>
          </cell>
          <cell r="D115" t="str">
            <v>Сооружения</v>
          </cell>
          <cell r="E115" t="str">
            <v>30.12.2020</v>
          </cell>
          <cell r="F115" t="str">
            <v>ДЭС п.Красное</v>
          </cell>
          <cell r="X115">
            <v>570753.76</v>
          </cell>
          <cell r="Y115">
            <v>38050.250666666674</v>
          </cell>
          <cell r="Z115">
            <v>532703.50933333335</v>
          </cell>
          <cell r="AC115">
            <v>180</v>
          </cell>
        </row>
        <row r="116">
          <cell r="A116" t="str">
            <v>Топливоразд колонка Ливенка-4110</v>
          </cell>
          <cell r="B116" t="str">
            <v>00001121</v>
          </cell>
          <cell r="C116" t="str">
            <v>ПРОИЗВОДСТВО</v>
          </cell>
          <cell r="D116" t="str">
            <v>Машины и оборудование (кроме офисного)</v>
          </cell>
          <cell r="E116" t="str">
            <v>30.06.2009</v>
          </cell>
          <cell r="F116" t="str">
            <v>Тепломеханический цех</v>
          </cell>
          <cell r="AC116">
            <v>84</v>
          </cell>
        </row>
        <row r="117">
          <cell r="A117" t="str">
            <v>ТП "Амбулатория" п.Красное</v>
          </cell>
          <cell r="B117" t="str">
            <v>000001615</v>
          </cell>
          <cell r="C117" t="str">
            <v>ПРОИЗВОДСТВО</v>
          </cell>
          <cell r="D117" t="str">
            <v>Сооружения</v>
          </cell>
          <cell r="E117" t="str">
            <v>30.04.2014</v>
          </cell>
          <cell r="F117" t="str">
            <v>ДЭС п.Красное</v>
          </cell>
          <cell r="X117">
            <v>2007810.99</v>
          </cell>
          <cell r="Y117">
            <v>769660.9495000001</v>
          </cell>
          <cell r="Z117">
            <v>1238150.0404999999</v>
          </cell>
          <cell r="AC117">
            <v>240</v>
          </cell>
        </row>
        <row r="118">
          <cell r="A118" t="str">
            <v>Трансформатор напряжения НАЛИ-СЭЩ-6-16-0.5/0.5/3Р-75/75/75 У2</v>
          </cell>
          <cell r="B118" t="str">
            <v>000001550</v>
          </cell>
          <cell r="C118" t="str">
            <v>ПРОИЗВОДСТВО</v>
          </cell>
          <cell r="D118" t="str">
            <v>Машины и оборудование (кроме офисного)</v>
          </cell>
          <cell r="E118" t="str">
            <v>30.09.2013</v>
          </cell>
          <cell r="F118" t="str">
            <v>Электрический цех</v>
          </cell>
          <cell r="X118">
            <v>55250</v>
          </cell>
          <cell r="Y118">
            <v>45581.54</v>
          </cell>
          <cell r="Z118">
            <v>9668.4599999999991</v>
          </cell>
          <cell r="AC118">
            <v>120</v>
          </cell>
        </row>
        <row r="119">
          <cell r="A119" t="str">
            <v>Трансформатор Силовой зх-фазный</v>
          </cell>
          <cell r="B119" t="str">
            <v>00001192</v>
          </cell>
          <cell r="C119" t="str">
            <v>ПРОИЗВОДСТВО</v>
          </cell>
          <cell r="D119" t="str">
            <v>Машины и оборудование (кроме офисного)</v>
          </cell>
          <cell r="E119" t="str">
            <v>31.03.2010</v>
          </cell>
          <cell r="F119" t="str">
            <v>Газотурбинный цех</v>
          </cell>
          <cell r="X119">
            <v>957000</v>
          </cell>
          <cell r="Y119">
            <v>562237.5</v>
          </cell>
          <cell r="Z119">
            <v>394762.5</v>
          </cell>
          <cell r="AC119">
            <v>240</v>
          </cell>
        </row>
        <row r="120">
          <cell r="A120" t="str">
            <v>Трансформаторная подстанция, адрес: Ненецкий АО, Заполярный р-н, Красное п, Мира ул</v>
          </cell>
          <cell r="B120" t="str">
            <v>000001721</v>
          </cell>
          <cell r="C120" t="str">
            <v>ПРОИЗВОДСТВО</v>
          </cell>
          <cell r="D120" t="str">
            <v>Здания</v>
          </cell>
          <cell r="E120" t="str">
            <v>03.05.2018</v>
          </cell>
          <cell r="F120" t="str">
            <v>ДЭС п.Красное</v>
          </cell>
          <cell r="X120">
            <v>6691539</v>
          </cell>
          <cell r="Y120">
            <v>959120.59000000008</v>
          </cell>
          <cell r="Z120">
            <v>5732418.4100000001</v>
          </cell>
          <cell r="AC120">
            <v>300</v>
          </cell>
        </row>
        <row r="121">
          <cell r="A121" t="str">
            <v>Третья очередь реконструкции Нарьян-Марской электростанции с разработкой ПСД в г. Нарьян-Маре</v>
          </cell>
          <cell r="B121" t="str">
            <v>000001520</v>
          </cell>
          <cell r="C121" t="str">
            <v>ПРОИЗВОДСТВО</v>
          </cell>
          <cell r="D121" t="str">
            <v>Сооружения</v>
          </cell>
          <cell r="E121" t="str">
            <v>13.03.2013</v>
          </cell>
          <cell r="F121" t="str">
            <v>Электрический цех</v>
          </cell>
          <cell r="Y121">
            <v>106954325.58</v>
          </cell>
          <cell r="Z121">
            <v>76782520.760000005</v>
          </cell>
          <cell r="AC121">
            <v>180</v>
          </cell>
        </row>
        <row r="122">
          <cell r="A122" t="str">
            <v>Устройство ограждения 2007г 120м</v>
          </cell>
          <cell r="B122" t="str">
            <v>00001038</v>
          </cell>
          <cell r="C122" t="str">
            <v>ПРОИЗВОДСТВО</v>
          </cell>
          <cell r="D122" t="str">
            <v>Сооружения</v>
          </cell>
          <cell r="E122" t="str">
            <v>31.07.2007</v>
          </cell>
          <cell r="F122" t="str">
            <v>Тепломеханический цех</v>
          </cell>
          <cell r="X122">
            <v>655887.52</v>
          </cell>
          <cell r="Y122">
            <v>378228.19079999998</v>
          </cell>
          <cell r="Z122">
            <v>277659.32920000004</v>
          </cell>
          <cell r="AC122">
            <v>300</v>
          </cell>
        </row>
        <row r="123">
          <cell r="A123" t="str">
            <v>Устройство ограждения 2008г</v>
          </cell>
          <cell r="B123" t="str">
            <v>00001094</v>
          </cell>
          <cell r="C123" t="str">
            <v>ПРОИЗВОДСТВО</v>
          </cell>
          <cell r="D123" t="str">
            <v>Сооружения</v>
          </cell>
          <cell r="E123" t="str">
            <v>30.09.2008</v>
          </cell>
          <cell r="F123" t="str">
            <v>Тепломеханический цех</v>
          </cell>
          <cell r="X123">
            <v>1101177.48</v>
          </cell>
          <cell r="Y123">
            <v>583623.82920000004</v>
          </cell>
          <cell r="Z123">
            <v>517553.65079999994</v>
          </cell>
          <cell r="AC123">
            <v>300</v>
          </cell>
        </row>
        <row r="124">
          <cell r="A124" t="str">
            <v>Устройство ограждения 2010г</v>
          </cell>
          <cell r="B124" t="str">
            <v>00001228</v>
          </cell>
          <cell r="C124" t="str">
            <v>ПРОИЗВОДСТВО</v>
          </cell>
          <cell r="D124" t="str">
            <v>Сооружения</v>
          </cell>
          <cell r="E124" t="str">
            <v>24.08.2010</v>
          </cell>
          <cell r="F124" t="str">
            <v>Тепломеханический цех</v>
          </cell>
          <cell r="X124">
            <v>2343174</v>
          </cell>
          <cell r="Y124">
            <v>1690539.04</v>
          </cell>
          <cell r="Z124">
            <v>652634.96</v>
          </cell>
          <cell r="AC124">
            <v>300</v>
          </cell>
        </row>
        <row r="125">
          <cell r="A125" t="str">
            <v>Шкаф для инструмента металлический KronVuzBox 1140</v>
          </cell>
          <cell r="B125" t="str">
            <v>000001839</v>
          </cell>
          <cell r="C125" t="str">
            <v>ПРОИЗВОДСТВО</v>
          </cell>
          <cell r="D125" t="str">
            <v>Производственный и хозяйственный инвентарь</v>
          </cell>
          <cell r="E125" t="str">
            <v>15.03.2021</v>
          </cell>
          <cell r="F125" t="str">
            <v>Газотурбинный цех</v>
          </cell>
          <cell r="X125">
            <v>81666.67</v>
          </cell>
          <cell r="Y125">
            <v>4083.3334999999993</v>
          </cell>
          <cell r="Z125">
            <v>77583.336500000005</v>
          </cell>
          <cell r="AC125">
            <v>180</v>
          </cell>
        </row>
        <row r="126">
          <cell r="A126" t="str">
            <v>Шкаф распред устройств  с ячейками КРУ №7</v>
          </cell>
          <cell r="B126" t="str">
            <v>00001202</v>
          </cell>
          <cell r="C126" t="str">
            <v>ПРОИЗВОДСТВО</v>
          </cell>
          <cell r="D126" t="str">
            <v>Машины и оборудование (кроме офисного)</v>
          </cell>
          <cell r="E126" t="str">
            <v>31.03.2010</v>
          </cell>
          <cell r="F126" t="str">
            <v>Газотурбинный цех</v>
          </cell>
          <cell r="X126">
            <v>784644.95</v>
          </cell>
          <cell r="Y126">
            <v>614638.72333333339</v>
          </cell>
          <cell r="Z126">
            <v>170006.22666666657</v>
          </cell>
          <cell r="AC126">
            <v>180</v>
          </cell>
        </row>
        <row r="127">
          <cell r="A127" t="str">
            <v>Шкаф распред устройств с ячейками КРУ  №8</v>
          </cell>
          <cell r="B127" t="str">
            <v>00001203</v>
          </cell>
          <cell r="C127" t="str">
            <v>ПРОИЗВОДСТВО</v>
          </cell>
          <cell r="D127" t="str">
            <v>Машины и оборудование (кроме офисного)</v>
          </cell>
          <cell r="E127" t="str">
            <v>31.03.2010</v>
          </cell>
          <cell r="F127" t="str">
            <v>Газотурбинный цех</v>
          </cell>
          <cell r="X127">
            <v>784644.95</v>
          </cell>
          <cell r="Y127">
            <v>614638.72333333339</v>
          </cell>
          <cell r="Z127">
            <v>170006.22666666657</v>
          </cell>
          <cell r="AC127">
            <v>180</v>
          </cell>
        </row>
        <row r="128">
          <cell r="A128" t="str">
            <v>Шкаф распред устройств с ячейками КРУ №10</v>
          </cell>
          <cell r="B128" t="str">
            <v>00001207</v>
          </cell>
          <cell r="C128" t="str">
            <v>ПРОИЗВОДСТВО</v>
          </cell>
          <cell r="D128" t="str">
            <v>Машины и оборудование (кроме офисного)</v>
          </cell>
          <cell r="E128" t="str">
            <v>31.03.2010</v>
          </cell>
          <cell r="F128" t="str">
            <v>Газотурбинный цех</v>
          </cell>
          <cell r="X128">
            <v>784644.95</v>
          </cell>
          <cell r="Y128">
            <v>614638.72333333339</v>
          </cell>
          <cell r="Z128">
            <v>170006.22666666657</v>
          </cell>
          <cell r="AC128">
            <v>180</v>
          </cell>
        </row>
        <row r="129">
          <cell r="A129" t="str">
            <v>Шкаф распред устройств с ячейками КРУ №11</v>
          </cell>
          <cell r="B129" t="str">
            <v>00001208</v>
          </cell>
          <cell r="C129" t="str">
            <v>ПРОИЗВОДСТВО</v>
          </cell>
          <cell r="D129" t="str">
            <v>Машины и оборудование (кроме офисного)</v>
          </cell>
          <cell r="E129" t="str">
            <v>31.03.2010</v>
          </cell>
          <cell r="F129" t="str">
            <v>Газотурбинный цех</v>
          </cell>
          <cell r="X129">
            <v>784644.95</v>
          </cell>
          <cell r="Y129">
            <v>614638.72333333339</v>
          </cell>
          <cell r="Z129">
            <v>170006.22666666657</v>
          </cell>
          <cell r="AC129">
            <v>180</v>
          </cell>
        </row>
        <row r="130">
          <cell r="A130" t="str">
            <v>Шкаф распред устройств с ячейками КРУ №12</v>
          </cell>
          <cell r="B130" t="str">
            <v>00001209</v>
          </cell>
          <cell r="C130" t="str">
            <v>ПРОИЗВОДСТВО</v>
          </cell>
          <cell r="D130" t="str">
            <v>Машины и оборудование (кроме офисного)</v>
          </cell>
          <cell r="E130" t="str">
            <v>31.03.2010</v>
          </cell>
          <cell r="F130" t="str">
            <v>Газотурбинный цех</v>
          </cell>
          <cell r="X130">
            <v>784644.95</v>
          </cell>
          <cell r="Y130">
            <v>614638.72333333339</v>
          </cell>
          <cell r="Z130">
            <v>170006.22666666657</v>
          </cell>
          <cell r="AC130">
            <v>180</v>
          </cell>
        </row>
        <row r="131">
          <cell r="A131" t="str">
            <v>Шкаф распред устройств с ячейками КРУ №13</v>
          </cell>
          <cell r="B131" t="str">
            <v>00001210</v>
          </cell>
          <cell r="C131" t="str">
            <v>ПРОИЗВОДСТВО</v>
          </cell>
          <cell r="D131" t="str">
            <v>Машины и оборудование (кроме офисного)</v>
          </cell>
          <cell r="E131" t="str">
            <v>31.03.2010</v>
          </cell>
          <cell r="F131" t="str">
            <v>Газотурбинный цех</v>
          </cell>
          <cell r="X131">
            <v>784644.95</v>
          </cell>
          <cell r="Y131">
            <v>614638.72333333339</v>
          </cell>
          <cell r="Z131">
            <v>170006.22666666657</v>
          </cell>
          <cell r="AC131">
            <v>180</v>
          </cell>
        </row>
        <row r="132">
          <cell r="A132" t="str">
            <v>Шкаф распред устройств с ячейками КРУ №14</v>
          </cell>
          <cell r="B132" t="str">
            <v>00001211</v>
          </cell>
          <cell r="C132" t="str">
            <v>ПРОИЗВОДСТВО</v>
          </cell>
          <cell r="D132" t="str">
            <v>Машины и оборудование (кроме офисного)</v>
          </cell>
          <cell r="E132" t="str">
            <v>31.03.2010</v>
          </cell>
          <cell r="F132" t="str">
            <v>Газотурбинный цех</v>
          </cell>
          <cell r="X132">
            <v>784644.95</v>
          </cell>
          <cell r="Y132">
            <v>614638.72333333339</v>
          </cell>
          <cell r="Z132">
            <v>170006.22666666657</v>
          </cell>
          <cell r="AC132">
            <v>180</v>
          </cell>
        </row>
        <row r="133">
          <cell r="A133" t="str">
            <v>Шкаф распред устройств с ячейками КРУ №15</v>
          </cell>
          <cell r="B133" t="str">
            <v>00001212</v>
          </cell>
          <cell r="C133" t="str">
            <v>ПРОИЗВОДСТВО</v>
          </cell>
          <cell r="D133" t="str">
            <v>Машины и оборудование (кроме офисного)</v>
          </cell>
          <cell r="E133" t="str">
            <v>31.03.2010</v>
          </cell>
          <cell r="F133" t="str">
            <v>Газотурбинный цех</v>
          </cell>
          <cell r="X133">
            <v>784644.95</v>
          </cell>
          <cell r="Y133">
            <v>614638.72333333339</v>
          </cell>
          <cell r="Z133">
            <v>170006.22666666657</v>
          </cell>
          <cell r="AC133">
            <v>180</v>
          </cell>
        </row>
        <row r="134">
          <cell r="A134" t="str">
            <v>Шкаф распред устройств с ячейками КРУ №16</v>
          </cell>
          <cell r="B134" t="str">
            <v>00001204</v>
          </cell>
          <cell r="C134" t="str">
            <v>ПРОИЗВОДСТВО</v>
          </cell>
          <cell r="D134" t="str">
            <v>Машины и оборудование (кроме офисного)</v>
          </cell>
          <cell r="E134" t="str">
            <v>31.03.2010</v>
          </cell>
          <cell r="F134" t="str">
            <v>Газотурбинный цех</v>
          </cell>
          <cell r="X134">
            <v>784644.95</v>
          </cell>
          <cell r="Y134">
            <v>614638.72333333339</v>
          </cell>
          <cell r="Z134">
            <v>170006.22666666657</v>
          </cell>
          <cell r="AC134">
            <v>180</v>
          </cell>
        </row>
        <row r="135">
          <cell r="A135" t="str">
            <v>Шкаф распред устройств с ячейками КРУ №17</v>
          </cell>
          <cell r="B135" t="str">
            <v>00001200</v>
          </cell>
          <cell r="C135" t="str">
            <v>ПРОИЗВОДСТВО</v>
          </cell>
          <cell r="D135" t="str">
            <v>Машины и оборудование (кроме офисного)</v>
          </cell>
          <cell r="E135" t="str">
            <v>31.03.2010</v>
          </cell>
          <cell r="F135" t="str">
            <v>Газотурбинный цех</v>
          </cell>
          <cell r="X135">
            <v>784644.95</v>
          </cell>
          <cell r="Y135">
            <v>614638.72333333339</v>
          </cell>
          <cell r="Z135">
            <v>170006.22666666657</v>
          </cell>
          <cell r="AC135">
            <v>180</v>
          </cell>
        </row>
        <row r="136">
          <cell r="A136" t="str">
            <v>Шкаф распред устройств с ячейками КРУ №18</v>
          </cell>
          <cell r="B136" t="str">
            <v>00001213</v>
          </cell>
          <cell r="C136" t="str">
            <v>ПРОИЗВОДСТВО</v>
          </cell>
          <cell r="D136" t="str">
            <v>Машины и оборудование (кроме офисного)</v>
          </cell>
          <cell r="E136" t="str">
            <v>31.03.2010</v>
          </cell>
          <cell r="F136" t="str">
            <v>Газотурбинный цех</v>
          </cell>
          <cell r="X136">
            <v>784644.95</v>
          </cell>
          <cell r="Y136">
            <v>614638.72333333339</v>
          </cell>
          <cell r="Z136">
            <v>170006.22666666657</v>
          </cell>
          <cell r="AC136">
            <v>180</v>
          </cell>
        </row>
        <row r="137">
          <cell r="A137" t="str">
            <v>Шкаф распред устройств с ячейками КРУ №19</v>
          </cell>
          <cell r="B137" t="str">
            <v>00001214</v>
          </cell>
          <cell r="C137" t="str">
            <v>ПРОИЗВОДСТВО</v>
          </cell>
          <cell r="D137" t="str">
            <v>Машины и оборудование (кроме офисного)</v>
          </cell>
          <cell r="E137" t="str">
            <v>31.03.2010</v>
          </cell>
          <cell r="F137" t="str">
            <v>Газотурбинный цех</v>
          </cell>
          <cell r="X137">
            <v>784644.95</v>
          </cell>
          <cell r="Y137">
            <v>614638.72333333339</v>
          </cell>
          <cell r="Z137">
            <v>170006.22666666657</v>
          </cell>
          <cell r="AC137">
            <v>180</v>
          </cell>
        </row>
        <row r="138">
          <cell r="A138" t="str">
            <v>Шкаф распред устройств с ячейками КРУ №20</v>
          </cell>
          <cell r="B138" t="str">
            <v>00001189</v>
          </cell>
          <cell r="C138" t="str">
            <v>ПРОИЗВОДСТВО</v>
          </cell>
          <cell r="D138" t="str">
            <v>Машины и оборудование (кроме офисного)</v>
          </cell>
          <cell r="E138" t="str">
            <v>31.03.2010</v>
          </cell>
          <cell r="F138" t="str">
            <v>Газотурбинный цех</v>
          </cell>
          <cell r="X138">
            <v>784644.95</v>
          </cell>
          <cell r="Y138">
            <v>614638.72333333339</v>
          </cell>
          <cell r="Z138">
            <v>170006.22666666657</v>
          </cell>
          <cell r="AC138">
            <v>180</v>
          </cell>
        </row>
        <row r="139">
          <cell r="A139" t="str">
            <v>Шкаф распред устройств с ячейками КРУ №21</v>
          </cell>
          <cell r="B139" t="str">
            <v>00001215</v>
          </cell>
          <cell r="C139" t="str">
            <v>ПРОИЗВОДСТВО</v>
          </cell>
          <cell r="D139" t="str">
            <v>Машины и оборудование (кроме офисного)</v>
          </cell>
          <cell r="E139" t="str">
            <v>31.03.2010</v>
          </cell>
          <cell r="F139" t="str">
            <v>Газотурбинный цех</v>
          </cell>
          <cell r="X139">
            <v>784644.95</v>
          </cell>
          <cell r="Y139">
            <v>614638.72333333339</v>
          </cell>
          <cell r="Z139">
            <v>170006.22666666657</v>
          </cell>
          <cell r="AC139">
            <v>180</v>
          </cell>
        </row>
        <row r="140">
          <cell r="A140" t="str">
            <v>Шкаф распред устройств с ячейками КРУ №22</v>
          </cell>
          <cell r="B140" t="str">
            <v>00001216</v>
          </cell>
          <cell r="C140" t="str">
            <v>ПРОИЗВОДСТВО</v>
          </cell>
          <cell r="D140" t="str">
            <v>Машины и оборудование (кроме офисного)</v>
          </cell>
          <cell r="E140" t="str">
            <v>31.03.2010</v>
          </cell>
          <cell r="F140" t="str">
            <v>Газотурбинный цех</v>
          </cell>
          <cell r="X140">
            <v>784644.95</v>
          </cell>
          <cell r="Y140">
            <v>614638.72333333339</v>
          </cell>
          <cell r="Z140">
            <v>170006.22666666657</v>
          </cell>
          <cell r="AC140">
            <v>180</v>
          </cell>
        </row>
        <row r="141">
          <cell r="A141" t="str">
            <v>Шкаф распред устройств с ячейками КРУ №23</v>
          </cell>
          <cell r="B141" t="str">
            <v>00001217</v>
          </cell>
          <cell r="C141" t="str">
            <v>ПРОИЗВОДСТВО</v>
          </cell>
          <cell r="D141" t="str">
            <v>Машины и оборудование (кроме офисного)</v>
          </cell>
          <cell r="E141" t="str">
            <v>31.03.2010</v>
          </cell>
          <cell r="F141" t="str">
            <v>Газотурбинный цех</v>
          </cell>
          <cell r="X141">
            <v>784644.95</v>
          </cell>
          <cell r="Y141">
            <v>614638.72333333339</v>
          </cell>
          <cell r="Z141">
            <v>170006.22666666657</v>
          </cell>
          <cell r="AC141">
            <v>180</v>
          </cell>
        </row>
        <row r="142">
          <cell r="A142" t="str">
            <v>Шкаф распред устройств с ячейками КРУ №24</v>
          </cell>
          <cell r="B142" t="str">
            <v>00001218</v>
          </cell>
          <cell r="C142" t="str">
            <v>ПРОИЗВОДСТВО</v>
          </cell>
          <cell r="D142" t="str">
            <v>Машины и оборудование (кроме офисного)</v>
          </cell>
          <cell r="E142" t="str">
            <v>31.03.2010</v>
          </cell>
          <cell r="F142" t="str">
            <v>Газотурбинный цех</v>
          </cell>
          <cell r="X142">
            <v>784644.95</v>
          </cell>
          <cell r="Y142">
            <v>614638.72333333339</v>
          </cell>
          <cell r="Z142">
            <v>170006.22666666657</v>
          </cell>
          <cell r="AC142">
            <v>180</v>
          </cell>
        </row>
        <row r="143">
          <cell r="A143" t="str">
            <v>Шкаф распред устройств с ячейками КРУ №25</v>
          </cell>
          <cell r="B143" t="str">
            <v>00001219</v>
          </cell>
          <cell r="C143" t="str">
            <v>ПРОИЗВОДСТВО</v>
          </cell>
          <cell r="D143" t="str">
            <v>Машины и оборудование (кроме офисного)</v>
          </cell>
          <cell r="E143" t="str">
            <v>31.03.2010</v>
          </cell>
          <cell r="F143" t="str">
            <v>Газотурбинный цех</v>
          </cell>
          <cell r="X143">
            <v>784644.95</v>
          </cell>
          <cell r="Y143">
            <v>614638.72333333339</v>
          </cell>
          <cell r="Z143">
            <v>170006.22666666657</v>
          </cell>
          <cell r="AC143">
            <v>180</v>
          </cell>
        </row>
        <row r="144">
          <cell r="A144" t="str">
            <v>Шкаф распред устройств с ячейками КРУ №5</v>
          </cell>
          <cell r="B144" t="str">
            <v>00001199</v>
          </cell>
          <cell r="C144" t="str">
            <v>ПРОИЗВОДСТВО</v>
          </cell>
          <cell r="D144" t="str">
            <v>Машины и оборудование (кроме офисного)</v>
          </cell>
          <cell r="E144" t="str">
            <v>31.03.2010</v>
          </cell>
          <cell r="F144" t="str">
            <v>Газотурбинный цех</v>
          </cell>
          <cell r="X144">
            <v>784644.95</v>
          </cell>
          <cell r="Y144">
            <v>614638.72333333339</v>
          </cell>
          <cell r="Z144">
            <v>170006.22666666657</v>
          </cell>
          <cell r="AC144">
            <v>180</v>
          </cell>
        </row>
        <row r="145">
          <cell r="A145" t="str">
            <v>Шкаф распред устройств с ячейками КРУ №6</v>
          </cell>
          <cell r="B145" t="str">
            <v>00001201</v>
          </cell>
          <cell r="C145" t="str">
            <v>ПРОИЗВОДСТВО</v>
          </cell>
          <cell r="D145" t="str">
            <v>Машины и оборудование (кроме офисного)</v>
          </cell>
          <cell r="E145" t="str">
            <v>31.03.2010</v>
          </cell>
          <cell r="F145" t="str">
            <v>Газотурбинный цех</v>
          </cell>
          <cell r="X145">
            <v>784644.95</v>
          </cell>
          <cell r="Y145">
            <v>614638.72333333339</v>
          </cell>
          <cell r="Z145">
            <v>170006.22666666657</v>
          </cell>
          <cell r="AC145">
            <v>180</v>
          </cell>
        </row>
        <row r="146">
          <cell r="A146" t="str">
            <v>Шкаф распред устройств с ячейками КРУ №9</v>
          </cell>
          <cell r="B146" t="str">
            <v>00001206</v>
          </cell>
          <cell r="C146" t="str">
            <v>ПРОИЗВОДСТВО</v>
          </cell>
          <cell r="D146" t="str">
            <v>Машины и оборудование (кроме офисного)</v>
          </cell>
          <cell r="E146" t="str">
            <v>31.03.2010</v>
          </cell>
          <cell r="F146" t="str">
            <v>Газотурбинный цех</v>
          </cell>
          <cell r="X146">
            <v>784644.95</v>
          </cell>
          <cell r="Y146">
            <v>614638.72333333339</v>
          </cell>
          <cell r="Z146">
            <v>170006.22666666657</v>
          </cell>
          <cell r="AC146">
            <v>180</v>
          </cell>
        </row>
        <row r="147">
          <cell r="A147" t="str">
            <v>Электродвигатель ВА200LB4FБУ2.5 380 зв.6в IM1001po IP55V Ч КР146-05 К/247сл</v>
          </cell>
          <cell r="B147" t="str">
            <v>000001420</v>
          </cell>
          <cell r="C147" t="str">
            <v>ПРОИЗВОДСТВО</v>
          </cell>
          <cell r="D147" t="str">
            <v>Машины и оборудование (кроме офисного)</v>
          </cell>
          <cell r="E147" t="str">
            <v>30.06.2012</v>
          </cell>
          <cell r="F147" t="str">
            <v>Газотурбинный цех</v>
          </cell>
          <cell r="X147">
            <v>137811.01</v>
          </cell>
          <cell r="Y147">
            <v>130920.961</v>
          </cell>
          <cell r="Z147">
            <v>6890.0490000000136</v>
          </cell>
          <cell r="AC147">
            <v>120</v>
          </cell>
        </row>
        <row r="148">
          <cell r="A148" t="str">
            <v>Электродвигатель ВАО2-315М-2, У2,5, 1ExdIBT4, 250 кВт, 3000 об/мин, 380/660В, IM1001</v>
          </cell>
          <cell r="B148" t="str">
            <v>000001539</v>
          </cell>
          <cell r="C148" t="str">
            <v>ПРОИЗВОДСТВО</v>
          </cell>
          <cell r="D148" t="str">
            <v>Машины и оборудование (кроме офисного)</v>
          </cell>
          <cell r="E148" t="str">
            <v>31.08.2013</v>
          </cell>
          <cell r="F148" t="str">
            <v>Газотурбинный цех</v>
          </cell>
          <cell r="X148">
            <v>410338.98</v>
          </cell>
          <cell r="Y148">
            <v>37614.40649999999</v>
          </cell>
          <cell r="Z148">
            <v>68389.962</v>
          </cell>
          <cell r="AC148">
            <v>120</v>
          </cell>
        </row>
        <row r="149">
          <cell r="A149" t="str">
            <v>Электронасос типа КМ 100-80-160-5 15кВт</v>
          </cell>
          <cell r="B149" t="str">
            <v>000001809</v>
          </cell>
          <cell r="C149" t="str">
            <v>ПРОИЗВОДСТВО</v>
          </cell>
          <cell r="D149" t="str">
            <v>Машины и оборудование (кроме офисного)</v>
          </cell>
          <cell r="E149" t="str">
            <v>04.06.2020</v>
          </cell>
          <cell r="F149" t="str">
            <v>Тепломеханический цех</v>
          </cell>
          <cell r="X149">
            <v>81458.27</v>
          </cell>
          <cell r="Y149">
            <v>12218.747000000003</v>
          </cell>
          <cell r="Z149">
            <v>69239.523000000001</v>
          </cell>
          <cell r="AC149">
            <v>120</v>
          </cell>
        </row>
        <row r="150">
          <cell r="A150" t="str">
            <v>Электростанция  1955г.</v>
          </cell>
          <cell r="B150" t="str">
            <v>00000275</v>
          </cell>
          <cell r="C150" t="str">
            <v>ПРОИЗВОДСТВО</v>
          </cell>
          <cell r="D150" t="str">
            <v>Здания</v>
          </cell>
          <cell r="E150" t="str">
            <v>31.01.1955</v>
          </cell>
          <cell r="F150" t="str">
            <v>Тепломеханический цех</v>
          </cell>
          <cell r="X150">
            <v>10070046.470000001</v>
          </cell>
          <cell r="AC150">
            <v>996</v>
          </cell>
        </row>
        <row r="151">
          <cell r="A151" t="str">
            <v>Ячейка генераторного выключателя КРУ СЭЩ-70</v>
          </cell>
          <cell r="B151" t="str">
            <v>000001652</v>
          </cell>
          <cell r="C151" t="str">
            <v>ПРОИЗВОДСТВО</v>
          </cell>
          <cell r="D151" t="str">
            <v>Машины и оборудование (кроме офисного)</v>
          </cell>
          <cell r="E151" t="str">
            <v>31.01.2015</v>
          </cell>
          <cell r="F151" t="str">
            <v>Газотурбинный цех</v>
          </cell>
          <cell r="X151">
            <v>2852111.23</v>
          </cell>
          <cell r="Y151">
            <v>1315140.0086666667</v>
          </cell>
          <cell r="Z151">
            <v>1536971.2213333333</v>
          </cell>
          <cell r="AC151">
            <v>180</v>
          </cell>
        </row>
        <row r="152">
          <cell r="A152" t="str">
            <v>Ячейка КСО-СЭЩ №1</v>
          </cell>
          <cell r="B152" t="str">
            <v>00001058</v>
          </cell>
          <cell r="C152" t="str">
            <v>ПРОИЗВОДСТВО</v>
          </cell>
          <cell r="D152" t="str">
            <v>Машины и оборудование (кроме офисного)</v>
          </cell>
          <cell r="E152" t="str">
            <v>30.11.2007</v>
          </cell>
          <cell r="F152" t="str">
            <v>Электрический цех</v>
          </cell>
          <cell r="X152">
            <v>294426.43</v>
          </cell>
          <cell r="Y152">
            <v>276433.32866666664</v>
          </cell>
          <cell r="Z152">
            <v>17993.101333333354</v>
          </cell>
          <cell r="AC152">
            <v>180</v>
          </cell>
        </row>
        <row r="153">
          <cell r="A153" t="str">
            <v>Ячейка КСО-СЭЩ №2</v>
          </cell>
          <cell r="B153" t="str">
            <v>00001059</v>
          </cell>
          <cell r="C153" t="str">
            <v>ПРОИЗВОДСТВО</v>
          </cell>
          <cell r="D153" t="str">
            <v>Машины и оборудование (кроме офисного)</v>
          </cell>
          <cell r="E153" t="str">
            <v>30.11.2007</v>
          </cell>
          <cell r="F153" t="str">
            <v>Электрический цех</v>
          </cell>
          <cell r="X153">
            <v>294426.43</v>
          </cell>
          <cell r="Y153">
            <v>276433.32866666664</v>
          </cell>
          <cell r="Z153">
            <v>17993.101333333354</v>
          </cell>
          <cell r="AC153">
            <v>180</v>
          </cell>
        </row>
        <row r="154">
          <cell r="A154" t="str">
            <v>Ячейка КСО-СЭЩ №3</v>
          </cell>
          <cell r="B154" t="str">
            <v>00001060</v>
          </cell>
          <cell r="C154" t="str">
            <v>ПРОИЗВОДСТВО</v>
          </cell>
          <cell r="D154" t="str">
            <v>Машины и оборудование (кроме офисного)</v>
          </cell>
          <cell r="E154" t="str">
            <v>30.11.2007</v>
          </cell>
          <cell r="F154" t="str">
            <v>Электрический цех</v>
          </cell>
          <cell r="X154">
            <v>294426.40999999997</v>
          </cell>
          <cell r="Y154">
            <v>276433.32733333332</v>
          </cell>
          <cell r="Z154">
            <v>17993.082666666654</v>
          </cell>
          <cell r="AC154">
            <v>180</v>
          </cell>
        </row>
        <row r="155">
          <cell r="A155" t="str">
            <v>Ячейка КСО-СЭЩ №4</v>
          </cell>
          <cell r="B155" t="str">
            <v>00001061</v>
          </cell>
          <cell r="C155" t="str">
            <v>ПРОИЗВОДСТВО</v>
          </cell>
          <cell r="D155" t="str">
            <v>Машины и оборудование (кроме офисного)</v>
          </cell>
          <cell r="E155" t="str">
            <v>30.11.2007</v>
          </cell>
          <cell r="F155" t="str">
            <v>Электрический цех</v>
          </cell>
          <cell r="X155">
            <v>294426.43</v>
          </cell>
          <cell r="Y155">
            <v>276433.32866666664</v>
          </cell>
          <cell r="Z155">
            <v>17993.101333333354</v>
          </cell>
          <cell r="AC155">
            <v>180</v>
          </cell>
        </row>
        <row r="156">
          <cell r="A156" t="str">
            <v>Ячейка трансформатора напряжения КРУ СЭЩ-70</v>
          </cell>
          <cell r="B156" t="str">
            <v>000001653</v>
          </cell>
          <cell r="C156" t="str">
            <v>ПРОИЗВОДСТВО</v>
          </cell>
          <cell r="D156" t="str">
            <v>Машины и оборудование (кроме офисного)</v>
          </cell>
          <cell r="E156" t="str">
            <v>31.01.2015</v>
          </cell>
          <cell r="F156" t="str">
            <v>Газотурбинный цех</v>
          </cell>
          <cell r="X156">
            <v>2276497.89</v>
          </cell>
          <cell r="Y156">
            <v>1049718.436</v>
          </cell>
          <cell r="Z156">
            <v>1226779.4540000001</v>
          </cell>
          <cell r="AC156">
            <v>180</v>
          </cell>
        </row>
        <row r="157">
          <cell r="A157" t="str">
            <v>ПЕРЕДАЧА</v>
          </cell>
          <cell r="X157">
            <v>726749251.03999937</v>
          </cell>
          <cell r="Y157">
            <v>227987709.58124548</v>
          </cell>
          <cell r="Z157">
            <v>499031356.10567158</v>
          </cell>
        </row>
        <row r="158">
          <cell r="A158" t="str">
            <v>*- Н/в каб ТП20 до РКЦ l=117м ТП10 до РКЦ l=351,5м</v>
          </cell>
          <cell r="B158" t="str">
            <v>00000443</v>
          </cell>
          <cell r="C158" t="str">
            <v>ПЕРЕДАЧА</v>
          </cell>
          <cell r="D158" t="str">
            <v>Сооружения</v>
          </cell>
          <cell r="E158" t="str">
            <v>28.02.2002</v>
          </cell>
          <cell r="F158" t="str">
            <v>Цех электрических сетей</v>
          </cell>
          <cell r="X158">
            <v>270473</v>
          </cell>
          <cell r="Y158">
            <v>212486.411980198</v>
          </cell>
          <cell r="Z158">
            <v>57986.588019802002</v>
          </cell>
          <cell r="AC158">
            <v>303</v>
          </cell>
        </row>
        <row r="159">
          <cell r="A159" t="str">
            <v>1-я кабельная линия КЛ-6кВ 2007г</v>
          </cell>
          <cell r="B159" t="str">
            <v>00001032</v>
          </cell>
          <cell r="C159" t="str">
            <v>ПЕРЕДАЧА</v>
          </cell>
          <cell r="D159" t="str">
            <v>Сооружения</v>
          </cell>
          <cell r="E159" t="str">
            <v>30.04.2007</v>
          </cell>
          <cell r="F159" t="str">
            <v>Цех электрических сетей</v>
          </cell>
          <cell r="X159">
            <v>16516336.91</v>
          </cell>
          <cell r="Y159">
            <v>9689584.9164000005</v>
          </cell>
          <cell r="Z159">
            <v>6826751.9935999997</v>
          </cell>
          <cell r="AC159">
            <v>300</v>
          </cell>
        </row>
        <row r="160">
          <cell r="A160" t="str">
            <v>2КТПБ 1000/6/0,4-УХЛ1  №104 по ул. Авиаторов в районе котельной</v>
          </cell>
          <cell r="B160" t="str">
            <v>000001607</v>
          </cell>
          <cell r="C160" t="str">
            <v>ПЕРЕДАЧА</v>
          </cell>
          <cell r="D160" t="str">
            <v>Сооружения</v>
          </cell>
          <cell r="E160" t="str">
            <v>31.01.2014</v>
          </cell>
          <cell r="F160" t="str">
            <v>Цех электрических сетей</v>
          </cell>
          <cell r="X160">
            <v>6071038.6600000001</v>
          </cell>
          <cell r="Y160">
            <v>2400729.9230000004</v>
          </cell>
          <cell r="Z160">
            <v>3670308.7369999997</v>
          </cell>
          <cell r="AC160">
            <v>240</v>
          </cell>
        </row>
        <row r="161">
          <cell r="A161" t="str">
            <v>2КТПБ 1000/6/0,4-УХЛ1  №105 по ул. Авиаторов в районе жилых домов</v>
          </cell>
          <cell r="B161" t="str">
            <v>000001608</v>
          </cell>
          <cell r="C161" t="str">
            <v>ПЕРЕДАЧА</v>
          </cell>
          <cell r="D161" t="str">
            <v>Сооружения</v>
          </cell>
          <cell r="E161" t="str">
            <v>31.01.2014</v>
          </cell>
          <cell r="F161" t="str">
            <v>Цех электрических сетей</v>
          </cell>
          <cell r="X161">
            <v>6351899.04</v>
          </cell>
          <cell r="Y161">
            <v>2509564.0019999999</v>
          </cell>
          <cell r="Z161">
            <v>3842335.0380000002</v>
          </cell>
          <cell r="AC161">
            <v>240</v>
          </cell>
        </row>
        <row r="162">
          <cell r="A162" t="str">
            <v>2-я кабельная линия КЛ-6кВ 2007г</v>
          </cell>
          <cell r="B162" t="str">
            <v>00001033</v>
          </cell>
          <cell r="C162" t="str">
            <v>ПЕРЕДАЧА</v>
          </cell>
          <cell r="D162" t="str">
            <v>Сооружения</v>
          </cell>
          <cell r="E162" t="str">
            <v>30.04.2007</v>
          </cell>
          <cell r="F162" t="str">
            <v>Цех электрических сетей</v>
          </cell>
          <cell r="X162">
            <v>16516336.92</v>
          </cell>
          <cell r="Y162">
            <v>9689584.9167999998</v>
          </cell>
          <cell r="Z162">
            <v>6826752.0032000002</v>
          </cell>
          <cell r="AC162">
            <v>300</v>
          </cell>
        </row>
        <row r="163">
          <cell r="A163" t="str">
            <v>Автомашина ЗИЛ-131</v>
          </cell>
          <cell r="B163" t="str">
            <v>00000593</v>
          </cell>
          <cell r="C163" t="str">
            <v>ПЕРЕДАЧА</v>
          </cell>
          <cell r="D163" t="str">
            <v>Транспортные средства</v>
          </cell>
          <cell r="E163" t="str">
            <v>08.04.2002</v>
          </cell>
          <cell r="F163" t="str">
            <v>Автотранспортный цех</v>
          </cell>
          <cell r="AC163">
            <v>84</v>
          </cell>
        </row>
        <row r="164">
          <cell r="A164" t="str">
            <v>Автомобиль бортовой с г/м Чайка-Сервис 2784LW (КМУ Taurus 086A (сер.№А17К042) на базе, а/м КАМАЗ-43118) ш.ХТС431184Н2502321</v>
          </cell>
          <cell r="B164" t="str">
            <v>000001725</v>
          </cell>
          <cell r="C164" t="str">
            <v>ПЕРЕДАЧА</v>
          </cell>
          <cell r="D164" t="str">
            <v>Транспортные средства</v>
          </cell>
          <cell r="E164" t="str">
            <v>29.05.2018</v>
          </cell>
          <cell r="F164" t="str">
            <v>Автотранспортный цех</v>
          </cell>
          <cell r="X164">
            <v>6429403.6699999999</v>
          </cell>
          <cell r="Y164">
            <v>2303869.5269999998</v>
          </cell>
          <cell r="Z164">
            <v>4125534.1430000002</v>
          </cell>
          <cell r="AC164">
            <v>120</v>
          </cell>
        </row>
        <row r="165">
          <cell r="A165" t="str">
            <v>Автомобиль ГАЗ-27527 грузовой фургон цельнометалический (7 мест) VIN: X96275270K0869981</v>
          </cell>
          <cell r="B165" t="str">
            <v>000001758</v>
          </cell>
          <cell r="C165" t="str">
            <v>ПЕРЕДАЧА</v>
          </cell>
          <cell r="D165" t="str">
            <v>Транспортные средства</v>
          </cell>
          <cell r="E165" t="str">
            <v>27.03.2019</v>
          </cell>
          <cell r="F165" t="str">
            <v>Автотранспортный цех</v>
          </cell>
          <cell r="X165">
            <v>890058.33</v>
          </cell>
          <cell r="Y165">
            <v>349665.72</v>
          </cell>
          <cell r="Z165">
            <v>540392.61</v>
          </cell>
          <cell r="AC165">
            <v>84</v>
          </cell>
        </row>
        <row r="166">
          <cell r="A166" t="str">
            <v>Автомобиль ГАЗ-27527 грузовой фургон цельнометалический (7 мест) VIN: X96275270K0870291</v>
          </cell>
          <cell r="B166" t="str">
            <v>000001760</v>
          </cell>
          <cell r="C166" t="str">
            <v>ПЕРЕДАЧА</v>
          </cell>
          <cell r="D166" t="str">
            <v>Транспортные средства</v>
          </cell>
          <cell r="E166" t="str">
            <v>27.03.2019</v>
          </cell>
          <cell r="F166" t="str">
            <v>Автотранспортный цех</v>
          </cell>
          <cell r="X166">
            <v>890058.33</v>
          </cell>
          <cell r="Y166">
            <v>349665.72</v>
          </cell>
          <cell r="Z166">
            <v>540392.61</v>
          </cell>
          <cell r="AC166">
            <v>84</v>
          </cell>
        </row>
        <row r="167">
          <cell r="A167" t="str">
            <v>Автомобиль ГАЗ-27527 грузовой фургон цельнометалический (7 мест) VIN: X96275270K0870721</v>
          </cell>
          <cell r="B167" t="str">
            <v>000001759</v>
          </cell>
          <cell r="C167" t="str">
            <v>ПЕРЕДАЧА</v>
          </cell>
          <cell r="D167" t="str">
            <v>Транспортные средства</v>
          </cell>
          <cell r="E167" t="str">
            <v>27.03.2019</v>
          </cell>
          <cell r="F167" t="str">
            <v>Автотранспортный цех</v>
          </cell>
          <cell r="X167">
            <v>890058.33</v>
          </cell>
          <cell r="Y167">
            <v>349665.72</v>
          </cell>
          <cell r="Z167">
            <v>540392.61</v>
          </cell>
          <cell r="AC167">
            <v>84</v>
          </cell>
        </row>
        <row r="168">
          <cell r="A168" t="str">
            <v>Автоподъемник АП-17А-07 2004г</v>
          </cell>
          <cell r="B168" t="str">
            <v>00000750</v>
          </cell>
          <cell r="C168" t="str">
            <v>ПЕРЕДАЧА</v>
          </cell>
          <cell r="D168" t="str">
            <v>Транспортные средства</v>
          </cell>
          <cell r="E168" t="str">
            <v>31.07.2004</v>
          </cell>
          <cell r="F168" t="str">
            <v>Автотранспортный цех</v>
          </cell>
          <cell r="AC168">
            <v>120</v>
          </cell>
        </row>
        <row r="169">
          <cell r="A169" t="str">
            <v>АП АГП-18 АМ 0451/61  1998г.</v>
          </cell>
          <cell r="B169" t="str">
            <v>00000028</v>
          </cell>
          <cell r="C169" t="str">
            <v>ПЕРЕДАЧА</v>
          </cell>
          <cell r="D169" t="str">
            <v>Транспортные средства</v>
          </cell>
          <cell r="E169" t="str">
            <v>30.09.1998</v>
          </cell>
          <cell r="F169" t="str">
            <v>Автотранспортный цех</v>
          </cell>
          <cell r="AC169">
            <v>84</v>
          </cell>
        </row>
        <row r="170">
          <cell r="A170" t="str">
            <v>Блок МПЗ SEPAM 1000+ S42 зав.19132637</v>
          </cell>
          <cell r="B170" t="str">
            <v>000001776</v>
          </cell>
          <cell r="C170" t="str">
            <v>ПЕРЕДАЧА</v>
          </cell>
          <cell r="D170" t="str">
            <v>Машины и оборудование (кроме офисного)</v>
          </cell>
          <cell r="E170" t="str">
            <v>30.07.2019</v>
          </cell>
          <cell r="F170" t="str">
            <v>Цех электрических сетей</v>
          </cell>
          <cell r="X170">
            <v>227204.17</v>
          </cell>
          <cell r="Y170">
            <v>27453.768500000002</v>
          </cell>
          <cell r="Z170">
            <v>199750.40150000001</v>
          </cell>
          <cell r="AC170">
            <v>240</v>
          </cell>
        </row>
        <row r="171">
          <cell r="A171" t="str">
            <v>Вводной щит ЩО-70-2-34УЗ</v>
          </cell>
          <cell r="B171" t="str">
            <v>000001488</v>
          </cell>
          <cell r="C171" t="str">
            <v>ПЕРЕДАЧА</v>
          </cell>
          <cell r="D171" t="str">
            <v>Машины и оборудование (кроме офисного)</v>
          </cell>
          <cell r="E171" t="str">
            <v>24.09.2012</v>
          </cell>
          <cell r="F171" t="str">
            <v>Цех электрических сетей</v>
          </cell>
          <cell r="X171">
            <v>83983.05</v>
          </cell>
          <cell r="Y171">
            <v>51789.3</v>
          </cell>
          <cell r="Z171">
            <v>32193.75</v>
          </cell>
          <cell r="AC171">
            <v>180</v>
          </cell>
        </row>
        <row r="172">
          <cell r="A172" t="str">
            <v>Верстак 3200х700х860 (нагрузка 300кг)</v>
          </cell>
          <cell r="B172" t="str">
            <v>000001733</v>
          </cell>
          <cell r="C172" t="str">
            <v>ПЕРЕДАЧА</v>
          </cell>
          <cell r="D172" t="str">
            <v>Производственный и хозяйственный инвентарь</v>
          </cell>
          <cell r="E172" t="str">
            <v>26.06.2018</v>
          </cell>
          <cell r="F172" t="str">
            <v>Цех электрических сетей</v>
          </cell>
          <cell r="X172">
            <v>133833.32999999999</v>
          </cell>
          <cell r="Y172">
            <v>31227.822</v>
          </cell>
          <cell r="Z172">
            <v>102605.50799999999</v>
          </cell>
          <cell r="AC172">
            <v>180</v>
          </cell>
        </row>
        <row r="173">
          <cell r="A173" t="str">
            <v>ВЛ *- Воздушные ЛЭП п Факел 1996г.  1500м</v>
          </cell>
          <cell r="B173" t="str">
            <v>00000182</v>
          </cell>
          <cell r="C173" t="str">
            <v>ПЕРЕДАЧА</v>
          </cell>
          <cell r="D173" t="str">
            <v>Сооружения</v>
          </cell>
          <cell r="E173" t="str">
            <v>01.04.1996</v>
          </cell>
          <cell r="F173" t="str">
            <v>Цех электрических сетей</v>
          </cell>
          <cell r="X173">
            <v>797219</v>
          </cell>
          <cell r="Y173">
            <v>665678.54</v>
          </cell>
          <cell r="Z173">
            <v>131540.45999999996</v>
          </cell>
          <cell r="AC173">
            <v>300</v>
          </cell>
        </row>
        <row r="174">
          <cell r="A174" t="str">
            <v>ВЛ 0,4 кВ от ТП-7 "Столовая" фидер "Первомайская 1"</v>
          </cell>
          <cell r="B174" t="str">
            <v>000001780</v>
          </cell>
          <cell r="C174" t="str">
            <v>ПЕРЕДАЧА</v>
          </cell>
          <cell r="D174" t="str">
            <v>Сооружения</v>
          </cell>
          <cell r="E174" t="str">
            <v>11.10.2019</v>
          </cell>
          <cell r="F174" t="str">
            <v>Цех электрических сетей</v>
          </cell>
          <cell r="X174">
            <v>1948429.72</v>
          </cell>
          <cell r="Y174">
            <v>105539.96299999999</v>
          </cell>
          <cell r="Z174">
            <v>1842889.757</v>
          </cell>
          <cell r="AC174">
            <v>480</v>
          </cell>
        </row>
        <row r="175">
          <cell r="A175" t="str">
            <v>ВЛ- Воздушные ЛЭП-0,4 кв 1996г</v>
          </cell>
          <cell r="B175" t="str">
            <v>00000184</v>
          </cell>
          <cell r="C175" t="str">
            <v>ПЕРЕДАЧА</v>
          </cell>
          <cell r="D175" t="str">
            <v>Сооружения</v>
          </cell>
          <cell r="E175" t="str">
            <v>01.01.1996</v>
          </cell>
          <cell r="F175" t="str">
            <v>Цех электрических сетей</v>
          </cell>
          <cell r="X175">
            <v>256010.16</v>
          </cell>
          <cell r="Y175">
            <v>87382.180000000008</v>
          </cell>
          <cell r="Z175">
            <v>168627.97999999998</v>
          </cell>
          <cell r="AC175">
            <v>524</v>
          </cell>
        </row>
        <row r="176">
          <cell r="A176" t="str">
            <v>ВЛ Воздушные ЛЭП-6 кв Угольная  1976г.</v>
          </cell>
          <cell r="B176" t="str">
            <v>00000183</v>
          </cell>
          <cell r="C176" t="str">
            <v>ПЕРЕДАЧА</v>
          </cell>
          <cell r="D176" t="str">
            <v>Сооружения</v>
          </cell>
          <cell r="E176" t="str">
            <v>01.01.1976</v>
          </cell>
          <cell r="F176" t="str">
            <v>Цех электрических сетей</v>
          </cell>
          <cell r="X176">
            <v>14935</v>
          </cell>
          <cell r="Y176">
            <v>12918.42</v>
          </cell>
          <cell r="Z176">
            <v>2016.58</v>
          </cell>
          <cell r="AC176">
            <v>300</v>
          </cell>
        </row>
        <row r="177">
          <cell r="A177" t="str">
            <v>ВЛ наружные сети ВЛ-6 кв п Искат  1997г.</v>
          </cell>
          <cell r="B177" t="str">
            <v>00000186</v>
          </cell>
          <cell r="C177" t="str">
            <v>ПЕРЕДАЧА</v>
          </cell>
          <cell r="D177" t="str">
            <v>Сооружения</v>
          </cell>
          <cell r="E177" t="str">
            <v>01.12.1997</v>
          </cell>
          <cell r="F177" t="str">
            <v>Цех электрических сетей</v>
          </cell>
          <cell r="X177">
            <v>184877</v>
          </cell>
          <cell r="Y177">
            <v>155771.46</v>
          </cell>
          <cell r="Z177">
            <v>29105.540000000008</v>
          </cell>
          <cell r="AC177">
            <v>300</v>
          </cell>
        </row>
        <row r="178">
          <cell r="A178" t="str">
            <v>ВЛ-0,4 КВ 1800м на дер опоре  ул Монт 1998г</v>
          </cell>
          <cell r="B178" t="str">
            <v>00000255</v>
          </cell>
          <cell r="C178" t="str">
            <v>ПЕРЕДАЧА</v>
          </cell>
          <cell r="D178" t="str">
            <v>Сооружения</v>
          </cell>
          <cell r="E178" t="str">
            <v>01.09.1998</v>
          </cell>
          <cell r="F178" t="str">
            <v>Цех электрических сетей</v>
          </cell>
          <cell r="X178">
            <v>858676.65</v>
          </cell>
          <cell r="Y178">
            <v>270802.40000000002</v>
          </cell>
          <cell r="Z178">
            <v>587874.25</v>
          </cell>
          <cell r="AC178">
            <v>444</v>
          </cell>
        </row>
        <row r="179">
          <cell r="A179" t="str">
            <v>ВЛ-0,4 кВ от ТП-61 "Поликлиника" фидер "Губкина 16"</v>
          </cell>
          <cell r="B179" t="str">
            <v>000001826</v>
          </cell>
          <cell r="C179" t="str">
            <v>ПЕРЕДАЧА</v>
          </cell>
          <cell r="D179" t="str">
            <v>Сооружения</v>
          </cell>
          <cell r="E179" t="str">
            <v>04.12.2020</v>
          </cell>
          <cell r="F179" t="str">
            <v>Цех электрических сетей</v>
          </cell>
          <cell r="X179">
            <v>1251674.82</v>
          </cell>
          <cell r="Y179">
            <v>31291.870500000001</v>
          </cell>
          <cell r="Z179">
            <v>1220382.9495000001</v>
          </cell>
          <cell r="AC179">
            <v>480</v>
          </cell>
        </row>
        <row r="180">
          <cell r="A180" t="str">
            <v>ВЛ-0,4 кВ р-н ул.Первомайская, д.8  160м</v>
          </cell>
          <cell r="B180" t="str">
            <v>00001360</v>
          </cell>
          <cell r="C180" t="str">
            <v>ПЕРЕДАЧА</v>
          </cell>
          <cell r="D180" t="str">
            <v>Сооружения</v>
          </cell>
          <cell r="E180" t="str">
            <v>30.06.2011</v>
          </cell>
          <cell r="F180" t="str">
            <v>Цех электрических сетей</v>
          </cell>
          <cell r="X180">
            <v>141175.79</v>
          </cell>
          <cell r="Y180">
            <v>43434.34</v>
          </cell>
          <cell r="Z180">
            <v>97741.450000000012</v>
          </cell>
          <cell r="AC180">
            <v>398</v>
          </cell>
        </row>
        <row r="181">
          <cell r="A181" t="str">
            <v>ВЛ-0,4кВ "Малый Качгорт"</v>
          </cell>
          <cell r="B181" t="str">
            <v>000001698</v>
          </cell>
          <cell r="C181" t="str">
            <v>ПЕРЕДАЧА</v>
          </cell>
          <cell r="D181" t="str">
            <v>Сооружения</v>
          </cell>
          <cell r="E181" t="str">
            <v>09.12.2016</v>
          </cell>
          <cell r="F181" t="str">
            <v>Цех электрических сетей</v>
          </cell>
          <cell r="X181">
            <v>246467.05</v>
          </cell>
          <cell r="Y181">
            <v>82155.616666666654</v>
          </cell>
          <cell r="Z181">
            <v>164311.43333333335</v>
          </cell>
          <cell r="AC181">
            <v>180</v>
          </cell>
        </row>
        <row r="182">
          <cell r="A182" t="str">
            <v>ВЛ-0,4кВ (от ТП Бондарная до очистных) 240м</v>
          </cell>
          <cell r="B182" t="str">
            <v>00001225</v>
          </cell>
          <cell r="C182" t="str">
            <v>ПЕРЕДАЧА</v>
          </cell>
          <cell r="D182" t="str">
            <v>Сооружения</v>
          </cell>
          <cell r="E182" t="str">
            <v>30.06.2010</v>
          </cell>
          <cell r="F182" t="str">
            <v>Цех электрических сетей</v>
          </cell>
          <cell r="X182">
            <v>511357.63</v>
          </cell>
          <cell r="Y182">
            <v>180397.62</v>
          </cell>
          <cell r="Z182">
            <v>330960.01</v>
          </cell>
          <cell r="AC182">
            <v>410</v>
          </cell>
        </row>
        <row r="183">
          <cell r="A183" t="str">
            <v>ВЛ-0,4кВ от ТП22 "Поселок РБК", г.Нарьян-Мар, Ненецкий автономный округ</v>
          </cell>
          <cell r="B183" t="str">
            <v>000001829</v>
          </cell>
          <cell r="C183" t="str">
            <v>ПЕРЕДАЧА</v>
          </cell>
          <cell r="D183" t="str">
            <v>Сооружения</v>
          </cell>
          <cell r="E183" t="str">
            <v>30.12.2020</v>
          </cell>
          <cell r="F183" t="str">
            <v>Цех электрических сетей</v>
          </cell>
          <cell r="X183">
            <v>11037518.26</v>
          </cell>
          <cell r="Y183">
            <v>275937.95650000003</v>
          </cell>
          <cell r="Z183">
            <v>10761580.3035</v>
          </cell>
          <cell r="AC183">
            <v>480</v>
          </cell>
        </row>
        <row r="184">
          <cell r="A184" t="str">
            <v>ВЛ-6кВ "Малый Качгорт"</v>
          </cell>
          <cell r="B184" t="str">
            <v>000001696</v>
          </cell>
          <cell r="C184" t="str">
            <v>ПЕРЕДАЧА</v>
          </cell>
          <cell r="D184" t="str">
            <v>Сооружения</v>
          </cell>
          <cell r="E184" t="str">
            <v>09.12.2016</v>
          </cell>
          <cell r="F184" t="str">
            <v>Цех электрических сетей</v>
          </cell>
          <cell r="X184">
            <v>438055.37</v>
          </cell>
          <cell r="Y184">
            <v>146018.41133333332</v>
          </cell>
          <cell r="Z184">
            <v>292036.95866666664</v>
          </cell>
          <cell r="AC184">
            <v>180</v>
          </cell>
        </row>
        <row r="185">
          <cell r="A185" t="str">
            <v>Воздушная линия 0,4 кВ (ТУ 13 от 28.01.21)</v>
          </cell>
          <cell r="B185" t="str">
            <v>000001865</v>
          </cell>
          <cell r="C185" t="str">
            <v>ПЕРЕДАЧА</v>
          </cell>
          <cell r="D185" t="str">
            <v>Сооружения</v>
          </cell>
          <cell r="E185" t="str">
            <v>19.10.2021</v>
          </cell>
          <cell r="F185" t="str">
            <v>Цех электрических сетей</v>
          </cell>
          <cell r="X185">
            <v>98108.66</v>
          </cell>
          <cell r="Y185">
            <v>408.78608333333335</v>
          </cell>
          <cell r="Z185">
            <v>97699.873916666664</v>
          </cell>
          <cell r="AC185">
            <v>480</v>
          </cell>
        </row>
        <row r="186">
          <cell r="A186" t="str">
            <v>Воздушная линия 0,4 кВ (ТУ 62 от 13.05.21)</v>
          </cell>
          <cell r="B186" t="str">
            <v>000001866</v>
          </cell>
          <cell r="C186" t="str">
            <v>ПЕРЕДАЧА</v>
          </cell>
          <cell r="D186" t="str">
            <v>Сооружения</v>
          </cell>
          <cell r="E186" t="str">
            <v>19.10.2021</v>
          </cell>
          <cell r="F186" t="str">
            <v>Цех электрических сетей</v>
          </cell>
          <cell r="X186">
            <v>253914.86</v>
          </cell>
          <cell r="Y186">
            <v>1057.9785833333333</v>
          </cell>
          <cell r="Z186">
            <v>252856.88141666664</v>
          </cell>
          <cell r="AC186">
            <v>480</v>
          </cell>
        </row>
        <row r="187">
          <cell r="A187" t="str">
            <v>Воздушная линия 0,4 кВ (ТУ №42 от 16.04.2021 г.)</v>
          </cell>
          <cell r="B187" t="str">
            <v>000001876</v>
          </cell>
          <cell r="C187" t="str">
            <v>ПЕРЕДАЧА</v>
          </cell>
          <cell r="D187" t="str">
            <v>Сооружения</v>
          </cell>
          <cell r="E187">
            <v>44560</v>
          </cell>
          <cell r="F187" t="str">
            <v>Цех электрических сетей</v>
          </cell>
          <cell r="X187">
            <v>254557.39</v>
          </cell>
          <cell r="Z187">
            <v>254557.39</v>
          </cell>
          <cell r="AC187">
            <v>480</v>
          </cell>
        </row>
        <row r="188">
          <cell r="A188" t="str">
            <v>Воздушная линия 0,4 кВ (ТУ №45 от 22.04.2021 г.)</v>
          </cell>
          <cell r="B188" t="str">
            <v>000001878</v>
          </cell>
          <cell r="C188" t="str">
            <v>ПЕРЕДАЧА</v>
          </cell>
          <cell r="D188" t="str">
            <v>Сооружения</v>
          </cell>
          <cell r="E188">
            <v>44560</v>
          </cell>
          <cell r="F188" t="str">
            <v>Цех электрических сетей</v>
          </cell>
          <cell r="X188">
            <v>383015.6</v>
          </cell>
          <cell r="Z188">
            <v>383015.6</v>
          </cell>
          <cell r="AC188">
            <v>480</v>
          </cell>
        </row>
        <row r="189">
          <cell r="A189" t="str">
            <v>Воздушная линия 0,4 кВ (ТУ №57 от 12.05.2021 г.)</v>
          </cell>
          <cell r="B189" t="str">
            <v>000001881</v>
          </cell>
          <cell r="C189" t="str">
            <v>ПЕРЕДАЧА</v>
          </cell>
          <cell r="D189" t="str">
            <v>Сооружения</v>
          </cell>
          <cell r="E189">
            <v>44560</v>
          </cell>
          <cell r="F189" t="str">
            <v>Цех электрических сетей</v>
          </cell>
          <cell r="X189">
            <v>161733.60999999999</v>
          </cell>
          <cell r="Z189">
            <v>161733.60999999999</v>
          </cell>
          <cell r="AC189">
            <v>480</v>
          </cell>
        </row>
        <row r="190">
          <cell r="A190" t="str">
            <v>Воздушная линия 0,4 кВ (ТУ №66 от 13.05.2021 г.)</v>
          </cell>
          <cell r="B190" t="str">
            <v>000001880</v>
          </cell>
          <cell r="C190" t="str">
            <v>ПЕРЕДАЧА</v>
          </cell>
          <cell r="D190" t="str">
            <v>Сооружения</v>
          </cell>
          <cell r="E190">
            <v>44560</v>
          </cell>
          <cell r="F190" t="str">
            <v>Цех электрических сетей</v>
          </cell>
          <cell r="X190">
            <v>168246.35</v>
          </cell>
          <cell r="Z190">
            <v>168246.35</v>
          </cell>
          <cell r="AC190">
            <v>480</v>
          </cell>
        </row>
        <row r="191">
          <cell r="A191" t="str">
            <v>Воздушная линия 6кВ от распределительного пункта "Водозабор" до территории Воинской части №12403 и до территории "Свалка"</v>
          </cell>
          <cell r="B191" t="str">
            <v>000001823</v>
          </cell>
          <cell r="C191" t="str">
            <v>ПЕРЕДАЧА</v>
          </cell>
          <cell r="D191" t="str">
            <v>Сооружения</v>
          </cell>
          <cell r="E191" t="str">
            <v>16.09.2020</v>
          </cell>
          <cell r="F191" t="str">
            <v>Цех электрических сетей</v>
          </cell>
          <cell r="X191">
            <v>5342040.4000000004</v>
          </cell>
          <cell r="Y191">
            <v>166938.76000000004</v>
          </cell>
          <cell r="Z191">
            <v>5175101.6400000006</v>
          </cell>
          <cell r="AC191">
            <v>480</v>
          </cell>
        </row>
        <row r="192">
          <cell r="A192" t="str">
            <v>Воздушные линии 6 кВ в составе объекта "ТП-63/1 "Озерная 16" в районе ул. Озерная д.7а"</v>
          </cell>
          <cell r="B192" t="str">
            <v>000001828</v>
          </cell>
          <cell r="C192" t="str">
            <v>ПЕРЕДАЧА</v>
          </cell>
          <cell r="D192" t="str">
            <v>Сооружения</v>
          </cell>
          <cell r="E192" t="str">
            <v>30.12.2020</v>
          </cell>
          <cell r="F192" t="str">
            <v>Цех электрических сетей</v>
          </cell>
          <cell r="X192">
            <v>10441328.130000001</v>
          </cell>
          <cell r="Y192">
            <v>208826.56259999995</v>
          </cell>
          <cell r="Z192">
            <v>10232501.567400001</v>
          </cell>
          <cell r="AC192">
            <v>600</v>
          </cell>
        </row>
        <row r="193">
          <cell r="A193" t="str">
            <v>Выключатель автоматический ВА-5541 1000А</v>
          </cell>
          <cell r="B193" t="str">
            <v>00001003</v>
          </cell>
          <cell r="C193" t="str">
            <v>ПЕРЕДАЧА</v>
          </cell>
          <cell r="D193" t="str">
            <v>Машины и оборудование (кроме офисного)</v>
          </cell>
          <cell r="E193" t="str">
            <v>30.11.2006</v>
          </cell>
          <cell r="F193" t="str">
            <v>Цех электрических сетей</v>
          </cell>
          <cell r="X193">
            <v>23644.07</v>
          </cell>
          <cell r="Y193">
            <v>23644.069444444445</v>
          </cell>
          <cell r="Z193">
            <v>5.5555555445607752E-4</v>
          </cell>
          <cell r="AC193">
            <v>180</v>
          </cell>
        </row>
        <row r="194">
          <cell r="A194" t="str">
            <v>Высоковольтные сети электроснабжения 150 м п. Мирный (ТП №91)</v>
          </cell>
          <cell r="B194" t="str">
            <v>000001490</v>
          </cell>
          <cell r="C194" t="str">
            <v>ПЕРЕДАЧА</v>
          </cell>
          <cell r="D194" t="str">
            <v>Сооружения</v>
          </cell>
          <cell r="E194" t="str">
            <v>31.10.2012</v>
          </cell>
          <cell r="F194" t="str">
            <v>Цех электрических сетей</v>
          </cell>
          <cell r="X194">
            <v>2610798.79</v>
          </cell>
          <cell r="Y194">
            <v>797744.18633333337</v>
          </cell>
          <cell r="Z194">
            <v>1813054.6036666667</v>
          </cell>
          <cell r="AC194">
            <v>360</v>
          </cell>
        </row>
        <row r="195">
          <cell r="A195" t="str">
            <v>Гараж 3-секционный от Н-Мстрой</v>
          </cell>
          <cell r="B195" t="str">
            <v>00000027</v>
          </cell>
          <cell r="C195" t="str">
            <v>ПЕРЕДАЧА</v>
          </cell>
          <cell r="D195" t="str">
            <v>Здания</v>
          </cell>
          <cell r="E195" t="str">
            <v>01.09.1998</v>
          </cell>
          <cell r="F195" t="str">
            <v>Автотранспортный цех</v>
          </cell>
          <cell r="X195">
            <v>835229.83</v>
          </cell>
          <cell r="Y195">
            <v>312532.11000000004</v>
          </cell>
          <cell r="Z195">
            <v>522697.71999999991</v>
          </cell>
          <cell r="AC195">
            <v>480</v>
          </cell>
        </row>
        <row r="196">
          <cell r="A196" t="str">
            <v>Гаражный бокс 2007г</v>
          </cell>
          <cell r="B196" t="str">
            <v>00001055</v>
          </cell>
          <cell r="C196" t="str">
            <v>ПЕРЕДАЧА</v>
          </cell>
          <cell r="D196" t="str">
            <v>Здания</v>
          </cell>
          <cell r="E196" t="str">
            <v>31.10.2007</v>
          </cell>
          <cell r="F196" t="str">
            <v>Автотранспортный цех</v>
          </cell>
          <cell r="X196">
            <v>1142387.3600000001</v>
          </cell>
          <cell r="Y196">
            <v>619246.88</v>
          </cell>
          <cell r="Z196">
            <v>523140.4800000001</v>
          </cell>
          <cell r="AC196">
            <v>300</v>
          </cell>
        </row>
        <row r="197">
          <cell r="A197" t="str">
            <v>Генератор силовой Е-100</v>
          </cell>
          <cell r="B197" t="str">
            <v>000001724</v>
          </cell>
          <cell r="C197" t="str">
            <v>ПЕРЕДАЧА</v>
          </cell>
          <cell r="D197" t="str">
            <v>Машины и оборудование (кроме офисного)</v>
          </cell>
          <cell r="E197" t="str">
            <v>14.05.2018</v>
          </cell>
          <cell r="F197" t="str">
            <v>Цех электрических сетей</v>
          </cell>
          <cell r="X197">
            <v>87175.76</v>
          </cell>
          <cell r="Y197">
            <v>44625.79</v>
          </cell>
          <cell r="Z197">
            <v>42549.969999999994</v>
          </cell>
          <cell r="AC197">
            <v>84</v>
          </cell>
        </row>
        <row r="198">
          <cell r="A198" t="str">
            <v>Двуцепная ЛЭП от ДЭС п Искателей  до ТП</v>
          </cell>
          <cell r="B198" t="str">
            <v>00000254</v>
          </cell>
          <cell r="C198" t="str">
            <v>ПЕРЕДАЧА</v>
          </cell>
          <cell r="D198" t="str">
            <v>Сооружения</v>
          </cell>
          <cell r="E198" t="str">
            <v>01.09.1998</v>
          </cell>
          <cell r="F198" t="str">
            <v>Цех электрических сетей</v>
          </cell>
          <cell r="Z198">
            <v>0</v>
          </cell>
          <cell r="AC198">
            <v>396</v>
          </cell>
        </row>
        <row r="199">
          <cell r="A199" t="str">
            <v>Диагностический сканер FCAR F7S-G</v>
          </cell>
          <cell r="B199" t="str">
            <v>000001805</v>
          </cell>
          <cell r="C199" t="str">
            <v>ПЕРЕДАЧА</v>
          </cell>
          <cell r="D199" t="str">
            <v>Машины и оборудование (кроме офисного)</v>
          </cell>
          <cell r="E199" t="str">
            <v>24.03.2020</v>
          </cell>
          <cell r="F199" t="str">
            <v>Автотранспортный цех</v>
          </cell>
          <cell r="X199">
            <v>130523.72</v>
          </cell>
          <cell r="Y199">
            <v>45683.343999999997</v>
          </cell>
          <cell r="Z199">
            <v>84840.376000000004</v>
          </cell>
          <cell r="AC199">
            <v>60</v>
          </cell>
        </row>
        <row r="200">
          <cell r="A200" t="str">
            <v>Дорожное покрытие ул 60 лет Окт 1996г.</v>
          </cell>
          <cell r="B200" t="str">
            <v>00000026</v>
          </cell>
          <cell r="C200" t="str">
            <v>ПЕРЕДАЧА</v>
          </cell>
          <cell r="D200" t="str">
            <v>Сооружения</v>
          </cell>
          <cell r="E200" t="str">
            <v>30.12.1996</v>
          </cell>
          <cell r="F200" t="str">
            <v>Автотранспортный цех</v>
          </cell>
          <cell r="X200">
            <v>183653.11</v>
          </cell>
          <cell r="Y200">
            <v>40400.07</v>
          </cell>
          <cell r="Z200">
            <v>143253.03999999998</v>
          </cell>
          <cell r="AC200">
            <v>600</v>
          </cell>
        </row>
        <row r="201">
          <cell r="A201" t="str">
            <v>Защищённый ноутбук Cyberbook S874</v>
          </cell>
          <cell r="B201" t="str">
            <v>000001754</v>
          </cell>
          <cell r="C201" t="str">
            <v>ПЕРЕДАЧА</v>
          </cell>
          <cell r="D201" t="str">
            <v>Машины и оборудование (кроме офисного)</v>
          </cell>
          <cell r="E201" t="str">
            <v>21.11.2018</v>
          </cell>
          <cell r="F201" t="str">
            <v>Цех электрических сетей</v>
          </cell>
          <cell r="X201">
            <v>134957.63</v>
          </cell>
          <cell r="Y201">
            <v>134957.63361111112</v>
          </cell>
          <cell r="Z201">
            <v>-3.6111111112404615E-3</v>
          </cell>
          <cell r="AC201">
            <v>36</v>
          </cell>
        </row>
        <row r="202">
          <cell r="A202" t="str">
            <v>Здание углеподачи  1955г.</v>
          </cell>
          <cell r="B202" t="str">
            <v>00000090</v>
          </cell>
          <cell r="C202" t="str">
            <v>ПЕРЕДАЧА</v>
          </cell>
          <cell r="D202" t="str">
            <v>Здания</v>
          </cell>
          <cell r="E202" t="str">
            <v>01.01.1955</v>
          </cell>
          <cell r="F202" t="str">
            <v>Теплоэнергия</v>
          </cell>
          <cell r="X202">
            <v>152831.26</v>
          </cell>
          <cell r="Y202">
            <v>46314.068111111112</v>
          </cell>
          <cell r="Z202">
            <v>106517.19188888889</v>
          </cell>
          <cell r="AC202">
            <v>180</v>
          </cell>
        </row>
        <row r="203">
          <cell r="A203" t="str">
            <v>ЗРУ 6кВ в районе оз. Заводская Курья</v>
          </cell>
          <cell r="B203" t="str">
            <v>000001785</v>
          </cell>
          <cell r="C203" t="str">
            <v>ПЕРЕДАЧА</v>
          </cell>
          <cell r="D203" t="str">
            <v>Сооружения</v>
          </cell>
          <cell r="E203" t="str">
            <v>19.12.2019</v>
          </cell>
          <cell r="F203" t="str">
            <v>Цех электрических сетей</v>
          </cell>
          <cell r="X203">
            <v>35573705.259999998</v>
          </cell>
          <cell r="Y203">
            <v>2845896.4503999995</v>
          </cell>
          <cell r="Z203">
            <v>32727808.809599999</v>
          </cell>
          <cell r="AC203">
            <v>300</v>
          </cell>
        </row>
        <row r="204">
          <cell r="A204" t="str">
            <v>Индикатор емкости свинцовых аккумуляторов Кулон-12/6р</v>
          </cell>
          <cell r="B204" t="str">
            <v>000001743</v>
          </cell>
          <cell r="C204" t="str">
            <v>ПЕРЕДАЧА</v>
          </cell>
          <cell r="D204" t="str">
            <v>Машины и оборудование (кроме офисного)</v>
          </cell>
          <cell r="E204" t="str">
            <v>28.08.2018</v>
          </cell>
          <cell r="F204" t="str">
            <v>Цех электрических сетей</v>
          </cell>
          <cell r="X204">
            <v>90383.52</v>
          </cell>
          <cell r="Y204">
            <v>60255.623999999996</v>
          </cell>
          <cell r="Z204">
            <v>30127.896000000008</v>
          </cell>
          <cell r="AC204">
            <v>60</v>
          </cell>
        </row>
        <row r="205">
          <cell r="A205" t="str">
            <v>К/л. в/в от ТП-82 "Бассейн" до ТП-87 "Промз."</v>
          </cell>
          <cell r="B205" t="str">
            <v>00001090</v>
          </cell>
          <cell r="C205" t="str">
            <v>ПЕРЕДАЧА</v>
          </cell>
          <cell r="D205" t="str">
            <v>Сооружения</v>
          </cell>
          <cell r="E205" t="str">
            <v>30.09.2008</v>
          </cell>
          <cell r="F205" t="str">
            <v>Цех электрических сетей</v>
          </cell>
          <cell r="X205">
            <v>1799427.23</v>
          </cell>
          <cell r="Y205">
            <v>953696.31920000003</v>
          </cell>
          <cell r="Z205">
            <v>845730.91079999995</v>
          </cell>
          <cell r="AC205">
            <v>300</v>
          </cell>
        </row>
        <row r="206">
          <cell r="A206" t="str">
            <v>Кабельная высоковольтная линия 6 кВ в с. Тельвиска НАО</v>
          </cell>
          <cell r="B206" t="str">
            <v>000001844</v>
          </cell>
          <cell r="C206" t="str">
            <v>ПЕРЕДАЧА</v>
          </cell>
          <cell r="D206" t="str">
            <v>Сооружения</v>
          </cell>
          <cell r="E206" t="str">
            <v>14.04.2021</v>
          </cell>
          <cell r="F206" t="str">
            <v>Цех электрических сетей</v>
          </cell>
          <cell r="X206">
            <v>444333.5</v>
          </cell>
          <cell r="Y206">
            <v>19748.155555555557</v>
          </cell>
          <cell r="Z206">
            <v>424585.34444444446</v>
          </cell>
          <cell r="AC206">
            <v>180</v>
          </cell>
        </row>
        <row r="207">
          <cell r="A207" t="str">
            <v>Кабельная линия   "ЗРУ 6кВ-выход ф.Искателей" 2007</v>
          </cell>
          <cell r="B207" t="str">
            <v>00001035</v>
          </cell>
          <cell r="C207" t="str">
            <v>ПЕРЕДАЧА</v>
          </cell>
          <cell r="D207" t="str">
            <v>Сооружения</v>
          </cell>
          <cell r="E207" t="str">
            <v>30.05.2007</v>
          </cell>
          <cell r="F207" t="str">
            <v>Цех электрических сетей</v>
          </cell>
          <cell r="X207">
            <v>51841</v>
          </cell>
          <cell r="Y207">
            <v>30240.04</v>
          </cell>
          <cell r="Z207">
            <v>21600.959999999999</v>
          </cell>
          <cell r="AC207">
            <v>300</v>
          </cell>
        </row>
        <row r="208">
          <cell r="A208" t="str">
            <v>Кабельная линия 0,4 кВ (ДТП №336 от 01.10.2021)</v>
          </cell>
          <cell r="B208" t="str">
            <v>000001879</v>
          </cell>
          <cell r="C208" t="str">
            <v>ПЕРЕДАЧА</v>
          </cell>
          <cell r="D208" t="str">
            <v>Сооружения</v>
          </cell>
          <cell r="E208">
            <v>44560</v>
          </cell>
          <cell r="F208" t="str">
            <v>Цех электрических сетей</v>
          </cell>
          <cell r="X208">
            <v>256945.19</v>
          </cell>
          <cell r="Z208">
            <v>256945.19</v>
          </cell>
          <cell r="AC208">
            <v>300</v>
          </cell>
        </row>
        <row r="209">
          <cell r="A209" t="str">
            <v>Кабельная линия 0,4 кВ (ТУ 174 от 20.10.20)</v>
          </cell>
          <cell r="B209" t="str">
            <v>000001862</v>
          </cell>
          <cell r="C209" t="str">
            <v>ПЕРЕДАЧА</v>
          </cell>
          <cell r="D209" t="str">
            <v>Сооружения</v>
          </cell>
          <cell r="E209" t="str">
            <v>19.10.2021</v>
          </cell>
          <cell r="F209" t="str">
            <v>Цех электрических сетей</v>
          </cell>
          <cell r="X209">
            <v>208735.37</v>
          </cell>
          <cell r="Y209">
            <v>1391.5691333333334</v>
          </cell>
          <cell r="Z209">
            <v>207343.80086666666</v>
          </cell>
          <cell r="AC209">
            <v>300</v>
          </cell>
        </row>
        <row r="210">
          <cell r="A210" t="str">
            <v>Кабельная линия 0,4 кВ (ТУ 200 от 23.10.20)</v>
          </cell>
          <cell r="B210" t="str">
            <v>000001861</v>
          </cell>
          <cell r="C210" t="str">
            <v>ПЕРЕДАЧА</v>
          </cell>
          <cell r="D210" t="str">
            <v>Сооружения</v>
          </cell>
          <cell r="E210" t="str">
            <v>19.10.2021</v>
          </cell>
          <cell r="F210" t="str">
            <v>Цех электрических сетей</v>
          </cell>
          <cell r="X210">
            <v>93334.95</v>
          </cell>
          <cell r="Y210">
            <v>622.23299999999995</v>
          </cell>
          <cell r="Z210">
            <v>92712.717000000004</v>
          </cell>
          <cell r="AC210">
            <v>300</v>
          </cell>
        </row>
        <row r="211">
          <cell r="A211" t="str">
            <v>Кабельная линия 0,4 кВ (ТУ 581 от 25.02.21)</v>
          </cell>
          <cell r="B211" t="str">
            <v>000001877</v>
          </cell>
          <cell r="C211" t="str">
            <v>ПЕРЕДАЧА</v>
          </cell>
          <cell r="D211" t="str">
            <v>Сооружения</v>
          </cell>
          <cell r="E211">
            <v>44560</v>
          </cell>
          <cell r="F211" t="str">
            <v>Цех электрических сетей</v>
          </cell>
          <cell r="X211">
            <v>160319.39000000001</v>
          </cell>
          <cell r="Z211">
            <v>160319.39000000001</v>
          </cell>
          <cell r="AC211">
            <v>300</v>
          </cell>
        </row>
        <row r="212">
          <cell r="A212" t="str">
            <v>Кабельная линия 0,4 кВ (ТУ 589 от 14.04.21)</v>
          </cell>
          <cell r="B212" t="str">
            <v>000001864</v>
          </cell>
          <cell r="C212" t="str">
            <v>ПЕРЕДАЧА</v>
          </cell>
          <cell r="D212" t="str">
            <v>Сооружения</v>
          </cell>
          <cell r="E212" t="str">
            <v>19.10.2021</v>
          </cell>
          <cell r="F212" t="str">
            <v>Цех электрических сетей</v>
          </cell>
          <cell r="X212">
            <v>2244355.14</v>
          </cell>
          <cell r="Y212">
            <v>14962.367600000001</v>
          </cell>
          <cell r="Z212">
            <v>2229392.7724000001</v>
          </cell>
          <cell r="AC212">
            <v>300</v>
          </cell>
        </row>
        <row r="213">
          <cell r="A213" t="str">
            <v>Кабельная линия 0,4 кВ (ТУ №26 от 29.03.21 г.)</v>
          </cell>
          <cell r="B213" t="str">
            <v>000001875</v>
          </cell>
          <cell r="C213" t="str">
            <v>ПЕРЕДАЧА</v>
          </cell>
          <cell r="D213" t="str">
            <v>Сооружения</v>
          </cell>
          <cell r="E213">
            <v>44553</v>
          </cell>
          <cell r="F213" t="str">
            <v>Цех электрических сетей</v>
          </cell>
          <cell r="X213">
            <v>187693.41</v>
          </cell>
          <cell r="Z213">
            <v>187693.41</v>
          </cell>
          <cell r="AC213">
            <v>300</v>
          </cell>
        </row>
        <row r="214">
          <cell r="A214" t="str">
            <v>Кабельная линия 0,4 кВ (ТУ №630 от 02.08.2021г)</v>
          </cell>
          <cell r="B214" t="str">
            <v>000001884</v>
          </cell>
          <cell r="C214" t="str">
            <v>ПЕРЕДАЧА</v>
          </cell>
          <cell r="D214" t="str">
            <v>Сооружения</v>
          </cell>
          <cell r="E214">
            <v>44560</v>
          </cell>
          <cell r="F214" t="str">
            <v>Цех электрических сетей</v>
          </cell>
          <cell r="X214">
            <v>1310961.83</v>
          </cell>
          <cell r="Z214">
            <v>1310961.83</v>
          </cell>
          <cell r="AC214">
            <v>300</v>
          </cell>
        </row>
        <row r="215">
          <cell r="A215" t="str">
            <v>Кабельная линия 0,4 кВ от ТП №15 до ЩУ объекта "Ясли-сад №2 в г.Нарьян-Маре"</v>
          </cell>
          <cell r="B215" t="str">
            <v>000001863</v>
          </cell>
          <cell r="C215" t="str">
            <v>ПЕРЕДАЧА</v>
          </cell>
          <cell r="D215" t="str">
            <v>Сооружения</v>
          </cell>
          <cell r="E215" t="str">
            <v>19.10.2021</v>
          </cell>
          <cell r="F215" t="str">
            <v>Цех электрических сетей</v>
          </cell>
          <cell r="X215">
            <v>2646577.9500000002</v>
          </cell>
          <cell r="Y215">
            <v>17643.853000000003</v>
          </cell>
          <cell r="Z215">
            <v>2628934.0970000001</v>
          </cell>
          <cell r="AC215">
            <v>300</v>
          </cell>
        </row>
        <row r="216">
          <cell r="A216" t="str">
            <v>Кабельная линия в районе школы №2 (ТП - возд.ЛЭП)</v>
          </cell>
          <cell r="B216" t="str">
            <v>00001158</v>
          </cell>
          <cell r="C216" t="str">
            <v>ПЕРЕДАЧА</v>
          </cell>
          <cell r="D216" t="str">
            <v>Сооружения</v>
          </cell>
          <cell r="E216" t="str">
            <v>31.12.2009</v>
          </cell>
          <cell r="F216" t="str">
            <v>Цех электрических сетей</v>
          </cell>
          <cell r="X216">
            <v>367664.48</v>
          </cell>
          <cell r="Y216">
            <v>176479.17920000001</v>
          </cell>
          <cell r="Z216">
            <v>191185.30079999997</v>
          </cell>
          <cell r="AC216">
            <v>300</v>
          </cell>
        </row>
        <row r="217">
          <cell r="A217" t="str">
            <v>Кабельная линия в районе школы №2 (ТП - школа)</v>
          </cell>
          <cell r="B217" t="str">
            <v>00001156</v>
          </cell>
          <cell r="C217" t="str">
            <v>ПЕРЕДАЧА</v>
          </cell>
          <cell r="D217" t="str">
            <v>Сооружения</v>
          </cell>
          <cell r="E217" t="str">
            <v>31.12.2009</v>
          </cell>
          <cell r="F217" t="str">
            <v>Цех электрических сетей</v>
          </cell>
          <cell r="X217">
            <v>367664.48</v>
          </cell>
          <cell r="Y217">
            <v>176479.17920000001</v>
          </cell>
          <cell r="Z217">
            <v>191185.30079999997</v>
          </cell>
          <cell r="AC217">
            <v>300</v>
          </cell>
        </row>
        <row r="218">
          <cell r="A218" t="str">
            <v>Кабельная линия эл.передач 6кВ 10760 м</v>
          </cell>
          <cell r="B218" t="str">
            <v>000001843</v>
          </cell>
          <cell r="C218" t="str">
            <v>ПЕРЕДАЧА</v>
          </cell>
          <cell r="D218" t="str">
            <v>Сооружения</v>
          </cell>
          <cell r="E218" t="str">
            <v>14.04.2021</v>
          </cell>
          <cell r="F218" t="str">
            <v>Цех электрических сетей</v>
          </cell>
          <cell r="X218">
            <v>13999773.300000001</v>
          </cell>
          <cell r="Y218">
            <v>622212.14666666661</v>
          </cell>
          <cell r="Z218">
            <v>13377561.153333334</v>
          </cell>
          <cell r="AC218">
            <v>180</v>
          </cell>
        </row>
        <row r="219">
          <cell r="A219" t="str">
            <v>Кабельная ЛЭП-6кВ РУ-6кВ ДЭС-ТП№24 фидера Город-1</v>
          </cell>
          <cell r="B219" t="str">
            <v>00001049</v>
          </cell>
          <cell r="C219" t="str">
            <v>ПЕРЕДАЧА</v>
          </cell>
          <cell r="D219" t="str">
            <v>Сооружения</v>
          </cell>
          <cell r="E219" t="str">
            <v>30.09.2007</v>
          </cell>
          <cell r="F219" t="str">
            <v>Цех электрических сетей</v>
          </cell>
          <cell r="X219">
            <v>654039.01</v>
          </cell>
          <cell r="Y219">
            <v>372802.2304</v>
          </cell>
          <cell r="Z219">
            <v>281236.77960000001</v>
          </cell>
          <cell r="AC219">
            <v>300</v>
          </cell>
        </row>
        <row r="220">
          <cell r="A220" t="str">
            <v>Кабельная ЛЭП-6кВ РУ-6кВ ДЭС-ТП№3 фидера Город-2</v>
          </cell>
          <cell r="B220" t="str">
            <v>00001050</v>
          </cell>
          <cell r="C220" t="str">
            <v>ПЕРЕДАЧА</v>
          </cell>
          <cell r="D220" t="str">
            <v>Сооружения</v>
          </cell>
          <cell r="E220" t="str">
            <v>30.09.2007</v>
          </cell>
          <cell r="F220" t="str">
            <v>Цех электрических сетей</v>
          </cell>
          <cell r="X220">
            <v>1466828.36</v>
          </cell>
          <cell r="Y220">
            <v>836092.50439999998</v>
          </cell>
          <cell r="Z220">
            <v>630735.85560000013</v>
          </cell>
          <cell r="AC220">
            <v>300</v>
          </cell>
        </row>
        <row r="221">
          <cell r="A221" t="str">
            <v>Кабельные линии 6 кВ в составе объекта "ТП-63/1 "Озерная 16" в районе ул. Озерная д.7а"</v>
          </cell>
          <cell r="B221" t="str">
            <v>000001838</v>
          </cell>
          <cell r="C221" t="str">
            <v>ПЕРЕДАЧА</v>
          </cell>
          <cell r="D221" t="str">
            <v>Сооружения</v>
          </cell>
          <cell r="E221" t="str">
            <v>30.12.2020</v>
          </cell>
          <cell r="F221" t="str">
            <v>Цех электрических сетей</v>
          </cell>
          <cell r="X221">
            <v>11990246.640000001</v>
          </cell>
          <cell r="Y221">
            <v>479609.86559999996</v>
          </cell>
          <cell r="Z221">
            <v>11510636.774400001</v>
          </cell>
          <cell r="AC221">
            <v>300</v>
          </cell>
        </row>
        <row r="222">
          <cell r="A222" t="str">
            <v>Камера  КСО-366 1996г.</v>
          </cell>
          <cell r="B222" t="str">
            <v>00000270</v>
          </cell>
          <cell r="C222" t="str">
            <v>ПЕРЕДАЧА</v>
          </cell>
          <cell r="D222" t="str">
            <v>Машины и оборудование (кроме офисного)</v>
          </cell>
          <cell r="E222" t="str">
            <v>30.12.1996</v>
          </cell>
          <cell r="F222" t="str">
            <v>Цех электрических сетей</v>
          </cell>
          <cell r="X222">
            <v>15254</v>
          </cell>
          <cell r="Y222">
            <v>13939.907391304348</v>
          </cell>
          <cell r="Z222">
            <v>1314.0926086956515</v>
          </cell>
          <cell r="AC222">
            <v>276</v>
          </cell>
        </row>
        <row r="223">
          <cell r="A223" t="str">
            <v>Камера в/в КСО 393 №1 01/09-827</v>
          </cell>
          <cell r="B223" t="str">
            <v>00001123</v>
          </cell>
          <cell r="C223" t="str">
            <v>ПЕРЕДАЧА</v>
          </cell>
          <cell r="D223" t="str">
            <v>Машины и оборудование (кроме офисного)</v>
          </cell>
          <cell r="E223" t="str">
            <v>31.07.2009</v>
          </cell>
          <cell r="F223" t="str">
            <v>Цех электрических сетей</v>
          </cell>
          <cell r="X223">
            <v>85301.6</v>
          </cell>
          <cell r="Y223">
            <v>70611.073333333334</v>
          </cell>
          <cell r="Z223">
            <v>14690.526666666672</v>
          </cell>
          <cell r="AC223">
            <v>180</v>
          </cell>
        </row>
        <row r="224">
          <cell r="A224" t="str">
            <v>Камера КСО 298-6.1 ВВ-600, зав.№2235.1</v>
          </cell>
          <cell r="B224" t="str">
            <v>000001739</v>
          </cell>
          <cell r="C224" t="str">
            <v>ПЕРЕДАЧА</v>
          </cell>
          <cell r="D224" t="str">
            <v>Машины и оборудование (кроме офисного)</v>
          </cell>
          <cell r="E224" t="str">
            <v>31.07.2018</v>
          </cell>
          <cell r="F224" t="str">
            <v>Цех электрических сетей</v>
          </cell>
          <cell r="X224">
            <v>749690.38</v>
          </cell>
          <cell r="Y224">
            <v>128072.109</v>
          </cell>
          <cell r="Z224">
            <v>621618.27099999995</v>
          </cell>
          <cell r="AC224">
            <v>240</v>
          </cell>
        </row>
        <row r="225">
          <cell r="A225" t="str">
            <v>Камера КСО 298-8.1 ВВ-600, зав.№2235.2</v>
          </cell>
          <cell r="B225" t="str">
            <v>000001740</v>
          </cell>
          <cell r="C225" t="str">
            <v>ПЕРЕДАЧА</v>
          </cell>
          <cell r="D225" t="str">
            <v>Машины и оборудование (кроме офисного)</v>
          </cell>
          <cell r="E225" t="str">
            <v>31.07.2018</v>
          </cell>
          <cell r="F225" t="str">
            <v>Цех электрических сетей</v>
          </cell>
          <cell r="X225">
            <v>720334.85</v>
          </cell>
          <cell r="Y225">
            <v>123057.34250000001</v>
          </cell>
          <cell r="Z225">
            <v>597277.50749999995</v>
          </cell>
          <cell r="AC225">
            <v>240</v>
          </cell>
        </row>
        <row r="226">
          <cell r="A226" t="str">
            <v>Камера КСО 393-03 № 1113</v>
          </cell>
          <cell r="B226" t="str">
            <v>00000911</v>
          </cell>
          <cell r="C226" t="str">
            <v>ПЕРЕДАЧА</v>
          </cell>
          <cell r="D226" t="str">
            <v>Машины и оборудование (кроме офисного)</v>
          </cell>
          <cell r="E226" t="str">
            <v>31.08.2006</v>
          </cell>
          <cell r="F226" t="str">
            <v>Цех электрических сетей</v>
          </cell>
          <cell r="X226">
            <v>26916</v>
          </cell>
          <cell r="Y226">
            <v>26916</v>
          </cell>
          <cell r="Z226">
            <v>0</v>
          </cell>
          <cell r="AC226">
            <v>180</v>
          </cell>
        </row>
        <row r="227">
          <cell r="A227" t="str">
            <v>Камера КСО 393-03 №1</v>
          </cell>
          <cell r="B227" t="str">
            <v>00001240</v>
          </cell>
          <cell r="C227" t="str">
            <v>ПЕРЕДАЧА</v>
          </cell>
          <cell r="D227" t="str">
            <v>Машины и оборудование (кроме офисного)</v>
          </cell>
          <cell r="E227" t="str">
            <v>31.10.2010</v>
          </cell>
          <cell r="F227" t="str">
            <v>Цех электрических сетей</v>
          </cell>
          <cell r="X227">
            <v>29086.7</v>
          </cell>
          <cell r="Y227">
            <v>21653.093333333334</v>
          </cell>
          <cell r="Z227">
            <v>7433.6066666666666</v>
          </cell>
          <cell r="AC227">
            <v>180</v>
          </cell>
        </row>
        <row r="228">
          <cell r="A228" t="str">
            <v>Камера КСО 393-03 №1111</v>
          </cell>
          <cell r="B228" t="str">
            <v>00001005</v>
          </cell>
          <cell r="C228" t="str">
            <v>ПЕРЕДАЧА</v>
          </cell>
          <cell r="D228" t="str">
            <v>Машины и оборудование (кроме офисного)</v>
          </cell>
          <cell r="E228" t="str">
            <v>30.11.2006</v>
          </cell>
          <cell r="F228" t="str">
            <v>Цех электрических сетей</v>
          </cell>
          <cell r="X228">
            <v>26916</v>
          </cell>
          <cell r="Y228">
            <v>26915.996666666666</v>
          </cell>
          <cell r="Z228">
            <v>3.3333333340124227E-3</v>
          </cell>
          <cell r="AC228">
            <v>180</v>
          </cell>
        </row>
        <row r="229">
          <cell r="A229" t="str">
            <v>Камера КСО 393-03 №1112</v>
          </cell>
          <cell r="B229" t="str">
            <v>00001006</v>
          </cell>
          <cell r="C229" t="str">
            <v>ПЕРЕДАЧА</v>
          </cell>
          <cell r="D229" t="str">
            <v>Машины и оборудование (кроме офисного)</v>
          </cell>
          <cell r="E229" t="str">
            <v>30.11.2006</v>
          </cell>
          <cell r="F229" t="str">
            <v>Цех электрических сетей</v>
          </cell>
          <cell r="X229">
            <v>26916</v>
          </cell>
          <cell r="Y229">
            <v>26915.996666666666</v>
          </cell>
          <cell r="Z229">
            <v>3.3333333340124227E-3</v>
          </cell>
          <cell r="AC229">
            <v>180</v>
          </cell>
        </row>
        <row r="230">
          <cell r="A230" t="str">
            <v>Камера КСО 393-03 №2</v>
          </cell>
          <cell r="B230" t="str">
            <v>00001241</v>
          </cell>
          <cell r="C230" t="str">
            <v>ПЕРЕДАЧА</v>
          </cell>
          <cell r="D230" t="str">
            <v>Машины и оборудование (кроме офисного)</v>
          </cell>
          <cell r="E230" t="str">
            <v>31.10.2010</v>
          </cell>
          <cell r="F230" t="str">
            <v>Газотурбинный цех</v>
          </cell>
          <cell r="X230">
            <v>29086.7</v>
          </cell>
          <cell r="Y230">
            <v>21653.093333333334</v>
          </cell>
          <cell r="Z230">
            <v>7433.6066666666666</v>
          </cell>
          <cell r="AC230">
            <v>180</v>
          </cell>
        </row>
        <row r="231">
          <cell r="A231" t="str">
            <v>Камера КСО 393-03 №3</v>
          </cell>
          <cell r="B231" t="str">
            <v>00001242</v>
          </cell>
          <cell r="C231" t="str">
            <v>ПЕРЕДАЧА</v>
          </cell>
          <cell r="D231" t="str">
            <v>Машины и оборудование (кроме офисного)</v>
          </cell>
          <cell r="E231" t="str">
            <v>31.10.2010</v>
          </cell>
          <cell r="F231" t="str">
            <v>Газотурбинный цех</v>
          </cell>
          <cell r="X231">
            <v>29086.7</v>
          </cell>
          <cell r="Y231">
            <v>21653.093333333334</v>
          </cell>
          <cell r="Z231">
            <v>7433.6066666666666</v>
          </cell>
          <cell r="AC231">
            <v>180</v>
          </cell>
        </row>
        <row r="232">
          <cell r="A232" t="str">
            <v>Камера КСО 393-03 №4</v>
          </cell>
          <cell r="B232" t="str">
            <v>00001243</v>
          </cell>
          <cell r="C232" t="str">
            <v>ПЕРЕДАЧА</v>
          </cell>
          <cell r="D232" t="str">
            <v>Машины и оборудование (кроме офисного)</v>
          </cell>
          <cell r="E232" t="str">
            <v>31.10.2010</v>
          </cell>
          <cell r="F232" t="str">
            <v>Газотурбинный цех</v>
          </cell>
          <cell r="X232">
            <v>29086.7</v>
          </cell>
          <cell r="Y232">
            <v>21653.093333333334</v>
          </cell>
          <cell r="Z232">
            <v>7433.6066666666666</v>
          </cell>
          <cell r="AC232">
            <v>180</v>
          </cell>
        </row>
        <row r="233">
          <cell r="A233" t="str">
            <v>Камера КСО 393-03 №5</v>
          </cell>
          <cell r="B233" t="str">
            <v>00001244</v>
          </cell>
          <cell r="C233" t="str">
            <v>ПЕРЕДАЧА</v>
          </cell>
          <cell r="D233" t="str">
            <v>Машины и оборудование (кроме офисного)</v>
          </cell>
          <cell r="E233" t="str">
            <v>31.10.2010</v>
          </cell>
          <cell r="F233" t="str">
            <v>Цех электрических сетей</v>
          </cell>
          <cell r="X233">
            <v>29086.7</v>
          </cell>
          <cell r="Y233">
            <v>21653.059999999998</v>
          </cell>
          <cell r="Z233">
            <v>7433.6400000000031</v>
          </cell>
          <cell r="AC233">
            <v>180</v>
          </cell>
        </row>
        <row r="234">
          <cell r="A234" t="str">
            <v>Камера КСО 393-03 №6</v>
          </cell>
          <cell r="B234" t="str">
            <v>00001245</v>
          </cell>
          <cell r="C234" t="str">
            <v>ПЕРЕДАЧА</v>
          </cell>
          <cell r="D234" t="str">
            <v>Машины и оборудование (кроме офисного)</v>
          </cell>
          <cell r="E234" t="str">
            <v>31.10.2010</v>
          </cell>
          <cell r="F234" t="str">
            <v>Цех электрических сетей</v>
          </cell>
          <cell r="X234">
            <v>29086.7</v>
          </cell>
          <cell r="Y234">
            <v>21653.093333333334</v>
          </cell>
          <cell r="Z234">
            <v>7433.6066666666666</v>
          </cell>
          <cell r="AC234">
            <v>180</v>
          </cell>
        </row>
        <row r="235">
          <cell r="A235" t="str">
            <v>Камера КСО 393-04 (панель трансформатора), зав.№2235.9</v>
          </cell>
          <cell r="B235" t="str">
            <v>000001741</v>
          </cell>
          <cell r="C235" t="str">
            <v>ПЕРЕДАЧА</v>
          </cell>
          <cell r="D235" t="str">
            <v>Машины и оборудование (кроме офисного)</v>
          </cell>
          <cell r="E235" t="str">
            <v>31.07.2018</v>
          </cell>
          <cell r="F235" t="str">
            <v>Цех электрических сетей</v>
          </cell>
          <cell r="X235">
            <v>43196.81</v>
          </cell>
          <cell r="Y235">
            <v>7379.5504999999994</v>
          </cell>
          <cell r="Z235">
            <v>35817.2595</v>
          </cell>
          <cell r="AC235">
            <v>240</v>
          </cell>
        </row>
        <row r="236">
          <cell r="A236" t="str">
            <v>Камера КСО 393-04 №1</v>
          </cell>
          <cell r="B236" t="str">
            <v>00001246</v>
          </cell>
          <cell r="C236" t="str">
            <v>ПЕРЕДАЧА</v>
          </cell>
          <cell r="D236" t="str">
            <v>Машины и оборудование (кроме офисного)</v>
          </cell>
          <cell r="E236" t="str">
            <v>31.10.2010</v>
          </cell>
          <cell r="F236" t="str">
            <v>Цех электрических сетей</v>
          </cell>
          <cell r="X236">
            <v>34199.17</v>
          </cell>
          <cell r="Y236">
            <v>25459.944666666666</v>
          </cell>
          <cell r="Z236">
            <v>8739.2253333333319</v>
          </cell>
          <cell r="AC236">
            <v>180</v>
          </cell>
        </row>
        <row r="237">
          <cell r="A237" t="str">
            <v>Камера КСО 393-04 №2</v>
          </cell>
          <cell r="B237" t="str">
            <v>00001247</v>
          </cell>
          <cell r="C237" t="str">
            <v>ПЕРЕДАЧА</v>
          </cell>
          <cell r="D237" t="str">
            <v>Машины и оборудование (кроме офисного)</v>
          </cell>
          <cell r="E237" t="str">
            <v>31.10.2010</v>
          </cell>
          <cell r="F237" t="str">
            <v>Газотурбинный цех</v>
          </cell>
          <cell r="X237">
            <v>34199.17</v>
          </cell>
          <cell r="Y237">
            <v>25459.944666666666</v>
          </cell>
          <cell r="Z237">
            <v>8739.2253333333319</v>
          </cell>
          <cell r="AC237">
            <v>180</v>
          </cell>
        </row>
        <row r="238">
          <cell r="A238" t="str">
            <v>Камера КСО 393-04 №3</v>
          </cell>
          <cell r="B238" t="str">
            <v>00001248</v>
          </cell>
          <cell r="C238" t="str">
            <v>ПЕРЕДАЧА</v>
          </cell>
          <cell r="D238" t="str">
            <v>Машины и оборудование (кроме офисного)</v>
          </cell>
          <cell r="E238" t="str">
            <v>31.10.2010</v>
          </cell>
          <cell r="F238" t="str">
            <v>Газотурбинный цех</v>
          </cell>
          <cell r="X238">
            <v>34199.17</v>
          </cell>
          <cell r="Y238">
            <v>25459.944666666666</v>
          </cell>
          <cell r="Z238">
            <v>8739.2253333333319</v>
          </cell>
          <cell r="AC238">
            <v>180</v>
          </cell>
        </row>
        <row r="239">
          <cell r="A239" t="str">
            <v>Камера КСО 393-04 №4</v>
          </cell>
          <cell r="B239" t="str">
            <v>00001249</v>
          </cell>
          <cell r="C239" t="str">
            <v>ПЕРЕДАЧА</v>
          </cell>
          <cell r="D239" t="str">
            <v>Машины и оборудование (кроме офисного)</v>
          </cell>
          <cell r="E239" t="str">
            <v>31.10.2010</v>
          </cell>
          <cell r="F239" t="str">
            <v>Газотурбинный цех</v>
          </cell>
          <cell r="X239">
            <v>34199.17</v>
          </cell>
          <cell r="Y239">
            <v>25459.944666666666</v>
          </cell>
          <cell r="Z239">
            <v>8739.2253333333319</v>
          </cell>
          <cell r="AC239">
            <v>180</v>
          </cell>
        </row>
        <row r="240">
          <cell r="A240" t="str">
            <v>Камера КСО 393-24УЗ №1</v>
          </cell>
          <cell r="B240" t="str">
            <v>00001373</v>
          </cell>
          <cell r="C240" t="str">
            <v>ПЕРЕДАЧА</v>
          </cell>
          <cell r="D240" t="str">
            <v>Машины и оборудование (кроме офисного)</v>
          </cell>
          <cell r="E240" t="str">
            <v>18.10.2011</v>
          </cell>
          <cell r="F240" t="str">
            <v>Цех электрических сетей</v>
          </cell>
          <cell r="X240">
            <v>87044.07</v>
          </cell>
          <cell r="Y240">
            <v>58996.738000000005</v>
          </cell>
          <cell r="Z240">
            <v>28047.332000000002</v>
          </cell>
          <cell r="AC240">
            <v>180</v>
          </cell>
        </row>
        <row r="241">
          <cell r="A241" t="str">
            <v>Камера КСО 393-24УЗ №2</v>
          </cell>
          <cell r="B241" t="str">
            <v>00001374</v>
          </cell>
          <cell r="C241" t="str">
            <v>ПЕРЕДАЧА</v>
          </cell>
          <cell r="D241" t="str">
            <v>Машины и оборудование (кроме офисного)</v>
          </cell>
          <cell r="E241" t="str">
            <v>18.10.2011</v>
          </cell>
          <cell r="F241" t="str">
            <v>Цех электрических сетей</v>
          </cell>
          <cell r="X241">
            <v>87044.07</v>
          </cell>
          <cell r="Y241">
            <v>58996.738000000005</v>
          </cell>
          <cell r="Z241">
            <v>28047.332000000002</v>
          </cell>
          <cell r="AC241">
            <v>180</v>
          </cell>
        </row>
        <row r="242">
          <cell r="A242" t="str">
            <v>Камера КСО 393-24УЗ №3</v>
          </cell>
          <cell r="B242" t="str">
            <v>00001375</v>
          </cell>
          <cell r="C242" t="str">
            <v>ПЕРЕДАЧА</v>
          </cell>
          <cell r="D242" t="str">
            <v>Машины и оборудование (кроме офисного)</v>
          </cell>
          <cell r="E242" t="str">
            <v>18.10.2011</v>
          </cell>
          <cell r="F242" t="str">
            <v>Цех электрических сетей</v>
          </cell>
          <cell r="X242">
            <v>87044.07</v>
          </cell>
          <cell r="Y242">
            <v>58996.738000000005</v>
          </cell>
          <cell r="Z242">
            <v>28047.332000000002</v>
          </cell>
          <cell r="AC242">
            <v>180</v>
          </cell>
        </row>
        <row r="243">
          <cell r="A243" t="str">
            <v>Камера КСО 393-24УЗ №4</v>
          </cell>
          <cell r="B243" t="str">
            <v>00001376</v>
          </cell>
          <cell r="C243" t="str">
            <v>ПЕРЕДАЧА</v>
          </cell>
          <cell r="D243" t="str">
            <v>Машины и оборудование (кроме офисного)</v>
          </cell>
          <cell r="E243" t="str">
            <v>18.10.2011</v>
          </cell>
          <cell r="F243" t="str">
            <v>Цех электрических сетей</v>
          </cell>
          <cell r="X243">
            <v>87044.06</v>
          </cell>
          <cell r="Y243">
            <v>58996.737333333338</v>
          </cell>
          <cell r="Z243">
            <v>28047.32266666666</v>
          </cell>
          <cell r="AC243">
            <v>180</v>
          </cell>
        </row>
        <row r="244">
          <cell r="A244" t="str">
            <v>Камера КСО-366-3 2001г</v>
          </cell>
          <cell r="B244" t="str">
            <v>00000318</v>
          </cell>
          <cell r="C244" t="str">
            <v>ПЕРЕДАЧА</v>
          </cell>
          <cell r="D244" t="str">
            <v>Машины и оборудование (кроме офисного)</v>
          </cell>
          <cell r="E244" t="str">
            <v>30.06.2001</v>
          </cell>
          <cell r="F244" t="str">
            <v>Цех электрических сетей</v>
          </cell>
          <cell r="X244">
            <v>15587.15</v>
          </cell>
          <cell r="Y244">
            <v>13673.482173913044</v>
          </cell>
          <cell r="Z244">
            <v>1913.6678260869558</v>
          </cell>
          <cell r="AC244">
            <v>276</v>
          </cell>
        </row>
        <row r="245">
          <cell r="A245" t="str">
            <v>Камера КСО-386-1 2001г</v>
          </cell>
          <cell r="B245" t="str">
            <v>00000319</v>
          </cell>
          <cell r="C245" t="str">
            <v>ПЕРЕДАЧА</v>
          </cell>
          <cell r="D245" t="str">
            <v>Машины и оборудование (кроме офисного)</v>
          </cell>
          <cell r="E245" t="str">
            <v>30.06.2001</v>
          </cell>
          <cell r="F245" t="str">
            <v>Цех электрических сетей</v>
          </cell>
          <cell r="X245">
            <v>13306.52</v>
          </cell>
          <cell r="Y245">
            <v>11671.484347826088</v>
          </cell>
          <cell r="Z245">
            <v>1635.0356521739122</v>
          </cell>
          <cell r="AC245">
            <v>276</v>
          </cell>
        </row>
        <row r="246">
          <cell r="A246" t="str">
            <v>Камера сборная одностороннего обслуживания КСО-298-8ВВ-630-УЗ зав.№124-1</v>
          </cell>
          <cell r="B246" t="str">
            <v>000001483</v>
          </cell>
          <cell r="C246" t="str">
            <v>ПЕРЕДАЧА</v>
          </cell>
          <cell r="D246" t="str">
            <v>Машины и оборудование (кроме офисного)</v>
          </cell>
          <cell r="E246" t="str">
            <v>24.09.2012</v>
          </cell>
          <cell r="F246" t="str">
            <v>Цех электрических сетей</v>
          </cell>
          <cell r="X246">
            <v>451297.63</v>
          </cell>
          <cell r="Y246">
            <v>417449.95299999998</v>
          </cell>
          <cell r="Z246">
            <v>33847.677000000025</v>
          </cell>
          <cell r="AC246">
            <v>120</v>
          </cell>
        </row>
        <row r="247">
          <cell r="A247" t="str">
            <v>Камера сборная одностороннего обслуживания КСО-298-8ВВ-630-УЗ зав.№124-2</v>
          </cell>
          <cell r="B247" t="str">
            <v>000001484</v>
          </cell>
          <cell r="C247" t="str">
            <v>ПЕРЕДАЧА</v>
          </cell>
          <cell r="D247" t="str">
            <v>Машины и оборудование (кроме офисного)</v>
          </cell>
          <cell r="E247" t="str">
            <v>24.09.2012</v>
          </cell>
          <cell r="F247" t="str">
            <v>Цех электрических сетей</v>
          </cell>
          <cell r="X247">
            <v>451297.63</v>
          </cell>
          <cell r="Y247">
            <v>417449.95299999998</v>
          </cell>
          <cell r="Z247">
            <v>33847.677000000025</v>
          </cell>
          <cell r="AC247">
            <v>120</v>
          </cell>
        </row>
        <row r="248">
          <cell r="A248" t="str">
            <v>Камера сборная одностороннего обслуживания КСО-298-8ВВ-630-УЗ зав.№124-3</v>
          </cell>
          <cell r="B248" t="str">
            <v>000001485</v>
          </cell>
          <cell r="C248" t="str">
            <v>ПЕРЕДАЧА</v>
          </cell>
          <cell r="D248" t="str">
            <v>Машины и оборудование (кроме офисного)</v>
          </cell>
          <cell r="E248" t="str">
            <v>24.09.2012</v>
          </cell>
          <cell r="F248" t="str">
            <v>Цех электрических сетей</v>
          </cell>
          <cell r="X248">
            <v>451297.63</v>
          </cell>
          <cell r="Y248">
            <v>417449.95299999998</v>
          </cell>
          <cell r="Z248">
            <v>33847.677000000025</v>
          </cell>
          <cell r="AC248">
            <v>120</v>
          </cell>
        </row>
        <row r="249">
          <cell r="A249" t="str">
            <v>Камера сборная одностороннего обслуживания КСО-298-8ВВ-630-УЗ зав.№124-4</v>
          </cell>
          <cell r="B249" t="str">
            <v>000001486</v>
          </cell>
          <cell r="C249" t="str">
            <v>ПЕРЕДАЧА</v>
          </cell>
          <cell r="D249" t="str">
            <v>Машины и оборудование (кроме офисного)</v>
          </cell>
          <cell r="E249" t="str">
            <v>24.09.2012</v>
          </cell>
          <cell r="F249" t="str">
            <v>Цех электрических сетей</v>
          </cell>
          <cell r="X249">
            <v>451297.63</v>
          </cell>
          <cell r="Y249">
            <v>417449.95299999998</v>
          </cell>
          <cell r="Z249">
            <v>33847.677000000025</v>
          </cell>
          <cell r="AC249">
            <v>120</v>
          </cell>
        </row>
        <row r="250">
          <cell r="A250" t="str">
            <v>Камера сборная одностороннего обслуживания КСО-298-8ВВ-630-УЗ зав.№124-5</v>
          </cell>
          <cell r="B250" t="str">
            <v>000001487</v>
          </cell>
          <cell r="C250" t="str">
            <v>ПЕРЕДАЧА</v>
          </cell>
          <cell r="D250" t="str">
            <v>Машины и оборудование (кроме офисного)</v>
          </cell>
          <cell r="E250" t="str">
            <v>24.09.2012</v>
          </cell>
          <cell r="F250" t="str">
            <v>Цех электрических сетей</v>
          </cell>
          <cell r="X250">
            <v>451297.63</v>
          </cell>
          <cell r="Y250">
            <v>417449.95299999998</v>
          </cell>
          <cell r="Z250">
            <v>33847.677000000025</v>
          </cell>
          <cell r="AC250">
            <v>120</v>
          </cell>
        </row>
        <row r="251">
          <cell r="A251" t="str">
            <v>Камеры в/в КСО 393 №2 01/09-828</v>
          </cell>
          <cell r="B251" t="str">
            <v>00001138</v>
          </cell>
          <cell r="C251" t="str">
            <v>ПЕРЕДАЧА</v>
          </cell>
          <cell r="D251" t="str">
            <v>Машины и оборудование (кроме офисного)</v>
          </cell>
          <cell r="E251" t="str">
            <v>31.07.2009</v>
          </cell>
          <cell r="F251" t="str">
            <v>Цех электрических сетей</v>
          </cell>
          <cell r="X251">
            <v>85301.6</v>
          </cell>
          <cell r="Y251">
            <v>70611.073333333334</v>
          </cell>
          <cell r="Z251">
            <v>14690.526666666672</v>
          </cell>
          <cell r="AC251">
            <v>180</v>
          </cell>
        </row>
        <row r="252">
          <cell r="A252" t="str">
            <v>Камеры в/в КСО 393 №3 01/09-829</v>
          </cell>
          <cell r="B252" t="str">
            <v>00001127</v>
          </cell>
          <cell r="C252" t="str">
            <v>ПЕРЕДАЧА</v>
          </cell>
          <cell r="D252" t="str">
            <v>Машины и оборудование (кроме офисного)</v>
          </cell>
          <cell r="E252" t="str">
            <v>31.07.2009</v>
          </cell>
          <cell r="F252" t="str">
            <v>Цех электрических сетей</v>
          </cell>
          <cell r="X252">
            <v>86139.6</v>
          </cell>
          <cell r="Y252">
            <v>71303.990000000005</v>
          </cell>
          <cell r="Z252">
            <v>14835.61</v>
          </cell>
          <cell r="AC252">
            <v>180</v>
          </cell>
        </row>
        <row r="253">
          <cell r="A253" t="str">
            <v>Камеры в/в КСО 393 №4 01/09-825</v>
          </cell>
          <cell r="B253" t="str">
            <v>00001128</v>
          </cell>
          <cell r="C253" t="str">
            <v>ПЕРЕДАЧА</v>
          </cell>
          <cell r="D253" t="str">
            <v>Машины и оборудование (кроме офисного)</v>
          </cell>
          <cell r="E253" t="str">
            <v>31.07.2009</v>
          </cell>
          <cell r="F253" t="str">
            <v>Цех электрических сетей</v>
          </cell>
          <cell r="X253">
            <v>86139.6</v>
          </cell>
          <cell r="Y253">
            <v>71303.990000000005</v>
          </cell>
          <cell r="Z253">
            <v>14835.61</v>
          </cell>
          <cell r="AC253">
            <v>180</v>
          </cell>
        </row>
        <row r="254">
          <cell r="A254" t="str">
            <v>Камеры в/в КСО 393 №5 01/09-826</v>
          </cell>
          <cell r="B254" t="str">
            <v>00001129</v>
          </cell>
          <cell r="C254" t="str">
            <v>ПЕРЕДАЧА</v>
          </cell>
          <cell r="D254" t="str">
            <v>Машины и оборудование (кроме офисного)</v>
          </cell>
          <cell r="E254" t="str">
            <v>31.07.2009</v>
          </cell>
          <cell r="F254" t="str">
            <v>Цех электрических сетей</v>
          </cell>
          <cell r="X254">
            <v>86139.6</v>
          </cell>
          <cell r="Y254">
            <v>71303.990000000005</v>
          </cell>
          <cell r="Z254">
            <v>14835.61</v>
          </cell>
          <cell r="AC254">
            <v>180</v>
          </cell>
        </row>
        <row r="255">
          <cell r="A255" t="str">
            <v>Камеры в/в КСО 393 №6 01/09-830</v>
          </cell>
          <cell r="B255" t="str">
            <v>00001130</v>
          </cell>
          <cell r="C255" t="str">
            <v>ПЕРЕДАЧА</v>
          </cell>
          <cell r="D255" t="str">
            <v>Машины и оборудование (кроме офисного)</v>
          </cell>
          <cell r="E255" t="str">
            <v>31.07.2009</v>
          </cell>
          <cell r="F255" t="str">
            <v>Цех электрических сетей</v>
          </cell>
          <cell r="X255">
            <v>86139.6</v>
          </cell>
          <cell r="Y255">
            <v>71303.990000000005</v>
          </cell>
          <cell r="Z255">
            <v>14835.61</v>
          </cell>
          <cell r="AC255">
            <v>180</v>
          </cell>
        </row>
        <row r="256">
          <cell r="A256" t="str">
            <v>КЛ *- Каб.линия 6кв  2кабеля по 2,31 Жив компл 2000г</v>
          </cell>
          <cell r="B256" t="str">
            <v>00000265</v>
          </cell>
          <cell r="C256" t="str">
            <v>ПЕРЕДАЧА</v>
          </cell>
          <cell r="D256" t="str">
            <v>Сооружения</v>
          </cell>
          <cell r="E256" t="str">
            <v>01.05.2000</v>
          </cell>
          <cell r="F256" t="str">
            <v>Цех электрических сетей</v>
          </cell>
          <cell r="X256">
            <v>305800</v>
          </cell>
          <cell r="Y256">
            <v>264005.54000000004</v>
          </cell>
          <cell r="Z256">
            <v>41794.459999999963</v>
          </cell>
          <cell r="AC256">
            <v>300</v>
          </cell>
        </row>
        <row r="257">
          <cell r="A257" t="str">
            <v>КЛ Каб линия  6кв от ТП10масло-д до ТП-32  1998г.</v>
          </cell>
          <cell r="B257" t="str">
            <v>00000260</v>
          </cell>
          <cell r="C257" t="str">
            <v>ПЕРЕДАЧА</v>
          </cell>
          <cell r="D257" t="str">
            <v>Сооружения</v>
          </cell>
          <cell r="E257" t="str">
            <v>01.09.1998</v>
          </cell>
          <cell r="F257" t="str">
            <v>Цех электрических сетей</v>
          </cell>
          <cell r="X257">
            <v>35457.019999999997</v>
          </cell>
          <cell r="Y257">
            <v>28365.6008</v>
          </cell>
          <cell r="Z257">
            <v>7091.4191999999966</v>
          </cell>
          <cell r="AC257">
            <v>300</v>
          </cell>
        </row>
        <row r="258">
          <cell r="A258" t="str">
            <v>КЛ Кабельн линия 6кв от ТП36 до ТП51 ГОСНИ  1997г.</v>
          </cell>
          <cell r="B258" t="str">
            <v>00000187</v>
          </cell>
          <cell r="C258" t="str">
            <v>ПЕРЕДАЧА</v>
          </cell>
          <cell r="D258" t="str">
            <v>Сооружения</v>
          </cell>
          <cell r="E258" t="str">
            <v>01.12.1997</v>
          </cell>
          <cell r="F258" t="str">
            <v>Цех электрических сетей</v>
          </cell>
          <cell r="X258">
            <v>40341</v>
          </cell>
          <cell r="Y258">
            <v>34020.44</v>
          </cell>
          <cell r="Z258">
            <v>6320.5599999999977</v>
          </cell>
          <cell r="AC258">
            <v>300</v>
          </cell>
        </row>
        <row r="259">
          <cell r="A259" t="str">
            <v>КЛ Кабельна линия 6кв  от ТП22 до ТП-67школа5</v>
          </cell>
          <cell r="B259" t="str">
            <v>00000263</v>
          </cell>
          <cell r="C259" t="str">
            <v>ПЕРЕДАЧА</v>
          </cell>
          <cell r="D259" t="str">
            <v>Сооружения</v>
          </cell>
          <cell r="E259" t="str">
            <v>01.05.2000</v>
          </cell>
          <cell r="F259" t="str">
            <v>Цех электрических сетей</v>
          </cell>
          <cell r="X259">
            <v>52749</v>
          </cell>
          <cell r="Y259">
            <v>45540.479999999996</v>
          </cell>
          <cell r="Z259">
            <v>7208.5200000000041</v>
          </cell>
          <cell r="AC259">
            <v>300</v>
          </cell>
        </row>
        <row r="260">
          <cell r="A260" t="str">
            <v>КЛ Кабельна линия 6кв от ТП4 до ТП 51 Госни 1997г.</v>
          </cell>
          <cell r="B260" t="str">
            <v>00000188</v>
          </cell>
          <cell r="C260" t="str">
            <v>ПЕРЕДАЧА</v>
          </cell>
          <cell r="D260" t="str">
            <v>Сооружения</v>
          </cell>
          <cell r="E260" t="str">
            <v>01.12.1997</v>
          </cell>
          <cell r="F260" t="str">
            <v>Цех электрических сетей</v>
          </cell>
          <cell r="X260">
            <v>64033</v>
          </cell>
          <cell r="Y260">
            <v>53999.94</v>
          </cell>
          <cell r="Z260">
            <v>10033.059999999998</v>
          </cell>
          <cell r="AC260">
            <v>300</v>
          </cell>
        </row>
        <row r="261">
          <cell r="A261" t="str">
            <v>КЛ Кабельная линия 6 кв от ТП43 до ТП67 школа5</v>
          </cell>
          <cell r="B261" t="str">
            <v>00000264</v>
          </cell>
          <cell r="C261" t="str">
            <v>ПЕРЕДАЧА</v>
          </cell>
          <cell r="D261" t="str">
            <v>Сооружения</v>
          </cell>
          <cell r="E261" t="str">
            <v>01.05.2000</v>
          </cell>
          <cell r="F261" t="str">
            <v>Цех электрических сетей</v>
          </cell>
          <cell r="X261">
            <v>216062</v>
          </cell>
          <cell r="Y261">
            <v>186533.7</v>
          </cell>
          <cell r="Z261">
            <v>29528.299999999988</v>
          </cell>
          <cell r="AC261">
            <v>300</v>
          </cell>
        </row>
        <row r="262">
          <cell r="A262" t="str">
            <v>КЛ Кабельная линия от ТП10 Масл-д до ТП-12  1998г.</v>
          </cell>
          <cell r="B262" t="str">
            <v>00000259</v>
          </cell>
          <cell r="C262" t="str">
            <v>ПЕРЕДАЧА</v>
          </cell>
          <cell r="D262" t="str">
            <v>Сооружения</v>
          </cell>
          <cell r="E262" t="str">
            <v>01.09.1998</v>
          </cell>
          <cell r="F262" t="str">
            <v>Цех электрических сетей</v>
          </cell>
          <cell r="X262">
            <v>29010.3</v>
          </cell>
          <cell r="Y262">
            <v>23208.022000000001</v>
          </cell>
          <cell r="Z262">
            <v>5802.2779999999984</v>
          </cell>
          <cell r="AC262">
            <v>300</v>
          </cell>
        </row>
        <row r="263">
          <cell r="A263" t="str">
            <v>КЛ-0,4 кВ от ТП №108 до гаражей КОС</v>
          </cell>
          <cell r="B263" t="str">
            <v>000001649</v>
          </cell>
          <cell r="C263" t="str">
            <v>ПЕРЕДАЧА</v>
          </cell>
          <cell r="D263" t="str">
            <v>Сооружения</v>
          </cell>
          <cell r="E263" t="str">
            <v>31.12.2014</v>
          </cell>
          <cell r="F263" t="str">
            <v>Цех электрических сетей</v>
          </cell>
          <cell r="X263">
            <v>1587345.72</v>
          </cell>
          <cell r="Y263">
            <v>444456.62880000001</v>
          </cell>
          <cell r="Z263">
            <v>1142889.0911999999</v>
          </cell>
          <cell r="AC263">
            <v>300</v>
          </cell>
        </row>
        <row r="264">
          <cell r="A264" t="str">
            <v>КЛ-0,4 кВ от ТП №108 до телерадиовещательной компании</v>
          </cell>
          <cell r="B264" t="str">
            <v>000001650</v>
          </cell>
          <cell r="C264" t="str">
            <v>ПЕРЕДАЧА</v>
          </cell>
          <cell r="D264" t="str">
            <v>Сооружения</v>
          </cell>
          <cell r="E264" t="str">
            <v>31.12.2014</v>
          </cell>
          <cell r="F264" t="str">
            <v>Цех электрических сетей</v>
          </cell>
          <cell r="X264">
            <v>696158.11</v>
          </cell>
          <cell r="Y264">
            <v>194924.48439999999</v>
          </cell>
          <cell r="Z264">
            <v>501233.62560000003</v>
          </cell>
          <cell r="AC264">
            <v>300</v>
          </cell>
        </row>
        <row r="265">
          <cell r="A265" t="str">
            <v>КЛ-0,4 кВ электроснабжение объекта "Ненецкая СББЖ г.Нарьян-Мара"</v>
          </cell>
          <cell r="B265" t="str">
            <v>000001671</v>
          </cell>
          <cell r="C265" t="str">
            <v>ПЕРЕДАЧА</v>
          </cell>
          <cell r="D265" t="str">
            <v>Сооружения</v>
          </cell>
          <cell r="E265" t="str">
            <v>31.12.2015</v>
          </cell>
          <cell r="F265" t="str">
            <v>Цех электрических сетей</v>
          </cell>
          <cell r="X265">
            <v>1216470.52</v>
          </cell>
          <cell r="Y265">
            <v>291952.82079999999</v>
          </cell>
          <cell r="Z265">
            <v>924517.69920000003</v>
          </cell>
          <cell r="AC265">
            <v>300</v>
          </cell>
        </row>
        <row r="266">
          <cell r="A266" t="str">
            <v>КЛ-0,4 кВ(от  ТП Бондарная до очистных) 40м</v>
          </cell>
          <cell r="B266" t="str">
            <v>00001222</v>
          </cell>
          <cell r="C266" t="str">
            <v>ПЕРЕДАЧА</v>
          </cell>
          <cell r="D266" t="str">
            <v>Сооружения</v>
          </cell>
          <cell r="E266" t="str">
            <v>30.06.2010</v>
          </cell>
          <cell r="F266" t="str">
            <v>Цех электрических сетей</v>
          </cell>
          <cell r="X266">
            <v>28330.05</v>
          </cell>
          <cell r="Y266">
            <v>13031.382</v>
          </cell>
          <cell r="Z266">
            <v>15298.668</v>
          </cell>
          <cell r="AC266">
            <v>300</v>
          </cell>
        </row>
        <row r="267">
          <cell r="A267" t="str">
            <v>КЛ-0,4кВ (от  ТП Бондарная до ЛЭП-0,4)  25м</v>
          </cell>
          <cell r="B267" t="str">
            <v>00001227</v>
          </cell>
          <cell r="C267" t="str">
            <v>ПЕРЕДАЧА</v>
          </cell>
          <cell r="D267" t="str">
            <v>Сооружения</v>
          </cell>
          <cell r="E267" t="str">
            <v>30.06.2010</v>
          </cell>
          <cell r="F267" t="str">
            <v>Цех электрических сетей</v>
          </cell>
          <cell r="X267">
            <v>10494.92</v>
          </cell>
          <cell r="Y267">
            <v>4827.2767999999996</v>
          </cell>
          <cell r="Z267">
            <v>5667.6432000000004</v>
          </cell>
          <cell r="AC267">
            <v>300</v>
          </cell>
        </row>
        <row r="268">
          <cell r="A268" t="str">
            <v>КЛ-0,4кВ (от ТП № 104  до КНС2)  ул. Авиаторов 2013г (450 м)</v>
          </cell>
          <cell r="B268" t="str">
            <v>000001613</v>
          </cell>
          <cell r="C268" t="str">
            <v>ПЕРЕДАЧА</v>
          </cell>
          <cell r="D268" t="str">
            <v>Сооружения</v>
          </cell>
          <cell r="E268" t="str">
            <v>31.01.2014</v>
          </cell>
          <cell r="F268" t="str">
            <v>Цех электрических сетей</v>
          </cell>
          <cell r="X268">
            <v>1207827.9099999999</v>
          </cell>
          <cell r="Y268">
            <v>381492.66639999999</v>
          </cell>
          <cell r="Z268">
            <v>826335.24359999993</v>
          </cell>
          <cell r="AC268">
            <v>300</v>
          </cell>
        </row>
        <row r="269">
          <cell r="A269" t="str">
            <v>КЛ-0,4кВ (от ТП № 104  до котельной)  ул. Авиаторов 2013г (50 м)</v>
          </cell>
          <cell r="B269" t="str">
            <v>000001612</v>
          </cell>
          <cell r="C269" t="str">
            <v>ПЕРЕДАЧА</v>
          </cell>
          <cell r="D269" t="str">
            <v>Сооружения</v>
          </cell>
          <cell r="E269" t="str">
            <v>31.01.2014</v>
          </cell>
          <cell r="F269" t="str">
            <v>Цех электрических сетей</v>
          </cell>
          <cell r="X269">
            <v>159632.63</v>
          </cell>
          <cell r="Y269">
            <v>53562.195200000002</v>
          </cell>
          <cell r="Z269">
            <v>106070.4348</v>
          </cell>
          <cell r="AC269">
            <v>300</v>
          </cell>
        </row>
        <row r="270">
          <cell r="A270" t="str">
            <v>КЛ-0,4кВ от ТП-61 до магазина "Арбат"</v>
          </cell>
          <cell r="B270" t="str">
            <v>00001357</v>
          </cell>
          <cell r="C270" t="str">
            <v>ПЕРЕДАЧА</v>
          </cell>
          <cell r="D270" t="str">
            <v>Сооружения</v>
          </cell>
          <cell r="E270" t="str">
            <v>30.06.2011</v>
          </cell>
          <cell r="F270" t="str">
            <v>Цех электрических сетей</v>
          </cell>
          <cell r="X270">
            <v>43118.239999999998</v>
          </cell>
          <cell r="Y270">
            <v>18109.9496</v>
          </cell>
          <cell r="Z270">
            <v>25008.290399999998</v>
          </cell>
          <cell r="AC270">
            <v>300</v>
          </cell>
        </row>
        <row r="271">
          <cell r="A271" t="str">
            <v>КЛ-0,4кВ от ТП-98 до ВЛ-0,4кВ"ЛедовыйДворец"120м</v>
          </cell>
          <cell r="B271" t="str">
            <v>00001473</v>
          </cell>
          <cell r="C271" t="str">
            <v>ПЕРЕДАЧА</v>
          </cell>
          <cell r="D271" t="str">
            <v>Сооружения</v>
          </cell>
          <cell r="E271" t="str">
            <v>31.12.2011</v>
          </cell>
          <cell r="F271" t="str">
            <v>Цех электрических сетей</v>
          </cell>
          <cell r="X271">
            <v>160102.93</v>
          </cell>
          <cell r="Y271">
            <v>64041.557200000003</v>
          </cell>
          <cell r="Z271">
            <v>96061.372799999983</v>
          </cell>
          <cell r="AC271">
            <v>300</v>
          </cell>
        </row>
        <row r="272">
          <cell r="A272" t="str">
            <v>КЛ-6 кВ ввод в ТП №44</v>
          </cell>
          <cell r="B272" t="str">
            <v>000001670</v>
          </cell>
          <cell r="C272" t="str">
            <v>ПЕРЕДАЧА</v>
          </cell>
          <cell r="D272" t="str">
            <v>Сооружения</v>
          </cell>
          <cell r="E272" t="str">
            <v>31.12.2015</v>
          </cell>
          <cell r="F272" t="str">
            <v>Цех электрических сетей</v>
          </cell>
          <cell r="X272">
            <v>810099.76</v>
          </cell>
          <cell r="Y272">
            <v>194423.7904</v>
          </cell>
          <cell r="Z272">
            <v>615675.96959999995</v>
          </cell>
          <cell r="AC272">
            <v>300</v>
          </cell>
        </row>
        <row r="273">
          <cell r="A273" t="str">
            <v>КЛ-6 кВ от ВЛ-6 кВ до ТП 57 "Геолог"</v>
          </cell>
          <cell r="B273" t="str">
            <v>000001858</v>
          </cell>
          <cell r="C273" t="str">
            <v>ПЕРЕДАЧА</v>
          </cell>
          <cell r="D273" t="str">
            <v>Сооружения</v>
          </cell>
          <cell r="E273" t="str">
            <v>11.06.2021</v>
          </cell>
          <cell r="F273" t="str">
            <v>Цех электрических сетей</v>
          </cell>
          <cell r="X273">
            <v>5154423.37</v>
          </cell>
          <cell r="Y273">
            <v>103088.46739999999</v>
          </cell>
          <cell r="Z273">
            <v>5051334.9025999997</v>
          </cell>
          <cell r="AC273">
            <v>300</v>
          </cell>
        </row>
        <row r="274">
          <cell r="A274" t="str">
            <v>КЛ-6кВ "Малый Качгорт"</v>
          </cell>
          <cell r="B274" t="str">
            <v>000001697</v>
          </cell>
          <cell r="C274" t="str">
            <v>ПЕРЕДАЧА</v>
          </cell>
          <cell r="D274" t="str">
            <v>Сооружения</v>
          </cell>
          <cell r="E274" t="str">
            <v>09.12.2016</v>
          </cell>
          <cell r="F274" t="str">
            <v>Цех электрических сетей</v>
          </cell>
          <cell r="X274">
            <v>839595.6</v>
          </cell>
          <cell r="Y274">
            <v>167919.02400000003</v>
          </cell>
          <cell r="Z274">
            <v>671676.57599999988</v>
          </cell>
          <cell r="AC274">
            <v>300</v>
          </cell>
        </row>
        <row r="275">
          <cell r="A275" t="str">
            <v>КЛ-6кВ (от ВЛ до ТП Бондарная) 70м</v>
          </cell>
          <cell r="B275" t="str">
            <v>00001224</v>
          </cell>
          <cell r="C275" t="str">
            <v>ПЕРЕДАЧА</v>
          </cell>
          <cell r="D275" t="str">
            <v>Сооружения</v>
          </cell>
          <cell r="E275" t="str">
            <v>30.06.2010</v>
          </cell>
          <cell r="F275" t="str">
            <v>Цех электрических сетей</v>
          </cell>
          <cell r="X275">
            <v>78003.429999999993</v>
          </cell>
          <cell r="Y275">
            <v>35881.397199999999</v>
          </cell>
          <cell r="Z275">
            <v>42122.032799999994</v>
          </cell>
          <cell r="AC275">
            <v>300</v>
          </cell>
        </row>
        <row r="276">
          <cell r="A276" t="str">
            <v>КЛ-6кВ (от ГРУ до ТП № 104)  ул. Авиаторов 2013г (2320 м)</v>
          </cell>
          <cell r="B276" t="str">
            <v>000001609</v>
          </cell>
          <cell r="C276" t="str">
            <v>ПЕРЕДАЧА</v>
          </cell>
          <cell r="D276" t="str">
            <v>Сооружения</v>
          </cell>
          <cell r="E276" t="str">
            <v>31.01.2014</v>
          </cell>
          <cell r="F276" t="str">
            <v>Цех электрических сетей</v>
          </cell>
          <cell r="X276">
            <v>6108140.8300000001</v>
          </cell>
          <cell r="Y276">
            <v>1935361.8832</v>
          </cell>
          <cell r="Z276">
            <v>4172778.9468</v>
          </cell>
          <cell r="AC276">
            <v>300</v>
          </cell>
        </row>
        <row r="277">
          <cell r="A277" t="str">
            <v>КЛ-6кВ (от ГРУ до ТП № 105)  ул. Авиаторов 2013г (1850 м)</v>
          </cell>
          <cell r="B277" t="str">
            <v>000001610</v>
          </cell>
          <cell r="C277" t="str">
            <v>ПЕРЕДАЧА</v>
          </cell>
          <cell r="D277" t="str">
            <v>Сооружения</v>
          </cell>
          <cell r="E277" t="str">
            <v>31.01.2014</v>
          </cell>
          <cell r="F277" t="str">
            <v>Цех электрических сетей</v>
          </cell>
          <cell r="X277">
            <v>4876511.38</v>
          </cell>
          <cell r="Y277">
            <v>1545409.7952000001</v>
          </cell>
          <cell r="Z277">
            <v>3331101.5847999998</v>
          </cell>
          <cell r="AC277">
            <v>300</v>
          </cell>
        </row>
        <row r="278">
          <cell r="A278" t="str">
            <v>КЛ-6кВ (от ТП № 104  до ТП № 105)  ул. Авиаторов 2013г (470 м)</v>
          </cell>
          <cell r="B278" t="str">
            <v>000001611</v>
          </cell>
          <cell r="C278" t="str">
            <v>ПЕРЕДАЧА</v>
          </cell>
          <cell r="D278" t="str">
            <v>Сооружения</v>
          </cell>
          <cell r="E278" t="str">
            <v>31.01.2014</v>
          </cell>
          <cell r="F278" t="str">
            <v>Цех электрических сетей</v>
          </cell>
          <cell r="X278">
            <v>1260237.67</v>
          </cell>
          <cell r="Y278">
            <v>400446.0968</v>
          </cell>
          <cell r="Z278">
            <v>859791.57319999998</v>
          </cell>
          <cell r="AC278">
            <v>300</v>
          </cell>
        </row>
        <row r="279">
          <cell r="A279" t="str">
            <v>КЛ-6кВ по улице Южная от ТП №34 до ТП №104</v>
          </cell>
          <cell r="B279" t="str">
            <v>000001691</v>
          </cell>
          <cell r="C279" t="str">
            <v>ПЕРЕДАЧА</v>
          </cell>
          <cell r="D279" t="str">
            <v>Сооружения</v>
          </cell>
          <cell r="E279" t="str">
            <v>30.11.2016</v>
          </cell>
          <cell r="F279" t="str">
            <v>Цех электрических сетей</v>
          </cell>
          <cell r="X279">
            <v>1603423.77</v>
          </cell>
          <cell r="Y279">
            <v>326029.70079999999</v>
          </cell>
          <cell r="Z279">
            <v>1277394.0692</v>
          </cell>
          <cell r="AC279">
            <v>300</v>
          </cell>
        </row>
        <row r="280">
          <cell r="A280" t="str">
            <v>КЛ-6кВ ТП №21-ТП №113 "Молодежный центр"</v>
          </cell>
          <cell r="B280" t="str">
            <v>000001693</v>
          </cell>
          <cell r="C280" t="str">
            <v>ПЕРЕДАЧА</v>
          </cell>
          <cell r="D280" t="str">
            <v>Сооружения</v>
          </cell>
          <cell r="E280" t="str">
            <v>30.11.2016</v>
          </cell>
          <cell r="F280" t="str">
            <v>Цех электрических сетей</v>
          </cell>
          <cell r="X280">
            <v>534839</v>
          </cell>
          <cell r="Y280">
            <v>108750.76</v>
          </cell>
          <cell r="Z280">
            <v>426088.24</v>
          </cell>
          <cell r="AC280">
            <v>300</v>
          </cell>
        </row>
        <row r="281">
          <cell r="A281" t="str">
            <v>КЛ-6кВ ТП №7-ТП №113 "Молодежный центр"</v>
          </cell>
          <cell r="B281" t="str">
            <v>000001692</v>
          </cell>
          <cell r="C281" t="str">
            <v>ПЕРЕДАЧА</v>
          </cell>
          <cell r="D281" t="str">
            <v>Сооружения</v>
          </cell>
          <cell r="E281" t="str">
            <v>30.11.2016</v>
          </cell>
          <cell r="F281" t="str">
            <v>Цех электрических сетей</v>
          </cell>
          <cell r="X281">
            <v>1839551</v>
          </cell>
          <cell r="Y281">
            <v>374042.2</v>
          </cell>
          <cell r="Z281">
            <v>1465508.8</v>
          </cell>
          <cell r="AC281">
            <v>300</v>
          </cell>
        </row>
        <row r="282">
          <cell r="A282" t="str">
            <v>Комплексная трансформаторная подстанция</v>
          </cell>
          <cell r="B282" t="str">
            <v>000001846</v>
          </cell>
          <cell r="C282" t="str">
            <v>ПЕРЕДАЧА</v>
          </cell>
          <cell r="D282" t="str">
            <v>Сооружения</v>
          </cell>
          <cell r="E282" t="str">
            <v>14.04.2021</v>
          </cell>
          <cell r="F282" t="str">
            <v>Цех электрических сетей</v>
          </cell>
          <cell r="X282">
            <v>13972965.5</v>
          </cell>
          <cell r="Y282">
            <v>372612.41333333333</v>
          </cell>
          <cell r="Z282">
            <v>13600353.086666666</v>
          </cell>
          <cell r="AC282">
            <v>300</v>
          </cell>
        </row>
        <row r="283">
          <cell r="A283" t="str">
            <v>Комплексная трансформаторная подстанция ЗРУ-6кВ</v>
          </cell>
          <cell r="B283" t="str">
            <v>000001779</v>
          </cell>
          <cell r="C283" t="str">
            <v>ПЕРЕДАЧА</v>
          </cell>
          <cell r="D283" t="str">
            <v>Сооружения</v>
          </cell>
          <cell r="E283" t="str">
            <v>30.09.2019</v>
          </cell>
          <cell r="F283" t="str">
            <v>Цех электрических сетей</v>
          </cell>
          <cell r="X283">
            <v>4968188.32</v>
          </cell>
          <cell r="Y283">
            <v>494985.57874538738</v>
          </cell>
          <cell r="Z283">
            <v>4473202.7412546128</v>
          </cell>
          <cell r="AC283">
            <v>271</v>
          </cell>
        </row>
        <row r="284">
          <cell r="A284" t="str">
            <v>Комплект индикаторов короткого замыкания ИКЗ-В34Л-У3</v>
          </cell>
          <cell r="B284" t="str">
            <v>000001813</v>
          </cell>
          <cell r="C284" t="str">
            <v>ПЕРЕДАЧА</v>
          </cell>
          <cell r="D284" t="str">
            <v>Машины и оборудование (кроме офисного)</v>
          </cell>
          <cell r="E284" t="str">
            <v>16.06.2020</v>
          </cell>
          <cell r="F284" t="str">
            <v>Цех электрических сетей</v>
          </cell>
          <cell r="X284">
            <v>148800.01</v>
          </cell>
          <cell r="Y284">
            <v>31885.724285714285</v>
          </cell>
          <cell r="Z284">
            <v>116914.28571428572</v>
          </cell>
          <cell r="AC284">
            <v>84</v>
          </cell>
        </row>
        <row r="285">
          <cell r="A285" t="str">
            <v>Комплектная трансф.подстанция 2КТПН-400 6-0,4 кВ ТП№108"район очистных сооружений"</v>
          </cell>
          <cell r="B285" t="str">
            <v>000001481</v>
          </cell>
          <cell r="C285" t="str">
            <v>ПЕРЕДАЧА</v>
          </cell>
          <cell r="D285" t="str">
            <v>Сооружения</v>
          </cell>
          <cell r="E285" t="str">
            <v>24.09.2012</v>
          </cell>
          <cell r="F285" t="str">
            <v>Цех электрических сетей</v>
          </cell>
          <cell r="X285">
            <v>4878439.33</v>
          </cell>
          <cell r="Y285">
            <v>2083140.57</v>
          </cell>
          <cell r="Z285">
            <v>2795298.76</v>
          </cell>
          <cell r="AC285">
            <v>240</v>
          </cell>
        </row>
        <row r="286">
          <cell r="A286" t="str">
            <v>Комплектная трансф.подстанция 2КТПН-400 6-0,4 кВ ТП№15 "СЭС"</v>
          </cell>
          <cell r="B286" t="str">
            <v>000001480</v>
          </cell>
          <cell r="C286" t="str">
            <v>ПЕРЕДАЧА</v>
          </cell>
          <cell r="D286" t="str">
            <v>Сооружения</v>
          </cell>
          <cell r="E286" t="str">
            <v>24.09.2012</v>
          </cell>
          <cell r="F286" t="str">
            <v>Цех электрических сетей</v>
          </cell>
          <cell r="X286">
            <v>3311006.56</v>
          </cell>
          <cell r="Y286">
            <v>1470484.0699999998</v>
          </cell>
          <cell r="Z286">
            <v>1840522.4900000002</v>
          </cell>
          <cell r="AC286">
            <v>240</v>
          </cell>
        </row>
        <row r="287">
          <cell r="A287" t="str">
            <v>Комплектная трансф.подстанция 2КТПН-400 6-0,4 кВ ТП№61 "поликлиника"</v>
          </cell>
          <cell r="B287" t="str">
            <v>000001482</v>
          </cell>
          <cell r="C287" t="str">
            <v>ПЕРЕДАЧА</v>
          </cell>
          <cell r="D287" t="str">
            <v>Сооружения</v>
          </cell>
          <cell r="E287" t="str">
            <v>24.09.2012</v>
          </cell>
          <cell r="F287" t="str">
            <v>Цех электрических сетей</v>
          </cell>
          <cell r="X287">
            <v>2507189.35</v>
          </cell>
          <cell r="Y287">
            <v>1153618.3500000001</v>
          </cell>
          <cell r="Z287">
            <v>1353571</v>
          </cell>
          <cell r="AC287">
            <v>240</v>
          </cell>
        </row>
        <row r="288">
          <cell r="A288" t="str">
            <v>Комплектная трансформаторная подстанция 6/0,4 кВ</v>
          </cell>
          <cell r="B288" t="str">
            <v>000001886</v>
          </cell>
          <cell r="C288" t="str">
            <v>ПЕРЕДАЧА</v>
          </cell>
          <cell r="D288" t="str">
            <v>Здания</v>
          </cell>
          <cell r="E288">
            <v>44560</v>
          </cell>
          <cell r="F288" t="str">
            <v>Цех электрических сетей</v>
          </cell>
          <cell r="X288">
            <v>3745581.16</v>
          </cell>
          <cell r="Z288">
            <v>3745581.16</v>
          </cell>
          <cell r="AC288">
            <v>360</v>
          </cell>
        </row>
        <row r="289">
          <cell r="A289" t="str">
            <v>Комплектная трансформаторная подстанция КТП2×400/6/0,4</v>
          </cell>
          <cell r="B289" t="str">
            <v>000001827</v>
          </cell>
          <cell r="C289" t="str">
            <v>ПЕРЕДАЧА</v>
          </cell>
          <cell r="D289" t="str">
            <v>Здания</v>
          </cell>
          <cell r="E289" t="str">
            <v>30.12.2020</v>
          </cell>
          <cell r="F289" t="str">
            <v>Цех электрических сетей</v>
          </cell>
          <cell r="X289">
            <v>6249519.9500000002</v>
          </cell>
          <cell r="Y289">
            <v>208317.33166666667</v>
          </cell>
          <cell r="Z289">
            <v>6041202.6183333332</v>
          </cell>
          <cell r="AC289">
            <v>360</v>
          </cell>
        </row>
        <row r="290">
          <cell r="A290" t="str">
            <v>Компрессор поршневой К2</v>
          </cell>
          <cell r="B290" t="str">
            <v>000001840</v>
          </cell>
          <cell r="C290" t="str">
            <v>ПЕРЕДАЧА</v>
          </cell>
          <cell r="D290" t="str">
            <v>Машины и оборудование (кроме офисного)</v>
          </cell>
          <cell r="E290" t="str">
            <v>16.03.2021</v>
          </cell>
          <cell r="F290" t="str">
            <v>Автотранспортный цех</v>
          </cell>
          <cell r="X290">
            <v>82916.67</v>
          </cell>
          <cell r="Y290">
            <v>6218.7502499999991</v>
          </cell>
          <cell r="Z290">
            <v>76697.919750000001</v>
          </cell>
          <cell r="AC290">
            <v>120</v>
          </cell>
        </row>
        <row r="291">
          <cell r="A291" t="str">
            <v>КСО 393 030660 УЗ ВНА №1</v>
          </cell>
          <cell r="B291" t="str">
            <v>00000988</v>
          </cell>
          <cell r="C291" t="str">
            <v>ПЕРЕДАЧА</v>
          </cell>
          <cell r="D291" t="str">
            <v>Машины и оборудование (кроме офисного)</v>
          </cell>
          <cell r="E291" t="str">
            <v>31.08.2006</v>
          </cell>
          <cell r="F291" t="str">
            <v>Цех электрических сетей</v>
          </cell>
          <cell r="X291">
            <v>30807.5</v>
          </cell>
          <cell r="Y291">
            <v>30807.5</v>
          </cell>
          <cell r="Z291">
            <v>0</v>
          </cell>
          <cell r="AC291">
            <v>180</v>
          </cell>
        </row>
        <row r="292">
          <cell r="A292" t="str">
            <v>КСО 393 030660 УЗ ВНА №2</v>
          </cell>
          <cell r="B292" t="str">
            <v>00000985</v>
          </cell>
          <cell r="C292" t="str">
            <v>ПЕРЕДАЧА</v>
          </cell>
          <cell r="D292" t="str">
            <v>Машины и оборудование (кроме офисного)</v>
          </cell>
          <cell r="E292" t="str">
            <v>31.08.2006</v>
          </cell>
          <cell r="F292" t="str">
            <v>Цех электрических сетей</v>
          </cell>
          <cell r="X292">
            <v>30807.5</v>
          </cell>
          <cell r="Y292">
            <v>30807.5</v>
          </cell>
          <cell r="Z292">
            <v>0</v>
          </cell>
          <cell r="AC292">
            <v>180</v>
          </cell>
        </row>
        <row r="293">
          <cell r="A293" t="str">
            <v>КСО 393 030660 УЗ ВНА №3</v>
          </cell>
          <cell r="B293" t="str">
            <v>00000986</v>
          </cell>
          <cell r="C293" t="str">
            <v>ПЕРЕДАЧА</v>
          </cell>
          <cell r="D293" t="str">
            <v>Машины и оборудование (кроме офисного)</v>
          </cell>
          <cell r="E293" t="str">
            <v>31.08.2006</v>
          </cell>
          <cell r="F293" t="str">
            <v>Цех электрических сетей</v>
          </cell>
          <cell r="X293">
            <v>30807.5</v>
          </cell>
          <cell r="Y293">
            <v>30807.5</v>
          </cell>
          <cell r="Z293">
            <v>0</v>
          </cell>
          <cell r="AC293">
            <v>180</v>
          </cell>
        </row>
        <row r="294">
          <cell r="A294" t="str">
            <v>КСО 393 030660 УЗ ВНА №4</v>
          </cell>
          <cell r="B294" t="str">
            <v>00000987</v>
          </cell>
          <cell r="C294" t="str">
            <v>ПЕРЕДАЧА</v>
          </cell>
          <cell r="D294" t="str">
            <v>Машины и оборудование (кроме офисного)</v>
          </cell>
          <cell r="E294" t="str">
            <v>31.08.2006</v>
          </cell>
          <cell r="F294" t="str">
            <v>Цех электрических сетей</v>
          </cell>
          <cell r="X294">
            <v>30807.5</v>
          </cell>
          <cell r="Y294">
            <v>30807.5</v>
          </cell>
          <cell r="Z294">
            <v>0</v>
          </cell>
          <cell r="AC294">
            <v>180</v>
          </cell>
        </row>
        <row r="295">
          <cell r="A295" t="str">
            <v>КТП-40  ТП-59 школа№6  1995г.</v>
          </cell>
          <cell r="B295" t="str">
            <v>00000230</v>
          </cell>
          <cell r="C295" t="str">
            <v>ПЕРЕДАЧА</v>
          </cell>
          <cell r="D295" t="str">
            <v>Машины и оборудование (кроме офисного)</v>
          </cell>
          <cell r="E295" t="str">
            <v>01.01.1995</v>
          </cell>
          <cell r="F295" t="str">
            <v>Цех электрических сетей</v>
          </cell>
          <cell r="X295">
            <v>1922264.54</v>
          </cell>
          <cell r="Y295">
            <v>249513.28000000003</v>
          </cell>
          <cell r="Z295">
            <v>1672751.26</v>
          </cell>
          <cell r="AC295">
            <v>539</v>
          </cell>
        </row>
        <row r="296">
          <cell r="A296" t="str">
            <v>Лабораторно-диагностический корпус для ГУЗ "Ненецкая окружная больница". Трансформаторная подстанция</v>
          </cell>
          <cell r="B296" t="str">
            <v>000001713</v>
          </cell>
          <cell r="C296" t="str">
            <v>ПЕРЕДАЧА</v>
          </cell>
          <cell r="D296" t="str">
            <v>Сооружения</v>
          </cell>
          <cell r="E296" t="str">
            <v>05.09.2017</v>
          </cell>
          <cell r="F296" t="str">
            <v>Цех электрических сетей</v>
          </cell>
          <cell r="X296">
            <v>3378256.22</v>
          </cell>
          <cell r="Y296">
            <v>478586.49066666671</v>
          </cell>
          <cell r="Z296">
            <v>2899669.7293333337</v>
          </cell>
          <cell r="AC296">
            <v>360</v>
          </cell>
        </row>
        <row r="297">
          <cell r="A297" t="str">
            <v>Линия электропередач - 0,4 кВ. в с. Тельвиска</v>
          </cell>
          <cell r="B297" t="str">
            <v>000001842</v>
          </cell>
          <cell r="C297" t="str">
            <v>ПЕРЕДАЧА</v>
          </cell>
          <cell r="D297" t="str">
            <v>Сооружения</v>
          </cell>
          <cell r="E297" t="str">
            <v>14.04.2021</v>
          </cell>
          <cell r="F297" t="str">
            <v>Цех электрических сетей</v>
          </cell>
          <cell r="X297">
            <v>8912257.2300000004</v>
          </cell>
          <cell r="Y297">
            <v>169757.28057142859</v>
          </cell>
          <cell r="Z297">
            <v>8742499.9494285714</v>
          </cell>
          <cell r="AC297">
            <v>420</v>
          </cell>
        </row>
        <row r="298">
          <cell r="A298" t="str">
            <v>Линия электропередач - 0,4 кВ. в с. Тельвиска</v>
          </cell>
          <cell r="B298" t="str">
            <v>000001845</v>
          </cell>
          <cell r="C298" t="str">
            <v>ПЕРЕДАЧА</v>
          </cell>
          <cell r="D298" t="str">
            <v>Сооружения</v>
          </cell>
          <cell r="E298" t="str">
            <v>14.04.2021</v>
          </cell>
          <cell r="F298" t="str">
            <v>Цех электрических сетей</v>
          </cell>
          <cell r="X298">
            <v>5418041.1200000001</v>
          </cell>
          <cell r="Y298">
            <v>103200.78323809525</v>
          </cell>
          <cell r="Z298">
            <v>5314840.3367619049</v>
          </cell>
          <cell r="AC298">
            <v>420</v>
          </cell>
        </row>
        <row r="299">
          <cell r="A299" t="str">
            <v>Линия электропередач 20 кВ "г.Нарьян-Мар-Красное"</v>
          </cell>
          <cell r="B299" t="str">
            <v>000001570</v>
          </cell>
          <cell r="C299" t="str">
            <v>ПЕРЕДАЧА</v>
          </cell>
          <cell r="D299" t="str">
            <v>Сооружения</v>
          </cell>
          <cell r="E299" t="str">
            <v>31.12.2013</v>
          </cell>
          <cell r="F299" t="str">
            <v>Цех электрических сетей</v>
          </cell>
          <cell r="X299">
            <v>118705028.09999999</v>
          </cell>
          <cell r="Y299">
            <v>37928348.519999996</v>
          </cell>
          <cell r="Z299">
            <v>80776679.579999998</v>
          </cell>
          <cell r="AC299">
            <v>300</v>
          </cell>
        </row>
        <row r="300">
          <cell r="A300" t="str">
            <v>Линия электропередач 6 кВ "г.Нарьян-Мар - с.Тельвиска" НАО</v>
          </cell>
          <cell r="B300" t="str">
            <v>000001507</v>
          </cell>
          <cell r="C300" t="str">
            <v>ПЕРЕДАЧА</v>
          </cell>
          <cell r="D300" t="str">
            <v>Сооружения</v>
          </cell>
          <cell r="E300" t="str">
            <v>21.12.2012</v>
          </cell>
          <cell r="F300" t="str">
            <v>Цех электрических сетей</v>
          </cell>
          <cell r="X300">
            <v>108203150.86</v>
          </cell>
          <cell r="Y300">
            <v>38914966.764399998</v>
          </cell>
          <cell r="Z300">
            <v>69288184.095600009</v>
          </cell>
          <cell r="AC300">
            <v>300</v>
          </cell>
        </row>
        <row r="301">
          <cell r="A301" t="str">
            <v xml:space="preserve">Линия электропередач ВЛИ 0,4кВ </v>
          </cell>
          <cell r="B301" t="str">
            <v>000001887</v>
          </cell>
          <cell r="C301" t="str">
            <v>ПЕРЕДАЧА</v>
          </cell>
          <cell r="D301" t="str">
            <v>Сооружения</v>
          </cell>
          <cell r="E301">
            <v>44561</v>
          </cell>
          <cell r="F301" t="str">
            <v>Цех электрических сетей</v>
          </cell>
          <cell r="X301">
            <v>2771439.99</v>
          </cell>
          <cell r="Z301">
            <v>2771439.99</v>
          </cell>
          <cell r="AC301">
            <v>480</v>
          </cell>
        </row>
        <row r="302">
          <cell r="A302" t="str">
            <v xml:space="preserve">Линия электропередач КЛ 0,4 кВ </v>
          </cell>
          <cell r="B302" t="str">
            <v>000001889</v>
          </cell>
          <cell r="C302" t="str">
            <v>ПЕРЕДАЧА</v>
          </cell>
          <cell r="D302" t="str">
            <v>Сооружения</v>
          </cell>
          <cell r="E302">
            <v>44560</v>
          </cell>
          <cell r="F302" t="str">
            <v>Цех электрических сетей</v>
          </cell>
          <cell r="X302">
            <v>1893457.69</v>
          </cell>
          <cell r="Z302">
            <v>1893457.69</v>
          </cell>
          <cell r="AC302">
            <v>300</v>
          </cell>
        </row>
        <row r="303">
          <cell r="A303" t="str">
            <v>Линия электропередач КЛ 6 кВ</v>
          </cell>
          <cell r="B303" t="str">
            <v>000001888</v>
          </cell>
          <cell r="C303" t="str">
            <v>ПЕРЕДАЧА</v>
          </cell>
          <cell r="D303" t="str">
            <v>Сооружения</v>
          </cell>
          <cell r="E303">
            <v>44560</v>
          </cell>
          <cell r="F303" t="str">
            <v>Цех электрических сетей</v>
          </cell>
          <cell r="X303">
            <v>1308034.49</v>
          </cell>
          <cell r="Z303">
            <v>1308034.49</v>
          </cell>
          <cell r="AC303">
            <v>300</v>
          </cell>
        </row>
        <row r="304">
          <cell r="A304" t="str">
            <v>ЛЭП-6кВ "ЗРУ 6кВ-выход ф.Факел-2" 2007г</v>
          </cell>
          <cell r="B304" t="str">
            <v>00001036</v>
          </cell>
          <cell r="C304" t="str">
            <v>ПЕРЕДАЧА</v>
          </cell>
          <cell r="D304" t="str">
            <v>Сооружения</v>
          </cell>
          <cell r="E304" t="str">
            <v>30.05.2007</v>
          </cell>
          <cell r="F304" t="str">
            <v>Цех электрических сетей</v>
          </cell>
          <cell r="X304">
            <v>103682.93</v>
          </cell>
          <cell r="Y304">
            <v>100803.45533333333</v>
          </cell>
          <cell r="Z304">
            <v>2879.4746666666615</v>
          </cell>
          <cell r="AC304">
            <v>180</v>
          </cell>
        </row>
        <row r="305">
          <cell r="A305" t="str">
            <v>ЛЭП-6кВ ЗРУ6кВ-выход ф. Искателей-1</v>
          </cell>
          <cell r="B305" t="str">
            <v>00001023</v>
          </cell>
          <cell r="C305" t="str">
            <v>ПЕРЕДАЧА</v>
          </cell>
          <cell r="D305" t="str">
            <v>Сооружения</v>
          </cell>
          <cell r="E305" t="str">
            <v>31.07.2007</v>
          </cell>
          <cell r="F305" t="str">
            <v>Цех электрических сетей</v>
          </cell>
          <cell r="X305">
            <v>174104.86</v>
          </cell>
          <cell r="Y305">
            <v>167334.24066666668</v>
          </cell>
          <cell r="Z305">
            <v>6770.6193333333067</v>
          </cell>
          <cell r="AC305">
            <v>180</v>
          </cell>
        </row>
        <row r="306">
          <cell r="A306" t="str">
            <v>ЛЭП-6кВ по ул. Авиаторов</v>
          </cell>
          <cell r="B306" t="str">
            <v>000001421</v>
          </cell>
          <cell r="C306" t="str">
            <v>ПЕРЕДАЧА</v>
          </cell>
          <cell r="D306" t="str">
            <v>Сооружения</v>
          </cell>
          <cell r="E306" t="str">
            <v>31.05.2012</v>
          </cell>
          <cell r="F306" t="str">
            <v>Цех электрических сетей</v>
          </cell>
          <cell r="X306">
            <v>56375.26</v>
          </cell>
          <cell r="Y306">
            <v>35662.44</v>
          </cell>
          <cell r="Z306">
            <v>20712.82</v>
          </cell>
          <cell r="AC306">
            <v>180</v>
          </cell>
        </row>
        <row r="307">
          <cell r="A307" t="str">
            <v>Многоквартирный жилой дом по ул. Пионерской г.Нарьян-Мар. Наружные сети электроснабжения</v>
          </cell>
          <cell r="B307" t="str">
            <v>000001873</v>
          </cell>
          <cell r="C307" t="str">
            <v>ПЕРЕДАЧА</v>
          </cell>
          <cell r="D307" t="str">
            <v>Сооружения</v>
          </cell>
          <cell r="E307">
            <v>44560</v>
          </cell>
          <cell r="F307" t="str">
            <v>Цех электрических сетей</v>
          </cell>
          <cell r="X307">
            <v>1064000</v>
          </cell>
          <cell r="Z307">
            <v>1064000</v>
          </cell>
          <cell r="AC307">
            <v>420</v>
          </cell>
        </row>
        <row r="308">
          <cell r="A308" t="str">
            <v>Модуль УВН КТПГС-6кВ (ЗРУ-6кВ)</v>
          </cell>
          <cell r="B308" t="str">
            <v>00001099</v>
          </cell>
          <cell r="C308" t="str">
            <v>ПЕРЕДАЧА</v>
          </cell>
          <cell r="D308" t="str">
            <v>Сооружения</v>
          </cell>
          <cell r="E308" t="str">
            <v>31.10.2010</v>
          </cell>
          <cell r="F308" t="str">
            <v>Цех электрических сетей</v>
          </cell>
          <cell r="X308">
            <v>2085041.06</v>
          </cell>
          <cell r="Y308">
            <v>1198807.5599999998</v>
          </cell>
          <cell r="Z308">
            <v>886233.50000000023</v>
          </cell>
          <cell r="AC308">
            <v>240</v>
          </cell>
        </row>
        <row r="309">
          <cell r="A309" t="str">
            <v>Н/в каб от ТП-20, 10 до банка Поморск 117м  96г</v>
          </cell>
          <cell r="B309" t="str">
            <v>00000179</v>
          </cell>
          <cell r="C309" t="str">
            <v>ПЕРЕДАЧА</v>
          </cell>
          <cell r="D309" t="str">
            <v>Сооружения</v>
          </cell>
          <cell r="E309" t="str">
            <v>01.01.1996</v>
          </cell>
          <cell r="F309" t="str">
            <v>Цех электрических сетей</v>
          </cell>
          <cell r="X309">
            <v>34350</v>
          </cell>
          <cell r="Y309">
            <v>28969</v>
          </cell>
          <cell r="Z309">
            <v>5381</v>
          </cell>
          <cell r="AC309">
            <v>300</v>
          </cell>
        </row>
        <row r="310">
          <cell r="A310" t="str">
            <v>Наружные высоковольтные сети эл/снаб. 600 м м-н Старый аэропорт (ТП №90)</v>
          </cell>
          <cell r="B310" t="str">
            <v>000001493</v>
          </cell>
          <cell r="C310" t="str">
            <v>ПЕРЕДАЧА</v>
          </cell>
          <cell r="D310" t="str">
            <v>Сооружения</v>
          </cell>
          <cell r="E310" t="str">
            <v>31.10.2012</v>
          </cell>
          <cell r="F310" t="str">
            <v>Цех электрических сетей</v>
          </cell>
          <cell r="X310">
            <v>2061087.67</v>
          </cell>
          <cell r="Y310">
            <v>636852.72528089886</v>
          </cell>
          <cell r="Z310">
            <v>1424234.9447191011</v>
          </cell>
          <cell r="AC310">
            <v>356</v>
          </cell>
        </row>
        <row r="311">
          <cell r="A311" t="str">
            <v xml:space="preserve">Наружные эл сети по ул Озерная </v>
          </cell>
          <cell r="B311" t="str">
            <v>00000257</v>
          </cell>
          <cell r="C311" t="str">
            <v>ПЕРЕДАЧА</v>
          </cell>
          <cell r="D311" t="str">
            <v>Сооружения</v>
          </cell>
          <cell r="E311" t="str">
            <v>01.09.1998</v>
          </cell>
          <cell r="F311" t="str">
            <v>Цех электрических сетей</v>
          </cell>
          <cell r="X311">
            <v>374534.37</v>
          </cell>
          <cell r="Y311">
            <v>180934.45</v>
          </cell>
          <cell r="Z311">
            <v>193599.91999999998</v>
          </cell>
          <cell r="AC311">
            <v>384</v>
          </cell>
        </row>
        <row r="312">
          <cell r="A312" t="str">
            <v>Оборудование ТП №83 "Теплица"</v>
          </cell>
          <cell r="B312" t="str">
            <v>000001648</v>
          </cell>
          <cell r="C312" t="str">
            <v>ПЕРЕДАЧА</v>
          </cell>
          <cell r="D312" t="str">
            <v>Машины и оборудование (кроме офисного)</v>
          </cell>
          <cell r="E312" t="str">
            <v>31.12.2014</v>
          </cell>
          <cell r="F312" t="str">
            <v>Цех электрических сетей</v>
          </cell>
          <cell r="X312">
            <v>15492697.810000001</v>
          </cell>
          <cell r="Y312">
            <v>5422444.4104999993</v>
          </cell>
          <cell r="Z312">
            <v>10070253.399500001</v>
          </cell>
          <cell r="AC312">
            <v>240</v>
          </cell>
        </row>
        <row r="313">
          <cell r="A313" t="str">
            <v>Оборудование ТП-18 ул 60 лет СССР 5</v>
          </cell>
          <cell r="B313" t="str">
            <v>00000569</v>
          </cell>
          <cell r="C313" t="str">
            <v>ПЕРЕДАЧА</v>
          </cell>
          <cell r="D313" t="str">
            <v>Машины и оборудование (кроме офисного)</v>
          </cell>
          <cell r="E313" t="str">
            <v>01.01.1981</v>
          </cell>
          <cell r="F313" t="str">
            <v>Цех электрических сетей</v>
          </cell>
          <cell r="X313">
            <v>655370.73</v>
          </cell>
          <cell r="Y313">
            <v>222562.69999999998</v>
          </cell>
          <cell r="Z313">
            <v>432808.03</v>
          </cell>
          <cell r="AC313">
            <v>581</v>
          </cell>
        </row>
        <row r="314">
          <cell r="A314" t="str">
            <v>Оборудование ТП-19 ул  Южная, кот 2</v>
          </cell>
          <cell r="B314" t="str">
            <v>00000575</v>
          </cell>
          <cell r="C314" t="str">
            <v>ПЕРЕДАЧА</v>
          </cell>
          <cell r="D314" t="str">
            <v>Машины и оборудование (кроме офисного)</v>
          </cell>
          <cell r="E314" t="str">
            <v>01.01.1968</v>
          </cell>
          <cell r="F314" t="str">
            <v>Цех электрических сетей</v>
          </cell>
          <cell r="X314">
            <v>595136.96</v>
          </cell>
          <cell r="Y314">
            <v>266235.99</v>
          </cell>
          <cell r="Z314">
            <v>328900.96999999997</v>
          </cell>
          <cell r="AC314">
            <v>180</v>
          </cell>
        </row>
        <row r="315">
          <cell r="A315" t="str">
            <v>Оборудование ТП-20 пер Рыбацкий</v>
          </cell>
          <cell r="B315" t="str">
            <v>00000526</v>
          </cell>
          <cell r="C315" t="str">
            <v>ПЕРЕДАЧА</v>
          </cell>
          <cell r="D315" t="str">
            <v>Машины и оборудование (кроме офисного)</v>
          </cell>
          <cell r="E315" t="str">
            <v>01.01.1970</v>
          </cell>
          <cell r="F315" t="str">
            <v>Цех электрических сетей</v>
          </cell>
          <cell r="X315">
            <v>433565.58</v>
          </cell>
          <cell r="Y315">
            <v>177755.75</v>
          </cell>
          <cell r="Z315">
            <v>255809.83000000002</v>
          </cell>
          <cell r="AC315">
            <v>180</v>
          </cell>
        </row>
        <row r="316">
          <cell r="A316" t="str">
            <v>Оборудование ТП-21 ул Хатанзейского</v>
          </cell>
          <cell r="B316" t="str">
            <v>00000586</v>
          </cell>
          <cell r="C316" t="str">
            <v>ПЕРЕДАЧА</v>
          </cell>
          <cell r="D316" t="str">
            <v>Машины и оборудование (кроме офисного)</v>
          </cell>
          <cell r="E316" t="str">
            <v>01.01.1967</v>
          </cell>
          <cell r="F316" t="str">
            <v>Цех электрических сетей</v>
          </cell>
          <cell r="X316">
            <v>2475139.4700000002</v>
          </cell>
          <cell r="Y316">
            <v>201707.87999999998</v>
          </cell>
          <cell r="Z316">
            <v>2273431.5900000003</v>
          </cell>
          <cell r="AC316">
            <v>743</v>
          </cell>
        </row>
        <row r="317">
          <cell r="A317" t="str">
            <v>Оборудование ТП-27 канал ст шк 1 1982г.</v>
          </cell>
          <cell r="B317" t="str">
            <v>00000212</v>
          </cell>
          <cell r="C317" t="str">
            <v>ПЕРЕДАЧА</v>
          </cell>
          <cell r="D317" t="str">
            <v>Машины и оборудование (кроме офисного)</v>
          </cell>
          <cell r="E317" t="str">
            <v>01.01.1982</v>
          </cell>
          <cell r="F317" t="str">
            <v>Цех электрических сетей</v>
          </cell>
          <cell r="X317">
            <v>1220989.8899999999</v>
          </cell>
          <cell r="Y317">
            <v>190847.29</v>
          </cell>
          <cell r="Z317">
            <v>1030142.5999999999</v>
          </cell>
          <cell r="AC317">
            <v>360</v>
          </cell>
        </row>
        <row r="318">
          <cell r="A318" t="str">
            <v>Оборудование ТП-3 "Больница" ул.Ленина 2013г</v>
          </cell>
          <cell r="B318" t="str">
            <v>000001571</v>
          </cell>
          <cell r="C318" t="str">
            <v>ПЕРЕДАЧА</v>
          </cell>
          <cell r="D318" t="str">
            <v>Машины и оборудование (кроме офисного)</v>
          </cell>
          <cell r="E318" t="str">
            <v>31.12.2013</v>
          </cell>
          <cell r="F318" t="str">
            <v>Цех электрических сетей</v>
          </cell>
          <cell r="X318">
            <v>9285466.1799999997</v>
          </cell>
          <cell r="Y318">
            <v>4952248.3586666668</v>
          </cell>
          <cell r="Z318">
            <v>4333217.8213333329</v>
          </cell>
          <cell r="AC318">
            <v>180</v>
          </cell>
        </row>
        <row r="319">
          <cell r="A319" t="str">
            <v>Оборудование ТП-32 ул.Ленина, 41  2013г</v>
          </cell>
          <cell r="B319" t="str">
            <v>000001572</v>
          </cell>
          <cell r="C319" t="str">
            <v>ПЕРЕДАЧА</v>
          </cell>
          <cell r="D319" t="str">
            <v>Машины и оборудование (кроме офисного)</v>
          </cell>
          <cell r="E319" t="str">
            <v>31.12.2013</v>
          </cell>
          <cell r="F319" t="str">
            <v>Цех электрических сетей</v>
          </cell>
          <cell r="X319">
            <v>8382296.4100000001</v>
          </cell>
          <cell r="Y319">
            <v>4470558.0506666666</v>
          </cell>
          <cell r="Z319">
            <v>3911738.3593333336</v>
          </cell>
          <cell r="AC319">
            <v>180</v>
          </cell>
        </row>
        <row r="320">
          <cell r="A320" t="str">
            <v>Оборудование ТП-37 ул Ленина,27 2013г</v>
          </cell>
          <cell r="B320" t="str">
            <v>000001573</v>
          </cell>
          <cell r="C320" t="str">
            <v>ПЕРЕДАЧА</v>
          </cell>
          <cell r="D320" t="str">
            <v>Машины и оборудование (кроме офисного)</v>
          </cell>
          <cell r="E320" t="str">
            <v>31.12.2013</v>
          </cell>
          <cell r="F320" t="str">
            <v>Цех электрических сетей</v>
          </cell>
          <cell r="X320">
            <v>8961223.3300000001</v>
          </cell>
          <cell r="Y320">
            <v>4779318.7686666669</v>
          </cell>
          <cell r="Z320">
            <v>4181904.5613333331</v>
          </cell>
          <cell r="AC320">
            <v>180</v>
          </cell>
        </row>
        <row r="321">
          <cell r="A321" t="str">
            <v>Оборудование ТП-43  Рабочая Водозабор 1996г.</v>
          </cell>
          <cell r="B321" t="str">
            <v>00000237</v>
          </cell>
          <cell r="C321" t="str">
            <v>ПЕРЕДАЧА</v>
          </cell>
          <cell r="D321" t="str">
            <v>Машины и оборудование (кроме офисного)</v>
          </cell>
          <cell r="E321" t="str">
            <v>01.02.1996</v>
          </cell>
          <cell r="F321" t="str">
            <v>Цех электрических сетей</v>
          </cell>
          <cell r="X321">
            <v>38224</v>
          </cell>
          <cell r="Y321">
            <v>35069.423043478266</v>
          </cell>
          <cell r="Z321">
            <v>3154.5769565217342</v>
          </cell>
          <cell r="AC321">
            <v>276</v>
          </cell>
        </row>
        <row r="322">
          <cell r="A322" t="str">
            <v>Оборудование ТП46 Молодежная Факел 1996г</v>
          </cell>
          <cell r="B322" t="str">
            <v>00000239</v>
          </cell>
          <cell r="C322" t="str">
            <v>ПЕРЕДАЧА</v>
          </cell>
          <cell r="D322" t="str">
            <v>Машины и оборудование (кроме офисного)</v>
          </cell>
          <cell r="E322" t="str">
            <v>01.02.1996</v>
          </cell>
          <cell r="F322" t="str">
            <v>Цех электрических сетей</v>
          </cell>
          <cell r="X322">
            <v>236764.66</v>
          </cell>
          <cell r="Y322">
            <v>227863.8</v>
          </cell>
          <cell r="Z322">
            <v>8900.8600000000151</v>
          </cell>
          <cell r="AC322">
            <v>317</v>
          </cell>
        </row>
        <row r="323">
          <cell r="A323" t="str">
            <v>Оборудование ТП-52 Совхоз ГКТП 1982 г.</v>
          </cell>
          <cell r="B323" t="str">
            <v>00000220</v>
          </cell>
          <cell r="C323" t="str">
            <v>ПЕРЕДАЧА</v>
          </cell>
          <cell r="D323" t="str">
            <v>Машины и оборудование (кроме офисного)</v>
          </cell>
          <cell r="E323" t="str">
            <v>01.01.1982</v>
          </cell>
          <cell r="F323" t="str">
            <v>Цех электрических сетей</v>
          </cell>
          <cell r="X323">
            <v>525588.19999999995</v>
          </cell>
          <cell r="Y323">
            <v>353996.4</v>
          </cell>
          <cell r="Z323">
            <v>171591.79999999993</v>
          </cell>
          <cell r="AC323">
            <v>177</v>
          </cell>
        </row>
        <row r="324">
          <cell r="A324" t="str">
            <v>Оборудование ТП-66 МРП 1998г.</v>
          </cell>
          <cell r="B324" t="str">
            <v>00000252</v>
          </cell>
          <cell r="C324" t="str">
            <v>ПЕРЕДАЧА</v>
          </cell>
          <cell r="D324" t="str">
            <v>Машины и оборудование (кроме офисного)</v>
          </cell>
          <cell r="E324" t="str">
            <v>01.06.1998</v>
          </cell>
          <cell r="F324" t="str">
            <v>Цех электрических сетей</v>
          </cell>
          <cell r="X324">
            <v>857091.88</v>
          </cell>
          <cell r="Y324">
            <v>466352.28</v>
          </cell>
          <cell r="Z324">
            <v>390739.6</v>
          </cell>
          <cell r="AC324">
            <v>337</v>
          </cell>
        </row>
        <row r="325">
          <cell r="A325" t="str">
            <v>Оборудование ТП-72 "Микрорайон Центральный"  ул Ленина, 29   2013г</v>
          </cell>
          <cell r="B325" t="str">
            <v>000001574</v>
          </cell>
          <cell r="C325" t="str">
            <v>ПЕРЕДАЧА</v>
          </cell>
          <cell r="D325" t="str">
            <v>Машины и оборудование (кроме офисного)</v>
          </cell>
          <cell r="E325" t="str">
            <v>31.12.2013</v>
          </cell>
          <cell r="F325" t="str">
            <v>Цех электрических сетей</v>
          </cell>
          <cell r="X325">
            <v>7974514.0499999998</v>
          </cell>
          <cell r="Y325">
            <v>4253074.51</v>
          </cell>
          <cell r="Z325">
            <v>3721439.54</v>
          </cell>
          <cell r="AC325">
            <v>180</v>
          </cell>
        </row>
        <row r="326">
          <cell r="A326" t="str">
            <v>Оборудование ТП-8 ул  Ленина 47, 47а</v>
          </cell>
          <cell r="B326" t="str">
            <v>00000195</v>
          </cell>
          <cell r="C326" t="str">
            <v>ПЕРЕДАЧА</v>
          </cell>
          <cell r="D326" t="str">
            <v>Машины и оборудование (кроме офисного)</v>
          </cell>
          <cell r="E326" t="str">
            <v>01.01.1978</v>
          </cell>
          <cell r="F326" t="str">
            <v>Цех электрических сетей</v>
          </cell>
          <cell r="X326">
            <v>950550.24</v>
          </cell>
          <cell r="Y326">
            <v>552764.32000000007</v>
          </cell>
          <cell r="Z326">
            <v>397785.91999999993</v>
          </cell>
          <cell r="AC326">
            <v>120</v>
          </cell>
        </row>
        <row r="327">
          <cell r="A327" t="str">
            <v>Оборудование ТП-9  ул Октябрьская 17</v>
          </cell>
          <cell r="B327" t="str">
            <v>00000196</v>
          </cell>
          <cell r="C327" t="str">
            <v>ПЕРЕДАЧА</v>
          </cell>
          <cell r="D327" t="str">
            <v>Машины и оборудование (кроме офисного)</v>
          </cell>
          <cell r="E327" t="str">
            <v>01.01.1966</v>
          </cell>
          <cell r="F327" t="str">
            <v>Цех электрических сетей</v>
          </cell>
          <cell r="X327">
            <v>945605.02</v>
          </cell>
          <cell r="Y327">
            <v>391935.13</v>
          </cell>
          <cell r="Z327">
            <v>553669.89</v>
          </cell>
          <cell r="AC327">
            <v>180</v>
          </cell>
        </row>
        <row r="328">
          <cell r="A328" t="str">
            <v>Панель распределительная ЩО-70-1-01УЗ 2001г</v>
          </cell>
          <cell r="B328" t="str">
            <v>00000316</v>
          </cell>
          <cell r="C328" t="str">
            <v>ПЕРЕДАЧА</v>
          </cell>
          <cell r="D328" t="str">
            <v>Машины и оборудование (кроме офисного)</v>
          </cell>
          <cell r="E328" t="str">
            <v>30.06.2001</v>
          </cell>
          <cell r="F328" t="str">
            <v>Цех электрических сетей</v>
          </cell>
          <cell r="X328">
            <v>14763.39</v>
          </cell>
          <cell r="Y328">
            <v>12896.22652173913</v>
          </cell>
          <cell r="Z328">
            <v>1867.1634782608689</v>
          </cell>
          <cell r="AC328">
            <v>276</v>
          </cell>
        </row>
        <row r="329">
          <cell r="A329" t="str">
            <v>Панель распределительная ЩО-70-1-04УЗ 2001г</v>
          </cell>
          <cell r="B329" t="str">
            <v>00000317</v>
          </cell>
          <cell r="C329" t="str">
            <v>ПЕРЕДАЧА</v>
          </cell>
          <cell r="D329" t="str">
            <v>Машины и оборудование (кроме офисного)</v>
          </cell>
          <cell r="E329" t="str">
            <v>30.06.2001</v>
          </cell>
          <cell r="F329" t="str">
            <v>Цех электрических сетей</v>
          </cell>
          <cell r="X329">
            <v>9557.9699999999993</v>
          </cell>
          <cell r="Y329">
            <v>8383.8039130434772</v>
          </cell>
          <cell r="Z329">
            <v>1174.1660869565221</v>
          </cell>
          <cell r="AC329">
            <v>276</v>
          </cell>
        </row>
        <row r="330">
          <cell r="A330" t="str">
            <v>Панель ЩО 70-1-02</v>
          </cell>
          <cell r="B330" t="str">
            <v>00001007</v>
          </cell>
          <cell r="C330" t="str">
            <v>ПЕРЕДАЧА</v>
          </cell>
          <cell r="D330" t="str">
            <v>Машины и оборудование (кроме офисного)</v>
          </cell>
          <cell r="E330" t="str">
            <v>30.11.2006</v>
          </cell>
          <cell r="F330" t="str">
            <v>Цех электрических сетей</v>
          </cell>
          <cell r="X330">
            <v>20236.95</v>
          </cell>
          <cell r="Y330">
            <v>20236.954999999998</v>
          </cell>
          <cell r="Z330">
            <v>-4.9999999973806553E-3</v>
          </cell>
          <cell r="AC330">
            <v>180</v>
          </cell>
        </row>
        <row r="331">
          <cell r="A331" t="str">
            <v>Панель ЩО 70-1-02</v>
          </cell>
          <cell r="B331" t="str">
            <v>00001008</v>
          </cell>
          <cell r="C331" t="str">
            <v>ПЕРЕДАЧА</v>
          </cell>
          <cell r="D331" t="str">
            <v>Машины и оборудование (кроме офисного)</v>
          </cell>
          <cell r="E331" t="str">
            <v>30.11.2006</v>
          </cell>
          <cell r="F331" t="str">
            <v>Цех электрических сетей</v>
          </cell>
          <cell r="X331">
            <v>20236.95</v>
          </cell>
          <cell r="Y331">
            <v>20236.954999999998</v>
          </cell>
          <cell r="Z331">
            <v>-4.9999999973806553E-3</v>
          </cell>
          <cell r="AC331">
            <v>180</v>
          </cell>
        </row>
        <row r="332">
          <cell r="A332" t="str">
            <v>Панель ЩО 70-1-02</v>
          </cell>
          <cell r="B332" t="str">
            <v>00001009</v>
          </cell>
          <cell r="C332" t="str">
            <v>ПЕРЕДАЧА</v>
          </cell>
          <cell r="D332" t="str">
            <v>Машины и оборудование (кроме офисного)</v>
          </cell>
          <cell r="E332" t="str">
            <v>30.11.2006</v>
          </cell>
          <cell r="F332" t="str">
            <v>Цех электрических сетей</v>
          </cell>
          <cell r="X332">
            <v>20236.95</v>
          </cell>
          <cell r="Y332">
            <v>20236.954999999998</v>
          </cell>
          <cell r="Z332">
            <v>-4.9999999973806553E-3</v>
          </cell>
          <cell r="AC332">
            <v>180</v>
          </cell>
        </row>
        <row r="333">
          <cell r="A333" t="str">
            <v>Панель ЩО 70-1-32</v>
          </cell>
          <cell r="B333" t="str">
            <v>00001010</v>
          </cell>
          <cell r="C333" t="str">
            <v>ПЕРЕДАЧА</v>
          </cell>
          <cell r="D333" t="str">
            <v>Машины и оборудование (кроме офисного)</v>
          </cell>
          <cell r="E333" t="str">
            <v>30.11.2006</v>
          </cell>
          <cell r="F333" t="str">
            <v>Цех электрических сетей</v>
          </cell>
          <cell r="X333">
            <v>23843.52</v>
          </cell>
          <cell r="Y333">
            <v>23843.52</v>
          </cell>
          <cell r="Z333">
            <v>0</v>
          </cell>
          <cell r="AC333">
            <v>180</v>
          </cell>
        </row>
        <row r="334">
          <cell r="A334" t="str">
            <v>Панель ЩО 70-1-32</v>
          </cell>
          <cell r="B334" t="str">
            <v>00001011</v>
          </cell>
          <cell r="C334" t="str">
            <v>ПЕРЕДАЧА</v>
          </cell>
          <cell r="D334" t="str">
            <v>Машины и оборудование (кроме офисного)</v>
          </cell>
          <cell r="E334" t="str">
            <v>30.11.2006</v>
          </cell>
          <cell r="F334" t="str">
            <v>Цех электрических сетей</v>
          </cell>
          <cell r="X334">
            <v>23843.52</v>
          </cell>
          <cell r="Y334">
            <v>23843.52</v>
          </cell>
          <cell r="Z334">
            <v>0</v>
          </cell>
          <cell r="AC334">
            <v>180</v>
          </cell>
        </row>
        <row r="335">
          <cell r="A335" t="str">
            <v>Панель ЩО 70-3-05 (Н) УЗ1 250А №6898</v>
          </cell>
          <cell r="B335" t="str">
            <v>00001370</v>
          </cell>
          <cell r="C335" t="str">
            <v>ПЕРЕДАЧА</v>
          </cell>
          <cell r="D335" t="str">
            <v>Машины и оборудование (кроме офисного)</v>
          </cell>
          <cell r="E335" t="str">
            <v>18.10.2011</v>
          </cell>
          <cell r="F335" t="str">
            <v>Цех электрических сетей</v>
          </cell>
          <cell r="X335">
            <v>42049.94</v>
          </cell>
          <cell r="Y335">
            <v>42049.9355</v>
          </cell>
          <cell r="Z335">
            <v>4.5000000027357601E-3</v>
          </cell>
          <cell r="AC335">
            <v>120</v>
          </cell>
        </row>
        <row r="336">
          <cell r="A336" t="str">
            <v>Панель ЩО 70-3-05 (Н) УЗ2 260А №6899</v>
          </cell>
          <cell r="B336" t="str">
            <v>00001372</v>
          </cell>
          <cell r="C336" t="str">
            <v>ПЕРЕДАЧА</v>
          </cell>
          <cell r="D336" t="str">
            <v>Машины и оборудование (кроме офисного)</v>
          </cell>
          <cell r="E336" t="str">
            <v>18.10.2011</v>
          </cell>
          <cell r="F336" t="str">
            <v>Цех электрических сетей</v>
          </cell>
          <cell r="X336">
            <v>50064.160000000003</v>
          </cell>
          <cell r="Y336">
            <v>50064.16333333333</v>
          </cell>
          <cell r="Z336">
            <v>-3.3333333267364651E-3</v>
          </cell>
          <cell r="AC336">
            <v>120</v>
          </cell>
        </row>
        <row r="337">
          <cell r="A337" t="str">
            <v>Панель ЩО 70-3-09 УЗ 1000А №6900</v>
          </cell>
          <cell r="B337" t="str">
            <v>00001369</v>
          </cell>
          <cell r="C337" t="str">
            <v>ПЕРЕДАЧА</v>
          </cell>
          <cell r="D337" t="str">
            <v>Машины и оборудование (кроме офисного)</v>
          </cell>
          <cell r="E337" t="str">
            <v>18.10.2011</v>
          </cell>
          <cell r="F337" t="str">
            <v>Цех электрических сетей</v>
          </cell>
          <cell r="X337">
            <v>85089.29</v>
          </cell>
          <cell r="Y337">
            <v>85089.286749999999</v>
          </cell>
          <cell r="Z337">
            <v>3.2499999942956492E-3</v>
          </cell>
          <cell r="AC337">
            <v>120</v>
          </cell>
        </row>
        <row r="338">
          <cell r="A338" t="str">
            <v>Панель ЩО 70-3М-01</v>
          </cell>
          <cell r="B338" t="str">
            <v>00001012</v>
          </cell>
          <cell r="C338" t="str">
            <v>ПЕРЕДАЧА</v>
          </cell>
          <cell r="D338" t="str">
            <v>Машины и оборудование (кроме офисного)</v>
          </cell>
          <cell r="E338" t="str">
            <v>30.11.2006</v>
          </cell>
          <cell r="F338" t="str">
            <v>Цех электрических сетей</v>
          </cell>
          <cell r="X338">
            <v>49197.8</v>
          </cell>
          <cell r="Y338">
            <v>49197.802222222228</v>
          </cell>
          <cell r="Z338">
            <v>-2.2222222251002677E-3</v>
          </cell>
          <cell r="AC338">
            <v>180</v>
          </cell>
        </row>
        <row r="339">
          <cell r="A339" t="str">
            <v>Панель ЩО 91-05</v>
          </cell>
          <cell r="B339" t="str">
            <v>000001617</v>
          </cell>
          <cell r="C339" t="str">
            <v>ПЕРЕДАЧА</v>
          </cell>
          <cell r="D339" t="str">
            <v>Машины и оборудование (кроме офисного)</v>
          </cell>
          <cell r="E339" t="str">
            <v>30.04.2014</v>
          </cell>
          <cell r="F339" t="str">
            <v>Цех электрических сетей</v>
          </cell>
          <cell r="X339">
            <v>42304.11</v>
          </cell>
          <cell r="Y339">
            <v>32432.811000000002</v>
          </cell>
          <cell r="Z339">
            <v>9871.2989999999991</v>
          </cell>
          <cell r="AC339">
            <v>120</v>
          </cell>
        </row>
        <row r="340">
          <cell r="A340" t="str">
            <v>Панель ЩО 91-06</v>
          </cell>
          <cell r="B340" t="str">
            <v>000001618</v>
          </cell>
          <cell r="C340" t="str">
            <v>ПЕРЕДАЧА</v>
          </cell>
          <cell r="D340" t="str">
            <v>Другие виды основных средств</v>
          </cell>
          <cell r="E340" t="str">
            <v>30.04.2014</v>
          </cell>
          <cell r="F340" t="str">
            <v>Цех электрических сетей</v>
          </cell>
          <cell r="X340">
            <v>55133.279999999999</v>
          </cell>
          <cell r="Y340">
            <v>42268.527999999998</v>
          </cell>
          <cell r="Z340">
            <v>12864.752</v>
          </cell>
          <cell r="AC340">
            <v>120</v>
          </cell>
        </row>
        <row r="341">
          <cell r="A341" t="str">
            <v>Передвижная КТП</v>
          </cell>
          <cell r="B341" t="str">
            <v>000001641</v>
          </cell>
          <cell r="C341" t="str">
            <v>ПЕРЕДАЧА</v>
          </cell>
          <cell r="D341" t="str">
            <v>Другие виды основных средств</v>
          </cell>
          <cell r="E341" t="str">
            <v>12.11.2014</v>
          </cell>
          <cell r="F341" t="str">
            <v>Цех электрических сетей</v>
          </cell>
          <cell r="X341">
            <v>91853.91</v>
          </cell>
          <cell r="Y341">
            <v>37003.0090521327</v>
          </cell>
          <cell r="Z341">
            <v>54850.900947867303</v>
          </cell>
          <cell r="AC341">
            <v>211</v>
          </cell>
        </row>
        <row r="342">
          <cell r="A342" t="str">
            <v>Перфоратор Makita HR5202C</v>
          </cell>
          <cell r="B342" t="str">
            <v>000001807</v>
          </cell>
          <cell r="C342" t="str">
            <v>ПЕРЕДАЧА</v>
          </cell>
          <cell r="D342" t="str">
            <v>Машины и оборудование (кроме офисного)</v>
          </cell>
          <cell r="E342" t="str">
            <v>16.04.2020</v>
          </cell>
          <cell r="F342" t="str">
            <v>общепроизводственные расходы</v>
          </cell>
          <cell r="X342">
            <v>43604.17</v>
          </cell>
          <cell r="Y342">
            <v>1816.8404166666667</v>
          </cell>
          <cell r="Z342">
            <v>7267.3650000000052</v>
          </cell>
          <cell r="AC342">
            <v>24</v>
          </cell>
        </row>
        <row r="343">
          <cell r="A343" t="str">
            <v>Подстанция КТПКп-400 №2273 ( ТП № 2  2008г)</v>
          </cell>
          <cell r="B343" t="str">
            <v>00001063</v>
          </cell>
          <cell r="C343" t="str">
            <v>ПЕРЕДАЧА</v>
          </cell>
          <cell r="D343" t="str">
            <v>Сооружения</v>
          </cell>
          <cell r="E343" t="str">
            <v>31.10.2007</v>
          </cell>
          <cell r="F343" t="str">
            <v>Цех электрических сетей</v>
          </cell>
          <cell r="X343">
            <v>329828.57</v>
          </cell>
          <cell r="Y343">
            <v>311189.88</v>
          </cell>
          <cell r="Z343">
            <v>18638.690000000002</v>
          </cell>
          <cell r="AC343">
            <v>180</v>
          </cell>
        </row>
        <row r="344">
          <cell r="A344" t="str">
            <v>Подстанция КТПКп-400 №2275 (ТП № 65 с 18.08.09г)</v>
          </cell>
          <cell r="B344" t="str">
            <v>00001044</v>
          </cell>
          <cell r="C344" t="str">
            <v>ПЕРЕДАЧА</v>
          </cell>
          <cell r="D344" t="str">
            <v>Сооружения</v>
          </cell>
          <cell r="E344" t="str">
            <v>31.10.2007</v>
          </cell>
          <cell r="F344" t="str">
            <v>Цех электрических сетей</v>
          </cell>
          <cell r="X344">
            <v>251274.09</v>
          </cell>
          <cell r="Y344">
            <v>237314.86600000001</v>
          </cell>
          <cell r="Z344">
            <v>13959.223999999987</v>
          </cell>
          <cell r="AC344">
            <v>180</v>
          </cell>
        </row>
        <row r="345">
          <cell r="A345" t="str">
            <v>Подстанция трансформат. компл. КТП/ПК 630/6/0,4 кВ</v>
          </cell>
          <cell r="B345" t="str">
            <v>00001251</v>
          </cell>
          <cell r="C345" t="str">
            <v>ПЕРЕДАЧА</v>
          </cell>
          <cell r="D345" t="str">
            <v>Здания</v>
          </cell>
          <cell r="E345" t="str">
            <v>31.10.2010</v>
          </cell>
          <cell r="F345" t="str">
            <v>Цех электрических сетей</v>
          </cell>
          <cell r="X345">
            <v>865197.63</v>
          </cell>
          <cell r="Y345">
            <v>473372.36000000004</v>
          </cell>
          <cell r="Z345">
            <v>391825.26999999996</v>
          </cell>
          <cell r="AC345">
            <v>192</v>
          </cell>
        </row>
        <row r="346">
          <cell r="A346" t="str">
            <v>Пристройка к гаражу 2001г</v>
          </cell>
          <cell r="B346" t="str">
            <v>00000345</v>
          </cell>
          <cell r="C346" t="str">
            <v>ПЕРЕДАЧА</v>
          </cell>
          <cell r="D346" t="str">
            <v>Здания</v>
          </cell>
          <cell r="E346" t="str">
            <v>29.12.2001</v>
          </cell>
          <cell r="F346" t="str">
            <v>Автотранспортный цех</v>
          </cell>
          <cell r="X346">
            <v>293225.45</v>
          </cell>
          <cell r="Y346">
            <v>293225.45</v>
          </cell>
          <cell r="Z346">
            <v>0</v>
          </cell>
          <cell r="AC346">
            <v>240</v>
          </cell>
        </row>
        <row r="347">
          <cell r="A347" t="str">
            <v>Прицеп-роспуск лесовозный 4667В2  2015г.</v>
          </cell>
          <cell r="B347" t="str">
            <v>000001657</v>
          </cell>
          <cell r="C347" t="str">
            <v>ПЕРЕДАЧА</v>
          </cell>
          <cell r="D347" t="str">
            <v>Транспортные средства</v>
          </cell>
          <cell r="E347" t="str">
            <v>30.06.2015</v>
          </cell>
          <cell r="F347" t="str">
            <v>Автотранспортный цех</v>
          </cell>
          <cell r="X347">
            <v>398305.08</v>
          </cell>
          <cell r="Y347">
            <v>258898.36799999999</v>
          </cell>
          <cell r="Z347">
            <v>139406.71200000003</v>
          </cell>
          <cell r="AC347">
            <v>120</v>
          </cell>
        </row>
        <row r="348">
          <cell r="A348" t="str">
            <v>Пункт коммерческого учета ПКУ-6-У1 (ВМ) (16-1513.1) 16-1513.1</v>
          </cell>
          <cell r="B348" t="str">
            <v>000001686</v>
          </cell>
          <cell r="C348" t="str">
            <v>ПЕРЕДАЧА</v>
          </cell>
          <cell r="D348" t="str">
            <v>Машины и оборудование (кроме офисного)</v>
          </cell>
          <cell r="E348" t="str">
            <v>22.06.2016</v>
          </cell>
          <cell r="F348" t="str">
            <v>Цех электрических сетей</v>
          </cell>
          <cell r="X348">
            <v>127916.95</v>
          </cell>
          <cell r="Y348">
            <v>100506.13</v>
          </cell>
          <cell r="Z348">
            <v>27410.819999999992</v>
          </cell>
          <cell r="AC348">
            <v>84</v>
          </cell>
        </row>
        <row r="349">
          <cell r="A349" t="str">
            <v>Распред. устройство 6кв 1986г</v>
          </cell>
          <cell r="B349" t="str">
            <v>00000577</v>
          </cell>
          <cell r="C349" t="str">
            <v>ПЕРЕДАЧА</v>
          </cell>
          <cell r="D349" t="str">
            <v>Здания</v>
          </cell>
          <cell r="E349" t="str">
            <v>01.01.1986</v>
          </cell>
          <cell r="F349" t="str">
            <v>Цех электрических сетей</v>
          </cell>
          <cell r="X349">
            <v>14221</v>
          </cell>
          <cell r="Y349">
            <v>8487.3438983050837</v>
          </cell>
          <cell r="Z349">
            <v>5733.6561016949163</v>
          </cell>
          <cell r="AC349">
            <v>708</v>
          </cell>
        </row>
        <row r="350">
          <cell r="A350" t="str">
            <v>Распределительное устройство РУ-6 кВ 2007г</v>
          </cell>
          <cell r="B350" t="str">
            <v>00001034</v>
          </cell>
          <cell r="C350" t="str">
            <v>ПЕРЕДАЧА</v>
          </cell>
          <cell r="D350" t="str">
            <v>Сооружения</v>
          </cell>
          <cell r="E350" t="str">
            <v>30.04.2007</v>
          </cell>
          <cell r="F350" t="str">
            <v>Цех электрических сетей</v>
          </cell>
          <cell r="X350">
            <v>9657084.6099999994</v>
          </cell>
          <cell r="Y350">
            <v>9428419.3600000013</v>
          </cell>
          <cell r="Z350">
            <v>228665.24999999814</v>
          </cell>
          <cell r="AC350">
            <v>180</v>
          </cell>
        </row>
        <row r="351">
          <cell r="A351" t="str">
            <v>Реклоузер вакуумный PBA/TEL фидер ЖВК на ВЛ-6кВ</v>
          </cell>
          <cell r="B351" t="str">
            <v>000001667</v>
          </cell>
          <cell r="C351" t="str">
            <v>ПЕРЕДАЧА</v>
          </cell>
          <cell r="D351" t="str">
            <v>Машины и оборудование (кроме офисного)</v>
          </cell>
          <cell r="E351" t="str">
            <v>31.12.2015</v>
          </cell>
          <cell r="F351" t="str">
            <v>Цех электрических сетей</v>
          </cell>
          <cell r="X351">
            <v>1311763</v>
          </cell>
          <cell r="Y351">
            <v>524705.06666666665</v>
          </cell>
          <cell r="Z351">
            <v>787057.93333333335</v>
          </cell>
          <cell r="AC351">
            <v>180</v>
          </cell>
        </row>
        <row r="352">
          <cell r="A352" t="str">
            <v>Реклоузер вакуумный PBA/TEL фидер Искатели на ВЛ 6 кВ ул. Монтажников в районе дома №11</v>
          </cell>
          <cell r="B352" t="str">
            <v>000001701</v>
          </cell>
          <cell r="C352" t="str">
            <v>ПЕРЕДАЧА</v>
          </cell>
          <cell r="D352" t="str">
            <v>Машины и оборудование (кроме офисного)</v>
          </cell>
          <cell r="E352" t="str">
            <v>31.03.2017</v>
          </cell>
          <cell r="F352" t="str">
            <v>Цех электрических сетей</v>
          </cell>
          <cell r="X352">
            <v>1356000</v>
          </cell>
          <cell r="Y352">
            <v>257640</v>
          </cell>
          <cell r="Z352">
            <v>1098360</v>
          </cell>
          <cell r="AC352">
            <v>300</v>
          </cell>
        </row>
        <row r="353">
          <cell r="A353" t="str">
            <v>Реклоузер вакуумный PBA/TEL фидер Нефтебаза на ВЛ 6 кВ ул. Калмыкова, в районе дома №14</v>
          </cell>
          <cell r="B353" t="str">
            <v>000001700</v>
          </cell>
          <cell r="C353" t="str">
            <v>ПЕРЕДАЧА</v>
          </cell>
          <cell r="D353" t="str">
            <v>Машины и оборудование (кроме офисного)</v>
          </cell>
          <cell r="E353" t="str">
            <v>31.03.2017</v>
          </cell>
          <cell r="F353" t="str">
            <v>Цех электрических сетей</v>
          </cell>
          <cell r="X353">
            <v>1356000</v>
          </cell>
          <cell r="Y353">
            <v>257640</v>
          </cell>
          <cell r="Z353">
            <v>1098360</v>
          </cell>
          <cell r="AC353">
            <v>300</v>
          </cell>
        </row>
        <row r="354">
          <cell r="A354" t="str">
            <v>Реконструкция ВЛ-0,4 кВ от ТП № 43 фидер "ул. Рабочая 43" г. Нарьян-Мар НАО</v>
          </cell>
          <cell r="B354" t="str">
            <v>000001679</v>
          </cell>
          <cell r="C354" t="str">
            <v>ПЕРЕДАЧА</v>
          </cell>
          <cell r="D354" t="str">
            <v>Сооружения</v>
          </cell>
          <cell r="E354" t="str">
            <v>20.02.2016</v>
          </cell>
          <cell r="F354" t="str">
            <v>Цех электрических сетей</v>
          </cell>
          <cell r="X354">
            <v>3985204.78</v>
          </cell>
          <cell r="Y354">
            <v>1549802.0586666667</v>
          </cell>
          <cell r="Z354">
            <v>2435402.7213333333</v>
          </cell>
          <cell r="AC354">
            <v>180</v>
          </cell>
        </row>
        <row r="355">
          <cell r="A355" t="str">
            <v>Реконструкция ВЛ-0,4 кВ от ТП №24 фидер "ул. 60 лет Октября 3а"</v>
          </cell>
          <cell r="B355" t="str">
            <v>000001678</v>
          </cell>
          <cell r="C355" t="str">
            <v>ПЕРЕДАЧА</v>
          </cell>
          <cell r="D355" t="str">
            <v>Сооружения</v>
          </cell>
          <cell r="E355" t="str">
            <v>20.02.2016</v>
          </cell>
          <cell r="F355" t="str">
            <v>Цех электрических сетей</v>
          </cell>
          <cell r="X355">
            <v>3184874.41</v>
          </cell>
          <cell r="Y355">
            <v>1238562.4606666667</v>
          </cell>
          <cell r="Z355">
            <v>1946311.9493333334</v>
          </cell>
          <cell r="AC355">
            <v>180</v>
          </cell>
        </row>
        <row r="356">
          <cell r="A356" t="str">
            <v>РП-6кВ "Банное озеро" 2008г</v>
          </cell>
          <cell r="B356" t="str">
            <v>00001093</v>
          </cell>
          <cell r="C356" t="str">
            <v>ПЕРЕДАЧА</v>
          </cell>
          <cell r="D356" t="str">
            <v>Сооружения</v>
          </cell>
          <cell r="E356" t="str">
            <v>30.09.2008</v>
          </cell>
          <cell r="F356" t="str">
            <v>Цех электрических сетей</v>
          </cell>
          <cell r="X356">
            <v>588018.28</v>
          </cell>
          <cell r="Y356">
            <v>519416.40866666666</v>
          </cell>
          <cell r="Z356">
            <v>68601.871333333373</v>
          </cell>
          <cell r="AC356">
            <v>180</v>
          </cell>
        </row>
        <row r="357">
          <cell r="A357" t="str">
            <v>РП-6кВ с питающими кабельными линиями 6 кВ по ул. Октябрьская и ул. Выучейского</v>
          </cell>
          <cell r="B357" t="str">
            <v>000001756</v>
          </cell>
          <cell r="C357" t="str">
            <v>ПЕРЕДАЧА</v>
          </cell>
          <cell r="D357" t="str">
            <v>Сооружения</v>
          </cell>
          <cell r="E357" t="str">
            <v>29.12.2018</v>
          </cell>
          <cell r="F357" t="str">
            <v>Цех электрических сетей</v>
          </cell>
          <cell r="X357">
            <v>10871012.09</v>
          </cell>
          <cell r="Y357">
            <v>1304521.5236000002</v>
          </cell>
          <cell r="Z357">
            <v>9566490.566399999</v>
          </cell>
          <cell r="AC357">
            <v>300</v>
          </cell>
        </row>
        <row r="358">
          <cell r="A358" t="str">
            <v>Сети электроснабжения</v>
          </cell>
          <cell r="B358" t="str">
            <v>000001714</v>
          </cell>
          <cell r="C358" t="str">
            <v>ПЕРЕДАЧА</v>
          </cell>
          <cell r="D358" t="str">
            <v>Сооружения</v>
          </cell>
          <cell r="E358" t="str">
            <v>05.09.2017</v>
          </cell>
          <cell r="F358" t="str">
            <v>Цех электрических сетей</v>
          </cell>
          <cell r="X358">
            <v>474777</v>
          </cell>
          <cell r="Y358">
            <v>67260.27</v>
          </cell>
          <cell r="Z358">
            <v>407516.73</v>
          </cell>
          <cell r="AC358">
            <v>360</v>
          </cell>
        </row>
        <row r="359">
          <cell r="A359" t="str">
            <v>Сети электроснабжения (База МТР)</v>
          </cell>
          <cell r="B359" t="str">
            <v>000001508</v>
          </cell>
          <cell r="C359" t="str">
            <v>ПЕРЕДАЧА</v>
          </cell>
          <cell r="D359" t="str">
            <v>Сооружения</v>
          </cell>
          <cell r="E359" t="str">
            <v>29.01.2013</v>
          </cell>
          <cell r="F359" t="str">
            <v>Цех электрических сетей</v>
          </cell>
          <cell r="X359">
            <v>959565.45</v>
          </cell>
          <cell r="Y359">
            <v>570408.43000000005</v>
          </cell>
          <cell r="Z359">
            <v>389157.0199999999</v>
          </cell>
          <cell r="AC359">
            <v>180</v>
          </cell>
        </row>
        <row r="360">
          <cell r="A360" t="str">
            <v>Система охранно-пожарной сигнализации в производственных помещениях ЦЭС ГУП НАО "Нарьян-Марская электростанция"</v>
          </cell>
          <cell r="B360" t="str">
            <v>000001731</v>
          </cell>
          <cell r="C360" t="str">
            <v>ПЕРЕДАЧА</v>
          </cell>
          <cell r="D360" t="str">
            <v>Машины и оборудование (кроме офисного)</v>
          </cell>
          <cell r="E360" t="str">
            <v>31.05.2018</v>
          </cell>
          <cell r="F360" t="str">
            <v>Цех электрических сетей</v>
          </cell>
          <cell r="X360">
            <v>105065.86</v>
          </cell>
          <cell r="Y360">
            <v>25099.090666666671</v>
          </cell>
          <cell r="Z360">
            <v>79966.76933333333</v>
          </cell>
          <cell r="AC360">
            <v>180</v>
          </cell>
        </row>
        <row r="361">
          <cell r="A361" t="str">
            <v>Система охранно-пожарной сигнализации в производственных помещениях АТЦ ГУП НАО "Нарьян-Марская электростанция"</v>
          </cell>
          <cell r="B361" t="str">
            <v>000001728</v>
          </cell>
          <cell r="C361" t="str">
            <v>ПЕРЕДАЧА</v>
          </cell>
          <cell r="D361" t="str">
            <v>Машины и оборудование (кроме офисного)</v>
          </cell>
          <cell r="E361" t="str">
            <v>31.05.2018</v>
          </cell>
          <cell r="F361" t="str">
            <v>Автотранспортный цех</v>
          </cell>
          <cell r="X361">
            <v>115619.89</v>
          </cell>
          <cell r="Y361">
            <v>27620.222666666668</v>
          </cell>
          <cell r="Z361">
            <v>87999.667333333331</v>
          </cell>
          <cell r="AC361">
            <v>180</v>
          </cell>
        </row>
        <row r="362">
          <cell r="A362" t="str">
            <v>Спасательный центр в г. Нарьян-Маре. Кабель электроснабжения 6 кВ</v>
          </cell>
          <cell r="B362" t="str">
            <v>000001704</v>
          </cell>
          <cell r="C362" t="str">
            <v>ПЕРЕДАЧА</v>
          </cell>
          <cell r="D362" t="str">
            <v>Сооружения</v>
          </cell>
          <cell r="E362" t="str">
            <v>24.05.2017</v>
          </cell>
          <cell r="F362" t="str">
            <v>Цех электрических сетей</v>
          </cell>
          <cell r="X362">
            <v>7653204.9500000002</v>
          </cell>
          <cell r="Y362">
            <v>1169239.5316666667</v>
          </cell>
          <cell r="Z362">
            <v>6483965.418333333</v>
          </cell>
          <cell r="AC362">
            <v>360</v>
          </cell>
        </row>
        <row r="363">
          <cell r="A363" t="str">
            <v>Специальный автогидроподъемник Чайка-Сервис 2784SG</v>
          </cell>
          <cell r="B363" t="str">
            <v>000001819</v>
          </cell>
          <cell r="C363" t="str">
            <v>ПЕРЕДАЧА</v>
          </cell>
          <cell r="D363" t="str">
            <v>Транспортные средства</v>
          </cell>
          <cell r="E363" t="str">
            <v>27.08.2020</v>
          </cell>
          <cell r="F363" t="str">
            <v>Автотранспортный цех</v>
          </cell>
          <cell r="X363">
            <v>5619166.6699999999</v>
          </cell>
          <cell r="Y363">
            <v>749222.22699999996</v>
          </cell>
          <cell r="Z363">
            <v>4869944.443</v>
          </cell>
          <cell r="AC363">
            <v>120</v>
          </cell>
        </row>
        <row r="364">
          <cell r="A364" t="str">
            <v>Строительство ВЛ-0,4 кВ по ул. Строителей (от ТП №65 ф. Монтажников д.15, 15б, 17, ф. Строителей д.1, 3, 3а)</v>
          </cell>
          <cell r="B364" t="str">
            <v>000001825</v>
          </cell>
          <cell r="C364" t="str">
            <v>ПЕРЕДАЧА</v>
          </cell>
          <cell r="D364" t="str">
            <v>Сооружения</v>
          </cell>
          <cell r="E364" t="str">
            <v>12.11.2020</v>
          </cell>
          <cell r="F364" t="str">
            <v>Цех электрических сетей</v>
          </cell>
          <cell r="X364">
            <v>4267272.09</v>
          </cell>
          <cell r="Y364">
            <v>115571.95224999996</v>
          </cell>
          <cell r="Z364">
            <v>4151700.1377499998</v>
          </cell>
          <cell r="AC364">
            <v>480</v>
          </cell>
        </row>
        <row r="365">
          <cell r="A365" t="str">
            <v>Строительство ВЛ-0,4кВ от ТП №2 фидер ул. 60 лет Октября д.43А г. Нарьян-Мар НАО</v>
          </cell>
          <cell r="B365" t="str">
            <v>000001690</v>
          </cell>
          <cell r="C365" t="str">
            <v>ПЕРЕДАЧА</v>
          </cell>
          <cell r="D365" t="str">
            <v>Сооружения</v>
          </cell>
          <cell r="E365" t="str">
            <v>10.08.2016</v>
          </cell>
          <cell r="F365" t="str">
            <v>Цех электрических сетей</v>
          </cell>
          <cell r="X365">
            <v>1849040.59</v>
          </cell>
          <cell r="Y365">
            <v>657436.77266666666</v>
          </cell>
          <cell r="Z365">
            <v>1191603.8173333334</v>
          </cell>
          <cell r="AC365">
            <v>180</v>
          </cell>
        </row>
        <row r="366">
          <cell r="A366" t="str">
            <v>Строительство участка ВЛ-0,4 кВ от ТП №46, фидер "ул.Молодежная", фидер "ул.Юбилейная", фидер магазин "Хороший"</v>
          </cell>
          <cell r="B366" t="str">
            <v>000001699</v>
          </cell>
          <cell r="C366" t="str">
            <v>ПЕРЕДАЧА</v>
          </cell>
          <cell r="D366" t="str">
            <v>Сооружения</v>
          </cell>
          <cell r="E366" t="str">
            <v>23.12.2016</v>
          </cell>
          <cell r="F366" t="str">
            <v>Цех электрических сетей</v>
          </cell>
          <cell r="X366">
            <v>2516509.21</v>
          </cell>
          <cell r="Y366">
            <v>838836.56066666672</v>
          </cell>
          <cell r="Z366">
            <v>1677672.6493333331</v>
          </cell>
          <cell r="AC366">
            <v>180</v>
          </cell>
        </row>
        <row r="367">
          <cell r="A367" t="str">
            <v>Тепловизор RGK TL-80</v>
          </cell>
          <cell r="B367" t="str">
            <v>000001742</v>
          </cell>
          <cell r="C367" t="str">
            <v>ПЕРЕДАЧА</v>
          </cell>
          <cell r="D367" t="str">
            <v>Машины и оборудование (кроме офисного)</v>
          </cell>
          <cell r="E367" t="str">
            <v>28.08.2018</v>
          </cell>
          <cell r="F367" t="str">
            <v>Цех электрических сетей</v>
          </cell>
          <cell r="X367">
            <v>138588.07</v>
          </cell>
          <cell r="Y367">
            <v>92392.01400000001</v>
          </cell>
          <cell r="Z367">
            <v>46196.055999999997</v>
          </cell>
          <cell r="AC367">
            <v>60</v>
          </cell>
        </row>
        <row r="368">
          <cell r="A368" t="str">
            <v>Токоизмерительные клещи с поверкой U1213A</v>
          </cell>
          <cell r="B368" t="str">
            <v>000001868</v>
          </cell>
          <cell r="C368" t="str">
            <v>ПЕРЕДАЧА</v>
          </cell>
          <cell r="D368" t="str">
            <v>Производственный и хозяйственный инвентарь</v>
          </cell>
          <cell r="E368">
            <v>44509</v>
          </cell>
          <cell r="F368" t="str">
            <v>Цех электрических сетей</v>
          </cell>
          <cell r="X368">
            <v>62904.17</v>
          </cell>
          <cell r="Y368">
            <v>748.85916666666662</v>
          </cell>
          <cell r="Z368">
            <v>62155.310833333329</v>
          </cell>
          <cell r="AC368">
            <v>84</v>
          </cell>
        </row>
        <row r="369">
          <cell r="A369" t="str">
            <v>ТП 100/6/0,4кВ лыжная база "Старт"</v>
          </cell>
          <cell r="B369" t="str">
            <v>00001230</v>
          </cell>
          <cell r="C369" t="str">
            <v>ПЕРЕДАЧА</v>
          </cell>
          <cell r="D369" t="str">
            <v>Сооружения</v>
          </cell>
          <cell r="E369" t="str">
            <v>30.11.2010</v>
          </cell>
          <cell r="F369" t="str">
            <v>Цех электрических сетей</v>
          </cell>
          <cell r="X369">
            <v>164403.51999999999</v>
          </cell>
          <cell r="Y369">
            <v>91404.6</v>
          </cell>
          <cell r="Z369">
            <v>72998.919999999984</v>
          </cell>
          <cell r="AC369">
            <v>240</v>
          </cell>
        </row>
        <row r="370">
          <cell r="A370" t="str">
            <v>ТП №1 " Сахалин "</v>
          </cell>
          <cell r="B370" t="str">
            <v>00000995</v>
          </cell>
          <cell r="C370" t="str">
            <v>ПЕРЕДАЧА</v>
          </cell>
          <cell r="D370" t="str">
            <v>Сооружения</v>
          </cell>
          <cell r="E370" t="str">
            <v>31.10.2006</v>
          </cell>
          <cell r="F370" t="str">
            <v>Цех электрических сетей</v>
          </cell>
          <cell r="X370">
            <v>113278.86</v>
          </cell>
          <cell r="Y370">
            <v>113278.86300000001</v>
          </cell>
          <cell r="Z370">
            <v>-3.0000000115251169E-3</v>
          </cell>
          <cell r="AC370">
            <v>180</v>
          </cell>
        </row>
        <row r="371">
          <cell r="A371" t="str">
            <v>ТП №10  Маслозавод    =10лет</v>
          </cell>
          <cell r="B371" t="str">
            <v>00000258</v>
          </cell>
          <cell r="C371" t="str">
            <v>ПЕРЕДАЧА</v>
          </cell>
          <cell r="D371" t="str">
            <v>Здания</v>
          </cell>
          <cell r="E371" t="str">
            <v>01.09.1998</v>
          </cell>
          <cell r="F371" t="str">
            <v>Цех электрических сетей</v>
          </cell>
          <cell r="X371">
            <v>283921.7</v>
          </cell>
          <cell r="Y371">
            <v>96252.002203389828</v>
          </cell>
          <cell r="Z371">
            <v>187669.69779661018</v>
          </cell>
          <cell r="AC371">
            <v>708</v>
          </cell>
        </row>
        <row r="372">
          <cell r="A372" t="str">
            <v>ТП №101 (2КТП База МТР)</v>
          </cell>
          <cell r="B372" t="str">
            <v>000001510</v>
          </cell>
          <cell r="C372" t="str">
            <v>ПЕРЕДАЧА</v>
          </cell>
          <cell r="D372" t="str">
            <v>Сооружения</v>
          </cell>
          <cell r="E372" t="str">
            <v>30.01.2013</v>
          </cell>
          <cell r="F372" t="str">
            <v>Цех электрических сетей</v>
          </cell>
          <cell r="X372">
            <v>3012131.78</v>
          </cell>
          <cell r="Y372">
            <v>1342908.8389999999</v>
          </cell>
          <cell r="Z372">
            <v>1669222.9409999999</v>
          </cell>
          <cell r="AC372">
            <v>240</v>
          </cell>
        </row>
        <row r="373">
          <cell r="A373" t="str">
            <v>ТП №11 ул Меньшикова 1  1972г.</v>
          </cell>
          <cell r="B373" t="str">
            <v>00000132</v>
          </cell>
          <cell r="C373" t="str">
            <v>ПЕРЕДАЧА</v>
          </cell>
          <cell r="D373" t="str">
            <v>Здания</v>
          </cell>
          <cell r="E373" t="str">
            <v>31.01.1972</v>
          </cell>
          <cell r="F373" t="str">
            <v>Цех электрических сетей</v>
          </cell>
          <cell r="X373">
            <v>583613.52</v>
          </cell>
          <cell r="Y373">
            <v>292274.68</v>
          </cell>
          <cell r="Z373">
            <v>291338.84000000003</v>
          </cell>
          <cell r="AC373">
            <v>708</v>
          </cell>
        </row>
        <row r="374">
          <cell r="A374" t="str">
            <v>ТП №12/1 по ул. Меньшикова д.22А</v>
          </cell>
          <cell r="B374" t="str">
            <v>00001254</v>
          </cell>
          <cell r="C374" t="str">
            <v>ПЕРЕДАЧА</v>
          </cell>
          <cell r="D374" t="str">
            <v>Сооружения</v>
          </cell>
          <cell r="E374" t="str">
            <v>31.10.2010</v>
          </cell>
          <cell r="F374" t="str">
            <v>Цех электрических сетей</v>
          </cell>
          <cell r="X374">
            <v>687228.88</v>
          </cell>
          <cell r="Y374">
            <v>383702.34400000004</v>
          </cell>
          <cell r="Z374">
            <v>303526.53599999996</v>
          </cell>
          <cell r="AC374">
            <v>240</v>
          </cell>
        </row>
        <row r="375">
          <cell r="A375" t="str">
            <v>ТП №13-1 "Бондарная"(КТПН(КК)400 с тр-мТМ250/60,4)</v>
          </cell>
          <cell r="B375" t="str">
            <v>00001116</v>
          </cell>
          <cell r="C375" t="str">
            <v>ПЕРЕДАЧА</v>
          </cell>
          <cell r="D375" t="str">
            <v>Сооружения</v>
          </cell>
          <cell r="E375" t="str">
            <v>30.03.2009</v>
          </cell>
          <cell r="F375" t="str">
            <v>Цех электрических сетей</v>
          </cell>
          <cell r="X375">
            <v>696914.55</v>
          </cell>
          <cell r="Y375">
            <v>581439.78999999992</v>
          </cell>
          <cell r="Z375">
            <v>115474.76000000013</v>
          </cell>
          <cell r="AC375">
            <v>113</v>
          </cell>
        </row>
        <row r="376">
          <cell r="A376" t="str">
            <v>ТП №14 баня 1  1974г.</v>
          </cell>
          <cell r="B376" t="str">
            <v>00000536</v>
          </cell>
          <cell r="C376" t="str">
            <v>ПЕРЕДАЧА</v>
          </cell>
          <cell r="D376" t="str">
            <v>Здания</v>
          </cell>
          <cell r="E376" t="str">
            <v>31.01.1974</v>
          </cell>
          <cell r="F376" t="str">
            <v>Цех электрических сетей</v>
          </cell>
          <cell r="X376">
            <v>403347</v>
          </cell>
          <cell r="Y376">
            <v>149392.18</v>
          </cell>
          <cell r="Z376">
            <v>253954.82</v>
          </cell>
          <cell r="AC376">
            <v>708</v>
          </cell>
        </row>
        <row r="377">
          <cell r="A377" t="str">
            <v>ТП №17 ул Печорская  1978г.</v>
          </cell>
          <cell r="B377" t="str">
            <v>00000136</v>
          </cell>
          <cell r="C377" t="str">
            <v>ПЕРЕДАЧА</v>
          </cell>
          <cell r="D377" t="str">
            <v>Здания</v>
          </cell>
          <cell r="E377" t="str">
            <v>31.01.1978</v>
          </cell>
          <cell r="F377" t="str">
            <v>Цех электрических сетей</v>
          </cell>
          <cell r="X377">
            <v>35347</v>
          </cell>
          <cell r="Y377">
            <v>25990.621694915255</v>
          </cell>
          <cell r="Z377">
            <v>9356.3783050847451</v>
          </cell>
          <cell r="AC377">
            <v>708</v>
          </cell>
        </row>
        <row r="378">
          <cell r="A378" t="str">
            <v>ТП №18 ул 60 лет СССР 5  1981г.</v>
          </cell>
          <cell r="B378" t="str">
            <v>00000138</v>
          </cell>
          <cell r="C378" t="str">
            <v>ПЕРЕДАЧА</v>
          </cell>
          <cell r="D378" t="str">
            <v>Здания</v>
          </cell>
          <cell r="E378" t="str">
            <v>31.01.1981</v>
          </cell>
          <cell r="F378" t="str">
            <v>Цех электрических сетей</v>
          </cell>
          <cell r="X378">
            <v>35347</v>
          </cell>
          <cell r="Y378">
            <v>24282.621694915255</v>
          </cell>
          <cell r="Z378">
            <v>11064.378305084745</v>
          </cell>
          <cell r="AC378">
            <v>708</v>
          </cell>
        </row>
        <row r="379">
          <cell r="A379" t="str">
            <v>ТП №19 ул Южная 2  1968г.</v>
          </cell>
          <cell r="B379" t="str">
            <v>00000139</v>
          </cell>
          <cell r="C379" t="str">
            <v>ПЕРЕДАЧА</v>
          </cell>
          <cell r="D379" t="str">
            <v>Здания</v>
          </cell>
          <cell r="E379" t="str">
            <v>31.01.1968</v>
          </cell>
          <cell r="F379" t="str">
            <v>Цех электрических сетей</v>
          </cell>
          <cell r="X379">
            <v>374452</v>
          </cell>
          <cell r="Y379">
            <v>200448.88999999998</v>
          </cell>
          <cell r="Z379">
            <v>174003.11000000002</v>
          </cell>
          <cell r="AC379">
            <v>708</v>
          </cell>
        </row>
        <row r="380">
          <cell r="A380" t="str">
            <v>ТП №20 пер Рыбацкий 1970г</v>
          </cell>
          <cell r="B380" t="str">
            <v>00000540</v>
          </cell>
          <cell r="C380" t="str">
            <v>ПЕРЕДАЧА</v>
          </cell>
          <cell r="D380" t="str">
            <v>Здания</v>
          </cell>
          <cell r="E380" t="str">
            <v>31.01.1970</v>
          </cell>
          <cell r="F380" t="str">
            <v>Цех электрических сетей</v>
          </cell>
          <cell r="X380">
            <v>28452</v>
          </cell>
          <cell r="Y380">
            <v>24945.387288135596</v>
          </cell>
          <cell r="Z380">
            <v>3506.6127118644035</v>
          </cell>
          <cell r="AC380">
            <v>708</v>
          </cell>
        </row>
        <row r="381">
          <cell r="A381" t="str">
            <v>ТП №21 ул Хатанзейского  1967г.</v>
          </cell>
          <cell r="B381" t="str">
            <v>00000541</v>
          </cell>
          <cell r="C381" t="str">
            <v>ПЕРЕДАЧА</v>
          </cell>
          <cell r="D381" t="str">
            <v>Здания</v>
          </cell>
          <cell r="E381" t="str">
            <v>31.01.1967</v>
          </cell>
          <cell r="F381" t="str">
            <v>Цех электрических сетей</v>
          </cell>
          <cell r="X381">
            <v>110115</v>
          </cell>
          <cell r="Y381">
            <v>81608.569999999992</v>
          </cell>
          <cell r="Z381">
            <v>28506.430000000008</v>
          </cell>
          <cell r="AC381">
            <v>708</v>
          </cell>
        </row>
        <row r="382">
          <cell r="A382" t="str">
            <v>ТП №22  пос Р/комб   ул Строительная  1992г.</v>
          </cell>
          <cell r="B382" t="str">
            <v>00000527</v>
          </cell>
          <cell r="C382" t="str">
            <v>ПЕРЕДАЧА</v>
          </cell>
          <cell r="D382" t="str">
            <v>Здания</v>
          </cell>
          <cell r="E382" t="str">
            <v>31.01.1992</v>
          </cell>
          <cell r="F382" t="str">
            <v>Цех электрических сетей</v>
          </cell>
          <cell r="X382">
            <v>58630</v>
          </cell>
          <cell r="Y382">
            <v>29138.278813559322</v>
          </cell>
          <cell r="Z382">
            <v>29491.721186440678</v>
          </cell>
          <cell r="AC382">
            <v>708</v>
          </cell>
        </row>
        <row r="383">
          <cell r="A383" t="str">
            <v>ТП №23 район "Тубдиспансер" 2008г</v>
          </cell>
          <cell r="B383" t="str">
            <v>00001091</v>
          </cell>
          <cell r="C383" t="str">
            <v>ПЕРЕДАЧА</v>
          </cell>
          <cell r="D383" t="str">
            <v>Сооружения</v>
          </cell>
          <cell r="E383" t="str">
            <v>30.09.2008</v>
          </cell>
          <cell r="F383" t="str">
            <v>Цех электрических сетей</v>
          </cell>
          <cell r="X383">
            <v>365828.44</v>
          </cell>
          <cell r="Y383">
            <v>323148.42266666668</v>
          </cell>
          <cell r="Z383">
            <v>42680.017333333322</v>
          </cell>
          <cell r="AC383">
            <v>180</v>
          </cell>
        </row>
        <row r="384">
          <cell r="A384" t="str">
            <v>ТП №24   ул 60 лет Октября 3а  1975г.</v>
          </cell>
          <cell r="B384" t="str">
            <v>00000542</v>
          </cell>
          <cell r="C384" t="str">
            <v>ПЕРЕДАЧА</v>
          </cell>
          <cell r="D384" t="str">
            <v>Здания</v>
          </cell>
          <cell r="E384" t="str">
            <v>31.01.1975</v>
          </cell>
          <cell r="F384" t="str">
            <v>Цех электрических сетей</v>
          </cell>
          <cell r="X384">
            <v>57954.52</v>
          </cell>
          <cell r="Y384">
            <v>37170.68</v>
          </cell>
          <cell r="Z384">
            <v>20783.839999999997</v>
          </cell>
          <cell r="AC384">
            <v>708</v>
          </cell>
        </row>
        <row r="385">
          <cell r="A385" t="str">
            <v>ТП №25 Н-Марское АТП  1978г.</v>
          </cell>
          <cell r="B385" t="str">
            <v>00000543</v>
          </cell>
          <cell r="C385" t="str">
            <v>ПЕРЕДАЧА</v>
          </cell>
          <cell r="D385" t="str">
            <v>Здания</v>
          </cell>
          <cell r="E385" t="str">
            <v>31.01.1978</v>
          </cell>
          <cell r="F385" t="str">
            <v>Цех электрических сетей</v>
          </cell>
          <cell r="X385">
            <v>28452</v>
          </cell>
          <cell r="Y385">
            <v>20962.387288135596</v>
          </cell>
          <cell r="Z385">
            <v>7489.6127118644035</v>
          </cell>
          <cell r="AC385">
            <v>708</v>
          </cell>
        </row>
        <row r="386">
          <cell r="A386" t="str">
            <v>ТП №26/1 "База РСУ"</v>
          </cell>
          <cell r="B386" t="str">
            <v>000001645</v>
          </cell>
          <cell r="C386" t="str">
            <v>ПЕРЕДАЧА</v>
          </cell>
          <cell r="D386" t="str">
            <v>Сооружения</v>
          </cell>
          <cell r="E386" t="str">
            <v>04.12.2014</v>
          </cell>
          <cell r="F386" t="str">
            <v>Цех электрических сетей</v>
          </cell>
          <cell r="X386">
            <v>1621695.9</v>
          </cell>
          <cell r="Y386">
            <v>567593.83499999996</v>
          </cell>
          <cell r="Z386">
            <v>1054102.0649999999</v>
          </cell>
          <cell r="AC386">
            <v>240</v>
          </cell>
        </row>
        <row r="387">
          <cell r="A387" t="str">
            <v>ТП №27 школа 1  1982г.</v>
          </cell>
          <cell r="B387" t="str">
            <v>00000544</v>
          </cell>
          <cell r="C387" t="str">
            <v>ПЕРЕДАЧА</v>
          </cell>
          <cell r="D387" t="str">
            <v>Здания</v>
          </cell>
          <cell r="E387" t="str">
            <v>31.01.1982</v>
          </cell>
          <cell r="F387" t="str">
            <v>Цех электрических сетей</v>
          </cell>
          <cell r="X387">
            <v>81054</v>
          </cell>
          <cell r="Y387">
            <v>54878.406610169492</v>
          </cell>
          <cell r="Z387">
            <v>26175.593389830508</v>
          </cell>
          <cell r="AC387">
            <v>708</v>
          </cell>
        </row>
        <row r="388">
          <cell r="A388" t="str">
            <v>ТП №28/1 "Юбилейная"</v>
          </cell>
          <cell r="B388" t="str">
            <v>000001646</v>
          </cell>
          <cell r="C388" t="str">
            <v>ПЕРЕДАЧА</v>
          </cell>
          <cell r="D388" t="str">
            <v>Сооружения</v>
          </cell>
          <cell r="E388" t="str">
            <v>31.12.2014</v>
          </cell>
          <cell r="F388" t="str">
            <v>Цех электрических сетей</v>
          </cell>
          <cell r="X388">
            <v>1622740.26</v>
          </cell>
          <cell r="Y388">
            <v>567959.25300000003</v>
          </cell>
          <cell r="Z388">
            <v>1054781.007</v>
          </cell>
          <cell r="AC388">
            <v>240</v>
          </cell>
        </row>
        <row r="389">
          <cell r="A389" t="str">
            <v>ТП №3 больница 1988г.</v>
          </cell>
          <cell r="B389" t="str">
            <v>00000126</v>
          </cell>
          <cell r="C389" t="str">
            <v>ПЕРЕДАЧА</v>
          </cell>
          <cell r="D389" t="str">
            <v>Здания</v>
          </cell>
          <cell r="E389" t="str">
            <v>31.01.1988</v>
          </cell>
          <cell r="F389" t="str">
            <v>Цех электрических сетей</v>
          </cell>
          <cell r="X389">
            <v>139755</v>
          </cell>
          <cell r="Y389">
            <v>79241.99881355933</v>
          </cell>
          <cell r="Z389">
            <v>60513.00118644067</v>
          </cell>
          <cell r="AC389">
            <v>708</v>
          </cell>
        </row>
        <row r="390">
          <cell r="A390" t="str">
            <v>ТП №31 Озерная  водонасосная 1986г</v>
          </cell>
          <cell r="B390" t="str">
            <v>00000585</v>
          </cell>
          <cell r="C390" t="str">
            <v>ПЕРЕДАЧА</v>
          </cell>
          <cell r="D390" t="str">
            <v>Здания</v>
          </cell>
          <cell r="E390" t="str">
            <v>01.01.1986</v>
          </cell>
          <cell r="F390" t="str">
            <v>Цех электрических сетей</v>
          </cell>
          <cell r="X390">
            <v>138425</v>
          </cell>
          <cell r="Y390">
            <v>82639.53644067797</v>
          </cell>
          <cell r="Z390">
            <v>55785.46355932203</v>
          </cell>
          <cell r="AC390">
            <v>708</v>
          </cell>
        </row>
        <row r="391">
          <cell r="A391" t="str">
            <v>ТП №32 ул Ленина 41  1985г.</v>
          </cell>
          <cell r="B391" t="str">
            <v>00000588</v>
          </cell>
          <cell r="C391" t="str">
            <v>ПЕРЕДАЧА</v>
          </cell>
          <cell r="D391" t="str">
            <v>Здания</v>
          </cell>
          <cell r="E391" t="str">
            <v>31.01.1985</v>
          </cell>
          <cell r="F391" t="str">
            <v>Цех электрических сетей</v>
          </cell>
          <cell r="X391">
            <v>104326</v>
          </cell>
          <cell r="Y391">
            <v>64374.107288135594</v>
          </cell>
          <cell r="Z391">
            <v>39951.892711864406</v>
          </cell>
          <cell r="AC391">
            <v>708</v>
          </cell>
        </row>
        <row r="392">
          <cell r="A392" t="str">
            <v>ТП №34 ул Южная 43а  ГКТП 1991г.</v>
          </cell>
          <cell r="B392" t="str">
            <v>00000223</v>
          </cell>
          <cell r="C392" t="str">
            <v>ПЕРЕДАЧА</v>
          </cell>
          <cell r="D392" t="str">
            <v>Здания</v>
          </cell>
          <cell r="E392" t="str">
            <v>30.01.1991</v>
          </cell>
          <cell r="F392" t="str">
            <v>Цех электрических сетей</v>
          </cell>
          <cell r="X392">
            <v>340105.33</v>
          </cell>
          <cell r="Y392">
            <v>268938.81</v>
          </cell>
          <cell r="Z392">
            <v>71166.520000000019</v>
          </cell>
          <cell r="AC392">
            <v>0</v>
          </cell>
        </row>
        <row r="393">
          <cell r="A393" t="str">
            <v>ТП №35 ул Ленина 5  1993г.</v>
          </cell>
          <cell r="B393" t="str">
            <v>00000551</v>
          </cell>
          <cell r="C393" t="str">
            <v>ПЕРЕДАЧА</v>
          </cell>
          <cell r="D393" t="str">
            <v>Здания</v>
          </cell>
          <cell r="E393" t="str">
            <v>31.01.1993</v>
          </cell>
          <cell r="F393" t="str">
            <v>Цех электрических сетей</v>
          </cell>
          <cell r="X393">
            <v>2184</v>
          </cell>
          <cell r="Y393">
            <v>1016.4069491525423</v>
          </cell>
          <cell r="Z393">
            <v>1167.5930508474576</v>
          </cell>
          <cell r="AC393">
            <v>708</v>
          </cell>
        </row>
        <row r="394">
          <cell r="A394" t="str">
            <v>ТП №35 ул. Ленина р-он д.№5 2008г(оборуд-е)</v>
          </cell>
          <cell r="B394" t="str">
            <v>00001089</v>
          </cell>
          <cell r="C394" t="str">
            <v>ПЕРЕДАЧА</v>
          </cell>
          <cell r="D394" t="str">
            <v>Машины и оборудование (кроме офисного)</v>
          </cell>
          <cell r="E394" t="str">
            <v>30.09.2008</v>
          </cell>
          <cell r="F394" t="str">
            <v>Цех электрических сетей</v>
          </cell>
          <cell r="X394">
            <v>603015.09</v>
          </cell>
          <cell r="Y394">
            <v>209953.68</v>
          </cell>
          <cell r="Z394">
            <v>393061.41</v>
          </cell>
          <cell r="AC394">
            <v>315</v>
          </cell>
        </row>
        <row r="395">
          <cell r="A395" t="str">
            <v>ТП №36  КОП ресторан Север 1993г</v>
          </cell>
          <cell r="B395" t="str">
            <v>00000227</v>
          </cell>
          <cell r="C395" t="str">
            <v>ПЕРЕДАЧА</v>
          </cell>
          <cell r="D395" t="str">
            <v>Здания</v>
          </cell>
          <cell r="E395" t="str">
            <v>31.01.1993</v>
          </cell>
          <cell r="F395" t="str">
            <v>Цех электрических сетей</v>
          </cell>
          <cell r="X395">
            <v>401728.31</v>
          </cell>
          <cell r="Y395">
            <v>322684.40000000002</v>
          </cell>
          <cell r="Z395">
            <v>79043.909999999974</v>
          </cell>
          <cell r="AC395">
            <v>384</v>
          </cell>
        </row>
        <row r="396">
          <cell r="A396" t="str">
            <v>ТП №37 жил, дом Ленина 27  1984г.</v>
          </cell>
          <cell r="B396" t="str">
            <v>00000150</v>
          </cell>
          <cell r="C396" t="str">
            <v>ПЕРЕДАЧА</v>
          </cell>
          <cell r="D396" t="str">
            <v>Здания</v>
          </cell>
          <cell r="E396" t="str">
            <v>31.01.1994</v>
          </cell>
          <cell r="F396" t="str">
            <v>Цех электрических сетей</v>
          </cell>
          <cell r="X396">
            <v>490429.34</v>
          </cell>
          <cell r="Y396">
            <v>135458.97999999998</v>
          </cell>
          <cell r="Z396">
            <v>354970.36000000004</v>
          </cell>
          <cell r="AC396">
            <v>708</v>
          </cell>
        </row>
        <row r="397">
          <cell r="A397" t="str">
            <v>ТП №38 ул Заполярная   1985г.</v>
          </cell>
          <cell r="B397" t="str">
            <v>00000229</v>
          </cell>
          <cell r="C397" t="str">
            <v>ПЕРЕДАЧА</v>
          </cell>
          <cell r="D397" t="str">
            <v>Машины и оборудование (кроме офисного)</v>
          </cell>
          <cell r="E397" t="str">
            <v>31.12.2011</v>
          </cell>
          <cell r="F397" t="str">
            <v>Цех электрических сетей</v>
          </cell>
          <cell r="X397">
            <v>153796.03</v>
          </cell>
          <cell r="Y397">
            <v>32673.98</v>
          </cell>
          <cell r="Z397">
            <v>121122.05</v>
          </cell>
          <cell r="AC397">
            <v>708</v>
          </cell>
        </row>
        <row r="398">
          <cell r="A398" t="str">
            <v>ТП №4 АТС  КБО 1993г</v>
          </cell>
          <cell r="B398" t="str">
            <v>00000539</v>
          </cell>
          <cell r="C398" t="str">
            <v>ПЕРЕДАЧА</v>
          </cell>
          <cell r="D398" t="str">
            <v>Здания</v>
          </cell>
          <cell r="E398" t="str">
            <v>31.01.1993</v>
          </cell>
          <cell r="F398" t="str">
            <v>Цех электрических сетей</v>
          </cell>
          <cell r="X398">
            <v>3990</v>
          </cell>
          <cell r="Y398">
            <v>1872.5671186440679</v>
          </cell>
          <cell r="Z398">
            <v>2117.4328813559323</v>
          </cell>
          <cell r="AC398">
            <v>708</v>
          </cell>
        </row>
        <row r="399">
          <cell r="A399" t="str">
            <v>ТП №40-1 школа №2-новая</v>
          </cell>
          <cell r="B399" t="str">
            <v>00001155</v>
          </cell>
          <cell r="C399" t="str">
            <v>ПЕРЕДАЧА</v>
          </cell>
          <cell r="D399" t="str">
            <v>Сооружения</v>
          </cell>
          <cell r="E399" t="str">
            <v>31.12.2009</v>
          </cell>
          <cell r="F399" t="str">
            <v>Цех электрических сетей</v>
          </cell>
          <cell r="X399">
            <v>709010.42</v>
          </cell>
          <cell r="Y399">
            <v>283603.72066666669</v>
          </cell>
          <cell r="Z399">
            <v>425406.69933333335</v>
          </cell>
          <cell r="AC399">
            <v>360</v>
          </cell>
        </row>
        <row r="400">
          <cell r="A400" t="str">
            <v>ТП №42 по ул. Рабочая  2008г(оборуд-е)</v>
          </cell>
          <cell r="B400" t="str">
            <v>00001088</v>
          </cell>
          <cell r="C400" t="str">
            <v>ПЕРЕДАЧА</v>
          </cell>
          <cell r="D400" t="str">
            <v>Машины и оборудование (кроме офисного)</v>
          </cell>
          <cell r="E400" t="str">
            <v>30.09.2008</v>
          </cell>
          <cell r="F400" t="str">
            <v>Цех электрических сетей</v>
          </cell>
          <cell r="X400">
            <v>792311.92</v>
          </cell>
          <cell r="Y400">
            <v>369117.8</v>
          </cell>
          <cell r="Z400">
            <v>423194.12000000005</v>
          </cell>
          <cell r="AC400">
            <v>708</v>
          </cell>
        </row>
        <row r="401">
          <cell r="A401" t="str">
            <v>ТП №42 ул Рабочая 21 1980г</v>
          </cell>
          <cell r="B401" t="str">
            <v>00000156</v>
          </cell>
          <cell r="C401" t="str">
            <v>ПЕРЕДАЧА</v>
          </cell>
          <cell r="D401" t="str">
            <v>Здания</v>
          </cell>
          <cell r="E401" t="str">
            <v>31.01.1980</v>
          </cell>
          <cell r="F401" t="str">
            <v>Цех электрических сетей</v>
          </cell>
          <cell r="X401">
            <v>94845</v>
          </cell>
          <cell r="Y401">
            <v>70889.162372881357</v>
          </cell>
          <cell r="Z401">
            <v>23955.837627118643</v>
          </cell>
          <cell r="AC401">
            <v>708</v>
          </cell>
        </row>
        <row r="402">
          <cell r="A402" t="str">
            <v>ТП №44 "Ненецкая СББЖ г.Нарьян-Мара"</v>
          </cell>
          <cell r="B402" t="str">
            <v>000001668</v>
          </cell>
          <cell r="C402" t="str">
            <v>ПЕРЕДАЧА</v>
          </cell>
          <cell r="D402" t="str">
            <v>Сооружения</v>
          </cell>
          <cell r="E402" t="str">
            <v>31.12.2015</v>
          </cell>
          <cell r="F402" t="str">
            <v>Цех электрических сетей</v>
          </cell>
          <cell r="X402">
            <v>1561848.18</v>
          </cell>
          <cell r="Y402">
            <v>468554.40899999999</v>
          </cell>
          <cell r="Z402">
            <v>1093293.7709999999</v>
          </cell>
          <cell r="AC402">
            <v>240</v>
          </cell>
        </row>
        <row r="403">
          <cell r="A403" t="str">
            <v>ТП №45 ПОКиТС 2008г</v>
          </cell>
          <cell r="B403" t="str">
            <v>00001096</v>
          </cell>
          <cell r="C403" t="str">
            <v>ПЕРЕДАЧА</v>
          </cell>
          <cell r="D403" t="str">
            <v>Сооружения</v>
          </cell>
          <cell r="E403" t="str">
            <v>31.10.2008</v>
          </cell>
          <cell r="F403" t="str">
            <v>Цех электрических сетей</v>
          </cell>
          <cell r="X403">
            <v>636241.19999999995</v>
          </cell>
          <cell r="Y403">
            <v>558477.9</v>
          </cell>
          <cell r="Z403">
            <v>77763.29999999993</v>
          </cell>
          <cell r="AC403">
            <v>180</v>
          </cell>
        </row>
        <row r="404">
          <cell r="A404" t="str">
            <v>ТП №48 Угольная</v>
          </cell>
          <cell r="B404" t="str">
            <v>00000231</v>
          </cell>
          <cell r="C404" t="str">
            <v>ПЕРЕДАЧА</v>
          </cell>
          <cell r="D404" t="str">
            <v>Сооружения</v>
          </cell>
          <cell r="E404" t="str">
            <v>01.01.1996</v>
          </cell>
          <cell r="F404" t="str">
            <v>Цех электрических сетей</v>
          </cell>
          <cell r="X404">
            <v>84493.17</v>
          </cell>
          <cell r="Y404">
            <v>22796.84</v>
          </cell>
          <cell r="Z404">
            <v>61696.33</v>
          </cell>
          <cell r="AC404">
            <v>708</v>
          </cell>
        </row>
        <row r="405">
          <cell r="A405" t="str">
            <v>ТП №5/1 2КТПН-630/6/0,4 Смидовича 20А 2010г</v>
          </cell>
          <cell r="B405" t="str">
            <v>00000927</v>
          </cell>
          <cell r="C405" t="str">
            <v>ПЕРЕДАЧА</v>
          </cell>
          <cell r="D405" t="str">
            <v>Сооружения</v>
          </cell>
          <cell r="E405" t="str">
            <v>31.12.2010</v>
          </cell>
          <cell r="F405" t="str">
            <v>Цех электрических сетей</v>
          </cell>
          <cell r="X405">
            <v>5770950</v>
          </cell>
          <cell r="Y405">
            <v>3174023.1</v>
          </cell>
          <cell r="Z405">
            <v>2596926.9</v>
          </cell>
          <cell r="AC405">
            <v>240</v>
          </cell>
        </row>
        <row r="406">
          <cell r="A406" t="str">
            <v>ТП №51 ГОСНИ по НАО К-42-630 1997г.</v>
          </cell>
          <cell r="B406" t="str">
            <v>00000094</v>
          </cell>
          <cell r="C406" t="str">
            <v>ПЕРЕДАЧА</v>
          </cell>
          <cell r="D406" t="str">
            <v>Здания</v>
          </cell>
          <cell r="E406" t="str">
            <v>01.12.1997</v>
          </cell>
          <cell r="F406" t="str">
            <v>Цех электрических сетей</v>
          </cell>
          <cell r="X406">
            <v>511304</v>
          </cell>
        </row>
        <row r="407">
          <cell r="A407" t="str">
            <v>ТП №54  на базе ДРСУ</v>
          </cell>
          <cell r="B407" t="str">
            <v>00000093</v>
          </cell>
          <cell r="C407" t="str">
            <v>ПЕРЕДАЧА</v>
          </cell>
          <cell r="D407" t="str">
            <v>Сооружения</v>
          </cell>
          <cell r="E407" t="str">
            <v>01.12.1997</v>
          </cell>
          <cell r="F407" t="str">
            <v>Цех электрических сетей</v>
          </cell>
          <cell r="X407">
            <v>55000</v>
          </cell>
          <cell r="Y407">
            <v>48854.504347826085</v>
          </cell>
          <cell r="Z407">
            <v>6145.495652173915</v>
          </cell>
          <cell r="AC407">
            <v>276</v>
          </cell>
        </row>
        <row r="408">
          <cell r="A408" t="str">
            <v>ТП №56 Факел звероферма КТП  1997г  ч/з ле/з курью</v>
          </cell>
          <cell r="B408" t="str">
            <v>00000092</v>
          </cell>
          <cell r="C408" t="str">
            <v>ПЕРЕДАЧА</v>
          </cell>
          <cell r="D408" t="str">
            <v>Сооружения</v>
          </cell>
          <cell r="E408" t="str">
            <v>01.01.1997</v>
          </cell>
          <cell r="F408" t="str">
            <v>Цех электрических сетей</v>
          </cell>
          <cell r="X408">
            <v>15845</v>
          </cell>
          <cell r="Y408">
            <v>6437.9493220338991</v>
          </cell>
          <cell r="Z408">
            <v>9407.0506779661009</v>
          </cell>
          <cell r="AC408">
            <v>708</v>
          </cell>
        </row>
        <row r="409">
          <cell r="A409" t="str">
            <v>ТП №57 Геолог 2х ТМ-250 п Искателей  1981г.</v>
          </cell>
          <cell r="B409" t="str">
            <v>00000496</v>
          </cell>
          <cell r="C409" t="str">
            <v>ПЕРЕДАЧА</v>
          </cell>
          <cell r="D409" t="str">
            <v>Здания</v>
          </cell>
          <cell r="E409" t="str">
            <v>01.12.1997</v>
          </cell>
          <cell r="F409" t="str">
            <v>Цех электрических сетей</v>
          </cell>
          <cell r="X409">
            <v>1759133.06</v>
          </cell>
          <cell r="Y409">
            <v>110763.87</v>
          </cell>
          <cell r="Z409">
            <v>1648369.19</v>
          </cell>
          <cell r="AC409">
            <v>708</v>
          </cell>
        </row>
        <row r="410">
          <cell r="A410" t="str">
            <v>ТП №58 ГКТПН 10-400</v>
          </cell>
          <cell r="B410" t="str">
            <v>00000249</v>
          </cell>
          <cell r="C410" t="str">
            <v>ПЕРЕДАЧА</v>
          </cell>
          <cell r="D410" t="str">
            <v>Сооружения</v>
          </cell>
          <cell r="E410" t="str">
            <v>01.06.1998</v>
          </cell>
          <cell r="F410" t="str">
            <v>Цех электрических сетей</v>
          </cell>
          <cell r="X410">
            <v>41158.949999999997</v>
          </cell>
          <cell r="Y410">
            <v>41158.950000000004</v>
          </cell>
          <cell r="Z410">
            <v>0</v>
          </cell>
          <cell r="AC410">
            <v>276</v>
          </cell>
        </row>
        <row r="411">
          <cell r="A411" t="str">
            <v>ТП №59 ТМ-250 школа п.Искателей 1997г</v>
          </cell>
          <cell r="B411" t="str">
            <v>00000096</v>
          </cell>
          <cell r="C411" t="str">
            <v>ПЕРЕДАЧА</v>
          </cell>
          <cell r="D411" t="str">
            <v>Здания</v>
          </cell>
          <cell r="E411" t="str">
            <v>01.12.1997</v>
          </cell>
          <cell r="F411" t="str">
            <v>Цех электрических сетей</v>
          </cell>
          <cell r="X411">
            <v>11932</v>
          </cell>
          <cell r="Y411">
            <v>4264.1572881355933</v>
          </cell>
          <cell r="Z411">
            <v>7667.8427118644067</v>
          </cell>
          <cell r="AC411">
            <v>708</v>
          </cell>
        </row>
        <row r="412">
          <cell r="A412" t="str">
            <v>ТП №60</v>
          </cell>
          <cell r="B412" t="str">
            <v>00000228</v>
          </cell>
          <cell r="C412" t="str">
            <v>ПЕРЕДАЧА</v>
          </cell>
          <cell r="D412" t="str">
            <v>Машины и оборудование (кроме офисного)</v>
          </cell>
          <cell r="E412" t="str">
            <v>01.01.1995</v>
          </cell>
          <cell r="F412" t="str">
            <v>Цех электрических сетей</v>
          </cell>
          <cell r="X412">
            <v>1794513.35</v>
          </cell>
          <cell r="Y412">
            <v>614904.75</v>
          </cell>
          <cell r="Z412">
            <v>1179608.6000000001</v>
          </cell>
          <cell r="AC412">
            <v>708</v>
          </cell>
        </row>
        <row r="413">
          <cell r="A413" t="str">
            <v xml:space="preserve">ТП №60 Озерная 6  Искателей </v>
          </cell>
          <cell r="B413" t="str">
            <v>00000098</v>
          </cell>
          <cell r="C413" t="str">
            <v>ПЕРЕДАЧА</v>
          </cell>
          <cell r="D413" t="str">
            <v>Здания</v>
          </cell>
          <cell r="E413" t="str">
            <v>01.12.1997</v>
          </cell>
          <cell r="F413" t="str">
            <v>Цех электрических сетей</v>
          </cell>
          <cell r="X413">
            <v>15582</v>
          </cell>
          <cell r="Y413">
            <v>5569.6116949152547</v>
          </cell>
          <cell r="Z413">
            <v>10012.388305084745</v>
          </cell>
          <cell r="AC413">
            <v>708</v>
          </cell>
        </row>
        <row r="414">
          <cell r="A414" t="str">
            <v>ТП №6-1 ул Ненец-Оленн-Выуч-Полярн 96-кв дом 2010г</v>
          </cell>
          <cell r="B414" t="str">
            <v>00001220</v>
          </cell>
          <cell r="C414" t="str">
            <v>ПЕРЕДАЧА</v>
          </cell>
          <cell r="D414" t="str">
            <v>Здания</v>
          </cell>
          <cell r="E414" t="str">
            <v>31.05.2010</v>
          </cell>
          <cell r="F414" t="str">
            <v>Цех электрических сетей</v>
          </cell>
          <cell r="X414">
            <v>5475203</v>
          </cell>
          <cell r="Y414">
            <v>3171055.6</v>
          </cell>
          <cell r="Z414">
            <v>2304147.4</v>
          </cell>
          <cell r="AC414">
            <v>240</v>
          </cell>
        </row>
        <row r="415">
          <cell r="A415" t="str">
            <v>ТП №64  Рассихина 7 ГКТП ТМ-320 пИскателей 1997г</v>
          </cell>
          <cell r="B415" t="str">
            <v>00000095</v>
          </cell>
          <cell r="C415" t="str">
            <v>ПЕРЕДАЧА</v>
          </cell>
          <cell r="D415" t="str">
            <v>Сооружения</v>
          </cell>
          <cell r="E415" t="str">
            <v>01.12.1997</v>
          </cell>
          <cell r="F415" t="str">
            <v>Цех электрических сетей</v>
          </cell>
          <cell r="X415">
            <v>141293</v>
          </cell>
          <cell r="Y415">
            <v>125502.12391304347</v>
          </cell>
          <cell r="Z415">
            <v>15790.87608695653</v>
          </cell>
          <cell r="AC415">
            <v>276</v>
          </cell>
        </row>
        <row r="416">
          <cell r="A416" t="str">
            <v>ТП №65 Строителей 8  пИскателей 1997г</v>
          </cell>
          <cell r="B416" t="str">
            <v>00000506</v>
          </cell>
          <cell r="C416" t="str">
            <v>ПЕРЕДАЧА</v>
          </cell>
          <cell r="D416" t="str">
            <v>Сооружения</v>
          </cell>
          <cell r="E416" t="str">
            <v>01.12.1997</v>
          </cell>
          <cell r="F416" t="str">
            <v>Цех электрических сетей</v>
          </cell>
          <cell r="X416">
            <v>177359</v>
          </cell>
          <cell r="Y416">
            <v>47188.53</v>
          </cell>
          <cell r="Z416">
            <v>130170.47</v>
          </cell>
          <cell r="AC416">
            <v>708</v>
          </cell>
        </row>
        <row r="417">
          <cell r="A417" t="str">
            <v>ТП №66  МРП</v>
          </cell>
          <cell r="B417" t="str">
            <v>00000533</v>
          </cell>
          <cell r="C417" t="str">
            <v>ПЕРЕДАЧА</v>
          </cell>
          <cell r="D417" t="str">
            <v>Здания</v>
          </cell>
          <cell r="E417" t="str">
            <v>31.05.1998</v>
          </cell>
          <cell r="F417" t="str">
            <v>Цех электрических сетей</v>
          </cell>
          <cell r="X417">
            <v>264000</v>
          </cell>
          <cell r="Y417">
            <v>37223.980000000003</v>
          </cell>
          <cell r="Z417">
            <v>226776.02</v>
          </cell>
          <cell r="AC417">
            <v>708</v>
          </cell>
        </row>
        <row r="418">
          <cell r="A418" t="str">
            <v>ТП №67 школа№5 2000г.</v>
          </cell>
          <cell r="B418" t="str">
            <v>00000262</v>
          </cell>
          <cell r="C418" t="str">
            <v>ПЕРЕДАЧА</v>
          </cell>
          <cell r="D418" t="str">
            <v>Здания</v>
          </cell>
          <cell r="E418" t="str">
            <v>01.05.2000</v>
          </cell>
          <cell r="F418" t="str">
            <v>Цех электрических сетей</v>
          </cell>
          <cell r="X418">
            <v>110253</v>
          </cell>
          <cell r="Y418">
            <v>40342.724915254235</v>
          </cell>
          <cell r="Z418">
            <v>69910.275084745765</v>
          </cell>
          <cell r="AC418">
            <v>708</v>
          </cell>
        </row>
        <row r="419">
          <cell r="A419" t="str">
            <v>ТП №7 столовая 1  1967г.</v>
          </cell>
          <cell r="B419" t="str">
            <v>00000529</v>
          </cell>
          <cell r="C419" t="str">
            <v>ПЕРЕДАЧА</v>
          </cell>
          <cell r="D419" t="str">
            <v>Здания</v>
          </cell>
          <cell r="E419" t="str">
            <v>31.01.1967</v>
          </cell>
          <cell r="F419" t="str">
            <v>Цех электрических сетей</v>
          </cell>
          <cell r="X419">
            <v>410888.55</v>
          </cell>
          <cell r="Y419">
            <v>285348.40999999997</v>
          </cell>
          <cell r="Z419">
            <v>125540.14000000001</v>
          </cell>
          <cell r="AC419">
            <v>708</v>
          </cell>
        </row>
        <row r="420">
          <cell r="A420" t="str">
            <v>ТП №73(Трансформаторная подстанция Ленина 35б )</v>
          </cell>
          <cell r="B420" t="str">
            <v>00001122</v>
          </cell>
          <cell r="C420" t="str">
            <v>ПЕРЕДАЧА</v>
          </cell>
          <cell r="D420" t="str">
            <v>Здания</v>
          </cell>
          <cell r="E420" t="str">
            <v>31.07.2009</v>
          </cell>
          <cell r="F420" t="str">
            <v>Цех электрических сетей</v>
          </cell>
          <cell r="X420">
            <v>442207.81</v>
          </cell>
          <cell r="Y420">
            <v>274537.00049999997</v>
          </cell>
          <cell r="Z420">
            <v>167670.80950000003</v>
          </cell>
          <cell r="AC420">
            <v>240</v>
          </cell>
        </row>
        <row r="421">
          <cell r="A421" t="str">
            <v>ТП №75 КТП /ПК-К-250/10/04 на Неф-в 11а  2006г</v>
          </cell>
          <cell r="B421" t="str">
            <v>00000982</v>
          </cell>
          <cell r="C421" t="str">
            <v>ПЕРЕДАЧА</v>
          </cell>
          <cell r="D421" t="str">
            <v>Сооружения</v>
          </cell>
          <cell r="E421" t="str">
            <v>31.08.2006</v>
          </cell>
          <cell r="F421" t="str">
            <v>Цех электрических сетей</v>
          </cell>
          <cell r="X421">
            <v>213802.94</v>
          </cell>
          <cell r="Y421">
            <v>213802.94</v>
          </cell>
          <cell r="Z421">
            <v>0</v>
          </cell>
          <cell r="AC421">
            <v>180</v>
          </cell>
        </row>
        <row r="422">
          <cell r="A422" t="str">
            <v>ТП №76 котельная №2</v>
          </cell>
          <cell r="B422" t="str">
            <v>00001000</v>
          </cell>
          <cell r="C422" t="str">
            <v>ПЕРЕДАЧА</v>
          </cell>
          <cell r="D422" t="str">
            <v>Сооружения</v>
          </cell>
          <cell r="E422" t="str">
            <v>31.10.2006</v>
          </cell>
          <cell r="F422" t="str">
            <v>Цех электрических сетей</v>
          </cell>
          <cell r="X422">
            <v>236505.42</v>
          </cell>
          <cell r="Y422">
            <v>236505.421</v>
          </cell>
          <cell r="Z422">
            <v>-9.9999998928979039E-4</v>
          </cell>
          <cell r="AC422">
            <v>180</v>
          </cell>
        </row>
        <row r="423">
          <cell r="A423" t="str">
            <v>ТП №77 пер Антипина п Мирный 2007г</v>
          </cell>
          <cell r="B423" t="str">
            <v>00001053</v>
          </cell>
          <cell r="C423" t="str">
            <v>ПЕРЕДАЧА</v>
          </cell>
          <cell r="D423" t="str">
            <v>Сооружения</v>
          </cell>
          <cell r="E423" t="str">
            <v>16.10.2007</v>
          </cell>
          <cell r="F423" t="str">
            <v>Цех электрических сетей</v>
          </cell>
          <cell r="X423">
            <v>604017.51</v>
          </cell>
          <cell r="Y423">
            <v>570460.53399999999</v>
          </cell>
          <cell r="Z423">
            <v>33556.976000000024</v>
          </cell>
          <cell r="AC423">
            <v>180</v>
          </cell>
        </row>
        <row r="424">
          <cell r="A424" t="str">
            <v>ТП №8 ул Ленина 47, 47а  1978г.</v>
          </cell>
          <cell r="B424" t="str">
            <v>00000581</v>
          </cell>
          <cell r="C424" t="str">
            <v>ПЕРЕДАЧА</v>
          </cell>
          <cell r="D424" t="str">
            <v>Здания</v>
          </cell>
          <cell r="E424" t="str">
            <v>31.01.1978</v>
          </cell>
          <cell r="F424" t="str">
            <v>Цех электрических сетей</v>
          </cell>
          <cell r="X424">
            <v>35347</v>
          </cell>
          <cell r="Y424">
            <v>26403.621694915255</v>
          </cell>
          <cell r="Z424">
            <v>8943.3783050847451</v>
          </cell>
          <cell r="AC424">
            <v>708</v>
          </cell>
        </row>
        <row r="425">
          <cell r="A425" t="str">
            <v>ТП №80 "Окруж.музей" ул. Победы, р -он д.5</v>
          </cell>
          <cell r="B425" t="str">
            <v>00001159</v>
          </cell>
          <cell r="C425" t="str">
            <v>ПЕРЕДАЧА</v>
          </cell>
          <cell r="D425" t="str">
            <v>Здания</v>
          </cell>
          <cell r="E425" t="str">
            <v>31.10.2009</v>
          </cell>
          <cell r="F425" t="str">
            <v>Цех электрических сетей</v>
          </cell>
          <cell r="X425">
            <v>2890765</v>
          </cell>
          <cell r="Y425">
            <v>1758548.11</v>
          </cell>
          <cell r="Z425">
            <v>1132216.8899999999</v>
          </cell>
          <cell r="AC425">
            <v>240</v>
          </cell>
        </row>
        <row r="426">
          <cell r="A426" t="str">
            <v>ТП №85 по ул Ненецкая ул Первомайская</v>
          </cell>
          <cell r="B426" t="str">
            <v>00001113</v>
          </cell>
          <cell r="C426" t="str">
            <v>ПЕРЕДАЧА</v>
          </cell>
          <cell r="D426" t="str">
            <v>Сооружения</v>
          </cell>
          <cell r="E426" t="str">
            <v>28.02.2009</v>
          </cell>
          <cell r="F426" t="str">
            <v>Цех электрических сетей</v>
          </cell>
          <cell r="X426">
            <v>5253378</v>
          </cell>
          <cell r="Y426">
            <v>4494556.26</v>
          </cell>
          <cell r="Z426">
            <v>758821.74000000022</v>
          </cell>
          <cell r="AC426">
            <v>180</v>
          </cell>
        </row>
        <row r="427">
          <cell r="A427" t="str">
            <v>ТП №86  "Детский сад/ясли на 220 мест с бассейном" в центральной части г. Нарьян-Мара</v>
          </cell>
          <cell r="B427" t="str">
            <v>000001503</v>
          </cell>
          <cell r="C427" t="str">
            <v>ПЕРЕДАЧА</v>
          </cell>
          <cell r="D427" t="str">
            <v>Сооружения</v>
          </cell>
          <cell r="E427" t="str">
            <v>01.11.2012</v>
          </cell>
          <cell r="F427" t="str">
            <v>Цех электрических сетей</v>
          </cell>
          <cell r="X427">
            <v>4351220.7</v>
          </cell>
          <cell r="Y427">
            <v>1969959.73</v>
          </cell>
          <cell r="Z427">
            <v>2381260.9700000002</v>
          </cell>
          <cell r="AC427">
            <v>240</v>
          </cell>
        </row>
        <row r="428">
          <cell r="A428" t="str">
            <v>ТП №87 "Промзона в районе аэропорта" 2008г</v>
          </cell>
          <cell r="B428" t="str">
            <v>00001092</v>
          </cell>
          <cell r="C428" t="str">
            <v>ПЕРЕДАЧА</v>
          </cell>
          <cell r="D428" t="str">
            <v>Сооружения</v>
          </cell>
          <cell r="E428" t="str">
            <v>30.09.2008</v>
          </cell>
          <cell r="F428" t="str">
            <v>Цех электрических сетей</v>
          </cell>
          <cell r="X428">
            <v>614430.39</v>
          </cell>
          <cell r="Y428">
            <v>542746.52599999995</v>
          </cell>
          <cell r="Z428">
            <v>71683.86400000006</v>
          </cell>
          <cell r="AC428">
            <v>180</v>
          </cell>
        </row>
        <row r="429">
          <cell r="A429" t="str">
            <v>ТП №89 ул Россихина 2010г</v>
          </cell>
          <cell r="B429" t="str">
            <v>00001235</v>
          </cell>
          <cell r="C429" t="str">
            <v>ПЕРЕДАЧА</v>
          </cell>
          <cell r="D429" t="str">
            <v>Сооружения</v>
          </cell>
          <cell r="E429" t="str">
            <v>31.08.2010</v>
          </cell>
          <cell r="F429" t="str">
            <v>Цех электрических сетей</v>
          </cell>
          <cell r="X429">
            <v>1032832</v>
          </cell>
          <cell r="Y429">
            <v>585271.88</v>
          </cell>
          <cell r="Z429">
            <v>447560.12</v>
          </cell>
          <cell r="AC429">
            <v>240</v>
          </cell>
        </row>
        <row r="430">
          <cell r="A430" t="str">
            <v>ТП №9 ул Октябрьская 17  1966г.</v>
          </cell>
          <cell r="B430" t="str">
            <v>00000137</v>
          </cell>
          <cell r="C430" t="str">
            <v>ПЕРЕДАЧА</v>
          </cell>
          <cell r="D430" t="str">
            <v>Здания</v>
          </cell>
          <cell r="E430" t="str">
            <v>31.01.1966</v>
          </cell>
          <cell r="F430" t="str">
            <v>Цех электрических сетей</v>
          </cell>
          <cell r="X430">
            <v>28452</v>
          </cell>
          <cell r="Y430">
            <v>26937.387288135596</v>
          </cell>
          <cell r="Z430">
            <v>1514.6127118644035</v>
          </cell>
          <cell r="AC430">
            <v>708</v>
          </cell>
        </row>
        <row r="431">
          <cell r="A431" t="str">
            <v>ТП №90 м-н Старый аэропорт(КТППК-В-400/6У1)</v>
          </cell>
          <cell r="B431" t="str">
            <v>000001492</v>
          </cell>
          <cell r="C431" t="str">
            <v>ПЕРЕДАЧА</v>
          </cell>
          <cell r="D431" t="str">
            <v>Сооружения</v>
          </cell>
          <cell r="E431" t="str">
            <v>31.10.2012</v>
          </cell>
          <cell r="F431" t="str">
            <v>Цех электрических сетей</v>
          </cell>
          <cell r="X431">
            <v>1978919</v>
          </cell>
          <cell r="Y431">
            <v>914626.84857142856</v>
          </cell>
          <cell r="Z431">
            <v>1064292.1514285714</v>
          </cell>
          <cell r="AC431">
            <v>238</v>
          </cell>
        </row>
        <row r="432">
          <cell r="A432" t="str">
            <v>ТП №91 п. Мирный (КТП 6/0,4 кВ 1х400 кВа)</v>
          </cell>
          <cell r="B432" t="str">
            <v>000001491</v>
          </cell>
          <cell r="C432" t="str">
            <v>ПЕРЕДАЧА</v>
          </cell>
          <cell r="D432" t="str">
            <v>Сооружения</v>
          </cell>
          <cell r="E432" t="str">
            <v>31.10.2012</v>
          </cell>
          <cell r="F432" t="str">
            <v>Цех электрических сетей</v>
          </cell>
          <cell r="X432">
            <v>1896964.52</v>
          </cell>
          <cell r="Y432">
            <v>869442.18599999999</v>
          </cell>
          <cell r="Z432">
            <v>1027522.334</v>
          </cell>
          <cell r="AC432">
            <v>240</v>
          </cell>
        </row>
        <row r="433">
          <cell r="A433" t="str">
            <v>ТП №98"Ледовый дворец" ул.Калмыкова 2011г</v>
          </cell>
          <cell r="B433" t="str">
            <v>00001348</v>
          </cell>
          <cell r="C433" t="str">
            <v>ПЕРЕДАЧА</v>
          </cell>
          <cell r="D433" t="str">
            <v>Здания</v>
          </cell>
          <cell r="E433" t="str">
            <v>17.02.2011</v>
          </cell>
          <cell r="F433" t="str">
            <v>Цех электрических сетей</v>
          </cell>
          <cell r="X433">
            <v>2329176.9</v>
          </cell>
          <cell r="Y433">
            <v>1261637.0449999999</v>
          </cell>
          <cell r="Z433">
            <v>1067539.855</v>
          </cell>
          <cell r="AC433">
            <v>240</v>
          </cell>
        </row>
        <row r="434">
          <cell r="A434" t="str">
            <v>Трактор ХТЗ-150К-09 с оборудованием бурильно-крановым</v>
          </cell>
          <cell r="B434" t="str">
            <v>000001654</v>
          </cell>
          <cell r="X434">
            <v>86602.39</v>
          </cell>
          <cell r="Y434">
            <v>85546.490487804884</v>
          </cell>
          <cell r="Z434">
            <v>1055.8995121951157</v>
          </cell>
          <cell r="AC434">
            <v>82</v>
          </cell>
        </row>
        <row r="435">
          <cell r="A435" t="str">
            <v>Трансформатор масляный ТМГ 250/6/0,4 Y/Yн-0 №0568</v>
          </cell>
          <cell r="B435" t="str">
            <v>00001252</v>
          </cell>
          <cell r="C435" t="str">
            <v>ПЕРЕДАЧА</v>
          </cell>
          <cell r="D435" t="str">
            <v>Машины и оборудование (кроме офисного)</v>
          </cell>
          <cell r="E435" t="str">
            <v>31.10.2010</v>
          </cell>
          <cell r="F435" t="str">
            <v>Цех электрических сетей</v>
          </cell>
          <cell r="X435">
            <v>153626.57999999999</v>
          </cell>
          <cell r="Y435">
            <v>85774.748999999996</v>
          </cell>
          <cell r="Z435">
            <v>67851.830999999991</v>
          </cell>
          <cell r="AC435">
            <v>240</v>
          </cell>
        </row>
        <row r="436">
          <cell r="A436" t="str">
            <v>Трансформатор масляный ТМГ 400/6/0,4У/Ун-0 зав.№1478</v>
          </cell>
          <cell r="B436" t="str">
            <v>00001350</v>
          </cell>
          <cell r="C436" t="str">
            <v>ПЕРЕДАЧА</v>
          </cell>
          <cell r="D436" t="str">
            <v>Машины и оборудование (кроме офисного)</v>
          </cell>
          <cell r="E436" t="str">
            <v>15.03.2011</v>
          </cell>
          <cell r="F436" t="str">
            <v>Цех электрических сетей</v>
          </cell>
          <cell r="X436">
            <v>205002.26</v>
          </cell>
          <cell r="Y436">
            <v>110189.173</v>
          </cell>
          <cell r="Z436">
            <v>94813.087000000014</v>
          </cell>
          <cell r="AC436">
            <v>240</v>
          </cell>
        </row>
        <row r="437">
          <cell r="A437" t="str">
            <v>Трансформатор масляный ТМГ 400/6/0,4У/Ун-0 зав.№1484</v>
          </cell>
          <cell r="B437" t="str">
            <v>00001351</v>
          </cell>
          <cell r="C437" t="str">
            <v>ПЕРЕДАЧА</v>
          </cell>
          <cell r="D437" t="str">
            <v>Машины и оборудование (кроме офисного)</v>
          </cell>
          <cell r="E437" t="str">
            <v>15.03.2011</v>
          </cell>
          <cell r="F437" t="str">
            <v>Цех электрических сетей</v>
          </cell>
          <cell r="X437">
            <v>205002.26</v>
          </cell>
          <cell r="Y437">
            <v>110189.173</v>
          </cell>
          <cell r="Z437">
            <v>94813.087000000014</v>
          </cell>
          <cell r="AC437">
            <v>240</v>
          </cell>
        </row>
        <row r="438">
          <cell r="A438" t="str">
            <v>Трансформатор МГ400/6 Ленина35б №1 1613837 Бела-сь</v>
          </cell>
          <cell r="B438" t="str">
            <v>00001124</v>
          </cell>
          <cell r="C438" t="str">
            <v>ПЕРЕДАЧА</v>
          </cell>
          <cell r="D438" t="str">
            <v>Машины и оборудование (кроме офисного)</v>
          </cell>
          <cell r="E438" t="str">
            <v>31.07.2009</v>
          </cell>
          <cell r="F438" t="str">
            <v>Цех электрических сетей</v>
          </cell>
          <cell r="X438">
            <v>232247.67</v>
          </cell>
          <cell r="Y438">
            <v>192248.79799999998</v>
          </cell>
          <cell r="Z438">
            <v>39998.872000000032</v>
          </cell>
          <cell r="AC438">
            <v>180</v>
          </cell>
        </row>
        <row r="439">
          <cell r="A439" t="str">
            <v>Трансформатор МГ400/6 Ленина35б №2 1512482 Бела-сь</v>
          </cell>
          <cell r="B439" t="str">
            <v>00001125</v>
          </cell>
          <cell r="C439" t="str">
            <v>ПЕРЕДАЧА</v>
          </cell>
          <cell r="D439" t="str">
            <v>Машины и оборудование (кроме офисного)</v>
          </cell>
          <cell r="E439" t="str">
            <v>31.07.2009</v>
          </cell>
          <cell r="F439" t="str">
            <v>Цех электрических сетей</v>
          </cell>
          <cell r="X439">
            <v>232247.67</v>
          </cell>
          <cell r="Y439">
            <v>192248.79799999998</v>
          </cell>
          <cell r="Z439">
            <v>39998.872000000032</v>
          </cell>
          <cell r="AC439">
            <v>180</v>
          </cell>
        </row>
        <row r="440">
          <cell r="A440" t="str">
            <v>Трансформатор ТМ 250/6 №1 №906091</v>
          </cell>
          <cell r="B440" t="str">
            <v>00001100</v>
          </cell>
          <cell r="C440" t="str">
            <v>ПЕРЕДАЧА</v>
          </cell>
          <cell r="D440" t="str">
            <v>Машины и оборудование (кроме офисного)</v>
          </cell>
          <cell r="E440" t="str">
            <v>31.12.2008</v>
          </cell>
          <cell r="F440" t="str">
            <v>Цех электрических сетей</v>
          </cell>
          <cell r="X440">
            <v>183870.25</v>
          </cell>
          <cell r="Y440">
            <v>159354.01666666666</v>
          </cell>
          <cell r="Z440">
            <v>24516.233333333337</v>
          </cell>
          <cell r="AC440">
            <v>180</v>
          </cell>
        </row>
        <row r="441">
          <cell r="A441" t="str">
            <v>Трансформатор ТМ 250/6 №2 №906092</v>
          </cell>
          <cell r="B441" t="str">
            <v>00001101</v>
          </cell>
          <cell r="C441" t="str">
            <v>ПЕРЕДАЧА</v>
          </cell>
          <cell r="D441" t="str">
            <v>Машины и оборудование (кроме офисного)</v>
          </cell>
          <cell r="E441" t="str">
            <v>31.12.2008</v>
          </cell>
          <cell r="F441" t="str">
            <v>Цех электрических сетей</v>
          </cell>
          <cell r="X441">
            <v>183870.25</v>
          </cell>
          <cell r="Y441">
            <v>159354.01666666666</v>
          </cell>
          <cell r="Z441">
            <v>24516.233333333337</v>
          </cell>
          <cell r="AC441">
            <v>180</v>
          </cell>
        </row>
        <row r="442">
          <cell r="A442" t="str">
            <v>Трансформатор ТМ 400/6 №2 №1542662 ТП-46</v>
          </cell>
          <cell r="B442" t="str">
            <v>00001103</v>
          </cell>
          <cell r="C442" t="str">
            <v>ПЕРЕДАЧА</v>
          </cell>
          <cell r="D442" t="str">
            <v>Машины и оборудование (кроме офисного)</v>
          </cell>
          <cell r="E442" t="str">
            <v>31.12.2008</v>
          </cell>
          <cell r="F442" t="str">
            <v>Цех электрических сетей</v>
          </cell>
          <cell r="X442">
            <v>225395.68</v>
          </cell>
          <cell r="Y442">
            <v>195343.17866666664</v>
          </cell>
          <cell r="Z442">
            <v>30052.501333333348</v>
          </cell>
          <cell r="AC442">
            <v>180</v>
          </cell>
        </row>
        <row r="443">
          <cell r="A443" t="str">
            <v>Трансформатор ТМ 630/6 (школа №2)</v>
          </cell>
          <cell r="B443" t="str">
            <v>00001104</v>
          </cell>
          <cell r="C443" t="str">
            <v>ПЕРЕДАЧА</v>
          </cell>
          <cell r="D443" t="str">
            <v>Машины и оборудование (кроме офисного)</v>
          </cell>
          <cell r="E443" t="str">
            <v>31.12.2008</v>
          </cell>
          <cell r="F443" t="str">
            <v>Цех электрических сетей</v>
          </cell>
          <cell r="X443">
            <v>335565.17</v>
          </cell>
          <cell r="Y443">
            <v>290823.01133333333</v>
          </cell>
          <cell r="Z443">
            <v>44742.158666666655</v>
          </cell>
          <cell r="AC443">
            <v>180</v>
          </cell>
        </row>
        <row r="444">
          <cell r="A444" t="str">
            <v>Трансформатор ТМ-160 КВА 6/0,4 №2984 2007г</v>
          </cell>
          <cell r="B444" t="str">
            <v>00001042</v>
          </cell>
          <cell r="C444" t="str">
            <v>ПЕРЕДАЧА</v>
          </cell>
          <cell r="D444" t="str">
            <v>Машины и оборудование (кроме офисного)</v>
          </cell>
          <cell r="E444" t="str">
            <v>31.07.2007</v>
          </cell>
          <cell r="F444" t="str">
            <v>Цех электрических сетей</v>
          </cell>
          <cell r="X444">
            <v>133941.4</v>
          </cell>
          <cell r="Y444">
            <v>96549.56</v>
          </cell>
          <cell r="Z444">
            <v>37391.839999999997</v>
          </cell>
          <cell r="AC444">
            <v>240</v>
          </cell>
        </row>
        <row r="445">
          <cell r="A445" t="str">
            <v>Трансформатор ТМ-160 КВА 6/0,4 №641107</v>
          </cell>
          <cell r="B445" t="str">
            <v>00001039</v>
          </cell>
          <cell r="C445" t="str">
            <v>ПЕРЕДАЧА</v>
          </cell>
          <cell r="D445" t="str">
            <v>Машины и оборудование (кроме офисного)</v>
          </cell>
          <cell r="E445" t="str">
            <v>31.10.2007</v>
          </cell>
          <cell r="F445" t="str">
            <v>Цех электрических сетей</v>
          </cell>
          <cell r="X445">
            <v>134415.48000000001</v>
          </cell>
          <cell r="Y445">
            <v>95210.254000000001</v>
          </cell>
          <cell r="Z445">
            <v>39205.22600000001</v>
          </cell>
          <cell r="AC445">
            <v>240</v>
          </cell>
        </row>
        <row r="446">
          <cell r="A446" t="str">
            <v>Трансформатор ТМ-160/6/0,4</v>
          </cell>
          <cell r="B446" t="str">
            <v>00001016</v>
          </cell>
          <cell r="C446" t="str">
            <v>ПЕРЕДАЧА</v>
          </cell>
          <cell r="D446" t="str">
            <v>Машины и оборудование (кроме офисного)</v>
          </cell>
          <cell r="E446" t="str">
            <v>30.11.2006</v>
          </cell>
          <cell r="F446" t="str">
            <v>Цех электрических сетей</v>
          </cell>
          <cell r="X446">
            <v>82765.77</v>
          </cell>
          <cell r="Y446">
            <v>62419.628499999999</v>
          </cell>
          <cell r="Z446">
            <v>20346.141500000005</v>
          </cell>
          <cell r="AC446">
            <v>240</v>
          </cell>
        </row>
        <row r="447">
          <cell r="A447" t="str">
            <v>Трансформатор ТМ-250-6-0,4  №399099г 2000г выпуск</v>
          </cell>
          <cell r="B447" t="str">
            <v>00000267</v>
          </cell>
          <cell r="C447" t="str">
            <v>ПЕРЕДАЧА</v>
          </cell>
          <cell r="D447" t="str">
            <v>Машины и оборудование (кроме офисного)</v>
          </cell>
          <cell r="E447" t="str">
            <v>01.09.2000</v>
          </cell>
          <cell r="F447" t="str">
            <v>Цех электрических сетей</v>
          </cell>
          <cell r="X447">
            <v>41151.67</v>
          </cell>
          <cell r="Y447">
            <v>38043.103043478259</v>
          </cell>
          <cell r="Z447">
            <v>3108.5669565217395</v>
          </cell>
          <cell r="AC447">
            <v>276</v>
          </cell>
        </row>
        <row r="448">
          <cell r="A448" t="str">
            <v>Трансформатор ТМ-400 КВА 6/0,4 №30854 2007г</v>
          </cell>
          <cell r="B448" t="str">
            <v>000001689</v>
          </cell>
          <cell r="C448" t="str">
            <v>ПЕРЕДАЧА</v>
          </cell>
          <cell r="D448" t="str">
            <v>Машины и оборудование (кроме офисного)</v>
          </cell>
          <cell r="E448" t="str">
            <v>29.07.2016</v>
          </cell>
          <cell r="F448" t="str">
            <v>Цех электрических сетей</v>
          </cell>
          <cell r="X448">
            <v>47535.41</v>
          </cell>
          <cell r="Y448">
            <v>23407.76090909091</v>
          </cell>
          <cell r="Z448">
            <v>24127.649090909094</v>
          </cell>
          <cell r="AC448">
            <v>132</v>
          </cell>
        </row>
        <row r="449">
          <cell r="A449" t="str">
            <v>Трансформатор ТМ-400 КВА 6/0,4 №5909 2007г</v>
          </cell>
          <cell r="B449" t="str">
            <v>00001043</v>
          </cell>
          <cell r="C449" t="str">
            <v>ПЕРЕДАЧА</v>
          </cell>
          <cell r="D449" t="str">
            <v>Машины и оборудование (кроме офисного)</v>
          </cell>
          <cell r="E449" t="str">
            <v>31.07.2007</v>
          </cell>
          <cell r="F449" t="str">
            <v>Цех электрических сетей</v>
          </cell>
          <cell r="X449">
            <v>182634.78</v>
          </cell>
          <cell r="Y449">
            <v>131649.519</v>
          </cell>
          <cell r="Z449">
            <v>50985.260999999999</v>
          </cell>
          <cell r="AC449">
            <v>240</v>
          </cell>
        </row>
        <row r="450">
          <cell r="A450" t="str">
            <v>Трансформатор ТМ-400 КВА6/0,4 №3192 2007г</v>
          </cell>
          <cell r="B450" t="str">
            <v>00001045</v>
          </cell>
          <cell r="C450" t="str">
            <v>ПЕРЕДАЧА</v>
          </cell>
          <cell r="D450" t="str">
            <v>Машины и оборудование (кроме офисного)</v>
          </cell>
          <cell r="E450" t="str">
            <v>31.07.2007</v>
          </cell>
          <cell r="F450" t="str">
            <v>Цех электрических сетей</v>
          </cell>
          <cell r="X450">
            <v>182634.77</v>
          </cell>
          <cell r="Y450">
            <v>131649.51850000001</v>
          </cell>
          <cell r="Z450">
            <v>50985.251499999984</v>
          </cell>
          <cell r="AC450">
            <v>240</v>
          </cell>
        </row>
        <row r="451">
          <cell r="A451" t="str">
            <v>Трансформатор ТМ400/6 №1510715 (ТП №65 с 18.08.09)</v>
          </cell>
          <cell r="B451" t="str">
            <v>00001102</v>
          </cell>
          <cell r="C451" t="str">
            <v>ПЕРЕДАЧА</v>
          </cell>
          <cell r="D451" t="str">
            <v>Машины и оборудование (кроме офисного)</v>
          </cell>
          <cell r="E451" t="str">
            <v>31.12.2008</v>
          </cell>
          <cell r="F451" t="str">
            <v>Цех электрических сетей</v>
          </cell>
          <cell r="X451">
            <v>225395.68</v>
          </cell>
          <cell r="Y451">
            <v>195343.17866666664</v>
          </cell>
          <cell r="Z451">
            <v>30052.501333333348</v>
          </cell>
          <cell r="AC451">
            <v>180</v>
          </cell>
        </row>
        <row r="452">
          <cell r="A452" t="str">
            <v>Трансформатор ТМГ-160/6 1379549</v>
          </cell>
          <cell r="B452" t="str">
            <v>00001015</v>
          </cell>
          <cell r="C452" t="str">
            <v>ПЕРЕДАЧА</v>
          </cell>
          <cell r="D452" t="str">
            <v>Машины и оборудование (кроме офисного)</v>
          </cell>
          <cell r="E452" t="str">
            <v>30.11.2006</v>
          </cell>
          <cell r="F452" t="str">
            <v>Цех электрических сетей</v>
          </cell>
          <cell r="X452">
            <v>115398.53</v>
          </cell>
          <cell r="Y452">
            <v>87030.196500000005</v>
          </cell>
          <cell r="Z452">
            <v>28368.333499999993</v>
          </cell>
          <cell r="AC452">
            <v>240</v>
          </cell>
        </row>
        <row r="453">
          <cell r="A453" t="str">
            <v>Трансформатор ТМГ-160/6 №1 №146100</v>
          </cell>
          <cell r="B453" t="str">
            <v>00001014</v>
          </cell>
          <cell r="C453" t="str">
            <v>ПЕРЕДАЧА</v>
          </cell>
          <cell r="D453" t="str">
            <v>Машины и оборудование (кроме офисного)</v>
          </cell>
          <cell r="E453" t="str">
            <v>30.11.2006</v>
          </cell>
          <cell r="F453" t="str">
            <v>Цех электрических сетей</v>
          </cell>
          <cell r="X453">
            <v>115398.54</v>
          </cell>
          <cell r="Y453">
            <v>87030.197</v>
          </cell>
          <cell r="Z453">
            <v>28368.342999999993</v>
          </cell>
          <cell r="AC453">
            <v>240</v>
          </cell>
        </row>
        <row r="454">
          <cell r="A454" t="str">
            <v>Трансформатор ТМГ-160/6/0,4 зав.№003703Y</v>
          </cell>
          <cell r="B454" t="str">
            <v>000001711</v>
          </cell>
          <cell r="C454" t="str">
            <v>ПЕРЕДАЧА</v>
          </cell>
          <cell r="D454" t="str">
            <v>Машины и оборудование (кроме офисного)</v>
          </cell>
          <cell r="E454" t="str">
            <v>31.07.2017</v>
          </cell>
          <cell r="F454" t="str">
            <v>Цех электрических сетей</v>
          </cell>
          <cell r="X454">
            <v>167330.70000000001</v>
          </cell>
          <cell r="Y454">
            <v>24634.899999999998</v>
          </cell>
          <cell r="Z454">
            <v>142695.80000000002</v>
          </cell>
          <cell r="AC454">
            <v>360</v>
          </cell>
        </row>
        <row r="455">
          <cell r="A455" t="str">
            <v>Трансформатор ТМГ-160/6/6/0,4 схема и группа соединений Д/Ун-11 зав. 13417</v>
          </cell>
          <cell r="B455" t="str">
            <v>000001775</v>
          </cell>
          <cell r="C455" t="str">
            <v>ПЕРЕДАЧА</v>
          </cell>
          <cell r="D455" t="str">
            <v>Машины и оборудование (кроме офисного)</v>
          </cell>
          <cell r="E455" t="str">
            <v>30.07.2019</v>
          </cell>
          <cell r="F455" t="str">
            <v>Цех электрических сетей</v>
          </cell>
          <cell r="X455">
            <v>138983.32999999999</v>
          </cell>
          <cell r="Y455">
            <v>11195.797666666667</v>
          </cell>
          <cell r="Z455">
            <v>127787.53233333332</v>
          </cell>
          <cell r="AC455">
            <v>360</v>
          </cell>
        </row>
        <row r="456">
          <cell r="A456" t="str">
            <v>Трансформатор ТМГ-160/6-0,4 №145970 2001г выпуска</v>
          </cell>
          <cell r="B456" t="str">
            <v>00000324</v>
          </cell>
          <cell r="C456" t="str">
            <v>ПЕРЕДАЧА</v>
          </cell>
          <cell r="D456" t="str">
            <v>Машины и оборудование (кроме офисного)</v>
          </cell>
          <cell r="E456" t="str">
            <v>30.06.2001</v>
          </cell>
          <cell r="F456" t="str">
            <v>Цех электрических сетей</v>
          </cell>
          <cell r="X456">
            <v>49315.5</v>
          </cell>
          <cell r="Y456">
            <v>43980.97217391304</v>
          </cell>
          <cell r="Z456">
            <v>5334.52782608696</v>
          </cell>
          <cell r="AC456">
            <v>276</v>
          </cell>
        </row>
        <row r="457">
          <cell r="A457" t="str">
            <v>Трансформатор ТМГ-250/6 №1545100</v>
          </cell>
          <cell r="B457" t="str">
            <v>00001018</v>
          </cell>
          <cell r="C457" t="str">
            <v>ПЕРЕДАЧА</v>
          </cell>
          <cell r="D457" t="str">
            <v>Машины и оборудование (кроме офисного)</v>
          </cell>
          <cell r="E457" t="str">
            <v>30.11.2006</v>
          </cell>
          <cell r="F457" t="str">
            <v>Цех электрических сетей</v>
          </cell>
          <cell r="X457">
            <v>157771.53</v>
          </cell>
          <cell r="Y457">
            <v>118985.7965</v>
          </cell>
          <cell r="Z457">
            <v>38785.733500000002</v>
          </cell>
          <cell r="AC457">
            <v>240</v>
          </cell>
        </row>
        <row r="458">
          <cell r="A458" t="str">
            <v>Трансформатор ТМГ-250/6 №1№1399294</v>
          </cell>
          <cell r="B458" t="str">
            <v>00001017</v>
          </cell>
          <cell r="C458" t="str">
            <v>ПЕРЕДАЧА</v>
          </cell>
          <cell r="D458" t="str">
            <v>Машины и оборудование (кроме офисного)</v>
          </cell>
          <cell r="E458" t="str">
            <v>30.11.2006</v>
          </cell>
          <cell r="F458" t="str">
            <v>Цех электрических сетей</v>
          </cell>
          <cell r="X458">
            <v>157771.53</v>
          </cell>
          <cell r="Y458">
            <v>118985.7965</v>
          </cell>
          <cell r="Z458">
            <v>38785.733500000002</v>
          </cell>
          <cell r="AC458">
            <v>240</v>
          </cell>
        </row>
        <row r="459">
          <cell r="A459" t="str">
            <v>Трансформатор ТМГ-250/6/0,4 зав.№003119Y</v>
          </cell>
          <cell r="B459" t="str">
            <v>000001710</v>
          </cell>
          <cell r="C459" t="str">
            <v>ПЕРЕДАЧА</v>
          </cell>
          <cell r="D459" t="str">
            <v>Машины и оборудование (кроме офисного)</v>
          </cell>
          <cell r="E459" t="str">
            <v>31.07.2017</v>
          </cell>
          <cell r="F459" t="str">
            <v>Цех электрических сетей</v>
          </cell>
          <cell r="X459">
            <v>219795.25</v>
          </cell>
          <cell r="Y459">
            <v>32358.648333333331</v>
          </cell>
          <cell r="Z459">
            <v>187436.60166666668</v>
          </cell>
          <cell r="AC459">
            <v>360</v>
          </cell>
        </row>
        <row r="460">
          <cell r="A460" t="str">
            <v>Трансформатор ТМГ-250/6/0,4 схема и группа соединений Д/Ун-11 Россия завод.№636720</v>
          </cell>
          <cell r="B460" t="str">
            <v>000001806</v>
          </cell>
          <cell r="C460" t="str">
            <v>ПЕРЕДАЧА</v>
          </cell>
          <cell r="D460" t="str">
            <v>Машины и оборудование (кроме офисного)</v>
          </cell>
          <cell r="E460" t="str">
            <v>06.04.2020</v>
          </cell>
          <cell r="F460" t="str">
            <v>Цех электрических сетей</v>
          </cell>
          <cell r="X460">
            <v>184000</v>
          </cell>
          <cell r="Y460">
            <v>15333.36</v>
          </cell>
          <cell r="Z460">
            <v>168666.64</v>
          </cell>
          <cell r="AC460">
            <v>240</v>
          </cell>
        </row>
        <row r="461">
          <cell r="A461" t="str">
            <v>Трансформатор ТМГ-250/6-0,4  № 1451843 2001г выпус</v>
          </cell>
          <cell r="B461" t="str">
            <v>00000315</v>
          </cell>
          <cell r="C461" t="str">
            <v>ПЕРЕДАЧА</v>
          </cell>
          <cell r="D461" t="str">
            <v>Машины и оборудование (кроме офисного)</v>
          </cell>
          <cell r="E461" t="str">
            <v>30.06.2001</v>
          </cell>
          <cell r="F461" t="str">
            <v>Цех электрических сетей</v>
          </cell>
          <cell r="X461">
            <v>64583</v>
          </cell>
          <cell r="Y461">
            <v>57597.586521739126</v>
          </cell>
          <cell r="Z461">
            <v>6985.4134782608744</v>
          </cell>
          <cell r="AC461">
            <v>276</v>
          </cell>
        </row>
        <row r="462">
          <cell r="A462" t="str">
            <v>Трансформатор ТМГ-400 6/0,4кв  №1656822 2009г</v>
          </cell>
          <cell r="B462" t="str">
            <v>00001149</v>
          </cell>
          <cell r="C462" t="str">
            <v>ПЕРЕДАЧА</v>
          </cell>
          <cell r="D462" t="str">
            <v>Машины и оборудование (кроме офисного)</v>
          </cell>
          <cell r="E462" t="str">
            <v>31.10.2009</v>
          </cell>
          <cell r="F462" t="str">
            <v>Цех электрических сетей</v>
          </cell>
          <cell r="X462">
            <v>212242.97</v>
          </cell>
          <cell r="Y462">
            <v>129115.0485</v>
          </cell>
          <cell r="Z462">
            <v>83127.921499999997</v>
          </cell>
          <cell r="AC462">
            <v>240</v>
          </cell>
        </row>
        <row r="463">
          <cell r="A463" t="str">
            <v>Трансформатор ТМГ-400/6/0,4 зав.№003815Y</v>
          </cell>
          <cell r="B463" t="str">
            <v>000001709</v>
          </cell>
          <cell r="C463" t="str">
            <v>ПЕРЕДАЧА</v>
          </cell>
          <cell r="D463" t="str">
            <v>Машины и оборудование (кроме офисного)</v>
          </cell>
          <cell r="E463" t="str">
            <v>31.07.2017</v>
          </cell>
          <cell r="F463" t="str">
            <v>Цех электрических сетей</v>
          </cell>
          <cell r="X463">
            <v>275050.95</v>
          </cell>
          <cell r="Y463">
            <v>40493.595000000001</v>
          </cell>
          <cell r="Z463">
            <v>234557.35500000001</v>
          </cell>
          <cell r="AC463">
            <v>360</v>
          </cell>
        </row>
        <row r="464">
          <cell r="A464" t="str">
            <v>Трансформатор ТМГ-400/6/0,4 зав.№003816Y</v>
          </cell>
          <cell r="B464" t="str">
            <v>000001708</v>
          </cell>
          <cell r="C464" t="str">
            <v>ПЕРЕДАЧА</v>
          </cell>
          <cell r="D464" t="str">
            <v>Машины и оборудование (кроме офисного)</v>
          </cell>
          <cell r="E464" t="str">
            <v>31.07.2017</v>
          </cell>
          <cell r="F464" t="str">
            <v>Цех электрических сетей</v>
          </cell>
          <cell r="X464">
            <v>275050.95</v>
          </cell>
          <cell r="Y464">
            <v>40493.595000000001</v>
          </cell>
          <cell r="Z464">
            <v>234557.35500000001</v>
          </cell>
          <cell r="AC464">
            <v>360</v>
          </cell>
        </row>
        <row r="465">
          <cell r="A465" t="str">
            <v>Трансформатор ТМГ-400/6/0,4 зав.№003817Y</v>
          </cell>
          <cell r="B465" t="str">
            <v>000001707</v>
          </cell>
          <cell r="C465" t="str">
            <v>ПЕРЕДАЧА</v>
          </cell>
          <cell r="D465" t="str">
            <v>Машины и оборудование (кроме офисного)</v>
          </cell>
          <cell r="E465" t="str">
            <v>31.07.2017</v>
          </cell>
          <cell r="F465" t="str">
            <v>Цех электрических сетей</v>
          </cell>
          <cell r="X465">
            <v>275050.95</v>
          </cell>
          <cell r="Y465">
            <v>40493.595000000001</v>
          </cell>
          <cell r="Z465">
            <v>234557.35500000001</v>
          </cell>
          <cell r="AC465">
            <v>360</v>
          </cell>
        </row>
        <row r="466">
          <cell r="A466" t="str">
            <v>Трансформатор ТМГ-400/6/0,4 схема и группа соединений Д/Ун-11, зав.№1804жг214</v>
          </cell>
          <cell r="B466" t="str">
            <v>000001738</v>
          </cell>
          <cell r="C466" t="str">
            <v>ПЕРЕДАЧА</v>
          </cell>
          <cell r="D466" t="str">
            <v>Машины и оборудование (кроме офисного)</v>
          </cell>
          <cell r="E466" t="str">
            <v>31.07.2018</v>
          </cell>
          <cell r="F466" t="str">
            <v>Цех электрических сетей</v>
          </cell>
          <cell r="X466">
            <v>280493.28999999998</v>
          </cell>
          <cell r="Y466">
            <v>47917.544499999996</v>
          </cell>
          <cell r="Z466">
            <v>232575.74549999999</v>
          </cell>
          <cell r="AC466">
            <v>240</v>
          </cell>
        </row>
        <row r="467">
          <cell r="A467" t="str">
            <v>Трансформатор ТМГ-63/6-0,4 №1461186 2001г.в.</v>
          </cell>
          <cell r="B467" t="str">
            <v>00000448</v>
          </cell>
          <cell r="C467" t="str">
            <v>ПЕРЕДАЧА</v>
          </cell>
          <cell r="D467" t="str">
            <v>Машины и оборудование (кроме офисного)</v>
          </cell>
          <cell r="E467" t="str">
            <v>28.02.2002</v>
          </cell>
          <cell r="F467" t="str">
            <v>Цех электрических сетей</v>
          </cell>
          <cell r="X467">
            <v>53333.33</v>
          </cell>
          <cell r="Y467">
            <v>53325.945462184878</v>
          </cell>
          <cell r="Z467">
            <v>7.3845378151236218</v>
          </cell>
          <cell r="AC467">
            <v>238</v>
          </cell>
        </row>
        <row r="468">
          <cell r="A468" t="str">
            <v>Трансформатор трёхфазный 35 кВ мощностью 1000 кВ А</v>
          </cell>
          <cell r="B468" t="str">
            <v>000001752</v>
          </cell>
          <cell r="C468" t="str">
            <v>ПЕРЕДАЧА</v>
          </cell>
          <cell r="D468" t="str">
            <v>Машины и оборудование (кроме офисного)</v>
          </cell>
          <cell r="E468" t="str">
            <v>07.11.2018</v>
          </cell>
          <cell r="F468" t="str">
            <v>Цех электрических сетей</v>
          </cell>
          <cell r="X468">
            <v>3772577.57</v>
          </cell>
          <cell r="Y468">
            <v>691016.76900990098</v>
          </cell>
          <cell r="Z468">
            <v>3081560.8009900991</v>
          </cell>
          <cell r="AC468">
            <v>202</v>
          </cell>
        </row>
        <row r="469">
          <cell r="A469" t="str">
            <v>Трансформатор трёхфазный 35 кВ мощностью 1000 кВ А</v>
          </cell>
          <cell r="B469" t="str">
            <v>000001753</v>
          </cell>
          <cell r="C469" t="str">
            <v>ПЕРЕДАЧА</v>
          </cell>
          <cell r="D469" t="str">
            <v>Машины и оборудование (кроме офисного)</v>
          </cell>
          <cell r="E469" t="str">
            <v>07.11.2018</v>
          </cell>
          <cell r="F469" t="str">
            <v>Цех электрических сетей</v>
          </cell>
          <cell r="X469">
            <v>3772577.57</v>
          </cell>
          <cell r="Y469">
            <v>691016.76900990098</v>
          </cell>
          <cell r="Z469">
            <v>3081560.8009900991</v>
          </cell>
          <cell r="AC469">
            <v>202</v>
          </cell>
        </row>
        <row r="470">
          <cell r="A470" t="str">
            <v>Трансформаторная подстанция</v>
          </cell>
          <cell r="B470" t="str">
            <v>000001848</v>
          </cell>
          <cell r="C470" t="str">
            <v>ПЕРЕДАЧА</v>
          </cell>
          <cell r="D470" t="str">
            <v>Здания</v>
          </cell>
          <cell r="E470" t="str">
            <v>14.04.2021</v>
          </cell>
          <cell r="F470" t="str">
            <v>Цех электрических сетей</v>
          </cell>
          <cell r="X470">
            <v>1135845.03</v>
          </cell>
          <cell r="Y470">
            <v>75723.001999999993</v>
          </cell>
          <cell r="Z470">
            <v>1060122.0279999999</v>
          </cell>
          <cell r="AC470">
            <v>120</v>
          </cell>
        </row>
        <row r="471">
          <cell r="A471" t="str">
            <v>Трансформаторная подстанция №33</v>
          </cell>
          <cell r="B471" t="str">
            <v>000001781</v>
          </cell>
          <cell r="C471" t="str">
            <v>ПЕРЕДАЧА</v>
          </cell>
          <cell r="D471" t="str">
            <v>Сооружения</v>
          </cell>
          <cell r="E471" t="str">
            <v>10.12.2019</v>
          </cell>
          <cell r="F471" t="str">
            <v>Цех электрических сетей</v>
          </cell>
          <cell r="X471">
            <v>2066041.02</v>
          </cell>
          <cell r="Y471">
            <v>165283.2408</v>
          </cell>
          <cell r="Z471">
            <v>1900757.7792</v>
          </cell>
          <cell r="AC471">
            <v>300</v>
          </cell>
        </row>
        <row r="472">
          <cell r="A472" t="str">
            <v>Трансформаторная подстанция КТП/П К-К 400/6/0,4</v>
          </cell>
          <cell r="B472" t="str">
            <v>00001150</v>
          </cell>
          <cell r="C472" t="str">
            <v>ПЕРЕДАЧА</v>
          </cell>
          <cell r="D472" t="str">
            <v>Сооружения</v>
          </cell>
          <cell r="E472" t="str">
            <v>31.10.2009</v>
          </cell>
          <cell r="F472" t="str">
            <v>Цех электрических сетей</v>
          </cell>
          <cell r="X472">
            <v>392922.66</v>
          </cell>
          <cell r="Y472">
            <v>318703.44399999996</v>
          </cell>
          <cell r="Z472">
            <v>74219.216000000015</v>
          </cell>
          <cell r="AC472">
            <v>180</v>
          </cell>
        </row>
        <row r="473">
          <cell r="A473" t="str">
            <v>Трансформаторная подстанция КТП-250 (РУ-0,4 кВ)</v>
          </cell>
          <cell r="B473" t="str">
            <v>000001847</v>
          </cell>
          <cell r="C473" t="str">
            <v>ПЕРЕДАЧА</v>
          </cell>
          <cell r="D473" t="str">
            <v>Сооружения</v>
          </cell>
          <cell r="E473" t="str">
            <v>14.04.2021</v>
          </cell>
          <cell r="F473" t="str">
            <v>Цех электрических сетей</v>
          </cell>
          <cell r="X473">
            <v>38000</v>
          </cell>
          <cell r="Y473">
            <v>2533.3333333333335</v>
          </cell>
          <cell r="Z473">
            <v>35466.666666666664</v>
          </cell>
          <cell r="AC473">
            <v>120</v>
          </cell>
        </row>
        <row r="474">
          <cell r="A474" t="str">
            <v>Трансформаторная подстанция КТП-250 кВ центральная в с.Тельвиска</v>
          </cell>
          <cell r="B474" t="str">
            <v>000001849</v>
          </cell>
          <cell r="C474" t="str">
            <v>ПЕРЕДАЧА</v>
          </cell>
          <cell r="D474" t="str">
            <v>Сооружения</v>
          </cell>
          <cell r="E474" t="str">
            <v>16.07.2021</v>
          </cell>
          <cell r="F474" t="str">
            <v>Цех электрических сетей</v>
          </cell>
          <cell r="X474">
            <v>40813</v>
          </cell>
          <cell r="Y474">
            <v>1700.5416666666667</v>
          </cell>
          <cell r="Z474">
            <v>39112.458333333336</v>
          </cell>
          <cell r="AC474">
            <v>120</v>
          </cell>
        </row>
        <row r="475">
          <cell r="A475" t="str">
            <v>Трансформаторная подстанция напряжением 6/0,4 Кв мощностью 400кВА, типа 2КТПК (п) 400/6/0,4 (к/к-13У1)</v>
          </cell>
          <cell r="B475" t="str">
            <v>000001703</v>
          </cell>
          <cell r="C475" t="str">
            <v>ПЕРЕДАЧА</v>
          </cell>
          <cell r="D475" t="str">
            <v>Здания</v>
          </cell>
          <cell r="E475" t="str">
            <v>27.04.2017</v>
          </cell>
          <cell r="F475" t="str">
            <v>Цех электрических сетей</v>
          </cell>
          <cell r="X475">
            <v>2318891.4900000002</v>
          </cell>
          <cell r="Y475">
            <v>380815.09958944283</v>
          </cell>
          <cell r="Z475">
            <v>1938076.3904105574</v>
          </cell>
          <cell r="AC475">
            <v>341</v>
          </cell>
        </row>
        <row r="476">
          <cell r="A476" t="str">
            <v>Трансформаторная подстанция ТП №100/1 "Малый Качгорт"</v>
          </cell>
          <cell r="B476" t="str">
            <v>000001695</v>
          </cell>
          <cell r="C476" t="str">
            <v>ПЕРЕДАЧА</v>
          </cell>
          <cell r="D476" t="str">
            <v>Сооружения</v>
          </cell>
          <cell r="E476" t="str">
            <v>09.12.2016</v>
          </cell>
          <cell r="F476" t="str">
            <v>Цех электрических сетей</v>
          </cell>
          <cell r="X476">
            <v>384471.91</v>
          </cell>
          <cell r="Y476">
            <v>96118.155499999993</v>
          </cell>
          <cell r="Z476">
            <v>288353.75449999998</v>
          </cell>
          <cell r="AC476">
            <v>240</v>
          </cell>
        </row>
        <row r="477">
          <cell r="A477" t="str">
            <v>Трансформаторная подстанция ТП №113 "Молодежный центр"</v>
          </cell>
          <cell r="B477" t="str">
            <v>000001694</v>
          </cell>
          <cell r="C477" t="str">
            <v>ПЕРЕДАЧА</v>
          </cell>
          <cell r="D477" t="str">
            <v>Сооружения</v>
          </cell>
          <cell r="E477" t="str">
            <v>30.11.2016</v>
          </cell>
          <cell r="F477" t="str">
            <v>Цех электрических сетей</v>
          </cell>
          <cell r="X477">
            <v>6269664.8799999999</v>
          </cell>
          <cell r="Y477">
            <v>1593539.6439999999</v>
          </cell>
          <cell r="Z477">
            <v>4676125.2359999996</v>
          </cell>
          <cell r="AC477">
            <v>240</v>
          </cell>
        </row>
        <row r="478">
          <cell r="A478" t="str">
            <v>Трансформаторная подстанция ТП-55 "Старый аэропорт"</v>
          </cell>
          <cell r="B478" t="str">
            <v>000001683</v>
          </cell>
          <cell r="C478" t="str">
            <v>ПЕРЕДАЧА</v>
          </cell>
          <cell r="D478" t="str">
            <v>Сооружения</v>
          </cell>
          <cell r="E478" t="str">
            <v>29.07.2016</v>
          </cell>
          <cell r="F478" t="str">
            <v>Цех электрических сетей</v>
          </cell>
          <cell r="X478">
            <v>6932161.2999999998</v>
          </cell>
          <cell r="Y478">
            <v>1877460.5950000002</v>
          </cell>
          <cell r="Z478">
            <v>5054700.7050000001</v>
          </cell>
          <cell r="AC478">
            <v>240</v>
          </cell>
        </row>
        <row r="479">
          <cell r="A479" t="str">
            <v>Трансформаторная подстанция, адрес: Ненецкий АО, Нарьян-Мар г, Юбилейная ул, дом №11</v>
          </cell>
          <cell r="B479" t="str">
            <v>000001751</v>
          </cell>
          <cell r="C479" t="str">
            <v>ПЕРЕДАЧА</v>
          </cell>
          <cell r="D479" t="str">
            <v>Здания</v>
          </cell>
          <cell r="E479" t="str">
            <v>07.11.2018</v>
          </cell>
          <cell r="F479" t="str">
            <v>Цех электрических сетей</v>
          </cell>
          <cell r="X479">
            <v>42621.63</v>
          </cell>
          <cell r="Y479">
            <v>8712.7434254143645</v>
          </cell>
          <cell r="Z479">
            <v>33908.886574585631</v>
          </cell>
          <cell r="AC479">
            <v>181</v>
          </cell>
        </row>
        <row r="480">
          <cell r="A480" t="str">
            <v>ТрансформаторТМ-160 КВА 6/0,4 №16733 2007г</v>
          </cell>
          <cell r="B480" t="str">
            <v>00001041</v>
          </cell>
          <cell r="C480" t="str">
            <v>ПЕРЕДАЧА</v>
          </cell>
          <cell r="D480" t="str">
            <v>Машины и оборудование (кроме офисного)</v>
          </cell>
          <cell r="E480" t="str">
            <v>31.07.2007</v>
          </cell>
          <cell r="F480" t="str">
            <v>Цех электрических сетей</v>
          </cell>
          <cell r="X480">
            <v>133941.79</v>
          </cell>
          <cell r="Y480">
            <v>96549.579500000007</v>
          </cell>
          <cell r="Z480">
            <v>37392.210500000001</v>
          </cell>
          <cell r="AC480">
            <v>240</v>
          </cell>
        </row>
        <row r="481">
          <cell r="A481" t="str">
            <v>ТрансформаторТМ-400 КВА 6/,04 №8386 2007г</v>
          </cell>
          <cell r="B481" t="str">
            <v>00001046</v>
          </cell>
          <cell r="C481" t="str">
            <v>ПЕРЕДАЧА</v>
          </cell>
          <cell r="D481" t="str">
            <v>Машины и оборудование (кроме офисного)</v>
          </cell>
          <cell r="E481" t="str">
            <v>31.07.2007</v>
          </cell>
          <cell r="F481" t="str">
            <v>Цех электрических сетей</v>
          </cell>
          <cell r="X481">
            <v>182634.77</v>
          </cell>
          <cell r="Y481">
            <v>131649.51850000001</v>
          </cell>
          <cell r="Z481">
            <v>50985.251499999984</v>
          </cell>
          <cell r="AC481">
            <v>240</v>
          </cell>
        </row>
        <row r="482">
          <cell r="A482" t="str">
            <v>Трансф-р масляный ТМГ 250/6/0,4У/Ун-0 зав.№1695586</v>
          </cell>
          <cell r="B482" t="str">
            <v>00001365</v>
          </cell>
          <cell r="C482" t="str">
            <v>ПЕРЕДАЧА</v>
          </cell>
          <cell r="D482" t="str">
            <v>Машины и оборудование (кроме офисного)</v>
          </cell>
          <cell r="E482" t="str">
            <v>06.09.2011</v>
          </cell>
          <cell r="F482" t="str">
            <v>Цех электрических сетей</v>
          </cell>
          <cell r="X482">
            <v>128403.61</v>
          </cell>
          <cell r="Y482">
            <v>65807.400500000003</v>
          </cell>
          <cell r="Z482">
            <v>62596.209499999997</v>
          </cell>
          <cell r="AC482">
            <v>240</v>
          </cell>
        </row>
        <row r="483">
          <cell r="A483" t="str">
            <v>Трансф-р масляный ТМГ 400/6/0,4У/Ун-0 зав.№1290</v>
          </cell>
          <cell r="B483" t="str">
            <v>00001352</v>
          </cell>
          <cell r="C483" t="str">
            <v>ПЕРЕДАЧА</v>
          </cell>
          <cell r="D483" t="str">
            <v>Машины и оборудование (кроме офисного)</v>
          </cell>
          <cell r="E483" t="str">
            <v>15.03.2011</v>
          </cell>
          <cell r="F483" t="str">
            <v>Цех электрических сетей</v>
          </cell>
          <cell r="X483">
            <v>205002.26</v>
          </cell>
          <cell r="Y483">
            <v>110189.173</v>
          </cell>
          <cell r="Z483">
            <v>94813.087000000014</v>
          </cell>
          <cell r="AC483">
            <v>240</v>
          </cell>
        </row>
        <row r="484">
          <cell r="A484" t="str">
            <v>Трансф-р масляный ТМГ 630/6/0,4У/Ун-0 зав. №0756</v>
          </cell>
          <cell r="B484" t="str">
            <v>00001253</v>
          </cell>
          <cell r="C484" t="str">
            <v>ПЕРЕДАЧА</v>
          </cell>
          <cell r="D484" t="str">
            <v>Машины и оборудование (кроме офисного)</v>
          </cell>
          <cell r="E484" t="str">
            <v>31.10.2010</v>
          </cell>
          <cell r="F484" t="str">
            <v>Цех электрических сетей</v>
          </cell>
          <cell r="X484">
            <v>308792.01</v>
          </cell>
          <cell r="Y484">
            <v>172408.46049999999</v>
          </cell>
          <cell r="Z484">
            <v>136383.54950000002</v>
          </cell>
          <cell r="AC484">
            <v>240</v>
          </cell>
        </row>
        <row r="485">
          <cell r="A485" t="str">
            <v>Трансф-р масляный ТМГ 630/6/0,4У/Ун-0 зав.№1693879</v>
          </cell>
          <cell r="B485" t="str">
            <v>00001366</v>
          </cell>
          <cell r="C485" t="str">
            <v>ПЕРЕДАЧА</v>
          </cell>
          <cell r="D485" t="str">
            <v>Машины и оборудование (кроме офисного)</v>
          </cell>
          <cell r="E485" t="str">
            <v>06.09.2011</v>
          </cell>
          <cell r="F485" t="str">
            <v>Цех электрических сетей</v>
          </cell>
          <cell r="X485">
            <v>244269.2</v>
          </cell>
          <cell r="Y485">
            <v>125188.15000000001</v>
          </cell>
          <cell r="Z485">
            <v>119081.05</v>
          </cell>
          <cell r="AC485">
            <v>240</v>
          </cell>
        </row>
        <row r="486">
          <cell r="A486" t="str">
            <v>Трехфазная группа трансформаторов напряжения 3х3НОЛП-6 зав.1323217</v>
          </cell>
          <cell r="B486" t="str">
            <v>000001772</v>
          </cell>
          <cell r="C486" t="str">
            <v>ПЕРЕДАЧА</v>
          </cell>
          <cell r="D486" t="str">
            <v>Машины и оборудование (кроме офисного)</v>
          </cell>
          <cell r="E486" t="str">
            <v>30.07.2019</v>
          </cell>
          <cell r="F486" t="str">
            <v>Цех электрических сетей</v>
          </cell>
          <cell r="X486">
            <v>50891.67</v>
          </cell>
          <cell r="Y486">
            <v>24597.563999999998</v>
          </cell>
          <cell r="Z486">
            <v>26294.106</v>
          </cell>
          <cell r="AC486">
            <v>60</v>
          </cell>
        </row>
        <row r="487">
          <cell r="A487" t="str">
            <v>Трехфазная группа трансформаторов напряжения 3х3НОЛП-6 зав.1323218</v>
          </cell>
          <cell r="B487" t="str">
            <v>000001773</v>
          </cell>
          <cell r="C487" t="str">
            <v>ПЕРЕДАЧА</v>
          </cell>
          <cell r="D487" t="str">
            <v>Машины и оборудование (кроме офисного)</v>
          </cell>
          <cell r="E487" t="str">
            <v>30.07.2019</v>
          </cell>
          <cell r="F487" t="str">
            <v>Цех электрических сетей</v>
          </cell>
          <cell r="X487">
            <v>50891.67</v>
          </cell>
          <cell r="Y487">
            <v>24597.563999999998</v>
          </cell>
          <cell r="Z487">
            <v>26294.106</v>
          </cell>
          <cell r="AC487">
            <v>60</v>
          </cell>
        </row>
        <row r="488">
          <cell r="A488" t="str">
            <v>Трехфазная группа трансформаторов напряжения 3х3НОЛП-6 зав.1323219</v>
          </cell>
          <cell r="B488" t="str">
            <v>000001774</v>
          </cell>
          <cell r="C488" t="str">
            <v>ПЕРЕДАЧА</v>
          </cell>
          <cell r="D488" t="str">
            <v>Машины и оборудование (кроме офисного)</v>
          </cell>
          <cell r="E488" t="str">
            <v>30.07.2019</v>
          </cell>
          <cell r="F488" t="str">
            <v>Цех электрических сетей</v>
          </cell>
          <cell r="X488">
            <v>50891.66</v>
          </cell>
          <cell r="Y488">
            <v>24597.561999999998</v>
          </cell>
          <cell r="Z488">
            <v>26294.098000000005</v>
          </cell>
          <cell r="AC488">
            <v>60</v>
          </cell>
        </row>
        <row r="489">
          <cell r="A489" t="str">
            <v>Участок ВЛ-0,4 кВ от ТП-66 фидер Песчаная</v>
          </cell>
          <cell r="B489" t="str">
            <v>000001802</v>
          </cell>
          <cell r="C489" t="str">
            <v>ПЕРЕДАЧА</v>
          </cell>
          <cell r="D489" t="str">
            <v>Сооружения</v>
          </cell>
          <cell r="E489" t="str">
            <v>02.03.2020</v>
          </cell>
          <cell r="F489" t="str">
            <v>Цех электрических сетей</v>
          </cell>
          <cell r="X489">
            <v>3588625.91</v>
          </cell>
          <cell r="Y489">
            <v>157002.34775000002</v>
          </cell>
          <cell r="Z489">
            <v>3431623.56225</v>
          </cell>
          <cell r="AC489">
            <v>480</v>
          </cell>
        </row>
        <row r="490">
          <cell r="A490" t="str">
            <v>Шиногиб гидравлический ШГР2-10AL</v>
          </cell>
          <cell r="B490" t="str">
            <v>000001737</v>
          </cell>
          <cell r="C490" t="str">
            <v>ПЕРЕДАЧА</v>
          </cell>
          <cell r="D490" t="str">
            <v>Машины и оборудование (кроме офисного)</v>
          </cell>
          <cell r="E490" t="str">
            <v>16.07.2018</v>
          </cell>
          <cell r="F490" t="str">
            <v>Цех электрических сетей</v>
          </cell>
          <cell r="X490">
            <v>106181.36</v>
          </cell>
          <cell r="Y490">
            <v>36278.495999999999</v>
          </cell>
          <cell r="Z490">
            <v>69902.864000000001</v>
          </cell>
          <cell r="AC490">
            <v>120</v>
          </cell>
        </row>
        <row r="491">
          <cell r="A491" t="str">
            <v>Шинодыр гидравлический ШД-60AL</v>
          </cell>
          <cell r="B491" t="str">
            <v>000001736</v>
          </cell>
          <cell r="C491" t="str">
            <v>ПЕРЕДАЧА</v>
          </cell>
          <cell r="D491" t="str">
            <v>Машины и оборудование (кроме офисного)</v>
          </cell>
          <cell r="E491" t="str">
            <v>16.07.2018</v>
          </cell>
          <cell r="F491" t="str">
            <v>Цех электрических сетей</v>
          </cell>
          <cell r="X491">
            <v>51677.97</v>
          </cell>
          <cell r="Y491">
            <v>17656.646999999997</v>
          </cell>
          <cell r="Z491">
            <v>34021.323000000004</v>
          </cell>
          <cell r="AC491">
            <v>120</v>
          </cell>
        </row>
        <row r="492">
          <cell r="A492" t="str">
            <v>Щит ЩО-70-02  2шт 2000г.</v>
          </cell>
          <cell r="B492" t="str">
            <v>00000269</v>
          </cell>
          <cell r="C492" t="str">
            <v>ПЕРЕДАЧА</v>
          </cell>
          <cell r="D492" t="str">
            <v>Машины и оборудование (кроме офисного)</v>
          </cell>
          <cell r="E492" t="str">
            <v>01.09.2000</v>
          </cell>
          <cell r="F492" t="str">
            <v>Цех электрических сетей</v>
          </cell>
          <cell r="X492">
            <v>22847.47</v>
          </cell>
          <cell r="Y492">
            <v>20801.358260869569</v>
          </cell>
          <cell r="Z492">
            <v>2046.1117391304324</v>
          </cell>
          <cell r="AC492">
            <v>276</v>
          </cell>
        </row>
        <row r="493">
          <cell r="A493" t="str">
            <v>Щит ЩО-70-03 2000г.</v>
          </cell>
          <cell r="B493" t="str">
            <v>00000268</v>
          </cell>
          <cell r="C493" t="str">
            <v>ПЕРЕДАЧА</v>
          </cell>
          <cell r="D493" t="str">
            <v>Машины и оборудование (кроме офисного)</v>
          </cell>
          <cell r="E493" t="str">
            <v>01.09.2000</v>
          </cell>
          <cell r="F493" t="str">
            <v>Цех электрических сетей</v>
          </cell>
          <cell r="X493">
            <v>19637.47</v>
          </cell>
          <cell r="Y493">
            <v>18076.873043478259</v>
          </cell>
          <cell r="Z493">
            <v>1560.596956521742</v>
          </cell>
          <cell r="AC493">
            <v>276</v>
          </cell>
        </row>
        <row r="494">
          <cell r="A494" t="str">
            <v>ЩО 70-3-02 УЗ №2</v>
          </cell>
          <cell r="B494" t="str">
            <v>00001106</v>
          </cell>
          <cell r="C494" t="str">
            <v>ПЕРЕДАЧА</v>
          </cell>
          <cell r="D494" t="str">
            <v>Машины и оборудование (кроме офисного)</v>
          </cell>
          <cell r="E494" t="str">
            <v>31.12.2008</v>
          </cell>
          <cell r="F494" t="str">
            <v>Цех электрических сетей</v>
          </cell>
          <cell r="X494">
            <v>25570</v>
          </cell>
          <cell r="Y494">
            <v>22161.306666666667</v>
          </cell>
          <cell r="Z494">
            <v>3408.6933333333327</v>
          </cell>
          <cell r="AC494">
            <v>180</v>
          </cell>
        </row>
        <row r="495">
          <cell r="A495" t="str">
            <v>ЩО 70-3-02 УЗ №3</v>
          </cell>
          <cell r="B495" t="str">
            <v>00001107</v>
          </cell>
          <cell r="C495" t="str">
            <v>ПЕРЕДАЧА</v>
          </cell>
          <cell r="D495" t="str">
            <v>Машины и оборудование (кроме офисного)</v>
          </cell>
          <cell r="E495" t="str">
            <v>31.12.2008</v>
          </cell>
          <cell r="F495" t="str">
            <v>Цех электрических сетей</v>
          </cell>
          <cell r="X495">
            <v>25570</v>
          </cell>
          <cell r="Y495">
            <v>22161.306666666667</v>
          </cell>
          <cell r="Z495">
            <v>3408.6933333333327</v>
          </cell>
          <cell r="AC495">
            <v>180</v>
          </cell>
        </row>
        <row r="496">
          <cell r="A496" t="str">
            <v>ЩО 70-3-02 УЗ №4</v>
          </cell>
          <cell r="B496" t="str">
            <v>00001108</v>
          </cell>
          <cell r="C496" t="str">
            <v>ПЕРЕДАЧА</v>
          </cell>
          <cell r="D496" t="str">
            <v>Машины и оборудование (кроме офисного)</v>
          </cell>
          <cell r="E496" t="str">
            <v>31.12.2008</v>
          </cell>
          <cell r="F496" t="str">
            <v>Цех электрических сетей</v>
          </cell>
          <cell r="X496">
            <v>25570</v>
          </cell>
          <cell r="Y496">
            <v>22161.306666666667</v>
          </cell>
          <cell r="Z496">
            <v>3408.6933333333327</v>
          </cell>
          <cell r="AC496">
            <v>180</v>
          </cell>
        </row>
        <row r="497">
          <cell r="A497" t="str">
            <v>ЩО-70-2-72</v>
          </cell>
          <cell r="B497" t="str">
            <v>000001532</v>
          </cell>
          <cell r="C497" t="str">
            <v>ПЕРЕДАЧА</v>
          </cell>
          <cell r="D497" t="str">
            <v>Другие виды основных средств</v>
          </cell>
          <cell r="E497" t="str">
            <v>30.06.2013</v>
          </cell>
          <cell r="F497" t="str">
            <v>Цех электрических сетей</v>
          </cell>
          <cell r="X497">
            <v>97454.31</v>
          </cell>
          <cell r="Y497">
            <v>55223.854000000007</v>
          </cell>
          <cell r="Z497">
            <v>42230.455999999991</v>
          </cell>
          <cell r="AC497">
            <v>180</v>
          </cell>
        </row>
        <row r="498">
          <cell r="A498" t="str">
            <v>ЩО-70-3-16УЗ №1 ЛЭП-0,4кВ ТП-43 Водозабор</v>
          </cell>
          <cell r="B498" t="str">
            <v>00001097</v>
          </cell>
          <cell r="C498" t="str">
            <v>ПЕРЕДАЧА</v>
          </cell>
          <cell r="D498" t="str">
            <v>Машины и оборудование (кроме офисного)</v>
          </cell>
          <cell r="E498" t="str">
            <v>30.11.2008</v>
          </cell>
          <cell r="F498" t="str">
            <v>Цех электрических сетей</v>
          </cell>
          <cell r="X498">
            <v>19890</v>
          </cell>
          <cell r="Y498">
            <v>17348.5</v>
          </cell>
          <cell r="Z498">
            <v>2541.5</v>
          </cell>
          <cell r="AC498">
            <v>180</v>
          </cell>
        </row>
        <row r="499">
          <cell r="A499" t="str">
            <v>ЩО-70-3-16УЗ №2 ТП-43 Водозабор</v>
          </cell>
          <cell r="B499" t="str">
            <v>00001098</v>
          </cell>
          <cell r="C499" t="str">
            <v>ПЕРЕДАЧА</v>
          </cell>
          <cell r="D499" t="str">
            <v>Машины и оборудование (кроме офисного)</v>
          </cell>
          <cell r="E499" t="str">
            <v>30.11.2008</v>
          </cell>
          <cell r="F499" t="str">
            <v>Цех электрических сетей</v>
          </cell>
          <cell r="X499">
            <v>19890</v>
          </cell>
          <cell r="Y499">
            <v>17348.5</v>
          </cell>
          <cell r="Z499">
            <v>2541.5</v>
          </cell>
          <cell r="AC499">
            <v>180</v>
          </cell>
        </row>
        <row r="500">
          <cell r="A500" t="str">
            <v>Э/освещение и силовое э/обор ТП-67 шк№5  2000г.</v>
          </cell>
          <cell r="B500" t="str">
            <v>00000261</v>
          </cell>
          <cell r="C500" t="str">
            <v>ПЕРЕДАЧА</v>
          </cell>
          <cell r="D500" t="str">
            <v>Сооружения</v>
          </cell>
          <cell r="E500" t="str">
            <v>01.05.2000</v>
          </cell>
          <cell r="F500" t="str">
            <v>Цех электрических сетей</v>
          </cell>
          <cell r="X500">
            <v>33157</v>
          </cell>
          <cell r="Y500">
            <v>28836.14</v>
          </cell>
          <cell r="Z500">
            <v>4320.8600000000006</v>
          </cell>
          <cell r="AC500">
            <v>300</v>
          </cell>
        </row>
        <row r="501">
          <cell r="A501" t="str">
            <v>Эл линии н/в 0,4кв Явт, Авиат, Смидов  1998г.</v>
          </cell>
          <cell r="B501" t="str">
            <v>00000185</v>
          </cell>
          <cell r="C501" t="str">
            <v>ПЕРЕДАЧА</v>
          </cell>
          <cell r="D501" t="str">
            <v>Сооружения</v>
          </cell>
          <cell r="E501" t="str">
            <v>01.02.1998</v>
          </cell>
          <cell r="F501" t="str">
            <v>Цех электрических сетей</v>
          </cell>
          <cell r="X501">
            <v>917034.04</v>
          </cell>
          <cell r="Y501">
            <v>250470.62</v>
          </cell>
          <cell r="Z501">
            <v>666563.42000000004</v>
          </cell>
          <cell r="AC501">
            <v>499</v>
          </cell>
        </row>
        <row r="502">
          <cell r="A502" t="str">
            <v>Эл линия в/в 6 кв нефтебаза  5996м 1979г</v>
          </cell>
          <cell r="B502" t="str">
            <v>00000507</v>
          </cell>
          <cell r="C502" t="str">
            <v>ПЕРЕДАЧА</v>
          </cell>
          <cell r="D502" t="str">
            <v>Сооружения</v>
          </cell>
          <cell r="E502" t="str">
            <v>01.01.1979</v>
          </cell>
          <cell r="F502" t="str">
            <v>Цех электрических сетей</v>
          </cell>
          <cell r="X502">
            <v>2614006.4</v>
          </cell>
          <cell r="Y502">
            <v>1190176.74</v>
          </cell>
          <cell r="Z502">
            <v>1423829.66</v>
          </cell>
          <cell r="AC502">
            <v>180</v>
          </cell>
        </row>
        <row r="503">
          <cell r="A503" t="str">
            <v>Эл линия ул 60 лет СССР 1988г.  190м</v>
          </cell>
          <cell r="B503" t="str">
            <v>00000174</v>
          </cell>
          <cell r="C503" t="str">
            <v>ПЕРЕДАЧА</v>
          </cell>
          <cell r="D503" t="str">
            <v>Сооружения</v>
          </cell>
          <cell r="E503" t="str">
            <v>01.01.1988</v>
          </cell>
          <cell r="F503" t="str">
            <v>Цех электрических сетей</v>
          </cell>
          <cell r="X503">
            <v>664789.04</v>
          </cell>
          <cell r="Y503">
            <v>589098.43999999994</v>
          </cell>
          <cell r="Z503">
            <v>75690.600000000093</v>
          </cell>
          <cell r="AC503">
            <v>84</v>
          </cell>
        </row>
        <row r="504">
          <cell r="A504" t="str">
            <v>Эл линия ул Смидовича 1988г.</v>
          </cell>
          <cell r="B504" t="str">
            <v>00000175</v>
          </cell>
          <cell r="C504" t="str">
            <v>ПЕРЕДАЧА</v>
          </cell>
          <cell r="D504" t="str">
            <v>Сооружения</v>
          </cell>
          <cell r="E504" t="str">
            <v>01.01.1988</v>
          </cell>
          <cell r="F504" t="str">
            <v>Цех электрических сетей</v>
          </cell>
          <cell r="X504">
            <v>349815.3</v>
          </cell>
          <cell r="Y504">
            <v>123464.95999999999</v>
          </cell>
          <cell r="Z504">
            <v>226350.34</v>
          </cell>
          <cell r="AC504">
            <v>360</v>
          </cell>
        </row>
        <row r="505">
          <cell r="A505" t="str">
            <v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v>
          </cell>
          <cell r="B505" t="str">
            <v>000001755</v>
          </cell>
          <cell r="C505" t="str">
            <v>ПЕРЕДАЧА</v>
          </cell>
          <cell r="D505" t="str">
            <v>Сооружения</v>
          </cell>
          <cell r="E505" t="str">
            <v>17.01.2019</v>
          </cell>
          <cell r="F505" t="str">
            <v>Цех электрических сетей</v>
          </cell>
          <cell r="X505">
            <v>3348756.37</v>
          </cell>
          <cell r="Y505">
            <v>325573.51233333338</v>
          </cell>
          <cell r="Z505">
            <v>3023182.8576666666</v>
          </cell>
          <cell r="AC505">
            <v>360</v>
          </cell>
        </row>
        <row r="507">
          <cell r="A507" t="str">
            <v>Электроснабжение земельных участков, предоставленных многодетным семьям под жилищное строительство в пос. Искателей в Ненецком автономном округе</v>
          </cell>
          <cell r="B507" t="str">
            <v>000001702</v>
          </cell>
          <cell r="C507" t="str">
            <v>ПЕРЕДАЧА</v>
          </cell>
          <cell r="D507" t="str">
            <v>Сооружения</v>
          </cell>
          <cell r="E507" t="str">
            <v>19.04.2017</v>
          </cell>
          <cell r="F507" t="str">
            <v>Цех электрических сетей</v>
          </cell>
          <cell r="X507">
            <v>4978729.8</v>
          </cell>
          <cell r="Y507">
            <v>580851.64500000002</v>
          </cell>
          <cell r="Z507">
            <v>4397878.1549999993</v>
          </cell>
          <cell r="AC507">
            <v>480</v>
          </cell>
        </row>
        <row r="508">
          <cell r="A508" t="str">
            <v>Электроснабжение. Наружные сети (ул. Авиаторов)</v>
          </cell>
          <cell r="B508" t="str">
            <v>000001677</v>
          </cell>
          <cell r="C508" t="str">
            <v>ПЕРЕДАЧА</v>
          </cell>
          <cell r="D508" t="str">
            <v>Сооружения</v>
          </cell>
          <cell r="E508" t="str">
            <v>20.01.2016</v>
          </cell>
          <cell r="F508" t="str">
            <v>Цех электрических сетей</v>
          </cell>
          <cell r="X508">
            <v>426874.44</v>
          </cell>
          <cell r="Y508">
            <v>168377.976</v>
          </cell>
          <cell r="Z508">
            <v>258496.46400000001</v>
          </cell>
          <cell r="AC508">
            <v>180</v>
          </cell>
        </row>
        <row r="509">
          <cell r="A509" t="str">
            <v>Энерготестер ПКЭ-А-А 1 К05</v>
          </cell>
          <cell r="B509" t="str">
            <v>000001817</v>
          </cell>
          <cell r="C509" t="str">
            <v>ПЕРЕДАЧА</v>
          </cell>
          <cell r="D509" t="str">
            <v>Машины и оборудование (кроме офисного)</v>
          </cell>
          <cell r="E509" t="str">
            <v>26.06.2020</v>
          </cell>
          <cell r="F509" t="str">
            <v>Цех электрических сетей</v>
          </cell>
          <cell r="X509">
            <v>261646</v>
          </cell>
          <cell r="Y509">
            <v>39246.87999999999</v>
          </cell>
          <cell r="Z509">
            <v>222399.12</v>
          </cell>
          <cell r="AC509">
            <v>120</v>
          </cell>
        </row>
        <row r="510">
          <cell r="A510" t="str">
            <v>СБЫТ</v>
          </cell>
          <cell r="X510">
            <v>608810</v>
          </cell>
          <cell r="Y510">
            <v>21666.666666666668</v>
          </cell>
          <cell r="Z510">
            <v>587143.33333333326</v>
          </cell>
        </row>
        <row r="511">
          <cell r="A511" t="str">
            <v>Комплект мебели для абон.отд. цвет ЛДСП Ясень анкор светлый (1 шкаф;8 стеллажей;8 столов;12 тумб)</v>
          </cell>
          <cell r="B511" t="str">
            <v>000001883</v>
          </cell>
          <cell r="C511" t="str">
            <v>СБЫТ</v>
          </cell>
          <cell r="D511" t="str">
            <v>Производственный и хозяйственный инвентарь</v>
          </cell>
          <cell r="E511">
            <v>44560</v>
          </cell>
          <cell r="F511" t="str">
            <v>Отдел энергосбыта</v>
          </cell>
          <cell r="X511">
            <v>283810</v>
          </cell>
          <cell r="Z511">
            <v>283810</v>
          </cell>
          <cell r="AC511">
            <v>180</v>
          </cell>
        </row>
        <row r="512">
          <cell r="A512" t="str">
            <v>Энерготестер ПКЭ-А-А 1 К05</v>
          </cell>
          <cell r="B512" t="str">
            <v>00-000100</v>
          </cell>
          <cell r="C512" t="str">
            <v>СБЫТ</v>
          </cell>
          <cell r="D512" t="str">
            <v>Машины и оборудование (кроме офисного)</v>
          </cell>
          <cell r="E512" t="str">
            <v>28.04.2021</v>
          </cell>
          <cell r="F512" t="str">
            <v>Отдел энергосбыта</v>
          </cell>
          <cell r="X512">
            <v>325000</v>
          </cell>
          <cell r="Y512">
            <v>21666.666666666668</v>
          </cell>
          <cell r="Z512">
            <v>303333.33333333331</v>
          </cell>
          <cell r="AC512">
            <v>120</v>
          </cell>
        </row>
        <row r="513">
          <cell r="A513" t="str">
            <v>ТЕПЛОЭНЕРГИЯ</v>
          </cell>
          <cell r="X513">
            <v>1569604.4200000002</v>
          </cell>
          <cell r="Y513">
            <v>428967.19911581918</v>
          </cell>
          <cell r="Z513">
            <v>1140637.2208841809</v>
          </cell>
        </row>
        <row r="514">
          <cell r="A514" t="str">
            <v>Газопроводные трубы 1981г.</v>
          </cell>
          <cell r="B514" t="str">
            <v>00000603</v>
          </cell>
          <cell r="C514" t="str">
            <v>ТЕПЛОЭНЕРГИЯ</v>
          </cell>
          <cell r="D514" t="str">
            <v>Сооружения</v>
          </cell>
          <cell r="E514" t="str">
            <v>01.01.1981</v>
          </cell>
          <cell r="X514">
            <v>32481</v>
          </cell>
          <cell r="Y514">
            <v>32480.997500000001</v>
          </cell>
          <cell r="Z514">
            <v>2.4999999986903276E-3</v>
          </cell>
          <cell r="AC514">
            <v>480</v>
          </cell>
        </row>
        <row r="515">
          <cell r="A515" t="str">
            <v>Горелка ГБЛ-0,7К-МГ-В-Р в комплекте с группой арматурной Ду65 на низкое присоединительное давление (4,1-5 кПа)</v>
          </cell>
          <cell r="B515" t="str">
            <v>000001767</v>
          </cell>
          <cell r="C515" t="str">
            <v>ТЕПЛОЭНЕРГИЯ</v>
          </cell>
          <cell r="D515" t="str">
            <v>Машины и оборудование (кроме офисного)</v>
          </cell>
          <cell r="E515" t="str">
            <v>18.04.2019</v>
          </cell>
          <cell r="X515">
            <v>308166.67</v>
          </cell>
          <cell r="Y515">
            <v>82177.866999999998</v>
          </cell>
          <cell r="Z515">
            <v>225988.80299999999</v>
          </cell>
          <cell r="AC515">
            <v>120</v>
          </cell>
        </row>
        <row r="516">
          <cell r="A516" t="str">
            <v>Котельная  1964г.</v>
          </cell>
          <cell r="B516" t="str">
            <v>00000276</v>
          </cell>
          <cell r="C516" t="str">
            <v>ТЕПЛОЭНЕРГИЯ</v>
          </cell>
          <cell r="D516" t="str">
            <v>Здания</v>
          </cell>
          <cell r="E516" t="str">
            <v>01.01.1964</v>
          </cell>
          <cell r="X516">
            <v>134167</v>
          </cell>
          <cell r="Y516">
            <v>132422.04694915254</v>
          </cell>
          <cell r="Z516">
            <v>1744.9530508474563</v>
          </cell>
          <cell r="AC516">
            <v>708</v>
          </cell>
        </row>
        <row r="517">
          <cell r="A517" t="str">
            <v>Пристройка для машинистов</v>
          </cell>
          <cell r="B517" t="str">
            <v>00000272</v>
          </cell>
          <cell r="C517" t="str">
            <v>ТЕПЛОЭНЕРГИЯ</v>
          </cell>
          <cell r="D517" t="str">
            <v>Здания</v>
          </cell>
          <cell r="E517" t="str">
            <v>01.12.1999</v>
          </cell>
          <cell r="X517">
            <v>39415</v>
          </cell>
          <cell r="Y517">
            <v>34323.279999999999</v>
          </cell>
          <cell r="Z517">
            <v>5091.7200000000012</v>
          </cell>
          <cell r="AC517">
            <v>240</v>
          </cell>
        </row>
        <row r="518">
          <cell r="A518" t="str">
            <v>Тепловые сети объекта "Ангар для складских помещений"</v>
          </cell>
          <cell r="B518" t="str">
            <v>000001782</v>
          </cell>
          <cell r="C518" t="str">
            <v>ТЕПЛОЭНЕРГИЯ</v>
          </cell>
          <cell r="D518" t="str">
            <v>Сооружения</v>
          </cell>
          <cell r="E518" t="str">
            <v>16.12.2019</v>
          </cell>
          <cell r="X518">
            <v>996691.42</v>
          </cell>
          <cell r="Y518">
            <v>132892.13466666665</v>
          </cell>
          <cell r="Z518">
            <v>863799.28533333342</v>
          </cell>
          <cell r="AC518">
            <v>180</v>
          </cell>
        </row>
        <row r="519">
          <cell r="A519" t="str">
            <v>Электронасос типа КМ 100-80-160-5 15кВт</v>
          </cell>
          <cell r="B519" t="str">
            <v>000001770</v>
          </cell>
          <cell r="C519" t="str">
            <v>ТЕПЛОЭНЕРГИЯ</v>
          </cell>
          <cell r="D519" t="str">
            <v>Машины и оборудование (кроме офисного)</v>
          </cell>
          <cell r="E519" t="str">
            <v>11.06.2019</v>
          </cell>
          <cell r="X519">
            <v>58683.33</v>
          </cell>
          <cell r="Y519">
            <v>14670.873000000003</v>
          </cell>
          <cell r="Z519">
            <v>44012.456999999995</v>
          </cell>
          <cell r="AC519">
            <v>120</v>
          </cell>
        </row>
        <row r="520">
          <cell r="A520" t="str">
            <v>ОБЩЕПРОИЗВОДСТВЕННЫЕ РАСХОДЫ</v>
          </cell>
          <cell r="X520">
            <v>45296112.980000004</v>
          </cell>
          <cell r="Y520">
            <v>9997530.4129112549</v>
          </cell>
          <cell r="Z520">
            <v>35264958.642116532</v>
          </cell>
        </row>
        <row r="521">
          <cell r="A521" t="str">
            <v>Ангар для складских помещений</v>
          </cell>
          <cell r="B521" t="str">
            <v>000001783</v>
          </cell>
          <cell r="C521" t="str">
            <v>ОБЩЕПРОИЗВОДСТВЕННЫЕ РАСХОДЫ</v>
          </cell>
          <cell r="D521" t="str">
            <v>Здания</v>
          </cell>
          <cell r="E521" t="str">
            <v>16.12.2019</v>
          </cell>
          <cell r="F521" t="str">
            <v>общепроизводственные расходы</v>
          </cell>
          <cell r="X521">
            <v>24720373.289999999</v>
          </cell>
          <cell r="Y521">
            <v>1236018.6922499998</v>
          </cell>
          <cell r="Z521">
            <v>23484354.597750001</v>
          </cell>
          <cell r="AC521">
            <v>480</v>
          </cell>
        </row>
        <row r="522">
          <cell r="A522" t="str">
            <v>Дорожное покрытие на территории электростанции</v>
          </cell>
          <cell r="B522" t="str">
            <v>00001355</v>
          </cell>
          <cell r="C522" t="str">
            <v>ОБЩЕПРОИЗВОДСТВЕННЫЕ РАСХОДЫ</v>
          </cell>
          <cell r="D522" t="str">
            <v>Сооружения</v>
          </cell>
          <cell r="E522" t="str">
            <v>30.04.2011</v>
          </cell>
          <cell r="F522" t="str">
            <v>Тепломеханический цех</v>
          </cell>
          <cell r="X522">
            <v>3490808.3</v>
          </cell>
          <cell r="Y522">
            <v>1647512.56</v>
          </cell>
          <cell r="Z522">
            <v>1843295.7399999998</v>
          </cell>
          <cell r="AC522">
            <v>240</v>
          </cell>
        </row>
        <row r="523">
          <cell r="A523" t="str">
            <v>Здание лаборатории  1970г.</v>
          </cell>
          <cell r="B523" t="str">
            <v>00000033</v>
          </cell>
          <cell r="C523" t="str">
            <v>ОБЩЕПРОИЗВОДСТВЕННЫЕ РАСХОДЫ</v>
          </cell>
          <cell r="D523" t="str">
            <v>Здания</v>
          </cell>
          <cell r="E523" t="str">
            <v>01.01.1970</v>
          </cell>
          <cell r="F523" t="str">
            <v>общепроизводственные расходы</v>
          </cell>
          <cell r="X523">
            <v>129495.26</v>
          </cell>
          <cell r="Y523">
            <v>22978.068111111112</v>
          </cell>
          <cell r="Z523">
            <v>106517.19188888889</v>
          </cell>
        </row>
        <row r="524">
          <cell r="A524" t="str">
            <v xml:space="preserve">Комплект складских стеллажей </v>
          </cell>
          <cell r="B524" t="str">
            <v>000001820</v>
          </cell>
          <cell r="C524" t="str">
            <v>ОБЩЕПРОИЗВОДСТВЕННЫЕ РАСХОДЫ</v>
          </cell>
          <cell r="D524" t="str">
            <v>Производственный и хозяйственный инвентарь</v>
          </cell>
          <cell r="E524" t="str">
            <v>31.08.2020</v>
          </cell>
          <cell r="F524" t="str">
            <v>общепроизводственные расходы</v>
          </cell>
          <cell r="X524">
            <v>213239.76</v>
          </cell>
          <cell r="Y524">
            <v>18954.664000000004</v>
          </cell>
          <cell r="Z524">
            <v>194285.09600000002</v>
          </cell>
          <cell r="AC524">
            <v>180</v>
          </cell>
        </row>
        <row r="525">
          <cell r="A525" t="str">
            <v>Комплект среднегрузовых стеллажей</v>
          </cell>
          <cell r="B525" t="str">
            <v>000001808</v>
          </cell>
          <cell r="C525" t="str">
            <v>ОБЩЕПРОИЗВОДСТВЕННЫЕ РАСХОДЫ</v>
          </cell>
          <cell r="D525" t="str">
            <v>Производственный и хозяйственный инвентарь</v>
          </cell>
          <cell r="E525" t="str">
            <v>21.04.2020</v>
          </cell>
          <cell r="F525" t="str">
            <v>общепроизводственные расходы</v>
          </cell>
          <cell r="X525">
            <v>394092.87</v>
          </cell>
          <cell r="Y525">
            <v>43788.058000000005</v>
          </cell>
          <cell r="Z525">
            <v>350304.81199999998</v>
          </cell>
          <cell r="AC525">
            <v>180</v>
          </cell>
        </row>
        <row r="526">
          <cell r="A526" t="str">
            <v xml:space="preserve">Комплект стеллажей </v>
          </cell>
          <cell r="B526" t="str">
            <v>000001810</v>
          </cell>
          <cell r="C526" t="str">
            <v>ОБЩЕПРОИЗВОДСТВЕННЫЕ РАСХОДЫ</v>
          </cell>
          <cell r="D526" t="str">
            <v>Производственный и хозяйственный инвентарь</v>
          </cell>
          <cell r="E526" t="str">
            <v>04.06.2020</v>
          </cell>
          <cell r="F526" t="str">
            <v>общепроизводственные расходы</v>
          </cell>
          <cell r="X526">
            <v>347993.63</v>
          </cell>
          <cell r="Y526">
            <v>34799.37533333333</v>
          </cell>
          <cell r="Z526">
            <v>313194.25466666667</v>
          </cell>
          <cell r="AC526">
            <v>180</v>
          </cell>
        </row>
        <row r="527">
          <cell r="A527" t="str">
            <v>Эстакада для хранения барабанов с кабелем</v>
          </cell>
          <cell r="B527" t="str">
            <v>000001874</v>
          </cell>
          <cell r="C527" t="str">
            <v>ОБЩЕПРОИЗВОДСТВЕННЫЕ РАСХОДЫ</v>
          </cell>
          <cell r="D527" t="str">
            <v>Машины и оборудование (кроме офисного)</v>
          </cell>
          <cell r="E527">
            <v>44543</v>
          </cell>
          <cell r="F527" t="str">
            <v>общепроизводственные расходы</v>
          </cell>
          <cell r="X527">
            <v>461518.72</v>
          </cell>
          <cell r="Z527">
            <v>461518.72</v>
          </cell>
          <cell r="AC527">
            <v>240</v>
          </cell>
        </row>
        <row r="528">
          <cell r="A528" t="str">
            <v>Компьютер в сборе: Intel Core i5 7400 (Soc-1151-v.2v Gigabyte Soc-1151H31M S2V/ DEEPCOOL THETA 21PWM)</v>
          </cell>
          <cell r="B528" t="str">
            <v>000001761</v>
          </cell>
          <cell r="C528" t="str">
            <v>ОБЩЕПРОИЗВОДСТВЕННЫЕ РАСХОДЫ</v>
          </cell>
          <cell r="D528" t="str">
            <v>Офисное оборудование</v>
          </cell>
          <cell r="E528" t="str">
            <v>03.04.2019</v>
          </cell>
          <cell r="F528" t="str">
            <v>общепроизводственные расходы</v>
          </cell>
          <cell r="X528">
            <v>69433.33</v>
          </cell>
          <cell r="Y528">
            <v>61718.443333333344</v>
          </cell>
          <cell r="Z528">
            <v>7714.8866666666581</v>
          </cell>
          <cell r="AC528">
            <v>36</v>
          </cell>
        </row>
        <row r="529">
          <cell r="A529" t="str">
            <v>Компьютер в сборе: Intel Core i5 7400 (Soc-1151-v.2v Gigabyte Soc-1151H31M S2V/ DEEPCOOL THETA 21PWM)</v>
          </cell>
          <cell r="B529" t="str">
            <v>000001762</v>
          </cell>
          <cell r="C529" t="str">
            <v>ОБЩЕПРОИЗВОДСТВЕННЫЕ РАСХОДЫ</v>
          </cell>
          <cell r="D529" t="str">
            <v>Офисное оборудование</v>
          </cell>
          <cell r="E529" t="str">
            <v>03.04.2019</v>
          </cell>
          <cell r="F529" t="str">
            <v>общепроизводственные расходы</v>
          </cell>
          <cell r="X529">
            <v>69433.33</v>
          </cell>
          <cell r="Y529">
            <v>61718.443333333344</v>
          </cell>
          <cell r="Z529">
            <v>7714.8866666666581</v>
          </cell>
          <cell r="AC529">
            <v>36</v>
          </cell>
        </row>
        <row r="530">
          <cell r="A530" t="str">
            <v>Компьютер в сборе: Intel Core i5 7400 (Soc-1151-v.2v Gigabyte Soc-1151H31M S2V/ DEEPCOOL THETA 21PWM)</v>
          </cell>
          <cell r="B530" t="str">
            <v>000001763</v>
          </cell>
          <cell r="C530" t="str">
            <v>ОБЩЕПРОИЗВОДСТВЕННЫЕ РАСХОДЫ</v>
          </cell>
          <cell r="D530" t="str">
            <v>Офисное оборудование</v>
          </cell>
          <cell r="E530" t="str">
            <v>03.04.2019</v>
          </cell>
          <cell r="F530" t="str">
            <v>общепроизводственные расходы</v>
          </cell>
          <cell r="X530">
            <v>69433.33</v>
          </cell>
          <cell r="Y530">
            <v>61718.443333333344</v>
          </cell>
          <cell r="Z530">
            <v>7714.8866666666581</v>
          </cell>
          <cell r="AC530">
            <v>36</v>
          </cell>
        </row>
        <row r="531">
          <cell r="A531" t="str">
            <v>Компьютер в сборе: Intel Core i5 7400 (Soc-1151-v.2v Gigabyte Soc-1151H31M S2V/ DEEPCOOL THETA 21PWM)</v>
          </cell>
          <cell r="B531" t="str">
            <v>000001764</v>
          </cell>
          <cell r="C531" t="str">
            <v>ОБЩЕПРОИЗВОДСТВЕННЫЕ РАСХОДЫ</v>
          </cell>
          <cell r="D531" t="str">
            <v>Офисное оборудование</v>
          </cell>
          <cell r="E531" t="str">
            <v>03.04.2019</v>
          </cell>
          <cell r="F531" t="str">
            <v>общепроизводственные расходы</v>
          </cell>
          <cell r="X531">
            <v>69433.34</v>
          </cell>
          <cell r="Y531">
            <v>61718.44666666667</v>
          </cell>
          <cell r="Z531">
            <v>7714.8933333333262</v>
          </cell>
          <cell r="AC531">
            <v>36</v>
          </cell>
        </row>
        <row r="532">
          <cell r="A532" t="str">
            <v>Контейнер 20 ф №1</v>
          </cell>
          <cell r="B532" t="str">
            <v>000001521</v>
          </cell>
          <cell r="C532" t="str">
            <v>ОБЩЕПРОИЗВОДСТВЕННЫЕ РАСХОДЫ</v>
          </cell>
          <cell r="D532" t="str">
            <v>Другие виды основных средств</v>
          </cell>
          <cell r="E532" t="str">
            <v>10.04.2013</v>
          </cell>
          <cell r="F532" t="str">
            <v>Тепломеханический цех</v>
          </cell>
          <cell r="X532">
            <v>50847.46</v>
          </cell>
          <cell r="Y532">
            <v>564.97177777777779</v>
          </cell>
          <cell r="Z532">
            <v>21468.549333333332</v>
          </cell>
          <cell r="AC532">
            <v>180</v>
          </cell>
        </row>
        <row r="533">
          <cell r="A533" t="str">
            <v>Мезонин на основе колонн №1</v>
          </cell>
          <cell r="B533" t="str">
            <v>000001856</v>
          </cell>
          <cell r="C533" t="str">
            <v>ОБЩЕПРОИЗВОДСТВЕННЫЕ РАСХОДЫ</v>
          </cell>
          <cell r="D533" t="str">
            <v>Машины и оборудование (кроме офисного)</v>
          </cell>
          <cell r="E533" t="str">
            <v>30.06.2021</v>
          </cell>
          <cell r="F533" t="str">
            <v>общепроизводственные расходы</v>
          </cell>
          <cell r="X533">
            <v>717369.78</v>
          </cell>
          <cell r="Y533">
            <v>23912.326000000001</v>
          </cell>
          <cell r="Z533">
            <v>693457.45400000003</v>
          </cell>
          <cell r="AC533">
            <v>180</v>
          </cell>
        </row>
        <row r="534">
          <cell r="A534" t="str">
            <v>Мезонин на основе колонн №2</v>
          </cell>
          <cell r="B534" t="str">
            <v>000001857</v>
          </cell>
          <cell r="C534" t="str">
            <v>ОБЩЕПРОИЗВОДСТВЕННЫЕ РАСХОДЫ</v>
          </cell>
          <cell r="D534" t="str">
            <v>Машины и оборудование (кроме офисного)</v>
          </cell>
          <cell r="E534" t="str">
            <v>30.06.2021</v>
          </cell>
          <cell r="F534" t="str">
            <v>общепроизводственные расходы</v>
          </cell>
          <cell r="X534">
            <v>727902.42</v>
          </cell>
          <cell r="Y534">
            <v>24263.413999999997</v>
          </cell>
          <cell r="Z534">
            <v>703639.00600000005</v>
          </cell>
          <cell r="AC534">
            <v>180</v>
          </cell>
        </row>
        <row r="535">
          <cell r="A535" t="str">
            <v>Металлический стеллаж (складской мезонин)</v>
          </cell>
          <cell r="B535" t="str">
            <v>000001803</v>
          </cell>
          <cell r="C535" t="str">
            <v>ОБЩЕПРОИЗВОДСТВЕННЫЕ РАСХОДЫ</v>
          </cell>
          <cell r="D535" t="str">
            <v>Машины и оборудование (кроме офисного)</v>
          </cell>
          <cell r="E535" t="str">
            <v>17.03.2020</v>
          </cell>
          <cell r="F535" t="str">
            <v>общепроизводственные расходы</v>
          </cell>
          <cell r="X535">
            <v>525332.43000000005</v>
          </cell>
          <cell r="Y535">
            <v>61288.752000000008</v>
          </cell>
          <cell r="Z535">
            <v>464043.67800000007</v>
          </cell>
          <cell r="AC535">
            <v>180</v>
          </cell>
        </row>
        <row r="536">
          <cell r="A536" t="str">
            <v>Ограждение (сайдинг) 69м 2010г</v>
          </cell>
          <cell r="B536" t="str">
            <v>00000311</v>
          </cell>
          <cell r="C536" t="str">
            <v>ОБЩЕПРОИЗВОДСТВЕННЫЕ РАСХОДЫ</v>
          </cell>
          <cell r="D536" t="str">
            <v>Сооружения</v>
          </cell>
          <cell r="E536" t="str">
            <v>30.11.2010</v>
          </cell>
          <cell r="F536" t="str">
            <v>общепроизводственные расходы</v>
          </cell>
          <cell r="X536">
            <v>459881.8</v>
          </cell>
          <cell r="Y536">
            <v>339801.6866666667</v>
          </cell>
          <cell r="Z536">
            <v>120080.11333333328</v>
          </cell>
          <cell r="AC536">
            <v>180</v>
          </cell>
        </row>
        <row r="537">
          <cell r="A537" t="str">
            <v>Персональный компьютер (ExeGate special)</v>
          </cell>
          <cell r="B537" t="str">
            <v>000001796</v>
          </cell>
          <cell r="C537" t="str">
            <v>ОБЩЕПРОИЗВОДСТВЕННЫЕ РАСХОДЫ</v>
          </cell>
          <cell r="D537" t="str">
            <v>Машины и оборудование (кроме офисного)</v>
          </cell>
          <cell r="E537" t="str">
            <v>31.12.2019</v>
          </cell>
          <cell r="F537" t="str">
            <v>общепроизводственные расходы</v>
          </cell>
          <cell r="X537">
            <v>51958.33</v>
          </cell>
          <cell r="Y537">
            <v>34638.923333333332</v>
          </cell>
          <cell r="Z537">
            <v>17319.406666666669</v>
          </cell>
          <cell r="AC537">
            <v>36</v>
          </cell>
        </row>
        <row r="538">
          <cell r="A538" t="str">
            <v>Персональный компьютер (ExeGate special)</v>
          </cell>
          <cell r="B538" t="str">
            <v>000001797</v>
          </cell>
          <cell r="C538" t="str">
            <v>ОБЩЕПРОИЗВОДСТВЕННЫЕ РАСХОДЫ</v>
          </cell>
          <cell r="D538" t="str">
            <v>Машины и оборудование (кроме офисного)</v>
          </cell>
          <cell r="E538" t="str">
            <v>31.12.2019</v>
          </cell>
          <cell r="F538" t="str">
            <v>общепроизводственные расходы</v>
          </cell>
          <cell r="X538">
            <v>51958.34</v>
          </cell>
          <cell r="Y538">
            <v>34638.926666666666</v>
          </cell>
          <cell r="Z538">
            <v>17319.41333333333</v>
          </cell>
          <cell r="AC538">
            <v>36</v>
          </cell>
        </row>
        <row r="539">
          <cell r="A539" t="str">
            <v>Персональный компьютер (ExeGate special)</v>
          </cell>
          <cell r="B539" t="str">
            <v>000001798</v>
          </cell>
          <cell r="C539" t="str">
            <v>ОБЩЕПРОИЗВОДСТВЕННЫЕ РАСХОДЫ</v>
          </cell>
          <cell r="D539" t="str">
            <v>Машины и оборудование (кроме офисного)</v>
          </cell>
          <cell r="E539" t="str">
            <v>31.12.2019</v>
          </cell>
          <cell r="F539" t="str">
            <v>общепроизводственные расходы</v>
          </cell>
          <cell r="X539">
            <v>51958.34</v>
          </cell>
          <cell r="Y539">
            <v>34638.926666666666</v>
          </cell>
          <cell r="Z539">
            <v>17319.41333333333</v>
          </cell>
          <cell r="AC539">
            <v>36</v>
          </cell>
        </row>
        <row r="540">
          <cell r="A540" t="str">
            <v>Персональный компьютер (ExeGate special)</v>
          </cell>
          <cell r="B540" t="str">
            <v>000001799</v>
          </cell>
          <cell r="C540" t="str">
            <v>ОБЩЕПРОИЗВОДСТВЕННЫЕ РАСХОДЫ</v>
          </cell>
          <cell r="D540" t="str">
            <v>Машины и оборудование (кроме офисного)</v>
          </cell>
          <cell r="E540" t="str">
            <v>31.12.2019</v>
          </cell>
          <cell r="F540" t="str">
            <v>общепроизводственные расходы</v>
          </cell>
          <cell r="X540">
            <v>51958.34</v>
          </cell>
          <cell r="Y540">
            <v>34638.926666666666</v>
          </cell>
          <cell r="Z540">
            <v>17319.41333333333</v>
          </cell>
          <cell r="AC540">
            <v>36</v>
          </cell>
        </row>
        <row r="541">
          <cell r="A541" t="str">
            <v>Персональный компьютер (ExeGate special)</v>
          </cell>
          <cell r="B541" t="str">
            <v>000001800</v>
          </cell>
          <cell r="C541" t="str">
            <v>ОБЩЕПРОИЗВОДСТВЕННЫЕ РАСХОДЫ</v>
          </cell>
          <cell r="D541" t="str">
            <v>Машины и оборудование (кроме офисного)</v>
          </cell>
          <cell r="E541" t="str">
            <v>31.12.2019</v>
          </cell>
          <cell r="F541" t="str">
            <v>общепроизводственные расходы</v>
          </cell>
          <cell r="X541">
            <v>51958.34</v>
          </cell>
          <cell r="Y541">
            <v>34638.926666666666</v>
          </cell>
          <cell r="Z541">
            <v>17319.41333333333</v>
          </cell>
          <cell r="AC541">
            <v>36</v>
          </cell>
        </row>
        <row r="542">
          <cell r="A542" t="str">
            <v>Персональный компьютер (ExeGate special)</v>
          </cell>
          <cell r="B542" t="str">
            <v>000001801</v>
          </cell>
          <cell r="C542" t="str">
            <v>ОБЩЕПРОИЗВОДСТВЕННЫЕ РАСХОДЫ</v>
          </cell>
          <cell r="D542" t="str">
            <v>Машины и оборудование (кроме офисного)</v>
          </cell>
          <cell r="E542" t="str">
            <v>31.12.2019</v>
          </cell>
          <cell r="F542" t="str">
            <v>общепроизводственные расходы</v>
          </cell>
          <cell r="X542">
            <v>51958.34</v>
          </cell>
          <cell r="Y542">
            <v>34638.926666666666</v>
          </cell>
          <cell r="Z542">
            <v>17319.41333333333</v>
          </cell>
          <cell r="AC542">
            <v>36</v>
          </cell>
        </row>
        <row r="543">
          <cell r="A543" t="str">
            <v>Персональный компьютер (ExeGate special, AOS 27")</v>
          </cell>
          <cell r="B543" t="str">
            <v>000001786</v>
          </cell>
          <cell r="C543" t="str">
            <v>ОБЩЕПРОИЗВОДСТВЕННЫЕ РАСХОДЫ</v>
          </cell>
          <cell r="D543" t="str">
            <v>Машины и оборудование (кроме офисного)</v>
          </cell>
          <cell r="E543" t="str">
            <v>31.12.2019</v>
          </cell>
          <cell r="F543" t="str">
            <v>общепроизводственные расходы</v>
          </cell>
          <cell r="X543">
            <v>63791.67</v>
          </cell>
          <cell r="Y543">
            <v>42527.770000000004</v>
          </cell>
          <cell r="Z543">
            <v>21263.899999999994</v>
          </cell>
          <cell r="AC543">
            <v>36</v>
          </cell>
        </row>
        <row r="544">
          <cell r="A544" t="str">
            <v>Персональный компьютер (ExeGate special, AOS 27")</v>
          </cell>
          <cell r="B544" t="str">
            <v>000001787</v>
          </cell>
          <cell r="C544" t="str">
            <v>ОБЩЕПРОИЗВОДСТВЕННЫЕ РАСХОДЫ</v>
          </cell>
          <cell r="D544" t="str">
            <v>Машины и оборудование (кроме офисного)</v>
          </cell>
          <cell r="E544" t="str">
            <v>31.12.2019</v>
          </cell>
          <cell r="F544" t="str">
            <v>общепроизводственные расходы</v>
          </cell>
          <cell r="X544">
            <v>63791.67</v>
          </cell>
          <cell r="Y544">
            <v>42527.770000000004</v>
          </cell>
          <cell r="Z544">
            <v>21263.899999999994</v>
          </cell>
          <cell r="AC544">
            <v>36</v>
          </cell>
        </row>
        <row r="545">
          <cell r="A545" t="str">
            <v>Персональный компьютер (ExeGate special, AOS 27")</v>
          </cell>
          <cell r="B545" t="str">
            <v>000001788</v>
          </cell>
          <cell r="C545" t="str">
            <v>ОБЩЕПРОИЗВОДСТВЕННЫЕ РАСХОДЫ</v>
          </cell>
          <cell r="D545" t="str">
            <v>Машины и оборудование (кроме офисного)</v>
          </cell>
          <cell r="E545" t="str">
            <v>31.12.2019</v>
          </cell>
          <cell r="F545" t="str">
            <v>общепроизводственные расходы</v>
          </cell>
          <cell r="X545">
            <v>63791.67</v>
          </cell>
          <cell r="Y545">
            <v>42527.770000000004</v>
          </cell>
          <cell r="Z545">
            <v>21263.899999999994</v>
          </cell>
          <cell r="AC545">
            <v>36</v>
          </cell>
        </row>
        <row r="546">
          <cell r="A546" t="str">
            <v>Персональный компьютер (ExeGate special, AOS 27")</v>
          </cell>
          <cell r="B546" t="str">
            <v>000001789</v>
          </cell>
          <cell r="C546" t="str">
            <v>ОБЩЕПРОИЗВОДСТВЕННЫЕ РАСХОДЫ</v>
          </cell>
          <cell r="D546" t="str">
            <v>Машины и оборудование (кроме офисного)</v>
          </cell>
          <cell r="E546" t="str">
            <v>31.12.2019</v>
          </cell>
          <cell r="F546" t="str">
            <v>общепроизводственные расходы</v>
          </cell>
          <cell r="X546">
            <v>63791.67</v>
          </cell>
          <cell r="Y546">
            <v>42527.770000000004</v>
          </cell>
          <cell r="Z546">
            <v>21263.899999999994</v>
          </cell>
          <cell r="AC546">
            <v>36</v>
          </cell>
        </row>
        <row r="547">
          <cell r="A547" t="str">
            <v>Персональный компьютер (ExeGate special, AOS 27")</v>
          </cell>
          <cell r="B547" t="str">
            <v>000001790</v>
          </cell>
          <cell r="C547" t="str">
            <v>ОБЩЕПРОИЗВОДСТВЕННЫЕ РАСХОДЫ</v>
          </cell>
          <cell r="D547" t="str">
            <v>Машины и оборудование (кроме офисного)</v>
          </cell>
          <cell r="E547" t="str">
            <v>31.12.2019</v>
          </cell>
          <cell r="F547" t="str">
            <v>общепроизводственные расходы</v>
          </cell>
          <cell r="X547">
            <v>63791.67</v>
          </cell>
          <cell r="Y547">
            <v>42527.770000000004</v>
          </cell>
          <cell r="Z547">
            <v>21263.899999999994</v>
          </cell>
          <cell r="AC547">
            <v>36</v>
          </cell>
        </row>
        <row r="548">
          <cell r="A548" t="str">
            <v>Персональный компьютер (ExeGate special, AOS 27")</v>
          </cell>
          <cell r="B548" t="str">
            <v>000001791</v>
          </cell>
          <cell r="C548" t="str">
            <v>ОБЩЕПРОИЗВОДСТВЕННЫЕ РАСХОДЫ</v>
          </cell>
          <cell r="D548" t="str">
            <v>Машины и оборудование (кроме офисного)</v>
          </cell>
          <cell r="E548" t="str">
            <v>31.12.2019</v>
          </cell>
          <cell r="F548" t="str">
            <v>общепроизводственные расходы</v>
          </cell>
          <cell r="X548">
            <v>63791.67</v>
          </cell>
          <cell r="Y548">
            <v>42527.770000000004</v>
          </cell>
          <cell r="Z548">
            <v>21263.899999999994</v>
          </cell>
          <cell r="AC548">
            <v>36</v>
          </cell>
        </row>
        <row r="549">
          <cell r="A549" t="str">
            <v>Персональный компьютер (ExeGate special, AOS 27")</v>
          </cell>
          <cell r="B549" t="str">
            <v>000001792</v>
          </cell>
          <cell r="C549" t="str">
            <v>ОБЩЕПРОИЗВОДСТВЕННЫЕ РАСХОДЫ</v>
          </cell>
          <cell r="D549" t="str">
            <v>Машины и оборудование (кроме офисного)</v>
          </cell>
          <cell r="E549" t="str">
            <v>31.12.2019</v>
          </cell>
          <cell r="F549" t="str">
            <v>общепроизводственные расходы</v>
          </cell>
          <cell r="X549">
            <v>63791.67</v>
          </cell>
          <cell r="Y549">
            <v>42527.770000000004</v>
          </cell>
          <cell r="Z549">
            <v>21263.899999999994</v>
          </cell>
          <cell r="AC549">
            <v>36</v>
          </cell>
        </row>
        <row r="550">
          <cell r="A550" t="str">
            <v>Персональный компьютер (ExeGate special, AOS 27")</v>
          </cell>
          <cell r="B550" t="str">
            <v>000001793</v>
          </cell>
          <cell r="C550" t="str">
            <v>ОБЩЕПРОИЗВОДСТВЕННЫЕ РАСХОДЫ</v>
          </cell>
          <cell r="D550" t="str">
            <v>Машины и оборудование (кроме офисного)</v>
          </cell>
          <cell r="E550" t="str">
            <v>31.12.2019</v>
          </cell>
          <cell r="F550" t="str">
            <v>общепроизводственные расходы</v>
          </cell>
          <cell r="X550">
            <v>63791.67</v>
          </cell>
          <cell r="Y550">
            <v>42527.770000000004</v>
          </cell>
          <cell r="Z550">
            <v>21263.899999999994</v>
          </cell>
          <cell r="AC550">
            <v>36</v>
          </cell>
        </row>
        <row r="551">
          <cell r="A551" t="str">
            <v>Персональный компьютер (ExeGate special, AOS 27")</v>
          </cell>
          <cell r="B551" t="str">
            <v>000001794</v>
          </cell>
          <cell r="C551" t="str">
            <v>ОБЩЕПРОИЗВОДСТВЕННЫЕ РАСХОДЫ</v>
          </cell>
          <cell r="D551" t="str">
            <v>Машины и оборудование (кроме офисного)</v>
          </cell>
          <cell r="E551" t="str">
            <v>31.12.2019</v>
          </cell>
          <cell r="F551" t="str">
            <v>общепроизводственные расходы</v>
          </cell>
          <cell r="X551">
            <v>63791.68</v>
          </cell>
          <cell r="Y551">
            <v>42527.773333333331</v>
          </cell>
          <cell r="Z551">
            <v>21263.906666666669</v>
          </cell>
          <cell r="AC551">
            <v>36</v>
          </cell>
        </row>
        <row r="552">
          <cell r="A552" t="str">
            <v>Персональный компьютер (ExeGate special, AOS 27")</v>
          </cell>
          <cell r="B552" t="str">
            <v>000001795</v>
          </cell>
          <cell r="C552" t="str">
            <v>ОБЩЕПРОИЗВОДСТВЕННЫЕ РАСХОДЫ</v>
          </cell>
          <cell r="D552" t="str">
            <v>Машины и оборудование (кроме офисного)</v>
          </cell>
          <cell r="E552" t="str">
            <v>31.12.2019</v>
          </cell>
          <cell r="F552" t="str">
            <v>общепроизводственные расходы</v>
          </cell>
          <cell r="X552">
            <v>63791.68</v>
          </cell>
          <cell r="Y552">
            <v>42527.773333333331</v>
          </cell>
          <cell r="Z552">
            <v>21263.906666666669</v>
          </cell>
          <cell r="AC552">
            <v>36</v>
          </cell>
        </row>
        <row r="553">
          <cell r="A553" t="str">
            <v>Персональный компьютер (ExeGate, PHILIPS 27")</v>
          </cell>
          <cell r="B553" t="str">
            <v>000001815</v>
          </cell>
          <cell r="C553" t="str">
            <v>ОБЩЕПРОИЗВОДСТВЕННЫЕ РАСХОДЫ</v>
          </cell>
          <cell r="D553" t="str">
            <v>Машины и оборудование (кроме офисного)</v>
          </cell>
          <cell r="E553" t="str">
            <v>18.06.2020</v>
          </cell>
          <cell r="F553" t="str">
            <v>общепроизводственные расходы</v>
          </cell>
          <cell r="X553">
            <v>80975</v>
          </cell>
          <cell r="Y553">
            <v>40487.526666666658</v>
          </cell>
          <cell r="Z553">
            <v>40487.473333333342</v>
          </cell>
          <cell r="AC553">
            <v>36</v>
          </cell>
        </row>
        <row r="554">
          <cell r="A554" t="str">
            <v>Персональный компьютер (ExeGate, PHILIPS 27")</v>
          </cell>
          <cell r="B554" t="str">
            <v>000001816</v>
          </cell>
          <cell r="C554" t="str">
            <v>ОБЩЕПРОИЗВОДСТВЕННЫЕ РАСХОДЫ</v>
          </cell>
          <cell r="D554" t="str">
            <v>Машины и оборудование (кроме офисного)</v>
          </cell>
          <cell r="E554" t="str">
            <v>18.06.2020</v>
          </cell>
          <cell r="F554" t="str">
            <v>общепроизводственные расходы</v>
          </cell>
          <cell r="X554">
            <v>80975</v>
          </cell>
          <cell r="Y554">
            <v>40487.526666666658</v>
          </cell>
          <cell r="Z554">
            <v>40487.473333333342</v>
          </cell>
          <cell r="AC554">
            <v>36</v>
          </cell>
        </row>
        <row r="555">
          <cell r="A555" t="str">
            <v>Персональный компьютер (ExeGate, VIEWSONIK 32")</v>
          </cell>
          <cell r="B555" t="str">
            <v>000001814</v>
          </cell>
          <cell r="C555" t="str">
            <v>ОБЩЕПРОИЗВОДСТВЕННЫЕ РАСХОДЫ</v>
          </cell>
          <cell r="D555" t="str">
            <v>Машины и оборудование (кроме офисного)</v>
          </cell>
          <cell r="E555" t="str">
            <v>18.06.2020</v>
          </cell>
          <cell r="F555" t="str">
            <v>общепроизводственные расходы</v>
          </cell>
          <cell r="X555">
            <v>93033.34</v>
          </cell>
          <cell r="Y555">
            <v>46516.673333333332</v>
          </cell>
          <cell r="Z555">
            <v>46516.666666666664</v>
          </cell>
          <cell r="AC555">
            <v>36</v>
          </cell>
        </row>
        <row r="556">
          <cell r="A556" t="str">
            <v>Персональный компьютер (ПК) с высокой производительностью</v>
          </cell>
          <cell r="B556" t="str">
            <v>000001745</v>
          </cell>
          <cell r="C556" t="str">
            <v>ОБЩЕПРОИЗВОДСТВЕННЫЕ РАСХОДЫ</v>
          </cell>
          <cell r="D556" t="str">
            <v>Машины и оборудование (кроме офисного)</v>
          </cell>
          <cell r="E556" t="str">
            <v>29.10.2018</v>
          </cell>
          <cell r="F556" t="str">
            <v>общепроизводственные расходы</v>
          </cell>
          <cell r="X556">
            <v>68983.05</v>
          </cell>
          <cell r="Y556">
            <v>68983.012499999997</v>
          </cell>
          <cell r="Z556">
            <v>3.7500000005820766E-2</v>
          </cell>
          <cell r="AC556">
            <v>36</v>
          </cell>
        </row>
        <row r="557">
          <cell r="A557" t="str">
            <v>Персональный компьютер (ПК) с высокой производительностью</v>
          </cell>
          <cell r="B557" t="str">
            <v>000001746</v>
          </cell>
          <cell r="C557" t="str">
            <v>ОБЩЕПРОИЗВОДСТВЕННЫЕ РАСХОДЫ</v>
          </cell>
          <cell r="D557" t="str">
            <v>Машины и оборудование (кроме офисного)</v>
          </cell>
          <cell r="E557" t="str">
            <v>29.10.2018</v>
          </cell>
          <cell r="F557" t="str">
            <v>общепроизводственные расходы</v>
          </cell>
          <cell r="X557">
            <v>68983.05</v>
          </cell>
          <cell r="Y557">
            <v>68983.012499999997</v>
          </cell>
          <cell r="Z557">
            <v>3.7500000005820766E-2</v>
          </cell>
          <cell r="AC557">
            <v>36</v>
          </cell>
        </row>
        <row r="558">
          <cell r="A558" t="str">
            <v>Персональный компьютер (ПК) с высокой производительностью</v>
          </cell>
          <cell r="B558" t="str">
            <v>000001747</v>
          </cell>
          <cell r="C558" t="str">
            <v>ОБЩЕПРОИЗВОДСТВЕННЫЕ РАСХОДЫ</v>
          </cell>
          <cell r="D558" t="str">
            <v>Машины и оборудование (кроме офисного)</v>
          </cell>
          <cell r="E558" t="str">
            <v>29.10.2018</v>
          </cell>
          <cell r="F558" t="str">
            <v>общепроизводственные расходы</v>
          </cell>
          <cell r="X558">
            <v>68983.05</v>
          </cell>
          <cell r="Y558">
            <v>68983.012499999997</v>
          </cell>
          <cell r="Z558">
            <v>3.7500000005820766E-2</v>
          </cell>
          <cell r="AC558">
            <v>36</v>
          </cell>
        </row>
        <row r="559">
          <cell r="A559" t="str">
            <v>Персональный компьютер (ПК) с высокой производительностью</v>
          </cell>
          <cell r="B559" t="str">
            <v>000001748</v>
          </cell>
          <cell r="C559" t="str">
            <v>ОБЩЕПРОИЗВОДСТВЕННЫЕ РАСХОДЫ</v>
          </cell>
          <cell r="D559" t="str">
            <v>Машины и оборудование (кроме офисного)</v>
          </cell>
          <cell r="E559" t="str">
            <v>29.10.2018</v>
          </cell>
          <cell r="F559" t="str">
            <v>общепроизводственные расходы</v>
          </cell>
          <cell r="X559">
            <v>68983.05</v>
          </cell>
          <cell r="Y559">
            <v>68983.012499999997</v>
          </cell>
          <cell r="Z559">
            <v>3.7500000005820766E-2</v>
          </cell>
          <cell r="AC559">
            <v>36</v>
          </cell>
        </row>
        <row r="560">
          <cell r="A560" t="str">
            <v>Персональный компьютер (ПК) с высокой производительностью</v>
          </cell>
          <cell r="B560" t="str">
            <v>000001749</v>
          </cell>
          <cell r="C560" t="str">
            <v>ОБЩЕПРОИЗВОДСТВЕННЫЕ РАСХОДЫ</v>
          </cell>
          <cell r="D560" t="str">
            <v>Машины и оборудование (кроме офисного)</v>
          </cell>
          <cell r="E560" t="str">
            <v>29.10.2018</v>
          </cell>
          <cell r="F560" t="str">
            <v>общепроизводственные расходы</v>
          </cell>
          <cell r="X560">
            <v>68983.06</v>
          </cell>
          <cell r="Y560">
            <v>68983.014999999999</v>
          </cell>
          <cell r="Z560">
            <v>4.499999999825377E-2</v>
          </cell>
          <cell r="AC560">
            <v>36</v>
          </cell>
        </row>
        <row r="561">
          <cell r="A561" t="str">
            <v>Персональный компьютер (ПК) с высокой производительностью</v>
          </cell>
          <cell r="B561" t="str">
            <v>000001750</v>
          </cell>
          <cell r="C561" t="str">
            <v>ОБЩЕПРОИЗВОДСТВЕННЫЕ РАСХОДЫ</v>
          </cell>
          <cell r="D561" t="str">
            <v>Машины и оборудование (кроме офисного)</v>
          </cell>
          <cell r="E561" t="str">
            <v>29.10.2018</v>
          </cell>
          <cell r="F561" t="str">
            <v>общепроизводственные расходы</v>
          </cell>
          <cell r="X561">
            <v>68983.06</v>
          </cell>
          <cell r="Y561">
            <v>68983.014999999999</v>
          </cell>
          <cell r="Z561">
            <v>4.499999999825377E-2</v>
          </cell>
          <cell r="AC561">
            <v>36</v>
          </cell>
        </row>
        <row r="562">
          <cell r="A562" t="str">
            <v>Персональный компьютер высокой производительности</v>
          </cell>
          <cell r="B562" t="str">
            <v>000001851</v>
          </cell>
          <cell r="C562" t="str">
            <v>ОБЩЕПРОИЗВОДСТВЕННЫЕ РАСХОДЫ</v>
          </cell>
          <cell r="D562" t="str">
            <v>Машины и оборудование (кроме офисного)</v>
          </cell>
          <cell r="E562" t="str">
            <v>22.06.2021</v>
          </cell>
          <cell r="F562" t="str">
            <v>общепроизводственные расходы</v>
          </cell>
          <cell r="X562">
            <v>84400</v>
          </cell>
          <cell r="Y562">
            <v>14066.666666666668</v>
          </cell>
          <cell r="Z562">
            <v>70333.333333333328</v>
          </cell>
          <cell r="AC562">
            <v>36</v>
          </cell>
        </row>
        <row r="563">
          <cell r="A563" t="str">
            <v>Персональный компьютер высокой производительности</v>
          </cell>
          <cell r="B563" t="str">
            <v>000001859</v>
          </cell>
          <cell r="C563" t="str">
            <v>ОБЩЕПРОИЗВОДСТВЕННЫЕ РАСХОДЫ</v>
          </cell>
          <cell r="D563" t="str">
            <v>Машины и оборудование (кроме офисного)</v>
          </cell>
          <cell r="E563" t="str">
            <v>31.08.2021</v>
          </cell>
          <cell r="F563" t="str">
            <v>общепроизводственные расходы</v>
          </cell>
          <cell r="X563">
            <v>84400</v>
          </cell>
          <cell r="Y563">
            <v>9377.7777777777774</v>
          </cell>
          <cell r="Z563">
            <v>75022.222222222219</v>
          </cell>
          <cell r="AC563">
            <v>36</v>
          </cell>
        </row>
        <row r="564">
          <cell r="A564" t="str">
            <v>Персональный компьютер высокой производительности c 2-мя мониторами</v>
          </cell>
          <cell r="B564" t="str">
            <v>000001850</v>
          </cell>
          <cell r="C564" t="str">
            <v>ОБЩЕПРОИЗВОДСТВЕННЫЕ РАСХОДЫ</v>
          </cell>
          <cell r="D564" t="str">
            <v>Машины и оборудование (кроме офисного)</v>
          </cell>
          <cell r="E564" t="str">
            <v>26.05.2021</v>
          </cell>
          <cell r="F564" t="str">
            <v>общепроизводственные расходы</v>
          </cell>
          <cell r="X564">
            <v>99990</v>
          </cell>
          <cell r="Y564">
            <v>19442.5</v>
          </cell>
          <cell r="Z564">
            <v>80547.5</v>
          </cell>
          <cell r="AC564">
            <v>36</v>
          </cell>
        </row>
        <row r="565">
          <cell r="A565" t="str">
            <v>Перфоратор Makita HR5202C</v>
          </cell>
          <cell r="B565" t="str">
            <v>000001807</v>
          </cell>
          <cell r="C565" t="str">
            <v>ОБЩЕПРОИЗВОДСТВЕННЫЕ РАСХОДЫ</v>
          </cell>
          <cell r="D565" t="str">
            <v>Машины и оборудование (кроме офисного)</v>
          </cell>
          <cell r="E565" t="str">
            <v>16.04.2020</v>
          </cell>
          <cell r="F565" t="str">
            <v>общепроизводственные расходы</v>
          </cell>
          <cell r="Y565">
            <v>34519.964583333327</v>
          </cell>
          <cell r="AC565">
            <v>24</v>
          </cell>
        </row>
        <row r="566">
          <cell r="A566" t="str">
            <v>Пристройка архива к существующему зданию</v>
          </cell>
          <cell r="B566" t="str">
            <v>00001048</v>
          </cell>
          <cell r="C566" t="str">
            <v>ОБЩЕПРОИЗВОДСТВЕННЫЕ РАСХОДЫ</v>
          </cell>
          <cell r="D566" t="str">
            <v>Здания</v>
          </cell>
          <cell r="E566" t="str">
            <v>31.10.2007</v>
          </cell>
          <cell r="F566" t="str">
            <v>Общехозяйственные расходы</v>
          </cell>
          <cell r="X566">
            <v>1011733.62</v>
          </cell>
          <cell r="Y566">
            <v>409999.94</v>
          </cell>
          <cell r="Z566">
            <v>601733.67999999993</v>
          </cell>
          <cell r="AC566">
            <v>300</v>
          </cell>
        </row>
        <row r="567">
          <cell r="A567" t="str">
            <v>Противотаранное устройство при въезде на территорию предприятия</v>
          </cell>
          <cell r="B567" t="str">
            <v>000001860</v>
          </cell>
          <cell r="C567" t="str">
            <v>ОБЩЕПРОИЗВОДСТВЕННЫЕ РАСХОДЫ</v>
          </cell>
          <cell r="D567" t="str">
            <v>Машины и оборудование (кроме офисного)</v>
          </cell>
          <cell r="E567" t="str">
            <v>13.09.2021</v>
          </cell>
          <cell r="X567">
            <v>2359797.04</v>
          </cell>
          <cell r="Y567">
            <v>19664.975333333332</v>
          </cell>
          <cell r="Z567">
            <v>2300802.1140000001</v>
          </cell>
          <cell r="AC567">
            <v>120</v>
          </cell>
        </row>
        <row r="568">
          <cell r="A568" t="str">
            <v>Сетевой сервер DEPO Storm 3300K</v>
          </cell>
          <cell r="B568" t="str">
            <v>00001161</v>
          </cell>
          <cell r="C568" t="str">
            <v>ОБЩЕПРОИЗВОДСТВЕННЫЕ РАСХОДЫ</v>
          </cell>
          <cell r="D568" t="str">
            <v>Машины и оборудование (кроме офисного)</v>
          </cell>
          <cell r="E568" t="str">
            <v>30.06.2010</v>
          </cell>
          <cell r="F568" t="str">
            <v>общепроизводственные расходы</v>
          </cell>
        </row>
        <row r="569">
          <cell r="A569" t="str">
            <v>Система контроля и управления доступом на 4 точки прохода (двери)</v>
          </cell>
          <cell r="B569" t="str">
            <v>000001716</v>
          </cell>
          <cell r="C569" t="str">
            <v>ОБЩЕПРОИЗВОДСТВЕННЫЕ РАСХОДЫ</v>
          </cell>
          <cell r="D569" t="str">
            <v>Машины и оборудование (кроме офисного)</v>
          </cell>
          <cell r="E569" t="str">
            <v>28.02.2018</v>
          </cell>
          <cell r="F569" t="str">
            <v>общепроизводственные расходы</v>
          </cell>
          <cell r="X569">
            <v>98908</v>
          </cell>
          <cell r="Y569">
            <v>34467.836363636365</v>
          </cell>
          <cell r="Z569">
            <v>64440.163636363635</v>
          </cell>
        </row>
        <row r="570">
          <cell r="A570" t="str">
            <v>Система охраны периметра и охранного телевидения</v>
          </cell>
          <cell r="B570" t="str">
            <v>000001712</v>
          </cell>
          <cell r="C570" t="str">
            <v>ОБЩЕПРОИЗВОДСТВЕННЫЕ РАСХОДЫ</v>
          </cell>
          <cell r="D570" t="str">
            <v>Машины и оборудование (кроме офисного)</v>
          </cell>
          <cell r="E570" t="str">
            <v>21.08.2017</v>
          </cell>
          <cell r="F570" t="str">
            <v>общепроизводственные расходы</v>
          </cell>
          <cell r="X570">
            <v>4836509.93</v>
          </cell>
          <cell r="Y570">
            <v>2994029.9899999998</v>
          </cell>
          <cell r="Z570">
            <v>1842479.94</v>
          </cell>
          <cell r="AC570">
            <v>84</v>
          </cell>
        </row>
        <row r="571">
          <cell r="A571" t="str">
            <v>Спутниковое геодезическое оборудование</v>
          </cell>
          <cell r="B571" t="str">
            <v>000001718</v>
          </cell>
          <cell r="C571" t="str">
            <v>ОБЩЕПРОИЗВОДСТВЕННЫЕ РАСХОДЫ</v>
          </cell>
          <cell r="D571" t="str">
            <v>Машины и оборудование (кроме офисного)</v>
          </cell>
          <cell r="E571" t="str">
            <v>03.04.2018</v>
          </cell>
          <cell r="F571" t="str">
            <v>общепроизводственные расходы</v>
          </cell>
          <cell r="X571">
            <v>741762.97</v>
          </cell>
          <cell r="Y571">
            <v>271979.81699999998</v>
          </cell>
          <cell r="Z571">
            <v>469783.15299999999</v>
          </cell>
          <cell r="AC571">
            <v>120</v>
          </cell>
        </row>
        <row r="572">
          <cell r="A572" t="str">
            <v>Стеллаж металлический 5 пролетов</v>
          </cell>
          <cell r="B572" t="str">
            <v>000001821</v>
          </cell>
          <cell r="C572" t="str">
            <v>ОБЩЕПРОИЗВОДСТВЕННЫЕ РАСХОДЫ</v>
          </cell>
          <cell r="D572" t="str">
            <v>Производственный и хозяйственный инвентарь</v>
          </cell>
          <cell r="E572" t="str">
            <v>31.08.2020</v>
          </cell>
          <cell r="F572" t="str">
            <v>общепроизводственные расходы</v>
          </cell>
          <cell r="X572">
            <v>115494.34</v>
          </cell>
          <cell r="Y572">
            <v>10266.182666666666</v>
          </cell>
          <cell r="Z572">
            <v>105228.15733333334</v>
          </cell>
          <cell r="AC572">
            <v>180</v>
          </cell>
        </row>
        <row r="573">
          <cell r="A573" t="str">
            <v>Стеллаж металлический 9 пролетов</v>
          </cell>
          <cell r="B573" t="str">
            <v>000001822</v>
          </cell>
          <cell r="C573" t="str">
            <v>ОБЩЕПРОИЗВОДСТВЕННЫЕ РАСХОДЫ</v>
          </cell>
          <cell r="D573" t="str">
            <v>Производственный и хозяйственный инвентарь</v>
          </cell>
          <cell r="E573" t="str">
            <v>31.08.2020</v>
          </cell>
          <cell r="F573" t="str">
            <v>общепроизводственные расходы</v>
          </cell>
          <cell r="X573">
            <v>160390.26</v>
          </cell>
          <cell r="Y573">
            <v>14256.924000000001</v>
          </cell>
          <cell r="Z573">
            <v>146133.33600000001</v>
          </cell>
          <cell r="AC573">
            <v>180</v>
          </cell>
        </row>
        <row r="574">
          <cell r="A574" t="str">
            <v>Стойка напольная с лотками</v>
          </cell>
          <cell r="B574" t="str">
            <v>000001811</v>
          </cell>
          <cell r="C574" t="str">
            <v>ОБЩЕПРОИЗВОДСТВЕННЫЕ РАСХОДЫ</v>
          </cell>
          <cell r="D574" t="str">
            <v>Производственный и хозяйственный инвентарь</v>
          </cell>
          <cell r="E574" t="str">
            <v>05.06.2020</v>
          </cell>
          <cell r="F574" t="str">
            <v>общепроизводственные расходы</v>
          </cell>
          <cell r="X574">
            <v>40297.269999999997</v>
          </cell>
          <cell r="Y574">
            <v>4029.7046666666656</v>
          </cell>
          <cell r="Z574">
            <v>36267.565333333332</v>
          </cell>
          <cell r="AC574">
            <v>180</v>
          </cell>
        </row>
        <row r="575">
          <cell r="A575" t="str">
            <v>Теодолит электронный ADA DigiTeo 2 в комплекте</v>
          </cell>
          <cell r="B575" t="str">
            <v>000001681</v>
          </cell>
          <cell r="C575" t="str">
            <v>ОБЩЕПРОИЗВОДСТВЕННЫЕ РАСХОДЫ</v>
          </cell>
          <cell r="D575" t="str">
            <v>Машины и оборудование (кроме офисного)</v>
          </cell>
          <cell r="E575" t="str">
            <v>29.04.2016</v>
          </cell>
          <cell r="F575" t="str">
            <v>общепроизводственные расходы</v>
          </cell>
          <cell r="X575">
            <v>74241.69</v>
          </cell>
          <cell r="Y575">
            <v>60100.435714285719</v>
          </cell>
          <cell r="Z575">
            <v>14141.254285714283</v>
          </cell>
          <cell r="AC575">
            <v>84</v>
          </cell>
        </row>
        <row r="576">
          <cell r="A576" t="str">
            <v>Устройство ограждения 2009г 149,5 п.м.</v>
          </cell>
          <cell r="B576" t="str">
            <v>00001151</v>
          </cell>
          <cell r="C576" t="str">
            <v>ОБЩЕПРОИЗВОДСТВЕННЫЕ РАСХОДЫ</v>
          </cell>
          <cell r="D576" t="str">
            <v>Сооружения</v>
          </cell>
          <cell r="E576" t="str">
            <v>30.11.2009</v>
          </cell>
          <cell r="F576" t="str">
            <v>общепроизводственные расходы</v>
          </cell>
          <cell r="X576">
            <v>1190946</v>
          </cell>
          <cell r="Y576">
            <v>1018920.91</v>
          </cell>
          <cell r="Z576">
            <v>172025.08999999997</v>
          </cell>
          <cell r="AC576">
            <v>180</v>
          </cell>
        </row>
        <row r="577">
          <cell r="A577" t="str">
            <v>ЩО 70-3-02 УЗ №1 ТП в районе школы №2</v>
          </cell>
          <cell r="B577" t="str">
            <v>00001105</v>
          </cell>
          <cell r="C577" t="str">
            <v>ОБЩЕПРОИЗВОДСТВЕННЫЕ РАСХОДЫ</v>
          </cell>
          <cell r="D577" t="str">
            <v>Машины и оборудование (кроме офисного)</v>
          </cell>
          <cell r="E577" t="str">
            <v>31.12.2008</v>
          </cell>
          <cell r="F577" t="str">
            <v>Цех электрических сетей</v>
          </cell>
          <cell r="X577">
            <v>25570</v>
          </cell>
          <cell r="Y577">
            <v>22161.306666666667</v>
          </cell>
          <cell r="Z577">
            <v>3408.6933333333327</v>
          </cell>
          <cell r="AC577">
            <v>180</v>
          </cell>
        </row>
        <row r="578">
          <cell r="A578" t="str">
            <v>ОБЩЕХОЗЯЙСТВЕННЫЕ РАСХОДЫ</v>
          </cell>
          <cell r="X578">
            <v>7224965.2799999993</v>
          </cell>
          <cell r="Y578">
            <v>1761521.7648571427</v>
          </cell>
          <cell r="Z578">
            <v>5502773.4658095231</v>
          </cell>
        </row>
        <row r="579">
          <cell r="A579" t="str">
            <v>Балок 2004г</v>
          </cell>
          <cell r="B579" t="str">
            <v>00000702</v>
          </cell>
          <cell r="C579" t="str">
            <v>ОБЩЕХОЗЯЙСТВЕННЫЕ РАСХОДЫ</v>
          </cell>
          <cell r="D579" t="str">
            <v>Здания</v>
          </cell>
          <cell r="E579" t="str">
            <v>30.06.2004</v>
          </cell>
          <cell r="F579" t="str">
            <v>Общехозяйственные расходы</v>
          </cell>
          <cell r="X579">
            <v>147586.91</v>
          </cell>
          <cell r="Y579">
            <v>71696.42</v>
          </cell>
          <cell r="Z579">
            <v>75890.490000000005</v>
          </cell>
          <cell r="AC579">
            <v>120</v>
          </cell>
        </row>
        <row r="580">
          <cell r="A580" t="str">
            <v>Балок Геолог деревянный 1991г</v>
          </cell>
          <cell r="B580" t="str">
            <v>00000052</v>
          </cell>
          <cell r="C580" t="str">
            <v>ОБЩЕХОЗЯЙСТВЕННЫЕ РАСХОДЫ</v>
          </cell>
          <cell r="D580" t="str">
            <v>Здания</v>
          </cell>
          <cell r="E580" t="str">
            <v>01.01.1991</v>
          </cell>
          <cell r="F580" t="str">
            <v>Общехозяйственные расходы</v>
          </cell>
          <cell r="X580">
            <v>135023.92000000001</v>
          </cell>
          <cell r="Y580">
            <v>59133.440000000002</v>
          </cell>
          <cell r="Z580">
            <v>75890.48000000001</v>
          </cell>
          <cell r="AC580">
            <v>120</v>
          </cell>
        </row>
        <row r="581">
          <cell r="A581" t="str">
            <v>Балок Геолог деревянный 1994г.</v>
          </cell>
          <cell r="B581" t="str">
            <v>00000051</v>
          </cell>
          <cell r="C581" t="str">
            <v>ОБЩЕХОЗЯЙСТВЕННЫЕ РАСХОДЫ</v>
          </cell>
          <cell r="D581" t="str">
            <v>Здания</v>
          </cell>
          <cell r="E581" t="str">
            <v>01.01.1994</v>
          </cell>
          <cell r="F581" t="str">
            <v>Общехозяйственные расходы</v>
          </cell>
          <cell r="X581">
            <v>164373.92000000001</v>
          </cell>
          <cell r="Y581">
            <v>88483.44</v>
          </cell>
          <cell r="Z581">
            <v>75890.48000000001</v>
          </cell>
          <cell r="AC581">
            <v>120</v>
          </cell>
        </row>
        <row r="582">
          <cell r="A582" t="str">
            <v>Здание  конторы  1976г.</v>
          </cell>
          <cell r="B582" t="str">
            <v>00000049</v>
          </cell>
          <cell r="C582" t="str">
            <v>ОБЩЕХОЗЯЙСТВЕННЫЕ РАСХОДЫ</v>
          </cell>
          <cell r="D582" t="str">
            <v>Здания</v>
          </cell>
          <cell r="E582" t="str">
            <v>01.01.1995</v>
          </cell>
          <cell r="F582" t="str">
            <v>Общехозяйственные расходы</v>
          </cell>
          <cell r="X582">
            <v>2090658.5</v>
          </cell>
          <cell r="Y582">
            <v>426997.6</v>
          </cell>
          <cell r="Z582">
            <v>1663660.9</v>
          </cell>
          <cell r="AC582">
            <v>480</v>
          </cell>
        </row>
        <row r="583">
          <cell r="A583" t="str">
            <v>Здание конторы  1996г.</v>
          </cell>
          <cell r="B583" t="str">
            <v>00000048</v>
          </cell>
          <cell r="C583" t="str">
            <v>ОБЩЕХОЗЯЙСТВЕННЫЕ РАСХОДЫ</v>
          </cell>
          <cell r="D583" t="str">
            <v>Здания</v>
          </cell>
          <cell r="E583" t="str">
            <v>01.01.1965</v>
          </cell>
          <cell r="F583" t="str">
            <v>Общехозяйственные расходы</v>
          </cell>
          <cell r="X583">
            <v>826047.9</v>
          </cell>
          <cell r="Y583">
            <v>138288.44</v>
          </cell>
          <cell r="Z583">
            <v>687759.46</v>
          </cell>
        </row>
        <row r="584">
          <cell r="A584" t="str">
            <v>Здание операц зала 2006г</v>
          </cell>
          <cell r="B584" t="str">
            <v>00000978</v>
          </cell>
          <cell r="C584" t="str">
            <v>ОБЩЕХОЗЯЙСТВЕННЫЕ РАСХОДЫ</v>
          </cell>
          <cell r="D584" t="str">
            <v>Здания</v>
          </cell>
          <cell r="E584" t="str">
            <v>30.04.2006</v>
          </cell>
          <cell r="F584" t="str">
            <v>Общехозяйственные расходы</v>
          </cell>
          <cell r="X584">
            <v>3591858.71</v>
          </cell>
          <cell r="Y584">
            <v>861525.4</v>
          </cell>
          <cell r="Z584">
            <v>2730333.31</v>
          </cell>
          <cell r="AC584">
            <v>600</v>
          </cell>
        </row>
        <row r="585">
          <cell r="A585" t="str">
            <v>Комплект мебели для бухгалтерии цвет ЛДСП Ясень анкор светлый (1 шкаф;4 стеллажа;5 столов;4 тумбы)</v>
          </cell>
          <cell r="B585" t="str">
            <v>000001882</v>
          </cell>
          <cell r="C585" t="str">
            <v>ОБЩЕХОЗЯЙСТВЕННЫЕ РАСХОДЫ</v>
          </cell>
          <cell r="D585" t="str">
            <v>Производственный и хозяйственный инвентарь</v>
          </cell>
          <cell r="E585">
            <v>44560</v>
          </cell>
          <cell r="F585" t="str">
            <v>Общехозяйственные расходы</v>
          </cell>
          <cell r="X585">
            <v>128890</v>
          </cell>
          <cell r="Z585">
            <v>128890</v>
          </cell>
          <cell r="AC585">
            <v>180</v>
          </cell>
        </row>
        <row r="586">
          <cell r="A586" t="str">
            <v>Шредер Rexel Auto 300X (секр.P-4)</v>
          </cell>
          <cell r="B586" t="str">
            <v>000001726</v>
          </cell>
          <cell r="C586" t="str">
            <v>ОБЩЕХОЗЯЙСТВЕННЫЕ РАСХОДЫ</v>
          </cell>
          <cell r="D586" t="str">
            <v>Офисное оборудование</v>
          </cell>
          <cell r="E586" t="str">
            <v>07.06.2018</v>
          </cell>
          <cell r="F586" t="str">
            <v>Общехозяйственные расходы</v>
          </cell>
          <cell r="X586">
            <v>46966.1</v>
          </cell>
          <cell r="Y586">
            <v>23483.042857142857</v>
          </cell>
          <cell r="Z586">
            <v>23483.057142857142</v>
          </cell>
          <cell r="AC586">
            <v>84</v>
          </cell>
        </row>
        <row r="587">
          <cell r="A587" t="str">
            <v>Система охранно-пожарной сигнализации в помещениях здания бухгалтерии и абонентского отдела ГУП НАО "Нарьян-Марская электростанция"</v>
          </cell>
          <cell r="B587" t="str">
            <v>000001730</v>
          </cell>
          <cell r="C587" t="str">
            <v>ОБЩЕХОЗЯЙСТВЕННЫЕ РАСХОДЫ</v>
          </cell>
          <cell r="D587" t="str">
            <v>Машины и оборудование (кроме офисного)</v>
          </cell>
          <cell r="E587" t="str">
            <v>31.05.2018</v>
          </cell>
          <cell r="F587" t="str">
            <v>Общехозяйственные расходы</v>
          </cell>
          <cell r="X587">
            <v>44969.32</v>
          </cell>
          <cell r="Y587">
            <v>10742.684666666666</v>
          </cell>
          <cell r="Z587">
            <v>34226.635333333332</v>
          </cell>
          <cell r="AC587">
            <v>180</v>
          </cell>
        </row>
        <row r="588">
          <cell r="A588" t="str">
            <v>Кофемашина Krups EA810770 1450Вт</v>
          </cell>
          <cell r="B588" t="str">
            <v>000001768</v>
          </cell>
          <cell r="C588" t="str">
            <v>ОБЩЕХОЗЯЙСТВЕННЫЕ РАСХОДЫ</v>
          </cell>
          <cell r="D588" t="str">
            <v>Машины и оборудование (кроме офисного)</v>
          </cell>
          <cell r="E588" t="str">
            <v>27.05.2019</v>
          </cell>
          <cell r="F588" t="str">
            <v>Общехозяйственные расходы</v>
          </cell>
          <cell r="X588">
            <v>48590</v>
          </cell>
          <cell r="Y588">
            <v>41841.346666666672</v>
          </cell>
          <cell r="Z588">
            <v>6748.6533333333282</v>
          </cell>
          <cell r="AC588">
            <v>36</v>
          </cell>
        </row>
        <row r="589">
          <cell r="A589" t="str">
            <v>Противотаранное устройство при въезде на территорию предприятия</v>
          </cell>
          <cell r="B589" t="str">
            <v>000001860</v>
          </cell>
          <cell r="C589" t="str">
            <v>ОБЩЕХОЗЯЙСТВЕННЫЕ РАСХОДЫ</v>
          </cell>
          <cell r="D589" t="str">
            <v>Машины и оборудование (кроме офисного)</v>
          </cell>
          <cell r="E589" t="str">
            <v>13.09.2021</v>
          </cell>
          <cell r="F589" t="str">
            <v>Общехозяйственные расходы</v>
          </cell>
          <cell r="Y589">
            <v>39329.950666666664</v>
          </cell>
          <cell r="AC589">
            <v>120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-2025УГРЦТ (предп)"/>
      <sheetName val="2024 Предприятие"/>
      <sheetName val="Свод амортизация 2022-2024"/>
      <sheetName val="неучтённые объекты УГРЦ в табл "/>
      <sheetName val="облаг"/>
      <sheetName val="2021 УГРЦТ"/>
      <sheetName val="2021"/>
      <sheetName val="Лист1"/>
      <sheetName val="Имущество 2021"/>
      <sheetName val="2022"/>
      <sheetName val="Запрос ИК"/>
      <sheetName val="Дать пояснен"/>
    </sheetNames>
    <sheetDataSet>
      <sheetData sheetId="0"/>
      <sheetData sheetId="1"/>
      <sheetData sheetId="2"/>
      <sheetData sheetId="3"/>
      <sheetData sheetId="4">
        <row r="2">
          <cell r="B2" t="str">
            <v>00001166</v>
          </cell>
          <cell r="D2">
            <v>1</v>
          </cell>
        </row>
        <row r="3">
          <cell r="B3" t="str">
            <v>00000596</v>
          </cell>
          <cell r="D3">
            <v>1</v>
          </cell>
        </row>
        <row r="4">
          <cell r="B4" t="str">
            <v>00000514</v>
          </cell>
          <cell r="D4">
            <v>1</v>
          </cell>
        </row>
        <row r="5">
          <cell r="B5" t="str">
            <v>00000280</v>
          </cell>
          <cell r="D5">
            <v>1</v>
          </cell>
        </row>
        <row r="6">
          <cell r="B6" t="str">
            <v>000001836</v>
          </cell>
          <cell r="D6">
            <v>1</v>
          </cell>
        </row>
        <row r="7">
          <cell r="B7" t="str">
            <v>00000498</v>
          </cell>
          <cell r="D7">
            <v>1</v>
          </cell>
        </row>
        <row r="8">
          <cell r="B8" t="str">
            <v>00000034</v>
          </cell>
          <cell r="D8">
            <v>1</v>
          </cell>
        </row>
        <row r="9">
          <cell r="B9" t="str">
            <v>00000597</v>
          </cell>
          <cell r="D9">
            <v>1</v>
          </cell>
        </row>
        <row r="10">
          <cell r="B10" t="str">
            <v>000001647</v>
          </cell>
          <cell r="D10">
            <v>1</v>
          </cell>
        </row>
        <row r="11">
          <cell r="B11" t="str">
            <v>000001835</v>
          </cell>
          <cell r="D11">
            <v>1</v>
          </cell>
        </row>
        <row r="12">
          <cell r="B12" t="str">
            <v>000001830</v>
          </cell>
          <cell r="D12">
            <v>1</v>
          </cell>
        </row>
        <row r="13">
          <cell r="B13" t="str">
            <v>000001674</v>
          </cell>
          <cell r="D13">
            <v>1</v>
          </cell>
        </row>
        <row r="14">
          <cell r="B14" t="str">
            <v>000001684</v>
          </cell>
          <cell r="D14">
            <v>1</v>
          </cell>
        </row>
        <row r="15">
          <cell r="B15" t="str">
            <v>000001685</v>
          </cell>
          <cell r="D15">
            <v>1</v>
          </cell>
        </row>
        <row r="16">
          <cell r="B16" t="str">
            <v>000001687</v>
          </cell>
          <cell r="D16">
            <v>1</v>
          </cell>
        </row>
        <row r="17">
          <cell r="B17" t="str">
            <v>000001688</v>
          </cell>
          <cell r="D17">
            <v>1</v>
          </cell>
        </row>
        <row r="18">
          <cell r="B18" t="str">
            <v>000001675</v>
          </cell>
          <cell r="D18">
            <v>1</v>
          </cell>
        </row>
        <row r="19">
          <cell r="B19" t="str">
            <v>000001676</v>
          </cell>
          <cell r="D19">
            <v>1</v>
          </cell>
        </row>
        <row r="20">
          <cell r="B20" t="str">
            <v>000001722</v>
          </cell>
          <cell r="D20">
            <v>1</v>
          </cell>
        </row>
        <row r="21">
          <cell r="B21" t="str">
            <v>000001833</v>
          </cell>
          <cell r="D21">
            <v>1</v>
          </cell>
        </row>
        <row r="22">
          <cell r="B22" t="str">
            <v>000001666</v>
          </cell>
          <cell r="D22">
            <v>1</v>
          </cell>
        </row>
        <row r="23">
          <cell r="B23" t="str">
            <v>00000091</v>
          </cell>
          <cell r="D23">
            <v>1</v>
          </cell>
        </row>
        <row r="24">
          <cell r="B24" t="str">
            <v>00001051</v>
          </cell>
          <cell r="D24">
            <v>1</v>
          </cell>
        </row>
        <row r="25">
          <cell r="B25" t="str">
            <v>00000376</v>
          </cell>
          <cell r="D25">
            <v>1</v>
          </cell>
        </row>
        <row r="26">
          <cell r="B26" t="str">
            <v>000001837</v>
          </cell>
          <cell r="D26">
            <v>1</v>
          </cell>
        </row>
        <row r="27">
          <cell r="B27" t="str">
            <v>00000075</v>
          </cell>
          <cell r="D27">
            <v>1</v>
          </cell>
        </row>
        <row r="28">
          <cell r="B28" t="str">
            <v>000001784</v>
          </cell>
          <cell r="D28">
            <v>1</v>
          </cell>
        </row>
        <row r="29">
          <cell r="B29" t="str">
            <v>000001831</v>
          </cell>
          <cell r="D29">
            <v>1</v>
          </cell>
        </row>
        <row r="30">
          <cell r="B30" t="str">
            <v>000001832</v>
          </cell>
          <cell r="D30">
            <v>1</v>
          </cell>
        </row>
        <row r="31">
          <cell r="B31" t="str">
            <v>000001665</v>
          </cell>
          <cell r="D31">
            <v>1</v>
          </cell>
        </row>
        <row r="32">
          <cell r="B32" t="str">
            <v>00001233</v>
          </cell>
          <cell r="D32">
            <v>1</v>
          </cell>
        </row>
        <row r="33">
          <cell r="B33" t="str">
            <v>00000497</v>
          </cell>
          <cell r="D33">
            <v>1</v>
          </cell>
        </row>
        <row r="34">
          <cell r="B34" t="str">
            <v>000001834</v>
          </cell>
          <cell r="D34">
            <v>1</v>
          </cell>
        </row>
        <row r="35">
          <cell r="B35" t="str">
            <v>000001615</v>
          </cell>
          <cell r="D35">
            <v>1</v>
          </cell>
        </row>
        <row r="36">
          <cell r="B36" t="str">
            <v>000001721</v>
          </cell>
          <cell r="D36">
            <v>1</v>
          </cell>
        </row>
        <row r="37">
          <cell r="B37" t="str">
            <v>000001520</v>
          </cell>
          <cell r="D37">
            <v>1</v>
          </cell>
        </row>
        <row r="38">
          <cell r="B38" t="str">
            <v>00001038</v>
          </cell>
          <cell r="D38">
            <v>1</v>
          </cell>
        </row>
        <row r="39">
          <cell r="B39" t="str">
            <v>00001094</v>
          </cell>
          <cell r="D39">
            <v>1</v>
          </cell>
        </row>
        <row r="40">
          <cell r="B40" t="str">
            <v>00001228</v>
          </cell>
          <cell r="D40">
            <v>1</v>
          </cell>
        </row>
        <row r="41">
          <cell r="B41" t="str">
            <v>00000275</v>
          </cell>
          <cell r="D41">
            <v>1</v>
          </cell>
        </row>
        <row r="42">
          <cell r="B42" t="str">
            <v>00000443</v>
          </cell>
          <cell r="D42">
            <v>1</v>
          </cell>
        </row>
        <row r="43">
          <cell r="B43" t="str">
            <v>00001032</v>
          </cell>
          <cell r="D43">
            <v>1</v>
          </cell>
        </row>
        <row r="44">
          <cell r="B44" t="str">
            <v>000001607</v>
          </cell>
          <cell r="D44">
            <v>1</v>
          </cell>
        </row>
        <row r="45">
          <cell r="B45" t="str">
            <v>000001608</v>
          </cell>
          <cell r="D45">
            <v>1</v>
          </cell>
        </row>
        <row r="46">
          <cell r="B46" t="str">
            <v>00001033</v>
          </cell>
          <cell r="D46">
            <v>1</v>
          </cell>
        </row>
        <row r="47">
          <cell r="B47" t="str">
            <v>00000182</v>
          </cell>
          <cell r="D47">
            <v>1</v>
          </cell>
        </row>
        <row r="48">
          <cell r="B48" t="str">
            <v>000001780</v>
          </cell>
          <cell r="D48">
            <v>1</v>
          </cell>
        </row>
        <row r="49">
          <cell r="B49" t="str">
            <v>00000184</v>
          </cell>
          <cell r="D49">
            <v>1</v>
          </cell>
        </row>
        <row r="50">
          <cell r="B50" t="str">
            <v>00000183</v>
          </cell>
          <cell r="D50">
            <v>1</v>
          </cell>
        </row>
        <row r="51">
          <cell r="B51" t="str">
            <v>00000186</v>
          </cell>
          <cell r="D51">
            <v>1</v>
          </cell>
        </row>
        <row r="52">
          <cell r="B52" t="str">
            <v>00000255</v>
          </cell>
          <cell r="D52">
            <v>1</v>
          </cell>
        </row>
        <row r="53">
          <cell r="B53" t="str">
            <v>000001826</v>
          </cell>
          <cell r="D53">
            <v>1</v>
          </cell>
        </row>
        <row r="54">
          <cell r="B54" t="str">
            <v>00001360</v>
          </cell>
          <cell r="D54">
            <v>1</v>
          </cell>
        </row>
        <row r="55">
          <cell r="B55" t="str">
            <v>000001698</v>
          </cell>
          <cell r="D55">
            <v>1</v>
          </cell>
        </row>
        <row r="56">
          <cell r="B56" t="str">
            <v>00001225</v>
          </cell>
          <cell r="D56">
            <v>1</v>
          </cell>
        </row>
        <row r="57">
          <cell r="B57" t="str">
            <v>000001829</v>
          </cell>
          <cell r="D57">
            <v>1</v>
          </cell>
        </row>
        <row r="58">
          <cell r="B58" t="str">
            <v>000001696</v>
          </cell>
          <cell r="D58">
            <v>1</v>
          </cell>
        </row>
        <row r="59">
          <cell r="B59" t="str">
            <v>000001823</v>
          </cell>
          <cell r="D59">
            <v>1</v>
          </cell>
        </row>
        <row r="60">
          <cell r="B60" t="str">
            <v>000001828</v>
          </cell>
          <cell r="D60">
            <v>1</v>
          </cell>
        </row>
        <row r="61">
          <cell r="B61" t="str">
            <v>000001490</v>
          </cell>
          <cell r="D61">
            <v>1</v>
          </cell>
        </row>
        <row r="62">
          <cell r="B62" t="str">
            <v>00000027</v>
          </cell>
          <cell r="D62">
            <v>1</v>
          </cell>
        </row>
        <row r="63">
          <cell r="B63" t="str">
            <v>00001055</v>
          </cell>
          <cell r="D63">
            <v>1</v>
          </cell>
        </row>
        <row r="64">
          <cell r="B64" t="str">
            <v>00000254</v>
          </cell>
          <cell r="D64">
            <v>1</v>
          </cell>
        </row>
        <row r="65">
          <cell r="B65" t="str">
            <v>00000026</v>
          </cell>
          <cell r="D65">
            <v>1</v>
          </cell>
        </row>
        <row r="66">
          <cell r="B66" t="str">
            <v>000001785</v>
          </cell>
          <cell r="D66">
            <v>1</v>
          </cell>
        </row>
        <row r="67">
          <cell r="B67" t="str">
            <v>00001090</v>
          </cell>
          <cell r="D67">
            <v>1</v>
          </cell>
        </row>
        <row r="68">
          <cell r="B68" t="str">
            <v>00001035</v>
          </cell>
          <cell r="D68">
            <v>1</v>
          </cell>
        </row>
        <row r="69">
          <cell r="B69" t="str">
            <v>00001158</v>
          </cell>
          <cell r="D69">
            <v>1</v>
          </cell>
        </row>
        <row r="70">
          <cell r="B70" t="str">
            <v>00001156</v>
          </cell>
          <cell r="D70">
            <v>1</v>
          </cell>
        </row>
        <row r="71">
          <cell r="B71" t="str">
            <v>00001049</v>
          </cell>
          <cell r="D71">
            <v>1</v>
          </cell>
        </row>
        <row r="72">
          <cell r="B72" t="str">
            <v>00001050</v>
          </cell>
          <cell r="D72">
            <v>1</v>
          </cell>
        </row>
        <row r="73">
          <cell r="B73" t="str">
            <v>000001838</v>
          </cell>
          <cell r="D73">
            <v>1</v>
          </cell>
        </row>
        <row r="74">
          <cell r="B74" t="str">
            <v>00000265</v>
          </cell>
          <cell r="D74">
            <v>1</v>
          </cell>
        </row>
        <row r="75">
          <cell r="B75" t="str">
            <v>00000260</v>
          </cell>
          <cell r="D75">
            <v>1</v>
          </cell>
        </row>
        <row r="76">
          <cell r="B76" t="str">
            <v>00000187</v>
          </cell>
          <cell r="D76">
            <v>1</v>
          </cell>
        </row>
        <row r="77">
          <cell r="B77" t="str">
            <v>00000263</v>
          </cell>
          <cell r="D77">
            <v>1</v>
          </cell>
        </row>
        <row r="78">
          <cell r="B78" t="str">
            <v>00000188</v>
          </cell>
          <cell r="D78">
            <v>1</v>
          </cell>
        </row>
        <row r="79">
          <cell r="B79" t="str">
            <v>00000264</v>
          </cell>
          <cell r="D79">
            <v>1</v>
          </cell>
        </row>
        <row r="80">
          <cell r="B80" t="str">
            <v>00000259</v>
          </cell>
          <cell r="D80">
            <v>1</v>
          </cell>
        </row>
        <row r="81">
          <cell r="B81" t="str">
            <v>000001649</v>
          </cell>
          <cell r="D81">
            <v>1</v>
          </cell>
        </row>
        <row r="82">
          <cell r="B82" t="str">
            <v>000001650</v>
          </cell>
          <cell r="D82">
            <v>1</v>
          </cell>
        </row>
        <row r="83">
          <cell r="B83" t="str">
            <v>000001671</v>
          </cell>
          <cell r="D83">
            <v>1</v>
          </cell>
        </row>
        <row r="84">
          <cell r="B84" t="str">
            <v>00001222</v>
          </cell>
          <cell r="D84">
            <v>1</v>
          </cell>
        </row>
        <row r="85">
          <cell r="B85" t="str">
            <v>00001227</v>
          </cell>
          <cell r="D85">
            <v>1</v>
          </cell>
        </row>
        <row r="86">
          <cell r="B86" t="str">
            <v>000001613</v>
          </cell>
          <cell r="D86">
            <v>1</v>
          </cell>
        </row>
        <row r="87">
          <cell r="B87" t="str">
            <v>000001612</v>
          </cell>
          <cell r="D87">
            <v>1</v>
          </cell>
        </row>
        <row r="88">
          <cell r="B88" t="str">
            <v>00001357</v>
          </cell>
          <cell r="D88">
            <v>1</v>
          </cell>
        </row>
        <row r="89">
          <cell r="B89" t="str">
            <v>00001473</v>
          </cell>
          <cell r="D89">
            <v>1</v>
          </cell>
        </row>
        <row r="90">
          <cell r="B90" t="str">
            <v>000001670</v>
          </cell>
          <cell r="D90">
            <v>1</v>
          </cell>
        </row>
        <row r="91">
          <cell r="B91" t="str">
            <v>000001697</v>
          </cell>
          <cell r="D91">
            <v>1</v>
          </cell>
        </row>
        <row r="92">
          <cell r="B92" t="str">
            <v>00001224</v>
          </cell>
          <cell r="D92">
            <v>1</v>
          </cell>
        </row>
        <row r="93">
          <cell r="B93" t="str">
            <v>000001609</v>
          </cell>
          <cell r="D93">
            <v>1</v>
          </cell>
        </row>
        <row r="94">
          <cell r="B94" t="str">
            <v>000001610</v>
          </cell>
          <cell r="D94">
            <v>1</v>
          </cell>
        </row>
        <row r="95">
          <cell r="B95" t="str">
            <v>000001611</v>
          </cell>
          <cell r="D95">
            <v>1</v>
          </cell>
        </row>
        <row r="96">
          <cell r="B96" t="str">
            <v>000001691</v>
          </cell>
          <cell r="D96">
            <v>1</v>
          </cell>
        </row>
        <row r="97">
          <cell r="B97" t="str">
            <v>000001693</v>
          </cell>
          <cell r="D97">
            <v>1</v>
          </cell>
        </row>
        <row r="98">
          <cell r="B98" t="str">
            <v>000001692</v>
          </cell>
          <cell r="D98">
            <v>1</v>
          </cell>
        </row>
        <row r="99">
          <cell r="B99" t="str">
            <v>000001779</v>
          </cell>
          <cell r="D99">
            <v>1</v>
          </cell>
        </row>
        <row r="100">
          <cell r="B100" t="str">
            <v>000001481</v>
          </cell>
          <cell r="D100">
            <v>1</v>
          </cell>
        </row>
        <row r="101">
          <cell r="B101" t="str">
            <v>000001480</v>
          </cell>
          <cell r="D101">
            <v>1</v>
          </cell>
        </row>
        <row r="102">
          <cell r="B102" t="str">
            <v>000001482</v>
          </cell>
          <cell r="D102">
            <v>1</v>
          </cell>
        </row>
        <row r="103">
          <cell r="B103" t="str">
            <v>000001827</v>
          </cell>
          <cell r="D103">
            <v>1</v>
          </cell>
        </row>
        <row r="104">
          <cell r="B104" t="str">
            <v>000001713</v>
          </cell>
          <cell r="D104">
            <v>1</v>
          </cell>
        </row>
        <row r="105">
          <cell r="B105" t="str">
            <v>000001570</v>
          </cell>
          <cell r="D105">
            <v>1</v>
          </cell>
        </row>
        <row r="106">
          <cell r="B106" t="str">
            <v>000001507</v>
          </cell>
          <cell r="D106">
            <v>1</v>
          </cell>
        </row>
        <row r="107">
          <cell r="B107" t="str">
            <v>00001036</v>
          </cell>
          <cell r="D107">
            <v>1</v>
          </cell>
        </row>
        <row r="108">
          <cell r="B108" t="str">
            <v>00001023</v>
          </cell>
          <cell r="D108">
            <v>1</v>
          </cell>
        </row>
        <row r="109">
          <cell r="B109" t="str">
            <v>000001421</v>
          </cell>
          <cell r="D109">
            <v>1</v>
          </cell>
        </row>
        <row r="110">
          <cell r="B110" t="str">
            <v>00001099</v>
          </cell>
          <cell r="D110">
            <v>1</v>
          </cell>
        </row>
        <row r="111">
          <cell r="B111" t="str">
            <v>00000179</v>
          </cell>
          <cell r="D111">
            <v>1</v>
          </cell>
        </row>
        <row r="112">
          <cell r="B112" t="str">
            <v>000001493</v>
          </cell>
          <cell r="D112">
            <v>1</v>
          </cell>
        </row>
        <row r="113">
          <cell r="B113" t="str">
            <v>00000257</v>
          </cell>
          <cell r="D113">
            <v>1</v>
          </cell>
        </row>
        <row r="114">
          <cell r="B114" t="str">
            <v>00001063</v>
          </cell>
          <cell r="D114">
            <v>1</v>
          </cell>
        </row>
        <row r="115">
          <cell r="B115" t="str">
            <v>00001044</v>
          </cell>
          <cell r="D115">
            <v>1</v>
          </cell>
        </row>
        <row r="116">
          <cell r="B116" t="str">
            <v>00001251</v>
          </cell>
          <cell r="D116">
            <v>1</v>
          </cell>
        </row>
        <row r="117">
          <cell r="B117" t="str">
            <v>00000345</v>
          </cell>
          <cell r="D117">
            <v>1</v>
          </cell>
        </row>
        <row r="118">
          <cell r="B118" t="str">
            <v>00000577</v>
          </cell>
          <cell r="D118">
            <v>1</v>
          </cell>
        </row>
        <row r="119">
          <cell r="B119" t="str">
            <v>00001034</v>
          </cell>
          <cell r="D119">
            <v>1</v>
          </cell>
        </row>
        <row r="120">
          <cell r="B120" t="str">
            <v>000001679</v>
          </cell>
          <cell r="D120">
            <v>1</v>
          </cell>
        </row>
        <row r="121">
          <cell r="B121" t="str">
            <v>000001678</v>
          </cell>
          <cell r="D121">
            <v>1</v>
          </cell>
        </row>
        <row r="122">
          <cell r="B122" t="str">
            <v>00001093</v>
          </cell>
          <cell r="D122">
            <v>1</v>
          </cell>
        </row>
        <row r="123">
          <cell r="B123" t="str">
            <v>000001756</v>
          </cell>
          <cell r="D123">
            <v>1</v>
          </cell>
        </row>
        <row r="124">
          <cell r="B124" t="str">
            <v>000001714</v>
          </cell>
          <cell r="D124">
            <v>1</v>
          </cell>
        </row>
        <row r="125">
          <cell r="B125" t="str">
            <v>000001508</v>
          </cell>
          <cell r="D125">
            <v>1</v>
          </cell>
        </row>
        <row r="126">
          <cell r="B126" t="str">
            <v>000001704</v>
          </cell>
          <cell r="D126">
            <v>1</v>
          </cell>
        </row>
        <row r="127">
          <cell r="B127" t="str">
            <v>000001825</v>
          </cell>
          <cell r="D127">
            <v>1</v>
          </cell>
        </row>
        <row r="128">
          <cell r="B128" t="str">
            <v>000001690</v>
          </cell>
          <cell r="D128">
            <v>1</v>
          </cell>
        </row>
        <row r="129">
          <cell r="B129" t="str">
            <v>000001699</v>
          </cell>
          <cell r="D129">
            <v>1</v>
          </cell>
        </row>
        <row r="130">
          <cell r="B130" t="str">
            <v>00001230</v>
          </cell>
          <cell r="D130">
            <v>1</v>
          </cell>
        </row>
        <row r="131">
          <cell r="B131" t="str">
            <v>00000995</v>
          </cell>
          <cell r="D131">
            <v>1</v>
          </cell>
        </row>
        <row r="132">
          <cell r="B132" t="str">
            <v>00000258</v>
          </cell>
          <cell r="D132">
            <v>1</v>
          </cell>
        </row>
        <row r="133">
          <cell r="B133" t="str">
            <v>000001510</v>
          </cell>
          <cell r="D133">
            <v>1</v>
          </cell>
        </row>
        <row r="134">
          <cell r="B134" t="str">
            <v>00000132</v>
          </cell>
          <cell r="D134">
            <v>1</v>
          </cell>
        </row>
        <row r="135">
          <cell r="B135" t="str">
            <v>00001254</v>
          </cell>
          <cell r="D135">
            <v>1</v>
          </cell>
        </row>
        <row r="136">
          <cell r="B136" t="str">
            <v>00001116</v>
          </cell>
          <cell r="D136">
            <v>1</v>
          </cell>
        </row>
        <row r="137">
          <cell r="B137" t="str">
            <v>00000536</v>
          </cell>
          <cell r="D137">
            <v>1</v>
          </cell>
        </row>
        <row r="138">
          <cell r="B138" t="str">
            <v>00000136</v>
          </cell>
          <cell r="D138">
            <v>1</v>
          </cell>
        </row>
        <row r="139">
          <cell r="B139" t="str">
            <v>00000138</v>
          </cell>
          <cell r="D139">
            <v>1</v>
          </cell>
        </row>
        <row r="140">
          <cell r="B140" t="str">
            <v>00000139</v>
          </cell>
          <cell r="D140">
            <v>1</v>
          </cell>
        </row>
        <row r="141">
          <cell r="B141" t="str">
            <v>00000540</v>
          </cell>
          <cell r="D141">
            <v>1</v>
          </cell>
        </row>
        <row r="142">
          <cell r="B142" t="str">
            <v>00000541</v>
          </cell>
          <cell r="D142">
            <v>1</v>
          </cell>
        </row>
        <row r="143">
          <cell r="B143" t="str">
            <v>00000527</v>
          </cell>
          <cell r="D143">
            <v>1</v>
          </cell>
        </row>
        <row r="144">
          <cell r="B144" t="str">
            <v>00001091</v>
          </cell>
          <cell r="D144">
            <v>1</v>
          </cell>
        </row>
        <row r="145">
          <cell r="B145" t="str">
            <v>00000542</v>
          </cell>
          <cell r="D145">
            <v>1</v>
          </cell>
        </row>
        <row r="146">
          <cell r="B146" t="str">
            <v>00000543</v>
          </cell>
          <cell r="D146">
            <v>1</v>
          </cell>
        </row>
        <row r="147">
          <cell r="B147" t="str">
            <v>000001645</v>
          </cell>
          <cell r="D147">
            <v>1</v>
          </cell>
        </row>
        <row r="148">
          <cell r="B148" t="str">
            <v>00000544</v>
          </cell>
          <cell r="D148">
            <v>1</v>
          </cell>
        </row>
        <row r="149">
          <cell r="B149" t="str">
            <v>000001646</v>
          </cell>
          <cell r="D149">
            <v>1</v>
          </cell>
        </row>
        <row r="150">
          <cell r="B150" t="str">
            <v>00000126</v>
          </cell>
          <cell r="D150">
            <v>1</v>
          </cell>
        </row>
        <row r="151">
          <cell r="B151" t="str">
            <v>00000585</v>
          </cell>
          <cell r="D151">
            <v>1</v>
          </cell>
        </row>
        <row r="152">
          <cell r="B152" t="str">
            <v>00000588</v>
          </cell>
          <cell r="D152">
            <v>1</v>
          </cell>
        </row>
        <row r="153">
          <cell r="B153" t="str">
            <v>00000223</v>
          </cell>
          <cell r="D153">
            <v>1</v>
          </cell>
        </row>
        <row r="154">
          <cell r="B154" t="str">
            <v>00000551</v>
          </cell>
          <cell r="D154">
            <v>1</v>
          </cell>
        </row>
        <row r="155">
          <cell r="B155" t="str">
            <v>00000227</v>
          </cell>
          <cell r="D155">
            <v>1</v>
          </cell>
        </row>
        <row r="156">
          <cell r="B156" t="str">
            <v>00000150</v>
          </cell>
          <cell r="D156">
            <v>1</v>
          </cell>
        </row>
        <row r="157">
          <cell r="B157" t="str">
            <v>00000539</v>
          </cell>
          <cell r="D157">
            <v>1</v>
          </cell>
        </row>
        <row r="158">
          <cell r="B158" t="str">
            <v>00001155</v>
          </cell>
          <cell r="D158">
            <v>1</v>
          </cell>
        </row>
        <row r="159">
          <cell r="B159" t="str">
            <v>00000156</v>
          </cell>
          <cell r="D159">
            <v>1</v>
          </cell>
        </row>
        <row r="160">
          <cell r="B160" t="str">
            <v>000001668</v>
          </cell>
          <cell r="D160">
            <v>1</v>
          </cell>
        </row>
        <row r="161">
          <cell r="B161" t="str">
            <v>00001096</v>
          </cell>
          <cell r="D161">
            <v>1</v>
          </cell>
        </row>
        <row r="162">
          <cell r="B162" t="str">
            <v>00000231</v>
          </cell>
          <cell r="D162">
            <v>1</v>
          </cell>
        </row>
        <row r="163">
          <cell r="B163" t="str">
            <v>00000927</v>
          </cell>
          <cell r="D163">
            <v>1</v>
          </cell>
        </row>
        <row r="164">
          <cell r="B164" t="str">
            <v>00000094</v>
          </cell>
          <cell r="D164">
            <v>1</v>
          </cell>
        </row>
        <row r="165">
          <cell r="B165" t="str">
            <v>00000093</v>
          </cell>
          <cell r="D165">
            <v>1</v>
          </cell>
        </row>
        <row r="166">
          <cell r="B166" t="str">
            <v>00000092</v>
          </cell>
          <cell r="D166">
            <v>1</v>
          </cell>
        </row>
        <row r="167">
          <cell r="B167" t="str">
            <v>00000496</v>
          </cell>
          <cell r="D167">
            <v>1</v>
          </cell>
        </row>
        <row r="168">
          <cell r="B168" t="str">
            <v>00000249</v>
          </cell>
          <cell r="D168">
            <v>1</v>
          </cell>
        </row>
        <row r="169">
          <cell r="B169" t="str">
            <v>00000096</v>
          </cell>
          <cell r="D169">
            <v>1</v>
          </cell>
        </row>
        <row r="170">
          <cell r="B170" t="str">
            <v>00000098</v>
          </cell>
          <cell r="D170">
            <v>1</v>
          </cell>
        </row>
        <row r="171">
          <cell r="B171" t="str">
            <v>00001220</v>
          </cell>
          <cell r="D171">
            <v>1</v>
          </cell>
        </row>
        <row r="172">
          <cell r="B172" t="str">
            <v>00000095</v>
          </cell>
          <cell r="D172">
            <v>1</v>
          </cell>
        </row>
        <row r="173">
          <cell r="B173" t="str">
            <v>00000506</v>
          </cell>
          <cell r="D173">
            <v>1</v>
          </cell>
        </row>
        <row r="174">
          <cell r="B174" t="str">
            <v>00000533</v>
          </cell>
          <cell r="D174">
            <v>1</v>
          </cell>
        </row>
        <row r="175">
          <cell r="B175" t="str">
            <v>00000262</v>
          </cell>
          <cell r="D175">
            <v>1</v>
          </cell>
        </row>
        <row r="176">
          <cell r="B176" t="str">
            <v>00000529</v>
          </cell>
          <cell r="D176">
            <v>1</v>
          </cell>
        </row>
        <row r="177">
          <cell r="B177" t="str">
            <v>00001122</v>
          </cell>
          <cell r="D177">
            <v>1</v>
          </cell>
        </row>
        <row r="178">
          <cell r="B178" t="str">
            <v>00000982</v>
          </cell>
          <cell r="D178">
            <v>1</v>
          </cell>
        </row>
        <row r="179">
          <cell r="B179" t="str">
            <v>00001000</v>
          </cell>
          <cell r="D179">
            <v>1</v>
          </cell>
        </row>
        <row r="180">
          <cell r="B180" t="str">
            <v>00001053</v>
          </cell>
          <cell r="D180">
            <v>1</v>
          </cell>
        </row>
        <row r="181">
          <cell r="B181" t="str">
            <v>00000581</v>
          </cell>
          <cell r="D181">
            <v>1</v>
          </cell>
        </row>
        <row r="182">
          <cell r="B182" t="str">
            <v>00001159</v>
          </cell>
          <cell r="D182">
            <v>1</v>
          </cell>
        </row>
        <row r="183">
          <cell r="B183" t="str">
            <v>00001113</v>
          </cell>
          <cell r="D183">
            <v>1</v>
          </cell>
        </row>
        <row r="184">
          <cell r="B184" t="str">
            <v>000001503</v>
          </cell>
          <cell r="D184">
            <v>1</v>
          </cell>
        </row>
        <row r="185">
          <cell r="B185" t="str">
            <v>00001092</v>
          </cell>
          <cell r="D185">
            <v>1</v>
          </cell>
        </row>
        <row r="186">
          <cell r="B186" t="str">
            <v>00001235</v>
          </cell>
          <cell r="D186">
            <v>1</v>
          </cell>
        </row>
        <row r="187">
          <cell r="B187" t="str">
            <v>00000137</v>
          </cell>
          <cell r="D187">
            <v>1</v>
          </cell>
        </row>
        <row r="188">
          <cell r="B188" t="str">
            <v>000001492</v>
          </cell>
          <cell r="D188">
            <v>1</v>
          </cell>
        </row>
        <row r="189">
          <cell r="B189" t="str">
            <v>000001491</v>
          </cell>
          <cell r="D189">
            <v>1</v>
          </cell>
        </row>
        <row r="190">
          <cell r="B190" t="str">
            <v>00001348</v>
          </cell>
          <cell r="D190">
            <v>1</v>
          </cell>
        </row>
        <row r="191">
          <cell r="B191" t="str">
            <v>000001781</v>
          </cell>
          <cell r="D191">
            <v>1</v>
          </cell>
        </row>
        <row r="192">
          <cell r="B192" t="str">
            <v>00001150</v>
          </cell>
          <cell r="D192">
            <v>1</v>
          </cell>
        </row>
        <row r="193">
          <cell r="B193" t="str">
            <v>000001703</v>
          </cell>
          <cell r="D193">
            <v>1</v>
          </cell>
        </row>
        <row r="194">
          <cell r="B194" t="str">
            <v>000001695</v>
          </cell>
          <cell r="D194">
            <v>1</v>
          </cell>
        </row>
        <row r="195">
          <cell r="B195" t="str">
            <v>000001694</v>
          </cell>
          <cell r="D195">
            <v>1</v>
          </cell>
        </row>
        <row r="196">
          <cell r="B196" t="str">
            <v>000001683</v>
          </cell>
          <cell r="D196">
            <v>1</v>
          </cell>
        </row>
        <row r="197">
          <cell r="B197" t="str">
            <v>000001751</v>
          </cell>
          <cell r="D197">
            <v>1</v>
          </cell>
        </row>
        <row r="198">
          <cell r="B198" t="str">
            <v>000001802</v>
          </cell>
          <cell r="D198">
            <v>1</v>
          </cell>
        </row>
        <row r="199">
          <cell r="B199" t="str">
            <v>00000261</v>
          </cell>
          <cell r="D199">
            <v>1</v>
          </cell>
        </row>
        <row r="200">
          <cell r="B200" t="str">
            <v>00000185</v>
          </cell>
          <cell r="D200">
            <v>1</v>
          </cell>
        </row>
        <row r="201">
          <cell r="B201" t="str">
            <v>00000507</v>
          </cell>
          <cell r="D201">
            <v>1</v>
          </cell>
        </row>
        <row r="202">
          <cell r="B202" t="str">
            <v>00000174</v>
          </cell>
          <cell r="D202">
            <v>1</v>
          </cell>
        </row>
        <row r="203">
          <cell r="B203" t="str">
            <v>00000175</v>
          </cell>
          <cell r="D203">
            <v>1</v>
          </cell>
        </row>
        <row r="204">
          <cell r="B204" t="str">
            <v>000001755</v>
          </cell>
          <cell r="D204">
            <v>1</v>
          </cell>
        </row>
        <row r="205">
          <cell r="B205" t="str">
            <v>000001702</v>
          </cell>
          <cell r="D205">
            <v>1</v>
          </cell>
        </row>
        <row r="206">
          <cell r="B206" t="str">
            <v>000001677</v>
          </cell>
          <cell r="D206">
            <v>1</v>
          </cell>
        </row>
        <row r="207">
          <cell r="B207" t="str">
            <v>00000603</v>
          </cell>
          <cell r="D207">
            <v>1</v>
          </cell>
        </row>
        <row r="208">
          <cell r="B208" t="str">
            <v>00000276</v>
          </cell>
          <cell r="D208">
            <v>1</v>
          </cell>
        </row>
        <row r="209">
          <cell r="B209" t="str">
            <v>00000272</v>
          </cell>
          <cell r="D209">
            <v>1</v>
          </cell>
        </row>
        <row r="210">
          <cell r="B210" t="str">
            <v>000001782</v>
          </cell>
          <cell r="D210">
            <v>1</v>
          </cell>
        </row>
        <row r="211">
          <cell r="B211" t="str">
            <v>000001783</v>
          </cell>
          <cell r="D211">
            <v>1</v>
          </cell>
        </row>
        <row r="212">
          <cell r="B212" t="str">
            <v>00001355</v>
          </cell>
          <cell r="D212">
            <v>1</v>
          </cell>
        </row>
        <row r="213">
          <cell r="B213" t="str">
            <v>00000311</v>
          </cell>
          <cell r="D213">
            <v>1</v>
          </cell>
        </row>
        <row r="214">
          <cell r="B214" t="str">
            <v>00001048</v>
          </cell>
          <cell r="D214">
            <v>1</v>
          </cell>
        </row>
        <row r="215">
          <cell r="B215" t="str">
            <v>00001151</v>
          </cell>
          <cell r="D215">
            <v>1</v>
          </cell>
        </row>
        <row r="216">
          <cell r="B216" t="str">
            <v>00000702</v>
          </cell>
          <cell r="D216">
            <v>1</v>
          </cell>
        </row>
        <row r="217">
          <cell r="B217" t="str">
            <v>00000052</v>
          </cell>
          <cell r="D217">
            <v>1</v>
          </cell>
        </row>
        <row r="218">
          <cell r="B218" t="str">
            <v>00000051</v>
          </cell>
          <cell r="D218">
            <v>1</v>
          </cell>
        </row>
        <row r="219">
          <cell r="B219" t="str">
            <v>00000049</v>
          </cell>
          <cell r="D219">
            <v>1</v>
          </cell>
        </row>
        <row r="220">
          <cell r="B220" t="str">
            <v>00000048</v>
          </cell>
          <cell r="D220">
            <v>1</v>
          </cell>
        </row>
        <row r="221">
          <cell r="B221" t="str">
            <v>00000978</v>
          </cell>
          <cell r="D221">
            <v>1</v>
          </cell>
        </row>
        <row r="222">
          <cell r="B222" t="str">
            <v>000001867</v>
          </cell>
          <cell r="D222">
            <v>1</v>
          </cell>
        </row>
        <row r="223">
          <cell r="B223" t="str">
            <v>000001865</v>
          </cell>
          <cell r="D223">
            <v>1</v>
          </cell>
        </row>
        <row r="224">
          <cell r="B224" t="str">
            <v>000001866</v>
          </cell>
          <cell r="D224">
            <v>1</v>
          </cell>
        </row>
        <row r="225">
          <cell r="B225" t="str">
            <v>000001876</v>
          </cell>
          <cell r="D225">
            <v>1</v>
          </cell>
        </row>
        <row r="226">
          <cell r="B226" t="str">
            <v>000001878</v>
          </cell>
          <cell r="D226">
            <v>1</v>
          </cell>
        </row>
        <row r="227">
          <cell r="B227" t="str">
            <v>000001881</v>
          </cell>
          <cell r="D227">
            <v>1</v>
          </cell>
        </row>
        <row r="228">
          <cell r="B228" t="str">
            <v>000001880</v>
          </cell>
          <cell r="D228">
            <v>1</v>
          </cell>
        </row>
        <row r="229">
          <cell r="B229" t="str">
            <v>000001844</v>
          </cell>
          <cell r="D229">
            <v>1</v>
          </cell>
        </row>
        <row r="230">
          <cell r="B230" t="str">
            <v>000001879</v>
          </cell>
          <cell r="D230">
            <v>1</v>
          </cell>
        </row>
        <row r="231">
          <cell r="B231" t="str">
            <v>000001862</v>
          </cell>
          <cell r="D231">
            <v>1</v>
          </cell>
        </row>
        <row r="232">
          <cell r="B232" t="str">
            <v>000001861</v>
          </cell>
          <cell r="D232">
            <v>1</v>
          </cell>
        </row>
        <row r="233">
          <cell r="B233" t="str">
            <v>000001877</v>
          </cell>
          <cell r="D233">
            <v>1</v>
          </cell>
        </row>
        <row r="234">
          <cell r="B234" t="str">
            <v>000001864</v>
          </cell>
          <cell r="D234">
            <v>1</v>
          </cell>
        </row>
        <row r="235">
          <cell r="B235" t="str">
            <v>000001875</v>
          </cell>
          <cell r="D235">
            <v>1</v>
          </cell>
        </row>
        <row r="236">
          <cell r="B236" t="str">
            <v>000001884</v>
          </cell>
          <cell r="D236">
            <v>1</v>
          </cell>
        </row>
        <row r="237">
          <cell r="B237" t="str">
            <v>000001863</v>
          </cell>
          <cell r="D237">
            <v>1</v>
          </cell>
        </row>
        <row r="238">
          <cell r="B238" t="str">
            <v>000001843</v>
          </cell>
          <cell r="D238">
            <v>1</v>
          </cell>
        </row>
        <row r="239">
          <cell r="B239" t="str">
            <v>000001858</v>
          </cell>
          <cell r="D239">
            <v>1</v>
          </cell>
        </row>
        <row r="240">
          <cell r="B240" t="str">
            <v>000001846</v>
          </cell>
          <cell r="D240">
            <v>1</v>
          </cell>
        </row>
        <row r="241">
          <cell r="B241" t="str">
            <v>000001886</v>
          </cell>
          <cell r="D241">
            <v>1</v>
          </cell>
        </row>
        <row r="242">
          <cell r="B242" t="str">
            <v>000001842</v>
          </cell>
          <cell r="D242">
            <v>1</v>
          </cell>
        </row>
        <row r="243">
          <cell r="B243" t="str">
            <v>000001845</v>
          </cell>
          <cell r="D243">
            <v>1</v>
          </cell>
        </row>
        <row r="244">
          <cell r="B244" t="str">
            <v>000001887</v>
          </cell>
          <cell r="D244">
            <v>1</v>
          </cell>
        </row>
        <row r="245">
          <cell r="B245" t="str">
            <v>000001889</v>
          </cell>
          <cell r="D245">
            <v>1</v>
          </cell>
        </row>
        <row r="246">
          <cell r="B246" t="str">
            <v>000001888</v>
          </cell>
          <cell r="D246">
            <v>1</v>
          </cell>
        </row>
        <row r="247">
          <cell r="B247" t="str">
            <v>000001873</v>
          </cell>
          <cell r="D247">
            <v>1</v>
          </cell>
        </row>
        <row r="248">
          <cell r="B248" t="str">
            <v>000001848</v>
          </cell>
          <cell r="D248">
            <v>1</v>
          </cell>
        </row>
        <row r="249">
          <cell r="B249" t="str">
            <v>000001847</v>
          </cell>
          <cell r="D249">
            <v>1</v>
          </cell>
        </row>
        <row r="250">
          <cell r="B250" t="str">
            <v>000001849</v>
          </cell>
          <cell r="D250">
            <v>1</v>
          </cell>
        </row>
        <row r="251">
          <cell r="B251" t="str">
            <v>000001906</v>
          </cell>
          <cell r="D251">
            <v>1</v>
          </cell>
        </row>
        <row r="252">
          <cell r="B252" t="str">
            <v>000001907</v>
          </cell>
          <cell r="D252">
            <v>1</v>
          </cell>
        </row>
        <row r="253">
          <cell r="B253" t="str">
            <v>000001908</v>
          </cell>
          <cell r="D253">
            <v>1</v>
          </cell>
        </row>
        <row r="254">
          <cell r="B254" t="str">
            <v>000001903</v>
          </cell>
          <cell r="D254">
            <v>1</v>
          </cell>
        </row>
        <row r="255">
          <cell r="B255" t="str">
            <v>000001909</v>
          </cell>
          <cell r="D255">
            <v>1</v>
          </cell>
        </row>
        <row r="256">
          <cell r="B256" t="str">
            <v>000001910</v>
          </cell>
          <cell r="D256">
            <v>1</v>
          </cell>
        </row>
        <row r="257">
          <cell r="B257" t="str">
            <v>000001911</v>
          </cell>
          <cell r="D257">
            <v>1</v>
          </cell>
        </row>
        <row r="258">
          <cell r="B258" t="str">
            <v>000001898</v>
          </cell>
          <cell r="D258">
            <v>1</v>
          </cell>
        </row>
        <row r="259">
          <cell r="B259" t="str">
            <v>000001905</v>
          </cell>
          <cell r="D259">
            <v>1</v>
          </cell>
        </row>
      </sheetData>
      <sheetData sheetId="5">
        <row r="7">
          <cell r="A7" t="str">
            <v>2 очередь реконст. электрост. Здание ГТЭС-18 2010г</v>
          </cell>
          <cell r="B7" t="str">
            <v>00001166</v>
          </cell>
          <cell r="C7" t="str">
            <v>ПРОИЗВОДСТВО</v>
          </cell>
          <cell r="D7" t="str">
            <v>Здания</v>
          </cell>
          <cell r="E7" t="str">
            <v>31.03.2010</v>
          </cell>
          <cell r="F7" t="str">
            <v>Газотурбинный цех</v>
          </cell>
          <cell r="AC7">
            <v>600</v>
          </cell>
        </row>
        <row r="8">
          <cell r="A8" t="str">
            <v>3х-фазный т/огр РТСТГ-10-250-0,025 УЗ №2</v>
          </cell>
          <cell r="B8" t="str">
            <v>00001173</v>
          </cell>
          <cell r="C8" t="str">
            <v>ПРОИЗВОДСТВО</v>
          </cell>
          <cell r="D8" t="str">
            <v>Машины и оборудование (кроме офисного)</v>
          </cell>
          <cell r="E8" t="str">
            <v>31.03.2010</v>
          </cell>
          <cell r="F8" t="str">
            <v>Газотурбинный цех</v>
          </cell>
          <cell r="AC8">
            <v>240</v>
          </cell>
        </row>
        <row r="9">
          <cell r="A9" t="str">
            <v>3х-фазный т/огр РТСТГ-10-250-0,025УЗ №1</v>
          </cell>
          <cell r="B9" t="str">
            <v>00001172</v>
          </cell>
          <cell r="C9" t="str">
            <v>ПРОИЗВОДСТВО</v>
          </cell>
          <cell r="D9" t="str">
            <v>Машины и оборудование (кроме офисного)</v>
          </cell>
          <cell r="E9" t="str">
            <v>31.03.2010</v>
          </cell>
          <cell r="F9" t="str">
            <v>Газотурбинный цех</v>
          </cell>
          <cell r="AC9">
            <v>240</v>
          </cell>
        </row>
        <row r="10">
          <cell r="A10" t="str">
            <v>TIP-HOL-MT-7 - Универсальный монитор-тестер AHD/CVI/TVI/CVBS/SDI и IP-видеосистем</v>
          </cell>
          <cell r="B10" t="str">
            <v>000001855</v>
          </cell>
          <cell r="C10" t="str">
            <v>ПРОИЗВОДСТВО</v>
          </cell>
          <cell r="D10" t="str">
            <v>Машины и оборудование (кроме офисного)</v>
          </cell>
          <cell r="E10" t="str">
            <v>23.06.2021</v>
          </cell>
          <cell r="F10" t="str">
            <v>Электрический цех</v>
          </cell>
          <cell r="X10">
            <v>82366.67</v>
          </cell>
          <cell r="Y10">
            <v>5883.3335714285713</v>
          </cell>
          <cell r="Z10">
            <v>76483.336428571434</v>
          </cell>
          <cell r="AC10">
            <v>84</v>
          </cell>
        </row>
        <row r="11">
          <cell r="A11" t="str">
            <v>Аппарат для испытания масла "ВОЛНА-АИМ90В"</v>
          </cell>
          <cell r="B11" t="str">
            <v>000001705</v>
          </cell>
          <cell r="C11" t="str">
            <v>ПРОИЗВОДСТВО</v>
          </cell>
          <cell r="D11" t="str">
            <v>Машины и оборудование (кроме офисного)</v>
          </cell>
          <cell r="E11" t="str">
            <v>18.07.2017</v>
          </cell>
          <cell r="F11" t="str">
            <v>Электрический цех</v>
          </cell>
          <cell r="X11">
            <v>142372.88</v>
          </cell>
          <cell r="Y11">
            <v>62881.328000000001</v>
          </cell>
          <cell r="Z11">
            <v>79491.551999999996</v>
          </cell>
          <cell r="AC11">
            <v>120</v>
          </cell>
        </row>
        <row r="12">
          <cell r="A12" t="str">
            <v>Аппаратура виброконтроля СВКА 1-2-06</v>
          </cell>
          <cell r="B12" t="str">
            <v>000001824</v>
          </cell>
          <cell r="C12" t="str">
            <v>ПРОИЗВОДСТВО</v>
          </cell>
          <cell r="D12" t="str">
            <v>Машины и оборудование (кроме офисного)</v>
          </cell>
          <cell r="E12" t="str">
            <v>02.11.2020</v>
          </cell>
          <cell r="F12" t="str">
            <v>Газотурбинный цех</v>
          </cell>
          <cell r="X12">
            <v>821895</v>
          </cell>
          <cell r="Y12">
            <v>127198.03142857147</v>
          </cell>
          <cell r="Z12">
            <v>694696.96857142856</v>
          </cell>
          <cell r="AC12">
            <v>84</v>
          </cell>
        </row>
        <row r="13">
          <cell r="A13" t="str">
            <v>Блок управления БУШ ДГ-011 №960811011058</v>
          </cell>
          <cell r="B13" t="str">
            <v>00001378</v>
          </cell>
          <cell r="C13" t="str">
            <v>ПРОИЗВОДСТВО</v>
          </cell>
          <cell r="D13" t="str">
            <v>Машины и оборудование (кроме офисного)</v>
          </cell>
          <cell r="E13" t="str">
            <v>18.10.2011</v>
          </cell>
          <cell r="F13" t="str">
            <v>Газотурбинный цех</v>
          </cell>
          <cell r="X13">
            <v>315000</v>
          </cell>
          <cell r="Y13">
            <v>315000</v>
          </cell>
          <cell r="Z13">
            <v>0</v>
          </cell>
          <cell r="AC13">
            <v>120</v>
          </cell>
        </row>
        <row r="14">
          <cell r="A14" t="str">
            <v>Видеоэндоскоп jProbe VJ-ADV, диаметр рабочей части 6,9 мм, длин. зонда -3м</v>
          </cell>
          <cell r="B14" t="str">
            <v>000001640</v>
          </cell>
          <cell r="C14" t="str">
            <v>ПРОИЗВОДСТВО</v>
          </cell>
          <cell r="D14" t="str">
            <v>Машины и оборудование (кроме офисного)</v>
          </cell>
          <cell r="E14" t="str">
            <v>31.07.2014</v>
          </cell>
          <cell r="F14" t="str">
            <v>Газотурбинный цех</v>
          </cell>
          <cell r="X14">
            <v>338983.05</v>
          </cell>
          <cell r="Y14">
            <v>338983.05</v>
          </cell>
          <cell r="Z14">
            <v>0</v>
          </cell>
          <cell r="AC14">
            <v>84</v>
          </cell>
        </row>
        <row r="15">
          <cell r="A15" t="str">
            <v>Воздушная линия 0,4 кВ (ТУ 487 от 02.07.20)</v>
          </cell>
          <cell r="B15" t="str">
            <v>000001867</v>
          </cell>
          <cell r="C15" t="str">
            <v>ПРОИЗВОДСТВО</v>
          </cell>
          <cell r="D15" t="str">
            <v>Сооружения</v>
          </cell>
          <cell r="E15" t="str">
            <v>21.10.2021</v>
          </cell>
          <cell r="F15" t="str">
            <v>ДЭС п.Красное</v>
          </cell>
          <cell r="X15">
            <v>205964.57</v>
          </cell>
          <cell r="Y15">
            <v>858.18570833333331</v>
          </cell>
          <cell r="Z15">
            <v>205106.38429166668</v>
          </cell>
          <cell r="AC15">
            <v>480</v>
          </cell>
        </row>
        <row r="16">
          <cell r="A16" t="str">
            <v>Вольтамперфазометр РЕТОМЕТР-М2 (НПП "ДИНАМИКА")</v>
          </cell>
          <cell r="B16" t="str">
            <v>000001719</v>
          </cell>
          <cell r="C16" t="str">
            <v>ПРОИЗВОДСТВО</v>
          </cell>
          <cell r="D16" t="str">
            <v>Машины и оборудование (кроме офисного)</v>
          </cell>
          <cell r="E16" t="str">
            <v>28.04.2018</v>
          </cell>
          <cell r="F16" t="str">
            <v>Электрический цех</v>
          </cell>
          <cell r="X16">
            <v>63431.72</v>
          </cell>
          <cell r="Y16">
            <v>46516.743999999999</v>
          </cell>
          <cell r="Z16">
            <v>16914.976000000002</v>
          </cell>
          <cell r="AC16">
            <v>60</v>
          </cell>
        </row>
        <row r="17">
          <cell r="A17" t="str">
            <v>Выпрямитель для стац аккум установок №1</v>
          </cell>
          <cell r="B17" t="str">
            <v>00001177</v>
          </cell>
          <cell r="C17" t="str">
            <v>ПРОИЗВОДСТВО</v>
          </cell>
          <cell r="D17" t="str">
            <v>Машины и оборудование (кроме офисного)</v>
          </cell>
          <cell r="E17" t="str">
            <v>31.03.2010</v>
          </cell>
          <cell r="F17" t="str">
            <v>Газотурбинный цех</v>
          </cell>
          <cell r="AC17">
            <v>240</v>
          </cell>
        </row>
        <row r="18">
          <cell r="A18" t="str">
            <v>Выпрямитель для стац аккум установок №2</v>
          </cell>
          <cell r="B18" t="str">
            <v>00001178</v>
          </cell>
          <cell r="C18" t="str">
            <v>ПРОИЗВОДСТВО</v>
          </cell>
          <cell r="D18" t="str">
            <v>Машины и оборудование (кроме офисного)</v>
          </cell>
          <cell r="E18" t="str">
            <v>31.03.2010</v>
          </cell>
          <cell r="F18" t="str">
            <v>Газотурбинный цех</v>
          </cell>
          <cell r="AC18">
            <v>240</v>
          </cell>
        </row>
        <row r="19">
          <cell r="A19" t="str">
            <v>Высоковольтная установка для испытания кабелей из сшитого полиэтилена (СПЭ) повышенным напряжением сверхнизкой частоты (СНЧ/VLF) АИСТ СНЧ 36</v>
          </cell>
          <cell r="B19" t="str">
            <v>000001818</v>
          </cell>
          <cell r="C19" t="str">
            <v>ПРОИЗВОДСТВО</v>
          </cell>
          <cell r="D19" t="str">
            <v>Машины и оборудование (кроме офисного)</v>
          </cell>
          <cell r="E19" t="str">
            <v>29.06.2020</v>
          </cell>
          <cell r="F19" t="str">
            <v>Электрический цех</v>
          </cell>
          <cell r="X19">
            <v>564250</v>
          </cell>
          <cell r="Y19">
            <v>120910.70285714288</v>
          </cell>
          <cell r="Z19">
            <v>443339.2971428571</v>
          </cell>
          <cell r="AC19">
            <v>84</v>
          </cell>
        </row>
        <row r="20">
          <cell r="A20" t="str">
            <v>Газоанализатор СГОЭС (метан)</v>
          </cell>
          <cell r="B20" t="str">
            <v>000001757</v>
          </cell>
          <cell r="C20" t="str">
            <v>ПРОИЗВОДСТВО</v>
          </cell>
          <cell r="D20" t="str">
            <v>Машины и оборудование (кроме офисного)</v>
          </cell>
          <cell r="E20" t="str">
            <v>27.02.2019</v>
          </cell>
          <cell r="F20" t="str">
            <v>Газотурбинный цех</v>
          </cell>
          <cell r="X20">
            <v>71300</v>
          </cell>
          <cell r="Y20">
            <v>40403.26</v>
          </cell>
          <cell r="Z20">
            <v>30896.739999999998</v>
          </cell>
          <cell r="AC20">
            <v>60</v>
          </cell>
        </row>
        <row r="21">
          <cell r="A21" t="str">
            <v>Газоанализатор СГОЭС метан ЖСКФ</v>
          </cell>
          <cell r="B21" t="str">
            <v>000001744</v>
          </cell>
          <cell r="C21" t="str">
            <v>ПРОИЗВОДСТВО</v>
          </cell>
          <cell r="D21" t="str">
            <v>Машины и оборудование (кроме офисного)</v>
          </cell>
          <cell r="E21" t="str">
            <v>28.08.2018</v>
          </cell>
          <cell r="F21" t="str">
            <v>Газотурбинный цех</v>
          </cell>
          <cell r="X21">
            <v>120511.36</v>
          </cell>
          <cell r="Y21">
            <v>80340.832000000009</v>
          </cell>
          <cell r="Z21">
            <v>40170.527999999991</v>
          </cell>
          <cell r="AC21">
            <v>60</v>
          </cell>
        </row>
        <row r="22">
          <cell r="A22" t="str">
            <v>Газон 600 м2  в районе ГТЭС-18</v>
          </cell>
          <cell r="B22" t="str">
            <v>00001147</v>
          </cell>
          <cell r="C22" t="str">
            <v>ПРОИЗВОДСТВО</v>
          </cell>
          <cell r="D22" t="str">
            <v>Машины и оборудование (кроме офисного)</v>
          </cell>
          <cell r="E22" t="str">
            <v>30.10.2009</v>
          </cell>
          <cell r="F22" t="str">
            <v>Газотурбинный цех</v>
          </cell>
          <cell r="X22">
            <v>325875.88</v>
          </cell>
          <cell r="Y22">
            <v>325875.88</v>
          </cell>
          <cell r="AC22">
            <v>60</v>
          </cell>
        </row>
        <row r="23">
          <cell r="A23" t="str">
            <v>Газон в районе основного здания</v>
          </cell>
          <cell r="B23" t="str">
            <v>00001236</v>
          </cell>
          <cell r="C23" t="str">
            <v>ПРОИЗВОДСТВО</v>
          </cell>
          <cell r="D23" t="str">
            <v>Машины и оборудование (кроме офисного)</v>
          </cell>
          <cell r="E23" t="str">
            <v>10.10.2010</v>
          </cell>
          <cell r="F23" t="str">
            <v>Тепломеханический цех</v>
          </cell>
          <cell r="X23">
            <v>33100</v>
          </cell>
          <cell r="Y23">
            <v>33100</v>
          </cell>
          <cell r="AC23">
            <v>60</v>
          </cell>
        </row>
        <row r="24">
          <cell r="A24" t="str">
            <v>Газопровод выс. давления(наружный) 2003г</v>
          </cell>
          <cell r="B24" t="str">
            <v>00000596</v>
          </cell>
          <cell r="C24" t="str">
            <v>ПРОИЗВОДСТВО</v>
          </cell>
          <cell r="D24" t="str">
            <v>Сооружения</v>
          </cell>
          <cell r="E24" t="str">
            <v>01.10.2003</v>
          </cell>
          <cell r="F24" t="str">
            <v>Газотурбинный цех</v>
          </cell>
          <cell r="AC24">
            <v>300</v>
          </cell>
        </row>
        <row r="25">
          <cell r="A25" t="str">
            <v>Газотурбинный агрегат ГТА-6РМ №1</v>
          </cell>
          <cell r="B25" t="str">
            <v>00001168</v>
          </cell>
          <cell r="C25" t="str">
            <v>ПРОИЗВОДСТВО</v>
          </cell>
          <cell r="D25" t="str">
            <v>Машины и оборудование (кроме офисного)</v>
          </cell>
          <cell r="E25" t="str">
            <v>31.03.2010</v>
          </cell>
          <cell r="F25" t="str">
            <v>Газотурбинный цех</v>
          </cell>
          <cell r="AC25">
            <v>180</v>
          </cell>
        </row>
        <row r="26">
          <cell r="A26" t="str">
            <v>Газотурбинный агрегат ГТА-6РМ №1</v>
          </cell>
          <cell r="C26" t="str">
            <v>ПРОИЗВОДСТВО</v>
          </cell>
          <cell r="D26" t="str">
            <v>Машины и оборудование (кроме офисного)</v>
          </cell>
          <cell r="F26" t="str">
            <v>Газотурбинный цех</v>
          </cell>
          <cell r="X26">
            <v>37399701.020000003</v>
          </cell>
          <cell r="Y26">
            <v>29415400.995200001</v>
          </cell>
          <cell r="Z26">
            <v>7984300.0248000035</v>
          </cell>
          <cell r="AC26">
            <v>100</v>
          </cell>
        </row>
        <row r="27">
          <cell r="A27" t="str">
            <v>Газотурбинный агрегат ГТА-6РМ №2</v>
          </cell>
          <cell r="B27" t="str">
            <v>00001169</v>
          </cell>
          <cell r="C27" t="str">
            <v>ПРОИЗВОДСТВО</v>
          </cell>
          <cell r="D27" t="str">
            <v>Машины и оборудование (кроме офисного)</v>
          </cell>
          <cell r="E27" t="str">
            <v>31.03.2010</v>
          </cell>
          <cell r="F27" t="str">
            <v>Газотурбинный цех</v>
          </cell>
          <cell r="AC27">
            <v>180</v>
          </cell>
        </row>
        <row r="28">
          <cell r="A28" t="str">
            <v>Газотурбинный агрегат ГТА-6РМ №2</v>
          </cell>
          <cell r="C28" t="str">
            <v>ПРОИЗВОДСТВО</v>
          </cell>
          <cell r="D28" t="str">
            <v>Машины и оборудование (кроме офисного)</v>
          </cell>
          <cell r="F28" t="str">
            <v>Газотурбинный цех</v>
          </cell>
          <cell r="X28">
            <v>37399701.020000003</v>
          </cell>
          <cell r="Y28">
            <v>29415400.995200001</v>
          </cell>
          <cell r="Z28">
            <v>7984300.0248000035</v>
          </cell>
          <cell r="AC28">
            <v>100</v>
          </cell>
          <cell r="AG28">
            <v>80649.5</v>
          </cell>
        </row>
        <row r="29">
          <cell r="A29" t="str">
            <v>Газотурбинный агрегат ГТА-6РМ №3</v>
          </cell>
          <cell r="B29" t="str">
            <v>00001170</v>
          </cell>
          <cell r="C29" t="str">
            <v>ПРОИЗВОДСТВО</v>
          </cell>
          <cell r="D29" t="str">
            <v>Машины и оборудование (кроме офисного)</v>
          </cell>
          <cell r="E29" t="str">
            <v>31.03.2010</v>
          </cell>
          <cell r="F29" t="str">
            <v>Газотурбинный цех</v>
          </cell>
          <cell r="AC29">
            <v>180</v>
          </cell>
        </row>
        <row r="30">
          <cell r="A30" t="str">
            <v>Газотурбинный агрегат ГТА-6РМ №3</v>
          </cell>
          <cell r="C30" t="str">
            <v>ПРОИЗВОДСТВО</v>
          </cell>
          <cell r="D30" t="str">
            <v>Машины и оборудование (кроме офисного)</v>
          </cell>
          <cell r="F30" t="str">
            <v>Газотурбинный цех</v>
          </cell>
          <cell r="X30">
            <v>37140694.240000002</v>
          </cell>
          <cell r="Y30">
            <v>28969741.476400003</v>
          </cell>
          <cell r="Z30">
            <v>8170952.7636000002</v>
          </cell>
          <cell r="AC30">
            <v>100</v>
          </cell>
        </row>
        <row r="31">
          <cell r="A31" t="str">
            <v>Гараж на 5 машин  1989г</v>
          </cell>
          <cell r="B31" t="str">
            <v>00000514</v>
          </cell>
          <cell r="C31" t="str">
            <v>ПРОИЗВОДСТВО</v>
          </cell>
          <cell r="D31" t="str">
            <v>Здания</v>
          </cell>
          <cell r="E31" t="str">
            <v>31.12.2003</v>
          </cell>
          <cell r="F31" t="str">
            <v>Тепломеханический цех</v>
          </cell>
          <cell r="X31">
            <v>1449374.74</v>
          </cell>
          <cell r="Y31">
            <v>536104.95999999996</v>
          </cell>
          <cell r="Z31">
            <v>913269.78</v>
          </cell>
          <cell r="AC31">
            <v>480</v>
          </cell>
        </row>
        <row r="32">
          <cell r="A32" t="str">
            <v>Градирня (бассейн)</v>
          </cell>
          <cell r="B32" t="str">
            <v>00000280</v>
          </cell>
          <cell r="C32" t="str">
            <v>ПРОИЗВОДСТВО</v>
          </cell>
          <cell r="D32" t="str">
            <v>Сооружения</v>
          </cell>
          <cell r="E32" t="str">
            <v>30.01.1974</v>
          </cell>
          <cell r="F32" t="str">
            <v>Тепломеханический цех</v>
          </cell>
          <cell r="X32">
            <v>191276.19</v>
          </cell>
          <cell r="Y32">
            <v>159145.69999999998</v>
          </cell>
          <cell r="Z32">
            <v>32130.49000000002</v>
          </cell>
          <cell r="AC32">
            <v>600</v>
          </cell>
        </row>
        <row r="33">
          <cell r="A33" t="str">
            <v>ГТА-6 РМ №1 (газотурбинная энергетич установка)</v>
          </cell>
          <cell r="B33" t="str">
            <v>00000505</v>
          </cell>
          <cell r="C33" t="str">
            <v>ПРОИЗВОДСТВО</v>
          </cell>
          <cell r="D33" t="str">
            <v>Машины и оборудование (кроме офисного)</v>
          </cell>
          <cell r="E33" t="str">
            <v>30.09.2005</v>
          </cell>
          <cell r="F33" t="str">
            <v>Газотурбинный цех</v>
          </cell>
          <cell r="X33">
            <v>30784100.07</v>
          </cell>
          <cell r="Y33">
            <v>27031031.52</v>
          </cell>
          <cell r="Z33">
            <v>3753068.5500000007</v>
          </cell>
          <cell r="AC33">
            <v>132</v>
          </cell>
        </row>
        <row r="34">
          <cell r="A34" t="str">
            <v>ГТА-6РМ №2</v>
          </cell>
          <cell r="B34" t="str">
            <v>00000534</v>
          </cell>
          <cell r="C34" t="str">
            <v>ПРОИЗВОДСТВО</v>
          </cell>
          <cell r="D34" t="str">
            <v>Машины и оборудование (кроме офисного)</v>
          </cell>
          <cell r="E34" t="str">
            <v>30.09.2005</v>
          </cell>
          <cell r="F34" t="str">
            <v>Газотурбинный цех</v>
          </cell>
          <cell r="X34">
            <v>30784121.07</v>
          </cell>
          <cell r="Y34">
            <v>27031043.629999999</v>
          </cell>
          <cell r="Z34">
            <v>3753077.4400000013</v>
          </cell>
          <cell r="AC34">
            <v>132</v>
          </cell>
        </row>
        <row r="35">
          <cell r="A35" t="str">
            <v>Двигатель газотурбинный резервный ГТД-6/РМ (2007г)</v>
          </cell>
          <cell r="B35" t="str">
            <v>00001025</v>
          </cell>
          <cell r="C35" t="str">
            <v>ПРОИЗВОДСТВО</v>
          </cell>
          <cell r="D35" t="str">
            <v>Машины и оборудование (кроме офисного)</v>
          </cell>
          <cell r="E35" t="str">
            <v>28.02.2007</v>
          </cell>
          <cell r="F35" t="str">
            <v>Газотурбинный цех</v>
          </cell>
          <cell r="X35">
            <v>26107350.57</v>
          </cell>
          <cell r="Y35">
            <v>23296462.640000001</v>
          </cell>
          <cell r="Z35">
            <v>2810887.9299999997</v>
          </cell>
          <cell r="AC35">
            <v>190</v>
          </cell>
        </row>
        <row r="36">
          <cell r="A36" t="str">
            <v>Двигатель ГТД-6РМ № В6-17</v>
          </cell>
          <cell r="B36" t="str">
            <v>00000928</v>
          </cell>
          <cell r="C36" t="str">
            <v>ПРОИЗВОДСТВО</v>
          </cell>
          <cell r="D36" t="str">
            <v>Машины и оборудование (кроме офисного)</v>
          </cell>
          <cell r="E36" t="str">
            <v>30.09.2005</v>
          </cell>
          <cell r="F36" t="str">
            <v>Газотурбинный цех</v>
          </cell>
          <cell r="X36">
            <v>32415718.690000001</v>
          </cell>
          <cell r="Y36">
            <v>28188953.699999999</v>
          </cell>
          <cell r="Z36">
            <v>4226764.9900000021</v>
          </cell>
          <cell r="AC36">
            <v>180</v>
          </cell>
        </row>
        <row r="37">
          <cell r="A37" t="str">
            <v>Двигатель ГТД-6РМ №В6-11</v>
          </cell>
          <cell r="B37" t="str">
            <v>00000929</v>
          </cell>
          <cell r="C37" t="str">
            <v>ПРОИЗВОДСТВО</v>
          </cell>
          <cell r="D37" t="str">
            <v>Машины и оборудование (кроме офисного)</v>
          </cell>
          <cell r="E37" t="str">
            <v>30.09.2005</v>
          </cell>
          <cell r="F37" t="str">
            <v>Газотурбинный цех</v>
          </cell>
          <cell r="X37">
            <v>12711864.41</v>
          </cell>
          <cell r="Y37">
            <v>12146892.827333333</v>
          </cell>
          <cell r="Z37">
            <v>564971.58266666718</v>
          </cell>
          <cell r="AC37">
            <v>180</v>
          </cell>
        </row>
        <row r="38">
          <cell r="A38" t="str">
            <v>Двигатель ГТД-6РМ №В6-44</v>
          </cell>
          <cell r="B38" t="str">
            <v>000001872</v>
          </cell>
          <cell r="C38" t="str">
            <v>ПРОИЗВОДСТВО</v>
          </cell>
          <cell r="D38" t="str">
            <v>Машины и оборудование (кроме офисного)</v>
          </cell>
          <cell r="E38">
            <v>44530</v>
          </cell>
          <cell r="F38" t="str">
            <v>Газотурбинный цех</v>
          </cell>
          <cell r="AC38">
            <v>100</v>
          </cell>
        </row>
        <row r="39">
          <cell r="A39" t="str">
            <v>Двигатель ГТД-6РМ №В6-45</v>
          </cell>
          <cell r="B39" t="str">
            <v>000001871</v>
          </cell>
          <cell r="C39" t="str">
            <v>ПРОИЗВОДСТВО</v>
          </cell>
          <cell r="D39" t="str">
            <v>Машины и оборудование (кроме офисного)</v>
          </cell>
          <cell r="E39">
            <v>44530</v>
          </cell>
          <cell r="F39" t="str">
            <v>Газотурбинный цех</v>
          </cell>
          <cell r="AC39">
            <v>100</v>
          </cell>
        </row>
        <row r="40">
          <cell r="A40" t="str">
            <v>Двигатель ГТД-6РМ №В6-47</v>
          </cell>
          <cell r="B40" t="str">
            <v>000001870</v>
          </cell>
          <cell r="C40" t="str">
            <v>ПРОИЗВОДСТВО</v>
          </cell>
          <cell r="D40" t="str">
            <v>Машины и оборудование (кроме офисного)</v>
          </cell>
          <cell r="E40">
            <v>44530</v>
          </cell>
          <cell r="F40" t="str">
            <v>Газотурбинный цех</v>
          </cell>
          <cell r="AC40">
            <v>100</v>
          </cell>
        </row>
        <row r="41">
          <cell r="A41" t="str">
            <v>Двигатель ГТД-6РМ зав. №В6-69 на раме №163-069</v>
          </cell>
          <cell r="B41" t="str">
            <v>000001566</v>
          </cell>
          <cell r="C41" t="str">
            <v>ПРОИЗВОДСТВО</v>
          </cell>
          <cell r="D41" t="str">
            <v>Машины и оборудование (кроме офисного)</v>
          </cell>
          <cell r="E41" t="str">
            <v>30.11.2013</v>
          </cell>
          <cell r="F41" t="str">
            <v>Газотурбинный цех</v>
          </cell>
          <cell r="X41">
            <v>35115893.210000001</v>
          </cell>
          <cell r="Y41">
            <v>27507449.400999997</v>
          </cell>
          <cell r="Z41">
            <v>7608443.8090000041</v>
          </cell>
          <cell r="AC41">
            <v>120</v>
          </cell>
        </row>
        <row r="42">
          <cell r="A42" t="str">
            <v>Дизель электростанция ДЭС электроснабжение объекта "Ненецкая СББЖ г.Нарьян-Мара"</v>
          </cell>
          <cell r="B42" t="str">
            <v>000001669</v>
          </cell>
          <cell r="C42" t="str">
            <v>ПРОИЗВОДСТВО</v>
          </cell>
          <cell r="D42" t="str">
            <v>Машины и оборудование (кроме офисного)</v>
          </cell>
          <cell r="E42" t="str">
            <v>31.12.2015</v>
          </cell>
          <cell r="F42" t="str">
            <v>Тепломеханический цех</v>
          </cell>
          <cell r="AC42">
            <v>84</v>
          </cell>
        </row>
        <row r="43">
          <cell r="A43" t="str">
            <v>Дизель-генератор ДГР 630/1000 с пневмопуском 2009г</v>
          </cell>
          <cell r="B43" t="str">
            <v>00001109</v>
          </cell>
          <cell r="C43" t="str">
            <v>ПРОИЗВОДСТВО</v>
          </cell>
          <cell r="D43" t="str">
            <v>Машины и оборудование (кроме офисного)</v>
          </cell>
          <cell r="E43" t="str">
            <v>31.01.2009</v>
          </cell>
          <cell r="F43" t="str">
            <v>Тепломеханический цех</v>
          </cell>
          <cell r="X43">
            <v>9872012.8699999992</v>
          </cell>
          <cell r="Y43">
            <v>8288289.1699999999</v>
          </cell>
          <cell r="Z43">
            <v>1583723.6999999993</v>
          </cell>
          <cell r="AC43">
            <v>180</v>
          </cell>
        </row>
        <row r="44">
          <cell r="A44" t="str">
            <v>Дизель-генераторная установка Caterpillar 3516BHD с двутопливной системой</v>
          </cell>
          <cell r="B44" t="str">
            <v>000001506</v>
          </cell>
          <cell r="C44" t="str">
            <v>ПРОИЗВОДСТВО</v>
          </cell>
          <cell r="D44" t="str">
            <v>Машины и оборудование (кроме офисного)</v>
          </cell>
          <cell r="E44" t="str">
            <v>19.12.2012</v>
          </cell>
          <cell r="F44" t="str">
            <v>Тепломеханический цех</v>
          </cell>
          <cell r="X44">
            <v>28190060.440000001</v>
          </cell>
          <cell r="Y44">
            <v>25370787.973999999</v>
          </cell>
          <cell r="Z44">
            <v>2819272.4660000019</v>
          </cell>
          <cell r="AC44">
            <v>120</v>
          </cell>
        </row>
        <row r="45">
          <cell r="A45" t="str">
            <v>Дизельная электростанция АДК 500.2-Baltic</v>
          </cell>
          <cell r="B45" t="str">
            <v>000001836</v>
          </cell>
          <cell r="C45" t="str">
            <v>ПРОИЗВОДСТВО</v>
          </cell>
          <cell r="D45" t="str">
            <v>Здания</v>
          </cell>
          <cell r="E45" t="str">
            <v>30.12.2020</v>
          </cell>
          <cell r="F45" t="str">
            <v>ДЭС п.Красное</v>
          </cell>
          <cell r="X45">
            <v>2315429.2200000002</v>
          </cell>
          <cell r="Y45">
            <v>77180.974000000002</v>
          </cell>
          <cell r="Z45">
            <v>2238248.2460000003</v>
          </cell>
          <cell r="AC45">
            <v>360</v>
          </cell>
        </row>
        <row r="46">
          <cell r="A46" t="str">
            <v>Зарядное с автоматическим циклом зарядки 24В, 35А СТЕК МХТS 70</v>
          </cell>
          <cell r="B46" t="str">
            <v>000001548</v>
          </cell>
          <cell r="C46" t="str">
            <v>ПРОИЗВОДСТВО</v>
          </cell>
          <cell r="D46" t="str">
            <v>Машины и оборудование (кроме офисного)</v>
          </cell>
          <cell r="E46" t="str">
            <v>30.09.2013</v>
          </cell>
          <cell r="F46" t="str">
            <v>Тепломеханический цех</v>
          </cell>
          <cell r="X46">
            <v>58050.85</v>
          </cell>
          <cell r="Y46">
            <v>31927.556666666664</v>
          </cell>
          <cell r="Z46">
            <v>26123.293333333335</v>
          </cell>
          <cell r="AC46">
            <v>180</v>
          </cell>
        </row>
        <row r="47">
          <cell r="A47" t="str">
            <v>Здание ГТЭС-12 2003г</v>
          </cell>
          <cell r="B47" t="str">
            <v>00000498</v>
          </cell>
          <cell r="C47" t="str">
            <v>ПРОИЗВОДСТВО</v>
          </cell>
          <cell r="D47" t="str">
            <v>Здания</v>
          </cell>
          <cell r="E47" t="str">
            <v>02.10.2003</v>
          </cell>
          <cell r="F47" t="str">
            <v>Газотурбинный цех</v>
          </cell>
          <cell r="AC47">
            <v>180</v>
          </cell>
        </row>
        <row r="48">
          <cell r="A48" t="str">
            <v>Измеритель сопротивления заземления Metrel MI3123</v>
          </cell>
          <cell r="B48" t="str">
            <v>000001777</v>
          </cell>
          <cell r="C48" t="str">
            <v>ПРОИЗВОДСТВО</v>
          </cell>
          <cell r="D48" t="str">
            <v>Машины и оборудование (кроме офисного)</v>
          </cell>
          <cell r="E48" t="str">
            <v>19.08.2019</v>
          </cell>
          <cell r="F48" t="str">
            <v>Электрический цех</v>
          </cell>
          <cell r="X48">
            <v>48921.57</v>
          </cell>
          <cell r="Y48">
            <v>22830.074000000001</v>
          </cell>
          <cell r="Z48">
            <v>26091.495999999999</v>
          </cell>
          <cell r="AC48">
            <v>60</v>
          </cell>
        </row>
        <row r="49">
          <cell r="A49" t="str">
            <v>Инвертор плазменной резки Nelwin Superior Plasma 60 HF 400V</v>
          </cell>
          <cell r="B49" t="str">
            <v>000001619</v>
          </cell>
          <cell r="C49" t="str">
            <v>ПРОИЗВОДСТВО</v>
          </cell>
          <cell r="D49" t="str">
            <v>Другие виды основных средств</v>
          </cell>
          <cell r="E49" t="str">
            <v>30.04.2014</v>
          </cell>
          <cell r="F49" t="str">
            <v>Тепломеханический цех</v>
          </cell>
          <cell r="X49">
            <v>85000</v>
          </cell>
          <cell r="Y49">
            <v>85000</v>
          </cell>
          <cell r="Z49">
            <v>0</v>
          </cell>
          <cell r="AC49">
            <v>84</v>
          </cell>
        </row>
        <row r="50">
          <cell r="A50" t="str">
            <v>Испытательное устройство РЕТОМ-21 НПП "Динамика"</v>
          </cell>
          <cell r="B50" t="str">
            <v>000001720</v>
          </cell>
          <cell r="C50" t="str">
            <v>ПРОИЗВОДСТВО</v>
          </cell>
          <cell r="D50" t="str">
            <v>Машины и оборудование (кроме офисного)</v>
          </cell>
          <cell r="E50" t="str">
            <v>28.04.2018</v>
          </cell>
          <cell r="F50" t="str">
            <v>Электрический цех</v>
          </cell>
          <cell r="X50">
            <v>475686.44</v>
          </cell>
          <cell r="Y50">
            <v>348836.80799999996</v>
          </cell>
          <cell r="Z50">
            <v>126849.63200000004</v>
          </cell>
          <cell r="AC50">
            <v>60</v>
          </cell>
        </row>
        <row r="51">
          <cell r="A51" t="str">
            <v>Кабель н/в от главного здания  400м 1955г.</v>
          </cell>
          <cell r="B51" t="str">
            <v>00000034</v>
          </cell>
          <cell r="C51" t="str">
            <v>ПРОИЗВОДСТВО</v>
          </cell>
          <cell r="D51" t="str">
            <v>Сооружения</v>
          </cell>
          <cell r="E51" t="str">
            <v>01.01.1955</v>
          </cell>
          <cell r="F51" t="str">
            <v>Электрический цех</v>
          </cell>
          <cell r="X51">
            <v>483624.2</v>
          </cell>
          <cell r="Y51">
            <v>125810.16</v>
          </cell>
          <cell r="Z51">
            <v>357814.04000000004</v>
          </cell>
          <cell r="AC51">
            <v>360</v>
          </cell>
        </row>
        <row r="52">
          <cell r="A52" t="str">
            <v>Кабельные линии 6 кв 2003г.</v>
          </cell>
          <cell r="B52" t="str">
            <v>00000597</v>
          </cell>
          <cell r="C52" t="str">
            <v>ПРОИЗВОДСТВО</v>
          </cell>
          <cell r="D52" t="str">
            <v>Сооружения</v>
          </cell>
          <cell r="E52" t="str">
            <v>01.10.2003</v>
          </cell>
          <cell r="F52" t="str">
            <v>Электрический цех</v>
          </cell>
          <cell r="AC52">
            <v>300</v>
          </cell>
        </row>
        <row r="53">
          <cell r="A53" t="str">
            <v>КЛ 0,4 кВ "РШ-8-РЩ"Гараж. Новый бокс"</v>
          </cell>
          <cell r="B53" t="str">
            <v>000001647</v>
          </cell>
          <cell r="C53" t="str">
            <v>ПРОИЗВОДСТВО</v>
          </cell>
          <cell r="D53" t="str">
            <v>Сооружения</v>
          </cell>
          <cell r="E53" t="str">
            <v>31.12.2014</v>
          </cell>
          <cell r="F53" t="str">
            <v>Электрический цех</v>
          </cell>
          <cell r="X53">
            <v>45504.01</v>
          </cell>
          <cell r="Y53">
            <v>12741.1204</v>
          </cell>
          <cell r="Z53">
            <v>32762.889600000002</v>
          </cell>
          <cell r="AC53">
            <v>300</v>
          </cell>
        </row>
        <row r="54">
          <cell r="A54" t="str">
            <v>Комплекс измерительно-поисковый КИП-2Т</v>
          </cell>
          <cell r="B54" t="str">
            <v>000001812</v>
          </cell>
          <cell r="C54" t="str">
            <v>ПРОИЗВОДСТВО</v>
          </cell>
          <cell r="D54" t="str">
            <v>Машины и оборудование (кроме офисного)</v>
          </cell>
          <cell r="E54" t="str">
            <v>15.06.2020</v>
          </cell>
          <cell r="F54" t="str">
            <v>Электрический цех</v>
          </cell>
          <cell r="X54">
            <v>188333.33</v>
          </cell>
          <cell r="Y54">
            <v>40357.121428571438</v>
          </cell>
          <cell r="Z54">
            <v>147976.20857142855</v>
          </cell>
          <cell r="AC54">
            <v>84</v>
          </cell>
        </row>
        <row r="55">
          <cell r="A55" t="str">
            <v>Комплект офисной мебели</v>
          </cell>
          <cell r="B55" t="str">
            <v>00001503</v>
          </cell>
          <cell r="C55" t="str">
            <v>ПРОИЗВОДСТВО</v>
          </cell>
          <cell r="D55" t="str">
            <v>Офисное оборудование</v>
          </cell>
          <cell r="E55" t="str">
            <v>06.04.2012</v>
          </cell>
          <cell r="F55" t="str">
            <v>Электрический цех</v>
          </cell>
          <cell r="X55">
            <v>68750</v>
          </cell>
          <cell r="Y55">
            <v>68750</v>
          </cell>
          <cell r="Z55">
            <v>0</v>
          </cell>
          <cell r="AC55">
            <v>84</v>
          </cell>
        </row>
        <row r="56">
          <cell r="A56" t="str">
            <v xml:space="preserve">Комплект трассо-дефектоискателя Поиск-510 Мастер (с генератором МК-510) </v>
          </cell>
          <cell r="B56" t="str">
            <v>000001804</v>
          </cell>
          <cell r="C56" t="str">
            <v>ПРОИЗВОДСТВО</v>
          </cell>
          <cell r="D56" t="str">
            <v>Машины и оборудование (кроме офисного)</v>
          </cell>
          <cell r="E56" t="str">
            <v>24.03.2020</v>
          </cell>
          <cell r="F56" t="str">
            <v>ДЭС п.Красное</v>
          </cell>
          <cell r="X56">
            <v>45323.25</v>
          </cell>
          <cell r="Y56">
            <v>11330.79</v>
          </cell>
          <cell r="Z56">
            <v>33992.46</v>
          </cell>
          <cell r="AC56">
            <v>84</v>
          </cell>
        </row>
        <row r="57">
          <cell r="A57" t="str">
            <v>Комплектная трансформаторная подстанция 2КТП(М)-630-6/0,4-УХЛ1</v>
          </cell>
          <cell r="B57" t="str">
            <v>000001835</v>
          </cell>
          <cell r="C57" t="str">
            <v>ПРОИЗВОДСТВО</v>
          </cell>
          <cell r="D57" t="str">
            <v>Здания</v>
          </cell>
          <cell r="E57" t="str">
            <v>30.12.2020</v>
          </cell>
          <cell r="F57" t="str">
            <v>ДЭС п.Красное</v>
          </cell>
          <cell r="X57">
            <v>19015901.02</v>
          </cell>
          <cell r="Y57">
            <v>633863.36733333347</v>
          </cell>
          <cell r="Z57">
            <v>18382037.652666666</v>
          </cell>
          <cell r="AC57">
            <v>360</v>
          </cell>
        </row>
        <row r="58">
          <cell r="A58" t="str">
            <v>Компрессор REMEZA BP 10-30</v>
          </cell>
          <cell r="B58" t="str">
            <v>000001771</v>
          </cell>
          <cell r="C58" t="str">
            <v>ПРОИЗВОДСТВО</v>
          </cell>
          <cell r="D58" t="str">
            <v>Машины и оборудование (кроме офисного)</v>
          </cell>
          <cell r="E58" t="str">
            <v>25.06.2019</v>
          </cell>
          <cell r="F58" t="str">
            <v>Тепломеханический цех</v>
          </cell>
          <cell r="X58">
            <v>239750</v>
          </cell>
          <cell r="Y58">
            <v>29968.78</v>
          </cell>
          <cell r="Z58">
            <v>209781.22</v>
          </cell>
          <cell r="AC58">
            <v>240</v>
          </cell>
        </row>
        <row r="59">
          <cell r="A59" t="str">
            <v>Контейнер 20 ф №1</v>
          </cell>
          <cell r="B59" t="str">
            <v>000001521</v>
          </cell>
          <cell r="C59" t="str">
            <v>ПРОИЗВОДСТВО</v>
          </cell>
          <cell r="D59" t="str">
            <v>Другие виды основных средств</v>
          </cell>
          <cell r="E59" t="str">
            <v>10.04.2013</v>
          </cell>
          <cell r="F59" t="str">
            <v>Тепломеханический цех</v>
          </cell>
          <cell r="Y59">
            <v>28813.93888888889</v>
          </cell>
          <cell r="AC59">
            <v>180</v>
          </cell>
        </row>
        <row r="60">
          <cell r="A60" t="str">
            <v>Контейнер 20 ф №2</v>
          </cell>
          <cell r="B60" t="str">
            <v>000001522</v>
          </cell>
          <cell r="C60" t="str">
            <v>ПРОИЗВОДСТВО</v>
          </cell>
          <cell r="D60" t="str">
            <v>Другие виды основных средств</v>
          </cell>
          <cell r="E60" t="str">
            <v>10.04.2013</v>
          </cell>
          <cell r="F60" t="str">
            <v>Тепломеханический цех</v>
          </cell>
          <cell r="X60">
            <v>50847.46</v>
          </cell>
          <cell r="Y60">
            <v>29378.91066666667</v>
          </cell>
          <cell r="Z60">
            <v>21468.549333333329</v>
          </cell>
          <cell r="AC60">
            <v>180</v>
          </cell>
        </row>
        <row r="61">
          <cell r="A61" t="str">
            <v>Контейнер 20т DC FSCU7393953</v>
          </cell>
          <cell r="B61" t="str">
            <v>000001537</v>
          </cell>
          <cell r="C61" t="str">
            <v>ПРОИЗВОДСТВО</v>
          </cell>
          <cell r="D61" t="str">
            <v>Машины и оборудование (кроме офисного)</v>
          </cell>
          <cell r="E61" t="str">
            <v>01.08.2013</v>
          </cell>
          <cell r="F61" t="str">
            <v>Электрический цех</v>
          </cell>
          <cell r="X61">
            <v>88203</v>
          </cell>
          <cell r="Y61">
            <v>49001.96</v>
          </cell>
          <cell r="Z61">
            <v>39201.040000000001</v>
          </cell>
          <cell r="AC61">
            <v>180</v>
          </cell>
        </row>
        <row r="62">
          <cell r="A62" t="str">
            <v>Микроомметр Metrel MI3242</v>
          </cell>
          <cell r="B62" t="str">
            <v>000001778</v>
          </cell>
          <cell r="C62" t="str">
            <v>ПРОИЗВОДСТВО</v>
          </cell>
          <cell r="D62" t="str">
            <v>Машины и оборудование (кроме офисного)</v>
          </cell>
          <cell r="E62" t="str">
            <v>19.08.2019</v>
          </cell>
          <cell r="F62" t="str">
            <v>Электрический цех</v>
          </cell>
          <cell r="X62">
            <v>64730.39</v>
          </cell>
          <cell r="Y62">
            <v>30207.517999999996</v>
          </cell>
          <cell r="Z62">
            <v>34522.872000000003</v>
          </cell>
          <cell r="AC62">
            <v>60</v>
          </cell>
        </row>
        <row r="63">
          <cell r="A63" t="str">
            <v>Мини козловой кран г/п 1000 кг</v>
          </cell>
          <cell r="B63" t="str">
            <v>000001852</v>
          </cell>
          <cell r="C63" t="str">
            <v>ПРОИЗВОДСТВО</v>
          </cell>
          <cell r="D63" t="str">
            <v>Машины и оборудование (кроме офисного)</v>
          </cell>
          <cell r="E63" t="str">
            <v>23.06.2021</v>
          </cell>
          <cell r="F63" t="str">
            <v>Электрический цех</v>
          </cell>
          <cell r="X63">
            <v>161666.67000000001</v>
          </cell>
          <cell r="Y63">
            <v>8083.3334999999997</v>
          </cell>
          <cell r="Z63">
            <v>153583.3365</v>
          </cell>
          <cell r="AC63">
            <v>120</v>
          </cell>
        </row>
        <row r="64">
          <cell r="A64" t="str">
            <v>Мини козловой кран г/п 5000 кг</v>
          </cell>
          <cell r="B64" t="str">
            <v>000001853</v>
          </cell>
          <cell r="C64" t="str">
            <v>ПРОИЗВОДСТВО</v>
          </cell>
          <cell r="D64" t="str">
            <v>Машины и оборудование (кроме офисного)</v>
          </cell>
          <cell r="E64" t="str">
            <v>23.06.2021</v>
          </cell>
          <cell r="F64" t="str">
            <v>Электрический цех</v>
          </cell>
          <cell r="X64">
            <v>227500</v>
          </cell>
          <cell r="Y64">
            <v>11375</v>
          </cell>
          <cell r="Z64">
            <v>216125</v>
          </cell>
          <cell r="AC64">
            <v>120</v>
          </cell>
        </row>
        <row r="65">
          <cell r="A65" t="str">
            <v>Мини козловой кран г/п 5000 кг</v>
          </cell>
          <cell r="B65" t="str">
            <v>000001854</v>
          </cell>
          <cell r="C65" t="str">
            <v>ПРОИЗВОДСТВО</v>
          </cell>
          <cell r="D65" t="str">
            <v>Машины и оборудование (кроме офисного)</v>
          </cell>
          <cell r="E65" t="str">
            <v>23.06.2021</v>
          </cell>
          <cell r="F65" t="str">
            <v>Электрический цех</v>
          </cell>
          <cell r="X65">
            <v>227500</v>
          </cell>
          <cell r="Y65">
            <v>11375</v>
          </cell>
          <cell r="Z65">
            <v>216125</v>
          </cell>
          <cell r="AC65">
            <v>120</v>
          </cell>
        </row>
        <row r="66">
          <cell r="A66" t="str">
            <v>Молниеотвод с прожекторами, МОГК</v>
          </cell>
          <cell r="B66" t="str">
            <v>000001830</v>
          </cell>
          <cell r="C66" t="str">
            <v>ПРОИЗВОДСТВО</v>
          </cell>
          <cell r="D66" t="str">
            <v>Сооружения</v>
          </cell>
          <cell r="E66" t="str">
            <v>30.12.2020</v>
          </cell>
          <cell r="F66" t="str">
            <v>ДЭС п.Красное</v>
          </cell>
          <cell r="X66">
            <v>1566507.35</v>
          </cell>
          <cell r="Y66">
            <v>52216.911666666674</v>
          </cell>
          <cell r="Z66">
            <v>1514290.4383333335</v>
          </cell>
          <cell r="AC66">
            <v>360</v>
          </cell>
        </row>
        <row r="67">
          <cell r="A67" t="str">
            <v>Наружные сети электроснабжения (п. Красное)</v>
          </cell>
          <cell r="B67" t="str">
            <v>000001674</v>
          </cell>
          <cell r="C67" t="str">
            <v>ПРОИЗВОДСТВО</v>
          </cell>
          <cell r="D67" t="str">
            <v>Сооружения</v>
          </cell>
          <cell r="E67" t="str">
            <v>20.01.2016</v>
          </cell>
          <cell r="F67" t="str">
            <v>ДЭС п.Красное</v>
          </cell>
          <cell r="X67">
            <v>40883.46</v>
          </cell>
          <cell r="Y67">
            <v>16126.234</v>
          </cell>
          <cell r="Z67">
            <v>24757.225999999999</v>
          </cell>
          <cell r="AC67">
            <v>180</v>
          </cell>
        </row>
        <row r="68">
          <cell r="A68" t="str">
            <v>Наружные сети электроснабжения 0,4 кВ ( НАО п. Красное)</v>
          </cell>
          <cell r="B68" t="str">
            <v>000001684</v>
          </cell>
          <cell r="C68" t="str">
            <v>ПРОИЗВОДСТВО</v>
          </cell>
          <cell r="D68" t="str">
            <v>Сооружения</v>
          </cell>
          <cell r="E68" t="str">
            <v>10.06.2016</v>
          </cell>
          <cell r="F68" t="str">
            <v>ДЭС п.Красное</v>
          </cell>
          <cell r="AC68">
            <v>180</v>
          </cell>
        </row>
        <row r="69">
          <cell r="A69" t="str">
            <v>Наружные сети электроснабжения 0,4 кВ ( НАО п. Красное)</v>
          </cell>
          <cell r="B69" t="str">
            <v>000001685</v>
          </cell>
          <cell r="C69" t="str">
            <v>ПРОИЗВОДСТВО</v>
          </cell>
          <cell r="D69" t="str">
            <v>Сооружения</v>
          </cell>
          <cell r="E69" t="str">
            <v>10.06.2016</v>
          </cell>
          <cell r="F69" t="str">
            <v>ДЭС п.Красное</v>
          </cell>
          <cell r="X69">
            <v>87099</v>
          </cell>
          <cell r="Y69">
            <v>31936.12</v>
          </cell>
          <cell r="Z69">
            <v>55162.880000000005</v>
          </cell>
          <cell r="AC69">
            <v>180</v>
          </cell>
        </row>
        <row r="70">
          <cell r="A70" t="str">
            <v>Наружные сети электроснабжения 0,4 кВ (НАО, п. Красное)</v>
          </cell>
          <cell r="B70" t="str">
            <v>000001687</v>
          </cell>
          <cell r="C70" t="str">
            <v>ПРОИЗВОДСТВО</v>
          </cell>
          <cell r="D70" t="str">
            <v>Сооружения</v>
          </cell>
          <cell r="E70" t="str">
            <v>29.06.2016</v>
          </cell>
          <cell r="F70" t="str">
            <v>ДЭС п.Красное</v>
          </cell>
          <cell r="X70">
            <v>25447</v>
          </cell>
          <cell r="Y70">
            <v>9330.4466666666667</v>
          </cell>
          <cell r="Z70">
            <v>16116.553333333333</v>
          </cell>
          <cell r="AC70">
            <v>180</v>
          </cell>
        </row>
        <row r="71">
          <cell r="A71" t="str">
            <v>Наружные сети электроснабжения 0,4 кВ (НАО, п. Красное)</v>
          </cell>
          <cell r="B71" t="str">
            <v>000001688</v>
          </cell>
          <cell r="C71" t="str">
            <v>ПРОИЗВОДСТВО</v>
          </cell>
          <cell r="D71" t="str">
            <v>Сооружения</v>
          </cell>
          <cell r="E71" t="str">
            <v>29.06.2016</v>
          </cell>
          <cell r="F71" t="str">
            <v>ДЭС п.Красное</v>
          </cell>
          <cell r="X71">
            <v>36352</v>
          </cell>
          <cell r="Y71">
            <v>13329.306666666667</v>
          </cell>
          <cell r="Z71">
            <v>23022.693333333333</v>
          </cell>
          <cell r="AC71">
            <v>180</v>
          </cell>
        </row>
        <row r="72">
          <cell r="A72" t="str">
            <v>Наружные сети электроснабжения 0,4 кВ п. Красное</v>
          </cell>
          <cell r="B72" t="str">
            <v>000001675</v>
          </cell>
          <cell r="C72" t="str">
            <v>ПРОИЗВОДСТВО</v>
          </cell>
          <cell r="D72" t="str">
            <v>Сооружения</v>
          </cell>
          <cell r="E72" t="str">
            <v>20.01.2016</v>
          </cell>
          <cell r="F72" t="str">
            <v>ДЭС п.Красное</v>
          </cell>
          <cell r="AC72">
            <v>180</v>
          </cell>
        </row>
        <row r="73">
          <cell r="A73" t="str">
            <v>Наружные сети электроснабжения 0,4 кВ п. Красное</v>
          </cell>
          <cell r="B73" t="str">
            <v>000001676</v>
          </cell>
          <cell r="C73" t="str">
            <v>ПРОИЗВОДСТВО</v>
          </cell>
          <cell r="D73" t="str">
            <v>Сооружения</v>
          </cell>
          <cell r="E73" t="str">
            <v>20.01.2016</v>
          </cell>
          <cell r="F73" t="str">
            <v>ДЭС п.Красное</v>
          </cell>
          <cell r="X73">
            <v>65865.240000000005</v>
          </cell>
          <cell r="Y73">
            <v>25980.295999999998</v>
          </cell>
          <cell r="Z73">
            <v>39884.944000000003</v>
          </cell>
          <cell r="AC73">
            <v>180</v>
          </cell>
        </row>
        <row r="74">
          <cell r="A74" t="str">
            <v>Наружные сети электроснабжения 6 кВт, адрес: Ненецкий АО, Заполярный р-н, Красное п, Мира ул</v>
          </cell>
          <cell r="B74" t="str">
            <v>000001722</v>
          </cell>
          <cell r="C74" t="str">
            <v>ПРОИЗВОДСТВО</v>
          </cell>
          <cell r="D74" t="str">
            <v>Сооружения</v>
          </cell>
          <cell r="E74" t="str">
            <v>03.05.2018</v>
          </cell>
          <cell r="F74" t="str">
            <v>ДЭС п.Красное</v>
          </cell>
          <cell r="AC74">
            <v>360</v>
          </cell>
        </row>
        <row r="75">
          <cell r="A75" t="str">
            <v>Насос агрегатный  1994г.</v>
          </cell>
          <cell r="B75" t="str">
            <v>00000589</v>
          </cell>
          <cell r="C75" t="str">
            <v>ПРОИЗВОДСТВО</v>
          </cell>
          <cell r="D75" t="str">
            <v>Машины и оборудование (кроме офисного)</v>
          </cell>
          <cell r="E75" t="str">
            <v>01.07.1994</v>
          </cell>
          <cell r="F75" t="str">
            <v>Тепломеханический цех</v>
          </cell>
          <cell r="X75">
            <v>5528</v>
          </cell>
          <cell r="Y75">
            <v>5527.9990123456791</v>
          </cell>
          <cell r="Z75">
            <v>9.876543208520161E-4</v>
          </cell>
          <cell r="AC75">
            <v>324</v>
          </cell>
        </row>
        <row r="76">
          <cell r="A76" t="str">
            <v>Насосная дизельного топлива</v>
          </cell>
          <cell r="B76" t="str">
            <v>000001833</v>
          </cell>
          <cell r="C76" t="str">
            <v>ПРОИЗВОДСТВО</v>
          </cell>
          <cell r="D76" t="str">
            <v>Сооружения</v>
          </cell>
          <cell r="E76" t="str">
            <v>30.12.2020</v>
          </cell>
          <cell r="F76" t="str">
            <v>ДЭС п.Красное</v>
          </cell>
          <cell r="X76">
            <v>1044745.03</v>
          </cell>
          <cell r="Y76">
            <v>69649.668666666665</v>
          </cell>
          <cell r="Z76">
            <v>975095.36133333342</v>
          </cell>
          <cell r="AC76">
            <v>180</v>
          </cell>
        </row>
        <row r="77">
          <cell r="A77" t="str">
            <v>Насосный агрегат НМШ 5-25-4,0/25Б-1У3 с дв.5,5/1500  №7р198</v>
          </cell>
          <cell r="B77" t="str">
            <v>000001639</v>
          </cell>
          <cell r="C77" t="str">
            <v>ПРОИЗВОДСТВО</v>
          </cell>
          <cell r="D77" t="str">
            <v>Машины и оборудование (кроме офисного)</v>
          </cell>
          <cell r="E77" t="str">
            <v>22.09.2014</v>
          </cell>
          <cell r="F77" t="str">
            <v>Газотурбинный цех</v>
          </cell>
          <cell r="X77">
            <v>57245.760000000002</v>
          </cell>
          <cell r="Y77">
            <v>57245.760000000002</v>
          </cell>
          <cell r="Z77">
            <v>0</v>
          </cell>
          <cell r="AC77">
            <v>84</v>
          </cell>
        </row>
        <row r="78">
          <cell r="A78" t="str">
            <v>Новый технологический трубопровод для перекачки дизельного топлива</v>
          </cell>
          <cell r="B78" t="str">
            <v>000001666</v>
          </cell>
          <cell r="C78" t="str">
            <v>ПРОИЗВОДСТВО</v>
          </cell>
          <cell r="D78" t="str">
            <v>Сооружения</v>
          </cell>
          <cell r="E78" t="str">
            <v>31.12.2015</v>
          </cell>
          <cell r="F78" t="str">
            <v>Тепломеханический цех</v>
          </cell>
          <cell r="X78">
            <v>3443108.29</v>
          </cell>
          <cell r="Y78">
            <v>1377243.3526666667</v>
          </cell>
          <cell r="Z78">
            <v>2065864.9373333333</v>
          </cell>
          <cell r="AC78">
            <v>180</v>
          </cell>
        </row>
        <row r="79">
          <cell r="A79" t="str">
            <v>Пристройка к маслосепараторной 1997г</v>
          </cell>
          <cell r="B79" t="str">
            <v>00000091</v>
          </cell>
          <cell r="C79" t="str">
            <v>ПРОИЗВОДСТВО</v>
          </cell>
          <cell r="D79" t="str">
            <v>Здания</v>
          </cell>
          <cell r="E79" t="str">
            <v>01.07.1997</v>
          </cell>
          <cell r="F79" t="str">
            <v>Электрический цех</v>
          </cell>
          <cell r="X79">
            <v>126170</v>
          </cell>
          <cell r="Y79">
            <v>75704.62</v>
          </cell>
          <cell r="Z79">
            <v>50465.380000000005</v>
          </cell>
          <cell r="AC79">
            <v>480</v>
          </cell>
        </row>
        <row r="80">
          <cell r="A80" t="str">
            <v>Пристройка к РУ-6кВТ</v>
          </cell>
          <cell r="B80" t="str">
            <v>00001051</v>
          </cell>
          <cell r="C80" t="str">
            <v>ПРОИЗВОДСТВО</v>
          </cell>
          <cell r="D80" t="str">
            <v>Здания</v>
          </cell>
          <cell r="E80" t="str">
            <v>30.09.2007</v>
          </cell>
          <cell r="F80" t="str">
            <v>Электрический цех</v>
          </cell>
          <cell r="X80">
            <v>590228.09</v>
          </cell>
          <cell r="Y80">
            <v>336430.49359999999</v>
          </cell>
          <cell r="Z80">
            <v>253797.59639999998</v>
          </cell>
          <cell r="AC80">
            <v>300</v>
          </cell>
        </row>
        <row r="81">
          <cell r="A81" t="str">
            <v>Пристройка к цеху ГТУ</v>
          </cell>
          <cell r="B81" t="str">
            <v>00000376</v>
          </cell>
          <cell r="C81" t="str">
            <v>ПРОИЗВОДСТВО</v>
          </cell>
          <cell r="D81" t="str">
            <v>Здания</v>
          </cell>
          <cell r="E81" t="str">
            <v>29.12.2001</v>
          </cell>
          <cell r="F81" t="str">
            <v>Газотурбинный цех</v>
          </cell>
          <cell r="X81">
            <v>55891.5</v>
          </cell>
          <cell r="Y81">
            <v>45877.375</v>
          </cell>
          <cell r="Z81">
            <v>10014.125</v>
          </cell>
          <cell r="AC81">
            <v>240</v>
          </cell>
        </row>
        <row r="82">
          <cell r="A82" t="str">
            <v>Пункт персонала энергокомплекса</v>
          </cell>
          <cell r="B82" t="str">
            <v>000001837</v>
          </cell>
          <cell r="C82" t="str">
            <v>ПРОИЗВОДСТВО</v>
          </cell>
          <cell r="D82" t="str">
            <v>Здания</v>
          </cell>
          <cell r="E82" t="str">
            <v>30.12.2020</v>
          </cell>
          <cell r="F82" t="str">
            <v>ДЭС п.Красное</v>
          </cell>
          <cell r="X82">
            <v>2322997.36</v>
          </cell>
          <cell r="Y82">
            <v>116149.86799999996</v>
          </cell>
          <cell r="Z82">
            <v>2206847.4920000001</v>
          </cell>
          <cell r="AC82">
            <v>240</v>
          </cell>
        </row>
        <row r="83">
          <cell r="A83" t="str">
            <v>Пункт учета газа  1983г.</v>
          </cell>
          <cell r="B83" t="str">
            <v>00000075</v>
          </cell>
          <cell r="C83" t="str">
            <v>ПРОИЗВОДСТВО</v>
          </cell>
          <cell r="D83" t="str">
            <v>Здания</v>
          </cell>
          <cell r="E83" t="str">
            <v>01.01.1983</v>
          </cell>
          <cell r="F83" t="str">
            <v>Газотурбинный цех</v>
          </cell>
          <cell r="X83">
            <v>182797.25</v>
          </cell>
          <cell r="Y83">
            <v>50163.42689265537</v>
          </cell>
          <cell r="Z83">
            <v>132633.82310734462</v>
          </cell>
          <cell r="AC83">
            <v>708</v>
          </cell>
        </row>
        <row r="84">
          <cell r="A84" t="str">
            <v>Распределительный .шкаф РШ-1 (ДГ №1)</v>
          </cell>
          <cell r="B84" t="str">
            <v>000001600</v>
          </cell>
          <cell r="C84" t="str">
            <v>ПРОИЗВОДСТВО</v>
          </cell>
          <cell r="D84" t="str">
            <v>Машины и оборудование (кроме офисного)</v>
          </cell>
          <cell r="E84" t="str">
            <v>31.12.2013</v>
          </cell>
          <cell r="F84" t="str">
            <v>Электрический цех</v>
          </cell>
          <cell r="X84">
            <v>145652.98000000001</v>
          </cell>
          <cell r="Y84">
            <v>77681.318666666659</v>
          </cell>
          <cell r="Z84">
            <v>67971.661333333352</v>
          </cell>
          <cell r="AC84">
            <v>180</v>
          </cell>
        </row>
        <row r="85">
          <cell r="A85" t="str">
            <v>Распределительный шкаф (Токоприемники ДГ №4)</v>
          </cell>
          <cell r="B85" t="str">
            <v>000001605</v>
          </cell>
          <cell r="C85" t="str">
            <v>ПРОИЗВОДСТВО</v>
          </cell>
          <cell r="D85" t="str">
            <v>Машины и оборудование (кроме офисного)</v>
          </cell>
          <cell r="E85" t="str">
            <v>31.12.2013</v>
          </cell>
          <cell r="F85" t="str">
            <v>Электрический цех</v>
          </cell>
          <cell r="X85">
            <v>145652.98000000001</v>
          </cell>
          <cell r="Y85">
            <v>77681.318666666659</v>
          </cell>
          <cell r="Z85">
            <v>67971.661333333352</v>
          </cell>
          <cell r="AC85">
            <v>180</v>
          </cell>
        </row>
        <row r="86">
          <cell r="A86" t="str">
            <v>Распределительный шкаф РШ-10 (Береговая водонасосная станция)</v>
          </cell>
          <cell r="B86" t="str">
            <v>000001661</v>
          </cell>
          <cell r="C86" t="str">
            <v>ПРОИЗВОДСТВО</v>
          </cell>
          <cell r="D86" t="str">
            <v>Машины и оборудование (кроме офисного)</v>
          </cell>
          <cell r="E86" t="str">
            <v>31.07.2015</v>
          </cell>
          <cell r="F86" t="str">
            <v>Электрический цех</v>
          </cell>
          <cell r="X86">
            <v>190397.71</v>
          </cell>
          <cell r="Y86">
            <v>81448.23066666667</v>
          </cell>
          <cell r="Z86">
            <v>108949.47933333332</v>
          </cell>
          <cell r="AC86">
            <v>180</v>
          </cell>
        </row>
        <row r="87">
          <cell r="A87" t="str">
            <v>Распределительный шкаф РШ-11 ( Водонасосная (новая)</v>
          </cell>
          <cell r="B87" t="str">
            <v>000001606</v>
          </cell>
          <cell r="C87" t="str">
            <v>ПРОИЗВОДСТВО</v>
          </cell>
          <cell r="D87" t="str">
            <v>Машины и оборудование (кроме офисного)</v>
          </cell>
          <cell r="E87" t="str">
            <v>31.12.2013</v>
          </cell>
          <cell r="F87" t="str">
            <v>Электрический цех</v>
          </cell>
          <cell r="X87">
            <v>145653.01999999999</v>
          </cell>
          <cell r="Y87">
            <v>77681.321333333326</v>
          </cell>
          <cell r="Z87">
            <v>67971.698666666663</v>
          </cell>
          <cell r="AC87">
            <v>180</v>
          </cell>
        </row>
        <row r="88">
          <cell r="A88" t="str">
            <v>Распределительный шкаф РШ-2 ( ЭЦ)</v>
          </cell>
          <cell r="B88" t="str">
            <v>000001601</v>
          </cell>
          <cell r="C88" t="str">
            <v>ПРОИЗВОДСТВО</v>
          </cell>
          <cell r="D88" t="str">
            <v>Машины и оборудование (кроме офисного)</v>
          </cell>
          <cell r="E88" t="str">
            <v>31.12.2013</v>
          </cell>
          <cell r="F88" t="str">
            <v>Электрический цех</v>
          </cell>
          <cell r="X88">
            <v>145652.98000000001</v>
          </cell>
          <cell r="Y88">
            <v>77681.318666666659</v>
          </cell>
          <cell r="Z88">
            <v>67971.661333333352</v>
          </cell>
          <cell r="AC88">
            <v>180</v>
          </cell>
        </row>
        <row r="89">
          <cell r="A89" t="str">
            <v>Распределительный шкаф РШ-3 ( ДГ № 3)</v>
          </cell>
          <cell r="B89" t="str">
            <v>000001602</v>
          </cell>
          <cell r="C89" t="str">
            <v>ПРОИЗВОДСТВО</v>
          </cell>
          <cell r="D89" t="str">
            <v>Машины и оборудование (кроме офисного)</v>
          </cell>
          <cell r="E89" t="str">
            <v>31.12.2013</v>
          </cell>
          <cell r="F89" t="str">
            <v>Электрический цех</v>
          </cell>
          <cell r="X89">
            <v>145652.98000000001</v>
          </cell>
          <cell r="Y89">
            <v>77681.318666666659</v>
          </cell>
          <cell r="Z89">
            <v>67971.661333333352</v>
          </cell>
          <cell r="AC89">
            <v>180</v>
          </cell>
        </row>
        <row r="90">
          <cell r="A90" t="str">
            <v>Распределительный шкаф РШ-4 ( Слесарка)</v>
          </cell>
          <cell r="B90" t="str">
            <v>000001603</v>
          </cell>
          <cell r="C90" t="str">
            <v>ПРОИЗВОДСТВО</v>
          </cell>
          <cell r="D90" t="str">
            <v>Машины и оборудование (кроме офисного)</v>
          </cell>
          <cell r="E90" t="str">
            <v>31.12.2013</v>
          </cell>
          <cell r="F90" t="str">
            <v>Электрический цех</v>
          </cell>
          <cell r="X90">
            <v>145652.98000000001</v>
          </cell>
          <cell r="Y90">
            <v>77681.318666666659</v>
          </cell>
          <cell r="Z90">
            <v>67971.661333333352</v>
          </cell>
          <cell r="AC90">
            <v>180</v>
          </cell>
        </row>
        <row r="91">
          <cell r="A91" t="str">
            <v>Распределительный шкаф РШ-5 ( ДГ №3)</v>
          </cell>
          <cell r="B91" t="str">
            <v>000001604</v>
          </cell>
          <cell r="C91" t="str">
            <v>ПРОИЗВОДСТВО</v>
          </cell>
          <cell r="D91" t="str">
            <v>Машины и оборудование (кроме офисного)</v>
          </cell>
          <cell r="E91" t="str">
            <v>31.12.2013</v>
          </cell>
          <cell r="F91" t="str">
            <v>Электрический цех</v>
          </cell>
          <cell r="X91">
            <v>145652.98000000001</v>
          </cell>
          <cell r="Y91">
            <v>77681.318666666659</v>
          </cell>
          <cell r="Z91">
            <v>67971.661333333352</v>
          </cell>
          <cell r="AC91">
            <v>180</v>
          </cell>
        </row>
        <row r="92">
          <cell r="A92" t="str">
            <v>Распределительный шкаф РШ-8 (Маслосепараторная (старая))</v>
          </cell>
          <cell r="B92" t="str">
            <v>000001620</v>
          </cell>
          <cell r="C92" t="str">
            <v>ПРОИЗВОДСТВО</v>
          </cell>
          <cell r="D92" t="str">
            <v>Машины и оборудование (кроме офисного)</v>
          </cell>
          <cell r="E92" t="str">
            <v>31.05.2014</v>
          </cell>
          <cell r="F92" t="str">
            <v>Электрический цех</v>
          </cell>
          <cell r="X92">
            <v>217362.39</v>
          </cell>
          <cell r="Y92">
            <v>109888.856</v>
          </cell>
          <cell r="Z92">
            <v>107473.53400000001</v>
          </cell>
          <cell r="AC92">
            <v>180</v>
          </cell>
        </row>
        <row r="93">
          <cell r="A93" t="str">
            <v>Распределительный шкаф РШ-9</v>
          </cell>
          <cell r="B93" t="str">
            <v>000001658</v>
          </cell>
          <cell r="C93" t="str">
            <v>ПРОИЗВОДСТВО</v>
          </cell>
          <cell r="D93" t="str">
            <v>Машины и оборудование (кроме офисного)</v>
          </cell>
          <cell r="E93" t="str">
            <v>30.06.2015</v>
          </cell>
          <cell r="F93" t="str">
            <v>Электрический цех</v>
          </cell>
          <cell r="X93">
            <v>135158.97</v>
          </cell>
          <cell r="Y93">
            <v>58568.678</v>
          </cell>
          <cell r="Z93">
            <v>76590.292000000001</v>
          </cell>
          <cell r="AC93">
            <v>180</v>
          </cell>
        </row>
        <row r="94">
          <cell r="A94" t="str">
            <v>РВС-400 (резервуар вертикальный стальной объемом 400 м3)</v>
          </cell>
          <cell r="B94" t="str">
            <v>000001784</v>
          </cell>
          <cell r="C94" t="str">
            <v>ПРОИЗВОДСТВО</v>
          </cell>
          <cell r="D94" t="str">
            <v>Сооружения</v>
          </cell>
          <cell r="E94" t="str">
            <v>17.12.2019</v>
          </cell>
          <cell r="F94" t="str">
            <v>Тепломеханический цех</v>
          </cell>
          <cell r="X94">
            <v>16224413.98</v>
          </cell>
          <cell r="Y94">
            <v>3244882.7979999995</v>
          </cell>
          <cell r="Z94">
            <v>12979531.182</v>
          </cell>
          <cell r="AC94">
            <v>120</v>
          </cell>
        </row>
        <row r="95">
          <cell r="A95" t="str">
            <v>Резервуар горизонтальный стальной, РГСН-10м3</v>
          </cell>
          <cell r="B95" t="str">
            <v>000001831</v>
          </cell>
          <cell r="C95" t="str">
            <v>ПРОИЗВОДСТВО</v>
          </cell>
          <cell r="D95" t="str">
            <v>Сооружения</v>
          </cell>
          <cell r="E95" t="str">
            <v>30.12.2020</v>
          </cell>
          <cell r="F95" t="str">
            <v>ДЭС п.Красное</v>
          </cell>
          <cell r="X95">
            <v>688417.26</v>
          </cell>
          <cell r="Y95">
            <v>45894.483999999997</v>
          </cell>
          <cell r="Z95">
            <v>642522.77600000007</v>
          </cell>
          <cell r="AC95">
            <v>180</v>
          </cell>
        </row>
        <row r="96">
          <cell r="A96" t="str">
            <v>Ресивер</v>
          </cell>
          <cell r="B96" t="str">
            <v>00001187</v>
          </cell>
          <cell r="C96" t="str">
            <v>ПРОИЗВОДСТВО</v>
          </cell>
          <cell r="D96" t="str">
            <v>Машины и оборудование (кроме офисного)</v>
          </cell>
          <cell r="E96" t="str">
            <v>31.03.2010</v>
          </cell>
          <cell r="F96" t="str">
            <v>Газотурбинный цех</v>
          </cell>
          <cell r="AC96">
            <v>180</v>
          </cell>
        </row>
        <row r="97">
          <cell r="A97" t="str">
            <v>Рефлектометр импульсный РИ-307 с программным обеспечением IRView 5,0</v>
          </cell>
          <cell r="B97" t="str">
            <v>000001663</v>
          </cell>
          <cell r="C97" t="str">
            <v>ПРОИЗВОДСТВО</v>
          </cell>
          <cell r="D97" t="str">
            <v>Машины и оборудование (кроме офисного)</v>
          </cell>
          <cell r="E97" t="str">
            <v>30.09.2015</v>
          </cell>
          <cell r="F97" t="str">
            <v>Электрический цех</v>
          </cell>
          <cell r="X97">
            <v>88799.57</v>
          </cell>
          <cell r="Y97">
            <v>55499.957000000002</v>
          </cell>
          <cell r="Z97">
            <v>33299.613000000005</v>
          </cell>
          <cell r="AC97">
            <v>120</v>
          </cell>
        </row>
        <row r="98">
          <cell r="A98" t="str">
            <v>Септик FloTenk STA 1,5</v>
          </cell>
          <cell r="B98" t="str">
            <v>000001832</v>
          </cell>
          <cell r="C98" t="str">
            <v>ПРОИЗВОДСТВО</v>
          </cell>
          <cell r="D98" t="str">
            <v>Сооружения</v>
          </cell>
          <cell r="E98" t="str">
            <v>30.12.2020</v>
          </cell>
          <cell r="F98" t="str">
            <v>ДЭС п.Красное</v>
          </cell>
          <cell r="X98">
            <v>561601.46</v>
          </cell>
          <cell r="Y98">
            <v>37440.097333333331</v>
          </cell>
          <cell r="Z98">
            <v>524161.36266666662</v>
          </cell>
          <cell r="AC98">
            <v>180</v>
          </cell>
        </row>
        <row r="99">
          <cell r="A99" t="str">
            <v>Сигнализатор до взрывных концентраций в воздухе горючих газов СТМ30-12</v>
          </cell>
          <cell r="B99" t="str">
            <v>000001723</v>
          </cell>
          <cell r="C99" t="str">
            <v>ПРОИЗВОДСТВО</v>
          </cell>
          <cell r="D99" t="str">
            <v>Машины и оборудование (кроме офисного)</v>
          </cell>
          <cell r="E99" t="str">
            <v>14.05.2018</v>
          </cell>
          <cell r="F99" t="str">
            <v>Газотурбинный цех</v>
          </cell>
          <cell r="X99">
            <v>41333.14</v>
          </cell>
          <cell r="Y99">
            <v>14810.954000000002</v>
          </cell>
          <cell r="Z99">
            <v>26522.185999999998</v>
          </cell>
          <cell r="AC99">
            <v>120</v>
          </cell>
        </row>
        <row r="100">
          <cell r="A100" t="str">
            <v>Силовое эл. оборудование (РУ-6 кв) 2003г</v>
          </cell>
          <cell r="B100" t="str">
            <v>00000557</v>
          </cell>
          <cell r="C100" t="str">
            <v>ПРОИЗВОДСТВО</v>
          </cell>
          <cell r="D100" t="str">
            <v>Машины и оборудование (кроме офисного)</v>
          </cell>
          <cell r="E100" t="str">
            <v>01.10.2003</v>
          </cell>
          <cell r="F100" t="str">
            <v>Газотурбинный цех</v>
          </cell>
          <cell r="X100">
            <v>13444250.890000001</v>
          </cell>
          <cell r="Y100">
            <v>12551237</v>
          </cell>
          <cell r="Z100">
            <v>893013.8900000006</v>
          </cell>
          <cell r="AC100">
            <v>303</v>
          </cell>
        </row>
        <row r="101">
          <cell r="A101" t="str">
            <v>Система видеонаблюдения в машинном зале ТМЦ</v>
          </cell>
          <cell r="B101" t="str">
            <v>000001869</v>
          </cell>
          <cell r="C101" t="str">
            <v>ПРОИЗВОДСТВО</v>
          </cell>
          <cell r="D101" t="str">
            <v>Машины и оборудование (кроме офисного)</v>
          </cell>
          <cell r="E101">
            <v>44529</v>
          </cell>
          <cell r="F101" t="str">
            <v>Тепломеханический цех</v>
          </cell>
          <cell r="X101">
            <v>535420.01</v>
          </cell>
          <cell r="Y101">
            <v>5577.2917708333334</v>
          </cell>
          <cell r="Z101">
            <v>529842.7182291667</v>
          </cell>
          <cell r="AC101">
            <v>96</v>
          </cell>
        </row>
        <row r="102">
          <cell r="A102" t="str">
            <v>Система видеонаблюдения в РУ-6кВ, 0,4кВ ГТЭС-12,18</v>
          </cell>
          <cell r="B102" t="str">
            <v>000001664</v>
          </cell>
          <cell r="C102" t="str">
            <v>ПРОИЗВОДСТВО</v>
          </cell>
          <cell r="D102" t="str">
            <v>Машины и оборудование (кроме офисного)</v>
          </cell>
          <cell r="E102" t="str">
            <v>30.09.2015</v>
          </cell>
          <cell r="F102" t="str">
            <v>Газотурбинный цех</v>
          </cell>
          <cell r="X102">
            <v>171157</v>
          </cell>
          <cell r="Y102">
            <v>152818.53999999998</v>
          </cell>
          <cell r="Z102">
            <v>18338.460000000021</v>
          </cell>
          <cell r="AC102">
            <v>84</v>
          </cell>
        </row>
        <row r="103">
          <cell r="A103" t="str">
            <v>Система видеонаблюдения на ДККС</v>
          </cell>
          <cell r="B103" t="str">
            <v>000001885</v>
          </cell>
          <cell r="C103" t="str">
            <v>ПРОИЗВОДСТВО</v>
          </cell>
          <cell r="D103" t="str">
            <v>Машины и оборудование (кроме офисного)</v>
          </cell>
          <cell r="E103">
            <v>44561</v>
          </cell>
          <cell r="F103" t="str">
            <v>Газотурбинный цех</v>
          </cell>
          <cell r="X103">
            <v>500000</v>
          </cell>
          <cell r="Z103">
            <v>500000</v>
          </cell>
          <cell r="AC103">
            <v>120</v>
          </cell>
        </row>
        <row r="104">
          <cell r="A104" t="str">
            <v>Система газового анализа с сигнализацией</v>
          </cell>
          <cell r="B104" t="str">
            <v>00001486</v>
          </cell>
          <cell r="C104" t="str">
            <v>ПРОИЗВОДСТВО</v>
          </cell>
          <cell r="D104" t="str">
            <v>Другие виды основных средств</v>
          </cell>
          <cell r="E104" t="str">
            <v>31.12.2011</v>
          </cell>
          <cell r="F104" t="str">
            <v>Тепломеханический цех</v>
          </cell>
          <cell r="X104">
            <v>601793.94999999995</v>
          </cell>
          <cell r="Y104">
            <v>579527.52</v>
          </cell>
          <cell r="Z104">
            <v>22266.429999999935</v>
          </cell>
          <cell r="AC104">
            <v>84</v>
          </cell>
        </row>
        <row r="105">
          <cell r="A105" t="str">
            <v>Система для высоковольтных испытаний "ВОЛНА-СВИ53В"</v>
          </cell>
          <cell r="B105" t="str">
            <v>000001706</v>
          </cell>
          <cell r="C105" t="str">
            <v>ПРОИЗВОДСТВО</v>
          </cell>
          <cell r="D105" t="str">
            <v>Машины и оборудование (кроме офисного)</v>
          </cell>
          <cell r="E105" t="str">
            <v>18.07.2017</v>
          </cell>
          <cell r="F105" t="str">
            <v>Электрический цех</v>
          </cell>
          <cell r="X105">
            <v>338050.85</v>
          </cell>
          <cell r="Y105">
            <v>149305.77499999999</v>
          </cell>
          <cell r="Z105">
            <v>188745.07499999998</v>
          </cell>
          <cell r="AC105">
            <v>120</v>
          </cell>
        </row>
        <row r="106">
          <cell r="A106" t="str">
            <v>Система оперативно-диспетчерской связи Каскад-14 (Р) мод. Б-1</v>
          </cell>
          <cell r="B106" t="str">
            <v>000001735</v>
          </cell>
          <cell r="C106" t="str">
            <v>ПРОИЗВОДСТВО</v>
          </cell>
          <cell r="D106" t="str">
            <v>Машины и оборудование (кроме офисного)</v>
          </cell>
          <cell r="E106" t="str">
            <v>11.07.2018</v>
          </cell>
          <cell r="F106" t="str">
            <v>Электрический цех</v>
          </cell>
          <cell r="X106">
            <v>130271.88</v>
          </cell>
          <cell r="Y106">
            <v>44509.588000000003</v>
          </cell>
          <cell r="Z106">
            <v>85762.292000000001</v>
          </cell>
          <cell r="AC106">
            <v>120</v>
          </cell>
        </row>
        <row r="107">
          <cell r="A107" t="str">
            <v>Система оперативной радиосвязи</v>
          </cell>
          <cell r="B107" t="str">
            <v>000001715</v>
          </cell>
          <cell r="C107" t="str">
            <v>ПРОИЗВОДСТВО</v>
          </cell>
          <cell r="D107" t="str">
            <v>Машины и оборудование (кроме офисного)</v>
          </cell>
          <cell r="E107" t="str">
            <v>05.02.2018</v>
          </cell>
          <cell r="F107" t="str">
            <v>Электрический цех</v>
          </cell>
          <cell r="X107">
            <v>92585.46</v>
          </cell>
          <cell r="Y107">
            <v>70982.152000000002</v>
          </cell>
          <cell r="Z107">
            <v>21603.308000000005</v>
          </cell>
          <cell r="AC107">
            <v>60</v>
          </cell>
        </row>
        <row r="108">
          <cell r="A108" t="str">
            <v>Система освещения ГТЭС-12, ГТЭС-18</v>
          </cell>
          <cell r="B108" t="str">
            <v>000001665</v>
          </cell>
          <cell r="C108" t="str">
            <v>ПРОИЗВОДСТВО</v>
          </cell>
          <cell r="D108" t="str">
            <v>Сооружения</v>
          </cell>
          <cell r="E108" t="str">
            <v>30.10.2015</v>
          </cell>
          <cell r="F108" t="str">
            <v>Газотурбинный цех</v>
          </cell>
          <cell r="X108">
            <v>1972995.34</v>
          </cell>
          <cell r="Y108">
            <v>811120.60266666661</v>
          </cell>
          <cell r="Z108">
            <v>1161874.7373333336</v>
          </cell>
          <cell r="AC108">
            <v>180</v>
          </cell>
        </row>
        <row r="109">
          <cell r="A109" t="str">
            <v>Система охранно-пожарной сигнализации в производственных помещениях ТМЦ ГУП НАО "Нарьян-Марская электростанция"</v>
          </cell>
          <cell r="B109" t="str">
            <v>000001732</v>
          </cell>
          <cell r="C109" t="str">
            <v>ПРОИЗВОДСТВО</v>
          </cell>
          <cell r="D109" t="str">
            <v>Машины и оборудование (кроме офисного)</v>
          </cell>
          <cell r="E109" t="str">
            <v>31.05.2018</v>
          </cell>
          <cell r="F109" t="str">
            <v>Тепломеханический цех</v>
          </cell>
          <cell r="X109">
            <v>235520.27</v>
          </cell>
          <cell r="Y109">
            <v>56263.301333333329</v>
          </cell>
          <cell r="Z109">
            <v>179256.96866666665</v>
          </cell>
          <cell r="AC109">
            <v>180</v>
          </cell>
        </row>
        <row r="110">
          <cell r="A110" t="str">
            <v>Система охранно-пожарной сигнализации в производственных помещениях ЭЦ ГУП НАО "Нарьян-Марская электростанция"</v>
          </cell>
          <cell r="B110" t="str">
            <v>000001729</v>
          </cell>
          <cell r="C110" t="str">
            <v>ПРОИЗВОДСТВО</v>
          </cell>
          <cell r="D110" t="str">
            <v>Машины и оборудование (кроме офисного)</v>
          </cell>
          <cell r="E110" t="str">
            <v>31.05.2018</v>
          </cell>
          <cell r="F110" t="str">
            <v>Электрический цех</v>
          </cell>
          <cell r="X110">
            <v>41824.660000000003</v>
          </cell>
          <cell r="Y110">
            <v>9991.470666666668</v>
          </cell>
          <cell r="Z110">
            <v>31833.189333333336</v>
          </cell>
          <cell r="AC110">
            <v>180</v>
          </cell>
        </row>
        <row r="111">
          <cell r="A111" t="str">
            <v>Смотровой колодец Копосов ВП</v>
          </cell>
          <cell r="B111" t="str">
            <v>00001233</v>
          </cell>
          <cell r="C111" t="str">
            <v>ПРОИЗВОДСТВО</v>
          </cell>
          <cell r="D111" t="str">
            <v>Сооружения</v>
          </cell>
          <cell r="E111" t="str">
            <v>31.08.2010</v>
          </cell>
          <cell r="F111" t="str">
            <v>Тепломеханический цех</v>
          </cell>
          <cell r="X111">
            <v>56080</v>
          </cell>
          <cell r="Y111">
            <v>25422.52</v>
          </cell>
          <cell r="Z111">
            <v>30657.48</v>
          </cell>
          <cell r="AC111">
            <v>300</v>
          </cell>
        </row>
        <row r="112">
          <cell r="A112" t="str">
            <v>Станок сверлильный 2С125-04</v>
          </cell>
          <cell r="B112" t="str">
            <v>000001517</v>
          </cell>
          <cell r="C112" t="str">
            <v>ПРОИЗВОДСТВО</v>
          </cell>
          <cell r="D112" t="str">
            <v>Машины и оборудование (кроме офисного)</v>
          </cell>
          <cell r="E112" t="str">
            <v>22.03.2013</v>
          </cell>
          <cell r="F112" t="str">
            <v>Тепломеханический цех</v>
          </cell>
          <cell r="X112">
            <v>163516.95000000001</v>
          </cell>
          <cell r="Y112">
            <v>143077.215</v>
          </cell>
          <cell r="Z112">
            <v>20439.735000000015</v>
          </cell>
          <cell r="AC112">
            <v>120</v>
          </cell>
        </row>
        <row r="113">
          <cell r="A113" t="str">
            <v>Стенд из белого пластика ПВХ 6мм. Размер -2050x2400 мм</v>
          </cell>
          <cell r="B113" t="str">
            <v>000001734</v>
          </cell>
          <cell r="C113" t="str">
            <v>ПРОИЗВОДСТВО</v>
          </cell>
          <cell r="D113" t="str">
            <v>Производственный и хозяйственный инвентарь</v>
          </cell>
          <cell r="E113" t="str">
            <v>28.06.2018</v>
          </cell>
          <cell r="F113" t="str">
            <v>Электрический цех</v>
          </cell>
          <cell r="X113">
            <v>49704</v>
          </cell>
          <cell r="Y113">
            <v>34792.799999999996</v>
          </cell>
          <cell r="Z113">
            <v>14911.200000000004</v>
          </cell>
          <cell r="AC113">
            <v>60</v>
          </cell>
        </row>
        <row r="114">
          <cell r="A114" t="str">
            <v>Технолог-кие трубопроводы(маслоподача, КВОУ) 2003г</v>
          </cell>
          <cell r="B114" t="str">
            <v>00000497</v>
          </cell>
          <cell r="C114" t="str">
            <v>ПРОИЗВОДСТВО</v>
          </cell>
          <cell r="D114" t="str">
            <v>Сооружения</v>
          </cell>
          <cell r="E114" t="str">
            <v>01.10.2003</v>
          </cell>
          <cell r="F114" t="str">
            <v>Газотурбинный цех</v>
          </cell>
          <cell r="AC114">
            <v>240</v>
          </cell>
        </row>
        <row r="115">
          <cell r="A115" t="str">
            <v>Топливопровод</v>
          </cell>
          <cell r="B115" t="str">
            <v>000001834</v>
          </cell>
          <cell r="C115" t="str">
            <v>ПРОИЗВОДСТВО</v>
          </cell>
          <cell r="D115" t="str">
            <v>Сооружения</v>
          </cell>
          <cell r="E115" t="str">
            <v>30.12.2020</v>
          </cell>
          <cell r="F115" t="str">
            <v>ДЭС п.Красное</v>
          </cell>
          <cell r="X115">
            <v>570753.76</v>
          </cell>
          <cell r="Y115">
            <v>38050.250666666674</v>
          </cell>
          <cell r="Z115">
            <v>532703.50933333335</v>
          </cell>
          <cell r="AC115">
            <v>180</v>
          </cell>
        </row>
        <row r="116">
          <cell r="A116" t="str">
            <v>Топливоразд колонка Ливенка-4110</v>
          </cell>
          <cell r="B116" t="str">
            <v>00001121</v>
          </cell>
          <cell r="C116" t="str">
            <v>ПРОИЗВОДСТВО</v>
          </cell>
          <cell r="D116" t="str">
            <v>Машины и оборудование (кроме офисного)</v>
          </cell>
          <cell r="E116" t="str">
            <v>30.06.2009</v>
          </cell>
          <cell r="F116" t="str">
            <v>Тепломеханический цех</v>
          </cell>
          <cell r="Z116">
            <v>0</v>
          </cell>
          <cell r="AC116">
            <v>84</v>
          </cell>
        </row>
        <row r="117">
          <cell r="A117" t="str">
            <v>ТП "Амбулатория" п.Красное</v>
          </cell>
          <cell r="B117" t="str">
            <v>000001615</v>
          </cell>
          <cell r="C117" t="str">
            <v>ПРОИЗВОДСТВО</v>
          </cell>
          <cell r="D117" t="str">
            <v>Сооружения</v>
          </cell>
          <cell r="E117" t="str">
            <v>30.04.2014</v>
          </cell>
          <cell r="F117" t="str">
            <v>ДЭС п.Красное</v>
          </cell>
          <cell r="X117">
            <v>2007810.99</v>
          </cell>
          <cell r="Y117">
            <v>769660.9495000001</v>
          </cell>
          <cell r="Z117">
            <v>1238150.0404999999</v>
          </cell>
          <cell r="AC117">
            <v>240</v>
          </cell>
        </row>
        <row r="118">
          <cell r="A118" t="str">
            <v>Трансформатор напряжения НАЛИ-СЭЩ-6-16-0.5/0.5/3Р-75/75/75 У2</v>
          </cell>
          <cell r="B118" t="str">
            <v>000001550</v>
          </cell>
          <cell r="C118" t="str">
            <v>ПРОИЗВОДСТВО</v>
          </cell>
          <cell r="D118" t="str">
            <v>Машины и оборудование (кроме офисного)</v>
          </cell>
          <cell r="E118" t="str">
            <v>30.09.2013</v>
          </cell>
          <cell r="F118" t="str">
            <v>Электрический цех</v>
          </cell>
          <cell r="X118">
            <v>55250</v>
          </cell>
          <cell r="Y118">
            <v>45581.54</v>
          </cell>
          <cell r="Z118">
            <v>9668.4599999999991</v>
          </cell>
          <cell r="AC118">
            <v>120</v>
          </cell>
        </row>
        <row r="119">
          <cell r="A119" t="str">
            <v>Трансформатор Силовой зх-фазный</v>
          </cell>
          <cell r="B119" t="str">
            <v>00001192</v>
          </cell>
          <cell r="C119" t="str">
            <v>ПРОИЗВОДСТВО</v>
          </cell>
          <cell r="D119" t="str">
            <v>Машины и оборудование (кроме офисного)</v>
          </cell>
          <cell r="E119" t="str">
            <v>31.03.2010</v>
          </cell>
          <cell r="F119" t="str">
            <v>Газотурбинный цех</v>
          </cell>
          <cell r="AC119">
            <v>240</v>
          </cell>
        </row>
        <row r="120">
          <cell r="A120" t="str">
            <v>Трансформаторная подстанция, адрес: Ненецкий АО, Заполярный р-н, Красное п, Мира ул</v>
          </cell>
          <cell r="B120" t="str">
            <v>000001721</v>
          </cell>
          <cell r="C120" t="str">
            <v>ПРОИЗВОДСТВО</v>
          </cell>
          <cell r="D120" t="str">
            <v>Здания</v>
          </cell>
          <cell r="E120" t="str">
            <v>03.05.2018</v>
          </cell>
          <cell r="F120" t="str">
            <v>ДЭС п.Красное</v>
          </cell>
          <cell r="AC120">
            <v>300</v>
          </cell>
        </row>
        <row r="121">
          <cell r="A121" t="str">
            <v>Третья очередь реконструкции Нарьян-Марской электростанции с разработкой ПСД в г. Нарьян-Маре</v>
          </cell>
          <cell r="B121" t="str">
            <v>000001520</v>
          </cell>
          <cell r="C121" t="str">
            <v>ПРОИЗВОДСТВО</v>
          </cell>
          <cell r="D121" t="str">
            <v>Сооружения</v>
          </cell>
          <cell r="E121" t="str">
            <v>13.03.2013</v>
          </cell>
          <cell r="F121" t="str">
            <v>Электрический цех</v>
          </cell>
          <cell r="AC121">
            <v>180</v>
          </cell>
        </row>
        <row r="122">
          <cell r="A122" t="str">
            <v>Устройство ограждения 2007г 120м</v>
          </cell>
          <cell r="B122" t="str">
            <v>00001038</v>
          </cell>
          <cell r="C122" t="str">
            <v>ПРОИЗВОДСТВО</v>
          </cell>
          <cell r="D122" t="str">
            <v>Сооружения</v>
          </cell>
          <cell r="E122" t="str">
            <v>31.07.2007</v>
          </cell>
          <cell r="F122" t="str">
            <v>Тепломеханический цех</v>
          </cell>
          <cell r="X122">
            <v>655887.52</v>
          </cell>
          <cell r="Y122">
            <v>378228.19079999998</v>
          </cell>
          <cell r="Z122">
            <v>277659.32920000004</v>
          </cell>
          <cell r="AC122">
            <v>300</v>
          </cell>
        </row>
        <row r="123">
          <cell r="A123" t="str">
            <v>Устройство ограждения 2008г</v>
          </cell>
          <cell r="B123" t="str">
            <v>00001094</v>
          </cell>
          <cell r="C123" t="str">
            <v>ПРОИЗВОДСТВО</v>
          </cell>
          <cell r="D123" t="str">
            <v>Сооружения</v>
          </cell>
          <cell r="E123" t="str">
            <v>30.09.2008</v>
          </cell>
          <cell r="F123" t="str">
            <v>Тепломеханический цех</v>
          </cell>
          <cell r="X123">
            <v>1101177.48</v>
          </cell>
          <cell r="Y123">
            <v>583623.82920000004</v>
          </cell>
          <cell r="Z123">
            <v>517553.65079999994</v>
          </cell>
          <cell r="AC123">
            <v>300</v>
          </cell>
        </row>
        <row r="124">
          <cell r="A124" t="str">
            <v>Устройство ограждения 2010г</v>
          </cell>
          <cell r="B124" t="str">
            <v>00001228</v>
          </cell>
          <cell r="C124" t="str">
            <v>ПРОИЗВОДСТВО</v>
          </cell>
          <cell r="D124" t="str">
            <v>Сооружения</v>
          </cell>
          <cell r="E124" t="str">
            <v>24.08.2010</v>
          </cell>
          <cell r="F124" t="str">
            <v>Тепломеханический цех</v>
          </cell>
          <cell r="X124">
            <v>2343174</v>
          </cell>
          <cell r="Y124">
            <v>1690539.04</v>
          </cell>
          <cell r="Z124">
            <v>652634.96</v>
          </cell>
          <cell r="AC124">
            <v>300</v>
          </cell>
        </row>
        <row r="125">
          <cell r="A125" t="str">
            <v>Шкаф для инструмента металлический KronVuzBox 1140</v>
          </cell>
          <cell r="B125" t="str">
            <v>000001839</v>
          </cell>
          <cell r="C125" t="str">
            <v>ПРОИЗВОДСТВО</v>
          </cell>
          <cell r="D125" t="str">
            <v>Производственный и хозяйственный инвентарь</v>
          </cell>
          <cell r="E125" t="str">
            <v>15.03.2021</v>
          </cell>
          <cell r="F125" t="str">
            <v>Газотурбинный цех</v>
          </cell>
          <cell r="X125">
            <v>81666.67</v>
          </cell>
          <cell r="Y125">
            <v>4083.3334999999993</v>
          </cell>
          <cell r="Z125">
            <v>77583.336500000005</v>
          </cell>
          <cell r="AC125">
            <v>180</v>
          </cell>
        </row>
        <row r="126">
          <cell r="A126" t="str">
            <v>Шкаф распред устройств  с ячейками КРУ №7</v>
          </cell>
          <cell r="B126" t="str">
            <v>00001202</v>
          </cell>
          <cell r="C126" t="str">
            <v>ПРОИЗВОДСТВО</v>
          </cell>
          <cell r="D126" t="str">
            <v>Машины и оборудование (кроме офисного)</v>
          </cell>
          <cell r="E126" t="str">
            <v>31.03.2010</v>
          </cell>
          <cell r="F126" t="str">
            <v>Газотурбинный цех</v>
          </cell>
          <cell r="AC126">
            <v>180</v>
          </cell>
        </row>
        <row r="127">
          <cell r="A127" t="str">
            <v>Шкаф распред устройств с ячейками КРУ  №8</v>
          </cell>
          <cell r="B127" t="str">
            <v>00001203</v>
          </cell>
          <cell r="C127" t="str">
            <v>ПРОИЗВОДСТВО</v>
          </cell>
          <cell r="D127" t="str">
            <v>Машины и оборудование (кроме офисного)</v>
          </cell>
          <cell r="E127" t="str">
            <v>31.03.2010</v>
          </cell>
          <cell r="F127" t="str">
            <v>Газотурбинный цех</v>
          </cell>
          <cell r="X127">
            <v>784644.95</v>
          </cell>
          <cell r="Y127">
            <v>614638.72333333339</v>
          </cell>
          <cell r="Z127">
            <v>170006.22666666657</v>
          </cell>
          <cell r="AC127">
            <v>180</v>
          </cell>
        </row>
        <row r="128">
          <cell r="A128" t="str">
            <v>Шкаф распред устройств с ячейками КРУ №10</v>
          </cell>
          <cell r="B128" t="str">
            <v>00001207</v>
          </cell>
          <cell r="C128" t="str">
            <v>ПРОИЗВОДСТВО</v>
          </cell>
          <cell r="D128" t="str">
            <v>Машины и оборудование (кроме офисного)</v>
          </cell>
          <cell r="E128" t="str">
            <v>31.03.2010</v>
          </cell>
          <cell r="F128" t="str">
            <v>Газотурбинный цех</v>
          </cell>
          <cell r="AC128">
            <v>180</v>
          </cell>
        </row>
        <row r="129">
          <cell r="A129" t="str">
            <v>Шкаф распред устройств с ячейками КРУ №11</v>
          </cell>
          <cell r="B129" t="str">
            <v>00001208</v>
          </cell>
          <cell r="C129" t="str">
            <v>ПРОИЗВОДСТВО</v>
          </cell>
          <cell r="D129" t="str">
            <v>Машины и оборудование (кроме офисного)</v>
          </cell>
          <cell r="E129" t="str">
            <v>31.03.2010</v>
          </cell>
          <cell r="F129" t="str">
            <v>Газотурбинный цех</v>
          </cell>
          <cell r="X129">
            <v>784644.95</v>
          </cell>
          <cell r="Y129">
            <v>614638.72333333339</v>
          </cell>
          <cell r="Z129">
            <v>170006.22666666657</v>
          </cell>
          <cell r="AC129">
            <v>180</v>
          </cell>
        </row>
        <row r="130">
          <cell r="A130" t="str">
            <v>Шкаф распред устройств с ячейками КРУ №12</v>
          </cell>
          <cell r="B130" t="str">
            <v>00001209</v>
          </cell>
          <cell r="C130" t="str">
            <v>ПРОИЗВОДСТВО</v>
          </cell>
          <cell r="D130" t="str">
            <v>Машины и оборудование (кроме офисного)</v>
          </cell>
          <cell r="E130" t="str">
            <v>31.03.2010</v>
          </cell>
          <cell r="F130" t="str">
            <v>Газотурбинный цех</v>
          </cell>
          <cell r="AC130">
            <v>180</v>
          </cell>
        </row>
        <row r="131">
          <cell r="A131" t="str">
            <v>Шкаф распред устройств с ячейками КРУ №13</v>
          </cell>
          <cell r="B131" t="str">
            <v>00001210</v>
          </cell>
          <cell r="C131" t="str">
            <v>ПРОИЗВОДСТВО</v>
          </cell>
          <cell r="D131" t="str">
            <v>Машины и оборудование (кроме офисного)</v>
          </cell>
          <cell r="E131" t="str">
            <v>31.03.2010</v>
          </cell>
          <cell r="F131" t="str">
            <v>Газотурбинный цех</v>
          </cell>
          <cell r="AC131">
            <v>180</v>
          </cell>
        </row>
        <row r="132">
          <cell r="A132" t="str">
            <v>Шкаф распред устройств с ячейками КРУ №14</v>
          </cell>
          <cell r="B132" t="str">
            <v>00001211</v>
          </cell>
          <cell r="C132" t="str">
            <v>ПРОИЗВОДСТВО</v>
          </cell>
          <cell r="D132" t="str">
            <v>Машины и оборудование (кроме офисного)</v>
          </cell>
          <cell r="E132" t="str">
            <v>31.03.2010</v>
          </cell>
          <cell r="F132" t="str">
            <v>Газотурбинный цех</v>
          </cell>
          <cell r="AC132">
            <v>180</v>
          </cell>
        </row>
        <row r="133">
          <cell r="A133" t="str">
            <v>Шкаф распред устройств с ячейками КРУ №15</v>
          </cell>
          <cell r="B133" t="str">
            <v>00001212</v>
          </cell>
          <cell r="C133" t="str">
            <v>ПРОИЗВОДСТВО</v>
          </cell>
          <cell r="D133" t="str">
            <v>Машины и оборудование (кроме офисного)</v>
          </cell>
          <cell r="E133" t="str">
            <v>31.03.2010</v>
          </cell>
          <cell r="F133" t="str">
            <v>Газотурбинный цех</v>
          </cell>
          <cell r="X133">
            <v>784644.95</v>
          </cell>
          <cell r="Y133">
            <v>614638.72333333339</v>
          </cell>
          <cell r="Z133">
            <v>170006.22666666657</v>
          </cell>
          <cell r="AC133">
            <v>180</v>
          </cell>
        </row>
        <row r="134">
          <cell r="A134" t="str">
            <v>Шкаф распред устройств с ячейками КРУ №16</v>
          </cell>
          <cell r="B134" t="str">
            <v>00001204</v>
          </cell>
          <cell r="C134" t="str">
            <v>ПРОИЗВОДСТВО</v>
          </cell>
          <cell r="D134" t="str">
            <v>Машины и оборудование (кроме офисного)</v>
          </cell>
          <cell r="E134" t="str">
            <v>31.03.2010</v>
          </cell>
          <cell r="F134" t="str">
            <v>Газотурбинный цех</v>
          </cell>
          <cell r="AC134">
            <v>180</v>
          </cell>
        </row>
        <row r="135">
          <cell r="A135" t="str">
            <v>Шкаф распред устройств с ячейками КРУ №17</v>
          </cell>
          <cell r="B135" t="str">
            <v>00001200</v>
          </cell>
          <cell r="C135" t="str">
            <v>ПРОИЗВОДСТВО</v>
          </cell>
          <cell r="D135" t="str">
            <v>Машины и оборудование (кроме офисного)</v>
          </cell>
          <cell r="E135" t="str">
            <v>31.03.2010</v>
          </cell>
          <cell r="F135" t="str">
            <v>Газотурбинный цех</v>
          </cell>
          <cell r="AC135">
            <v>180</v>
          </cell>
        </row>
        <row r="136">
          <cell r="A136" t="str">
            <v>Шкаф распред устройств с ячейками КРУ №18</v>
          </cell>
          <cell r="B136" t="str">
            <v>00001213</v>
          </cell>
          <cell r="C136" t="str">
            <v>ПРОИЗВОДСТВО</v>
          </cell>
          <cell r="D136" t="str">
            <v>Машины и оборудование (кроме офисного)</v>
          </cell>
          <cell r="E136" t="str">
            <v>31.03.2010</v>
          </cell>
          <cell r="F136" t="str">
            <v>Газотурбинный цех</v>
          </cell>
          <cell r="AC136">
            <v>180</v>
          </cell>
        </row>
        <row r="137">
          <cell r="A137" t="str">
            <v>Шкаф распред устройств с ячейками КРУ №19</v>
          </cell>
          <cell r="B137" t="str">
            <v>00001214</v>
          </cell>
          <cell r="C137" t="str">
            <v>ПРОИЗВОДСТВО</v>
          </cell>
          <cell r="D137" t="str">
            <v>Машины и оборудование (кроме офисного)</v>
          </cell>
          <cell r="E137" t="str">
            <v>31.03.2010</v>
          </cell>
          <cell r="F137" t="str">
            <v>Газотурбинный цех</v>
          </cell>
          <cell r="AC137">
            <v>180</v>
          </cell>
        </row>
        <row r="138">
          <cell r="A138" t="str">
            <v>Шкаф распред устройств с ячейками КРУ №20</v>
          </cell>
          <cell r="B138" t="str">
            <v>00001189</v>
          </cell>
          <cell r="C138" t="str">
            <v>ПРОИЗВОДСТВО</v>
          </cell>
          <cell r="D138" t="str">
            <v>Машины и оборудование (кроме офисного)</v>
          </cell>
          <cell r="E138" t="str">
            <v>31.03.2010</v>
          </cell>
          <cell r="F138" t="str">
            <v>Газотурбинный цех</v>
          </cell>
          <cell r="X138">
            <v>784644.95</v>
          </cell>
          <cell r="Y138">
            <v>614638.72333333339</v>
          </cell>
          <cell r="Z138">
            <v>170006.22666666657</v>
          </cell>
          <cell r="AC138">
            <v>180</v>
          </cell>
        </row>
        <row r="139">
          <cell r="A139" t="str">
            <v>Шкаф распред устройств с ячейками КРУ №21</v>
          </cell>
          <cell r="B139" t="str">
            <v>00001215</v>
          </cell>
          <cell r="C139" t="str">
            <v>ПРОИЗВОДСТВО</v>
          </cell>
          <cell r="D139" t="str">
            <v>Машины и оборудование (кроме офисного)</v>
          </cell>
          <cell r="E139" t="str">
            <v>31.03.2010</v>
          </cell>
          <cell r="F139" t="str">
            <v>Газотурбинный цех</v>
          </cell>
          <cell r="X139">
            <v>784644.95</v>
          </cell>
          <cell r="Y139">
            <v>614638.72333333339</v>
          </cell>
          <cell r="Z139">
            <v>170006.22666666657</v>
          </cell>
          <cell r="AC139">
            <v>180</v>
          </cell>
        </row>
        <row r="140">
          <cell r="A140" t="str">
            <v>Шкаф распред устройств с ячейками КРУ №22</v>
          </cell>
          <cell r="B140" t="str">
            <v>00001216</v>
          </cell>
          <cell r="C140" t="str">
            <v>ПРОИЗВОДСТВО</v>
          </cell>
          <cell r="D140" t="str">
            <v>Машины и оборудование (кроме офисного)</v>
          </cell>
          <cell r="E140" t="str">
            <v>31.03.2010</v>
          </cell>
          <cell r="F140" t="str">
            <v>Газотурбинный цех</v>
          </cell>
          <cell r="AC140">
            <v>180</v>
          </cell>
        </row>
        <row r="141">
          <cell r="A141" t="str">
            <v>Шкаф распред устройств с ячейками КРУ №23</v>
          </cell>
          <cell r="B141" t="str">
            <v>00001217</v>
          </cell>
          <cell r="C141" t="str">
            <v>ПРОИЗВОДСТВО</v>
          </cell>
          <cell r="D141" t="str">
            <v>Машины и оборудование (кроме офисного)</v>
          </cell>
          <cell r="E141" t="str">
            <v>31.03.2010</v>
          </cell>
          <cell r="F141" t="str">
            <v>Газотурбинный цех</v>
          </cell>
          <cell r="AC141">
            <v>180</v>
          </cell>
        </row>
        <row r="142">
          <cell r="A142" t="str">
            <v>Шкаф распред устройств с ячейками КРУ №24</v>
          </cell>
          <cell r="B142" t="str">
            <v>00001218</v>
          </cell>
          <cell r="C142" t="str">
            <v>ПРОИЗВОДСТВО</v>
          </cell>
          <cell r="D142" t="str">
            <v>Машины и оборудование (кроме офисного)</v>
          </cell>
          <cell r="E142" t="str">
            <v>31.03.2010</v>
          </cell>
          <cell r="F142" t="str">
            <v>Газотурбинный цех</v>
          </cell>
          <cell r="AC142">
            <v>180</v>
          </cell>
        </row>
        <row r="143">
          <cell r="A143" t="str">
            <v>Шкаф распред устройств с ячейками КРУ №25</v>
          </cell>
          <cell r="B143" t="str">
            <v>00001219</v>
          </cell>
          <cell r="C143" t="str">
            <v>ПРОИЗВОДСТВО</v>
          </cell>
          <cell r="D143" t="str">
            <v>Машины и оборудование (кроме офисного)</v>
          </cell>
          <cell r="E143" t="str">
            <v>31.03.2010</v>
          </cell>
          <cell r="F143" t="str">
            <v>Газотурбинный цех</v>
          </cell>
          <cell r="AC143">
            <v>180</v>
          </cell>
        </row>
        <row r="144">
          <cell r="A144" t="str">
            <v>Шкаф распред устройств с ячейками КРУ №5</v>
          </cell>
          <cell r="B144" t="str">
            <v>00001199</v>
          </cell>
          <cell r="C144" t="str">
            <v>ПРОИЗВОДСТВО</v>
          </cell>
          <cell r="D144" t="str">
            <v>Машины и оборудование (кроме офисного)</v>
          </cell>
          <cell r="E144" t="str">
            <v>31.03.2010</v>
          </cell>
          <cell r="F144" t="str">
            <v>Газотурбинный цех</v>
          </cell>
          <cell r="AC144">
            <v>180</v>
          </cell>
        </row>
        <row r="145">
          <cell r="A145" t="str">
            <v>Шкаф распред устройств с ячейками КРУ №6</v>
          </cell>
          <cell r="B145" t="str">
            <v>00001201</v>
          </cell>
          <cell r="C145" t="str">
            <v>ПРОИЗВОДСТВО</v>
          </cell>
          <cell r="D145" t="str">
            <v>Машины и оборудование (кроме офисного)</v>
          </cell>
          <cell r="E145" t="str">
            <v>31.03.2010</v>
          </cell>
          <cell r="F145" t="str">
            <v>Газотурбинный цех</v>
          </cell>
          <cell r="AC145">
            <v>180</v>
          </cell>
        </row>
        <row r="146">
          <cell r="A146" t="str">
            <v>Шкаф распред устройств с ячейками КРУ №9</v>
          </cell>
          <cell r="B146" t="str">
            <v>00001206</v>
          </cell>
          <cell r="C146" t="str">
            <v>ПРОИЗВОДСТВО</v>
          </cell>
          <cell r="D146" t="str">
            <v>Машины и оборудование (кроме офисного)</v>
          </cell>
          <cell r="E146" t="str">
            <v>31.03.2010</v>
          </cell>
          <cell r="F146" t="str">
            <v>Газотурбинный цех</v>
          </cell>
          <cell r="AC146">
            <v>180</v>
          </cell>
        </row>
        <row r="147">
          <cell r="A147" t="str">
            <v>Электродвигатель ВА200LB4FБУ2.5 380 зв.6в IM1001po IP55V Ч КР146-05 К/247сл</v>
          </cell>
          <cell r="B147" t="str">
            <v>000001420</v>
          </cell>
          <cell r="C147" t="str">
            <v>ПРОИЗВОДСТВО</v>
          </cell>
          <cell r="D147" t="str">
            <v>Машины и оборудование (кроме офисного)</v>
          </cell>
          <cell r="E147" t="str">
            <v>30.06.2012</v>
          </cell>
          <cell r="F147" t="str">
            <v>Газотурбинный цех</v>
          </cell>
          <cell r="X147">
            <v>137811.01</v>
          </cell>
          <cell r="Y147">
            <v>130920.961</v>
          </cell>
          <cell r="Z147">
            <v>6890.0490000000136</v>
          </cell>
          <cell r="AC147">
            <v>120</v>
          </cell>
        </row>
        <row r="148">
          <cell r="A148" t="str">
            <v>Электродвигатель ВАО2-315М-2, У2,5, 1ExdIBT4, 250 кВт, 3000 об/мин, 380/660В, IM1001</v>
          </cell>
          <cell r="B148" t="str">
            <v>000001539</v>
          </cell>
          <cell r="C148" t="str">
            <v>ПРОИЗВОДСТВО</v>
          </cell>
          <cell r="D148" t="str">
            <v>Машины и оборудование (кроме офисного)</v>
          </cell>
          <cell r="E148" t="str">
            <v>31.08.2013</v>
          </cell>
          <cell r="F148" t="str">
            <v>Газотурбинный цех</v>
          </cell>
          <cell r="X148">
            <v>410338.98</v>
          </cell>
          <cell r="Y148">
            <v>37614.40649999999</v>
          </cell>
          <cell r="Z148">
            <v>68389.962</v>
          </cell>
          <cell r="AC148">
            <v>120</v>
          </cell>
        </row>
        <row r="149">
          <cell r="A149" t="str">
            <v>Электронасос типа КМ 100-80-160-5 15кВт</v>
          </cell>
          <cell r="B149" t="str">
            <v>000001809</v>
          </cell>
          <cell r="C149" t="str">
            <v>ПРОИЗВОДСТВО</v>
          </cell>
          <cell r="D149" t="str">
            <v>Машины и оборудование (кроме офисного)</v>
          </cell>
          <cell r="E149" t="str">
            <v>04.06.2020</v>
          </cell>
          <cell r="F149" t="str">
            <v>Тепломеханический цех</v>
          </cell>
          <cell r="X149">
            <v>81458.27</v>
          </cell>
          <cell r="Y149">
            <v>12218.747000000003</v>
          </cell>
          <cell r="Z149">
            <v>69239.523000000001</v>
          </cell>
          <cell r="AC149">
            <v>120</v>
          </cell>
        </row>
        <row r="150">
          <cell r="A150" t="str">
            <v>Электростанция  1955г.</v>
          </cell>
          <cell r="B150" t="str">
            <v>00000275</v>
          </cell>
          <cell r="C150" t="str">
            <v>ПРОИЗВОДСТВО</v>
          </cell>
          <cell r="D150" t="str">
            <v>Здания</v>
          </cell>
          <cell r="E150" t="str">
            <v>31.01.1955</v>
          </cell>
          <cell r="F150" t="str">
            <v>Тепломеханический цех</v>
          </cell>
          <cell r="X150">
            <v>10070046.470000001</v>
          </cell>
          <cell r="Y150">
            <v>4305862.41</v>
          </cell>
          <cell r="Z150">
            <v>5764184.0600000005</v>
          </cell>
          <cell r="AC150">
            <v>996</v>
          </cell>
        </row>
        <row r="151">
          <cell r="A151" t="str">
            <v>Ячейка генераторного выключателя КРУ СЭЩ-70</v>
          </cell>
          <cell r="B151" t="str">
            <v>000001652</v>
          </cell>
          <cell r="C151" t="str">
            <v>ПРОИЗВОДСТВО</v>
          </cell>
          <cell r="D151" t="str">
            <v>Машины и оборудование (кроме офисного)</v>
          </cell>
          <cell r="E151" t="str">
            <v>31.01.2015</v>
          </cell>
          <cell r="F151" t="str">
            <v>Газотурбинный цех</v>
          </cell>
          <cell r="X151">
            <v>2852111.23</v>
          </cell>
          <cell r="Y151">
            <v>1315140.0086666667</v>
          </cell>
          <cell r="Z151">
            <v>1536971.2213333333</v>
          </cell>
          <cell r="AC151">
            <v>180</v>
          </cell>
        </row>
        <row r="152">
          <cell r="A152" t="str">
            <v>Ячейка КСО-СЭЩ №1</v>
          </cell>
          <cell r="B152" t="str">
            <v>00001058</v>
          </cell>
          <cell r="C152" t="str">
            <v>ПРОИЗВОДСТВО</v>
          </cell>
          <cell r="D152" t="str">
            <v>Машины и оборудование (кроме офисного)</v>
          </cell>
          <cell r="E152" t="str">
            <v>30.11.2007</v>
          </cell>
          <cell r="F152" t="str">
            <v>Электрический цех</v>
          </cell>
          <cell r="X152">
            <v>294426.43</v>
          </cell>
          <cell r="Y152">
            <v>276433.32866666664</v>
          </cell>
          <cell r="Z152">
            <v>17993.101333333354</v>
          </cell>
          <cell r="AC152">
            <v>180</v>
          </cell>
        </row>
        <row r="153">
          <cell r="A153" t="str">
            <v>Ячейка КСО-СЭЩ №2</v>
          </cell>
          <cell r="B153" t="str">
            <v>00001059</v>
          </cell>
          <cell r="C153" t="str">
            <v>ПРОИЗВОДСТВО</v>
          </cell>
          <cell r="D153" t="str">
            <v>Машины и оборудование (кроме офисного)</v>
          </cell>
          <cell r="E153" t="str">
            <v>30.11.2007</v>
          </cell>
          <cell r="F153" t="str">
            <v>Электрический цех</v>
          </cell>
          <cell r="X153">
            <v>294426.43</v>
          </cell>
          <cell r="Y153">
            <v>276433.32866666664</v>
          </cell>
          <cell r="Z153">
            <v>17993.101333333354</v>
          </cell>
          <cell r="AC153">
            <v>180</v>
          </cell>
        </row>
        <row r="154">
          <cell r="A154" t="str">
            <v>Ячейка КСО-СЭЩ №3</v>
          </cell>
          <cell r="B154" t="str">
            <v>00001060</v>
          </cell>
          <cell r="C154" t="str">
            <v>ПРОИЗВОДСТВО</v>
          </cell>
          <cell r="D154" t="str">
            <v>Машины и оборудование (кроме офисного)</v>
          </cell>
          <cell r="E154" t="str">
            <v>30.11.2007</v>
          </cell>
          <cell r="F154" t="str">
            <v>Электрический цех</v>
          </cell>
          <cell r="X154">
            <v>294426.40999999997</v>
          </cell>
          <cell r="Y154">
            <v>276433.32733333332</v>
          </cell>
          <cell r="Z154">
            <v>17993.082666666654</v>
          </cell>
          <cell r="AC154">
            <v>180</v>
          </cell>
        </row>
        <row r="155">
          <cell r="A155" t="str">
            <v>Ячейка КСО-СЭЩ №4</v>
          </cell>
          <cell r="B155" t="str">
            <v>00001061</v>
          </cell>
          <cell r="C155" t="str">
            <v>ПРОИЗВОДСТВО</v>
          </cell>
          <cell r="D155" t="str">
            <v>Машины и оборудование (кроме офисного)</v>
          </cell>
          <cell r="E155" t="str">
            <v>30.11.2007</v>
          </cell>
          <cell r="F155" t="str">
            <v>Электрический цех</v>
          </cell>
          <cell r="X155">
            <v>294426.43</v>
          </cell>
          <cell r="Y155">
            <v>276433.32866666664</v>
          </cell>
          <cell r="Z155">
            <v>17993.101333333354</v>
          </cell>
          <cell r="AC155">
            <v>180</v>
          </cell>
        </row>
        <row r="156">
          <cell r="A156" t="str">
            <v>Ячейка трансформатора напряжения КРУ СЭЩ-70</v>
          </cell>
          <cell r="B156" t="str">
            <v>000001653</v>
          </cell>
          <cell r="C156" t="str">
            <v>ПРОИЗВОДСТВО</v>
          </cell>
          <cell r="D156" t="str">
            <v>Машины и оборудование (кроме офисного)</v>
          </cell>
          <cell r="E156" t="str">
            <v>31.01.2015</v>
          </cell>
          <cell r="F156" t="str">
            <v>Газотурбинный цех</v>
          </cell>
          <cell r="X156">
            <v>2276497.89</v>
          </cell>
          <cell r="Y156">
            <v>1049718.436</v>
          </cell>
          <cell r="Z156">
            <v>1226779.4540000001</v>
          </cell>
          <cell r="AC156">
            <v>180</v>
          </cell>
        </row>
        <row r="157">
          <cell r="A157" t="str">
            <v>ПЕРЕДАЧА</v>
          </cell>
        </row>
        <row r="158">
          <cell r="A158" t="str">
            <v>*- Н/в каб ТП20 до РКЦ l=117м ТП10 до РКЦ l=351,5м</v>
          </cell>
          <cell r="B158" t="str">
            <v>00000443</v>
          </cell>
          <cell r="C158" t="str">
            <v>ПЕРЕДАЧА</v>
          </cell>
          <cell r="D158" t="str">
            <v>Сооружения</v>
          </cell>
          <cell r="E158" t="str">
            <v>28.02.2002</v>
          </cell>
          <cell r="F158" t="str">
            <v>Цех электрических сетей</v>
          </cell>
          <cell r="X158">
            <v>270473</v>
          </cell>
          <cell r="Y158">
            <v>212486.411980198</v>
          </cell>
          <cell r="Z158">
            <v>57986.588019802002</v>
          </cell>
          <cell r="AC158">
            <v>303</v>
          </cell>
        </row>
        <row r="159">
          <cell r="A159" t="str">
            <v>1-я кабельная линия КЛ-6кВ 2007г</v>
          </cell>
          <cell r="B159" t="str">
            <v>00001032</v>
          </cell>
          <cell r="C159" t="str">
            <v>ПЕРЕДАЧА</v>
          </cell>
          <cell r="D159" t="str">
            <v>Сооружения</v>
          </cell>
          <cell r="E159" t="str">
            <v>30.04.2007</v>
          </cell>
          <cell r="F159" t="str">
            <v>Цех электрических сетей</v>
          </cell>
          <cell r="AC159">
            <v>300</v>
          </cell>
        </row>
        <row r="160">
          <cell r="A160" t="str">
            <v>2КТПБ 1000/6/0,4-УХЛ1  №104 по ул. Авиаторов в районе котельной</v>
          </cell>
          <cell r="B160" t="str">
            <v>000001607</v>
          </cell>
          <cell r="C160" t="str">
            <v>ПЕРЕДАЧА</v>
          </cell>
          <cell r="D160" t="str">
            <v>Сооружения</v>
          </cell>
          <cell r="E160" t="str">
            <v>31.01.2014</v>
          </cell>
          <cell r="F160" t="str">
            <v>Цех электрических сетей</v>
          </cell>
          <cell r="X160">
            <v>6071038.6600000001</v>
          </cell>
          <cell r="Y160">
            <v>2400729.9230000004</v>
          </cell>
          <cell r="Z160">
            <v>3670308.7369999997</v>
          </cell>
          <cell r="AC160">
            <v>240</v>
          </cell>
        </row>
        <row r="161">
          <cell r="A161" t="str">
            <v>2КТПБ 1000/6/0,4-УХЛ1  №105 по ул. Авиаторов в районе жилых домов</v>
          </cell>
          <cell r="B161" t="str">
            <v>000001608</v>
          </cell>
          <cell r="C161" t="str">
            <v>ПЕРЕДАЧА</v>
          </cell>
          <cell r="D161" t="str">
            <v>Сооружения</v>
          </cell>
          <cell r="E161" t="str">
            <v>31.01.2014</v>
          </cell>
          <cell r="F161" t="str">
            <v>Цех электрических сетей</v>
          </cell>
          <cell r="X161">
            <v>6351899.04</v>
          </cell>
          <cell r="Y161">
            <v>2509564.0019999999</v>
          </cell>
          <cell r="Z161">
            <v>3842335.0380000002</v>
          </cell>
          <cell r="AC161">
            <v>240</v>
          </cell>
        </row>
        <row r="162">
          <cell r="A162" t="str">
            <v>2-я кабельная линия КЛ-6кВ 2007г</v>
          </cell>
          <cell r="B162" t="str">
            <v>00001033</v>
          </cell>
          <cell r="C162" t="str">
            <v>ПЕРЕДАЧА</v>
          </cell>
          <cell r="D162" t="str">
            <v>Сооружения</v>
          </cell>
          <cell r="E162" t="str">
            <v>30.04.2007</v>
          </cell>
          <cell r="F162" t="str">
            <v>Цех электрических сетей</v>
          </cell>
          <cell r="AC162">
            <v>300</v>
          </cell>
        </row>
        <row r="163">
          <cell r="A163" t="str">
            <v>Автомашина ЗИЛ-131</v>
          </cell>
          <cell r="B163" t="str">
            <v>00000593</v>
          </cell>
          <cell r="C163" t="str">
            <v>ПЕРЕДАЧА</v>
          </cell>
          <cell r="D163" t="str">
            <v>Транспортные средства</v>
          </cell>
          <cell r="E163" t="str">
            <v>08.04.2002</v>
          </cell>
          <cell r="F163" t="str">
            <v>Автотранспортный цех</v>
          </cell>
          <cell r="AC163">
            <v>84</v>
          </cell>
        </row>
        <row r="164">
          <cell r="A164" t="str">
            <v>Автомобиль бортовой с г/м Чайка-Сервис 2784LW (КМУ Taurus 086A (сер.№А17К042) на базе, а/м КАМАЗ-43118) ш.ХТС431184Н2502321</v>
          </cell>
          <cell r="B164" t="str">
            <v>000001725</v>
          </cell>
          <cell r="C164" t="str">
            <v>ПЕРЕДАЧА</v>
          </cell>
          <cell r="D164" t="str">
            <v>Транспортные средства</v>
          </cell>
          <cell r="E164" t="str">
            <v>29.05.2018</v>
          </cell>
          <cell r="F164" t="str">
            <v>Автотранспортный цех</v>
          </cell>
          <cell r="X164">
            <v>6429403.6699999999</v>
          </cell>
          <cell r="Y164">
            <v>2303869.5269999998</v>
          </cell>
          <cell r="Z164">
            <v>4125534.1430000002</v>
          </cell>
          <cell r="AC164">
            <v>120</v>
          </cell>
        </row>
        <row r="165">
          <cell r="A165" t="str">
            <v>Автомобиль ГАЗ-27527 грузовой фургон цельнометалический (7 мест) VIN: X96275270K0869981</v>
          </cell>
          <cell r="B165" t="str">
            <v>000001758</v>
          </cell>
          <cell r="C165" t="str">
            <v>ПЕРЕДАЧА</v>
          </cell>
          <cell r="D165" t="str">
            <v>Транспортные средства</v>
          </cell>
          <cell r="E165" t="str">
            <v>27.03.2019</v>
          </cell>
          <cell r="F165" t="str">
            <v>Автотранспортный цех</v>
          </cell>
          <cell r="X165">
            <v>890058.33</v>
          </cell>
          <cell r="Y165">
            <v>349665.72</v>
          </cell>
          <cell r="Z165">
            <v>540392.61</v>
          </cell>
          <cell r="AC165">
            <v>84</v>
          </cell>
        </row>
        <row r="166">
          <cell r="A166" t="str">
            <v>Автомобиль ГАЗ-27527 грузовой фургон цельнометалический (7 мест) VIN: X96275270K0870291</v>
          </cell>
          <cell r="B166" t="str">
            <v>000001760</v>
          </cell>
          <cell r="C166" t="str">
            <v>ПЕРЕДАЧА</v>
          </cell>
          <cell r="D166" t="str">
            <v>Транспортные средства</v>
          </cell>
          <cell r="E166" t="str">
            <v>27.03.2019</v>
          </cell>
          <cell r="F166" t="str">
            <v>Автотранспортный цех</v>
          </cell>
          <cell r="X166">
            <v>890058.33</v>
          </cell>
          <cell r="Y166">
            <v>349665.72</v>
          </cell>
          <cell r="Z166">
            <v>540392.61</v>
          </cell>
          <cell r="AC166">
            <v>84</v>
          </cell>
        </row>
        <row r="167">
          <cell r="A167" t="str">
            <v>Автомобиль ГАЗ-27527 грузовой фургон цельнометалический (7 мест) VIN: X96275270K0870721</v>
          </cell>
          <cell r="B167" t="str">
            <v>000001759</v>
          </cell>
          <cell r="C167" t="str">
            <v>ПЕРЕДАЧА</v>
          </cell>
          <cell r="D167" t="str">
            <v>Транспортные средства</v>
          </cell>
          <cell r="E167" t="str">
            <v>27.03.2019</v>
          </cell>
          <cell r="F167" t="str">
            <v>Автотранспортный цех</v>
          </cell>
          <cell r="X167">
            <v>890058.33</v>
          </cell>
          <cell r="Y167">
            <v>349665.72</v>
          </cell>
          <cell r="Z167">
            <v>540392.61</v>
          </cell>
          <cell r="AC167">
            <v>84</v>
          </cell>
        </row>
        <row r="168">
          <cell r="A168" t="str">
            <v>Автоподъемник АП-17А-07 2004г</v>
          </cell>
          <cell r="B168" t="str">
            <v>00000750</v>
          </cell>
          <cell r="C168" t="str">
            <v>ПЕРЕДАЧА</v>
          </cell>
          <cell r="D168" t="str">
            <v>Транспортные средства</v>
          </cell>
          <cell r="E168" t="str">
            <v>31.07.2004</v>
          </cell>
          <cell r="F168" t="str">
            <v>Автотранспортный цех</v>
          </cell>
          <cell r="AC168">
            <v>120</v>
          </cell>
        </row>
        <row r="169">
          <cell r="A169" t="str">
            <v>АП АГП-18 АМ 0451/61  1998г.</v>
          </cell>
          <cell r="B169" t="str">
            <v>00000028</v>
          </cell>
          <cell r="C169" t="str">
            <v>ПЕРЕДАЧА</v>
          </cell>
          <cell r="D169" t="str">
            <v>Транспортные средства</v>
          </cell>
          <cell r="E169" t="str">
            <v>30.09.1998</v>
          </cell>
          <cell r="F169" t="str">
            <v>Автотранспортный цех</v>
          </cell>
          <cell r="AC169">
            <v>84</v>
          </cell>
        </row>
        <row r="170">
          <cell r="A170" t="str">
            <v>Блок МПЗ SEPAM 1000+ S42 зав.19132637</v>
          </cell>
          <cell r="B170" t="str">
            <v>000001776</v>
          </cell>
          <cell r="C170" t="str">
            <v>ПЕРЕДАЧА</v>
          </cell>
          <cell r="D170" t="str">
            <v>Машины и оборудование (кроме офисного)</v>
          </cell>
          <cell r="E170" t="str">
            <v>30.07.2019</v>
          </cell>
          <cell r="F170" t="str">
            <v>Цех электрических сетей</v>
          </cell>
          <cell r="X170">
            <v>227204.17</v>
          </cell>
          <cell r="Y170">
            <v>27453.768500000002</v>
          </cell>
          <cell r="Z170">
            <v>199750.40150000001</v>
          </cell>
          <cell r="AC170">
            <v>240</v>
          </cell>
        </row>
        <row r="171">
          <cell r="A171" t="str">
            <v>Вводной щит ЩО-70-2-34УЗ</v>
          </cell>
          <cell r="B171" t="str">
            <v>000001488</v>
          </cell>
          <cell r="C171" t="str">
            <v>ПЕРЕДАЧА</v>
          </cell>
          <cell r="D171" t="str">
            <v>Машины и оборудование (кроме офисного)</v>
          </cell>
          <cell r="E171" t="str">
            <v>24.09.2012</v>
          </cell>
          <cell r="F171" t="str">
            <v>Цех электрических сетей</v>
          </cell>
          <cell r="X171">
            <v>83983.05</v>
          </cell>
          <cell r="Y171">
            <v>51789.3</v>
          </cell>
          <cell r="Z171">
            <v>32193.75</v>
          </cell>
          <cell r="AC171">
            <v>180</v>
          </cell>
        </row>
        <row r="172">
          <cell r="A172" t="str">
            <v>Верстак 3200х700х860 (нагрузка 300кг)</v>
          </cell>
          <cell r="B172" t="str">
            <v>000001733</v>
          </cell>
          <cell r="C172" t="str">
            <v>ПЕРЕДАЧА</v>
          </cell>
          <cell r="D172" t="str">
            <v>Производственный и хозяйственный инвентарь</v>
          </cell>
          <cell r="E172" t="str">
            <v>26.06.2018</v>
          </cell>
          <cell r="F172" t="str">
            <v>Цех электрических сетей</v>
          </cell>
          <cell r="X172">
            <v>133833.32999999999</v>
          </cell>
          <cell r="Y172">
            <v>31227.822</v>
          </cell>
          <cell r="Z172">
            <v>102605.50799999999</v>
          </cell>
          <cell r="AC172">
            <v>180</v>
          </cell>
        </row>
        <row r="173">
          <cell r="A173" t="str">
            <v>ВЛ *- Воздушные ЛЭП п Факел 1996г.  1500м</v>
          </cell>
          <cell r="B173" t="str">
            <v>00000182</v>
          </cell>
          <cell r="C173" t="str">
            <v>ПЕРЕДАЧА</v>
          </cell>
          <cell r="D173" t="str">
            <v>Сооружения</v>
          </cell>
          <cell r="E173" t="str">
            <v>01.04.1996</v>
          </cell>
          <cell r="F173" t="str">
            <v>Цех электрических сетей</v>
          </cell>
          <cell r="X173">
            <v>797219</v>
          </cell>
          <cell r="Y173">
            <v>665678.54</v>
          </cell>
          <cell r="Z173">
            <v>131540.45999999996</v>
          </cell>
          <cell r="AC173">
            <v>300</v>
          </cell>
        </row>
        <row r="174">
          <cell r="A174" t="str">
            <v>ВЛ 0,4 кВ от ТП-7 "Столовая" фидер "Первомайская 1"</v>
          </cell>
          <cell r="B174" t="str">
            <v>000001780</v>
          </cell>
          <cell r="C174" t="str">
            <v>ПЕРЕДАЧА</v>
          </cell>
          <cell r="D174" t="str">
            <v>Сооружения</v>
          </cell>
          <cell r="E174" t="str">
            <v>11.10.2019</v>
          </cell>
          <cell r="F174" t="str">
            <v>Цех электрических сетей</v>
          </cell>
          <cell r="X174">
            <v>1948429.72</v>
          </cell>
          <cell r="Y174">
            <v>105539.96299999999</v>
          </cell>
          <cell r="Z174">
            <v>1842889.757</v>
          </cell>
          <cell r="AC174">
            <v>480</v>
          </cell>
        </row>
        <row r="175">
          <cell r="A175" t="str">
            <v>ВЛ- Воздушные ЛЭП-0,4 кв 1996г</v>
          </cell>
          <cell r="B175" t="str">
            <v>00000184</v>
          </cell>
          <cell r="C175" t="str">
            <v>ПЕРЕДАЧА</v>
          </cell>
          <cell r="D175" t="str">
            <v>Сооружения</v>
          </cell>
          <cell r="E175" t="str">
            <v>01.01.1996</v>
          </cell>
          <cell r="F175" t="str">
            <v>Цех электрических сетей</v>
          </cell>
          <cell r="X175">
            <v>256010.16</v>
          </cell>
          <cell r="Y175">
            <v>87382.180000000008</v>
          </cell>
          <cell r="Z175">
            <v>168627.97999999998</v>
          </cell>
          <cell r="AC175">
            <v>524</v>
          </cell>
        </row>
        <row r="176">
          <cell r="A176" t="str">
            <v>ВЛ Воздушные ЛЭП-6 кв Угольная  1976г.</v>
          </cell>
          <cell r="B176" t="str">
            <v>00000183</v>
          </cell>
          <cell r="C176" t="str">
            <v>ПЕРЕДАЧА</v>
          </cell>
          <cell r="D176" t="str">
            <v>Сооружения</v>
          </cell>
          <cell r="E176" t="str">
            <v>01.01.1976</v>
          </cell>
          <cell r="F176" t="str">
            <v>Цех электрических сетей</v>
          </cell>
          <cell r="X176">
            <v>14935</v>
          </cell>
          <cell r="Y176">
            <v>12918.42</v>
          </cell>
          <cell r="Z176">
            <v>2016.58</v>
          </cell>
          <cell r="AC176">
            <v>300</v>
          </cell>
        </row>
        <row r="177">
          <cell r="A177" t="str">
            <v>ВЛ наружные сети ВЛ-6 кв п Искат  1997г.</v>
          </cell>
          <cell r="B177" t="str">
            <v>00000186</v>
          </cell>
          <cell r="C177" t="str">
            <v>ПЕРЕДАЧА</v>
          </cell>
          <cell r="D177" t="str">
            <v>Сооружения</v>
          </cell>
          <cell r="E177" t="str">
            <v>01.12.1997</v>
          </cell>
          <cell r="F177" t="str">
            <v>Цех электрических сетей</v>
          </cell>
          <cell r="X177">
            <v>184877</v>
          </cell>
          <cell r="Y177">
            <v>155771.46</v>
          </cell>
          <cell r="Z177">
            <v>29105.540000000008</v>
          </cell>
          <cell r="AC177">
            <v>300</v>
          </cell>
        </row>
        <row r="178">
          <cell r="A178" t="str">
            <v>ВЛ-0,4 КВ 1800м на дер опоре  ул Монт 1998г</v>
          </cell>
          <cell r="B178" t="str">
            <v>00000255</v>
          </cell>
          <cell r="C178" t="str">
            <v>ПЕРЕДАЧА</v>
          </cell>
          <cell r="D178" t="str">
            <v>Сооружения</v>
          </cell>
          <cell r="E178" t="str">
            <v>01.09.1998</v>
          </cell>
          <cell r="F178" t="str">
            <v>Цех электрических сетей</v>
          </cell>
          <cell r="X178">
            <v>858676.65</v>
          </cell>
          <cell r="Y178">
            <v>270802.40000000002</v>
          </cell>
          <cell r="Z178">
            <v>587874.25</v>
          </cell>
          <cell r="AC178">
            <v>444</v>
          </cell>
        </row>
        <row r="179">
          <cell r="A179" t="str">
            <v>ВЛ-0,4 кВ от ТП-61 "Поликлиника" фидер "Губкина 16"</v>
          </cell>
          <cell r="B179" t="str">
            <v>000001826</v>
          </cell>
          <cell r="C179" t="str">
            <v>ПЕРЕДАЧА</v>
          </cell>
          <cell r="D179" t="str">
            <v>Сооружения</v>
          </cell>
          <cell r="E179" t="str">
            <v>04.12.2020</v>
          </cell>
          <cell r="F179" t="str">
            <v>Цех электрических сетей</v>
          </cell>
          <cell r="X179">
            <v>1251674.82</v>
          </cell>
          <cell r="Y179">
            <v>31291.870500000001</v>
          </cell>
          <cell r="Z179">
            <v>1220382.9495000001</v>
          </cell>
          <cell r="AC179">
            <v>480</v>
          </cell>
        </row>
        <row r="180">
          <cell r="A180" t="str">
            <v>ВЛ-0,4 кВ р-н ул.Первомайская, д.8  160м</v>
          </cell>
          <cell r="B180" t="str">
            <v>00001360</v>
          </cell>
          <cell r="C180" t="str">
            <v>ПЕРЕДАЧА</v>
          </cell>
          <cell r="D180" t="str">
            <v>Сооружения</v>
          </cell>
          <cell r="E180" t="str">
            <v>30.06.2011</v>
          </cell>
          <cell r="F180" t="str">
            <v>Цех электрических сетей</v>
          </cell>
          <cell r="X180">
            <v>141175.79</v>
          </cell>
          <cell r="Y180">
            <v>43434.34</v>
          </cell>
          <cell r="Z180">
            <v>97741.450000000012</v>
          </cell>
          <cell r="AC180">
            <v>398</v>
          </cell>
        </row>
        <row r="181">
          <cell r="A181" t="str">
            <v>ВЛ-0,4кВ "Малый Качгорт"</v>
          </cell>
          <cell r="B181" t="str">
            <v>000001698</v>
          </cell>
          <cell r="C181" t="str">
            <v>ПЕРЕДАЧА</v>
          </cell>
          <cell r="D181" t="str">
            <v>Сооружения</v>
          </cell>
          <cell r="E181" t="str">
            <v>09.12.2016</v>
          </cell>
          <cell r="F181" t="str">
            <v>Цех электрических сетей</v>
          </cell>
          <cell r="X181">
            <v>246467.05</v>
          </cell>
          <cell r="Y181">
            <v>82155.616666666654</v>
          </cell>
          <cell r="Z181">
            <v>164311.43333333335</v>
          </cell>
          <cell r="AC181">
            <v>180</v>
          </cell>
        </row>
        <row r="182">
          <cell r="A182" t="str">
            <v>ВЛ-0,4кВ (от ТП Бондарная до очистных) 240м</v>
          </cell>
          <cell r="B182" t="str">
            <v>00001225</v>
          </cell>
          <cell r="C182" t="str">
            <v>ПЕРЕДАЧА</v>
          </cell>
          <cell r="D182" t="str">
            <v>Сооружения</v>
          </cell>
          <cell r="E182" t="str">
            <v>30.06.2010</v>
          </cell>
          <cell r="F182" t="str">
            <v>Цех электрических сетей</v>
          </cell>
          <cell r="X182">
            <v>511357.63</v>
          </cell>
          <cell r="Y182">
            <v>180397.62</v>
          </cell>
          <cell r="Z182">
            <v>330960.01</v>
          </cell>
          <cell r="AC182">
            <v>410</v>
          </cell>
        </row>
        <row r="183">
          <cell r="A183" t="str">
            <v>ВЛ-0,4кВ от ТП22 "Поселок РБК", г.Нарьян-Мар, Ненецкий автономный округ</v>
          </cell>
          <cell r="B183" t="str">
            <v>000001829</v>
          </cell>
          <cell r="C183" t="str">
            <v>ПЕРЕДАЧА</v>
          </cell>
          <cell r="D183" t="str">
            <v>Сооружения</v>
          </cell>
          <cell r="E183" t="str">
            <v>30.12.2020</v>
          </cell>
          <cell r="F183" t="str">
            <v>Цех электрических сетей</v>
          </cell>
          <cell r="X183">
            <v>11037518.26</v>
          </cell>
          <cell r="Y183">
            <v>275937.95650000003</v>
          </cell>
          <cell r="Z183">
            <v>10761580.3035</v>
          </cell>
          <cell r="AC183">
            <v>480</v>
          </cell>
        </row>
        <row r="184">
          <cell r="A184" t="str">
            <v>ВЛ-6кВ "Малый Качгорт"</v>
          </cell>
          <cell r="B184" t="str">
            <v>000001696</v>
          </cell>
          <cell r="C184" t="str">
            <v>ПЕРЕДАЧА</v>
          </cell>
          <cell r="D184" t="str">
            <v>Сооружения</v>
          </cell>
          <cell r="E184" t="str">
            <v>09.12.2016</v>
          </cell>
          <cell r="F184" t="str">
            <v>Цех электрических сетей</v>
          </cell>
          <cell r="X184">
            <v>438055.37</v>
          </cell>
          <cell r="Y184">
            <v>146018.41133333332</v>
          </cell>
          <cell r="Z184">
            <v>292036.95866666664</v>
          </cell>
          <cell r="AC184">
            <v>180</v>
          </cell>
        </row>
        <row r="185">
          <cell r="A185" t="str">
            <v>Воздушная линия 0,4 кВ (ТУ 13 от 28.01.21)</v>
          </cell>
          <cell r="B185" t="str">
            <v>000001865</v>
          </cell>
          <cell r="C185" t="str">
            <v>ПЕРЕДАЧА</v>
          </cell>
          <cell r="D185" t="str">
            <v>Сооружения</v>
          </cell>
          <cell r="E185" t="str">
            <v>19.10.2021</v>
          </cell>
          <cell r="F185" t="str">
            <v>Цех электрических сетей</v>
          </cell>
          <cell r="X185">
            <v>98108.66</v>
          </cell>
          <cell r="Y185">
            <v>408.78608333333335</v>
          </cell>
          <cell r="Z185">
            <v>97699.873916666664</v>
          </cell>
          <cell r="AC185">
            <v>480</v>
          </cell>
        </row>
        <row r="186">
          <cell r="A186" t="str">
            <v>Воздушная линия 0,4 кВ (ТУ 62 от 13.05.21)</v>
          </cell>
          <cell r="B186" t="str">
            <v>000001866</v>
          </cell>
          <cell r="C186" t="str">
            <v>ПЕРЕДАЧА</v>
          </cell>
          <cell r="D186" t="str">
            <v>Сооружения</v>
          </cell>
          <cell r="E186" t="str">
            <v>19.10.2021</v>
          </cell>
          <cell r="F186" t="str">
            <v>Цех электрических сетей</v>
          </cell>
          <cell r="X186">
            <v>253914.86</v>
          </cell>
          <cell r="Y186">
            <v>1057.9785833333333</v>
          </cell>
          <cell r="Z186">
            <v>252856.88141666664</v>
          </cell>
          <cell r="AC186">
            <v>480</v>
          </cell>
        </row>
        <row r="187">
          <cell r="A187" t="str">
            <v>Воздушная линия 0,4 кВ (ТУ №42 от 16.04.2021 г.)</v>
          </cell>
          <cell r="B187" t="str">
            <v>000001876</v>
          </cell>
          <cell r="C187" t="str">
            <v>ПЕРЕДАЧА</v>
          </cell>
          <cell r="D187" t="str">
            <v>Сооружения</v>
          </cell>
          <cell r="E187">
            <v>44560</v>
          </cell>
          <cell r="F187" t="str">
            <v>Цех электрических сетей</v>
          </cell>
          <cell r="X187">
            <v>254557.39</v>
          </cell>
          <cell r="Z187">
            <v>254557.39</v>
          </cell>
          <cell r="AC187">
            <v>480</v>
          </cell>
        </row>
        <row r="188">
          <cell r="A188" t="str">
            <v>Воздушная линия 0,4 кВ (ТУ №45 от 22.04.2021 г.)</v>
          </cell>
          <cell r="B188" t="str">
            <v>000001878</v>
          </cell>
          <cell r="C188" t="str">
            <v>ПЕРЕДАЧА</v>
          </cell>
          <cell r="D188" t="str">
            <v>Сооружения</v>
          </cell>
          <cell r="E188">
            <v>44560</v>
          </cell>
          <cell r="F188" t="str">
            <v>Цех электрических сетей</v>
          </cell>
          <cell r="X188">
            <v>383015.6</v>
          </cell>
          <cell r="Z188">
            <v>383015.6</v>
          </cell>
          <cell r="AC188">
            <v>480</v>
          </cell>
        </row>
        <row r="189">
          <cell r="A189" t="str">
            <v>Воздушная линия 0,4 кВ (ТУ №57 от 12.05.2021 г.)</v>
          </cell>
          <cell r="B189" t="str">
            <v>000001881</v>
          </cell>
          <cell r="C189" t="str">
            <v>ПЕРЕДАЧА</v>
          </cell>
          <cell r="D189" t="str">
            <v>Сооружения</v>
          </cell>
          <cell r="E189">
            <v>44560</v>
          </cell>
          <cell r="F189" t="str">
            <v>Цех электрических сетей</v>
          </cell>
          <cell r="X189">
            <v>161733.60999999999</v>
          </cell>
          <cell r="Z189">
            <v>161733.60999999999</v>
          </cell>
          <cell r="AC189">
            <v>480</v>
          </cell>
        </row>
        <row r="190">
          <cell r="A190" t="str">
            <v>Воздушная линия 0,4 кВ (ТУ №66 от 13.05.2021 г.)</v>
          </cell>
          <cell r="B190" t="str">
            <v>000001880</v>
          </cell>
          <cell r="C190" t="str">
            <v>ПЕРЕДАЧА</v>
          </cell>
          <cell r="D190" t="str">
            <v>Сооружения</v>
          </cell>
          <cell r="E190">
            <v>44560</v>
          </cell>
          <cell r="F190" t="str">
            <v>Цех электрических сетей</v>
          </cell>
          <cell r="X190">
            <v>168246.35</v>
          </cell>
          <cell r="Z190">
            <v>168246.35</v>
          </cell>
          <cell r="AC190">
            <v>480</v>
          </cell>
        </row>
        <row r="191">
          <cell r="A191" t="str">
            <v>Воздушная линия 6кВ от распределительного пункта "Водозабор" до территории Воинской части №12403 и до территории "Свалка"</v>
          </cell>
          <cell r="B191" t="str">
            <v>000001823</v>
          </cell>
          <cell r="C191" t="str">
            <v>ПЕРЕДАЧА</v>
          </cell>
          <cell r="D191" t="str">
            <v>Сооружения</v>
          </cell>
          <cell r="E191" t="str">
            <v>16.09.2020</v>
          </cell>
          <cell r="F191" t="str">
            <v>Цех электрических сетей</v>
          </cell>
          <cell r="X191">
            <v>5342040.4000000004</v>
          </cell>
          <cell r="Y191">
            <v>166938.76000000004</v>
          </cell>
          <cell r="Z191">
            <v>5175101.6400000006</v>
          </cell>
          <cell r="AC191">
            <v>480</v>
          </cell>
        </row>
        <row r="192">
          <cell r="A192" t="str">
            <v>Воздушные линии 6 кВ в составе объекта "ТП-63/1 "Озерная 16" в районе ул. Озерная д.7а"</v>
          </cell>
          <cell r="B192" t="str">
            <v>000001828</v>
          </cell>
          <cell r="C192" t="str">
            <v>ПЕРЕДАЧА</v>
          </cell>
          <cell r="D192" t="str">
            <v>Сооружения</v>
          </cell>
          <cell r="E192" t="str">
            <v>30.12.2020</v>
          </cell>
          <cell r="F192" t="str">
            <v>Цех электрических сетей</v>
          </cell>
          <cell r="X192">
            <v>10441328.130000001</v>
          </cell>
          <cell r="Y192">
            <v>208826.56259999995</v>
          </cell>
          <cell r="Z192">
            <v>10232501.567400001</v>
          </cell>
          <cell r="AC192">
            <v>600</v>
          </cell>
        </row>
        <row r="193">
          <cell r="A193" t="str">
            <v>Выключатель автоматический ВА-5541 1000А</v>
          </cell>
          <cell r="B193" t="str">
            <v>00001003</v>
          </cell>
          <cell r="C193" t="str">
            <v>ПЕРЕДАЧА</v>
          </cell>
          <cell r="D193" t="str">
            <v>Машины и оборудование (кроме офисного)</v>
          </cell>
          <cell r="E193" t="str">
            <v>30.11.2006</v>
          </cell>
          <cell r="F193" t="str">
            <v>Цех электрических сетей</v>
          </cell>
          <cell r="X193">
            <v>23644.07</v>
          </cell>
          <cell r="Y193">
            <v>23644.069444444445</v>
          </cell>
          <cell r="Z193">
            <v>5.5555555445607752E-4</v>
          </cell>
          <cell r="AC193">
            <v>180</v>
          </cell>
        </row>
        <row r="194">
          <cell r="A194" t="str">
            <v>Высоковольтные сети электроснабжения 150 м п. Мирный (ТП №91)</v>
          </cell>
          <cell r="B194" t="str">
            <v>000001490</v>
          </cell>
          <cell r="C194" t="str">
            <v>ПЕРЕДАЧА</v>
          </cell>
          <cell r="D194" t="str">
            <v>Сооружения</v>
          </cell>
          <cell r="E194" t="str">
            <v>31.10.2012</v>
          </cell>
          <cell r="F194" t="str">
            <v>Цех электрических сетей</v>
          </cell>
          <cell r="AC194">
            <v>360</v>
          </cell>
        </row>
        <row r="195">
          <cell r="A195" t="str">
            <v>Гараж 3-секционный от Н-Мстрой</v>
          </cell>
          <cell r="B195" t="str">
            <v>00000027</v>
          </cell>
          <cell r="C195" t="str">
            <v>ПЕРЕДАЧА</v>
          </cell>
          <cell r="D195" t="str">
            <v>Здания</v>
          </cell>
          <cell r="E195" t="str">
            <v>01.09.1998</v>
          </cell>
          <cell r="F195" t="str">
            <v>Автотранспортный цех</v>
          </cell>
          <cell r="X195">
            <v>835229.83</v>
          </cell>
          <cell r="Y195">
            <v>312532.11000000004</v>
          </cell>
          <cell r="Z195">
            <v>522697.71999999991</v>
          </cell>
          <cell r="AC195">
            <v>480</v>
          </cell>
        </row>
        <row r="196">
          <cell r="A196" t="str">
            <v>Гаражный бокс 2007г</v>
          </cell>
          <cell r="B196" t="str">
            <v>00001055</v>
          </cell>
          <cell r="C196" t="str">
            <v>ПЕРЕДАЧА</v>
          </cell>
          <cell r="D196" t="str">
            <v>Здания</v>
          </cell>
          <cell r="E196" t="str">
            <v>31.10.2007</v>
          </cell>
          <cell r="F196" t="str">
            <v>Автотранспортный цех</v>
          </cell>
          <cell r="X196">
            <v>1142387.3600000001</v>
          </cell>
          <cell r="Y196">
            <v>619246.88</v>
          </cell>
          <cell r="Z196">
            <v>523140.4800000001</v>
          </cell>
          <cell r="AC196">
            <v>300</v>
          </cell>
        </row>
        <row r="197">
          <cell r="A197" t="str">
            <v>Генератор силовой Е-100</v>
          </cell>
          <cell r="B197" t="str">
            <v>000001724</v>
          </cell>
          <cell r="C197" t="str">
            <v>ПЕРЕДАЧА</v>
          </cell>
          <cell r="D197" t="str">
            <v>Машины и оборудование (кроме офисного)</v>
          </cell>
          <cell r="E197" t="str">
            <v>14.05.2018</v>
          </cell>
          <cell r="F197" t="str">
            <v>Цех электрических сетей</v>
          </cell>
          <cell r="X197">
            <v>87175.76</v>
          </cell>
          <cell r="Y197">
            <v>44625.79</v>
          </cell>
          <cell r="Z197">
            <v>42549.969999999994</v>
          </cell>
          <cell r="AC197">
            <v>84</v>
          </cell>
        </row>
        <row r="198">
          <cell r="A198" t="str">
            <v>Двуцепная ЛЭП от ДЭС п Искателей  до ТП</v>
          </cell>
          <cell r="B198" t="str">
            <v>00000254</v>
          </cell>
          <cell r="C198" t="str">
            <v>ПЕРЕДАЧА</v>
          </cell>
          <cell r="D198" t="str">
            <v>Сооружения</v>
          </cell>
          <cell r="E198" t="str">
            <v>01.09.1998</v>
          </cell>
          <cell r="F198" t="str">
            <v>Цех электрических сетей</v>
          </cell>
          <cell r="Z198">
            <v>0</v>
          </cell>
          <cell r="AC198">
            <v>396</v>
          </cell>
        </row>
        <row r="199">
          <cell r="A199" t="str">
            <v>Диагностический сканер FCAR F7S-G</v>
          </cell>
          <cell r="B199" t="str">
            <v>000001805</v>
          </cell>
          <cell r="C199" t="str">
            <v>ПЕРЕДАЧА</v>
          </cell>
          <cell r="D199" t="str">
            <v>Машины и оборудование (кроме офисного)</v>
          </cell>
          <cell r="E199" t="str">
            <v>24.03.2020</v>
          </cell>
          <cell r="F199" t="str">
            <v>Автотранспортный цех</v>
          </cell>
          <cell r="X199">
            <v>130523.72</v>
          </cell>
          <cell r="Y199">
            <v>45683.343999999997</v>
          </cell>
          <cell r="Z199">
            <v>84840.376000000004</v>
          </cell>
          <cell r="AC199">
            <v>60</v>
          </cell>
        </row>
        <row r="200">
          <cell r="A200" t="str">
            <v>Дорожное покрытие ул 60 лет Окт 1996г.</v>
          </cell>
          <cell r="B200" t="str">
            <v>00000026</v>
          </cell>
          <cell r="C200" t="str">
            <v>ПЕРЕДАЧА</v>
          </cell>
          <cell r="D200" t="str">
            <v>Сооружения</v>
          </cell>
          <cell r="E200" t="str">
            <v>30.12.1996</v>
          </cell>
          <cell r="F200" t="str">
            <v>Автотранспортный цех</v>
          </cell>
          <cell r="X200">
            <v>183653.11</v>
          </cell>
          <cell r="Y200">
            <v>40400.07</v>
          </cell>
          <cell r="Z200">
            <v>143253.03999999998</v>
          </cell>
          <cell r="AC200">
            <v>600</v>
          </cell>
        </row>
        <row r="201">
          <cell r="A201" t="str">
            <v>Защищённый ноутбук Cyberbook S874</v>
          </cell>
          <cell r="B201" t="str">
            <v>000001754</v>
          </cell>
          <cell r="C201" t="str">
            <v>ПЕРЕДАЧА</v>
          </cell>
          <cell r="D201" t="str">
            <v>Машины и оборудование (кроме офисного)</v>
          </cell>
          <cell r="E201" t="str">
            <v>21.11.2018</v>
          </cell>
          <cell r="F201" t="str">
            <v>Цех электрических сетей</v>
          </cell>
          <cell r="X201">
            <v>134957.63</v>
          </cell>
          <cell r="Y201">
            <v>134957.63361111112</v>
          </cell>
          <cell r="Z201">
            <v>-3.6111111112404615E-3</v>
          </cell>
          <cell r="AC201">
            <v>36</v>
          </cell>
        </row>
        <row r="202">
          <cell r="A202" t="str">
            <v>Здание углеподачи  1955г.</v>
          </cell>
          <cell r="B202" t="str">
            <v>00000090</v>
          </cell>
          <cell r="C202" t="str">
            <v>ПЕРЕДАЧА</v>
          </cell>
          <cell r="D202" t="str">
            <v>Здания</v>
          </cell>
          <cell r="E202" t="str">
            <v>01.01.1955</v>
          </cell>
          <cell r="F202" t="str">
            <v>Теплоэнергия</v>
          </cell>
          <cell r="X202">
            <v>152831.26</v>
          </cell>
          <cell r="Y202">
            <v>46314.068111111112</v>
          </cell>
          <cell r="Z202">
            <v>106517.19188888889</v>
          </cell>
          <cell r="AC202">
            <v>180</v>
          </cell>
        </row>
        <row r="203">
          <cell r="A203" t="str">
            <v>ЗРУ 6кВ в районе оз. Заводская Курья</v>
          </cell>
          <cell r="B203" t="str">
            <v>000001785</v>
          </cell>
          <cell r="C203" t="str">
            <v>ПЕРЕДАЧА</v>
          </cell>
          <cell r="D203" t="str">
            <v>Сооружения</v>
          </cell>
          <cell r="E203" t="str">
            <v>19.12.2019</v>
          </cell>
          <cell r="F203" t="str">
            <v>Цех электрических сетей</v>
          </cell>
          <cell r="X203">
            <v>35573705.259999998</v>
          </cell>
          <cell r="Y203">
            <v>2845896.4503999995</v>
          </cell>
          <cell r="Z203">
            <v>32727808.809599999</v>
          </cell>
          <cell r="AC203">
            <v>300</v>
          </cell>
        </row>
        <row r="204">
          <cell r="A204" t="str">
            <v>Индикатор емкости свинцовых аккумуляторов Кулон-12/6р</v>
          </cell>
          <cell r="B204" t="str">
            <v>000001743</v>
          </cell>
          <cell r="C204" t="str">
            <v>ПЕРЕДАЧА</v>
          </cell>
          <cell r="D204" t="str">
            <v>Машины и оборудование (кроме офисного)</v>
          </cell>
          <cell r="E204" t="str">
            <v>28.08.2018</v>
          </cell>
          <cell r="F204" t="str">
            <v>Цех электрических сетей</v>
          </cell>
          <cell r="X204">
            <v>90383.52</v>
          </cell>
          <cell r="Y204">
            <v>60255.623999999996</v>
          </cell>
          <cell r="Z204">
            <v>30127.896000000008</v>
          </cell>
          <cell r="AC204">
            <v>60</v>
          </cell>
        </row>
        <row r="205">
          <cell r="A205" t="str">
            <v>К/л. в/в от ТП-82 "Бассейн" до ТП-87 "Промз."</v>
          </cell>
          <cell r="B205" t="str">
            <v>00001090</v>
          </cell>
          <cell r="C205" t="str">
            <v>ПЕРЕДАЧА</v>
          </cell>
          <cell r="D205" t="str">
            <v>Сооружения</v>
          </cell>
          <cell r="E205" t="str">
            <v>30.09.2008</v>
          </cell>
          <cell r="F205" t="str">
            <v>Цех электрических сетей</v>
          </cell>
          <cell r="X205">
            <v>1799427.23</v>
          </cell>
          <cell r="Y205">
            <v>953696.31920000003</v>
          </cell>
          <cell r="Z205">
            <v>845730.91079999995</v>
          </cell>
          <cell r="AC205">
            <v>300</v>
          </cell>
        </row>
        <row r="206">
          <cell r="A206" t="str">
            <v>Кабельная высоковольтная линия 6 кВ в с. Тельвиска НАО</v>
          </cell>
          <cell r="B206" t="str">
            <v>000001844</v>
          </cell>
          <cell r="C206" t="str">
            <v>ПЕРЕДАЧА</v>
          </cell>
          <cell r="D206" t="str">
            <v>Сооружения</v>
          </cell>
          <cell r="E206" t="str">
            <v>14.04.2021</v>
          </cell>
          <cell r="F206" t="str">
            <v>Цех электрических сетей</v>
          </cell>
          <cell r="X206">
            <v>444333.5</v>
          </cell>
          <cell r="Y206">
            <v>19748.155555555557</v>
          </cell>
          <cell r="Z206">
            <v>424585.34444444446</v>
          </cell>
          <cell r="AC206">
            <v>180</v>
          </cell>
        </row>
        <row r="207">
          <cell r="A207" t="str">
            <v>Кабельная линия   "ЗРУ 6кВ-выход ф.Искателей" 2007</v>
          </cell>
          <cell r="B207" t="str">
            <v>00001035</v>
          </cell>
          <cell r="C207" t="str">
            <v>ПЕРЕДАЧА</v>
          </cell>
          <cell r="D207" t="str">
            <v>Сооружения</v>
          </cell>
          <cell r="E207" t="str">
            <v>30.05.2007</v>
          </cell>
          <cell r="F207" t="str">
            <v>Цех электрических сетей</v>
          </cell>
          <cell r="X207">
            <v>51841</v>
          </cell>
          <cell r="Y207">
            <v>30240.04</v>
          </cell>
          <cell r="Z207">
            <v>21600.959999999999</v>
          </cell>
          <cell r="AC207">
            <v>300</v>
          </cell>
        </row>
        <row r="208">
          <cell r="A208" t="str">
            <v>Кабельная линия 0,4 кВ (ДТП №336 от 01.10.2021)</v>
          </cell>
          <cell r="B208" t="str">
            <v>000001879</v>
          </cell>
          <cell r="C208" t="str">
            <v>ПЕРЕДАЧА</v>
          </cell>
          <cell r="D208" t="str">
            <v>Сооружения</v>
          </cell>
          <cell r="E208">
            <v>44560</v>
          </cell>
          <cell r="F208" t="str">
            <v>Цех электрических сетей</v>
          </cell>
          <cell r="X208">
            <v>256945.19</v>
          </cell>
          <cell r="Z208">
            <v>256945.19</v>
          </cell>
          <cell r="AC208">
            <v>300</v>
          </cell>
        </row>
        <row r="209">
          <cell r="A209" t="str">
            <v>Кабельная линия 0,4 кВ (ТУ 174 от 20.10.20)</v>
          </cell>
          <cell r="B209" t="str">
            <v>000001862</v>
          </cell>
          <cell r="C209" t="str">
            <v>ПЕРЕДАЧА</v>
          </cell>
          <cell r="D209" t="str">
            <v>Сооружения</v>
          </cell>
          <cell r="E209" t="str">
            <v>19.10.2021</v>
          </cell>
          <cell r="F209" t="str">
            <v>Цех электрических сетей</v>
          </cell>
          <cell r="X209">
            <v>208735.37</v>
          </cell>
          <cell r="Y209">
            <v>1391.5691333333334</v>
          </cell>
          <cell r="Z209">
            <v>207343.80086666666</v>
          </cell>
          <cell r="AC209">
            <v>300</v>
          </cell>
        </row>
        <row r="210">
          <cell r="A210" t="str">
            <v>Кабельная линия 0,4 кВ (ТУ 200 от 23.10.20)</v>
          </cell>
          <cell r="B210" t="str">
            <v>000001861</v>
          </cell>
          <cell r="C210" t="str">
            <v>ПЕРЕДАЧА</v>
          </cell>
          <cell r="D210" t="str">
            <v>Сооружения</v>
          </cell>
          <cell r="E210" t="str">
            <v>19.10.2021</v>
          </cell>
          <cell r="F210" t="str">
            <v>Цех электрических сетей</v>
          </cell>
          <cell r="X210">
            <v>93334.95</v>
          </cell>
          <cell r="Y210">
            <v>622.23299999999995</v>
          </cell>
          <cell r="Z210">
            <v>92712.717000000004</v>
          </cell>
          <cell r="AC210">
            <v>300</v>
          </cell>
        </row>
        <row r="211">
          <cell r="A211" t="str">
            <v>Кабельная линия 0,4 кВ (ТУ 581 от 25.02.21)</v>
          </cell>
          <cell r="B211" t="str">
            <v>000001877</v>
          </cell>
          <cell r="C211" t="str">
            <v>ПЕРЕДАЧА</v>
          </cell>
          <cell r="D211" t="str">
            <v>Сооружения</v>
          </cell>
          <cell r="E211">
            <v>44560</v>
          </cell>
          <cell r="F211" t="str">
            <v>Цех электрических сетей</v>
          </cell>
          <cell r="X211">
            <v>160319.39000000001</v>
          </cell>
          <cell r="Z211">
            <v>160319.39000000001</v>
          </cell>
          <cell r="AC211">
            <v>300</v>
          </cell>
        </row>
        <row r="212">
          <cell r="A212" t="str">
            <v>Кабельная линия 0,4 кВ (ТУ 589 от 14.04.21)</v>
          </cell>
          <cell r="B212" t="str">
            <v>000001864</v>
          </cell>
          <cell r="C212" t="str">
            <v>ПЕРЕДАЧА</v>
          </cell>
          <cell r="D212" t="str">
            <v>Сооружения</v>
          </cell>
          <cell r="E212" t="str">
            <v>19.10.2021</v>
          </cell>
          <cell r="F212" t="str">
            <v>Цех электрических сетей</v>
          </cell>
          <cell r="X212">
            <v>2244355.14</v>
          </cell>
          <cell r="Y212">
            <v>14962.367600000001</v>
          </cell>
          <cell r="Z212">
            <v>2229392.7724000001</v>
          </cell>
          <cell r="AC212">
            <v>300</v>
          </cell>
        </row>
        <row r="213">
          <cell r="A213" t="str">
            <v>Кабельная линия 0,4 кВ (ТУ №26 от 29.03.21 г.)</v>
          </cell>
          <cell r="B213" t="str">
            <v>000001875</v>
          </cell>
          <cell r="C213" t="str">
            <v>ПЕРЕДАЧА</v>
          </cell>
          <cell r="D213" t="str">
            <v>Сооружения</v>
          </cell>
          <cell r="E213">
            <v>44553</v>
          </cell>
          <cell r="F213" t="str">
            <v>Цех электрических сетей</v>
          </cell>
          <cell r="X213">
            <v>187693.41</v>
          </cell>
          <cell r="Z213">
            <v>187693.41</v>
          </cell>
          <cell r="AC213">
            <v>300</v>
          </cell>
        </row>
        <row r="214">
          <cell r="A214" t="str">
            <v>Кабельная линия 0,4 кВ (ТУ №630 от 02.08.2021г)</v>
          </cell>
          <cell r="B214" t="str">
            <v>000001884</v>
          </cell>
          <cell r="C214" t="str">
            <v>ПЕРЕДАЧА</v>
          </cell>
          <cell r="D214" t="str">
            <v>Сооружения</v>
          </cell>
          <cell r="E214">
            <v>44560</v>
          </cell>
          <cell r="F214" t="str">
            <v>Цех электрических сетей</v>
          </cell>
          <cell r="X214">
            <v>1310961.83</v>
          </cell>
          <cell r="Z214">
            <v>1310961.83</v>
          </cell>
          <cell r="AC214">
            <v>300</v>
          </cell>
        </row>
        <row r="215">
          <cell r="A215" t="str">
            <v>Кабельная линия 0,4 кВ от ТП №15 до ЩУ объекта "Ясли-сад №2 в г.Нарьян-Маре"</v>
          </cell>
          <cell r="B215" t="str">
            <v>000001863</v>
          </cell>
          <cell r="C215" t="str">
            <v>ПЕРЕДАЧА</v>
          </cell>
          <cell r="D215" t="str">
            <v>Сооружения</v>
          </cell>
          <cell r="E215" t="str">
            <v>19.10.2021</v>
          </cell>
          <cell r="F215" t="str">
            <v>Цех электрических сетей</v>
          </cell>
          <cell r="X215">
            <v>2646577.9500000002</v>
          </cell>
          <cell r="Y215">
            <v>17643.853000000003</v>
          </cell>
          <cell r="Z215">
            <v>2628934.0970000001</v>
          </cell>
          <cell r="AC215">
            <v>300</v>
          </cell>
        </row>
        <row r="216">
          <cell r="A216" t="str">
            <v>Кабельная линия в районе школы №2 (ТП - возд.ЛЭП)</v>
          </cell>
          <cell r="B216" t="str">
            <v>00001158</v>
          </cell>
          <cell r="C216" t="str">
            <v>ПЕРЕДАЧА</v>
          </cell>
          <cell r="D216" t="str">
            <v>Сооружения</v>
          </cell>
          <cell r="E216" t="str">
            <v>31.12.2009</v>
          </cell>
          <cell r="F216" t="str">
            <v>Цех электрических сетей</v>
          </cell>
          <cell r="X216">
            <v>367664.48</v>
          </cell>
          <cell r="Y216">
            <v>176479.17920000001</v>
          </cell>
          <cell r="Z216">
            <v>191185.30079999997</v>
          </cell>
          <cell r="AC216">
            <v>300</v>
          </cell>
        </row>
        <row r="217">
          <cell r="A217" t="str">
            <v>Кабельная линия в районе школы №2 (ТП - школа)</v>
          </cell>
          <cell r="B217" t="str">
            <v>00001156</v>
          </cell>
          <cell r="C217" t="str">
            <v>ПЕРЕДАЧА</v>
          </cell>
          <cell r="D217" t="str">
            <v>Сооружения</v>
          </cell>
          <cell r="E217" t="str">
            <v>31.12.2009</v>
          </cell>
          <cell r="F217" t="str">
            <v>Цех электрических сетей</v>
          </cell>
          <cell r="X217">
            <v>367664.48</v>
          </cell>
          <cell r="Y217">
            <v>176479.17920000001</v>
          </cell>
          <cell r="Z217">
            <v>191185.30079999997</v>
          </cell>
          <cell r="AC217">
            <v>300</v>
          </cell>
        </row>
        <row r="218">
          <cell r="A218" t="str">
            <v>Кабельная линия эл.передач 6кВ 10760 м</v>
          </cell>
          <cell r="B218" t="str">
            <v>000001843</v>
          </cell>
          <cell r="C218" t="str">
            <v>ПЕРЕДАЧА</v>
          </cell>
          <cell r="D218" t="str">
            <v>Сооружения</v>
          </cell>
          <cell r="E218" t="str">
            <v>14.04.2021</v>
          </cell>
          <cell r="F218" t="str">
            <v>Цех электрических сетей</v>
          </cell>
          <cell r="X218">
            <v>13999773.300000001</v>
          </cell>
          <cell r="Y218">
            <v>622212.14666666661</v>
          </cell>
          <cell r="Z218">
            <v>13377561.153333334</v>
          </cell>
          <cell r="AC218">
            <v>180</v>
          </cell>
        </row>
        <row r="219">
          <cell r="A219" t="str">
            <v>Кабельная ЛЭП-6кВ РУ-6кВ ДЭС-ТП№24 фидера Город-1</v>
          </cell>
          <cell r="B219" t="str">
            <v>00001049</v>
          </cell>
          <cell r="C219" t="str">
            <v>ПЕРЕДАЧА</v>
          </cell>
          <cell r="D219" t="str">
            <v>Сооружения</v>
          </cell>
          <cell r="E219" t="str">
            <v>30.09.2007</v>
          </cell>
          <cell r="F219" t="str">
            <v>Цех электрических сетей</v>
          </cell>
          <cell r="X219">
            <v>654039.01</v>
          </cell>
          <cell r="Y219">
            <v>372802.2304</v>
          </cell>
          <cell r="Z219">
            <v>281236.77960000001</v>
          </cell>
          <cell r="AC219">
            <v>300</v>
          </cell>
        </row>
        <row r="220">
          <cell r="A220" t="str">
            <v>Кабельная ЛЭП-6кВ РУ-6кВ ДЭС-ТП№3 фидера Город-2</v>
          </cell>
          <cell r="B220" t="str">
            <v>00001050</v>
          </cell>
          <cell r="C220" t="str">
            <v>ПЕРЕДАЧА</v>
          </cell>
          <cell r="D220" t="str">
            <v>Сооружения</v>
          </cell>
          <cell r="E220" t="str">
            <v>30.09.2007</v>
          </cell>
          <cell r="F220" t="str">
            <v>Цех электрических сетей</v>
          </cell>
          <cell r="X220">
            <v>1466828.36</v>
          </cell>
          <cell r="Y220">
            <v>836092.50439999998</v>
          </cell>
          <cell r="Z220">
            <v>630735.85560000013</v>
          </cell>
          <cell r="AC220">
            <v>300</v>
          </cell>
        </row>
        <row r="221">
          <cell r="A221" t="str">
            <v>Кабельные линии 6 кВ в составе объекта "ТП-63/1 "Озерная 16" в районе ул. Озерная д.7а"</v>
          </cell>
          <cell r="B221" t="str">
            <v>000001838</v>
          </cell>
          <cell r="C221" t="str">
            <v>ПЕРЕДАЧА</v>
          </cell>
          <cell r="D221" t="str">
            <v>Сооружения</v>
          </cell>
          <cell r="E221" t="str">
            <v>30.12.2020</v>
          </cell>
          <cell r="F221" t="str">
            <v>Цех электрических сетей</v>
          </cell>
          <cell r="X221">
            <v>11990246.640000001</v>
          </cell>
          <cell r="Y221">
            <v>479609.86559999996</v>
          </cell>
          <cell r="Z221">
            <v>11510636.774400001</v>
          </cell>
          <cell r="AC221">
            <v>300</v>
          </cell>
        </row>
        <row r="222">
          <cell r="A222" t="str">
            <v>Камера  КСО-366 1996г.</v>
          </cell>
          <cell r="B222" t="str">
            <v>00000270</v>
          </cell>
          <cell r="C222" t="str">
            <v>ПЕРЕДАЧА</v>
          </cell>
          <cell r="D222" t="str">
            <v>Машины и оборудование (кроме офисного)</v>
          </cell>
          <cell r="E222" t="str">
            <v>30.12.1996</v>
          </cell>
          <cell r="F222" t="str">
            <v>Цех электрических сетей</v>
          </cell>
          <cell r="X222">
            <v>15254</v>
          </cell>
          <cell r="Y222">
            <v>13939.907391304348</v>
          </cell>
          <cell r="Z222">
            <v>1314.0926086956515</v>
          </cell>
          <cell r="AC222">
            <v>276</v>
          </cell>
        </row>
        <row r="223">
          <cell r="A223" t="str">
            <v>Камера в/в КСО 393 №1 01/09-827</v>
          </cell>
          <cell r="B223" t="str">
            <v>00001123</v>
          </cell>
          <cell r="C223" t="str">
            <v>ПЕРЕДАЧА</v>
          </cell>
          <cell r="D223" t="str">
            <v>Машины и оборудование (кроме офисного)</v>
          </cell>
          <cell r="E223" t="str">
            <v>31.07.2009</v>
          </cell>
          <cell r="F223" t="str">
            <v>Цех электрических сетей</v>
          </cell>
          <cell r="X223">
            <v>85301.6</v>
          </cell>
          <cell r="Y223">
            <v>70611.073333333334</v>
          </cell>
          <cell r="Z223">
            <v>14690.526666666672</v>
          </cell>
          <cell r="AC223">
            <v>180</v>
          </cell>
        </row>
        <row r="224">
          <cell r="A224" t="str">
            <v>Камера КСО 298-6.1 ВВ-600, зав.№2235.1</v>
          </cell>
          <cell r="B224" t="str">
            <v>000001739</v>
          </cell>
          <cell r="C224" t="str">
            <v>ПЕРЕДАЧА</v>
          </cell>
          <cell r="D224" t="str">
            <v>Машины и оборудование (кроме офисного)</v>
          </cell>
          <cell r="E224" t="str">
            <v>31.07.2018</v>
          </cell>
          <cell r="F224" t="str">
            <v>Цех электрических сетей</v>
          </cell>
          <cell r="X224">
            <v>749690.38</v>
          </cell>
          <cell r="Y224">
            <v>128072.109</v>
          </cell>
          <cell r="Z224">
            <v>621618.27099999995</v>
          </cell>
          <cell r="AC224">
            <v>240</v>
          </cell>
        </row>
        <row r="225">
          <cell r="A225" t="str">
            <v>Камера КСО 298-8.1 ВВ-600, зав.№2235.2</v>
          </cell>
          <cell r="B225" t="str">
            <v>000001740</v>
          </cell>
          <cell r="C225" t="str">
            <v>ПЕРЕДАЧА</v>
          </cell>
          <cell r="D225" t="str">
            <v>Машины и оборудование (кроме офисного)</v>
          </cell>
          <cell r="E225" t="str">
            <v>31.07.2018</v>
          </cell>
          <cell r="F225" t="str">
            <v>Цех электрических сетей</v>
          </cell>
          <cell r="X225">
            <v>720334.85</v>
          </cell>
          <cell r="Y225">
            <v>123057.34250000001</v>
          </cell>
          <cell r="Z225">
            <v>597277.50749999995</v>
          </cell>
          <cell r="AC225">
            <v>240</v>
          </cell>
        </row>
        <row r="226">
          <cell r="A226" t="str">
            <v>Камера КСО 393-03 № 1113</v>
          </cell>
          <cell r="B226" t="str">
            <v>00000911</v>
          </cell>
          <cell r="C226" t="str">
            <v>ПЕРЕДАЧА</v>
          </cell>
          <cell r="D226" t="str">
            <v>Машины и оборудование (кроме офисного)</v>
          </cell>
          <cell r="E226" t="str">
            <v>31.08.2006</v>
          </cell>
          <cell r="F226" t="str">
            <v>Цех электрических сетей</v>
          </cell>
          <cell r="X226">
            <v>26916</v>
          </cell>
          <cell r="Y226">
            <v>26916</v>
          </cell>
          <cell r="Z226">
            <v>0</v>
          </cell>
          <cell r="AC226">
            <v>180</v>
          </cell>
        </row>
        <row r="227">
          <cell r="A227" t="str">
            <v>Камера КСО 393-03 №1</v>
          </cell>
          <cell r="B227" t="str">
            <v>00001240</v>
          </cell>
          <cell r="C227" t="str">
            <v>ПЕРЕДАЧА</v>
          </cell>
          <cell r="D227" t="str">
            <v>Машины и оборудование (кроме офисного)</v>
          </cell>
          <cell r="E227" t="str">
            <v>31.10.2010</v>
          </cell>
          <cell r="F227" t="str">
            <v>Цех электрических сетей</v>
          </cell>
          <cell r="X227">
            <v>29086.7</v>
          </cell>
          <cell r="Y227">
            <v>21653.093333333334</v>
          </cell>
          <cell r="Z227">
            <v>7433.6066666666666</v>
          </cell>
          <cell r="AC227">
            <v>180</v>
          </cell>
        </row>
        <row r="228">
          <cell r="A228" t="str">
            <v>Камера КСО 393-03 №1111</v>
          </cell>
          <cell r="B228" t="str">
            <v>00001005</v>
          </cell>
          <cell r="C228" t="str">
            <v>ПЕРЕДАЧА</v>
          </cell>
          <cell r="D228" t="str">
            <v>Машины и оборудование (кроме офисного)</v>
          </cell>
          <cell r="E228" t="str">
            <v>30.11.2006</v>
          </cell>
          <cell r="F228" t="str">
            <v>Цех электрических сетей</v>
          </cell>
          <cell r="X228">
            <v>26916</v>
          </cell>
          <cell r="Y228">
            <v>26915.996666666666</v>
          </cell>
          <cell r="Z228">
            <v>3.3333333340124227E-3</v>
          </cell>
          <cell r="AC228">
            <v>180</v>
          </cell>
        </row>
        <row r="229">
          <cell r="A229" t="str">
            <v>Камера КСО 393-03 №1112</v>
          </cell>
          <cell r="B229" t="str">
            <v>00001006</v>
          </cell>
          <cell r="C229" t="str">
            <v>ПЕРЕДАЧА</v>
          </cell>
          <cell r="D229" t="str">
            <v>Машины и оборудование (кроме офисного)</v>
          </cell>
          <cell r="E229" t="str">
            <v>30.11.2006</v>
          </cell>
          <cell r="F229" t="str">
            <v>Цех электрических сетей</v>
          </cell>
          <cell r="X229">
            <v>26916</v>
          </cell>
          <cell r="Y229">
            <v>26915.996666666666</v>
          </cell>
          <cell r="Z229">
            <v>3.3333333340124227E-3</v>
          </cell>
          <cell r="AC229">
            <v>180</v>
          </cell>
        </row>
        <row r="230">
          <cell r="A230" t="str">
            <v>Камера КСО 393-03 №2</v>
          </cell>
          <cell r="B230" t="str">
            <v>00001241</v>
          </cell>
          <cell r="C230" t="str">
            <v>ПЕРЕДАЧА</v>
          </cell>
          <cell r="D230" t="str">
            <v>Машины и оборудование (кроме офисного)</v>
          </cell>
          <cell r="E230" t="str">
            <v>31.10.2010</v>
          </cell>
          <cell r="F230" t="str">
            <v>Газотурбинный цех</v>
          </cell>
          <cell r="X230">
            <v>29086.7</v>
          </cell>
          <cell r="Y230">
            <v>21653.093333333334</v>
          </cell>
          <cell r="Z230">
            <v>7433.6066666666666</v>
          </cell>
          <cell r="AC230">
            <v>180</v>
          </cell>
        </row>
        <row r="231">
          <cell r="A231" t="str">
            <v>Камера КСО 393-03 №3</v>
          </cell>
          <cell r="B231" t="str">
            <v>00001242</v>
          </cell>
          <cell r="C231" t="str">
            <v>ПЕРЕДАЧА</v>
          </cell>
          <cell r="D231" t="str">
            <v>Машины и оборудование (кроме офисного)</v>
          </cell>
          <cell r="E231" t="str">
            <v>31.10.2010</v>
          </cell>
          <cell r="F231" t="str">
            <v>Газотурбинный цех</v>
          </cell>
          <cell r="X231">
            <v>29086.7</v>
          </cell>
          <cell r="Y231">
            <v>21653.093333333334</v>
          </cell>
          <cell r="Z231">
            <v>7433.6066666666666</v>
          </cell>
          <cell r="AC231">
            <v>180</v>
          </cell>
        </row>
        <row r="232">
          <cell r="A232" t="str">
            <v>Камера КСО 393-03 №4</v>
          </cell>
          <cell r="B232" t="str">
            <v>00001243</v>
          </cell>
          <cell r="C232" t="str">
            <v>ПЕРЕДАЧА</v>
          </cell>
          <cell r="D232" t="str">
            <v>Машины и оборудование (кроме офисного)</v>
          </cell>
          <cell r="E232" t="str">
            <v>31.10.2010</v>
          </cell>
          <cell r="F232" t="str">
            <v>Газотурбинный цех</v>
          </cell>
          <cell r="X232">
            <v>29086.7</v>
          </cell>
          <cell r="Y232">
            <v>21653.093333333334</v>
          </cell>
          <cell r="Z232">
            <v>7433.6066666666666</v>
          </cell>
          <cell r="AC232">
            <v>180</v>
          </cell>
        </row>
        <row r="233">
          <cell r="A233" t="str">
            <v>Камера КСО 393-03 №5</v>
          </cell>
          <cell r="B233" t="str">
            <v>00001244</v>
          </cell>
          <cell r="C233" t="str">
            <v>ПЕРЕДАЧА</v>
          </cell>
          <cell r="D233" t="str">
            <v>Машины и оборудование (кроме офисного)</v>
          </cell>
          <cell r="E233" t="str">
            <v>31.10.2010</v>
          </cell>
          <cell r="F233" t="str">
            <v>Цех электрических сетей</v>
          </cell>
          <cell r="X233">
            <v>29086.7</v>
          </cell>
          <cell r="Y233">
            <v>21653.059999999998</v>
          </cell>
          <cell r="Z233">
            <v>7433.6400000000031</v>
          </cell>
          <cell r="AC233">
            <v>180</v>
          </cell>
        </row>
        <row r="234">
          <cell r="A234" t="str">
            <v>Камера КСО 393-03 №6</v>
          </cell>
          <cell r="B234" t="str">
            <v>00001245</v>
          </cell>
          <cell r="C234" t="str">
            <v>ПЕРЕДАЧА</v>
          </cell>
          <cell r="D234" t="str">
            <v>Машины и оборудование (кроме офисного)</v>
          </cell>
          <cell r="E234" t="str">
            <v>31.10.2010</v>
          </cell>
          <cell r="F234" t="str">
            <v>Цех электрических сетей</v>
          </cell>
          <cell r="X234">
            <v>29086.7</v>
          </cell>
          <cell r="Y234">
            <v>21653.093333333334</v>
          </cell>
          <cell r="Z234">
            <v>7433.6066666666666</v>
          </cell>
          <cell r="AC234">
            <v>180</v>
          </cell>
        </row>
        <row r="235">
          <cell r="A235" t="str">
            <v>Камера КСО 393-04 (панель трансформатора), зав.№2235.9</v>
          </cell>
          <cell r="B235" t="str">
            <v>000001741</v>
          </cell>
          <cell r="C235" t="str">
            <v>ПЕРЕДАЧА</v>
          </cell>
          <cell r="D235" t="str">
            <v>Машины и оборудование (кроме офисного)</v>
          </cell>
          <cell r="E235" t="str">
            <v>31.07.2018</v>
          </cell>
          <cell r="F235" t="str">
            <v>Цех электрических сетей</v>
          </cell>
          <cell r="X235">
            <v>43196.81</v>
          </cell>
          <cell r="Y235">
            <v>7379.5504999999994</v>
          </cell>
          <cell r="Z235">
            <v>35817.2595</v>
          </cell>
          <cell r="AC235">
            <v>240</v>
          </cell>
        </row>
        <row r="236">
          <cell r="A236" t="str">
            <v>Камера КСО 393-04 №1</v>
          </cell>
          <cell r="B236" t="str">
            <v>00001246</v>
          </cell>
          <cell r="C236" t="str">
            <v>ПЕРЕДАЧА</v>
          </cell>
          <cell r="D236" t="str">
            <v>Машины и оборудование (кроме офисного)</v>
          </cell>
          <cell r="E236" t="str">
            <v>31.10.2010</v>
          </cell>
          <cell r="F236" t="str">
            <v>Цех электрических сетей</v>
          </cell>
          <cell r="X236">
            <v>34199.17</v>
          </cell>
          <cell r="Y236">
            <v>25459.944666666666</v>
          </cell>
          <cell r="Z236">
            <v>8739.2253333333319</v>
          </cell>
          <cell r="AC236">
            <v>180</v>
          </cell>
        </row>
        <row r="237">
          <cell r="A237" t="str">
            <v>Камера КСО 393-04 №2</v>
          </cell>
          <cell r="B237" t="str">
            <v>00001247</v>
          </cell>
          <cell r="C237" t="str">
            <v>ПЕРЕДАЧА</v>
          </cell>
          <cell r="D237" t="str">
            <v>Машины и оборудование (кроме офисного)</v>
          </cell>
          <cell r="E237" t="str">
            <v>31.10.2010</v>
          </cell>
          <cell r="F237" t="str">
            <v>Газотурбинный цех</v>
          </cell>
          <cell r="X237">
            <v>34199.17</v>
          </cell>
          <cell r="Y237">
            <v>25459.944666666666</v>
          </cell>
          <cell r="Z237">
            <v>8739.2253333333319</v>
          </cell>
          <cell r="AC237">
            <v>180</v>
          </cell>
        </row>
        <row r="238">
          <cell r="A238" t="str">
            <v>Камера КСО 393-04 №3</v>
          </cell>
          <cell r="B238" t="str">
            <v>00001248</v>
          </cell>
          <cell r="C238" t="str">
            <v>ПЕРЕДАЧА</v>
          </cell>
          <cell r="D238" t="str">
            <v>Машины и оборудование (кроме офисного)</v>
          </cell>
          <cell r="E238" t="str">
            <v>31.10.2010</v>
          </cell>
          <cell r="F238" t="str">
            <v>Газотурбинный цех</v>
          </cell>
          <cell r="X238">
            <v>34199.17</v>
          </cell>
          <cell r="Y238">
            <v>25459.944666666666</v>
          </cell>
          <cell r="Z238">
            <v>8739.2253333333319</v>
          </cell>
          <cell r="AC238">
            <v>180</v>
          </cell>
        </row>
        <row r="239">
          <cell r="A239" t="str">
            <v>Камера КСО 393-04 №4</v>
          </cell>
          <cell r="B239" t="str">
            <v>00001249</v>
          </cell>
          <cell r="C239" t="str">
            <v>ПЕРЕДАЧА</v>
          </cell>
          <cell r="D239" t="str">
            <v>Машины и оборудование (кроме офисного)</v>
          </cell>
          <cell r="E239" t="str">
            <v>31.10.2010</v>
          </cell>
          <cell r="F239" t="str">
            <v>Газотурбинный цех</v>
          </cell>
          <cell r="X239">
            <v>34199.17</v>
          </cell>
          <cell r="Y239">
            <v>25459.944666666666</v>
          </cell>
          <cell r="Z239">
            <v>8739.2253333333319</v>
          </cell>
          <cell r="AC239">
            <v>180</v>
          </cell>
        </row>
        <row r="240">
          <cell r="A240" t="str">
            <v>Камера КСО 393-24УЗ №1</v>
          </cell>
          <cell r="B240" t="str">
            <v>00001373</v>
          </cell>
          <cell r="C240" t="str">
            <v>ПЕРЕДАЧА</v>
          </cell>
          <cell r="D240" t="str">
            <v>Машины и оборудование (кроме офисного)</v>
          </cell>
          <cell r="E240" t="str">
            <v>18.10.2011</v>
          </cell>
          <cell r="F240" t="str">
            <v>Цех электрических сетей</v>
          </cell>
          <cell r="X240">
            <v>87044.07</v>
          </cell>
          <cell r="Y240">
            <v>58996.738000000005</v>
          </cell>
          <cell r="Z240">
            <v>28047.332000000002</v>
          </cell>
          <cell r="AC240">
            <v>180</v>
          </cell>
        </row>
        <row r="241">
          <cell r="A241" t="str">
            <v>Камера КСО 393-24УЗ №2</v>
          </cell>
          <cell r="B241" t="str">
            <v>00001374</v>
          </cell>
          <cell r="C241" t="str">
            <v>ПЕРЕДАЧА</v>
          </cell>
          <cell r="D241" t="str">
            <v>Машины и оборудование (кроме офисного)</v>
          </cell>
          <cell r="E241" t="str">
            <v>18.10.2011</v>
          </cell>
          <cell r="F241" t="str">
            <v>Цех электрических сетей</v>
          </cell>
          <cell r="X241">
            <v>87044.07</v>
          </cell>
          <cell r="Y241">
            <v>58996.738000000005</v>
          </cell>
          <cell r="Z241">
            <v>28047.332000000002</v>
          </cell>
          <cell r="AC241">
            <v>180</v>
          </cell>
        </row>
        <row r="242">
          <cell r="A242" t="str">
            <v>Камера КСО 393-24УЗ №3</v>
          </cell>
          <cell r="B242" t="str">
            <v>00001375</v>
          </cell>
          <cell r="C242" t="str">
            <v>ПЕРЕДАЧА</v>
          </cell>
          <cell r="D242" t="str">
            <v>Машины и оборудование (кроме офисного)</v>
          </cell>
          <cell r="E242" t="str">
            <v>18.10.2011</v>
          </cell>
          <cell r="F242" t="str">
            <v>Цех электрических сетей</v>
          </cell>
          <cell r="X242">
            <v>87044.07</v>
          </cell>
          <cell r="Y242">
            <v>58996.738000000005</v>
          </cell>
          <cell r="Z242">
            <v>28047.332000000002</v>
          </cell>
          <cell r="AC242">
            <v>180</v>
          </cell>
        </row>
        <row r="243">
          <cell r="A243" t="str">
            <v>Камера КСО 393-24УЗ №4</v>
          </cell>
          <cell r="B243" t="str">
            <v>00001376</v>
          </cell>
          <cell r="C243" t="str">
            <v>ПЕРЕДАЧА</v>
          </cell>
          <cell r="D243" t="str">
            <v>Машины и оборудование (кроме офисного)</v>
          </cell>
          <cell r="E243" t="str">
            <v>18.10.2011</v>
          </cell>
          <cell r="F243" t="str">
            <v>Цех электрических сетей</v>
          </cell>
          <cell r="X243">
            <v>87044.06</v>
          </cell>
          <cell r="Y243">
            <v>58996.737333333338</v>
          </cell>
          <cell r="Z243">
            <v>28047.32266666666</v>
          </cell>
          <cell r="AC243">
            <v>180</v>
          </cell>
        </row>
        <row r="244">
          <cell r="A244" t="str">
            <v>Камера КСО-366-3 2001г</v>
          </cell>
          <cell r="B244" t="str">
            <v>00000318</v>
          </cell>
          <cell r="C244" t="str">
            <v>ПЕРЕДАЧА</v>
          </cell>
          <cell r="D244" t="str">
            <v>Машины и оборудование (кроме офисного)</v>
          </cell>
          <cell r="E244" t="str">
            <v>30.06.2001</v>
          </cell>
          <cell r="F244" t="str">
            <v>Цех электрических сетей</v>
          </cell>
          <cell r="X244">
            <v>15587.15</v>
          </cell>
          <cell r="Y244">
            <v>13673.482173913044</v>
          </cell>
          <cell r="Z244">
            <v>1913.6678260869558</v>
          </cell>
          <cell r="AC244">
            <v>276</v>
          </cell>
        </row>
        <row r="245">
          <cell r="A245" t="str">
            <v>Камера КСО-386-1 2001г</v>
          </cell>
          <cell r="B245" t="str">
            <v>00000319</v>
          </cell>
          <cell r="C245" t="str">
            <v>ПЕРЕДАЧА</v>
          </cell>
          <cell r="D245" t="str">
            <v>Машины и оборудование (кроме офисного)</v>
          </cell>
          <cell r="E245" t="str">
            <v>30.06.2001</v>
          </cell>
          <cell r="F245" t="str">
            <v>Цех электрических сетей</v>
          </cell>
          <cell r="X245">
            <v>13306.52</v>
          </cell>
          <cell r="Y245">
            <v>11671.484347826088</v>
          </cell>
          <cell r="Z245">
            <v>1635.0356521739122</v>
          </cell>
          <cell r="AC245">
            <v>276</v>
          </cell>
        </row>
        <row r="246">
          <cell r="A246" t="str">
            <v>Камера сборная одностороннего обслуживания КСО-298-8ВВ-630-УЗ зав.№124-1</v>
          </cell>
          <cell r="B246" t="str">
            <v>000001483</v>
          </cell>
          <cell r="C246" t="str">
            <v>ПЕРЕДАЧА</v>
          </cell>
          <cell r="D246" t="str">
            <v>Машины и оборудование (кроме офисного)</v>
          </cell>
          <cell r="E246" t="str">
            <v>24.09.2012</v>
          </cell>
          <cell r="F246" t="str">
            <v>Цех электрических сетей</v>
          </cell>
          <cell r="X246">
            <v>451297.63</v>
          </cell>
          <cell r="Y246">
            <v>417449.95299999998</v>
          </cell>
          <cell r="Z246">
            <v>33847.677000000025</v>
          </cell>
          <cell r="AC246">
            <v>120</v>
          </cell>
        </row>
        <row r="247">
          <cell r="A247" t="str">
            <v>Камера сборная одностороннего обслуживания КСО-298-8ВВ-630-УЗ зав.№124-2</v>
          </cell>
          <cell r="B247" t="str">
            <v>000001484</v>
          </cell>
          <cell r="C247" t="str">
            <v>ПЕРЕДАЧА</v>
          </cell>
          <cell r="D247" t="str">
            <v>Машины и оборудование (кроме офисного)</v>
          </cell>
          <cell r="E247" t="str">
            <v>24.09.2012</v>
          </cell>
          <cell r="F247" t="str">
            <v>Цех электрических сетей</v>
          </cell>
          <cell r="X247">
            <v>451297.63</v>
          </cell>
          <cell r="Y247">
            <v>417449.95299999998</v>
          </cell>
          <cell r="Z247">
            <v>33847.677000000025</v>
          </cell>
          <cell r="AC247">
            <v>120</v>
          </cell>
        </row>
        <row r="248">
          <cell r="A248" t="str">
            <v>Камера сборная одностороннего обслуживания КСО-298-8ВВ-630-УЗ зав.№124-3</v>
          </cell>
          <cell r="B248" t="str">
            <v>000001485</v>
          </cell>
          <cell r="C248" t="str">
            <v>ПЕРЕДАЧА</v>
          </cell>
          <cell r="D248" t="str">
            <v>Машины и оборудование (кроме офисного)</v>
          </cell>
          <cell r="E248" t="str">
            <v>24.09.2012</v>
          </cell>
          <cell r="F248" t="str">
            <v>Цех электрических сетей</v>
          </cell>
          <cell r="X248">
            <v>451297.63</v>
          </cell>
          <cell r="Y248">
            <v>417449.95299999998</v>
          </cell>
          <cell r="Z248">
            <v>33847.677000000025</v>
          </cell>
          <cell r="AC248">
            <v>120</v>
          </cell>
        </row>
        <row r="249">
          <cell r="A249" t="str">
            <v>Камера сборная одностороннего обслуживания КСО-298-8ВВ-630-УЗ зав.№124-4</v>
          </cell>
          <cell r="B249" t="str">
            <v>000001486</v>
          </cell>
          <cell r="C249" t="str">
            <v>ПЕРЕДАЧА</v>
          </cell>
          <cell r="D249" t="str">
            <v>Машины и оборудование (кроме офисного)</v>
          </cell>
          <cell r="E249" t="str">
            <v>24.09.2012</v>
          </cell>
          <cell r="F249" t="str">
            <v>Цех электрических сетей</v>
          </cell>
          <cell r="X249">
            <v>451297.63</v>
          </cell>
          <cell r="Y249">
            <v>417449.95299999998</v>
          </cell>
          <cell r="Z249">
            <v>33847.677000000025</v>
          </cell>
          <cell r="AC249">
            <v>120</v>
          </cell>
        </row>
        <row r="250">
          <cell r="A250" t="str">
            <v>Камера сборная одностороннего обслуживания КСО-298-8ВВ-630-УЗ зав.№124-5</v>
          </cell>
          <cell r="B250" t="str">
            <v>000001487</v>
          </cell>
          <cell r="C250" t="str">
            <v>ПЕРЕДАЧА</v>
          </cell>
          <cell r="D250" t="str">
            <v>Машины и оборудование (кроме офисного)</v>
          </cell>
          <cell r="E250" t="str">
            <v>24.09.2012</v>
          </cell>
          <cell r="F250" t="str">
            <v>Цех электрических сетей</v>
          </cell>
          <cell r="X250">
            <v>451297.63</v>
          </cell>
          <cell r="Y250">
            <v>417449.95299999998</v>
          </cell>
          <cell r="Z250">
            <v>33847.677000000025</v>
          </cell>
          <cell r="AC250">
            <v>120</v>
          </cell>
        </row>
        <row r="251">
          <cell r="A251" t="str">
            <v>Камеры в/в КСО 393 №2 01/09-828</v>
          </cell>
          <cell r="B251" t="str">
            <v>00001138</v>
          </cell>
          <cell r="C251" t="str">
            <v>ПЕРЕДАЧА</v>
          </cell>
          <cell r="D251" t="str">
            <v>Машины и оборудование (кроме офисного)</v>
          </cell>
          <cell r="E251" t="str">
            <v>31.07.2009</v>
          </cell>
          <cell r="F251" t="str">
            <v>Цех электрических сетей</v>
          </cell>
          <cell r="X251">
            <v>85301.6</v>
          </cell>
          <cell r="Y251">
            <v>70611.073333333334</v>
          </cell>
          <cell r="Z251">
            <v>14690.526666666672</v>
          </cell>
          <cell r="AC251">
            <v>180</v>
          </cell>
        </row>
        <row r="252">
          <cell r="A252" t="str">
            <v>Камеры в/в КСО 393 №3 01/09-829</v>
          </cell>
          <cell r="B252" t="str">
            <v>00001127</v>
          </cell>
          <cell r="C252" t="str">
            <v>ПЕРЕДАЧА</v>
          </cell>
          <cell r="D252" t="str">
            <v>Машины и оборудование (кроме офисного)</v>
          </cell>
          <cell r="E252" t="str">
            <v>31.07.2009</v>
          </cell>
          <cell r="F252" t="str">
            <v>Цех электрических сетей</v>
          </cell>
          <cell r="X252">
            <v>86139.6</v>
          </cell>
          <cell r="Y252">
            <v>71303.990000000005</v>
          </cell>
          <cell r="Z252">
            <v>14835.61</v>
          </cell>
          <cell r="AC252">
            <v>180</v>
          </cell>
        </row>
        <row r="253">
          <cell r="A253" t="str">
            <v>Камеры в/в КСО 393 №4 01/09-825</v>
          </cell>
          <cell r="B253" t="str">
            <v>00001128</v>
          </cell>
          <cell r="C253" t="str">
            <v>ПЕРЕДАЧА</v>
          </cell>
          <cell r="D253" t="str">
            <v>Машины и оборудование (кроме офисного)</v>
          </cell>
          <cell r="E253" t="str">
            <v>31.07.2009</v>
          </cell>
          <cell r="F253" t="str">
            <v>Цех электрических сетей</v>
          </cell>
          <cell r="X253">
            <v>86139.6</v>
          </cell>
          <cell r="Y253">
            <v>71303.990000000005</v>
          </cell>
          <cell r="Z253">
            <v>14835.61</v>
          </cell>
          <cell r="AC253">
            <v>180</v>
          </cell>
        </row>
        <row r="254">
          <cell r="A254" t="str">
            <v>Камеры в/в КСО 393 №5 01/09-826</v>
          </cell>
          <cell r="B254" t="str">
            <v>00001129</v>
          </cell>
          <cell r="C254" t="str">
            <v>ПЕРЕДАЧА</v>
          </cell>
          <cell r="D254" t="str">
            <v>Машины и оборудование (кроме офисного)</v>
          </cell>
          <cell r="E254" t="str">
            <v>31.07.2009</v>
          </cell>
          <cell r="F254" t="str">
            <v>Цех электрических сетей</v>
          </cell>
          <cell r="X254">
            <v>86139.6</v>
          </cell>
          <cell r="Y254">
            <v>71303.990000000005</v>
          </cell>
          <cell r="Z254">
            <v>14835.61</v>
          </cell>
          <cell r="AC254">
            <v>180</v>
          </cell>
        </row>
        <row r="255">
          <cell r="A255" t="str">
            <v>Камеры в/в КСО 393 №6 01/09-830</v>
          </cell>
          <cell r="B255" t="str">
            <v>00001130</v>
          </cell>
          <cell r="C255" t="str">
            <v>ПЕРЕДАЧА</v>
          </cell>
          <cell r="D255" t="str">
            <v>Машины и оборудование (кроме офисного)</v>
          </cell>
          <cell r="E255" t="str">
            <v>31.07.2009</v>
          </cell>
          <cell r="F255" t="str">
            <v>Цех электрических сетей</v>
          </cell>
          <cell r="X255">
            <v>86139.6</v>
          </cell>
          <cell r="Y255">
            <v>71303.990000000005</v>
          </cell>
          <cell r="Z255">
            <v>14835.61</v>
          </cell>
          <cell r="AC255">
            <v>180</v>
          </cell>
        </row>
        <row r="256">
          <cell r="A256" t="str">
            <v>КЛ *- Каб.линия 6кв  2кабеля по 2,31 Жив компл 2000г</v>
          </cell>
          <cell r="B256" t="str">
            <v>00000265</v>
          </cell>
          <cell r="C256" t="str">
            <v>ПЕРЕДАЧА</v>
          </cell>
          <cell r="D256" t="str">
            <v>Сооружения</v>
          </cell>
          <cell r="E256" t="str">
            <v>01.05.2000</v>
          </cell>
          <cell r="F256" t="str">
            <v>Цех электрических сетей</v>
          </cell>
          <cell r="X256">
            <v>305800</v>
          </cell>
          <cell r="Y256">
            <v>264005.54000000004</v>
          </cell>
          <cell r="Z256">
            <v>41794.459999999963</v>
          </cell>
          <cell r="AC256">
            <v>300</v>
          </cell>
        </row>
        <row r="257">
          <cell r="A257" t="str">
            <v>КЛ Каб линия  6кв от ТП10масло-д до ТП-32  1998г.</v>
          </cell>
          <cell r="B257" t="str">
            <v>00000260</v>
          </cell>
          <cell r="C257" t="str">
            <v>ПЕРЕДАЧА</v>
          </cell>
          <cell r="D257" t="str">
            <v>Сооружения</v>
          </cell>
          <cell r="E257" t="str">
            <v>01.09.1998</v>
          </cell>
          <cell r="F257" t="str">
            <v>Цех электрических сетей</v>
          </cell>
          <cell r="X257">
            <v>35457.019999999997</v>
          </cell>
          <cell r="Y257">
            <v>28365.6008</v>
          </cell>
          <cell r="Z257">
            <v>7091.4191999999966</v>
          </cell>
          <cell r="AC257">
            <v>300</v>
          </cell>
        </row>
        <row r="258">
          <cell r="A258" t="str">
            <v>КЛ Кабельн линия 6кв от ТП36 до ТП51 ГОСНИ  1997г.</v>
          </cell>
          <cell r="B258" t="str">
            <v>00000187</v>
          </cell>
          <cell r="C258" t="str">
            <v>ПЕРЕДАЧА</v>
          </cell>
          <cell r="D258" t="str">
            <v>Сооружения</v>
          </cell>
          <cell r="E258" t="str">
            <v>01.12.1997</v>
          </cell>
          <cell r="F258" t="str">
            <v>Цех электрических сетей</v>
          </cell>
          <cell r="X258">
            <v>40341</v>
          </cell>
          <cell r="Y258">
            <v>34020.44</v>
          </cell>
          <cell r="Z258">
            <v>6320.5599999999977</v>
          </cell>
          <cell r="AC258">
            <v>300</v>
          </cell>
        </row>
        <row r="259">
          <cell r="A259" t="str">
            <v>КЛ Кабельна линия 6кв  от ТП22 до ТП-67школа5</v>
          </cell>
          <cell r="B259" t="str">
            <v>00000263</v>
          </cell>
          <cell r="C259" t="str">
            <v>ПЕРЕДАЧА</v>
          </cell>
          <cell r="D259" t="str">
            <v>Сооружения</v>
          </cell>
          <cell r="E259" t="str">
            <v>01.05.2000</v>
          </cell>
          <cell r="F259" t="str">
            <v>Цех электрических сетей</v>
          </cell>
          <cell r="X259">
            <v>52749</v>
          </cell>
          <cell r="Y259">
            <v>45540.479999999996</v>
          </cell>
          <cell r="Z259">
            <v>7208.5200000000041</v>
          </cell>
          <cell r="AC259">
            <v>300</v>
          </cell>
        </row>
        <row r="260">
          <cell r="A260" t="str">
            <v>КЛ Кабельна линия 6кв от ТП4 до ТП 51 Госни 1997г.</v>
          </cell>
          <cell r="B260" t="str">
            <v>00000188</v>
          </cell>
          <cell r="C260" t="str">
            <v>ПЕРЕДАЧА</v>
          </cell>
          <cell r="D260" t="str">
            <v>Сооружения</v>
          </cell>
          <cell r="E260" t="str">
            <v>01.12.1997</v>
          </cell>
          <cell r="F260" t="str">
            <v>Цех электрических сетей</v>
          </cell>
          <cell r="X260">
            <v>64033</v>
          </cell>
          <cell r="Y260">
            <v>53999.94</v>
          </cell>
          <cell r="Z260">
            <v>10033.059999999998</v>
          </cell>
          <cell r="AC260">
            <v>300</v>
          </cell>
        </row>
        <row r="261">
          <cell r="A261" t="str">
            <v>КЛ Кабельная линия 6 кв от ТП43 до ТП67 школа5</v>
          </cell>
          <cell r="B261" t="str">
            <v>00000264</v>
          </cell>
          <cell r="C261" t="str">
            <v>ПЕРЕДАЧА</v>
          </cell>
          <cell r="D261" t="str">
            <v>Сооружения</v>
          </cell>
          <cell r="E261" t="str">
            <v>01.05.2000</v>
          </cell>
          <cell r="F261" t="str">
            <v>Цех электрических сетей</v>
          </cell>
          <cell r="X261">
            <v>216062</v>
          </cell>
          <cell r="Y261">
            <v>186533.7</v>
          </cell>
          <cell r="Z261">
            <v>29528.299999999988</v>
          </cell>
          <cell r="AC261">
            <v>300</v>
          </cell>
        </row>
        <row r="262">
          <cell r="A262" t="str">
            <v>КЛ Кабельная линия от ТП10 Масл-д до ТП-12  1998г.</v>
          </cell>
          <cell r="B262" t="str">
            <v>00000259</v>
          </cell>
          <cell r="C262" t="str">
            <v>ПЕРЕДАЧА</v>
          </cell>
          <cell r="D262" t="str">
            <v>Сооружения</v>
          </cell>
          <cell r="E262" t="str">
            <v>01.09.1998</v>
          </cell>
          <cell r="F262" t="str">
            <v>Цех электрических сетей</v>
          </cell>
          <cell r="X262">
            <v>29010.3</v>
          </cell>
          <cell r="Y262">
            <v>23208.022000000001</v>
          </cell>
          <cell r="Z262">
            <v>5802.2779999999984</v>
          </cell>
          <cell r="AC262">
            <v>300</v>
          </cell>
        </row>
        <row r="263">
          <cell r="A263" t="str">
            <v>КЛ-0,4 кВ от ТП №108 до гаражей КОС</v>
          </cell>
          <cell r="B263" t="str">
            <v>000001649</v>
          </cell>
          <cell r="C263" t="str">
            <v>ПЕРЕДАЧА</v>
          </cell>
          <cell r="D263" t="str">
            <v>Сооружения</v>
          </cell>
          <cell r="E263" t="str">
            <v>31.12.2014</v>
          </cell>
          <cell r="F263" t="str">
            <v>Цех электрических сетей</v>
          </cell>
          <cell r="X263">
            <v>1587345.72</v>
          </cell>
          <cell r="Y263">
            <v>444456.62880000001</v>
          </cell>
          <cell r="Z263">
            <v>1142889.0911999999</v>
          </cell>
          <cell r="AC263">
            <v>300</v>
          </cell>
        </row>
        <row r="264">
          <cell r="A264" t="str">
            <v>КЛ-0,4 кВ от ТП №108 до телерадиовещательной компании</v>
          </cell>
          <cell r="B264" t="str">
            <v>000001650</v>
          </cell>
          <cell r="C264" t="str">
            <v>ПЕРЕДАЧА</v>
          </cell>
          <cell r="D264" t="str">
            <v>Сооружения</v>
          </cell>
          <cell r="E264" t="str">
            <v>31.12.2014</v>
          </cell>
          <cell r="F264" t="str">
            <v>Цех электрических сетей</v>
          </cell>
          <cell r="X264">
            <v>696158.11</v>
          </cell>
          <cell r="Y264">
            <v>194924.48439999999</v>
          </cell>
          <cell r="Z264">
            <v>501233.62560000003</v>
          </cell>
          <cell r="AC264">
            <v>300</v>
          </cell>
        </row>
        <row r="265">
          <cell r="A265" t="str">
            <v>КЛ-0,4 кВ электроснабжение объекта "Ненецкая СББЖ г.Нарьян-Мара"</v>
          </cell>
          <cell r="B265" t="str">
            <v>000001671</v>
          </cell>
          <cell r="C265" t="str">
            <v>ПЕРЕДАЧА</v>
          </cell>
          <cell r="D265" t="str">
            <v>Сооружения</v>
          </cell>
          <cell r="E265" t="str">
            <v>31.12.2015</v>
          </cell>
          <cell r="F265" t="str">
            <v>Цех электрических сетей</v>
          </cell>
          <cell r="AC265">
            <v>300</v>
          </cell>
        </row>
        <row r="266">
          <cell r="A266" t="str">
            <v>КЛ-0,4 кВ(от  ТП Бондарная до очистных) 40м</v>
          </cell>
          <cell r="B266" t="str">
            <v>00001222</v>
          </cell>
          <cell r="C266" t="str">
            <v>ПЕРЕДАЧА</v>
          </cell>
          <cell r="D266" t="str">
            <v>Сооружения</v>
          </cell>
          <cell r="E266" t="str">
            <v>30.06.2010</v>
          </cell>
          <cell r="F266" t="str">
            <v>Цех электрических сетей</v>
          </cell>
          <cell r="X266">
            <v>28330.05</v>
          </cell>
          <cell r="Y266">
            <v>13031.382</v>
          </cell>
          <cell r="Z266">
            <v>15298.668</v>
          </cell>
          <cell r="AC266">
            <v>300</v>
          </cell>
        </row>
        <row r="267">
          <cell r="A267" t="str">
            <v>КЛ-0,4кВ (от  ТП Бондарная до ЛЭП-0,4)  25м</v>
          </cell>
          <cell r="B267" t="str">
            <v>00001227</v>
          </cell>
          <cell r="C267" t="str">
            <v>ПЕРЕДАЧА</v>
          </cell>
          <cell r="D267" t="str">
            <v>Сооружения</v>
          </cell>
          <cell r="E267" t="str">
            <v>30.06.2010</v>
          </cell>
          <cell r="F267" t="str">
            <v>Цех электрических сетей</v>
          </cell>
          <cell r="X267">
            <v>10494.92</v>
          </cell>
          <cell r="Y267">
            <v>4827.2767999999996</v>
          </cell>
          <cell r="Z267">
            <v>5667.6432000000004</v>
          </cell>
          <cell r="AC267">
            <v>300</v>
          </cell>
        </row>
        <row r="268">
          <cell r="A268" t="str">
            <v>КЛ-0,4кВ (от ТП № 104  до КНС2)  ул. Авиаторов 2013г (450 м)</v>
          </cell>
          <cell r="B268" t="str">
            <v>000001613</v>
          </cell>
          <cell r="C268" t="str">
            <v>ПЕРЕДАЧА</v>
          </cell>
          <cell r="D268" t="str">
            <v>Сооружения</v>
          </cell>
          <cell r="E268" t="str">
            <v>31.01.2014</v>
          </cell>
          <cell r="F268" t="str">
            <v>Цех электрических сетей</v>
          </cell>
          <cell r="X268">
            <v>1207827.9099999999</v>
          </cell>
          <cell r="Y268">
            <v>381492.66639999999</v>
          </cell>
          <cell r="Z268">
            <v>826335.24359999993</v>
          </cell>
          <cell r="AC268">
            <v>300</v>
          </cell>
        </row>
        <row r="269">
          <cell r="A269" t="str">
            <v>КЛ-0,4кВ (от ТП № 104  до котельной)  ул. Авиаторов 2013г (50 м)</v>
          </cell>
          <cell r="B269" t="str">
            <v>000001612</v>
          </cell>
          <cell r="C269" t="str">
            <v>ПЕРЕДАЧА</v>
          </cell>
          <cell r="D269" t="str">
            <v>Сооружения</v>
          </cell>
          <cell r="E269" t="str">
            <v>31.01.2014</v>
          </cell>
          <cell r="F269" t="str">
            <v>Цех электрических сетей</v>
          </cell>
          <cell r="X269">
            <v>159632.63</v>
          </cell>
          <cell r="Y269">
            <v>53562.195200000002</v>
          </cell>
          <cell r="Z269">
            <v>106070.4348</v>
          </cell>
          <cell r="AC269">
            <v>300</v>
          </cell>
        </row>
        <row r="270">
          <cell r="A270" t="str">
            <v>КЛ-0,4кВ от ТП-61 до магазина "Арбат"</v>
          </cell>
          <cell r="B270" t="str">
            <v>00001357</v>
          </cell>
          <cell r="C270" t="str">
            <v>ПЕРЕДАЧА</v>
          </cell>
          <cell r="D270" t="str">
            <v>Сооружения</v>
          </cell>
          <cell r="E270" t="str">
            <v>30.06.2011</v>
          </cell>
          <cell r="F270" t="str">
            <v>Цех электрических сетей</v>
          </cell>
          <cell r="X270">
            <v>43118.239999999998</v>
          </cell>
          <cell r="Y270">
            <v>18109.9496</v>
          </cell>
          <cell r="Z270">
            <v>25008.290399999998</v>
          </cell>
          <cell r="AC270">
            <v>300</v>
          </cell>
        </row>
        <row r="271">
          <cell r="A271" t="str">
            <v>КЛ-0,4кВ от ТП-98 до ВЛ-0,4кВ"ЛедовыйДворец"120м</v>
          </cell>
          <cell r="B271" t="str">
            <v>00001473</v>
          </cell>
          <cell r="C271" t="str">
            <v>ПЕРЕДАЧА</v>
          </cell>
          <cell r="D271" t="str">
            <v>Сооружения</v>
          </cell>
          <cell r="E271" t="str">
            <v>31.12.2011</v>
          </cell>
          <cell r="F271" t="str">
            <v>Цех электрических сетей</v>
          </cell>
          <cell r="X271">
            <v>160102.93</v>
          </cell>
          <cell r="Y271">
            <v>64041.557200000003</v>
          </cell>
          <cell r="Z271">
            <v>96061.372799999983</v>
          </cell>
          <cell r="AC271">
            <v>300</v>
          </cell>
        </row>
        <row r="272">
          <cell r="A272" t="str">
            <v>КЛ-6 кВ ввод в ТП №44</v>
          </cell>
          <cell r="B272" t="str">
            <v>000001670</v>
          </cell>
          <cell r="C272" t="str">
            <v>ПЕРЕДАЧА</v>
          </cell>
          <cell r="D272" t="str">
            <v>Сооружения</v>
          </cell>
          <cell r="E272" t="str">
            <v>31.12.2015</v>
          </cell>
          <cell r="F272" t="str">
            <v>Цех электрических сетей</v>
          </cell>
          <cell r="AC272">
            <v>300</v>
          </cell>
        </row>
        <row r="273">
          <cell r="A273" t="str">
            <v>КЛ-6 кВ от ВЛ-6 кВ до ТП 57 "Геолог"</v>
          </cell>
          <cell r="B273" t="str">
            <v>000001858</v>
          </cell>
          <cell r="C273" t="str">
            <v>ПЕРЕДАЧА</v>
          </cell>
          <cell r="D273" t="str">
            <v>Сооружения</v>
          </cell>
          <cell r="E273" t="str">
            <v>11.06.2021</v>
          </cell>
          <cell r="F273" t="str">
            <v>Цех электрических сетей</v>
          </cell>
          <cell r="X273">
            <v>5154423.37</v>
          </cell>
          <cell r="Y273">
            <v>103088.46739999999</v>
          </cell>
          <cell r="Z273">
            <v>5051334.9025999997</v>
          </cell>
          <cell r="AC273">
            <v>300</v>
          </cell>
        </row>
        <row r="274">
          <cell r="A274" t="str">
            <v>КЛ-6кВ "Малый Качгорт"</v>
          </cell>
          <cell r="B274" t="str">
            <v>000001697</v>
          </cell>
          <cell r="C274" t="str">
            <v>ПЕРЕДАЧА</v>
          </cell>
          <cell r="D274" t="str">
            <v>Сооружения</v>
          </cell>
          <cell r="E274" t="str">
            <v>09.12.2016</v>
          </cell>
          <cell r="F274" t="str">
            <v>Цех электрических сетей</v>
          </cell>
          <cell r="X274">
            <v>839595.6</v>
          </cell>
          <cell r="Y274">
            <v>167919.02400000003</v>
          </cell>
          <cell r="Z274">
            <v>671676.57599999988</v>
          </cell>
          <cell r="AC274">
            <v>300</v>
          </cell>
        </row>
        <row r="275">
          <cell r="A275" t="str">
            <v>КЛ-6кВ (от ВЛ до ТП Бондарная) 70м</v>
          </cell>
          <cell r="B275" t="str">
            <v>00001224</v>
          </cell>
          <cell r="C275" t="str">
            <v>ПЕРЕДАЧА</v>
          </cell>
          <cell r="D275" t="str">
            <v>Сооружения</v>
          </cell>
          <cell r="E275" t="str">
            <v>30.06.2010</v>
          </cell>
          <cell r="F275" t="str">
            <v>Цех электрических сетей</v>
          </cell>
          <cell r="X275">
            <v>78003.429999999993</v>
          </cell>
          <cell r="Y275">
            <v>35881.397199999999</v>
          </cell>
          <cell r="Z275">
            <v>42122.032799999994</v>
          </cell>
          <cell r="AC275">
            <v>300</v>
          </cell>
        </row>
        <row r="276">
          <cell r="A276" t="str">
            <v>КЛ-6кВ (от ГРУ до ТП № 104)  ул. Авиаторов 2013г (2320 м)</v>
          </cell>
          <cell r="B276" t="str">
            <v>000001609</v>
          </cell>
          <cell r="C276" t="str">
            <v>ПЕРЕДАЧА</v>
          </cell>
          <cell r="D276" t="str">
            <v>Сооружения</v>
          </cell>
          <cell r="E276" t="str">
            <v>31.01.2014</v>
          </cell>
          <cell r="F276" t="str">
            <v>Цех электрических сетей</v>
          </cell>
          <cell r="X276">
            <v>6108140.8300000001</v>
          </cell>
          <cell r="Y276">
            <v>1935361.8832</v>
          </cell>
          <cell r="Z276">
            <v>4172778.9468</v>
          </cell>
          <cell r="AC276">
            <v>300</v>
          </cell>
        </row>
        <row r="277">
          <cell r="A277" t="str">
            <v>КЛ-6кВ (от ГРУ до ТП № 105)  ул. Авиаторов 2013г (1850 м)</v>
          </cell>
          <cell r="B277" t="str">
            <v>000001610</v>
          </cell>
          <cell r="C277" t="str">
            <v>ПЕРЕДАЧА</v>
          </cell>
          <cell r="D277" t="str">
            <v>Сооружения</v>
          </cell>
          <cell r="E277" t="str">
            <v>31.01.2014</v>
          </cell>
          <cell r="F277" t="str">
            <v>Цех электрических сетей</v>
          </cell>
          <cell r="X277">
            <v>4876511.38</v>
          </cell>
          <cell r="Y277">
            <v>1545409.7952000001</v>
          </cell>
          <cell r="Z277">
            <v>3331101.5847999998</v>
          </cell>
          <cell r="AC277">
            <v>300</v>
          </cell>
        </row>
        <row r="278">
          <cell r="A278" t="str">
            <v>КЛ-6кВ (от ТП № 104  до ТП № 105)  ул. Авиаторов 2013г (470 м)</v>
          </cell>
          <cell r="B278" t="str">
            <v>000001611</v>
          </cell>
          <cell r="C278" t="str">
            <v>ПЕРЕДАЧА</v>
          </cell>
          <cell r="D278" t="str">
            <v>Сооружения</v>
          </cell>
          <cell r="E278" t="str">
            <v>31.01.2014</v>
          </cell>
          <cell r="F278" t="str">
            <v>Цех электрических сетей</v>
          </cell>
          <cell r="X278">
            <v>1260237.67</v>
          </cell>
          <cell r="Y278">
            <v>400446.0968</v>
          </cell>
          <cell r="Z278">
            <v>859791.57319999998</v>
          </cell>
          <cell r="AC278">
            <v>300</v>
          </cell>
        </row>
        <row r="279">
          <cell r="A279" t="str">
            <v>КЛ-6кВ по улице Южная от ТП №34 до ТП №104</v>
          </cell>
          <cell r="B279" t="str">
            <v>000001691</v>
          </cell>
          <cell r="C279" t="str">
            <v>ПЕРЕДАЧА</v>
          </cell>
          <cell r="D279" t="str">
            <v>Сооружения</v>
          </cell>
          <cell r="E279" t="str">
            <v>30.11.2016</v>
          </cell>
          <cell r="F279" t="str">
            <v>Цех электрических сетей</v>
          </cell>
          <cell r="X279">
            <v>1603423.77</v>
          </cell>
          <cell r="Y279">
            <v>326029.70079999999</v>
          </cell>
          <cell r="Z279">
            <v>1277394.0692</v>
          </cell>
          <cell r="AC279">
            <v>300</v>
          </cell>
        </row>
        <row r="280">
          <cell r="A280" t="str">
            <v>КЛ-6кВ ТП №21-ТП №113 "Молодежный центр"</v>
          </cell>
          <cell r="B280" t="str">
            <v>000001693</v>
          </cell>
          <cell r="C280" t="str">
            <v>ПЕРЕДАЧА</v>
          </cell>
          <cell r="D280" t="str">
            <v>Сооружения</v>
          </cell>
          <cell r="E280" t="str">
            <v>30.11.2016</v>
          </cell>
          <cell r="F280" t="str">
            <v>Цех электрических сетей</v>
          </cell>
          <cell r="X280">
            <v>534839</v>
          </cell>
          <cell r="Y280">
            <v>108750.76</v>
          </cell>
          <cell r="Z280">
            <v>426088.24</v>
          </cell>
          <cell r="AC280">
            <v>300</v>
          </cell>
        </row>
        <row r="281">
          <cell r="A281" t="str">
            <v>КЛ-6кВ ТП №7-ТП №113 "Молодежный центр"</v>
          </cell>
          <cell r="B281" t="str">
            <v>000001692</v>
          </cell>
          <cell r="C281" t="str">
            <v>ПЕРЕДАЧА</v>
          </cell>
          <cell r="D281" t="str">
            <v>Сооружения</v>
          </cell>
          <cell r="E281" t="str">
            <v>30.11.2016</v>
          </cell>
          <cell r="F281" t="str">
            <v>Цех электрических сетей</v>
          </cell>
          <cell r="X281">
            <v>1839551</v>
          </cell>
          <cell r="Y281">
            <v>374042.2</v>
          </cell>
          <cell r="Z281">
            <v>1465508.8</v>
          </cell>
          <cell r="AC281">
            <v>300</v>
          </cell>
        </row>
        <row r="282">
          <cell r="A282" t="str">
            <v>Комплексная трансформаторная подстанция</v>
          </cell>
          <cell r="B282" t="str">
            <v>000001846</v>
          </cell>
          <cell r="C282" t="str">
            <v>ПЕРЕДАЧА</v>
          </cell>
          <cell r="D282" t="str">
            <v>Сооружения</v>
          </cell>
          <cell r="E282" t="str">
            <v>14.04.2021</v>
          </cell>
          <cell r="F282" t="str">
            <v>Цех электрических сетей</v>
          </cell>
          <cell r="AC282">
            <v>300</v>
          </cell>
        </row>
        <row r="283">
          <cell r="A283" t="str">
            <v>Комплексная трансформаторная подстанция ЗРУ-6кВ</v>
          </cell>
          <cell r="B283" t="str">
            <v>000001779</v>
          </cell>
          <cell r="C283" t="str">
            <v>ПЕРЕДАЧА</v>
          </cell>
          <cell r="D283" t="str">
            <v>Сооружения</v>
          </cell>
          <cell r="E283" t="str">
            <v>30.09.2019</v>
          </cell>
          <cell r="F283" t="str">
            <v>Цех электрических сетей</v>
          </cell>
          <cell r="AC283">
            <v>271</v>
          </cell>
        </row>
        <row r="284">
          <cell r="A284" t="str">
            <v>Комплект индикаторов короткого замыкания ИКЗ-В34Л-У3</v>
          </cell>
          <cell r="B284" t="str">
            <v>000001813</v>
          </cell>
          <cell r="C284" t="str">
            <v>ПЕРЕДАЧА</v>
          </cell>
          <cell r="D284" t="str">
            <v>Машины и оборудование (кроме офисного)</v>
          </cell>
          <cell r="E284" t="str">
            <v>16.06.2020</v>
          </cell>
          <cell r="F284" t="str">
            <v>Цех электрических сетей</v>
          </cell>
          <cell r="X284">
            <v>148800.01</v>
          </cell>
          <cell r="Y284">
            <v>31885.724285714285</v>
          </cell>
          <cell r="Z284">
            <v>116914.28571428572</v>
          </cell>
          <cell r="AC284">
            <v>84</v>
          </cell>
        </row>
        <row r="285">
          <cell r="A285" t="str">
            <v>Комплектная трансф.подстанция 2КТПН-400 6-0,4 кВ ТП№108"район очистных сооружений"</v>
          </cell>
          <cell r="B285" t="str">
            <v>000001481</v>
          </cell>
          <cell r="C285" t="str">
            <v>ПЕРЕДАЧА</v>
          </cell>
          <cell r="D285" t="str">
            <v>Сооружения</v>
          </cell>
          <cell r="E285" t="str">
            <v>24.09.2012</v>
          </cell>
          <cell r="F285" t="str">
            <v>Цех электрических сетей</v>
          </cell>
          <cell r="X285">
            <v>4878439.33</v>
          </cell>
          <cell r="Y285">
            <v>2083140.57</v>
          </cell>
          <cell r="Z285">
            <v>2795298.76</v>
          </cell>
          <cell r="AC285">
            <v>240</v>
          </cell>
        </row>
        <row r="286">
          <cell r="A286" t="str">
            <v>Комплектная трансф.подстанция 2КТПН-400 6-0,4 кВ ТП№15 "СЭС"</v>
          </cell>
          <cell r="B286" t="str">
            <v>000001480</v>
          </cell>
          <cell r="C286" t="str">
            <v>ПЕРЕДАЧА</v>
          </cell>
          <cell r="D286" t="str">
            <v>Сооружения</v>
          </cell>
          <cell r="E286" t="str">
            <v>24.09.2012</v>
          </cell>
          <cell r="F286" t="str">
            <v>Цех электрических сетей</v>
          </cell>
          <cell r="X286">
            <v>3311006.56</v>
          </cell>
          <cell r="Y286">
            <v>1470484.0699999998</v>
          </cell>
          <cell r="Z286">
            <v>1840522.4900000002</v>
          </cell>
          <cell r="AC286">
            <v>240</v>
          </cell>
        </row>
        <row r="287">
          <cell r="A287" t="str">
            <v>Комплектная трансф.подстанция 2КТПН-400 6-0,4 кВ ТП№61 "поликлиника"</v>
          </cell>
          <cell r="B287" t="str">
            <v>000001482</v>
          </cell>
          <cell r="C287" t="str">
            <v>ПЕРЕДАЧА</v>
          </cell>
          <cell r="D287" t="str">
            <v>Сооружения</v>
          </cell>
          <cell r="E287" t="str">
            <v>24.09.2012</v>
          </cell>
          <cell r="F287" t="str">
            <v>Цех электрических сетей</v>
          </cell>
          <cell r="X287">
            <v>2507189.35</v>
          </cell>
          <cell r="Y287">
            <v>1153618.3500000001</v>
          </cell>
          <cell r="Z287">
            <v>1353571</v>
          </cell>
          <cell r="AC287">
            <v>240</v>
          </cell>
        </row>
        <row r="288">
          <cell r="A288" t="str">
            <v>Комплектная трансформаторная подстанция 6/0,4 кВ</v>
          </cell>
          <cell r="B288" t="str">
            <v>000001886</v>
          </cell>
          <cell r="C288" t="str">
            <v>ПЕРЕДАЧА</v>
          </cell>
          <cell r="D288" t="str">
            <v>Здания</v>
          </cell>
          <cell r="E288">
            <v>44560</v>
          </cell>
          <cell r="F288" t="str">
            <v>Цех электрических сетей</v>
          </cell>
          <cell r="X288">
            <v>3745581.16</v>
          </cell>
          <cell r="Z288">
            <v>3745581.16</v>
          </cell>
          <cell r="AC288">
            <v>360</v>
          </cell>
        </row>
        <row r="289">
          <cell r="A289" t="str">
            <v>Комплектная трансформаторная подстанция КТП2×400/6/0,4</v>
          </cell>
          <cell r="B289" t="str">
            <v>000001827</v>
          </cell>
          <cell r="C289" t="str">
            <v>ПЕРЕДАЧА</v>
          </cell>
          <cell r="D289" t="str">
            <v>Здания</v>
          </cell>
          <cell r="E289" t="str">
            <v>30.12.2020</v>
          </cell>
          <cell r="F289" t="str">
            <v>Цех электрических сетей</v>
          </cell>
          <cell r="X289">
            <v>6249519.9500000002</v>
          </cell>
          <cell r="Y289">
            <v>208317.33166666667</v>
          </cell>
          <cell r="Z289">
            <v>6041202.6183333332</v>
          </cell>
          <cell r="AC289">
            <v>360</v>
          </cell>
        </row>
        <row r="290">
          <cell r="A290" t="str">
            <v>Компрессор поршневой К2</v>
          </cell>
          <cell r="B290" t="str">
            <v>000001840</v>
          </cell>
          <cell r="C290" t="str">
            <v>ПЕРЕДАЧА</v>
          </cell>
          <cell r="D290" t="str">
            <v>Машины и оборудование (кроме офисного)</v>
          </cell>
          <cell r="E290" t="str">
            <v>16.03.2021</v>
          </cell>
          <cell r="F290" t="str">
            <v>Автотранспортный цех</v>
          </cell>
          <cell r="X290">
            <v>82916.67</v>
          </cell>
          <cell r="Y290">
            <v>6218.7502499999991</v>
          </cell>
          <cell r="Z290">
            <v>76697.919750000001</v>
          </cell>
          <cell r="AC290">
            <v>120</v>
          </cell>
        </row>
        <row r="291">
          <cell r="A291" t="str">
            <v>КСО 393 030660 УЗ ВНА №1</v>
          </cell>
          <cell r="B291" t="str">
            <v>00000988</v>
          </cell>
          <cell r="C291" t="str">
            <v>ПЕРЕДАЧА</v>
          </cell>
          <cell r="D291" t="str">
            <v>Машины и оборудование (кроме офисного)</v>
          </cell>
          <cell r="E291" t="str">
            <v>31.08.2006</v>
          </cell>
          <cell r="F291" t="str">
            <v>Цех электрических сетей</v>
          </cell>
          <cell r="X291">
            <v>30807.5</v>
          </cell>
          <cell r="Y291">
            <v>30807.5</v>
          </cell>
          <cell r="Z291">
            <v>0</v>
          </cell>
          <cell r="AC291">
            <v>180</v>
          </cell>
        </row>
        <row r="292">
          <cell r="A292" t="str">
            <v>КСО 393 030660 УЗ ВНА №2</v>
          </cell>
          <cell r="B292" t="str">
            <v>00000985</v>
          </cell>
          <cell r="C292" t="str">
            <v>ПЕРЕДАЧА</v>
          </cell>
          <cell r="D292" t="str">
            <v>Машины и оборудование (кроме офисного)</v>
          </cell>
          <cell r="E292" t="str">
            <v>31.08.2006</v>
          </cell>
          <cell r="F292" t="str">
            <v>Цех электрических сетей</v>
          </cell>
          <cell r="X292">
            <v>30807.5</v>
          </cell>
          <cell r="Y292">
            <v>30807.5</v>
          </cell>
          <cell r="Z292">
            <v>0</v>
          </cell>
          <cell r="AC292">
            <v>180</v>
          </cell>
        </row>
        <row r="293">
          <cell r="A293" t="str">
            <v>КСО 393 030660 УЗ ВНА №3</v>
          </cell>
          <cell r="B293" t="str">
            <v>00000986</v>
          </cell>
          <cell r="C293" t="str">
            <v>ПЕРЕДАЧА</v>
          </cell>
          <cell r="D293" t="str">
            <v>Машины и оборудование (кроме офисного)</v>
          </cell>
          <cell r="E293" t="str">
            <v>31.08.2006</v>
          </cell>
          <cell r="F293" t="str">
            <v>Цех электрических сетей</v>
          </cell>
          <cell r="X293">
            <v>30807.5</v>
          </cell>
          <cell r="Y293">
            <v>30807.5</v>
          </cell>
          <cell r="Z293">
            <v>0</v>
          </cell>
          <cell r="AC293">
            <v>180</v>
          </cell>
        </row>
        <row r="294">
          <cell r="A294" t="str">
            <v>КСО 393 030660 УЗ ВНА №4</v>
          </cell>
          <cell r="B294" t="str">
            <v>00000987</v>
          </cell>
          <cell r="C294" t="str">
            <v>ПЕРЕДАЧА</v>
          </cell>
          <cell r="D294" t="str">
            <v>Машины и оборудование (кроме офисного)</v>
          </cell>
          <cell r="E294" t="str">
            <v>31.08.2006</v>
          </cell>
          <cell r="F294" t="str">
            <v>Цех электрических сетей</v>
          </cell>
          <cell r="X294">
            <v>30807.5</v>
          </cell>
          <cell r="Y294">
            <v>30807.5</v>
          </cell>
          <cell r="Z294">
            <v>0</v>
          </cell>
          <cell r="AC294">
            <v>180</v>
          </cell>
        </row>
        <row r="295">
          <cell r="A295" t="str">
            <v>КТП-40  ТП-59 школа№6  1995г.</v>
          </cell>
          <cell r="B295" t="str">
            <v>00000230</v>
          </cell>
          <cell r="C295" t="str">
            <v>ПЕРЕДАЧА</v>
          </cell>
          <cell r="D295" t="str">
            <v>Машины и оборудование (кроме офисного)</v>
          </cell>
          <cell r="E295" t="str">
            <v>01.01.1995</v>
          </cell>
          <cell r="F295" t="str">
            <v>Цех электрических сетей</v>
          </cell>
          <cell r="X295">
            <v>1922264.54</v>
          </cell>
          <cell r="Y295">
            <v>249513.28000000003</v>
          </cell>
          <cell r="Z295">
            <v>1672751.26</v>
          </cell>
          <cell r="AC295">
            <v>539</v>
          </cell>
        </row>
        <row r="296">
          <cell r="A296" t="str">
            <v>Лабораторно-диагностический корпус для ГУЗ "Ненецкая окружная больница". Трансформаторная подстанция</v>
          </cell>
          <cell r="B296" t="str">
            <v>000001713</v>
          </cell>
          <cell r="C296" t="str">
            <v>ПЕРЕДАЧА</v>
          </cell>
          <cell r="D296" t="str">
            <v>Сооружения</v>
          </cell>
          <cell r="E296" t="str">
            <v>05.09.2017</v>
          </cell>
          <cell r="F296" t="str">
            <v>Цех электрических сетей</v>
          </cell>
          <cell r="AC296">
            <v>360</v>
          </cell>
        </row>
        <row r="297">
          <cell r="A297" t="str">
            <v>Линия электропередач - 0,4 кВ. в с. Тельвиска</v>
          </cell>
          <cell r="B297" t="str">
            <v>000001842</v>
          </cell>
          <cell r="C297" t="str">
            <v>ПЕРЕДАЧА</v>
          </cell>
          <cell r="D297" t="str">
            <v>Сооружения</v>
          </cell>
          <cell r="E297" t="str">
            <v>14.04.2021</v>
          </cell>
          <cell r="F297" t="str">
            <v>Цех электрических сетей</v>
          </cell>
          <cell r="AC297">
            <v>420</v>
          </cell>
        </row>
        <row r="298">
          <cell r="A298" t="str">
            <v>Линия электропередач - 0,4 кВ. в с. Тельвиска</v>
          </cell>
          <cell r="B298" t="str">
            <v>000001845</v>
          </cell>
          <cell r="C298" t="str">
            <v>ПЕРЕДАЧА</v>
          </cell>
          <cell r="D298" t="str">
            <v>Сооружения</v>
          </cell>
          <cell r="E298" t="str">
            <v>14.04.2021</v>
          </cell>
          <cell r="F298" t="str">
            <v>Цех электрических сетей</v>
          </cell>
          <cell r="AC298">
            <v>420</v>
          </cell>
        </row>
        <row r="299">
          <cell r="A299" t="str">
            <v>Линия электропередач 20 кВ "г.Нарьян-Мар-Красное"</v>
          </cell>
          <cell r="B299" t="str">
            <v>000001570</v>
          </cell>
          <cell r="C299" t="str">
            <v>ПЕРЕДАЧА</v>
          </cell>
          <cell r="D299" t="str">
            <v>Сооружения</v>
          </cell>
          <cell r="E299" t="str">
            <v>31.12.2013</v>
          </cell>
          <cell r="F299" t="str">
            <v>Цех электрических сетей</v>
          </cell>
          <cell r="X299">
            <v>118705028.09999999</v>
          </cell>
          <cell r="Y299">
            <v>37928348.519999996</v>
          </cell>
          <cell r="Z299">
            <v>80776679.579999998</v>
          </cell>
          <cell r="AC299">
            <v>300</v>
          </cell>
        </row>
        <row r="300">
          <cell r="A300" t="str">
            <v>Линия электропередач 6 кВ "г.Нарьян-Мар - с.Тельвиска" НАО</v>
          </cell>
          <cell r="B300" t="str">
            <v>000001507</v>
          </cell>
          <cell r="C300" t="str">
            <v>ПЕРЕДАЧА</v>
          </cell>
          <cell r="D300" t="str">
            <v>Сооружения</v>
          </cell>
          <cell r="E300" t="str">
            <v>21.12.2012</v>
          </cell>
          <cell r="F300" t="str">
            <v>Цех электрических сетей</v>
          </cell>
          <cell r="AC300">
            <v>300</v>
          </cell>
        </row>
        <row r="301">
          <cell r="A301" t="str">
            <v xml:space="preserve">Линия электропередач ВЛИ 0,4кВ </v>
          </cell>
          <cell r="B301" t="str">
            <v>000001887</v>
          </cell>
          <cell r="C301" t="str">
            <v>ПЕРЕДАЧА</v>
          </cell>
          <cell r="D301" t="str">
            <v>Сооружения</v>
          </cell>
          <cell r="E301">
            <v>44561</v>
          </cell>
          <cell r="F301" t="str">
            <v>Цех электрических сетей</v>
          </cell>
          <cell r="X301">
            <v>2771439.99</v>
          </cell>
          <cell r="Z301">
            <v>2771439.99</v>
          </cell>
          <cell r="AC301">
            <v>480</v>
          </cell>
        </row>
        <row r="302">
          <cell r="A302" t="str">
            <v xml:space="preserve">Линия электропередач КЛ 0,4 кВ </v>
          </cell>
          <cell r="B302" t="str">
            <v>000001889</v>
          </cell>
          <cell r="C302" t="str">
            <v>ПЕРЕДАЧА</v>
          </cell>
          <cell r="D302" t="str">
            <v>Сооружения</v>
          </cell>
          <cell r="E302">
            <v>44560</v>
          </cell>
          <cell r="F302" t="str">
            <v>Цех электрических сетей</v>
          </cell>
          <cell r="X302">
            <v>1893457.69</v>
          </cell>
          <cell r="Z302">
            <v>1893457.69</v>
          </cell>
          <cell r="AC302">
            <v>300</v>
          </cell>
        </row>
        <row r="303">
          <cell r="A303" t="str">
            <v>Линия электропередач КЛ 6 кВ</v>
          </cell>
          <cell r="B303" t="str">
            <v>000001888</v>
          </cell>
          <cell r="C303" t="str">
            <v>ПЕРЕДАЧА</v>
          </cell>
          <cell r="D303" t="str">
            <v>Сооружения</v>
          </cell>
          <cell r="E303">
            <v>44560</v>
          </cell>
          <cell r="F303" t="str">
            <v>Цех электрических сетей</v>
          </cell>
          <cell r="X303">
            <v>1308034.49</v>
          </cell>
          <cell r="Z303">
            <v>1308034.49</v>
          </cell>
          <cell r="AC303">
            <v>300</v>
          </cell>
        </row>
        <row r="304">
          <cell r="A304" t="str">
            <v>ЛЭП-6кВ "ЗРУ 6кВ-выход ф.Факел-2" 2007г</v>
          </cell>
          <cell r="B304" t="str">
            <v>00001036</v>
          </cell>
          <cell r="C304" t="str">
            <v>ПЕРЕДАЧА</v>
          </cell>
          <cell r="D304" t="str">
            <v>Сооружения</v>
          </cell>
          <cell r="E304" t="str">
            <v>30.05.2007</v>
          </cell>
          <cell r="F304" t="str">
            <v>Цех электрических сетей</v>
          </cell>
          <cell r="X304">
            <v>103682.93</v>
          </cell>
          <cell r="Y304">
            <v>100803.45533333333</v>
          </cell>
          <cell r="Z304">
            <v>2879.4746666666615</v>
          </cell>
          <cell r="AC304">
            <v>180</v>
          </cell>
        </row>
        <row r="305">
          <cell r="A305" t="str">
            <v>ЛЭП-6кВ ЗРУ6кВ-выход ф. Искателей-1</v>
          </cell>
          <cell r="B305" t="str">
            <v>00001023</v>
          </cell>
          <cell r="C305" t="str">
            <v>ПЕРЕДАЧА</v>
          </cell>
          <cell r="D305" t="str">
            <v>Сооружения</v>
          </cell>
          <cell r="E305" t="str">
            <v>31.07.2007</v>
          </cell>
          <cell r="F305" t="str">
            <v>Цех электрических сетей</v>
          </cell>
          <cell r="X305">
            <v>174104.86</v>
          </cell>
          <cell r="Y305">
            <v>167334.24066666668</v>
          </cell>
          <cell r="Z305">
            <v>6770.6193333333067</v>
          </cell>
          <cell r="AC305">
            <v>180</v>
          </cell>
        </row>
        <row r="306">
          <cell r="A306" t="str">
            <v>ЛЭП-6кВ по ул. Авиаторов</v>
          </cell>
          <cell r="B306" t="str">
            <v>000001421</v>
          </cell>
          <cell r="C306" t="str">
            <v>ПЕРЕДАЧА</v>
          </cell>
          <cell r="D306" t="str">
            <v>Сооружения</v>
          </cell>
          <cell r="E306" t="str">
            <v>31.05.2012</v>
          </cell>
          <cell r="F306" t="str">
            <v>Цех электрических сетей</v>
          </cell>
          <cell r="X306">
            <v>56375.26</v>
          </cell>
          <cell r="Y306">
            <v>35662.44</v>
          </cell>
          <cell r="Z306">
            <v>20712.82</v>
          </cell>
          <cell r="AC306">
            <v>180</v>
          </cell>
        </row>
        <row r="307">
          <cell r="A307" t="str">
            <v>Многоквартирный жилой дом по ул. Пионерской г.Нарьян-Мар. Наружные сети электроснабжения</v>
          </cell>
          <cell r="B307" t="str">
            <v>000001873</v>
          </cell>
          <cell r="C307" t="str">
            <v>ПЕРЕДАЧА</v>
          </cell>
          <cell r="D307" t="str">
            <v>Сооружения</v>
          </cell>
          <cell r="E307">
            <v>44560</v>
          </cell>
          <cell r="F307" t="str">
            <v>Цех электрических сетей</v>
          </cell>
          <cell r="AC307">
            <v>420</v>
          </cell>
        </row>
        <row r="308">
          <cell r="A308" t="str">
            <v>Модуль УВН КТПГС-6кВ (ЗРУ-6кВ)</v>
          </cell>
          <cell r="B308" t="str">
            <v>00001099</v>
          </cell>
          <cell r="C308" t="str">
            <v>ПЕРЕДАЧА</v>
          </cell>
          <cell r="D308" t="str">
            <v>Сооружения</v>
          </cell>
          <cell r="E308" t="str">
            <v>31.10.2010</v>
          </cell>
          <cell r="F308" t="str">
            <v>Цех электрических сетей</v>
          </cell>
          <cell r="X308">
            <v>2085041.06</v>
          </cell>
          <cell r="Y308">
            <v>1198807.5599999998</v>
          </cell>
          <cell r="Z308">
            <v>886233.50000000023</v>
          </cell>
          <cell r="AC308">
            <v>240</v>
          </cell>
        </row>
        <row r="309">
          <cell r="A309" t="str">
            <v>Н/в каб от ТП-20, 10 до банка Поморск 117м  96г</v>
          </cell>
          <cell r="B309" t="str">
            <v>00000179</v>
          </cell>
          <cell r="C309" t="str">
            <v>ПЕРЕДАЧА</v>
          </cell>
          <cell r="D309" t="str">
            <v>Сооружения</v>
          </cell>
          <cell r="E309" t="str">
            <v>01.01.1996</v>
          </cell>
          <cell r="F309" t="str">
            <v>Цех электрических сетей</v>
          </cell>
          <cell r="X309">
            <v>34350</v>
          </cell>
          <cell r="Y309">
            <v>28969</v>
          </cell>
          <cell r="Z309">
            <v>5381</v>
          </cell>
          <cell r="AC309">
            <v>300</v>
          </cell>
        </row>
        <row r="310">
          <cell r="A310" t="str">
            <v>Наружные высоковольтные сети эл/снаб. 600 м м-н Старый аэропорт (ТП №90)</v>
          </cell>
          <cell r="B310" t="str">
            <v>000001493</v>
          </cell>
          <cell r="C310" t="str">
            <v>ПЕРЕДАЧА</v>
          </cell>
          <cell r="D310" t="str">
            <v>Сооружения</v>
          </cell>
          <cell r="E310" t="str">
            <v>31.10.2012</v>
          </cell>
          <cell r="F310" t="str">
            <v>Цех электрических сетей</v>
          </cell>
          <cell r="AC310">
            <v>356</v>
          </cell>
        </row>
        <row r="311">
          <cell r="A311" t="str">
            <v xml:space="preserve">Наружные эл сети по ул Озерная </v>
          </cell>
          <cell r="B311" t="str">
            <v>00000257</v>
          </cell>
          <cell r="C311" t="str">
            <v>ПЕРЕДАЧА</v>
          </cell>
          <cell r="D311" t="str">
            <v>Сооружения</v>
          </cell>
          <cell r="E311" t="str">
            <v>01.09.1998</v>
          </cell>
          <cell r="F311" t="str">
            <v>Цех электрических сетей</v>
          </cell>
          <cell r="X311">
            <v>374534.37</v>
          </cell>
          <cell r="Y311">
            <v>180934.45</v>
          </cell>
          <cell r="Z311">
            <v>193599.91999999998</v>
          </cell>
          <cell r="AC311">
            <v>384</v>
          </cell>
        </row>
        <row r="312">
          <cell r="A312" t="str">
            <v>Оборудование ТП №83 "Теплица"</v>
          </cell>
          <cell r="B312" t="str">
            <v>000001648</v>
          </cell>
          <cell r="C312" t="str">
            <v>ПЕРЕДАЧА</v>
          </cell>
          <cell r="D312" t="str">
            <v>Машины и оборудование (кроме офисного)</v>
          </cell>
          <cell r="E312" t="str">
            <v>31.12.2014</v>
          </cell>
          <cell r="F312" t="str">
            <v>Цех электрических сетей</v>
          </cell>
          <cell r="X312">
            <v>15492697.810000001</v>
          </cell>
          <cell r="Y312">
            <v>5422444.4104999993</v>
          </cell>
          <cell r="Z312">
            <v>10070253.399500001</v>
          </cell>
          <cell r="AC312">
            <v>240</v>
          </cell>
        </row>
        <row r="313">
          <cell r="A313" t="str">
            <v>Оборудование ТП-18 ул 60 лет СССР 5</v>
          </cell>
          <cell r="B313" t="str">
            <v>00000569</v>
          </cell>
          <cell r="C313" t="str">
            <v>ПЕРЕДАЧА</v>
          </cell>
          <cell r="D313" t="str">
            <v>Машины и оборудование (кроме офисного)</v>
          </cell>
          <cell r="E313" t="str">
            <v>01.01.1981</v>
          </cell>
          <cell r="F313" t="str">
            <v>Цех электрических сетей</v>
          </cell>
          <cell r="X313">
            <v>655370.73</v>
          </cell>
          <cell r="Y313">
            <v>222562.69999999998</v>
          </cell>
          <cell r="Z313">
            <v>432808.03</v>
          </cell>
          <cell r="AC313">
            <v>581</v>
          </cell>
        </row>
        <row r="314">
          <cell r="A314" t="str">
            <v>Оборудование ТП-19 ул  Южная, кот 2</v>
          </cell>
          <cell r="B314" t="str">
            <v>00000575</v>
          </cell>
          <cell r="C314" t="str">
            <v>ПЕРЕДАЧА</v>
          </cell>
          <cell r="D314" t="str">
            <v>Машины и оборудование (кроме офисного)</v>
          </cell>
          <cell r="E314" t="str">
            <v>01.01.1968</v>
          </cell>
          <cell r="F314" t="str">
            <v>Цех электрических сетей</v>
          </cell>
          <cell r="X314">
            <v>595136.96</v>
          </cell>
          <cell r="Y314">
            <v>266235.99</v>
          </cell>
          <cell r="Z314">
            <v>328900.96999999997</v>
          </cell>
          <cell r="AC314">
            <v>180</v>
          </cell>
        </row>
        <row r="315">
          <cell r="A315" t="str">
            <v>Оборудование ТП-20 пер Рыбацкий</v>
          </cell>
          <cell r="B315" t="str">
            <v>00000526</v>
          </cell>
          <cell r="C315" t="str">
            <v>ПЕРЕДАЧА</v>
          </cell>
          <cell r="D315" t="str">
            <v>Машины и оборудование (кроме офисного)</v>
          </cell>
          <cell r="E315" t="str">
            <v>01.01.1970</v>
          </cell>
          <cell r="F315" t="str">
            <v>Цех электрических сетей</v>
          </cell>
          <cell r="X315">
            <v>433565.58</v>
          </cell>
          <cell r="Y315">
            <v>177755.75</v>
          </cell>
          <cell r="Z315">
            <v>255809.83000000002</v>
          </cell>
          <cell r="AC315">
            <v>180</v>
          </cell>
        </row>
        <row r="316">
          <cell r="A316" t="str">
            <v>Оборудование ТП-21 ул Хатанзейского</v>
          </cell>
          <cell r="B316" t="str">
            <v>00000586</v>
          </cell>
          <cell r="C316" t="str">
            <v>ПЕРЕДАЧА</v>
          </cell>
          <cell r="D316" t="str">
            <v>Машины и оборудование (кроме офисного)</v>
          </cell>
          <cell r="E316" t="str">
            <v>01.01.1967</v>
          </cell>
          <cell r="F316" t="str">
            <v>Цех электрических сетей</v>
          </cell>
          <cell r="X316">
            <v>2475139.4700000002</v>
          </cell>
          <cell r="Y316">
            <v>201707.87999999998</v>
          </cell>
          <cell r="Z316">
            <v>2273431.5900000003</v>
          </cell>
          <cell r="AC316">
            <v>743</v>
          </cell>
        </row>
        <row r="317">
          <cell r="A317" t="str">
            <v>Оборудование ТП-27 канал ст шк 1 1982г.</v>
          </cell>
          <cell r="B317" t="str">
            <v>00000212</v>
          </cell>
          <cell r="C317" t="str">
            <v>ПЕРЕДАЧА</v>
          </cell>
          <cell r="D317" t="str">
            <v>Машины и оборудование (кроме офисного)</v>
          </cell>
          <cell r="E317" t="str">
            <v>01.01.1982</v>
          </cell>
          <cell r="F317" t="str">
            <v>Цех электрических сетей</v>
          </cell>
          <cell r="X317">
            <v>1220989.8899999999</v>
          </cell>
          <cell r="Y317">
            <v>190847.29</v>
          </cell>
          <cell r="Z317">
            <v>1030142.5999999999</v>
          </cell>
          <cell r="AC317">
            <v>360</v>
          </cell>
        </row>
        <row r="318">
          <cell r="A318" t="str">
            <v>Оборудование ТП-3 "Больница" ул.Ленина 2013г</v>
          </cell>
          <cell r="B318" t="str">
            <v>000001571</v>
          </cell>
          <cell r="C318" t="str">
            <v>ПЕРЕДАЧА</v>
          </cell>
          <cell r="D318" t="str">
            <v>Машины и оборудование (кроме офисного)</v>
          </cell>
          <cell r="E318" t="str">
            <v>31.12.2013</v>
          </cell>
          <cell r="F318" t="str">
            <v>Цех электрических сетей</v>
          </cell>
          <cell r="X318">
            <v>9285466.1799999997</v>
          </cell>
          <cell r="Y318">
            <v>4952248.3586666668</v>
          </cell>
          <cell r="Z318">
            <v>4333217.8213333329</v>
          </cell>
          <cell r="AC318">
            <v>180</v>
          </cell>
        </row>
        <row r="319">
          <cell r="A319" t="str">
            <v>Оборудование ТП-32 ул.Ленина, 41  2013г</v>
          </cell>
          <cell r="B319" t="str">
            <v>000001572</v>
          </cell>
          <cell r="C319" t="str">
            <v>ПЕРЕДАЧА</v>
          </cell>
          <cell r="D319" t="str">
            <v>Машины и оборудование (кроме офисного)</v>
          </cell>
          <cell r="E319" t="str">
            <v>31.12.2013</v>
          </cell>
          <cell r="F319" t="str">
            <v>Цех электрических сетей</v>
          </cell>
          <cell r="X319">
            <v>8382296.4100000001</v>
          </cell>
          <cell r="Y319">
            <v>4470558.0506666666</v>
          </cell>
          <cell r="Z319">
            <v>3911738.3593333336</v>
          </cell>
          <cell r="AC319">
            <v>180</v>
          </cell>
        </row>
        <row r="320">
          <cell r="A320" t="str">
            <v>Оборудование ТП-37 ул Ленина,27 2013г</v>
          </cell>
          <cell r="B320" t="str">
            <v>000001573</v>
          </cell>
          <cell r="C320" t="str">
            <v>ПЕРЕДАЧА</v>
          </cell>
          <cell r="D320" t="str">
            <v>Машины и оборудование (кроме офисного)</v>
          </cell>
          <cell r="E320" t="str">
            <v>31.12.2013</v>
          </cell>
          <cell r="F320" t="str">
            <v>Цех электрических сетей</v>
          </cell>
          <cell r="X320">
            <v>8961223.3300000001</v>
          </cell>
          <cell r="Y320">
            <v>4779318.7686666669</v>
          </cell>
          <cell r="Z320">
            <v>4181904.5613333331</v>
          </cell>
          <cell r="AC320">
            <v>180</v>
          </cell>
        </row>
        <row r="321">
          <cell r="A321" t="str">
            <v>Оборудование ТП-43  Рабочая Водозабор 1996г.</v>
          </cell>
          <cell r="B321" t="str">
            <v>00000237</v>
          </cell>
          <cell r="C321" t="str">
            <v>ПЕРЕДАЧА</v>
          </cell>
          <cell r="D321" t="str">
            <v>Машины и оборудование (кроме офисного)</v>
          </cell>
          <cell r="E321" t="str">
            <v>01.02.1996</v>
          </cell>
          <cell r="F321" t="str">
            <v>Цех электрических сетей</v>
          </cell>
          <cell r="X321">
            <v>38224</v>
          </cell>
          <cell r="Y321">
            <v>35069.423043478266</v>
          </cell>
          <cell r="Z321">
            <v>3154.5769565217342</v>
          </cell>
          <cell r="AC321">
            <v>276</v>
          </cell>
        </row>
        <row r="322">
          <cell r="A322" t="str">
            <v>Оборудование ТП46 Молодежная Факел 1996г</v>
          </cell>
          <cell r="B322" t="str">
            <v>00000239</v>
          </cell>
          <cell r="C322" t="str">
            <v>ПЕРЕДАЧА</v>
          </cell>
          <cell r="D322" t="str">
            <v>Машины и оборудование (кроме офисного)</v>
          </cell>
          <cell r="E322" t="str">
            <v>01.02.1996</v>
          </cell>
          <cell r="F322" t="str">
            <v>Цех электрических сетей</v>
          </cell>
          <cell r="X322">
            <v>236764.66</v>
          </cell>
          <cell r="Y322">
            <v>227863.8</v>
          </cell>
          <cell r="Z322">
            <v>8900.8600000000151</v>
          </cell>
          <cell r="AC322">
            <v>317</v>
          </cell>
        </row>
        <row r="323">
          <cell r="A323" t="str">
            <v>Оборудование ТП-52 Совхоз ГКТП 1982 г.</v>
          </cell>
          <cell r="B323" t="str">
            <v>00000220</v>
          </cell>
          <cell r="C323" t="str">
            <v>ПЕРЕДАЧА</v>
          </cell>
          <cell r="D323" t="str">
            <v>Машины и оборудование (кроме офисного)</v>
          </cell>
          <cell r="E323" t="str">
            <v>01.01.1982</v>
          </cell>
          <cell r="F323" t="str">
            <v>Цех электрических сетей</v>
          </cell>
          <cell r="X323">
            <v>525588.19999999995</v>
          </cell>
          <cell r="Y323">
            <v>353996.4</v>
          </cell>
          <cell r="Z323">
            <v>171591.79999999993</v>
          </cell>
          <cell r="AC323">
            <v>177</v>
          </cell>
        </row>
        <row r="324">
          <cell r="A324" t="str">
            <v>Оборудование ТП-66 МРП 1998г.</v>
          </cell>
          <cell r="B324" t="str">
            <v>00000252</v>
          </cell>
          <cell r="C324" t="str">
            <v>ПЕРЕДАЧА</v>
          </cell>
          <cell r="D324" t="str">
            <v>Машины и оборудование (кроме офисного)</v>
          </cell>
          <cell r="E324" t="str">
            <v>01.06.1998</v>
          </cell>
          <cell r="F324" t="str">
            <v>Цех электрических сетей</v>
          </cell>
          <cell r="X324">
            <v>857091.88</v>
          </cell>
          <cell r="Y324">
            <v>466352.28</v>
          </cell>
          <cell r="Z324">
            <v>390739.6</v>
          </cell>
          <cell r="AC324">
            <v>337</v>
          </cell>
        </row>
        <row r="325">
          <cell r="A325" t="str">
            <v>Оборудование ТП-72 "Микрорайон Центральный"  ул Ленина, 29   2013г</v>
          </cell>
          <cell r="B325" t="str">
            <v>000001574</v>
          </cell>
          <cell r="C325" t="str">
            <v>ПЕРЕДАЧА</v>
          </cell>
          <cell r="D325" t="str">
            <v>Машины и оборудование (кроме офисного)</v>
          </cell>
          <cell r="E325" t="str">
            <v>31.12.2013</v>
          </cell>
          <cell r="F325" t="str">
            <v>Цех электрических сетей</v>
          </cell>
          <cell r="X325">
            <v>7974514.0499999998</v>
          </cell>
          <cell r="Y325">
            <v>4253074.51</v>
          </cell>
          <cell r="Z325">
            <v>3721439.54</v>
          </cell>
          <cell r="AC325">
            <v>180</v>
          </cell>
        </row>
        <row r="326">
          <cell r="A326" t="str">
            <v>Оборудование ТП-8 ул  Ленина 47, 47а</v>
          </cell>
          <cell r="B326" t="str">
            <v>00000195</v>
          </cell>
          <cell r="C326" t="str">
            <v>ПЕРЕДАЧА</v>
          </cell>
          <cell r="D326" t="str">
            <v>Машины и оборудование (кроме офисного)</v>
          </cell>
          <cell r="E326" t="str">
            <v>01.01.1978</v>
          </cell>
          <cell r="F326" t="str">
            <v>Цех электрических сетей</v>
          </cell>
          <cell r="X326">
            <v>950550.24</v>
          </cell>
          <cell r="Y326">
            <v>552764.32000000007</v>
          </cell>
          <cell r="Z326">
            <v>397785.91999999993</v>
          </cell>
          <cell r="AC326">
            <v>120</v>
          </cell>
        </row>
        <row r="327">
          <cell r="A327" t="str">
            <v>Оборудование ТП-9  ул Октябрьская 17</v>
          </cell>
          <cell r="B327" t="str">
            <v>00000196</v>
          </cell>
          <cell r="C327" t="str">
            <v>ПЕРЕДАЧА</v>
          </cell>
          <cell r="D327" t="str">
            <v>Машины и оборудование (кроме офисного)</v>
          </cell>
          <cell r="E327" t="str">
            <v>01.01.1966</v>
          </cell>
          <cell r="F327" t="str">
            <v>Цех электрических сетей</v>
          </cell>
          <cell r="X327">
            <v>945605.02</v>
          </cell>
          <cell r="Y327">
            <v>391935.13</v>
          </cell>
          <cell r="Z327">
            <v>553669.89</v>
          </cell>
          <cell r="AC327">
            <v>180</v>
          </cell>
        </row>
        <row r="328">
          <cell r="A328" t="str">
            <v>Панель распределительная ЩО-70-1-01УЗ 2001г</v>
          </cell>
          <cell r="B328" t="str">
            <v>00000316</v>
          </cell>
          <cell r="C328" t="str">
            <v>ПЕРЕДАЧА</v>
          </cell>
          <cell r="D328" t="str">
            <v>Машины и оборудование (кроме офисного)</v>
          </cell>
          <cell r="E328" t="str">
            <v>30.06.2001</v>
          </cell>
          <cell r="F328" t="str">
            <v>Цех электрических сетей</v>
          </cell>
          <cell r="X328">
            <v>14763.39</v>
          </cell>
          <cell r="Y328">
            <v>12896.22652173913</v>
          </cell>
          <cell r="Z328">
            <v>1867.1634782608689</v>
          </cell>
          <cell r="AC328">
            <v>276</v>
          </cell>
        </row>
        <row r="329">
          <cell r="A329" t="str">
            <v>Панель распределительная ЩО-70-1-04УЗ 2001г</v>
          </cell>
          <cell r="B329" t="str">
            <v>00000317</v>
          </cell>
          <cell r="C329" t="str">
            <v>ПЕРЕДАЧА</v>
          </cell>
          <cell r="D329" t="str">
            <v>Машины и оборудование (кроме офисного)</v>
          </cell>
          <cell r="E329" t="str">
            <v>30.06.2001</v>
          </cell>
          <cell r="F329" t="str">
            <v>Цех электрических сетей</v>
          </cell>
          <cell r="X329">
            <v>9557.9699999999993</v>
          </cell>
          <cell r="Y329">
            <v>8383.8039130434772</v>
          </cell>
          <cell r="Z329">
            <v>1174.1660869565221</v>
          </cell>
          <cell r="AC329">
            <v>276</v>
          </cell>
        </row>
        <row r="330">
          <cell r="A330" t="str">
            <v>Панель ЩО 70-1-02</v>
          </cell>
          <cell r="B330" t="str">
            <v>00001007</v>
          </cell>
          <cell r="C330" t="str">
            <v>ПЕРЕДАЧА</v>
          </cell>
          <cell r="D330" t="str">
            <v>Машины и оборудование (кроме офисного)</v>
          </cell>
          <cell r="E330" t="str">
            <v>30.11.2006</v>
          </cell>
          <cell r="F330" t="str">
            <v>Цех электрических сетей</v>
          </cell>
          <cell r="X330">
            <v>20236.95</v>
          </cell>
          <cell r="Y330">
            <v>20236.954999999998</v>
          </cell>
          <cell r="Z330">
            <v>-4.9999999973806553E-3</v>
          </cell>
          <cell r="AC330">
            <v>180</v>
          </cell>
        </row>
        <row r="331">
          <cell r="A331" t="str">
            <v>Панель ЩО 70-1-02</v>
          </cell>
          <cell r="B331" t="str">
            <v>00001008</v>
          </cell>
          <cell r="C331" t="str">
            <v>ПЕРЕДАЧА</v>
          </cell>
          <cell r="D331" t="str">
            <v>Машины и оборудование (кроме офисного)</v>
          </cell>
          <cell r="E331" t="str">
            <v>30.11.2006</v>
          </cell>
          <cell r="F331" t="str">
            <v>Цех электрических сетей</v>
          </cell>
          <cell r="X331">
            <v>20236.95</v>
          </cell>
          <cell r="Y331">
            <v>20236.954999999998</v>
          </cell>
          <cell r="Z331">
            <v>-4.9999999973806553E-3</v>
          </cell>
          <cell r="AC331">
            <v>180</v>
          </cell>
        </row>
        <row r="332">
          <cell r="A332" t="str">
            <v>Панель ЩО 70-1-02</v>
          </cell>
          <cell r="B332" t="str">
            <v>00001009</v>
          </cell>
          <cell r="C332" t="str">
            <v>ПЕРЕДАЧА</v>
          </cell>
          <cell r="D332" t="str">
            <v>Машины и оборудование (кроме офисного)</v>
          </cell>
          <cell r="E332" t="str">
            <v>30.11.2006</v>
          </cell>
          <cell r="F332" t="str">
            <v>Цех электрических сетей</v>
          </cell>
          <cell r="X332">
            <v>20236.95</v>
          </cell>
          <cell r="Y332">
            <v>20236.954999999998</v>
          </cell>
          <cell r="Z332">
            <v>-4.9999999973806553E-3</v>
          </cell>
          <cell r="AC332">
            <v>180</v>
          </cell>
        </row>
        <row r="333">
          <cell r="A333" t="str">
            <v>Панель ЩО 70-1-32</v>
          </cell>
          <cell r="B333" t="str">
            <v>00001010</v>
          </cell>
          <cell r="C333" t="str">
            <v>ПЕРЕДАЧА</v>
          </cell>
          <cell r="D333" t="str">
            <v>Машины и оборудование (кроме офисного)</v>
          </cell>
          <cell r="E333" t="str">
            <v>30.11.2006</v>
          </cell>
          <cell r="F333" t="str">
            <v>Цех электрических сетей</v>
          </cell>
          <cell r="X333">
            <v>23843.52</v>
          </cell>
          <cell r="Y333">
            <v>23843.52</v>
          </cell>
          <cell r="Z333">
            <v>0</v>
          </cell>
          <cell r="AC333">
            <v>180</v>
          </cell>
        </row>
        <row r="334">
          <cell r="A334" t="str">
            <v>Панель ЩО 70-1-32</v>
          </cell>
          <cell r="B334" t="str">
            <v>00001011</v>
          </cell>
          <cell r="C334" t="str">
            <v>ПЕРЕДАЧА</v>
          </cell>
          <cell r="D334" t="str">
            <v>Машины и оборудование (кроме офисного)</v>
          </cell>
          <cell r="E334" t="str">
            <v>30.11.2006</v>
          </cell>
          <cell r="F334" t="str">
            <v>Цех электрических сетей</v>
          </cell>
          <cell r="X334">
            <v>23843.52</v>
          </cell>
          <cell r="Y334">
            <v>23843.52</v>
          </cell>
          <cell r="Z334">
            <v>0</v>
          </cell>
          <cell r="AC334">
            <v>180</v>
          </cell>
        </row>
        <row r="335">
          <cell r="A335" t="str">
            <v>Панель ЩО 70-3-05 (Н) УЗ1 250А №6898</v>
          </cell>
          <cell r="B335" t="str">
            <v>00001370</v>
          </cell>
          <cell r="C335" t="str">
            <v>ПЕРЕДАЧА</v>
          </cell>
          <cell r="D335" t="str">
            <v>Машины и оборудование (кроме офисного)</v>
          </cell>
          <cell r="E335" t="str">
            <v>18.10.2011</v>
          </cell>
          <cell r="F335" t="str">
            <v>Цех электрических сетей</v>
          </cell>
          <cell r="X335">
            <v>42049.94</v>
          </cell>
          <cell r="Y335">
            <v>42049.9355</v>
          </cell>
          <cell r="Z335">
            <v>4.5000000027357601E-3</v>
          </cell>
          <cell r="AC335">
            <v>120</v>
          </cell>
        </row>
        <row r="336">
          <cell r="A336" t="str">
            <v>Панель ЩО 70-3-05 (Н) УЗ2 260А №6899</v>
          </cell>
          <cell r="B336" t="str">
            <v>00001372</v>
          </cell>
          <cell r="C336" t="str">
            <v>ПЕРЕДАЧА</v>
          </cell>
          <cell r="D336" t="str">
            <v>Машины и оборудование (кроме офисного)</v>
          </cell>
          <cell r="E336" t="str">
            <v>18.10.2011</v>
          </cell>
          <cell r="F336" t="str">
            <v>Цех электрических сетей</v>
          </cell>
          <cell r="X336">
            <v>50064.160000000003</v>
          </cell>
          <cell r="Y336">
            <v>50064.16333333333</v>
          </cell>
          <cell r="Z336">
            <v>-3.3333333267364651E-3</v>
          </cell>
          <cell r="AC336">
            <v>120</v>
          </cell>
        </row>
        <row r="337">
          <cell r="A337" t="str">
            <v>Панель ЩО 70-3-09 УЗ 1000А №6900</v>
          </cell>
          <cell r="B337" t="str">
            <v>00001369</v>
          </cell>
          <cell r="C337" t="str">
            <v>ПЕРЕДАЧА</v>
          </cell>
          <cell r="D337" t="str">
            <v>Машины и оборудование (кроме офисного)</v>
          </cell>
          <cell r="E337" t="str">
            <v>18.10.2011</v>
          </cell>
          <cell r="F337" t="str">
            <v>Цех электрических сетей</v>
          </cell>
          <cell r="X337">
            <v>85089.29</v>
          </cell>
          <cell r="Y337">
            <v>85089.286749999999</v>
          </cell>
          <cell r="Z337">
            <v>3.2499999942956492E-3</v>
          </cell>
          <cell r="AC337">
            <v>120</v>
          </cell>
        </row>
        <row r="338">
          <cell r="A338" t="str">
            <v>Панель ЩО 70-3М-01</v>
          </cell>
          <cell r="B338" t="str">
            <v>00001012</v>
          </cell>
          <cell r="C338" t="str">
            <v>ПЕРЕДАЧА</v>
          </cell>
          <cell r="D338" t="str">
            <v>Машины и оборудование (кроме офисного)</v>
          </cell>
          <cell r="E338" t="str">
            <v>30.11.2006</v>
          </cell>
          <cell r="F338" t="str">
            <v>Цех электрических сетей</v>
          </cell>
          <cell r="X338">
            <v>49197.8</v>
          </cell>
          <cell r="Y338">
            <v>49197.802222222228</v>
          </cell>
          <cell r="Z338">
            <v>-2.2222222251002677E-3</v>
          </cell>
          <cell r="AC338">
            <v>180</v>
          </cell>
        </row>
        <row r="339">
          <cell r="A339" t="str">
            <v>Панель ЩО 91-05</v>
          </cell>
          <cell r="B339" t="str">
            <v>000001617</v>
          </cell>
          <cell r="C339" t="str">
            <v>ПЕРЕДАЧА</v>
          </cell>
          <cell r="D339" t="str">
            <v>Машины и оборудование (кроме офисного)</v>
          </cell>
          <cell r="E339" t="str">
            <v>30.04.2014</v>
          </cell>
          <cell r="F339" t="str">
            <v>Цех электрических сетей</v>
          </cell>
          <cell r="X339">
            <v>42304.11</v>
          </cell>
          <cell r="Y339">
            <v>32432.811000000002</v>
          </cell>
          <cell r="Z339">
            <v>9871.2989999999991</v>
          </cell>
          <cell r="AC339">
            <v>120</v>
          </cell>
        </row>
        <row r="340">
          <cell r="A340" t="str">
            <v>Панель ЩО 91-06</v>
          </cell>
          <cell r="B340" t="str">
            <v>000001618</v>
          </cell>
          <cell r="C340" t="str">
            <v>ПЕРЕДАЧА</v>
          </cell>
          <cell r="D340" t="str">
            <v>Другие виды основных средств</v>
          </cell>
          <cell r="E340" t="str">
            <v>30.04.2014</v>
          </cell>
          <cell r="F340" t="str">
            <v>Цех электрических сетей</v>
          </cell>
          <cell r="X340">
            <v>55133.279999999999</v>
          </cell>
          <cell r="Y340">
            <v>42268.527999999998</v>
          </cell>
          <cell r="Z340">
            <v>12864.752</v>
          </cell>
          <cell r="AC340">
            <v>120</v>
          </cell>
        </row>
        <row r="341">
          <cell r="A341" t="str">
            <v>Передвижная КТП</v>
          </cell>
          <cell r="B341" t="str">
            <v>000001641</v>
          </cell>
          <cell r="C341" t="str">
            <v>ПЕРЕДАЧА</v>
          </cell>
          <cell r="D341" t="str">
            <v>Другие виды основных средств</v>
          </cell>
          <cell r="E341" t="str">
            <v>12.11.2014</v>
          </cell>
          <cell r="F341" t="str">
            <v>Цех электрических сетей</v>
          </cell>
          <cell r="X341">
            <v>91853.91</v>
          </cell>
          <cell r="Y341">
            <v>37003.0090521327</v>
          </cell>
          <cell r="Z341">
            <v>54850.900947867303</v>
          </cell>
          <cell r="AC341">
            <v>211</v>
          </cell>
        </row>
        <row r="342">
          <cell r="A342" t="str">
            <v>Перфоратор Makita HR5202C</v>
          </cell>
          <cell r="B342" t="str">
            <v>000001807</v>
          </cell>
          <cell r="C342" t="str">
            <v>ПЕРЕДАЧА</v>
          </cell>
          <cell r="D342" t="str">
            <v>Машины и оборудование (кроме офисного)</v>
          </cell>
          <cell r="E342" t="str">
            <v>16.04.2020</v>
          </cell>
          <cell r="F342" t="str">
            <v>общепроизводственные расходы</v>
          </cell>
          <cell r="X342">
            <v>43604.17</v>
          </cell>
          <cell r="Y342">
            <v>1816.8404166666667</v>
          </cell>
          <cell r="Z342">
            <v>7267.3650000000052</v>
          </cell>
          <cell r="AC342">
            <v>24</v>
          </cell>
        </row>
        <row r="343">
          <cell r="A343" t="str">
            <v>Подстанция КТПКп-400 №2273 ( ТП № 2  2008г)</v>
          </cell>
          <cell r="B343" t="str">
            <v>00001063</v>
          </cell>
          <cell r="C343" t="str">
            <v>ПЕРЕДАЧА</v>
          </cell>
          <cell r="D343" t="str">
            <v>Сооружения</v>
          </cell>
          <cell r="E343" t="str">
            <v>31.10.2007</v>
          </cell>
          <cell r="F343" t="str">
            <v>Цех электрических сетей</v>
          </cell>
          <cell r="X343">
            <v>329828.57</v>
          </cell>
          <cell r="Y343">
            <v>311189.88</v>
          </cell>
          <cell r="Z343">
            <v>18638.690000000002</v>
          </cell>
          <cell r="AC343">
            <v>180</v>
          </cell>
        </row>
        <row r="344">
          <cell r="A344" t="str">
            <v>Подстанция КТПКп-400 №2275 (ТП № 65 с 18.08.09г)</v>
          </cell>
          <cell r="B344" t="str">
            <v>00001044</v>
          </cell>
          <cell r="C344" t="str">
            <v>ПЕРЕДАЧА</v>
          </cell>
          <cell r="D344" t="str">
            <v>Сооружения</v>
          </cell>
          <cell r="E344" t="str">
            <v>31.10.2007</v>
          </cell>
          <cell r="F344" t="str">
            <v>Цех электрических сетей</v>
          </cell>
          <cell r="X344">
            <v>251274.09</v>
          </cell>
          <cell r="Y344">
            <v>237314.86600000001</v>
          </cell>
          <cell r="Z344">
            <v>13959.223999999987</v>
          </cell>
          <cell r="AC344">
            <v>180</v>
          </cell>
        </row>
        <row r="345">
          <cell r="A345" t="str">
            <v>Подстанция трансформат. компл. КТП/ПК 630/6/0,4 кВ</v>
          </cell>
          <cell r="B345" t="str">
            <v>00001251</v>
          </cell>
          <cell r="C345" t="str">
            <v>ПЕРЕДАЧА</v>
          </cell>
          <cell r="D345" t="str">
            <v>Здания</v>
          </cell>
          <cell r="E345" t="str">
            <v>31.10.2010</v>
          </cell>
          <cell r="F345" t="str">
            <v>Цех электрических сетей</v>
          </cell>
          <cell r="X345">
            <v>865197.63</v>
          </cell>
          <cell r="Y345">
            <v>473372.36000000004</v>
          </cell>
          <cell r="Z345">
            <v>391825.26999999996</v>
          </cell>
          <cell r="AC345">
            <v>192</v>
          </cell>
        </row>
        <row r="346">
          <cell r="A346" t="str">
            <v>Пристройка к гаражу 2001г</v>
          </cell>
          <cell r="B346" t="str">
            <v>00000345</v>
          </cell>
          <cell r="C346" t="str">
            <v>ПЕРЕДАЧА</v>
          </cell>
          <cell r="D346" t="str">
            <v>Здания</v>
          </cell>
          <cell r="E346" t="str">
            <v>29.12.2001</v>
          </cell>
          <cell r="F346" t="str">
            <v>Автотранспортный цех</v>
          </cell>
          <cell r="X346">
            <v>293225.45</v>
          </cell>
          <cell r="Y346">
            <v>293225.45</v>
          </cell>
          <cell r="Z346">
            <v>0</v>
          </cell>
          <cell r="AC346">
            <v>240</v>
          </cell>
        </row>
        <row r="347">
          <cell r="A347" t="str">
            <v>Прицеп-роспуск лесовозный 4667В2  2015г.</v>
          </cell>
          <cell r="B347" t="str">
            <v>000001657</v>
          </cell>
          <cell r="C347" t="str">
            <v>ПЕРЕДАЧА</v>
          </cell>
          <cell r="D347" t="str">
            <v>Транспортные средства</v>
          </cell>
          <cell r="E347" t="str">
            <v>30.06.2015</v>
          </cell>
          <cell r="F347" t="str">
            <v>Автотранспортный цех</v>
          </cell>
          <cell r="X347">
            <v>398305.08</v>
          </cell>
          <cell r="Y347">
            <v>258898.36799999999</v>
          </cell>
          <cell r="Z347">
            <v>139406.71200000003</v>
          </cell>
          <cell r="AC347">
            <v>120</v>
          </cell>
        </row>
        <row r="348">
          <cell r="A348" t="str">
            <v>Пункт коммерческого учета ПКУ-6-У1 (ВМ) (16-1513.1) 16-1513.1</v>
          </cell>
          <cell r="B348" t="str">
            <v>000001686</v>
          </cell>
          <cell r="C348" t="str">
            <v>ПЕРЕДАЧА</v>
          </cell>
          <cell r="D348" t="str">
            <v>Машины и оборудование (кроме офисного)</v>
          </cell>
          <cell r="E348" t="str">
            <v>22.06.2016</v>
          </cell>
          <cell r="F348" t="str">
            <v>Цех электрических сетей</v>
          </cell>
          <cell r="X348">
            <v>127916.95</v>
          </cell>
          <cell r="Y348">
            <v>100506.13</v>
          </cell>
          <cell r="Z348">
            <v>27410.819999999992</v>
          </cell>
          <cell r="AC348">
            <v>84</v>
          </cell>
        </row>
        <row r="349">
          <cell r="A349" t="str">
            <v>Распред. устройство 6кв 1986г</v>
          </cell>
          <cell r="B349" t="str">
            <v>00000577</v>
          </cell>
          <cell r="C349" t="str">
            <v>ПЕРЕДАЧА</v>
          </cell>
          <cell r="D349" t="str">
            <v>Здания</v>
          </cell>
          <cell r="E349" t="str">
            <v>01.01.1986</v>
          </cell>
          <cell r="F349" t="str">
            <v>Цех электрических сетей</v>
          </cell>
          <cell r="X349">
            <v>14221</v>
          </cell>
          <cell r="Y349">
            <v>8487.3438983050837</v>
          </cell>
          <cell r="Z349">
            <v>5733.6561016949163</v>
          </cell>
          <cell r="AC349">
            <v>708</v>
          </cell>
        </row>
        <row r="350">
          <cell r="A350" t="str">
            <v>Распределительное устройство РУ-6 кВ 2007г</v>
          </cell>
          <cell r="B350" t="str">
            <v>00001034</v>
          </cell>
          <cell r="C350" t="str">
            <v>ПЕРЕДАЧА</v>
          </cell>
          <cell r="D350" t="str">
            <v>Сооружения</v>
          </cell>
          <cell r="E350" t="str">
            <v>30.04.2007</v>
          </cell>
          <cell r="F350" t="str">
            <v>Цех электрических сетей</v>
          </cell>
          <cell r="AC350">
            <v>180</v>
          </cell>
        </row>
        <row r="351">
          <cell r="A351" t="str">
            <v>Реклоузер вакуумный PBA/TEL фидер ЖВК на ВЛ-6кВ</v>
          </cell>
          <cell r="B351" t="str">
            <v>000001667</v>
          </cell>
          <cell r="C351" t="str">
            <v>ПЕРЕДАЧА</v>
          </cell>
          <cell r="D351" t="str">
            <v>Машины и оборудование (кроме офисного)</v>
          </cell>
          <cell r="E351" t="str">
            <v>31.12.2015</v>
          </cell>
          <cell r="F351" t="str">
            <v>Цех электрических сетей</v>
          </cell>
          <cell r="X351">
            <v>1311763</v>
          </cell>
          <cell r="Y351">
            <v>524705.06666666665</v>
          </cell>
          <cell r="Z351">
            <v>787057.93333333335</v>
          </cell>
          <cell r="AC351">
            <v>180</v>
          </cell>
        </row>
        <row r="352">
          <cell r="A352" t="str">
            <v>Реклоузер вакуумный PBA/TEL фидер Искатели на ВЛ 6 кВ ул. Монтажников в районе дома №11</v>
          </cell>
          <cell r="B352" t="str">
            <v>000001701</v>
          </cell>
          <cell r="C352" t="str">
            <v>ПЕРЕДАЧА</v>
          </cell>
          <cell r="D352" t="str">
            <v>Машины и оборудование (кроме офисного)</v>
          </cell>
          <cell r="E352" t="str">
            <v>31.03.2017</v>
          </cell>
          <cell r="F352" t="str">
            <v>Цех электрических сетей</v>
          </cell>
          <cell r="X352">
            <v>1356000</v>
          </cell>
          <cell r="Y352">
            <v>257640</v>
          </cell>
          <cell r="Z352">
            <v>1098360</v>
          </cell>
          <cell r="AC352">
            <v>300</v>
          </cell>
        </row>
        <row r="353">
          <cell r="A353" t="str">
            <v>Реклоузер вакуумный PBA/TEL фидер Нефтебаза на ВЛ 6 кВ ул. Калмыкова, в районе дома №14</v>
          </cell>
          <cell r="B353" t="str">
            <v>000001700</v>
          </cell>
          <cell r="C353" t="str">
            <v>ПЕРЕДАЧА</v>
          </cell>
          <cell r="D353" t="str">
            <v>Машины и оборудование (кроме офисного)</v>
          </cell>
          <cell r="E353" t="str">
            <v>31.03.2017</v>
          </cell>
          <cell r="F353" t="str">
            <v>Цех электрических сетей</v>
          </cell>
          <cell r="X353">
            <v>1356000</v>
          </cell>
          <cell r="Y353">
            <v>257640</v>
          </cell>
          <cell r="Z353">
            <v>1098360</v>
          </cell>
          <cell r="AC353">
            <v>300</v>
          </cell>
        </row>
        <row r="354">
          <cell r="A354" t="str">
            <v>Реконструкция ВЛ-0,4 кВ от ТП № 43 фидер "ул. Рабочая 43" г. Нарьян-Мар НАО</v>
          </cell>
          <cell r="B354" t="str">
            <v>000001679</v>
          </cell>
          <cell r="C354" t="str">
            <v>ПЕРЕДАЧА</v>
          </cell>
          <cell r="D354" t="str">
            <v>Сооружения</v>
          </cell>
          <cell r="E354" t="str">
            <v>20.02.2016</v>
          </cell>
          <cell r="F354" t="str">
            <v>Цех электрических сетей</v>
          </cell>
          <cell r="X354">
            <v>3985204.78</v>
          </cell>
          <cell r="Y354">
            <v>1549802.0586666667</v>
          </cell>
          <cell r="Z354">
            <v>2435402.7213333333</v>
          </cell>
          <cell r="AC354">
            <v>180</v>
          </cell>
        </row>
        <row r="355">
          <cell r="A355" t="str">
            <v>Реконструкция ВЛ-0,4 кВ от ТП №24 фидер "ул. 60 лет Октября 3а"</v>
          </cell>
          <cell r="B355" t="str">
            <v>000001678</v>
          </cell>
          <cell r="C355" t="str">
            <v>ПЕРЕДАЧА</v>
          </cell>
          <cell r="D355" t="str">
            <v>Сооружения</v>
          </cell>
          <cell r="E355" t="str">
            <v>20.02.2016</v>
          </cell>
          <cell r="F355" t="str">
            <v>Цех электрических сетей</v>
          </cell>
          <cell r="X355">
            <v>3184874.41</v>
          </cell>
          <cell r="Y355">
            <v>1238562.4606666667</v>
          </cell>
          <cell r="Z355">
            <v>1946311.9493333334</v>
          </cell>
          <cell r="AC355">
            <v>180</v>
          </cell>
        </row>
        <row r="356">
          <cell r="A356" t="str">
            <v>РП-6кВ "Банное озеро" 2008г</v>
          </cell>
          <cell r="B356" t="str">
            <v>00001093</v>
          </cell>
          <cell r="C356" t="str">
            <v>ПЕРЕДАЧА</v>
          </cell>
          <cell r="D356" t="str">
            <v>Сооружения</v>
          </cell>
          <cell r="E356" t="str">
            <v>30.09.2008</v>
          </cell>
          <cell r="F356" t="str">
            <v>Цех электрических сетей</v>
          </cell>
          <cell r="X356">
            <v>588018.28</v>
          </cell>
          <cell r="Y356">
            <v>519416.40866666666</v>
          </cell>
          <cell r="Z356">
            <v>68601.871333333373</v>
          </cell>
          <cell r="AC356">
            <v>180</v>
          </cell>
        </row>
        <row r="357">
          <cell r="A357" t="str">
            <v>РП-6кВ с питающими кабельными линиями 6 кВ по ул. Октябрьская и ул. Выучейского</v>
          </cell>
          <cell r="B357" t="str">
            <v>000001756</v>
          </cell>
          <cell r="C357" t="str">
            <v>ПЕРЕДАЧА</v>
          </cell>
          <cell r="D357" t="str">
            <v>Сооружения</v>
          </cell>
          <cell r="E357" t="str">
            <v>29.12.2018</v>
          </cell>
          <cell r="F357" t="str">
            <v>Цех электрических сетей</v>
          </cell>
          <cell r="X357">
            <v>10871012.09</v>
          </cell>
          <cell r="Y357">
            <v>1304521.5236000002</v>
          </cell>
          <cell r="Z357">
            <v>9566490.566399999</v>
          </cell>
          <cell r="AC357">
            <v>300</v>
          </cell>
        </row>
        <row r="358">
          <cell r="A358" t="str">
            <v>Сети электроснабжения</v>
          </cell>
          <cell r="B358" t="str">
            <v>000001714</v>
          </cell>
          <cell r="C358" t="str">
            <v>ПЕРЕДАЧА</v>
          </cell>
          <cell r="D358" t="str">
            <v>Сооружения</v>
          </cell>
          <cell r="E358" t="str">
            <v>05.09.2017</v>
          </cell>
          <cell r="F358" t="str">
            <v>Цех электрических сетей</v>
          </cell>
          <cell r="AC358">
            <v>360</v>
          </cell>
        </row>
        <row r="359">
          <cell r="A359" t="str">
            <v>Сети электроснабжения (База МТР)</v>
          </cell>
          <cell r="B359" t="str">
            <v>000001508</v>
          </cell>
          <cell r="C359" t="str">
            <v>ПЕРЕДАЧА</v>
          </cell>
          <cell r="D359" t="str">
            <v>Сооружения</v>
          </cell>
          <cell r="E359" t="str">
            <v>29.01.2013</v>
          </cell>
          <cell r="F359" t="str">
            <v>Цех электрических сетей</v>
          </cell>
          <cell r="X359">
            <v>959565.45</v>
          </cell>
          <cell r="Y359">
            <v>570408.43000000005</v>
          </cell>
          <cell r="Z359">
            <v>389157.0199999999</v>
          </cell>
          <cell r="AC359">
            <v>180</v>
          </cell>
        </row>
        <row r="360">
          <cell r="A360" t="str">
            <v>Система охранно-пожарной сигнализации в производственных помещениях ЦЭС ГУП НАО "Нарьян-Марская электростанция"</v>
          </cell>
          <cell r="B360" t="str">
            <v>000001731</v>
          </cell>
          <cell r="C360" t="str">
            <v>ПЕРЕДАЧА</v>
          </cell>
          <cell r="D360" t="str">
            <v>Машины и оборудование (кроме офисного)</v>
          </cell>
          <cell r="E360" t="str">
            <v>31.05.2018</v>
          </cell>
          <cell r="F360" t="str">
            <v>Цех электрических сетей</v>
          </cell>
          <cell r="X360">
            <v>105065.86</v>
          </cell>
          <cell r="Y360">
            <v>25099.090666666671</v>
          </cell>
          <cell r="Z360">
            <v>79966.76933333333</v>
          </cell>
          <cell r="AC360">
            <v>180</v>
          </cell>
        </row>
        <row r="361">
          <cell r="A361" t="str">
            <v>Система охранно-пожарной сигнализации в производственных помещениях АТЦ ГУП НАО "Нарьян-Марская электростанция"</v>
          </cell>
          <cell r="B361" t="str">
            <v>000001728</v>
          </cell>
          <cell r="C361" t="str">
            <v>ПЕРЕДАЧА</v>
          </cell>
          <cell r="D361" t="str">
            <v>Машины и оборудование (кроме офисного)</v>
          </cell>
          <cell r="E361" t="str">
            <v>31.05.2018</v>
          </cell>
          <cell r="F361" t="str">
            <v>Автотранспортный цех</v>
          </cell>
          <cell r="X361">
            <v>115619.89</v>
          </cell>
          <cell r="Y361">
            <v>27620.222666666668</v>
          </cell>
          <cell r="Z361">
            <v>87999.667333333331</v>
          </cell>
          <cell r="AC361">
            <v>180</v>
          </cell>
        </row>
        <row r="362">
          <cell r="A362" t="str">
            <v>Спасательный центр в г. Нарьян-Маре. Кабель электроснабжения 6 кВ</v>
          </cell>
          <cell r="B362" t="str">
            <v>000001704</v>
          </cell>
          <cell r="C362" t="str">
            <v>ПЕРЕДАЧА</v>
          </cell>
          <cell r="D362" t="str">
            <v>Сооружения</v>
          </cell>
          <cell r="E362" t="str">
            <v>24.05.2017</v>
          </cell>
          <cell r="F362" t="str">
            <v>Цех электрических сетей</v>
          </cell>
          <cell r="AC362">
            <v>360</v>
          </cell>
        </row>
        <row r="363">
          <cell r="A363" t="str">
            <v>Специальный автогидроподъемник Чайка-Сервис 2784SG</v>
          </cell>
          <cell r="B363" t="str">
            <v>000001819</v>
          </cell>
          <cell r="C363" t="str">
            <v>ПЕРЕДАЧА</v>
          </cell>
          <cell r="D363" t="str">
            <v>Транспортные средства</v>
          </cell>
          <cell r="E363" t="str">
            <v>27.08.2020</v>
          </cell>
          <cell r="F363" t="str">
            <v>Автотранспортный цех</v>
          </cell>
          <cell r="X363">
            <v>5619166.6699999999</v>
          </cell>
          <cell r="Y363">
            <v>749222.22699999996</v>
          </cell>
          <cell r="Z363">
            <v>4869944.443</v>
          </cell>
          <cell r="AC363">
            <v>120</v>
          </cell>
        </row>
        <row r="364">
          <cell r="A364" t="str">
            <v>Строительство ВЛ-0,4 кВ по ул. Строителей (от ТП №65 ф. Монтажников д.15, 15б, 17, ф. Строителей д.1, 3, 3а)</v>
          </cell>
          <cell r="B364" t="str">
            <v>000001825</v>
          </cell>
          <cell r="C364" t="str">
            <v>ПЕРЕДАЧА</v>
          </cell>
          <cell r="D364" t="str">
            <v>Сооружения</v>
          </cell>
          <cell r="E364" t="str">
            <v>12.11.2020</v>
          </cell>
          <cell r="F364" t="str">
            <v>Цех электрических сетей</v>
          </cell>
          <cell r="X364">
            <v>4267272.09</v>
          </cell>
          <cell r="Y364">
            <v>115571.95224999996</v>
          </cell>
          <cell r="Z364">
            <v>4151700.1377499998</v>
          </cell>
          <cell r="AC364">
            <v>480</v>
          </cell>
        </row>
        <row r="365">
          <cell r="A365" t="str">
            <v>Строительство ВЛ-0,4кВ от ТП №2 фидер ул. 60 лет Октября д.43А г. Нарьян-Мар НАО</v>
          </cell>
          <cell r="B365" t="str">
            <v>000001690</v>
          </cell>
          <cell r="C365" t="str">
            <v>ПЕРЕДАЧА</v>
          </cell>
          <cell r="D365" t="str">
            <v>Сооружения</v>
          </cell>
          <cell r="E365" t="str">
            <v>10.08.2016</v>
          </cell>
          <cell r="F365" t="str">
            <v>Цех электрических сетей</v>
          </cell>
          <cell r="X365">
            <v>1849040.59</v>
          </cell>
          <cell r="Y365">
            <v>657436.77266666666</v>
          </cell>
          <cell r="Z365">
            <v>1191603.8173333334</v>
          </cell>
          <cell r="AC365">
            <v>180</v>
          </cell>
        </row>
        <row r="366">
          <cell r="A366" t="str">
            <v>Строительство участка ВЛ-0,4 кВ от ТП №46, фидер "ул.Молодежная", фидер "ул.Юбилейная", фидер магазин "Хороший"</v>
          </cell>
          <cell r="B366" t="str">
            <v>000001699</v>
          </cell>
          <cell r="C366" t="str">
            <v>ПЕРЕДАЧА</v>
          </cell>
          <cell r="D366" t="str">
            <v>Сооружения</v>
          </cell>
          <cell r="E366" t="str">
            <v>23.12.2016</v>
          </cell>
          <cell r="F366" t="str">
            <v>Цех электрических сетей</v>
          </cell>
          <cell r="X366">
            <v>2516509.21</v>
          </cell>
          <cell r="Y366">
            <v>838836.56066666672</v>
          </cell>
          <cell r="Z366">
            <v>1677672.6493333331</v>
          </cell>
          <cell r="AC366">
            <v>180</v>
          </cell>
        </row>
        <row r="367">
          <cell r="A367" t="str">
            <v>Тепловизор RGK TL-80</v>
          </cell>
          <cell r="B367" t="str">
            <v>000001742</v>
          </cell>
          <cell r="C367" t="str">
            <v>ПЕРЕДАЧА</v>
          </cell>
          <cell r="D367" t="str">
            <v>Машины и оборудование (кроме офисного)</v>
          </cell>
          <cell r="E367" t="str">
            <v>28.08.2018</v>
          </cell>
          <cell r="F367" t="str">
            <v>Цех электрических сетей</v>
          </cell>
          <cell r="X367">
            <v>138588.07</v>
          </cell>
          <cell r="Y367">
            <v>92392.01400000001</v>
          </cell>
          <cell r="Z367">
            <v>46196.055999999997</v>
          </cell>
          <cell r="AC367">
            <v>60</v>
          </cell>
        </row>
        <row r="368">
          <cell r="A368" t="str">
            <v>Токоизмерительные клещи с поверкой U1213A</v>
          </cell>
          <cell r="B368" t="str">
            <v>000001868</v>
          </cell>
          <cell r="C368" t="str">
            <v>ПЕРЕДАЧА</v>
          </cell>
          <cell r="D368" t="str">
            <v>Производственный и хозяйственный инвентарь</v>
          </cell>
          <cell r="E368">
            <v>44509</v>
          </cell>
          <cell r="F368" t="str">
            <v>Цех электрических сетей</v>
          </cell>
          <cell r="X368">
            <v>62904.17</v>
          </cell>
          <cell r="Y368">
            <v>748.85916666666662</v>
          </cell>
          <cell r="Z368">
            <v>62155.310833333329</v>
          </cell>
          <cell r="AC368">
            <v>84</v>
          </cell>
        </row>
        <row r="369">
          <cell r="A369" t="str">
            <v>ТП 100/6/0,4кВ лыжная база "Старт"</v>
          </cell>
          <cell r="B369" t="str">
            <v>00001230</v>
          </cell>
          <cell r="C369" t="str">
            <v>ПЕРЕДАЧА</v>
          </cell>
          <cell r="D369" t="str">
            <v>Сооружения</v>
          </cell>
          <cell r="E369" t="str">
            <v>30.11.2010</v>
          </cell>
          <cell r="F369" t="str">
            <v>Цех электрических сетей</v>
          </cell>
          <cell r="X369">
            <v>164403.51999999999</v>
          </cell>
          <cell r="Y369">
            <v>91404.6</v>
          </cell>
          <cell r="Z369">
            <v>72998.919999999984</v>
          </cell>
          <cell r="AC369">
            <v>240</v>
          </cell>
        </row>
        <row r="370">
          <cell r="A370" t="str">
            <v>ТП №1 " Сахалин "</v>
          </cell>
          <cell r="B370" t="str">
            <v>00000995</v>
          </cell>
          <cell r="C370" t="str">
            <v>ПЕРЕДАЧА</v>
          </cell>
          <cell r="D370" t="str">
            <v>Сооружения</v>
          </cell>
          <cell r="E370" t="str">
            <v>31.10.2006</v>
          </cell>
          <cell r="F370" t="str">
            <v>Цех электрических сетей</v>
          </cell>
          <cell r="X370">
            <v>113278.86</v>
          </cell>
          <cell r="Y370">
            <v>113278.86300000001</v>
          </cell>
          <cell r="Z370">
            <v>-3.0000000115251169E-3</v>
          </cell>
          <cell r="AC370">
            <v>180</v>
          </cell>
        </row>
        <row r="371">
          <cell r="A371" t="str">
            <v>ТП №10  Маслозавод    =10лет</v>
          </cell>
          <cell r="B371" t="str">
            <v>00000258</v>
          </cell>
          <cell r="C371" t="str">
            <v>ПЕРЕДАЧА</v>
          </cell>
          <cell r="D371" t="str">
            <v>Здания</v>
          </cell>
          <cell r="E371" t="str">
            <v>01.09.1998</v>
          </cell>
          <cell r="F371" t="str">
            <v>Цех электрических сетей</v>
          </cell>
          <cell r="X371">
            <v>283921.7</v>
          </cell>
          <cell r="Y371">
            <v>96252.002203389828</v>
          </cell>
          <cell r="Z371">
            <v>187669.69779661018</v>
          </cell>
          <cell r="AC371">
            <v>708</v>
          </cell>
        </row>
        <row r="372">
          <cell r="A372" t="str">
            <v>ТП №101 (2КТП База МТР)</v>
          </cell>
          <cell r="B372" t="str">
            <v>000001510</v>
          </cell>
          <cell r="C372" t="str">
            <v>ПЕРЕДАЧА</v>
          </cell>
          <cell r="D372" t="str">
            <v>Сооружения</v>
          </cell>
          <cell r="E372" t="str">
            <v>30.01.2013</v>
          </cell>
          <cell r="F372" t="str">
            <v>Цех электрических сетей</v>
          </cell>
          <cell r="X372">
            <v>3012131.78</v>
          </cell>
          <cell r="Y372">
            <v>1342908.8389999999</v>
          </cell>
          <cell r="Z372">
            <v>1669222.9409999999</v>
          </cell>
          <cell r="AC372">
            <v>240</v>
          </cell>
        </row>
        <row r="373">
          <cell r="A373" t="str">
            <v>ТП №11 ул Меньшикова 1  1972г.</v>
          </cell>
          <cell r="B373" t="str">
            <v>00000132</v>
          </cell>
          <cell r="C373" t="str">
            <v>ПЕРЕДАЧА</v>
          </cell>
          <cell r="D373" t="str">
            <v>Здания</v>
          </cell>
          <cell r="E373" t="str">
            <v>31.01.1972</v>
          </cell>
          <cell r="F373" t="str">
            <v>Цех электрических сетей</v>
          </cell>
          <cell r="X373">
            <v>583613.52</v>
          </cell>
          <cell r="Y373">
            <v>292274.68</v>
          </cell>
          <cell r="Z373">
            <v>291338.84000000003</v>
          </cell>
          <cell r="AC373">
            <v>708</v>
          </cell>
        </row>
        <row r="374">
          <cell r="A374" t="str">
            <v>ТП №12/1 по ул. Меньшикова д.22А</v>
          </cell>
          <cell r="B374" t="str">
            <v>00001254</v>
          </cell>
          <cell r="C374" t="str">
            <v>ПЕРЕДАЧА</v>
          </cell>
          <cell r="D374" t="str">
            <v>Сооружения</v>
          </cell>
          <cell r="E374" t="str">
            <v>31.10.2010</v>
          </cell>
          <cell r="F374" t="str">
            <v>Цех электрических сетей</v>
          </cell>
          <cell r="AC374">
            <v>240</v>
          </cell>
        </row>
        <row r="375">
          <cell r="A375" t="str">
            <v>ТП №13-1 "Бондарная"(КТПН(КК)400 с тр-мТМ250/60,4)</v>
          </cell>
          <cell r="B375" t="str">
            <v>00001116</v>
          </cell>
          <cell r="C375" t="str">
            <v>ПЕРЕДАЧА</v>
          </cell>
          <cell r="D375" t="str">
            <v>Сооружения</v>
          </cell>
          <cell r="E375" t="str">
            <v>30.03.2009</v>
          </cell>
          <cell r="F375" t="str">
            <v>Цех электрических сетей</v>
          </cell>
          <cell r="X375">
            <v>696914.55</v>
          </cell>
          <cell r="Y375">
            <v>581439.78999999992</v>
          </cell>
          <cell r="Z375">
            <v>115474.76000000013</v>
          </cell>
          <cell r="AC375">
            <v>113</v>
          </cell>
        </row>
        <row r="376">
          <cell r="A376" t="str">
            <v>ТП №14 баня 1  1974г.</v>
          </cell>
          <cell r="B376" t="str">
            <v>00000536</v>
          </cell>
          <cell r="C376" t="str">
            <v>ПЕРЕДАЧА</v>
          </cell>
          <cell r="D376" t="str">
            <v>Здания</v>
          </cell>
          <cell r="E376" t="str">
            <v>31.01.1974</v>
          </cell>
          <cell r="F376" t="str">
            <v>Цех электрических сетей</v>
          </cell>
          <cell r="X376">
            <v>403347</v>
          </cell>
          <cell r="Y376">
            <v>149392.18</v>
          </cell>
          <cell r="Z376">
            <v>253954.82</v>
          </cell>
          <cell r="AC376">
            <v>708</v>
          </cell>
        </row>
        <row r="377">
          <cell r="A377" t="str">
            <v>ТП №17 ул Печорская  1978г.</v>
          </cell>
          <cell r="B377" t="str">
            <v>00000136</v>
          </cell>
          <cell r="C377" t="str">
            <v>ПЕРЕДАЧА</v>
          </cell>
          <cell r="D377" t="str">
            <v>Здания</v>
          </cell>
          <cell r="E377" t="str">
            <v>31.01.1978</v>
          </cell>
          <cell r="F377" t="str">
            <v>Цех электрических сетей</v>
          </cell>
          <cell r="X377">
            <v>35347</v>
          </cell>
          <cell r="Y377">
            <v>25990.621694915255</v>
          </cell>
          <cell r="Z377">
            <v>9356.3783050847451</v>
          </cell>
          <cell r="AC377">
            <v>708</v>
          </cell>
        </row>
        <row r="378">
          <cell r="A378" t="str">
            <v>ТП №18 ул 60 лет СССР 5  1981г.</v>
          </cell>
          <cell r="B378" t="str">
            <v>00000138</v>
          </cell>
          <cell r="C378" t="str">
            <v>ПЕРЕДАЧА</v>
          </cell>
          <cell r="D378" t="str">
            <v>Здания</v>
          </cell>
          <cell r="E378" t="str">
            <v>31.01.1981</v>
          </cell>
          <cell r="F378" t="str">
            <v>Цех электрических сетей</v>
          </cell>
          <cell r="X378">
            <v>35347</v>
          </cell>
          <cell r="Y378">
            <v>24282.621694915255</v>
          </cell>
          <cell r="Z378">
            <v>11064.378305084745</v>
          </cell>
          <cell r="AC378">
            <v>708</v>
          </cell>
        </row>
        <row r="379">
          <cell r="A379" t="str">
            <v>ТП №19 ул Южная 2  1968г.</v>
          </cell>
          <cell r="B379" t="str">
            <v>00000139</v>
          </cell>
          <cell r="C379" t="str">
            <v>ПЕРЕДАЧА</v>
          </cell>
          <cell r="D379" t="str">
            <v>Здания</v>
          </cell>
          <cell r="E379" t="str">
            <v>31.01.1968</v>
          </cell>
          <cell r="F379" t="str">
            <v>Цех электрических сетей</v>
          </cell>
          <cell r="X379">
            <v>374452</v>
          </cell>
          <cell r="Y379">
            <v>200448.88999999998</v>
          </cell>
          <cell r="Z379">
            <v>174003.11000000002</v>
          </cell>
          <cell r="AC379">
            <v>708</v>
          </cell>
        </row>
        <row r="380">
          <cell r="A380" t="str">
            <v>ТП №20 пер Рыбацкий 1970г</v>
          </cell>
          <cell r="B380" t="str">
            <v>00000540</v>
          </cell>
          <cell r="C380" t="str">
            <v>ПЕРЕДАЧА</v>
          </cell>
          <cell r="D380" t="str">
            <v>Здания</v>
          </cell>
          <cell r="E380" t="str">
            <v>31.01.1970</v>
          </cell>
          <cell r="F380" t="str">
            <v>Цех электрических сетей</v>
          </cell>
          <cell r="X380">
            <v>28452</v>
          </cell>
          <cell r="Y380">
            <v>24945.387288135596</v>
          </cell>
          <cell r="Z380">
            <v>3506.6127118644035</v>
          </cell>
          <cell r="AC380">
            <v>708</v>
          </cell>
        </row>
        <row r="381">
          <cell r="A381" t="str">
            <v>ТП №21 ул Хатанзейского  1967г.</v>
          </cell>
          <cell r="B381" t="str">
            <v>00000541</v>
          </cell>
          <cell r="C381" t="str">
            <v>ПЕРЕДАЧА</v>
          </cell>
          <cell r="D381" t="str">
            <v>Здания</v>
          </cell>
          <cell r="E381" t="str">
            <v>31.01.1967</v>
          </cell>
          <cell r="F381" t="str">
            <v>Цех электрических сетей</v>
          </cell>
          <cell r="X381">
            <v>110115</v>
          </cell>
          <cell r="Y381">
            <v>81608.569999999992</v>
          </cell>
          <cell r="Z381">
            <v>28506.430000000008</v>
          </cell>
          <cell r="AC381">
            <v>708</v>
          </cell>
        </row>
        <row r="382">
          <cell r="A382" t="str">
            <v>ТП №22  пос Р/комб   ул Строительная  1992г.</v>
          </cell>
          <cell r="B382" t="str">
            <v>00000527</v>
          </cell>
          <cell r="C382" t="str">
            <v>ПЕРЕДАЧА</v>
          </cell>
          <cell r="D382" t="str">
            <v>Здания</v>
          </cell>
          <cell r="E382" t="str">
            <v>31.01.1992</v>
          </cell>
          <cell r="F382" t="str">
            <v>Цех электрических сетей</v>
          </cell>
          <cell r="X382">
            <v>58630</v>
          </cell>
          <cell r="Y382">
            <v>29138.278813559322</v>
          </cell>
          <cell r="Z382">
            <v>29491.721186440678</v>
          </cell>
          <cell r="AC382">
            <v>708</v>
          </cell>
        </row>
        <row r="383">
          <cell r="A383" t="str">
            <v>ТП №23 район "Тубдиспансер" 2008г</v>
          </cell>
          <cell r="B383" t="str">
            <v>00001091</v>
          </cell>
          <cell r="C383" t="str">
            <v>ПЕРЕДАЧА</v>
          </cell>
          <cell r="D383" t="str">
            <v>Сооружения</v>
          </cell>
          <cell r="E383" t="str">
            <v>30.09.2008</v>
          </cell>
          <cell r="F383" t="str">
            <v>Цех электрических сетей</v>
          </cell>
          <cell r="X383">
            <v>365828.44</v>
          </cell>
          <cell r="Y383">
            <v>323148.42266666668</v>
          </cell>
          <cell r="Z383">
            <v>42680.017333333322</v>
          </cell>
          <cell r="AC383">
            <v>180</v>
          </cell>
        </row>
        <row r="384">
          <cell r="A384" t="str">
            <v>ТП №24   ул 60 лет Октября 3а  1975г.</v>
          </cell>
          <cell r="B384" t="str">
            <v>00000542</v>
          </cell>
          <cell r="C384" t="str">
            <v>ПЕРЕДАЧА</v>
          </cell>
          <cell r="D384" t="str">
            <v>Здания</v>
          </cell>
          <cell r="E384" t="str">
            <v>31.01.1975</v>
          </cell>
          <cell r="F384" t="str">
            <v>Цех электрических сетей</v>
          </cell>
          <cell r="X384">
            <v>57954.52</v>
          </cell>
          <cell r="Y384">
            <v>37170.68</v>
          </cell>
          <cell r="Z384">
            <v>20783.839999999997</v>
          </cell>
          <cell r="AC384">
            <v>708</v>
          </cell>
        </row>
        <row r="385">
          <cell r="A385" t="str">
            <v>ТП №25 Н-Марское АТП  1978г.</v>
          </cell>
          <cell r="B385" t="str">
            <v>00000543</v>
          </cell>
          <cell r="C385" t="str">
            <v>ПЕРЕДАЧА</v>
          </cell>
          <cell r="D385" t="str">
            <v>Здания</v>
          </cell>
          <cell r="E385" t="str">
            <v>31.01.1978</v>
          </cell>
          <cell r="F385" t="str">
            <v>Цех электрических сетей</v>
          </cell>
          <cell r="X385">
            <v>28452</v>
          </cell>
          <cell r="Y385">
            <v>20962.387288135596</v>
          </cell>
          <cell r="Z385">
            <v>7489.6127118644035</v>
          </cell>
          <cell r="AC385">
            <v>708</v>
          </cell>
        </row>
        <row r="386">
          <cell r="A386" t="str">
            <v>ТП №26/1 "База РСУ"</v>
          </cell>
          <cell r="B386" t="str">
            <v>000001645</v>
          </cell>
          <cell r="C386" t="str">
            <v>ПЕРЕДАЧА</v>
          </cell>
          <cell r="D386" t="str">
            <v>Сооружения</v>
          </cell>
          <cell r="E386" t="str">
            <v>04.12.2014</v>
          </cell>
          <cell r="F386" t="str">
            <v>Цех электрических сетей</v>
          </cell>
          <cell r="X386">
            <v>1621695.9</v>
          </cell>
          <cell r="Y386">
            <v>567593.83499999996</v>
          </cell>
          <cell r="Z386">
            <v>1054102.0649999999</v>
          </cell>
          <cell r="AC386">
            <v>240</v>
          </cell>
        </row>
        <row r="387">
          <cell r="A387" t="str">
            <v>ТП №27 школа 1  1982г.</v>
          </cell>
          <cell r="B387" t="str">
            <v>00000544</v>
          </cell>
          <cell r="C387" t="str">
            <v>ПЕРЕДАЧА</v>
          </cell>
          <cell r="D387" t="str">
            <v>Здания</v>
          </cell>
          <cell r="E387" t="str">
            <v>31.01.1982</v>
          </cell>
          <cell r="F387" t="str">
            <v>Цех электрических сетей</v>
          </cell>
          <cell r="X387">
            <v>81054</v>
          </cell>
          <cell r="Y387">
            <v>54878.406610169492</v>
          </cell>
          <cell r="Z387">
            <v>26175.593389830508</v>
          </cell>
          <cell r="AC387">
            <v>708</v>
          </cell>
        </row>
        <row r="388">
          <cell r="A388" t="str">
            <v>ТП №28/1 "Юбилейная"</v>
          </cell>
          <cell r="B388" t="str">
            <v>000001646</v>
          </cell>
          <cell r="C388" t="str">
            <v>ПЕРЕДАЧА</v>
          </cell>
          <cell r="D388" t="str">
            <v>Сооружения</v>
          </cell>
          <cell r="E388" t="str">
            <v>31.12.2014</v>
          </cell>
          <cell r="F388" t="str">
            <v>Цех электрических сетей</v>
          </cell>
          <cell r="X388">
            <v>1622740.26</v>
          </cell>
          <cell r="Y388">
            <v>567959.25300000003</v>
          </cell>
          <cell r="Z388">
            <v>1054781.007</v>
          </cell>
          <cell r="AC388">
            <v>240</v>
          </cell>
        </row>
        <row r="389">
          <cell r="A389" t="str">
            <v>ТП №3 больница 1988г.</v>
          </cell>
          <cell r="B389" t="str">
            <v>00000126</v>
          </cell>
          <cell r="C389" t="str">
            <v>ПЕРЕДАЧА</v>
          </cell>
          <cell r="D389" t="str">
            <v>Здания</v>
          </cell>
          <cell r="E389" t="str">
            <v>31.01.1988</v>
          </cell>
          <cell r="F389" t="str">
            <v>Цех электрических сетей</v>
          </cell>
          <cell r="X389">
            <v>139755</v>
          </cell>
          <cell r="Y389">
            <v>79241.99881355933</v>
          </cell>
          <cell r="Z389">
            <v>60513.00118644067</v>
          </cell>
          <cell r="AC389">
            <v>708</v>
          </cell>
        </row>
        <row r="390">
          <cell r="A390" t="str">
            <v>ТП №31 Озерная  водонасосная 1986г</v>
          </cell>
          <cell r="B390" t="str">
            <v>00000585</v>
          </cell>
          <cell r="C390" t="str">
            <v>ПЕРЕДАЧА</v>
          </cell>
          <cell r="D390" t="str">
            <v>Здания</v>
          </cell>
          <cell r="E390" t="str">
            <v>01.01.1986</v>
          </cell>
          <cell r="F390" t="str">
            <v>Цех электрических сетей</v>
          </cell>
          <cell r="X390">
            <v>138425</v>
          </cell>
          <cell r="Y390">
            <v>82639.53644067797</v>
          </cell>
          <cell r="Z390">
            <v>55785.46355932203</v>
          </cell>
          <cell r="AC390">
            <v>708</v>
          </cell>
        </row>
        <row r="391">
          <cell r="A391" t="str">
            <v>ТП №32 ул Ленина 41  1985г.</v>
          </cell>
          <cell r="B391" t="str">
            <v>00000588</v>
          </cell>
          <cell r="C391" t="str">
            <v>ПЕРЕДАЧА</v>
          </cell>
          <cell r="D391" t="str">
            <v>Здания</v>
          </cell>
          <cell r="E391" t="str">
            <v>31.01.1985</v>
          </cell>
          <cell r="F391" t="str">
            <v>Цех электрических сетей</v>
          </cell>
          <cell r="X391">
            <v>104326</v>
          </cell>
          <cell r="Y391">
            <v>64374.107288135594</v>
          </cell>
          <cell r="Z391">
            <v>39951.892711864406</v>
          </cell>
          <cell r="AC391">
            <v>708</v>
          </cell>
        </row>
        <row r="392">
          <cell r="A392" t="str">
            <v>ТП №34 ул Южная 43а  ГКТП 1991г.</v>
          </cell>
          <cell r="B392" t="str">
            <v>00000223</v>
          </cell>
          <cell r="C392" t="str">
            <v>ПЕРЕДАЧА</v>
          </cell>
          <cell r="D392" t="str">
            <v>Здания</v>
          </cell>
          <cell r="E392" t="str">
            <v>30.01.1991</v>
          </cell>
          <cell r="F392" t="str">
            <v>Цех электрических сетей</v>
          </cell>
          <cell r="X392">
            <v>340105.33</v>
          </cell>
          <cell r="Y392">
            <v>268938.81</v>
          </cell>
          <cell r="Z392">
            <v>71166.520000000019</v>
          </cell>
        </row>
        <row r="393">
          <cell r="A393" t="str">
            <v>ТП №35 ул Ленина 5  1993г.</v>
          </cell>
          <cell r="B393" t="str">
            <v>00000551</v>
          </cell>
          <cell r="C393" t="str">
            <v>ПЕРЕДАЧА</v>
          </cell>
          <cell r="D393" t="str">
            <v>Здания</v>
          </cell>
          <cell r="E393" t="str">
            <v>31.01.1993</v>
          </cell>
          <cell r="F393" t="str">
            <v>Цех электрических сетей</v>
          </cell>
          <cell r="X393">
            <v>2184</v>
          </cell>
          <cell r="Y393">
            <v>1016.4069491525423</v>
          </cell>
          <cell r="Z393">
            <v>1167.5930508474576</v>
          </cell>
          <cell r="AC393">
            <v>708</v>
          </cell>
        </row>
        <row r="394">
          <cell r="A394" t="str">
            <v>ТП №35 ул. Ленина р-он д.№5 2008г(оборуд-е)</v>
          </cell>
          <cell r="B394" t="str">
            <v>00001089</v>
          </cell>
          <cell r="C394" t="str">
            <v>ПЕРЕДАЧА</v>
          </cell>
          <cell r="D394" t="str">
            <v>Машины и оборудование (кроме офисного)</v>
          </cell>
          <cell r="E394" t="str">
            <v>30.09.2008</v>
          </cell>
          <cell r="F394" t="str">
            <v>Цех электрических сетей</v>
          </cell>
          <cell r="X394">
            <v>603015.09</v>
          </cell>
          <cell r="Y394">
            <v>209953.68</v>
          </cell>
          <cell r="Z394">
            <v>393061.41</v>
          </cell>
          <cell r="AC394">
            <v>315</v>
          </cell>
        </row>
        <row r="395">
          <cell r="A395" t="str">
            <v>ТП №36  КОП ресторан Север 1993г</v>
          </cell>
          <cell r="B395" t="str">
            <v>00000227</v>
          </cell>
          <cell r="C395" t="str">
            <v>ПЕРЕДАЧА</v>
          </cell>
          <cell r="D395" t="str">
            <v>Здания</v>
          </cell>
          <cell r="E395" t="str">
            <v>31.01.1993</v>
          </cell>
          <cell r="F395" t="str">
            <v>Цех электрических сетей</v>
          </cell>
          <cell r="X395">
            <v>401728.31</v>
          </cell>
          <cell r="Y395">
            <v>322684.40000000002</v>
          </cell>
          <cell r="Z395">
            <v>79043.909999999974</v>
          </cell>
          <cell r="AC395">
            <v>384</v>
          </cell>
        </row>
        <row r="396">
          <cell r="A396" t="str">
            <v>ТП №37 жил, дом Ленина 27  1984г.</v>
          </cell>
          <cell r="B396" t="str">
            <v>00000150</v>
          </cell>
          <cell r="C396" t="str">
            <v>ПЕРЕДАЧА</v>
          </cell>
          <cell r="D396" t="str">
            <v>Здания</v>
          </cell>
          <cell r="E396" t="str">
            <v>31.01.1994</v>
          </cell>
          <cell r="F396" t="str">
            <v>Цех электрических сетей</v>
          </cell>
          <cell r="X396">
            <v>490429.34</v>
          </cell>
          <cell r="Y396">
            <v>135458.97999999998</v>
          </cell>
          <cell r="Z396">
            <v>354970.36000000004</v>
          </cell>
          <cell r="AC396">
            <v>708</v>
          </cell>
        </row>
        <row r="397">
          <cell r="A397" t="str">
            <v>ТП №38 ул Заполярная   1985г.</v>
          </cell>
          <cell r="B397" t="str">
            <v>00000229</v>
          </cell>
          <cell r="C397" t="str">
            <v>ПЕРЕДАЧА</v>
          </cell>
          <cell r="D397" t="str">
            <v>Машины и оборудование (кроме офисного)</v>
          </cell>
          <cell r="E397" t="str">
            <v>31.12.2011</v>
          </cell>
          <cell r="F397" t="str">
            <v>Цех электрических сетей</v>
          </cell>
          <cell r="X397">
            <v>153796.03</v>
          </cell>
          <cell r="Y397">
            <v>32673.98</v>
          </cell>
          <cell r="Z397">
            <v>121122.05</v>
          </cell>
          <cell r="AC397">
            <v>708</v>
          </cell>
        </row>
        <row r="398">
          <cell r="A398" t="str">
            <v>ТП №4 АТС  КБО 1993г</v>
          </cell>
          <cell r="B398" t="str">
            <v>00000539</v>
          </cell>
          <cell r="C398" t="str">
            <v>ПЕРЕДАЧА</v>
          </cell>
          <cell r="D398" t="str">
            <v>Здания</v>
          </cell>
          <cell r="E398" t="str">
            <v>31.01.1993</v>
          </cell>
          <cell r="F398" t="str">
            <v>Цех электрических сетей</v>
          </cell>
          <cell r="X398">
            <v>3990</v>
          </cell>
          <cell r="Y398">
            <v>1872.5671186440679</v>
          </cell>
          <cell r="Z398">
            <v>2117.4328813559323</v>
          </cell>
          <cell r="AC398">
            <v>708</v>
          </cell>
        </row>
        <row r="399">
          <cell r="A399" t="str">
            <v>ТП №40-1 школа №2-новая</v>
          </cell>
          <cell r="B399" t="str">
            <v>00001155</v>
          </cell>
          <cell r="C399" t="str">
            <v>ПЕРЕДАЧА</v>
          </cell>
          <cell r="D399" t="str">
            <v>Сооружения</v>
          </cell>
          <cell r="E399" t="str">
            <v>31.12.2009</v>
          </cell>
          <cell r="F399" t="str">
            <v>Цех электрических сетей</v>
          </cell>
          <cell r="X399">
            <v>709010.42</v>
          </cell>
          <cell r="Y399">
            <v>283603.72066666669</v>
          </cell>
          <cell r="Z399">
            <v>425406.69933333335</v>
          </cell>
          <cell r="AC399">
            <v>360</v>
          </cell>
        </row>
        <row r="400">
          <cell r="A400" t="str">
            <v>ТП №42 по ул. Рабочая  2008г(оборуд-е)</v>
          </cell>
          <cell r="B400" t="str">
            <v>00001088</v>
          </cell>
          <cell r="C400" t="str">
            <v>ПЕРЕДАЧА</v>
          </cell>
          <cell r="D400" t="str">
            <v>Машины и оборудование (кроме офисного)</v>
          </cell>
          <cell r="E400" t="str">
            <v>30.09.2008</v>
          </cell>
          <cell r="F400" t="str">
            <v>Цех электрических сетей</v>
          </cell>
          <cell r="X400">
            <v>792311.92</v>
          </cell>
          <cell r="Y400">
            <v>369117.8</v>
          </cell>
          <cell r="Z400">
            <v>423194.12000000005</v>
          </cell>
          <cell r="AC400">
            <v>708</v>
          </cell>
        </row>
        <row r="401">
          <cell r="A401" t="str">
            <v>ТП №42 ул Рабочая 21 1980г</v>
          </cell>
          <cell r="B401" t="str">
            <v>00000156</v>
          </cell>
          <cell r="C401" t="str">
            <v>ПЕРЕДАЧА</v>
          </cell>
          <cell r="D401" t="str">
            <v>Здания</v>
          </cell>
          <cell r="E401" t="str">
            <v>31.01.1980</v>
          </cell>
          <cell r="F401" t="str">
            <v>Цех электрических сетей</v>
          </cell>
          <cell r="X401">
            <v>94845</v>
          </cell>
          <cell r="Y401">
            <v>70889.162372881357</v>
          </cell>
          <cell r="Z401">
            <v>23955.837627118643</v>
          </cell>
          <cell r="AC401">
            <v>708</v>
          </cell>
        </row>
        <row r="402">
          <cell r="A402" t="str">
            <v>ТП №44 "Ненецкая СББЖ г.Нарьян-Мара"</v>
          </cell>
          <cell r="B402" t="str">
            <v>000001668</v>
          </cell>
          <cell r="C402" t="str">
            <v>ПЕРЕДАЧА</v>
          </cell>
          <cell r="D402" t="str">
            <v>Сооружения</v>
          </cell>
          <cell r="E402" t="str">
            <v>31.12.2015</v>
          </cell>
          <cell r="F402" t="str">
            <v>Цех электрических сетей</v>
          </cell>
          <cell r="AC402">
            <v>240</v>
          </cell>
        </row>
        <row r="403">
          <cell r="A403" t="str">
            <v>ТП №45 ПОКиТС 2008г</v>
          </cell>
          <cell r="B403" t="str">
            <v>00001096</v>
          </cell>
          <cell r="C403" t="str">
            <v>ПЕРЕДАЧА</v>
          </cell>
          <cell r="D403" t="str">
            <v>Сооружения</v>
          </cell>
          <cell r="E403" t="str">
            <v>31.10.2008</v>
          </cell>
          <cell r="F403" t="str">
            <v>Цех электрических сетей</v>
          </cell>
          <cell r="X403">
            <v>636241.19999999995</v>
          </cell>
          <cell r="Y403">
            <v>558477.9</v>
          </cell>
          <cell r="Z403">
            <v>77763.29999999993</v>
          </cell>
          <cell r="AC403">
            <v>180</v>
          </cell>
        </row>
        <row r="404">
          <cell r="A404" t="str">
            <v>ТП №48 Угольная</v>
          </cell>
          <cell r="B404" t="str">
            <v>00000231</v>
          </cell>
          <cell r="C404" t="str">
            <v>ПЕРЕДАЧА</v>
          </cell>
          <cell r="D404" t="str">
            <v>Сооружения</v>
          </cell>
          <cell r="E404" t="str">
            <v>01.01.1996</v>
          </cell>
          <cell r="F404" t="str">
            <v>Цех электрических сетей</v>
          </cell>
          <cell r="X404">
            <v>84493.17</v>
          </cell>
          <cell r="Y404">
            <v>22796.84</v>
          </cell>
          <cell r="Z404">
            <v>61696.33</v>
          </cell>
          <cell r="AC404">
            <v>708</v>
          </cell>
        </row>
        <row r="405">
          <cell r="A405" t="str">
            <v>ТП №5/1 2КТПН-630/6/0,4 Смидовича 20А 2010г</v>
          </cell>
          <cell r="B405" t="str">
            <v>00000927</v>
          </cell>
          <cell r="C405" t="str">
            <v>ПЕРЕДАЧА</v>
          </cell>
          <cell r="D405" t="str">
            <v>Сооружения</v>
          </cell>
          <cell r="E405" t="str">
            <v>31.12.2010</v>
          </cell>
          <cell r="F405" t="str">
            <v>Цех электрических сетей</v>
          </cell>
          <cell r="X405">
            <v>5770950</v>
          </cell>
          <cell r="Y405">
            <v>3174023.1</v>
          </cell>
          <cell r="Z405">
            <v>2596926.9</v>
          </cell>
          <cell r="AC405">
            <v>240</v>
          </cell>
        </row>
        <row r="406">
          <cell r="A406" t="str">
            <v>ТП №51 ГОСНИ по НАО К-42-630 1997г.</v>
          </cell>
          <cell r="B406" t="str">
            <v>00000094</v>
          </cell>
          <cell r="C406" t="str">
            <v>ПЕРЕДАЧА</v>
          </cell>
          <cell r="D406" t="str">
            <v>Здания</v>
          </cell>
          <cell r="E406" t="str">
            <v>01.12.1997</v>
          </cell>
          <cell r="F406" t="str">
            <v>Цех электрических сетей</v>
          </cell>
          <cell r="X406">
            <v>511304</v>
          </cell>
          <cell r="Y406">
            <v>182752.40949152541</v>
          </cell>
          <cell r="Z406">
            <v>328551.59050847462</v>
          </cell>
          <cell r="AC406">
            <v>708</v>
          </cell>
        </row>
        <row r="407">
          <cell r="A407" t="str">
            <v>ТП №54  на базе ДРСУ</v>
          </cell>
          <cell r="B407" t="str">
            <v>00000093</v>
          </cell>
          <cell r="C407" t="str">
            <v>ПЕРЕДАЧА</v>
          </cell>
          <cell r="D407" t="str">
            <v>Сооружения</v>
          </cell>
          <cell r="E407" t="str">
            <v>01.12.1997</v>
          </cell>
          <cell r="F407" t="str">
            <v>Цех электрических сетей</v>
          </cell>
          <cell r="X407">
            <v>55000</v>
          </cell>
          <cell r="Y407">
            <v>48854.504347826085</v>
          </cell>
          <cell r="Z407">
            <v>6145.495652173915</v>
          </cell>
          <cell r="AC407">
            <v>276</v>
          </cell>
        </row>
        <row r="408">
          <cell r="A408" t="str">
            <v>ТП №56 Факел звероферма КТП  1997г  ч/з ле/з курью</v>
          </cell>
          <cell r="B408" t="str">
            <v>00000092</v>
          </cell>
          <cell r="C408" t="str">
            <v>ПЕРЕДАЧА</v>
          </cell>
          <cell r="D408" t="str">
            <v>Сооружения</v>
          </cell>
          <cell r="E408" t="str">
            <v>01.01.1997</v>
          </cell>
          <cell r="F408" t="str">
            <v>Цех электрических сетей</v>
          </cell>
          <cell r="X408">
            <v>15845</v>
          </cell>
          <cell r="Y408">
            <v>6437.9493220338991</v>
          </cell>
          <cell r="Z408">
            <v>9407.0506779661009</v>
          </cell>
          <cell r="AC408">
            <v>708</v>
          </cell>
        </row>
        <row r="409">
          <cell r="A409" t="str">
            <v>ТП №57 Геолог 2х ТМ-250 п Искателей  1981г.</v>
          </cell>
          <cell r="B409" t="str">
            <v>00000496</v>
          </cell>
          <cell r="C409" t="str">
            <v>ПЕРЕДАЧА</v>
          </cell>
          <cell r="D409" t="str">
            <v>Здания</v>
          </cell>
          <cell r="E409" t="str">
            <v>01.12.1997</v>
          </cell>
          <cell r="F409" t="str">
            <v>Цех электрических сетей</v>
          </cell>
          <cell r="X409">
            <v>1759133.06</v>
          </cell>
          <cell r="Y409">
            <v>110763.87</v>
          </cell>
          <cell r="Z409">
            <v>1648369.19</v>
          </cell>
          <cell r="AC409">
            <v>708</v>
          </cell>
        </row>
        <row r="410">
          <cell r="A410" t="str">
            <v>ТП №58 ГКТПН 10-400</v>
          </cell>
          <cell r="B410" t="str">
            <v>00000249</v>
          </cell>
          <cell r="C410" t="str">
            <v>ПЕРЕДАЧА</v>
          </cell>
          <cell r="D410" t="str">
            <v>Сооружения</v>
          </cell>
          <cell r="E410" t="str">
            <v>01.06.1998</v>
          </cell>
          <cell r="F410" t="str">
            <v>Цех электрических сетей</v>
          </cell>
          <cell r="X410">
            <v>41158.949999999997</v>
          </cell>
          <cell r="Y410">
            <v>41158.950000000004</v>
          </cell>
          <cell r="Z410">
            <v>0</v>
          </cell>
          <cell r="AC410">
            <v>276</v>
          </cell>
        </row>
        <row r="411">
          <cell r="A411" t="str">
            <v>ТП №59 ТМ-250 школа п.Искателей 1997г</v>
          </cell>
          <cell r="B411" t="str">
            <v>00000096</v>
          </cell>
          <cell r="C411" t="str">
            <v>ПЕРЕДАЧА</v>
          </cell>
          <cell r="D411" t="str">
            <v>Здания</v>
          </cell>
          <cell r="E411" t="str">
            <v>01.12.1997</v>
          </cell>
          <cell r="F411" t="str">
            <v>Цех электрических сетей</v>
          </cell>
          <cell r="X411">
            <v>11932</v>
          </cell>
          <cell r="Y411">
            <v>4264.1572881355933</v>
          </cell>
          <cell r="Z411">
            <v>7667.8427118644067</v>
          </cell>
          <cell r="AC411">
            <v>708</v>
          </cell>
        </row>
        <row r="412">
          <cell r="A412" t="str">
            <v>ТП №60</v>
          </cell>
          <cell r="B412" t="str">
            <v>00000228</v>
          </cell>
          <cell r="C412" t="str">
            <v>ПЕРЕДАЧА</v>
          </cell>
          <cell r="D412" t="str">
            <v>Машины и оборудование (кроме офисного)</v>
          </cell>
          <cell r="E412" t="str">
            <v>01.01.1995</v>
          </cell>
          <cell r="F412" t="str">
            <v>Цех электрических сетей</v>
          </cell>
          <cell r="X412">
            <v>1794513.35</v>
          </cell>
          <cell r="Y412">
            <v>614904.75</v>
          </cell>
          <cell r="Z412">
            <v>1179608.6000000001</v>
          </cell>
          <cell r="AC412">
            <v>708</v>
          </cell>
        </row>
        <row r="413">
          <cell r="A413" t="str">
            <v xml:space="preserve">ТП №60 Озерная 6  Искателей </v>
          </cell>
          <cell r="B413" t="str">
            <v>00000098</v>
          </cell>
          <cell r="C413" t="str">
            <v>ПЕРЕДАЧА</v>
          </cell>
          <cell r="D413" t="str">
            <v>Здания</v>
          </cell>
          <cell r="E413" t="str">
            <v>01.12.1997</v>
          </cell>
          <cell r="F413" t="str">
            <v>Цех электрических сетей</v>
          </cell>
          <cell r="X413">
            <v>15582</v>
          </cell>
          <cell r="Y413">
            <v>5569.6116949152547</v>
          </cell>
          <cell r="Z413">
            <v>10012.388305084745</v>
          </cell>
          <cell r="AC413">
            <v>708</v>
          </cell>
        </row>
        <row r="414">
          <cell r="A414" t="str">
            <v>ТП №6-1 ул Ненец-Оленн-Выуч-Полярн 96-кв дом 2010г</v>
          </cell>
          <cell r="B414" t="str">
            <v>00001220</v>
          </cell>
          <cell r="C414" t="str">
            <v>ПЕРЕДАЧА</v>
          </cell>
          <cell r="D414" t="str">
            <v>Здания</v>
          </cell>
          <cell r="E414" t="str">
            <v>31.05.2010</v>
          </cell>
          <cell r="F414" t="str">
            <v>Цех электрических сетей</v>
          </cell>
          <cell r="AC414">
            <v>240</v>
          </cell>
        </row>
        <row r="415">
          <cell r="A415" t="str">
            <v>ТП №64  Рассихина 7 ГКТП ТМ-320 пИскателей 1997г</v>
          </cell>
          <cell r="B415" t="str">
            <v>00000095</v>
          </cell>
          <cell r="C415" t="str">
            <v>ПЕРЕДАЧА</v>
          </cell>
          <cell r="D415" t="str">
            <v>Сооружения</v>
          </cell>
          <cell r="E415" t="str">
            <v>01.12.1997</v>
          </cell>
          <cell r="F415" t="str">
            <v>Цех электрических сетей</v>
          </cell>
          <cell r="X415">
            <v>141293</v>
          </cell>
          <cell r="Y415">
            <v>125502.12391304347</v>
          </cell>
          <cell r="Z415">
            <v>15790.87608695653</v>
          </cell>
          <cell r="AC415">
            <v>276</v>
          </cell>
        </row>
        <row r="416">
          <cell r="A416" t="str">
            <v>ТП №65 Строителей 8  пИскателей 1997г</v>
          </cell>
          <cell r="B416" t="str">
            <v>00000506</v>
          </cell>
          <cell r="C416" t="str">
            <v>ПЕРЕДАЧА</v>
          </cell>
          <cell r="D416" t="str">
            <v>Сооружения</v>
          </cell>
          <cell r="E416" t="str">
            <v>01.12.1997</v>
          </cell>
          <cell r="F416" t="str">
            <v>Цех электрических сетей</v>
          </cell>
          <cell r="X416">
            <v>177359</v>
          </cell>
          <cell r="Y416">
            <v>47188.53</v>
          </cell>
          <cell r="Z416">
            <v>130170.47</v>
          </cell>
          <cell r="AC416">
            <v>708</v>
          </cell>
        </row>
        <row r="417">
          <cell r="A417" t="str">
            <v>ТП №66  МРП</v>
          </cell>
          <cell r="B417" t="str">
            <v>00000533</v>
          </cell>
          <cell r="C417" t="str">
            <v>ПЕРЕДАЧА</v>
          </cell>
          <cell r="D417" t="str">
            <v>Здания</v>
          </cell>
          <cell r="E417" t="str">
            <v>31.05.1998</v>
          </cell>
          <cell r="F417" t="str">
            <v>Цех электрических сетей</v>
          </cell>
          <cell r="X417">
            <v>264000</v>
          </cell>
          <cell r="Y417">
            <v>37223.980000000003</v>
          </cell>
          <cell r="Z417">
            <v>226776.02</v>
          </cell>
          <cell r="AC417">
            <v>708</v>
          </cell>
        </row>
        <row r="418">
          <cell r="A418" t="str">
            <v>ТП №67 школа№5 2000г.</v>
          </cell>
          <cell r="B418" t="str">
            <v>00000262</v>
          </cell>
          <cell r="C418" t="str">
            <v>ПЕРЕДАЧА</v>
          </cell>
          <cell r="D418" t="str">
            <v>Здания</v>
          </cell>
          <cell r="E418" t="str">
            <v>01.05.2000</v>
          </cell>
          <cell r="F418" t="str">
            <v>Цех электрических сетей</v>
          </cell>
          <cell r="X418">
            <v>110253</v>
          </cell>
          <cell r="Y418">
            <v>40342.724915254235</v>
          </cell>
          <cell r="Z418">
            <v>69910.275084745765</v>
          </cell>
          <cell r="AC418">
            <v>708</v>
          </cell>
        </row>
        <row r="419">
          <cell r="A419" t="str">
            <v>ТП №7 столовая 1  1967г.</v>
          </cell>
          <cell r="B419" t="str">
            <v>00000529</v>
          </cell>
          <cell r="C419" t="str">
            <v>ПЕРЕДАЧА</v>
          </cell>
          <cell r="D419" t="str">
            <v>Здания</v>
          </cell>
          <cell r="E419" t="str">
            <v>31.01.1967</v>
          </cell>
          <cell r="F419" t="str">
            <v>Цех электрических сетей</v>
          </cell>
          <cell r="X419">
            <v>410888.55</v>
          </cell>
          <cell r="Y419">
            <v>285348.40999999997</v>
          </cell>
          <cell r="Z419">
            <v>125540.14000000001</v>
          </cell>
          <cell r="AC419">
            <v>708</v>
          </cell>
        </row>
        <row r="420">
          <cell r="A420" t="str">
            <v>ТП №73(Трансформаторная подстанция Ленина 35б )</v>
          </cell>
          <cell r="B420" t="str">
            <v>00001122</v>
          </cell>
          <cell r="C420" t="str">
            <v>ПЕРЕДАЧА</v>
          </cell>
          <cell r="D420" t="str">
            <v>Здания</v>
          </cell>
          <cell r="E420" t="str">
            <v>31.07.2009</v>
          </cell>
          <cell r="F420" t="str">
            <v>Цех электрических сетей</v>
          </cell>
          <cell r="X420">
            <v>442207.81</v>
          </cell>
          <cell r="Y420">
            <v>274537.00049999997</v>
          </cell>
          <cell r="Z420">
            <v>167670.80950000003</v>
          </cell>
          <cell r="AC420">
            <v>240</v>
          </cell>
        </row>
        <row r="421">
          <cell r="A421" t="str">
            <v>ТП №75 КТП /ПК-К-250/10/04 на Неф-в 11а  2006г</v>
          </cell>
          <cell r="B421" t="str">
            <v>00000982</v>
          </cell>
          <cell r="C421" t="str">
            <v>ПЕРЕДАЧА</v>
          </cell>
          <cell r="D421" t="str">
            <v>Сооружения</v>
          </cell>
          <cell r="E421" t="str">
            <v>31.08.2006</v>
          </cell>
          <cell r="F421" t="str">
            <v>Цех электрических сетей</v>
          </cell>
          <cell r="X421">
            <v>213802.94</v>
          </cell>
          <cell r="Y421">
            <v>213802.94</v>
          </cell>
          <cell r="Z421">
            <v>0</v>
          </cell>
          <cell r="AC421">
            <v>180</v>
          </cell>
        </row>
        <row r="422">
          <cell r="A422" t="str">
            <v>ТП №76 котельная №2</v>
          </cell>
          <cell r="B422" t="str">
            <v>00001000</v>
          </cell>
          <cell r="C422" t="str">
            <v>ПЕРЕДАЧА</v>
          </cell>
          <cell r="D422" t="str">
            <v>Сооружения</v>
          </cell>
          <cell r="E422" t="str">
            <v>31.10.2006</v>
          </cell>
          <cell r="F422" t="str">
            <v>Цех электрических сетей</v>
          </cell>
          <cell r="X422">
            <v>236505.42</v>
          </cell>
          <cell r="Y422">
            <v>236505.421</v>
          </cell>
          <cell r="Z422">
            <v>-9.9999998928979039E-4</v>
          </cell>
          <cell r="AC422">
            <v>180</v>
          </cell>
        </row>
        <row r="423">
          <cell r="A423" t="str">
            <v>ТП №77 пер Антипина п Мирный 2007г</v>
          </cell>
          <cell r="B423" t="str">
            <v>00001053</v>
          </cell>
          <cell r="C423" t="str">
            <v>ПЕРЕДАЧА</v>
          </cell>
          <cell r="D423" t="str">
            <v>Сооружения</v>
          </cell>
          <cell r="E423" t="str">
            <v>16.10.2007</v>
          </cell>
          <cell r="F423" t="str">
            <v>Цех электрических сетей</v>
          </cell>
          <cell r="X423">
            <v>604017.51</v>
          </cell>
          <cell r="Y423">
            <v>570460.53399999999</v>
          </cell>
          <cell r="Z423">
            <v>33556.976000000024</v>
          </cell>
          <cell r="AC423">
            <v>180</v>
          </cell>
        </row>
        <row r="424">
          <cell r="A424" t="str">
            <v>ТП №8 ул Ленина 47, 47а  1978г.</v>
          </cell>
          <cell r="B424" t="str">
            <v>00000581</v>
          </cell>
          <cell r="C424" t="str">
            <v>ПЕРЕДАЧА</v>
          </cell>
          <cell r="D424" t="str">
            <v>Здания</v>
          </cell>
          <cell r="E424" t="str">
            <v>31.01.1978</v>
          </cell>
          <cell r="F424" t="str">
            <v>Цех электрических сетей</v>
          </cell>
          <cell r="X424">
            <v>35347</v>
          </cell>
          <cell r="Y424">
            <v>26403.621694915255</v>
          </cell>
          <cell r="Z424">
            <v>8943.3783050847451</v>
          </cell>
          <cell r="AC424">
            <v>708</v>
          </cell>
        </row>
        <row r="425">
          <cell r="A425" t="str">
            <v>ТП №80 "Окруж.музей" ул. Победы, р -он д.5</v>
          </cell>
          <cell r="B425" t="str">
            <v>00001159</v>
          </cell>
          <cell r="C425" t="str">
            <v>ПЕРЕДАЧА</v>
          </cell>
          <cell r="D425" t="str">
            <v>Здания</v>
          </cell>
          <cell r="E425" t="str">
            <v>31.10.2009</v>
          </cell>
          <cell r="F425" t="str">
            <v>Цех электрических сетей</v>
          </cell>
          <cell r="AC425">
            <v>240</v>
          </cell>
        </row>
        <row r="426">
          <cell r="A426" t="str">
            <v>ТП №85 по ул Ненецкая ул Первомайская</v>
          </cell>
          <cell r="B426" t="str">
            <v>00001113</v>
          </cell>
          <cell r="C426" t="str">
            <v>ПЕРЕДАЧА</v>
          </cell>
          <cell r="D426" t="str">
            <v>Сооружения</v>
          </cell>
          <cell r="E426" t="str">
            <v>28.02.2009</v>
          </cell>
          <cell r="F426" t="str">
            <v>Цех электрических сетей</v>
          </cell>
          <cell r="AC426">
            <v>180</v>
          </cell>
        </row>
        <row r="427">
          <cell r="A427" t="str">
            <v>ТП №86  "Детский сад/ясли на 220 мест с бассейном" в центральной части г. Нарьян-Мара</v>
          </cell>
          <cell r="B427" t="str">
            <v>000001503</v>
          </cell>
          <cell r="C427" t="str">
            <v>ПЕРЕДАЧА</v>
          </cell>
          <cell r="D427" t="str">
            <v>Сооружения</v>
          </cell>
          <cell r="E427" t="str">
            <v>01.11.2012</v>
          </cell>
          <cell r="F427" t="str">
            <v>Цех электрических сетей</v>
          </cell>
          <cell r="AC427">
            <v>240</v>
          </cell>
        </row>
        <row r="428">
          <cell r="A428" t="str">
            <v>ТП №87 "Промзона в районе аэропорта" 2008г</v>
          </cell>
          <cell r="B428" t="str">
            <v>00001092</v>
          </cell>
          <cell r="C428" t="str">
            <v>ПЕРЕДАЧА</v>
          </cell>
          <cell r="D428" t="str">
            <v>Сооружения</v>
          </cell>
          <cell r="E428" t="str">
            <v>30.09.2008</v>
          </cell>
          <cell r="F428" t="str">
            <v>Цех электрических сетей</v>
          </cell>
          <cell r="X428">
            <v>614430.39</v>
          </cell>
          <cell r="Y428">
            <v>542746.52599999995</v>
          </cell>
          <cell r="Z428">
            <v>71683.86400000006</v>
          </cell>
          <cell r="AC428">
            <v>180</v>
          </cell>
        </row>
        <row r="429">
          <cell r="A429" t="str">
            <v>ТП №89 ул Россихина 2010г</v>
          </cell>
          <cell r="B429" t="str">
            <v>00001235</v>
          </cell>
          <cell r="C429" t="str">
            <v>ПЕРЕДАЧА</v>
          </cell>
          <cell r="D429" t="str">
            <v>Сооружения</v>
          </cell>
          <cell r="E429" t="str">
            <v>31.08.2010</v>
          </cell>
          <cell r="F429" t="str">
            <v>Цех электрических сетей</v>
          </cell>
          <cell r="AC429">
            <v>240</v>
          </cell>
        </row>
        <row r="430">
          <cell r="A430" t="str">
            <v>ТП №9 ул Октябрьская 17  1966г.</v>
          </cell>
          <cell r="B430" t="str">
            <v>00000137</v>
          </cell>
          <cell r="C430" t="str">
            <v>ПЕРЕДАЧА</v>
          </cell>
          <cell r="D430" t="str">
            <v>Здания</v>
          </cell>
          <cell r="E430" t="str">
            <v>31.01.1966</v>
          </cell>
          <cell r="F430" t="str">
            <v>Цех электрических сетей</v>
          </cell>
          <cell r="X430">
            <v>28452</v>
          </cell>
          <cell r="Y430">
            <v>26937.387288135596</v>
          </cell>
          <cell r="Z430">
            <v>1514.6127118644035</v>
          </cell>
          <cell r="AC430">
            <v>708</v>
          </cell>
        </row>
        <row r="431">
          <cell r="A431" t="str">
            <v>ТП №90 м-н Старый аэропорт(КТППК-В-400/6У1)</v>
          </cell>
          <cell r="B431" t="str">
            <v>000001492</v>
          </cell>
          <cell r="C431" t="str">
            <v>ПЕРЕДАЧА</v>
          </cell>
          <cell r="D431" t="str">
            <v>Сооружения</v>
          </cell>
          <cell r="E431" t="str">
            <v>31.10.2012</v>
          </cell>
          <cell r="F431" t="str">
            <v>Цех электрических сетей</v>
          </cell>
          <cell r="AC431">
            <v>238</v>
          </cell>
        </row>
        <row r="432">
          <cell r="A432" t="str">
            <v>ТП №91 п. Мирный (КТП 6/0,4 кВ 1х400 кВа)</v>
          </cell>
          <cell r="B432" t="str">
            <v>000001491</v>
          </cell>
          <cell r="C432" t="str">
            <v>ПЕРЕДАЧА</v>
          </cell>
          <cell r="D432" t="str">
            <v>Сооружения</v>
          </cell>
          <cell r="E432" t="str">
            <v>31.10.2012</v>
          </cell>
          <cell r="F432" t="str">
            <v>Цех электрических сетей</v>
          </cell>
          <cell r="AC432">
            <v>240</v>
          </cell>
        </row>
        <row r="433">
          <cell r="A433" t="str">
            <v>ТП №98"Ледовый дворец" ул.Калмыкова 2011г</v>
          </cell>
          <cell r="B433" t="str">
            <v>00001348</v>
          </cell>
          <cell r="C433" t="str">
            <v>ПЕРЕДАЧА</v>
          </cell>
          <cell r="D433" t="str">
            <v>Здания</v>
          </cell>
          <cell r="E433" t="str">
            <v>17.02.2011</v>
          </cell>
          <cell r="F433" t="str">
            <v>Цех электрических сетей</v>
          </cell>
          <cell r="AC433">
            <v>240</v>
          </cell>
        </row>
        <row r="434">
          <cell r="A434" t="str">
            <v>Трактор ХТЗ-150К-09 с оборудованием бурильно-крановым</v>
          </cell>
          <cell r="B434" t="str">
            <v>000001654</v>
          </cell>
          <cell r="C434" t="str">
            <v>ПЕРЕДАЧА</v>
          </cell>
          <cell r="D434" t="str">
            <v>Транспортные средства</v>
          </cell>
          <cell r="E434" t="str">
            <v>16.03.2015</v>
          </cell>
          <cell r="F434" t="str">
            <v>Автотранспортный цех</v>
          </cell>
          <cell r="X434">
            <v>86602.39</v>
          </cell>
          <cell r="Y434">
            <v>85546.490487804884</v>
          </cell>
          <cell r="Z434">
            <v>1055.8995121951157</v>
          </cell>
          <cell r="AC434">
            <v>82</v>
          </cell>
        </row>
        <row r="435">
          <cell r="A435" t="str">
            <v>Трансформатор масляный ТМГ 250/6/0,4 Y/Yн-0 №0568</v>
          </cell>
          <cell r="B435" t="str">
            <v>00001252</v>
          </cell>
          <cell r="C435" t="str">
            <v>ПЕРЕДАЧА</v>
          </cell>
          <cell r="D435" t="str">
            <v>Машины и оборудование (кроме офисного)</v>
          </cell>
          <cell r="E435" t="str">
            <v>31.10.2010</v>
          </cell>
          <cell r="F435" t="str">
            <v>Цех электрических сетей</v>
          </cell>
          <cell r="X435">
            <v>153626.57999999999</v>
          </cell>
          <cell r="Y435">
            <v>85774.748999999996</v>
          </cell>
          <cell r="Z435">
            <v>67851.830999999991</v>
          </cell>
          <cell r="AC435">
            <v>240</v>
          </cell>
        </row>
        <row r="436">
          <cell r="A436" t="str">
            <v>Трансформатор масляный ТМГ 400/6/0,4У/Ун-0 зав.№1478</v>
          </cell>
          <cell r="B436" t="str">
            <v>00001350</v>
          </cell>
          <cell r="C436" t="str">
            <v>ПЕРЕДАЧА</v>
          </cell>
          <cell r="D436" t="str">
            <v>Машины и оборудование (кроме офисного)</v>
          </cell>
          <cell r="E436" t="str">
            <v>15.03.2011</v>
          </cell>
          <cell r="F436" t="str">
            <v>Цех электрических сетей</v>
          </cell>
          <cell r="X436">
            <v>205002.26</v>
          </cell>
          <cell r="Y436">
            <v>110189.173</v>
          </cell>
          <cell r="Z436">
            <v>94813.087000000014</v>
          </cell>
          <cell r="AC436">
            <v>240</v>
          </cell>
        </row>
        <row r="437">
          <cell r="A437" t="str">
            <v>Трансформатор масляный ТМГ 400/6/0,4У/Ун-0 зав.№1484</v>
          </cell>
          <cell r="B437" t="str">
            <v>00001351</v>
          </cell>
          <cell r="C437" t="str">
            <v>ПЕРЕДАЧА</v>
          </cell>
          <cell r="D437" t="str">
            <v>Машины и оборудование (кроме офисного)</v>
          </cell>
          <cell r="E437" t="str">
            <v>15.03.2011</v>
          </cell>
          <cell r="F437" t="str">
            <v>Цех электрических сетей</v>
          </cell>
          <cell r="X437">
            <v>205002.26</v>
          </cell>
          <cell r="Y437">
            <v>110189.173</v>
          </cell>
          <cell r="Z437">
            <v>94813.087000000014</v>
          </cell>
          <cell r="AC437">
            <v>240</v>
          </cell>
        </row>
        <row r="438">
          <cell r="A438" t="str">
            <v>Трансформатор МГ400/6 Ленина35б №1 1613837 Бела-сь</v>
          </cell>
          <cell r="B438" t="str">
            <v>00001124</v>
          </cell>
          <cell r="C438" t="str">
            <v>ПЕРЕДАЧА</v>
          </cell>
          <cell r="D438" t="str">
            <v>Машины и оборудование (кроме офисного)</v>
          </cell>
          <cell r="E438" t="str">
            <v>31.07.2009</v>
          </cell>
          <cell r="F438" t="str">
            <v>Цех электрических сетей</v>
          </cell>
          <cell r="X438">
            <v>232247.67</v>
          </cell>
          <cell r="Y438">
            <v>192248.79799999998</v>
          </cell>
          <cell r="Z438">
            <v>39998.872000000032</v>
          </cell>
          <cell r="AC438">
            <v>180</v>
          </cell>
        </row>
        <row r="439">
          <cell r="A439" t="str">
            <v>Трансформатор МГ400/6 Ленина35б №2 1512482 Бела-сь</v>
          </cell>
          <cell r="B439" t="str">
            <v>00001125</v>
          </cell>
          <cell r="C439" t="str">
            <v>ПЕРЕДАЧА</v>
          </cell>
          <cell r="D439" t="str">
            <v>Машины и оборудование (кроме офисного)</v>
          </cell>
          <cell r="E439" t="str">
            <v>31.07.2009</v>
          </cell>
          <cell r="F439" t="str">
            <v>Цех электрических сетей</v>
          </cell>
          <cell r="X439">
            <v>232247.67</v>
          </cell>
          <cell r="Y439">
            <v>192248.79799999998</v>
          </cell>
          <cell r="Z439">
            <v>39998.872000000032</v>
          </cell>
          <cell r="AC439">
            <v>180</v>
          </cell>
        </row>
        <row r="440">
          <cell r="A440" t="str">
            <v>Трансформатор ТМ 250/6 №1 №906091</v>
          </cell>
          <cell r="B440" t="str">
            <v>00001100</v>
          </cell>
          <cell r="C440" t="str">
            <v>ПЕРЕДАЧА</v>
          </cell>
          <cell r="D440" t="str">
            <v>Машины и оборудование (кроме офисного)</v>
          </cell>
          <cell r="E440" t="str">
            <v>31.12.2008</v>
          </cell>
          <cell r="F440" t="str">
            <v>Цех электрических сетей</v>
          </cell>
          <cell r="X440">
            <v>183870.25</v>
          </cell>
          <cell r="Y440">
            <v>159354.01666666666</v>
          </cell>
          <cell r="Z440">
            <v>24516.233333333337</v>
          </cell>
          <cell r="AC440">
            <v>180</v>
          </cell>
        </row>
        <row r="441">
          <cell r="A441" t="str">
            <v>Трансформатор ТМ 250/6 №2 №906092</v>
          </cell>
          <cell r="B441" t="str">
            <v>00001101</v>
          </cell>
          <cell r="C441" t="str">
            <v>ПЕРЕДАЧА</v>
          </cell>
          <cell r="D441" t="str">
            <v>Машины и оборудование (кроме офисного)</v>
          </cell>
          <cell r="E441" t="str">
            <v>31.12.2008</v>
          </cell>
          <cell r="F441" t="str">
            <v>Цех электрических сетей</v>
          </cell>
          <cell r="X441">
            <v>183870.25</v>
          </cell>
          <cell r="Y441">
            <v>159354.01666666666</v>
          </cell>
          <cell r="Z441">
            <v>24516.233333333337</v>
          </cell>
          <cell r="AC441">
            <v>180</v>
          </cell>
        </row>
        <row r="442">
          <cell r="A442" t="str">
            <v>Трансформатор ТМ 400/6 №2 №1542662 ТП-46</v>
          </cell>
          <cell r="B442" t="str">
            <v>00001103</v>
          </cell>
          <cell r="C442" t="str">
            <v>ПЕРЕДАЧА</v>
          </cell>
          <cell r="D442" t="str">
            <v>Машины и оборудование (кроме офисного)</v>
          </cell>
          <cell r="E442" t="str">
            <v>31.12.2008</v>
          </cell>
          <cell r="F442" t="str">
            <v>Цех электрических сетей</v>
          </cell>
          <cell r="X442">
            <v>225395.68</v>
          </cell>
          <cell r="Y442">
            <v>195343.17866666664</v>
          </cell>
          <cell r="Z442">
            <v>30052.501333333348</v>
          </cell>
          <cell r="AC442">
            <v>180</v>
          </cell>
        </row>
        <row r="443">
          <cell r="A443" t="str">
            <v>Трансформатор ТМ 630/6 (школа №2)</v>
          </cell>
          <cell r="B443" t="str">
            <v>00001104</v>
          </cell>
          <cell r="C443" t="str">
            <v>ПЕРЕДАЧА</v>
          </cell>
          <cell r="D443" t="str">
            <v>Машины и оборудование (кроме офисного)</v>
          </cell>
          <cell r="E443" t="str">
            <v>31.12.2008</v>
          </cell>
          <cell r="F443" t="str">
            <v>Цех электрических сетей</v>
          </cell>
          <cell r="X443">
            <v>335565.17</v>
          </cell>
          <cell r="Y443">
            <v>290823.01133333333</v>
          </cell>
          <cell r="Z443">
            <v>44742.158666666655</v>
          </cell>
          <cell r="AC443">
            <v>180</v>
          </cell>
        </row>
        <row r="444">
          <cell r="A444" t="str">
            <v>Трансформатор ТМ-160 КВА 6/0,4 №2984 2007г</v>
          </cell>
          <cell r="B444" t="str">
            <v>00001042</v>
          </cell>
          <cell r="C444" t="str">
            <v>ПЕРЕДАЧА</v>
          </cell>
          <cell r="D444" t="str">
            <v>Машины и оборудование (кроме офисного)</v>
          </cell>
          <cell r="E444" t="str">
            <v>31.07.2007</v>
          </cell>
          <cell r="F444" t="str">
            <v>Цех электрических сетей</v>
          </cell>
          <cell r="X444">
            <v>133941.4</v>
          </cell>
          <cell r="Y444">
            <v>96549.56</v>
          </cell>
          <cell r="Z444">
            <v>37391.839999999997</v>
          </cell>
          <cell r="AC444">
            <v>240</v>
          </cell>
        </row>
        <row r="445">
          <cell r="A445" t="str">
            <v>Трансформатор ТМ-160 КВА 6/0,4 №641107</v>
          </cell>
          <cell r="B445" t="str">
            <v>00001039</v>
          </cell>
          <cell r="C445" t="str">
            <v>ПЕРЕДАЧА</v>
          </cell>
          <cell r="D445" t="str">
            <v>Машины и оборудование (кроме офисного)</v>
          </cell>
          <cell r="E445" t="str">
            <v>31.10.2007</v>
          </cell>
          <cell r="F445" t="str">
            <v>Цех электрических сетей</v>
          </cell>
          <cell r="X445">
            <v>134415.48000000001</v>
          </cell>
          <cell r="Y445">
            <v>95210.254000000001</v>
          </cell>
          <cell r="Z445">
            <v>39205.22600000001</v>
          </cell>
          <cell r="AC445">
            <v>240</v>
          </cell>
        </row>
        <row r="446">
          <cell r="A446" t="str">
            <v>Трансформатор ТМ-160/6/0,4</v>
          </cell>
          <cell r="B446" t="str">
            <v>00001016</v>
          </cell>
          <cell r="C446" t="str">
            <v>ПЕРЕДАЧА</v>
          </cell>
          <cell r="D446" t="str">
            <v>Машины и оборудование (кроме офисного)</v>
          </cell>
          <cell r="E446" t="str">
            <v>30.11.2006</v>
          </cell>
          <cell r="F446" t="str">
            <v>Цех электрических сетей</v>
          </cell>
          <cell r="X446">
            <v>82765.77</v>
          </cell>
          <cell r="Y446">
            <v>62419.628499999999</v>
          </cell>
          <cell r="Z446">
            <v>20346.141500000005</v>
          </cell>
          <cell r="AC446">
            <v>240</v>
          </cell>
        </row>
        <row r="447">
          <cell r="A447" t="str">
            <v>Трансформатор ТМ-250-6-0,4  №399099г 2000г выпуск</v>
          </cell>
          <cell r="B447" t="str">
            <v>00000267</v>
          </cell>
          <cell r="C447" t="str">
            <v>ПЕРЕДАЧА</v>
          </cell>
          <cell r="D447" t="str">
            <v>Машины и оборудование (кроме офисного)</v>
          </cell>
          <cell r="E447" t="str">
            <v>01.09.2000</v>
          </cell>
          <cell r="F447" t="str">
            <v>Цех электрических сетей</v>
          </cell>
          <cell r="X447">
            <v>41151.67</v>
          </cell>
          <cell r="Y447">
            <v>38043.103043478259</v>
          </cell>
          <cell r="Z447">
            <v>3108.5669565217395</v>
          </cell>
          <cell r="AC447">
            <v>276</v>
          </cell>
        </row>
        <row r="448">
          <cell r="A448" t="str">
            <v>Трансформатор ТМ-400 КВА 6/0,4 №30854 2007г</v>
          </cell>
          <cell r="B448" t="str">
            <v>000001689</v>
          </cell>
          <cell r="C448" t="str">
            <v>ПЕРЕДАЧА</v>
          </cell>
          <cell r="D448" t="str">
            <v>Машины и оборудование (кроме офисного)</v>
          </cell>
          <cell r="E448" t="str">
            <v>29.07.2016</v>
          </cell>
          <cell r="F448" t="str">
            <v>Цех электрических сетей</v>
          </cell>
          <cell r="X448">
            <v>47535.41</v>
          </cell>
          <cell r="Y448">
            <v>23407.76090909091</v>
          </cell>
          <cell r="Z448">
            <v>24127.649090909094</v>
          </cell>
          <cell r="AC448">
            <v>132</v>
          </cell>
        </row>
        <row r="449">
          <cell r="A449" t="str">
            <v>Трансформатор ТМ-400 КВА 6/0,4 №5909 2007г</v>
          </cell>
          <cell r="B449" t="str">
            <v>00001043</v>
          </cell>
          <cell r="C449" t="str">
            <v>ПЕРЕДАЧА</v>
          </cell>
          <cell r="D449" t="str">
            <v>Машины и оборудование (кроме офисного)</v>
          </cell>
          <cell r="E449" t="str">
            <v>31.07.2007</v>
          </cell>
          <cell r="F449" t="str">
            <v>Цех электрических сетей</v>
          </cell>
          <cell r="X449">
            <v>182634.78</v>
          </cell>
          <cell r="Y449">
            <v>131649.519</v>
          </cell>
          <cell r="Z449">
            <v>50985.260999999999</v>
          </cell>
          <cell r="AC449">
            <v>240</v>
          </cell>
        </row>
        <row r="450">
          <cell r="A450" t="str">
            <v>Трансформатор ТМ-400 КВА6/0,4 №3192 2007г</v>
          </cell>
          <cell r="B450" t="str">
            <v>00001045</v>
          </cell>
          <cell r="C450" t="str">
            <v>ПЕРЕДАЧА</v>
          </cell>
          <cell r="D450" t="str">
            <v>Машины и оборудование (кроме офисного)</v>
          </cell>
          <cell r="E450" t="str">
            <v>31.07.2007</v>
          </cell>
          <cell r="F450" t="str">
            <v>Цех электрических сетей</v>
          </cell>
          <cell r="X450">
            <v>182634.77</v>
          </cell>
          <cell r="Y450">
            <v>131649.51850000001</v>
          </cell>
          <cell r="Z450">
            <v>50985.251499999984</v>
          </cell>
          <cell r="AC450">
            <v>240</v>
          </cell>
        </row>
        <row r="451">
          <cell r="A451" t="str">
            <v>Трансформатор ТМ400/6 №1510715 (ТП №65 с 18.08.09)</v>
          </cell>
          <cell r="B451" t="str">
            <v>00001102</v>
          </cell>
          <cell r="C451" t="str">
            <v>ПЕРЕДАЧА</v>
          </cell>
          <cell r="D451" t="str">
            <v>Машины и оборудование (кроме офисного)</v>
          </cell>
          <cell r="E451" t="str">
            <v>31.12.2008</v>
          </cell>
          <cell r="F451" t="str">
            <v>Цех электрических сетей</v>
          </cell>
          <cell r="X451">
            <v>225395.68</v>
          </cell>
          <cell r="Y451">
            <v>195343.17866666664</v>
          </cell>
          <cell r="Z451">
            <v>30052.501333333348</v>
          </cell>
          <cell r="AC451">
            <v>180</v>
          </cell>
        </row>
        <row r="452">
          <cell r="A452" t="str">
            <v>Трансформатор ТМГ-160/6 1379549</v>
          </cell>
          <cell r="B452" t="str">
            <v>00001015</v>
          </cell>
          <cell r="C452" t="str">
            <v>ПЕРЕДАЧА</v>
          </cell>
          <cell r="D452" t="str">
            <v>Машины и оборудование (кроме офисного)</v>
          </cell>
          <cell r="E452" t="str">
            <v>30.11.2006</v>
          </cell>
          <cell r="F452" t="str">
            <v>Цех электрических сетей</v>
          </cell>
          <cell r="X452">
            <v>115398.53</v>
          </cell>
          <cell r="Y452">
            <v>87030.196500000005</v>
          </cell>
          <cell r="Z452">
            <v>28368.333499999993</v>
          </cell>
          <cell r="AC452">
            <v>240</v>
          </cell>
        </row>
        <row r="453">
          <cell r="A453" t="str">
            <v>Трансформатор ТМГ-160/6 №1 №146100</v>
          </cell>
          <cell r="B453" t="str">
            <v>00001014</v>
          </cell>
          <cell r="C453" t="str">
            <v>ПЕРЕДАЧА</v>
          </cell>
          <cell r="D453" t="str">
            <v>Машины и оборудование (кроме офисного)</v>
          </cell>
          <cell r="E453" t="str">
            <v>30.11.2006</v>
          </cell>
          <cell r="F453" t="str">
            <v>Цех электрических сетей</v>
          </cell>
          <cell r="X453">
            <v>115398.54</v>
          </cell>
          <cell r="Y453">
            <v>87030.197</v>
          </cell>
          <cell r="Z453">
            <v>28368.342999999993</v>
          </cell>
          <cell r="AC453">
            <v>240</v>
          </cell>
        </row>
        <row r="454">
          <cell r="A454" t="str">
            <v>Трансформатор ТМГ-160/6/0,4 зав.№003703Y</v>
          </cell>
          <cell r="B454" t="str">
            <v>000001711</v>
          </cell>
          <cell r="C454" t="str">
            <v>ПЕРЕДАЧА</v>
          </cell>
          <cell r="D454" t="str">
            <v>Машины и оборудование (кроме офисного)</v>
          </cell>
          <cell r="E454" t="str">
            <v>31.07.2017</v>
          </cell>
          <cell r="F454" t="str">
            <v>Цех электрических сетей</v>
          </cell>
          <cell r="X454">
            <v>167330.70000000001</v>
          </cell>
          <cell r="Y454">
            <v>24634.899999999998</v>
          </cell>
          <cell r="Z454">
            <v>142695.80000000002</v>
          </cell>
          <cell r="AC454">
            <v>360</v>
          </cell>
        </row>
        <row r="455">
          <cell r="A455" t="str">
            <v>Трансформатор ТМГ-160/6/6/0,4 схема и группа соединений Д/Ун-11 зав. 13417</v>
          </cell>
          <cell r="B455" t="str">
            <v>000001775</v>
          </cell>
          <cell r="C455" t="str">
            <v>ПЕРЕДАЧА</v>
          </cell>
          <cell r="D455" t="str">
            <v>Машины и оборудование (кроме офисного)</v>
          </cell>
          <cell r="E455" t="str">
            <v>30.07.2019</v>
          </cell>
          <cell r="F455" t="str">
            <v>Цех электрических сетей</v>
          </cell>
          <cell r="X455">
            <v>138983.32999999999</v>
          </cell>
          <cell r="Y455">
            <v>11195.797666666667</v>
          </cell>
          <cell r="Z455">
            <v>127787.53233333332</v>
          </cell>
          <cell r="AC455">
            <v>360</v>
          </cell>
        </row>
        <row r="456">
          <cell r="A456" t="str">
            <v>Трансформатор ТМГ-160/6-0,4 №145970 2001г выпуска</v>
          </cell>
          <cell r="B456" t="str">
            <v>00000324</v>
          </cell>
          <cell r="C456" t="str">
            <v>ПЕРЕДАЧА</v>
          </cell>
          <cell r="D456" t="str">
            <v>Машины и оборудование (кроме офисного)</v>
          </cell>
          <cell r="E456" t="str">
            <v>30.06.2001</v>
          </cell>
          <cell r="F456" t="str">
            <v>Цех электрических сетей</v>
          </cell>
          <cell r="X456">
            <v>49315.5</v>
          </cell>
          <cell r="Y456">
            <v>43980.97217391304</v>
          </cell>
          <cell r="Z456">
            <v>5334.52782608696</v>
          </cell>
          <cell r="AC456">
            <v>276</v>
          </cell>
        </row>
        <row r="457">
          <cell r="A457" t="str">
            <v>Трансформатор ТМГ-250/6 №1545100</v>
          </cell>
          <cell r="B457" t="str">
            <v>00001018</v>
          </cell>
          <cell r="C457" t="str">
            <v>ПЕРЕДАЧА</v>
          </cell>
          <cell r="D457" t="str">
            <v>Машины и оборудование (кроме офисного)</v>
          </cell>
          <cell r="E457" t="str">
            <v>30.11.2006</v>
          </cell>
          <cell r="F457" t="str">
            <v>Цех электрических сетей</v>
          </cell>
          <cell r="X457">
            <v>157771.53</v>
          </cell>
          <cell r="Y457">
            <v>118985.7965</v>
          </cell>
          <cell r="Z457">
            <v>38785.733500000002</v>
          </cell>
          <cell r="AC457">
            <v>240</v>
          </cell>
        </row>
        <row r="458">
          <cell r="A458" t="str">
            <v>Трансформатор ТМГ-250/6 №1№1399294</v>
          </cell>
          <cell r="B458" t="str">
            <v>00001017</v>
          </cell>
          <cell r="C458" t="str">
            <v>ПЕРЕДАЧА</v>
          </cell>
          <cell r="D458" t="str">
            <v>Машины и оборудование (кроме офисного)</v>
          </cell>
          <cell r="E458" t="str">
            <v>30.11.2006</v>
          </cell>
          <cell r="F458" t="str">
            <v>Цех электрических сетей</v>
          </cell>
          <cell r="X458">
            <v>157771.53</v>
          </cell>
          <cell r="Y458">
            <v>118985.7965</v>
          </cell>
          <cell r="Z458">
            <v>38785.733500000002</v>
          </cell>
          <cell r="AC458">
            <v>240</v>
          </cell>
        </row>
        <row r="459">
          <cell r="A459" t="str">
            <v>Трансформатор ТМГ-250/6/0,4 зав.№003119Y</v>
          </cell>
          <cell r="B459" t="str">
            <v>000001710</v>
          </cell>
          <cell r="C459" t="str">
            <v>ПЕРЕДАЧА</v>
          </cell>
          <cell r="D459" t="str">
            <v>Машины и оборудование (кроме офисного)</v>
          </cell>
          <cell r="E459" t="str">
            <v>31.07.2017</v>
          </cell>
          <cell r="F459" t="str">
            <v>Цех электрических сетей</v>
          </cell>
          <cell r="X459">
            <v>219795.25</v>
          </cell>
          <cell r="Y459">
            <v>32358.648333333331</v>
          </cell>
          <cell r="Z459">
            <v>187436.60166666668</v>
          </cell>
          <cell r="AC459">
            <v>360</v>
          </cell>
        </row>
        <row r="460">
          <cell r="A460" t="str">
            <v>Трансформатор ТМГ-250/6/0,4 схема и группа соединений Д/Ун-11 Россия завод.№636720</v>
          </cell>
          <cell r="B460" t="str">
            <v>000001806</v>
          </cell>
          <cell r="C460" t="str">
            <v>ПЕРЕДАЧА</v>
          </cell>
          <cell r="D460" t="str">
            <v>Машины и оборудование (кроме офисного)</v>
          </cell>
          <cell r="E460" t="str">
            <v>06.04.2020</v>
          </cell>
          <cell r="F460" t="str">
            <v>Цех электрических сетей</v>
          </cell>
          <cell r="X460">
            <v>184000</v>
          </cell>
          <cell r="Y460">
            <v>15333.36</v>
          </cell>
          <cell r="Z460">
            <v>168666.64</v>
          </cell>
          <cell r="AC460">
            <v>240</v>
          </cell>
        </row>
        <row r="461">
          <cell r="A461" t="str">
            <v>Трансформатор ТМГ-250/6-0,4  № 1451843 2001г выпус</v>
          </cell>
          <cell r="B461" t="str">
            <v>00000315</v>
          </cell>
          <cell r="C461" t="str">
            <v>ПЕРЕДАЧА</v>
          </cell>
          <cell r="D461" t="str">
            <v>Машины и оборудование (кроме офисного)</v>
          </cell>
          <cell r="E461" t="str">
            <v>30.06.2001</v>
          </cell>
          <cell r="F461" t="str">
            <v>Цех электрических сетей</v>
          </cell>
          <cell r="X461">
            <v>64583</v>
          </cell>
          <cell r="Y461">
            <v>57597.586521739126</v>
          </cell>
          <cell r="Z461">
            <v>6985.4134782608744</v>
          </cell>
          <cell r="AC461">
            <v>276</v>
          </cell>
        </row>
        <row r="462">
          <cell r="A462" t="str">
            <v>Трансформатор ТМГ-400 6/0,4кв  №1656822 2009г</v>
          </cell>
          <cell r="B462" t="str">
            <v>00001149</v>
          </cell>
          <cell r="C462" t="str">
            <v>ПЕРЕДАЧА</v>
          </cell>
          <cell r="D462" t="str">
            <v>Машины и оборудование (кроме офисного)</v>
          </cell>
          <cell r="E462" t="str">
            <v>31.10.2009</v>
          </cell>
          <cell r="F462" t="str">
            <v>Цех электрических сетей</v>
          </cell>
          <cell r="X462">
            <v>212242.97</v>
          </cell>
          <cell r="Y462">
            <v>129115.0485</v>
          </cell>
          <cell r="Z462">
            <v>83127.921499999997</v>
          </cell>
          <cell r="AC462">
            <v>240</v>
          </cell>
        </row>
        <row r="463">
          <cell r="A463" t="str">
            <v>Трансформатор ТМГ-400/6/0,4 зав.№003815Y</v>
          </cell>
          <cell r="B463" t="str">
            <v>000001709</v>
          </cell>
          <cell r="C463" t="str">
            <v>ПЕРЕДАЧА</v>
          </cell>
          <cell r="D463" t="str">
            <v>Машины и оборудование (кроме офисного)</v>
          </cell>
          <cell r="E463" t="str">
            <v>31.07.2017</v>
          </cell>
          <cell r="F463" t="str">
            <v>Цех электрических сетей</v>
          </cell>
          <cell r="X463">
            <v>275050.95</v>
          </cell>
          <cell r="Y463">
            <v>40493.595000000001</v>
          </cell>
          <cell r="Z463">
            <v>234557.35500000001</v>
          </cell>
          <cell r="AC463">
            <v>360</v>
          </cell>
        </row>
        <row r="464">
          <cell r="A464" t="str">
            <v>Трансформатор ТМГ-400/6/0,4 зав.№003816Y</v>
          </cell>
          <cell r="B464" t="str">
            <v>000001708</v>
          </cell>
          <cell r="C464" t="str">
            <v>ПЕРЕДАЧА</v>
          </cell>
          <cell r="D464" t="str">
            <v>Машины и оборудование (кроме офисного)</v>
          </cell>
          <cell r="E464" t="str">
            <v>31.07.2017</v>
          </cell>
          <cell r="F464" t="str">
            <v>Цех электрических сетей</v>
          </cell>
          <cell r="X464">
            <v>275050.95</v>
          </cell>
          <cell r="Y464">
            <v>40493.595000000001</v>
          </cell>
          <cell r="Z464">
            <v>234557.35500000001</v>
          </cell>
          <cell r="AC464">
            <v>360</v>
          </cell>
        </row>
        <row r="465">
          <cell r="A465" t="str">
            <v>Трансформатор ТМГ-400/6/0,4 зав.№003817Y</v>
          </cell>
          <cell r="B465" t="str">
            <v>000001707</v>
          </cell>
          <cell r="C465" t="str">
            <v>ПЕРЕДАЧА</v>
          </cell>
          <cell r="D465" t="str">
            <v>Машины и оборудование (кроме офисного)</v>
          </cell>
          <cell r="E465" t="str">
            <v>31.07.2017</v>
          </cell>
          <cell r="F465" t="str">
            <v>Цех электрических сетей</v>
          </cell>
          <cell r="X465">
            <v>275050.95</v>
          </cell>
          <cell r="Y465">
            <v>40493.595000000001</v>
          </cell>
          <cell r="Z465">
            <v>234557.35500000001</v>
          </cell>
          <cell r="AC465">
            <v>360</v>
          </cell>
        </row>
        <row r="466">
          <cell r="A466" t="str">
            <v>Трансформатор ТМГ-400/6/0,4 схема и группа соединений Д/Ун-11, зав.№1804жг214</v>
          </cell>
          <cell r="B466" t="str">
            <v>000001738</v>
          </cell>
          <cell r="C466" t="str">
            <v>ПЕРЕДАЧА</v>
          </cell>
          <cell r="D466" t="str">
            <v>Машины и оборудование (кроме офисного)</v>
          </cell>
          <cell r="E466" t="str">
            <v>31.07.2018</v>
          </cell>
          <cell r="F466" t="str">
            <v>Цех электрических сетей</v>
          </cell>
          <cell r="X466">
            <v>280493.28999999998</v>
          </cell>
          <cell r="Y466">
            <v>47917.544499999996</v>
          </cell>
          <cell r="Z466">
            <v>232575.74549999999</v>
          </cell>
          <cell r="AC466">
            <v>240</v>
          </cell>
        </row>
        <row r="467">
          <cell r="A467" t="str">
            <v>Трансформатор ТМГ-63/6-0,4 №1461186 2001г.в.</v>
          </cell>
          <cell r="B467" t="str">
            <v>00000448</v>
          </cell>
          <cell r="C467" t="str">
            <v>ПЕРЕДАЧА</v>
          </cell>
          <cell r="D467" t="str">
            <v>Машины и оборудование (кроме офисного)</v>
          </cell>
          <cell r="E467" t="str">
            <v>28.02.2002</v>
          </cell>
          <cell r="F467" t="str">
            <v>Цех электрических сетей</v>
          </cell>
          <cell r="X467">
            <v>53333.33</v>
          </cell>
          <cell r="Y467">
            <v>53325.945462184878</v>
          </cell>
          <cell r="Z467">
            <v>7.3845378151236218</v>
          </cell>
          <cell r="AC467">
            <v>238</v>
          </cell>
        </row>
        <row r="468">
          <cell r="A468" t="str">
            <v>Трансформатор трёхфазный 35 кВ мощностью 1000 кВ А</v>
          </cell>
          <cell r="B468" t="str">
            <v>000001752</v>
          </cell>
          <cell r="C468" t="str">
            <v>ПЕРЕДАЧА</v>
          </cell>
          <cell r="D468" t="str">
            <v>Машины и оборудование (кроме офисного)</v>
          </cell>
          <cell r="E468" t="str">
            <v>07.11.2018</v>
          </cell>
          <cell r="F468" t="str">
            <v>Цех электрических сетей</v>
          </cell>
          <cell r="X468">
            <v>3772577.57</v>
          </cell>
          <cell r="Y468">
            <v>691016.76900990098</v>
          </cell>
          <cell r="Z468">
            <v>3081560.8009900991</v>
          </cell>
          <cell r="AC468">
            <v>202</v>
          </cell>
        </row>
        <row r="469">
          <cell r="A469" t="str">
            <v>Трансформатор трёхфазный 35 кВ мощностью 1000 кВ А</v>
          </cell>
          <cell r="B469" t="str">
            <v>000001753</v>
          </cell>
          <cell r="C469" t="str">
            <v>ПЕРЕДАЧА</v>
          </cell>
          <cell r="D469" t="str">
            <v>Машины и оборудование (кроме офисного)</v>
          </cell>
          <cell r="E469" t="str">
            <v>07.11.2018</v>
          </cell>
          <cell r="F469" t="str">
            <v>Цех электрических сетей</v>
          </cell>
          <cell r="X469">
            <v>3772577.57</v>
          </cell>
          <cell r="Y469">
            <v>691016.76900990098</v>
          </cell>
          <cell r="Z469">
            <v>3081560.8009900991</v>
          </cell>
          <cell r="AC469">
            <v>202</v>
          </cell>
        </row>
        <row r="470">
          <cell r="A470" t="str">
            <v>Трансформаторная подстанция</v>
          </cell>
          <cell r="B470" t="str">
            <v>000001848</v>
          </cell>
          <cell r="C470" t="str">
            <v>ПЕРЕДАЧА</v>
          </cell>
          <cell r="D470" t="str">
            <v>Здания</v>
          </cell>
          <cell r="E470" t="str">
            <v>14.04.2021</v>
          </cell>
          <cell r="F470" t="str">
            <v>Цех электрических сетей</v>
          </cell>
          <cell r="X470">
            <v>1135845.03</v>
          </cell>
          <cell r="Y470">
            <v>75723.001999999993</v>
          </cell>
          <cell r="Z470">
            <v>1060122.0279999999</v>
          </cell>
          <cell r="AC470">
            <v>120</v>
          </cell>
        </row>
        <row r="471">
          <cell r="A471" t="str">
            <v>Трансформаторная подстанция №33</v>
          </cell>
          <cell r="B471" t="str">
            <v>000001781</v>
          </cell>
          <cell r="C471" t="str">
            <v>ПЕРЕДАЧА</v>
          </cell>
          <cell r="D471" t="str">
            <v>Сооружения</v>
          </cell>
          <cell r="E471" t="str">
            <v>10.12.2019</v>
          </cell>
          <cell r="F471" t="str">
            <v>Цех электрических сетей</v>
          </cell>
          <cell r="X471">
            <v>2066041.02</v>
          </cell>
          <cell r="Y471">
            <v>165283.2408</v>
          </cell>
          <cell r="Z471">
            <v>1900757.7792</v>
          </cell>
          <cell r="AC471">
            <v>300</v>
          </cell>
        </row>
        <row r="472">
          <cell r="A472" t="str">
            <v>Трансформаторная подстанция КТП/П К-К 400/6/0,4</v>
          </cell>
          <cell r="B472" t="str">
            <v>00001150</v>
          </cell>
          <cell r="C472" t="str">
            <v>ПЕРЕДАЧА</v>
          </cell>
          <cell r="D472" t="str">
            <v>Сооружения</v>
          </cell>
          <cell r="E472" t="str">
            <v>31.10.2009</v>
          </cell>
          <cell r="F472" t="str">
            <v>Цех электрических сетей</v>
          </cell>
          <cell r="X472">
            <v>392922.66</v>
          </cell>
          <cell r="Y472">
            <v>318703.44399999996</v>
          </cell>
          <cell r="Z472">
            <v>74219.216000000015</v>
          </cell>
          <cell r="AC472">
            <v>180</v>
          </cell>
        </row>
        <row r="473">
          <cell r="A473" t="str">
            <v>Трансформаторная подстанция КТП-250 (РУ-0,4 кВ)</v>
          </cell>
          <cell r="B473" t="str">
            <v>000001847</v>
          </cell>
          <cell r="C473" t="str">
            <v>ПЕРЕДАЧА</v>
          </cell>
          <cell r="D473" t="str">
            <v>Сооружения</v>
          </cell>
          <cell r="E473" t="str">
            <v>14.04.2021</v>
          </cell>
          <cell r="F473" t="str">
            <v>Цех электрических сетей</v>
          </cell>
          <cell r="X473">
            <v>38000</v>
          </cell>
          <cell r="Y473">
            <v>2533.3333333333335</v>
          </cell>
          <cell r="Z473">
            <v>35466.666666666664</v>
          </cell>
          <cell r="AC473">
            <v>120</v>
          </cell>
        </row>
        <row r="474">
          <cell r="A474" t="str">
            <v>Трансформаторная подстанция КТП-250 кВ центральная в с.Тельвиска</v>
          </cell>
          <cell r="B474" t="str">
            <v>000001849</v>
          </cell>
          <cell r="C474" t="str">
            <v>ПЕРЕДАЧА</v>
          </cell>
          <cell r="D474" t="str">
            <v>Сооружения</v>
          </cell>
          <cell r="E474" t="str">
            <v>16.07.2021</v>
          </cell>
          <cell r="F474" t="str">
            <v>Цех электрических сетей</v>
          </cell>
          <cell r="X474">
            <v>40813</v>
          </cell>
          <cell r="Y474">
            <v>1700.5416666666667</v>
          </cell>
          <cell r="Z474">
            <v>39112.458333333336</v>
          </cell>
          <cell r="AC474">
            <v>120</v>
          </cell>
        </row>
        <row r="475">
          <cell r="A475" t="str">
            <v>Трансформаторная подстанция напряжением 6/0,4 Кв мощностью 400кВА, типа 2КТПК (п) 400/6/0,4 (к/к-13У1)</v>
          </cell>
          <cell r="B475" t="str">
            <v>000001703</v>
          </cell>
          <cell r="C475" t="str">
            <v>ПЕРЕДАЧА</v>
          </cell>
          <cell r="D475" t="str">
            <v>Здания</v>
          </cell>
          <cell r="E475" t="str">
            <v>27.04.2017</v>
          </cell>
          <cell r="F475" t="str">
            <v>Цех электрических сетей</v>
          </cell>
          <cell r="X475">
            <v>2318891.4900000002</v>
          </cell>
          <cell r="Y475">
            <v>380815.09958944283</v>
          </cell>
          <cell r="Z475">
            <v>1938076.3904105574</v>
          </cell>
          <cell r="AC475">
            <v>341</v>
          </cell>
        </row>
        <row r="476">
          <cell r="A476" t="str">
            <v>Трансформаторная подстанция ТП №100/1 "Малый Качгорт"</v>
          </cell>
          <cell r="B476" t="str">
            <v>000001695</v>
          </cell>
          <cell r="C476" t="str">
            <v>ПЕРЕДАЧА</v>
          </cell>
          <cell r="D476" t="str">
            <v>Сооружения</v>
          </cell>
          <cell r="E476" t="str">
            <v>09.12.2016</v>
          </cell>
          <cell r="F476" t="str">
            <v>Цех электрических сетей</v>
          </cell>
          <cell r="X476">
            <v>384471.91</v>
          </cell>
          <cell r="Y476">
            <v>96118.155499999993</v>
          </cell>
          <cell r="Z476">
            <v>288353.75449999998</v>
          </cell>
          <cell r="AC476">
            <v>240</v>
          </cell>
        </row>
        <row r="477">
          <cell r="A477" t="str">
            <v>Трансформаторная подстанция ТП №113 "Молодежный центр"</v>
          </cell>
          <cell r="B477" t="str">
            <v>000001694</v>
          </cell>
          <cell r="C477" t="str">
            <v>ПЕРЕДАЧА</v>
          </cell>
          <cell r="D477" t="str">
            <v>Сооружения</v>
          </cell>
          <cell r="E477" t="str">
            <v>30.11.2016</v>
          </cell>
          <cell r="F477" t="str">
            <v>Цех электрических сетей</v>
          </cell>
          <cell r="X477">
            <v>6269664.8799999999</v>
          </cell>
          <cell r="Y477">
            <v>1593539.6439999999</v>
          </cell>
          <cell r="Z477">
            <v>4676125.2359999996</v>
          </cell>
          <cell r="AC477">
            <v>240</v>
          </cell>
        </row>
        <row r="478">
          <cell r="A478" t="str">
            <v>Трансформаторная подстанция ТП-55 "Старый аэропорт"</v>
          </cell>
          <cell r="B478" t="str">
            <v>000001683</v>
          </cell>
          <cell r="C478" t="str">
            <v>ПЕРЕДАЧА</v>
          </cell>
          <cell r="D478" t="str">
            <v>Сооружения</v>
          </cell>
          <cell r="E478" t="str">
            <v>29.07.2016</v>
          </cell>
          <cell r="F478" t="str">
            <v>Цех электрических сетей</v>
          </cell>
          <cell r="X478">
            <v>6932161.2999999998</v>
          </cell>
          <cell r="Y478">
            <v>1877460.5950000002</v>
          </cell>
          <cell r="Z478">
            <v>5054700.7050000001</v>
          </cell>
          <cell r="AC478">
            <v>240</v>
          </cell>
        </row>
        <row r="479">
          <cell r="A479" t="str">
            <v>Трансформаторная подстанция, адрес: Ненецкий АО, Нарьян-Мар г, Юбилейная ул, дом №11</v>
          </cell>
          <cell r="B479" t="str">
            <v>000001751</v>
          </cell>
          <cell r="C479" t="str">
            <v>ПЕРЕДАЧА</v>
          </cell>
          <cell r="D479" t="str">
            <v>Здания</v>
          </cell>
          <cell r="E479" t="str">
            <v>07.11.2018</v>
          </cell>
          <cell r="F479" t="str">
            <v>Цех электрических сетей</v>
          </cell>
          <cell r="X479">
            <v>42621.63</v>
          </cell>
          <cell r="Y479">
            <v>8712.7434254143645</v>
          </cell>
          <cell r="Z479">
            <v>33908.886574585631</v>
          </cell>
          <cell r="AC479">
            <v>181</v>
          </cell>
        </row>
        <row r="480">
          <cell r="A480" t="str">
            <v>ТрансформаторТМ-160 КВА 6/0,4 №16733 2007г</v>
          </cell>
          <cell r="B480" t="str">
            <v>00001041</v>
          </cell>
          <cell r="C480" t="str">
            <v>ПЕРЕДАЧА</v>
          </cell>
          <cell r="D480" t="str">
            <v>Машины и оборудование (кроме офисного)</v>
          </cell>
          <cell r="E480" t="str">
            <v>31.07.2007</v>
          </cell>
          <cell r="F480" t="str">
            <v>Цех электрических сетей</v>
          </cell>
          <cell r="X480">
            <v>133941.79</v>
          </cell>
          <cell r="Y480">
            <v>96549.579500000007</v>
          </cell>
          <cell r="Z480">
            <v>37392.210500000001</v>
          </cell>
          <cell r="AC480">
            <v>240</v>
          </cell>
        </row>
        <row r="481">
          <cell r="A481" t="str">
            <v>ТрансформаторТМ-400 КВА 6/,04 №8386 2007г</v>
          </cell>
          <cell r="B481" t="str">
            <v>00001046</v>
          </cell>
          <cell r="C481" t="str">
            <v>ПЕРЕДАЧА</v>
          </cell>
          <cell r="D481" t="str">
            <v>Машины и оборудование (кроме офисного)</v>
          </cell>
          <cell r="E481" t="str">
            <v>31.07.2007</v>
          </cell>
          <cell r="F481" t="str">
            <v>Цех электрических сетей</v>
          </cell>
          <cell r="X481">
            <v>182634.77</v>
          </cell>
          <cell r="Y481">
            <v>131649.51850000001</v>
          </cell>
          <cell r="Z481">
            <v>50985.251499999984</v>
          </cell>
          <cell r="AC481">
            <v>240</v>
          </cell>
        </row>
        <row r="482">
          <cell r="A482" t="str">
            <v>Трансф-р масляный ТМГ 250/6/0,4У/Ун-0 зав.№1695586</v>
          </cell>
          <cell r="B482" t="str">
            <v>00001365</v>
          </cell>
          <cell r="C482" t="str">
            <v>ПЕРЕДАЧА</v>
          </cell>
          <cell r="D482" t="str">
            <v>Машины и оборудование (кроме офисного)</v>
          </cell>
          <cell r="E482" t="str">
            <v>06.09.2011</v>
          </cell>
          <cell r="F482" t="str">
            <v>Цех электрических сетей</v>
          </cell>
          <cell r="X482">
            <v>128403.61</v>
          </cell>
          <cell r="Y482">
            <v>65807.400500000003</v>
          </cell>
          <cell r="Z482">
            <v>62596.209499999997</v>
          </cell>
          <cell r="AC482">
            <v>240</v>
          </cell>
        </row>
        <row r="483">
          <cell r="A483" t="str">
            <v>Трансф-р масляный ТМГ 400/6/0,4У/Ун-0 зав.№1290</v>
          </cell>
          <cell r="B483" t="str">
            <v>00001352</v>
          </cell>
          <cell r="C483" t="str">
            <v>ПЕРЕДАЧА</v>
          </cell>
          <cell r="D483" t="str">
            <v>Машины и оборудование (кроме офисного)</v>
          </cell>
          <cell r="E483" t="str">
            <v>15.03.2011</v>
          </cell>
          <cell r="F483" t="str">
            <v>Цех электрических сетей</v>
          </cell>
          <cell r="X483">
            <v>205002.26</v>
          </cell>
          <cell r="Y483">
            <v>110189.173</v>
          </cell>
          <cell r="Z483">
            <v>94813.087000000014</v>
          </cell>
          <cell r="AC483">
            <v>240</v>
          </cell>
        </row>
        <row r="484">
          <cell r="A484" t="str">
            <v>Трансф-р масляный ТМГ 630/6/0,4У/Ун-0 зав. №0756</v>
          </cell>
          <cell r="B484" t="str">
            <v>00001253</v>
          </cell>
          <cell r="C484" t="str">
            <v>ПЕРЕДАЧА</v>
          </cell>
          <cell r="D484" t="str">
            <v>Машины и оборудование (кроме офисного)</v>
          </cell>
          <cell r="E484" t="str">
            <v>31.10.2010</v>
          </cell>
          <cell r="F484" t="str">
            <v>Цех электрических сетей</v>
          </cell>
          <cell r="X484">
            <v>308792.01</v>
          </cell>
          <cell r="Y484">
            <v>172408.46049999999</v>
          </cell>
          <cell r="Z484">
            <v>136383.54950000002</v>
          </cell>
          <cell r="AC484">
            <v>240</v>
          </cell>
        </row>
        <row r="485">
          <cell r="A485" t="str">
            <v>Трансф-р масляный ТМГ 630/6/0,4У/Ун-0 зав.№1693879</v>
          </cell>
          <cell r="B485" t="str">
            <v>00001366</v>
          </cell>
          <cell r="C485" t="str">
            <v>ПЕРЕДАЧА</v>
          </cell>
          <cell r="D485" t="str">
            <v>Машины и оборудование (кроме офисного)</v>
          </cell>
          <cell r="E485" t="str">
            <v>06.09.2011</v>
          </cell>
          <cell r="F485" t="str">
            <v>Цех электрических сетей</v>
          </cell>
          <cell r="X485">
            <v>244269.2</v>
          </cell>
          <cell r="Y485">
            <v>125188.15000000001</v>
          </cell>
          <cell r="Z485">
            <v>119081.05</v>
          </cell>
          <cell r="AC485">
            <v>240</v>
          </cell>
        </row>
        <row r="486">
          <cell r="A486" t="str">
            <v>Трехфазная группа трансформаторов напряжения 3х3НОЛП-6 зав.1323217</v>
          </cell>
          <cell r="B486" t="str">
            <v>000001772</v>
          </cell>
          <cell r="C486" t="str">
            <v>ПЕРЕДАЧА</v>
          </cell>
          <cell r="D486" t="str">
            <v>Машины и оборудование (кроме офисного)</v>
          </cell>
          <cell r="E486" t="str">
            <v>30.07.2019</v>
          </cell>
          <cell r="F486" t="str">
            <v>Цех электрических сетей</v>
          </cell>
          <cell r="X486">
            <v>50891.67</v>
          </cell>
          <cell r="Y486">
            <v>24597.563999999998</v>
          </cell>
          <cell r="Z486">
            <v>26294.106</v>
          </cell>
          <cell r="AC486">
            <v>60</v>
          </cell>
        </row>
        <row r="487">
          <cell r="A487" t="str">
            <v>Трехфазная группа трансформаторов напряжения 3х3НОЛП-6 зав.1323218</v>
          </cell>
          <cell r="B487" t="str">
            <v>000001773</v>
          </cell>
          <cell r="C487" t="str">
            <v>ПЕРЕДАЧА</v>
          </cell>
          <cell r="D487" t="str">
            <v>Машины и оборудование (кроме офисного)</v>
          </cell>
          <cell r="E487" t="str">
            <v>30.07.2019</v>
          </cell>
          <cell r="F487" t="str">
            <v>Цех электрических сетей</v>
          </cell>
          <cell r="X487">
            <v>50891.67</v>
          </cell>
          <cell r="Y487">
            <v>24597.563999999998</v>
          </cell>
          <cell r="Z487">
            <v>26294.106</v>
          </cell>
          <cell r="AC487">
            <v>60</v>
          </cell>
        </row>
        <row r="488">
          <cell r="A488" t="str">
            <v>Трехфазная группа трансформаторов напряжения 3х3НОЛП-6 зав.1323219</v>
          </cell>
          <cell r="B488" t="str">
            <v>000001774</v>
          </cell>
          <cell r="C488" t="str">
            <v>ПЕРЕДАЧА</v>
          </cell>
          <cell r="D488" t="str">
            <v>Машины и оборудование (кроме офисного)</v>
          </cell>
          <cell r="E488" t="str">
            <v>30.07.2019</v>
          </cell>
          <cell r="F488" t="str">
            <v>Цех электрических сетей</v>
          </cell>
          <cell r="X488">
            <v>50891.66</v>
          </cell>
          <cell r="Y488">
            <v>24597.561999999998</v>
          </cell>
          <cell r="Z488">
            <v>26294.098000000005</v>
          </cell>
          <cell r="AC488">
            <v>60</v>
          </cell>
        </row>
        <row r="489">
          <cell r="A489" t="str">
            <v>Участок ВЛ-0,4 кВ от ТП-66 фидер Песчаная</v>
          </cell>
          <cell r="B489" t="str">
            <v>000001802</v>
          </cell>
          <cell r="C489" t="str">
            <v>ПЕРЕДАЧА</v>
          </cell>
          <cell r="D489" t="str">
            <v>Сооружения</v>
          </cell>
          <cell r="E489" t="str">
            <v>02.03.2020</v>
          </cell>
          <cell r="F489" t="str">
            <v>Цех электрических сетей</v>
          </cell>
          <cell r="X489">
            <v>3588625.91</v>
          </cell>
          <cell r="Y489">
            <v>157002.34775000002</v>
          </cell>
          <cell r="Z489">
            <v>3431623.56225</v>
          </cell>
          <cell r="AC489">
            <v>480</v>
          </cell>
        </row>
        <row r="490">
          <cell r="A490" t="str">
            <v>Шиногиб гидравлический ШГР2-10AL</v>
          </cell>
          <cell r="B490" t="str">
            <v>000001737</v>
          </cell>
          <cell r="C490" t="str">
            <v>ПЕРЕДАЧА</v>
          </cell>
          <cell r="D490" t="str">
            <v>Машины и оборудование (кроме офисного)</v>
          </cell>
          <cell r="E490" t="str">
            <v>16.07.2018</v>
          </cell>
          <cell r="F490" t="str">
            <v>Цех электрических сетей</v>
          </cell>
          <cell r="X490">
            <v>106181.36</v>
          </cell>
          <cell r="Y490">
            <v>36278.495999999999</v>
          </cell>
          <cell r="Z490">
            <v>69902.864000000001</v>
          </cell>
          <cell r="AC490">
            <v>120</v>
          </cell>
        </row>
        <row r="491">
          <cell r="A491" t="str">
            <v>Шинодыр гидравлический ШД-60AL</v>
          </cell>
          <cell r="B491" t="str">
            <v>000001736</v>
          </cell>
          <cell r="C491" t="str">
            <v>ПЕРЕДАЧА</v>
          </cell>
          <cell r="D491" t="str">
            <v>Машины и оборудование (кроме офисного)</v>
          </cell>
          <cell r="E491" t="str">
            <v>16.07.2018</v>
          </cell>
          <cell r="F491" t="str">
            <v>Цех электрических сетей</v>
          </cell>
          <cell r="X491">
            <v>51677.97</v>
          </cell>
          <cell r="Y491">
            <v>17656.646999999997</v>
          </cell>
          <cell r="Z491">
            <v>34021.323000000004</v>
          </cell>
          <cell r="AC491">
            <v>120</v>
          </cell>
        </row>
        <row r="492">
          <cell r="A492" t="str">
            <v>Щит ЩО-70-02  2шт 2000г.</v>
          </cell>
          <cell r="B492" t="str">
            <v>00000269</v>
          </cell>
          <cell r="C492" t="str">
            <v>ПЕРЕДАЧА</v>
          </cell>
          <cell r="D492" t="str">
            <v>Машины и оборудование (кроме офисного)</v>
          </cell>
          <cell r="E492" t="str">
            <v>01.09.2000</v>
          </cell>
          <cell r="F492" t="str">
            <v>Цех электрических сетей</v>
          </cell>
          <cell r="X492">
            <v>22847.47</v>
          </cell>
          <cell r="Y492">
            <v>20801.358260869569</v>
          </cell>
          <cell r="Z492">
            <v>2046.1117391304324</v>
          </cell>
          <cell r="AC492">
            <v>276</v>
          </cell>
        </row>
        <row r="493">
          <cell r="A493" t="str">
            <v>Щит ЩО-70-03 2000г.</v>
          </cell>
          <cell r="B493" t="str">
            <v>00000268</v>
          </cell>
          <cell r="C493" t="str">
            <v>ПЕРЕДАЧА</v>
          </cell>
          <cell r="D493" t="str">
            <v>Машины и оборудование (кроме офисного)</v>
          </cell>
          <cell r="E493" t="str">
            <v>01.09.2000</v>
          </cell>
          <cell r="F493" t="str">
            <v>Цех электрических сетей</v>
          </cell>
          <cell r="X493">
            <v>19637.47</v>
          </cell>
          <cell r="Y493">
            <v>18076.873043478259</v>
          </cell>
          <cell r="Z493">
            <v>1560.596956521742</v>
          </cell>
          <cell r="AC493">
            <v>276</v>
          </cell>
        </row>
        <row r="494">
          <cell r="A494" t="str">
            <v>ЩО 70-3-02 УЗ №2</v>
          </cell>
          <cell r="B494" t="str">
            <v>00001106</v>
          </cell>
          <cell r="C494" t="str">
            <v>ПЕРЕДАЧА</v>
          </cell>
          <cell r="D494" t="str">
            <v>Машины и оборудование (кроме офисного)</v>
          </cell>
          <cell r="E494" t="str">
            <v>31.12.2008</v>
          </cell>
          <cell r="F494" t="str">
            <v>Цех электрических сетей</v>
          </cell>
          <cell r="X494">
            <v>25570</v>
          </cell>
          <cell r="Y494">
            <v>22161.306666666667</v>
          </cell>
          <cell r="Z494">
            <v>3408.6933333333327</v>
          </cell>
          <cell r="AC494">
            <v>180</v>
          </cell>
        </row>
        <row r="495">
          <cell r="A495" t="str">
            <v>ЩО 70-3-02 УЗ №3</v>
          </cell>
          <cell r="B495" t="str">
            <v>00001107</v>
          </cell>
          <cell r="C495" t="str">
            <v>ПЕРЕДАЧА</v>
          </cell>
          <cell r="D495" t="str">
            <v>Машины и оборудование (кроме офисного)</v>
          </cell>
          <cell r="E495" t="str">
            <v>31.12.2008</v>
          </cell>
          <cell r="F495" t="str">
            <v>Цех электрических сетей</v>
          </cell>
          <cell r="X495">
            <v>25570</v>
          </cell>
          <cell r="Y495">
            <v>22161.306666666667</v>
          </cell>
          <cell r="Z495">
            <v>3408.6933333333327</v>
          </cell>
          <cell r="AC495">
            <v>180</v>
          </cell>
        </row>
        <row r="496">
          <cell r="A496" t="str">
            <v>ЩО 70-3-02 УЗ №4</v>
          </cell>
          <cell r="B496" t="str">
            <v>00001108</v>
          </cell>
          <cell r="C496" t="str">
            <v>ПЕРЕДАЧА</v>
          </cell>
          <cell r="D496" t="str">
            <v>Машины и оборудование (кроме офисного)</v>
          </cell>
          <cell r="E496" t="str">
            <v>31.12.2008</v>
          </cell>
          <cell r="F496" t="str">
            <v>Цех электрических сетей</v>
          </cell>
          <cell r="X496">
            <v>25570</v>
          </cell>
          <cell r="Y496">
            <v>22161.306666666667</v>
          </cell>
          <cell r="Z496">
            <v>3408.6933333333327</v>
          </cell>
          <cell r="AC496">
            <v>180</v>
          </cell>
        </row>
        <row r="497">
          <cell r="A497" t="str">
            <v>ЩО-70-2-72</v>
          </cell>
          <cell r="B497" t="str">
            <v>000001532</v>
          </cell>
          <cell r="C497" t="str">
            <v>ПЕРЕДАЧА</v>
          </cell>
          <cell r="D497" t="str">
            <v>Другие виды основных средств</v>
          </cell>
          <cell r="E497" t="str">
            <v>30.06.2013</v>
          </cell>
          <cell r="F497" t="str">
            <v>Цех электрических сетей</v>
          </cell>
          <cell r="X497">
            <v>97454.31</v>
          </cell>
          <cell r="Y497">
            <v>55223.854000000007</v>
          </cell>
          <cell r="Z497">
            <v>42230.455999999991</v>
          </cell>
          <cell r="AC497">
            <v>180</v>
          </cell>
        </row>
        <row r="498">
          <cell r="A498" t="str">
            <v>ЩО-70-3-16УЗ №1 ЛЭП-0,4кВ ТП-43 Водозабор</v>
          </cell>
          <cell r="B498" t="str">
            <v>00001097</v>
          </cell>
          <cell r="C498" t="str">
            <v>ПЕРЕДАЧА</v>
          </cell>
          <cell r="D498" t="str">
            <v>Машины и оборудование (кроме офисного)</v>
          </cell>
          <cell r="E498" t="str">
            <v>30.11.2008</v>
          </cell>
          <cell r="F498" t="str">
            <v>Цех электрических сетей</v>
          </cell>
          <cell r="X498">
            <v>19890</v>
          </cell>
          <cell r="Y498">
            <v>17348.5</v>
          </cell>
          <cell r="Z498">
            <v>2541.5</v>
          </cell>
          <cell r="AC498">
            <v>180</v>
          </cell>
        </row>
        <row r="499">
          <cell r="A499" t="str">
            <v>ЩО-70-3-16УЗ №2 ТП-43 Водозабор</v>
          </cell>
          <cell r="B499" t="str">
            <v>00001098</v>
          </cell>
          <cell r="C499" t="str">
            <v>ПЕРЕДАЧА</v>
          </cell>
          <cell r="D499" t="str">
            <v>Машины и оборудование (кроме офисного)</v>
          </cell>
          <cell r="E499" t="str">
            <v>30.11.2008</v>
          </cell>
          <cell r="F499" t="str">
            <v>Цех электрических сетей</v>
          </cell>
          <cell r="X499">
            <v>19890</v>
          </cell>
          <cell r="Y499">
            <v>17348.5</v>
          </cell>
          <cell r="Z499">
            <v>2541.5</v>
          </cell>
          <cell r="AC499">
            <v>180</v>
          </cell>
        </row>
        <row r="500">
          <cell r="A500" t="str">
            <v>Э/освещение и силовое э/обор ТП-67 шк№5  2000г.</v>
          </cell>
          <cell r="B500" t="str">
            <v>00000261</v>
          </cell>
          <cell r="C500" t="str">
            <v>ПЕРЕДАЧА</v>
          </cell>
          <cell r="D500" t="str">
            <v>Сооружения</v>
          </cell>
          <cell r="E500" t="str">
            <v>01.05.2000</v>
          </cell>
          <cell r="F500" t="str">
            <v>Цех электрических сетей</v>
          </cell>
          <cell r="X500">
            <v>33157</v>
          </cell>
          <cell r="Y500">
            <v>28836.14</v>
          </cell>
          <cell r="Z500">
            <v>4320.8600000000006</v>
          </cell>
          <cell r="AC500">
            <v>300</v>
          </cell>
        </row>
        <row r="501">
          <cell r="A501" t="str">
            <v>Эл линии н/в 0,4кв Явт, Авиат, Смидов  1998г.</v>
          </cell>
          <cell r="B501" t="str">
            <v>00000185</v>
          </cell>
          <cell r="C501" t="str">
            <v>ПЕРЕДАЧА</v>
          </cell>
          <cell r="D501" t="str">
            <v>Сооружения</v>
          </cell>
          <cell r="E501" t="str">
            <v>01.02.1998</v>
          </cell>
          <cell r="F501" t="str">
            <v>Цех электрических сетей</v>
          </cell>
          <cell r="X501">
            <v>917034.04</v>
          </cell>
          <cell r="Y501">
            <v>250470.62</v>
          </cell>
          <cell r="Z501">
            <v>666563.42000000004</v>
          </cell>
          <cell r="AC501">
            <v>499</v>
          </cell>
        </row>
        <row r="502">
          <cell r="A502" t="str">
            <v>Эл линия в/в 6 кв нефтебаза  5996м 1979г</v>
          </cell>
          <cell r="B502" t="str">
            <v>00000507</v>
          </cell>
          <cell r="C502" t="str">
            <v>ПЕРЕДАЧА</v>
          </cell>
          <cell r="D502" t="str">
            <v>Сооружения</v>
          </cell>
          <cell r="E502" t="str">
            <v>01.01.1979</v>
          </cell>
          <cell r="F502" t="str">
            <v>Цех электрических сетей</v>
          </cell>
          <cell r="X502">
            <v>2614006.4</v>
          </cell>
          <cell r="Y502">
            <v>1190176.74</v>
          </cell>
          <cell r="Z502">
            <v>1423829.66</v>
          </cell>
          <cell r="AC502">
            <v>180</v>
          </cell>
        </row>
        <row r="503">
          <cell r="A503" t="str">
            <v>Эл линия ул 60 лет СССР 1988г.  190м</v>
          </cell>
          <cell r="B503" t="str">
            <v>00000174</v>
          </cell>
          <cell r="C503" t="str">
            <v>ПЕРЕДАЧА</v>
          </cell>
          <cell r="D503" t="str">
            <v>Сооружения</v>
          </cell>
          <cell r="E503" t="str">
            <v>01.01.1988</v>
          </cell>
          <cell r="F503" t="str">
            <v>Цех электрических сетей</v>
          </cell>
          <cell r="X503">
            <v>664789.04</v>
          </cell>
          <cell r="Y503">
            <v>589098.43999999994</v>
          </cell>
          <cell r="Z503">
            <v>75690.600000000093</v>
          </cell>
          <cell r="AC503">
            <v>84</v>
          </cell>
        </row>
        <row r="504">
          <cell r="A504" t="str">
            <v>Эл линия ул Смидовича 1988г.</v>
          </cell>
          <cell r="B504" t="str">
            <v>00000175</v>
          </cell>
          <cell r="C504" t="str">
            <v>ПЕРЕДАЧА</v>
          </cell>
          <cell r="D504" t="str">
            <v>Сооружения</v>
          </cell>
          <cell r="E504" t="str">
            <v>01.01.1988</v>
          </cell>
          <cell r="F504" t="str">
            <v>Цех электрических сетей</v>
          </cell>
          <cell r="X504">
            <v>349815.3</v>
          </cell>
          <cell r="Y504">
            <v>123464.95999999999</v>
          </cell>
          <cell r="Z504">
            <v>226350.34</v>
          </cell>
          <cell r="AC504">
            <v>360</v>
          </cell>
        </row>
        <row r="505">
          <cell r="A505" t="str">
            <v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v>
          </cell>
          <cell r="B505" t="str">
            <v>000001755</v>
          </cell>
          <cell r="C505" t="str">
            <v>ПЕРЕДАЧА</v>
          </cell>
          <cell r="D505" t="str">
            <v>Сооружения</v>
          </cell>
          <cell r="E505" t="str">
            <v>17.01.2019</v>
          </cell>
          <cell r="F505" t="str">
            <v>Цех электрических сетей</v>
          </cell>
          <cell r="AC505">
            <v>360</v>
          </cell>
        </row>
        <row r="506">
          <cell r="A506" t="str">
            <v>Электродвигатель ВАО2-315М-2, У2,5, 1ExdIBT4, 250 кВт, 3000 об/мин, 380/660В, IM1001</v>
          </cell>
          <cell r="B506" t="str">
            <v>000001539</v>
          </cell>
          <cell r="C506" t="str">
            <v>ПЕРЕДАЧА</v>
          </cell>
          <cell r="D506" t="str">
            <v>Машины и оборудование (кроме офисного)</v>
          </cell>
          <cell r="E506" t="str">
            <v>31.08.2013</v>
          </cell>
          <cell r="F506" t="str">
            <v>Газотурбинный цех</v>
          </cell>
          <cell r="Y506">
            <v>304334.6115</v>
          </cell>
          <cell r="AC506">
            <v>120</v>
          </cell>
        </row>
        <row r="507">
          <cell r="A507" t="str">
            <v>Электроснабжение земельных участков, предоставленных многодетным семьям под жилищное строительство в пос. Искателей в Ненецком автономном округе</v>
          </cell>
          <cell r="B507" t="str">
            <v>000001702</v>
          </cell>
          <cell r="C507" t="str">
            <v>ПЕРЕДАЧА</v>
          </cell>
          <cell r="D507" t="str">
            <v>Сооружения</v>
          </cell>
          <cell r="E507" t="str">
            <v>19.04.2017</v>
          </cell>
          <cell r="F507" t="str">
            <v>Цех электрических сетей</v>
          </cell>
          <cell r="AC507">
            <v>480</v>
          </cell>
        </row>
        <row r="508">
          <cell r="A508" t="str">
            <v>Электроснабжение. Наружные сети (ул. Авиаторов)</v>
          </cell>
          <cell r="B508" t="str">
            <v>000001677</v>
          </cell>
          <cell r="C508" t="str">
            <v>ПЕРЕДАЧА</v>
          </cell>
          <cell r="D508" t="str">
            <v>Сооружения</v>
          </cell>
          <cell r="E508" t="str">
            <v>20.01.2016</v>
          </cell>
          <cell r="F508" t="str">
            <v>Цех электрических сетей</v>
          </cell>
          <cell r="AC508">
            <v>180</v>
          </cell>
        </row>
        <row r="509">
          <cell r="A509" t="str">
            <v>Энерготестер ПКЭ-А-А 1 К05</v>
          </cell>
          <cell r="B509" t="str">
            <v>000001817</v>
          </cell>
          <cell r="C509" t="str">
            <v>ПЕРЕДАЧА</v>
          </cell>
          <cell r="D509" t="str">
            <v>Машины и оборудование (кроме офисного)</v>
          </cell>
          <cell r="E509" t="str">
            <v>26.06.2020</v>
          </cell>
          <cell r="F509" t="str">
            <v>Цех электрических сетей</v>
          </cell>
          <cell r="X509">
            <v>261646</v>
          </cell>
          <cell r="Y509">
            <v>39246.87999999999</v>
          </cell>
          <cell r="Z509">
            <v>222399.12</v>
          </cell>
          <cell r="AC509">
            <v>120</v>
          </cell>
        </row>
        <row r="510">
          <cell r="A510" t="str">
            <v>СБЫТ</v>
          </cell>
        </row>
        <row r="511">
          <cell r="A511" t="str">
            <v>Комплект мебели для абон.отд. цвет ЛДСП Ясень анкор светлый (1 шкаф;8 стеллажей;8 столов;12 тумб)</v>
          </cell>
          <cell r="B511" t="str">
            <v>000001883</v>
          </cell>
          <cell r="C511" t="str">
            <v>СБЫТ</v>
          </cell>
          <cell r="D511" t="str">
            <v>Производственный и хозяйственный инвентарь</v>
          </cell>
          <cell r="E511">
            <v>44560</v>
          </cell>
          <cell r="F511" t="str">
            <v>Отдел энергосбыта</v>
          </cell>
          <cell r="X511">
            <v>283810</v>
          </cell>
          <cell r="Z511">
            <v>283810</v>
          </cell>
          <cell r="AC511">
            <v>180</v>
          </cell>
        </row>
        <row r="512">
          <cell r="A512" t="str">
            <v>Энерготестер ПКЭ-А-А 1 К05</v>
          </cell>
          <cell r="B512" t="str">
            <v>00-000100</v>
          </cell>
          <cell r="C512" t="str">
            <v>СБЫТ</v>
          </cell>
          <cell r="D512" t="str">
            <v>Машины и оборудование (кроме офисного)</v>
          </cell>
          <cell r="E512" t="str">
            <v>28.04.2021</v>
          </cell>
          <cell r="F512" t="str">
            <v>Отдел энергосбыта</v>
          </cell>
          <cell r="X512">
            <v>325000</v>
          </cell>
          <cell r="Y512">
            <v>21666.666666666668</v>
          </cell>
          <cell r="Z512">
            <v>303333.33333333331</v>
          </cell>
          <cell r="AC512">
            <v>120</v>
          </cell>
        </row>
        <row r="513">
          <cell r="A513" t="str">
            <v>ТЕПЛОЭНЕРГИЯ</v>
          </cell>
        </row>
        <row r="514">
          <cell r="A514" t="str">
            <v>Газопроводные трубы 1981г.</v>
          </cell>
          <cell r="B514" t="str">
            <v>00000603</v>
          </cell>
          <cell r="C514" t="str">
            <v>ТЕПЛОЭНЕРГИЯ</v>
          </cell>
          <cell r="D514" t="str">
            <v>Сооружения</v>
          </cell>
          <cell r="E514" t="str">
            <v>01.01.1981</v>
          </cell>
          <cell r="X514">
            <v>32481</v>
          </cell>
          <cell r="Y514">
            <v>32480.997500000001</v>
          </cell>
          <cell r="Z514">
            <v>2.4999999986903276E-3</v>
          </cell>
          <cell r="AC514">
            <v>480</v>
          </cell>
        </row>
        <row r="515">
          <cell r="A515" t="str">
            <v>Горелка ГБЛ-0,7К-МГ-В-Р в комплекте с группой арматурной Ду65 на низкое присоединительное давление (4,1-5 кПа)</v>
          </cell>
          <cell r="B515" t="str">
            <v>000001767</v>
          </cell>
          <cell r="C515" t="str">
            <v>ТЕПЛОЭНЕРГИЯ</v>
          </cell>
          <cell r="D515" t="str">
            <v>Машины и оборудование (кроме офисного)</v>
          </cell>
          <cell r="E515" t="str">
            <v>18.04.2019</v>
          </cell>
          <cell r="X515">
            <v>308166.67</v>
          </cell>
          <cell r="Y515">
            <v>82177.866999999998</v>
          </cell>
          <cell r="Z515">
            <v>225988.80299999999</v>
          </cell>
          <cell r="AC515">
            <v>120</v>
          </cell>
        </row>
        <row r="516">
          <cell r="A516" t="str">
            <v>Котельная  1964г.</v>
          </cell>
          <cell r="B516" t="str">
            <v>00000276</v>
          </cell>
          <cell r="C516" t="str">
            <v>ТЕПЛОЭНЕРГИЯ</v>
          </cell>
          <cell r="D516" t="str">
            <v>Здания</v>
          </cell>
          <cell r="E516" t="str">
            <v>01.01.1964</v>
          </cell>
          <cell r="X516">
            <v>134167</v>
          </cell>
          <cell r="Y516">
            <v>132422.04694915254</v>
          </cell>
          <cell r="Z516">
            <v>1744.9530508474563</v>
          </cell>
          <cell r="AC516">
            <v>708</v>
          </cell>
        </row>
        <row r="517">
          <cell r="A517" t="str">
            <v>Пристройка для машинистов</v>
          </cell>
          <cell r="B517" t="str">
            <v>00000272</v>
          </cell>
          <cell r="C517" t="str">
            <v>ТЕПЛОЭНЕРГИЯ</v>
          </cell>
          <cell r="D517" t="str">
            <v>Здания</v>
          </cell>
          <cell r="E517" t="str">
            <v>01.12.1999</v>
          </cell>
          <cell r="X517">
            <v>39415</v>
          </cell>
          <cell r="Y517">
            <v>34323.279999999999</v>
          </cell>
          <cell r="Z517">
            <v>5091.7200000000012</v>
          </cell>
          <cell r="AC517">
            <v>240</v>
          </cell>
        </row>
        <row r="518">
          <cell r="A518" t="str">
            <v>Тепловые сети объекта "Ангар для складских помещений"</v>
          </cell>
          <cell r="B518" t="str">
            <v>000001782</v>
          </cell>
          <cell r="C518" t="str">
            <v>ТЕПЛОЭНЕРГИЯ</v>
          </cell>
          <cell r="D518" t="str">
            <v>Сооружения</v>
          </cell>
          <cell r="E518" t="str">
            <v>16.12.2019</v>
          </cell>
          <cell r="X518">
            <v>996691.42</v>
          </cell>
          <cell r="Y518">
            <v>132892.13466666665</v>
          </cell>
          <cell r="Z518">
            <v>863799.28533333342</v>
          </cell>
          <cell r="AC518">
            <v>180</v>
          </cell>
        </row>
        <row r="519">
          <cell r="A519" t="str">
            <v>Электронасос типа КМ 100-80-160-5 15кВт</v>
          </cell>
          <cell r="B519" t="str">
            <v>000001770</v>
          </cell>
          <cell r="C519" t="str">
            <v>ТЕПЛОЭНЕРГИЯ</v>
          </cell>
          <cell r="D519" t="str">
            <v>Машины и оборудование (кроме офисного)</v>
          </cell>
          <cell r="E519" t="str">
            <v>11.06.2019</v>
          </cell>
          <cell r="X519">
            <v>58683.33</v>
          </cell>
          <cell r="Y519">
            <v>14670.873000000003</v>
          </cell>
          <cell r="Z519">
            <v>44012.456999999995</v>
          </cell>
          <cell r="AC519">
            <v>120</v>
          </cell>
        </row>
        <row r="520">
          <cell r="A520" t="str">
            <v>ОБЩЕПРОИЗВОДСТВЕННЫЕ РАСХОДЫ</v>
          </cell>
        </row>
        <row r="521">
          <cell r="A521" t="str">
            <v>Ангар для складских помещений</v>
          </cell>
          <cell r="B521" t="str">
            <v>000001783</v>
          </cell>
          <cell r="C521" t="str">
            <v>ОБЩЕПРОИЗВОДСТВЕННЫЕ РАСХОДЫ</v>
          </cell>
          <cell r="D521" t="str">
            <v>Здания</v>
          </cell>
          <cell r="E521" t="str">
            <v>16.12.2019</v>
          </cell>
          <cell r="F521" t="str">
            <v>общепроизводственные расходы</v>
          </cell>
          <cell r="X521">
            <v>24720373.289999999</v>
          </cell>
          <cell r="Y521">
            <v>1236018.6922499998</v>
          </cell>
          <cell r="Z521">
            <v>23484354.597750001</v>
          </cell>
          <cell r="AC521">
            <v>480</v>
          </cell>
        </row>
        <row r="522">
          <cell r="A522" t="str">
            <v>Дорожное покрытие на территории электростанции</v>
          </cell>
          <cell r="B522" t="str">
            <v>00001355</v>
          </cell>
          <cell r="C522" t="str">
            <v>ОБЩЕПРОИЗВОДСТВЕННЫЕ РАСХОДЫ</v>
          </cell>
          <cell r="D522" t="str">
            <v>Сооружения</v>
          </cell>
          <cell r="E522" t="str">
            <v>30.04.2011</v>
          </cell>
          <cell r="F522" t="str">
            <v>Тепломеханический цех</v>
          </cell>
          <cell r="X522">
            <v>3490808.3</v>
          </cell>
          <cell r="Y522">
            <v>1647512.56</v>
          </cell>
          <cell r="Z522">
            <v>1843295.7399999998</v>
          </cell>
          <cell r="AC522">
            <v>240</v>
          </cell>
        </row>
        <row r="523">
          <cell r="A523" t="str">
            <v>Здание лаборатории  1970г.</v>
          </cell>
          <cell r="B523" t="str">
            <v>00000033</v>
          </cell>
          <cell r="C523" t="str">
            <v>ОБЩЕПРОИЗВОДСТВЕННЫЕ РАСХОДЫ</v>
          </cell>
          <cell r="D523" t="str">
            <v>Здания</v>
          </cell>
          <cell r="E523" t="str">
            <v>01.01.1970</v>
          </cell>
          <cell r="F523" t="str">
            <v>общепроизводственные расходы</v>
          </cell>
          <cell r="X523">
            <v>129495.26</v>
          </cell>
          <cell r="Y523">
            <v>22978.068111111112</v>
          </cell>
          <cell r="Z523">
            <v>106517.19188888889</v>
          </cell>
          <cell r="AC523">
            <v>480</v>
          </cell>
        </row>
        <row r="524">
          <cell r="A524" t="str">
            <v xml:space="preserve">Комплект складских стеллажей </v>
          </cell>
          <cell r="B524" t="str">
            <v>000001820</v>
          </cell>
          <cell r="C524" t="str">
            <v>ОБЩЕПРОИЗВОДСТВЕННЫЕ РАСХОДЫ</v>
          </cell>
          <cell r="D524" t="str">
            <v>Производственный и хозяйственный инвентарь</v>
          </cell>
          <cell r="E524" t="str">
            <v>31.08.2020</v>
          </cell>
          <cell r="F524" t="str">
            <v>общепроизводственные расходы</v>
          </cell>
          <cell r="X524">
            <v>213239.76</v>
          </cell>
          <cell r="Y524">
            <v>18954.664000000004</v>
          </cell>
          <cell r="Z524">
            <v>194285.09600000002</v>
          </cell>
          <cell r="AC524">
            <v>180</v>
          </cell>
        </row>
        <row r="525">
          <cell r="A525" t="str">
            <v>Комплект среднегрузовых стеллажей</v>
          </cell>
          <cell r="B525" t="str">
            <v>000001808</v>
          </cell>
          <cell r="C525" t="str">
            <v>ОБЩЕПРОИЗВОДСТВЕННЫЕ РАСХОДЫ</v>
          </cell>
          <cell r="D525" t="str">
            <v>Производственный и хозяйственный инвентарь</v>
          </cell>
          <cell r="E525" t="str">
            <v>21.04.2020</v>
          </cell>
          <cell r="F525" t="str">
            <v>общепроизводственные расходы</v>
          </cell>
          <cell r="X525">
            <v>394092.87</v>
          </cell>
          <cell r="Y525">
            <v>43788.058000000005</v>
          </cell>
          <cell r="Z525">
            <v>350304.81199999998</v>
          </cell>
          <cell r="AC525">
            <v>180</v>
          </cell>
        </row>
        <row r="526">
          <cell r="A526" t="str">
            <v xml:space="preserve">Комплект стеллажей </v>
          </cell>
          <cell r="B526" t="str">
            <v>000001810</v>
          </cell>
          <cell r="C526" t="str">
            <v>ОБЩЕПРОИЗВОДСТВЕННЫЕ РАСХОДЫ</v>
          </cell>
          <cell r="D526" t="str">
            <v>Производственный и хозяйственный инвентарь</v>
          </cell>
          <cell r="E526" t="str">
            <v>04.06.2020</v>
          </cell>
          <cell r="F526" t="str">
            <v>общепроизводственные расходы</v>
          </cell>
          <cell r="X526">
            <v>347993.63</v>
          </cell>
          <cell r="Y526">
            <v>34799.37533333333</v>
          </cell>
          <cell r="Z526">
            <v>313194.25466666667</v>
          </cell>
          <cell r="AC526">
            <v>180</v>
          </cell>
        </row>
        <row r="527">
          <cell r="A527" t="str">
            <v>Эстакада для хранения барабанов с кабелем</v>
          </cell>
          <cell r="B527" t="str">
            <v>000001874</v>
          </cell>
          <cell r="C527" t="str">
            <v>ОБЩЕПРОИЗВОДСТВЕННЫЕ РАСХОДЫ</v>
          </cell>
          <cell r="D527" t="str">
            <v>Машины и оборудование (кроме офисного)</v>
          </cell>
          <cell r="E527">
            <v>44543</v>
          </cell>
          <cell r="F527" t="str">
            <v>общепроизводственные расходы</v>
          </cell>
          <cell r="X527">
            <v>461518.72</v>
          </cell>
          <cell r="Z527">
            <v>461518.72</v>
          </cell>
          <cell r="AC527">
            <v>240</v>
          </cell>
        </row>
        <row r="528">
          <cell r="A528" t="str">
            <v>Компьютер в сборе: Intel Core i5 7400 (Soc-1151-v.2v Gigabyte Soc-1151H31M S2V/ DEEPCOOL THETA 21PWM)</v>
          </cell>
          <cell r="B528" t="str">
            <v>000001761</v>
          </cell>
          <cell r="C528" t="str">
            <v>ОБЩЕПРОИЗВОДСТВЕННЫЕ РАСХОДЫ</v>
          </cell>
          <cell r="D528" t="str">
            <v>Офисное оборудование</v>
          </cell>
          <cell r="E528" t="str">
            <v>03.04.2019</v>
          </cell>
          <cell r="F528" t="str">
            <v>общепроизводственные расходы</v>
          </cell>
          <cell r="X528">
            <v>69433.33</v>
          </cell>
          <cell r="Y528">
            <v>61718.443333333344</v>
          </cell>
          <cell r="Z528">
            <v>7714.8866666666581</v>
          </cell>
          <cell r="AC528">
            <v>36</v>
          </cell>
        </row>
        <row r="529">
          <cell r="A529" t="str">
            <v>Компьютер в сборе: Intel Core i5 7400 (Soc-1151-v.2v Gigabyte Soc-1151H31M S2V/ DEEPCOOL THETA 21PWM)</v>
          </cell>
          <cell r="B529" t="str">
            <v>000001762</v>
          </cell>
          <cell r="C529" t="str">
            <v>ОБЩЕПРОИЗВОДСТВЕННЫЕ РАСХОДЫ</v>
          </cell>
          <cell r="D529" t="str">
            <v>Офисное оборудование</v>
          </cell>
          <cell r="E529" t="str">
            <v>03.04.2019</v>
          </cell>
          <cell r="F529" t="str">
            <v>общепроизводственные расходы</v>
          </cell>
          <cell r="X529">
            <v>69433.33</v>
          </cell>
          <cell r="Y529">
            <v>61718.443333333344</v>
          </cell>
          <cell r="Z529">
            <v>7714.8866666666581</v>
          </cell>
          <cell r="AC529">
            <v>36</v>
          </cell>
        </row>
        <row r="530">
          <cell r="A530" t="str">
            <v>Компьютер в сборе: Intel Core i5 7400 (Soc-1151-v.2v Gigabyte Soc-1151H31M S2V/ DEEPCOOL THETA 21PWM)</v>
          </cell>
          <cell r="B530" t="str">
            <v>000001763</v>
          </cell>
          <cell r="C530" t="str">
            <v>ОБЩЕПРОИЗВОДСТВЕННЫЕ РАСХОДЫ</v>
          </cell>
          <cell r="D530" t="str">
            <v>Офисное оборудование</v>
          </cell>
          <cell r="E530" t="str">
            <v>03.04.2019</v>
          </cell>
          <cell r="F530" t="str">
            <v>общепроизводственные расходы</v>
          </cell>
          <cell r="X530">
            <v>69433.33</v>
          </cell>
          <cell r="Y530">
            <v>61718.443333333344</v>
          </cell>
          <cell r="Z530">
            <v>7714.8866666666581</v>
          </cell>
          <cell r="AC530">
            <v>36</v>
          </cell>
        </row>
        <row r="531">
          <cell r="A531" t="str">
            <v>Компьютер в сборе: Intel Core i5 7400 (Soc-1151-v.2v Gigabyte Soc-1151H31M S2V/ DEEPCOOL THETA 21PWM)</v>
          </cell>
          <cell r="B531" t="str">
            <v>000001764</v>
          </cell>
          <cell r="C531" t="str">
            <v>ОБЩЕПРОИЗВОДСТВЕННЫЕ РАСХОДЫ</v>
          </cell>
          <cell r="D531" t="str">
            <v>Офисное оборудование</v>
          </cell>
          <cell r="E531" t="str">
            <v>03.04.2019</v>
          </cell>
          <cell r="F531" t="str">
            <v>общепроизводственные расходы</v>
          </cell>
          <cell r="X531">
            <v>69433.34</v>
          </cell>
          <cell r="Y531">
            <v>61718.44666666667</v>
          </cell>
          <cell r="Z531">
            <v>7714.8933333333262</v>
          </cell>
          <cell r="AC531">
            <v>36</v>
          </cell>
        </row>
        <row r="532">
          <cell r="A532" t="str">
            <v>Контейнер 20 ф №1</v>
          </cell>
          <cell r="B532" t="str">
            <v>000001521</v>
          </cell>
          <cell r="C532" t="str">
            <v>ОБЩЕПРОИЗВОДСТВЕННЫЕ РАСХОДЫ</v>
          </cell>
          <cell r="D532" t="str">
            <v>Другие виды основных средств</v>
          </cell>
          <cell r="E532" t="str">
            <v>10.04.2013</v>
          </cell>
          <cell r="F532" t="str">
            <v>Тепломеханический цех</v>
          </cell>
          <cell r="X532">
            <v>50847.46</v>
          </cell>
          <cell r="Y532">
            <v>564.97177777777779</v>
          </cell>
          <cell r="Z532">
            <v>21468.549333333332</v>
          </cell>
          <cell r="AC532">
            <v>180</v>
          </cell>
        </row>
        <row r="533">
          <cell r="A533" t="str">
            <v>Мезонин на основе колонн №1</v>
          </cell>
          <cell r="B533" t="str">
            <v>000001856</v>
          </cell>
          <cell r="C533" t="str">
            <v>ОБЩЕПРОИЗВОДСТВЕННЫЕ РАСХОДЫ</v>
          </cell>
          <cell r="D533" t="str">
            <v>Машины и оборудование (кроме офисного)</v>
          </cell>
          <cell r="E533" t="str">
            <v>30.06.2021</v>
          </cell>
          <cell r="F533" t="str">
            <v>общепроизводственные расходы</v>
          </cell>
          <cell r="X533">
            <v>717369.78</v>
          </cell>
          <cell r="Y533">
            <v>23912.326000000001</v>
          </cell>
          <cell r="Z533">
            <v>693457.45400000003</v>
          </cell>
          <cell r="AC533">
            <v>180</v>
          </cell>
        </row>
        <row r="534">
          <cell r="A534" t="str">
            <v>Мезонин на основе колонн №2</v>
          </cell>
          <cell r="B534" t="str">
            <v>000001857</v>
          </cell>
          <cell r="C534" t="str">
            <v>ОБЩЕПРОИЗВОДСТВЕННЫЕ РАСХОДЫ</v>
          </cell>
          <cell r="D534" t="str">
            <v>Машины и оборудование (кроме офисного)</v>
          </cell>
          <cell r="E534" t="str">
            <v>30.06.2021</v>
          </cell>
          <cell r="F534" t="str">
            <v>общепроизводственные расходы</v>
          </cell>
          <cell r="X534">
            <v>727902.42</v>
          </cell>
          <cell r="Y534">
            <v>24263.413999999997</v>
          </cell>
          <cell r="Z534">
            <v>703639.00600000005</v>
          </cell>
          <cell r="AC534">
            <v>180</v>
          </cell>
        </row>
        <row r="535">
          <cell r="A535" t="str">
            <v>Металлический стеллаж (складской мезонин)</v>
          </cell>
          <cell r="B535" t="str">
            <v>000001803</v>
          </cell>
          <cell r="C535" t="str">
            <v>ОБЩЕПРОИЗВОДСТВЕННЫЕ РАСХОДЫ</v>
          </cell>
          <cell r="D535" t="str">
            <v>Машины и оборудование (кроме офисного)</v>
          </cell>
          <cell r="E535" t="str">
            <v>17.03.2020</v>
          </cell>
          <cell r="F535" t="str">
            <v>общепроизводственные расходы</v>
          </cell>
          <cell r="X535">
            <v>525332.43000000005</v>
          </cell>
          <cell r="Y535">
            <v>61288.752000000008</v>
          </cell>
          <cell r="Z535">
            <v>464043.67800000007</v>
          </cell>
          <cell r="AC535">
            <v>180</v>
          </cell>
        </row>
        <row r="536">
          <cell r="A536" t="str">
            <v>Ограждение (сайдинг) 69м 2010г</v>
          </cell>
          <cell r="B536" t="str">
            <v>00000311</v>
          </cell>
          <cell r="C536" t="str">
            <v>ОБЩЕПРОИЗВОДСТВЕННЫЕ РАСХОДЫ</v>
          </cell>
          <cell r="D536" t="str">
            <v>Сооружения</v>
          </cell>
          <cell r="E536" t="str">
            <v>30.11.2010</v>
          </cell>
          <cell r="F536" t="str">
            <v>общепроизводственные расходы</v>
          </cell>
          <cell r="X536">
            <v>459881.8</v>
          </cell>
          <cell r="Y536">
            <v>339801.6866666667</v>
          </cell>
          <cell r="Z536">
            <v>120080.11333333328</v>
          </cell>
          <cell r="AC536">
            <v>180</v>
          </cell>
        </row>
        <row r="537">
          <cell r="A537" t="str">
            <v>Персональный компьютер (ExeGate special)</v>
          </cell>
          <cell r="B537" t="str">
            <v>000001796</v>
          </cell>
          <cell r="C537" t="str">
            <v>ОБЩЕПРОИЗВОДСТВЕННЫЕ РАСХОДЫ</v>
          </cell>
          <cell r="D537" t="str">
            <v>Машины и оборудование (кроме офисного)</v>
          </cell>
          <cell r="E537" t="str">
            <v>31.12.2019</v>
          </cell>
          <cell r="F537" t="str">
            <v>общепроизводственные расходы</v>
          </cell>
          <cell r="X537">
            <v>51958.33</v>
          </cell>
          <cell r="Y537">
            <v>34638.923333333332</v>
          </cell>
          <cell r="Z537">
            <v>17319.406666666669</v>
          </cell>
          <cell r="AC537">
            <v>36</v>
          </cell>
        </row>
        <row r="538">
          <cell r="A538" t="str">
            <v>Персональный компьютер (ExeGate special)</v>
          </cell>
          <cell r="B538" t="str">
            <v>000001797</v>
          </cell>
          <cell r="C538" t="str">
            <v>ОБЩЕПРОИЗВОДСТВЕННЫЕ РАСХОДЫ</v>
          </cell>
          <cell r="D538" t="str">
            <v>Машины и оборудование (кроме офисного)</v>
          </cell>
          <cell r="E538" t="str">
            <v>31.12.2019</v>
          </cell>
          <cell r="F538" t="str">
            <v>общепроизводственные расходы</v>
          </cell>
          <cell r="X538">
            <v>51958.34</v>
          </cell>
          <cell r="Y538">
            <v>34638.926666666666</v>
          </cell>
          <cell r="Z538">
            <v>17319.41333333333</v>
          </cell>
          <cell r="AC538">
            <v>36</v>
          </cell>
        </row>
        <row r="539">
          <cell r="A539" t="str">
            <v>Персональный компьютер (ExeGate special)</v>
          </cell>
          <cell r="B539" t="str">
            <v>000001798</v>
          </cell>
          <cell r="C539" t="str">
            <v>ОБЩЕПРОИЗВОДСТВЕННЫЕ РАСХОДЫ</v>
          </cell>
          <cell r="D539" t="str">
            <v>Машины и оборудование (кроме офисного)</v>
          </cell>
          <cell r="E539" t="str">
            <v>31.12.2019</v>
          </cell>
          <cell r="F539" t="str">
            <v>общепроизводственные расходы</v>
          </cell>
          <cell r="X539">
            <v>51958.34</v>
          </cell>
          <cell r="Y539">
            <v>34638.926666666666</v>
          </cell>
          <cell r="Z539">
            <v>17319.41333333333</v>
          </cell>
          <cell r="AC539">
            <v>36</v>
          </cell>
        </row>
        <row r="540">
          <cell r="A540" t="str">
            <v>Персональный компьютер (ExeGate special)</v>
          </cell>
          <cell r="B540" t="str">
            <v>000001799</v>
          </cell>
          <cell r="C540" t="str">
            <v>ОБЩЕПРОИЗВОДСТВЕННЫЕ РАСХОДЫ</v>
          </cell>
          <cell r="D540" t="str">
            <v>Машины и оборудование (кроме офисного)</v>
          </cell>
          <cell r="E540" t="str">
            <v>31.12.2019</v>
          </cell>
          <cell r="F540" t="str">
            <v>общепроизводственные расходы</v>
          </cell>
          <cell r="X540">
            <v>51958.34</v>
          </cell>
          <cell r="Y540">
            <v>34638.926666666666</v>
          </cell>
          <cell r="Z540">
            <v>17319.41333333333</v>
          </cell>
          <cell r="AC540">
            <v>36</v>
          </cell>
        </row>
        <row r="541">
          <cell r="A541" t="str">
            <v>Персональный компьютер (ExeGate special)</v>
          </cell>
          <cell r="B541" t="str">
            <v>000001800</v>
          </cell>
          <cell r="C541" t="str">
            <v>ОБЩЕПРОИЗВОДСТВЕННЫЕ РАСХОДЫ</v>
          </cell>
          <cell r="D541" t="str">
            <v>Машины и оборудование (кроме офисного)</v>
          </cell>
          <cell r="E541" t="str">
            <v>31.12.2019</v>
          </cell>
          <cell r="F541" t="str">
            <v>общепроизводственные расходы</v>
          </cell>
          <cell r="X541">
            <v>51958.34</v>
          </cell>
          <cell r="Y541">
            <v>34638.926666666666</v>
          </cell>
          <cell r="Z541">
            <v>17319.41333333333</v>
          </cell>
          <cell r="AC541">
            <v>36</v>
          </cell>
        </row>
        <row r="542">
          <cell r="A542" t="str">
            <v>Персональный компьютер (ExeGate special)</v>
          </cell>
          <cell r="B542" t="str">
            <v>000001801</v>
          </cell>
          <cell r="C542" t="str">
            <v>ОБЩЕПРОИЗВОДСТВЕННЫЕ РАСХОДЫ</v>
          </cell>
          <cell r="D542" t="str">
            <v>Машины и оборудование (кроме офисного)</v>
          </cell>
          <cell r="E542" t="str">
            <v>31.12.2019</v>
          </cell>
          <cell r="F542" t="str">
            <v>общепроизводственные расходы</v>
          </cell>
          <cell r="X542">
            <v>51958.34</v>
          </cell>
          <cell r="Y542">
            <v>34638.926666666666</v>
          </cell>
          <cell r="Z542">
            <v>17319.41333333333</v>
          </cell>
          <cell r="AC542">
            <v>36</v>
          </cell>
        </row>
        <row r="543">
          <cell r="A543" t="str">
            <v>Персональный компьютер (ExeGate special, AOS 27")</v>
          </cell>
          <cell r="B543" t="str">
            <v>000001786</v>
          </cell>
          <cell r="C543" t="str">
            <v>ОБЩЕПРОИЗВОДСТВЕННЫЕ РАСХОДЫ</v>
          </cell>
          <cell r="D543" t="str">
            <v>Машины и оборудование (кроме офисного)</v>
          </cell>
          <cell r="E543" t="str">
            <v>31.12.2019</v>
          </cell>
          <cell r="F543" t="str">
            <v>общепроизводственные расходы</v>
          </cell>
          <cell r="X543">
            <v>63791.67</v>
          </cell>
          <cell r="Y543">
            <v>42527.770000000004</v>
          </cell>
          <cell r="Z543">
            <v>21263.899999999994</v>
          </cell>
          <cell r="AC543">
            <v>36</v>
          </cell>
        </row>
        <row r="544">
          <cell r="A544" t="str">
            <v>Персональный компьютер (ExeGate special, AOS 27")</v>
          </cell>
          <cell r="B544" t="str">
            <v>000001787</v>
          </cell>
          <cell r="C544" t="str">
            <v>ОБЩЕПРОИЗВОДСТВЕННЫЕ РАСХОДЫ</v>
          </cell>
          <cell r="D544" t="str">
            <v>Машины и оборудование (кроме офисного)</v>
          </cell>
          <cell r="E544" t="str">
            <v>31.12.2019</v>
          </cell>
          <cell r="F544" t="str">
            <v>общепроизводственные расходы</v>
          </cell>
          <cell r="X544">
            <v>63791.67</v>
          </cell>
          <cell r="Y544">
            <v>42527.770000000004</v>
          </cell>
          <cell r="Z544">
            <v>21263.899999999994</v>
          </cell>
          <cell r="AC544">
            <v>36</v>
          </cell>
        </row>
        <row r="545">
          <cell r="A545" t="str">
            <v>Персональный компьютер (ExeGate special, AOS 27")</v>
          </cell>
          <cell r="B545" t="str">
            <v>000001788</v>
          </cell>
          <cell r="C545" t="str">
            <v>ОБЩЕПРОИЗВОДСТВЕННЫЕ РАСХОДЫ</v>
          </cell>
          <cell r="D545" t="str">
            <v>Машины и оборудование (кроме офисного)</v>
          </cell>
          <cell r="E545" t="str">
            <v>31.12.2019</v>
          </cell>
          <cell r="F545" t="str">
            <v>общепроизводственные расходы</v>
          </cell>
          <cell r="X545">
            <v>63791.67</v>
          </cell>
          <cell r="Y545">
            <v>42527.770000000004</v>
          </cell>
          <cell r="Z545">
            <v>21263.899999999994</v>
          </cell>
          <cell r="AC545">
            <v>36</v>
          </cell>
        </row>
        <row r="546">
          <cell r="A546" t="str">
            <v>Персональный компьютер (ExeGate special, AOS 27")</v>
          </cell>
          <cell r="B546" t="str">
            <v>000001789</v>
          </cell>
          <cell r="C546" t="str">
            <v>ОБЩЕПРОИЗВОДСТВЕННЫЕ РАСХОДЫ</v>
          </cell>
          <cell r="D546" t="str">
            <v>Машины и оборудование (кроме офисного)</v>
          </cell>
          <cell r="E546" t="str">
            <v>31.12.2019</v>
          </cell>
          <cell r="F546" t="str">
            <v>общепроизводственные расходы</v>
          </cell>
          <cell r="X546">
            <v>63791.67</v>
          </cell>
          <cell r="Y546">
            <v>42527.770000000004</v>
          </cell>
          <cell r="Z546">
            <v>21263.899999999994</v>
          </cell>
          <cell r="AC546">
            <v>36</v>
          </cell>
        </row>
        <row r="547">
          <cell r="A547" t="str">
            <v>Персональный компьютер (ExeGate special, AOS 27")</v>
          </cell>
          <cell r="B547" t="str">
            <v>000001790</v>
          </cell>
          <cell r="C547" t="str">
            <v>ОБЩЕПРОИЗВОДСТВЕННЫЕ РАСХОДЫ</v>
          </cell>
          <cell r="D547" t="str">
            <v>Машины и оборудование (кроме офисного)</v>
          </cell>
          <cell r="E547" t="str">
            <v>31.12.2019</v>
          </cell>
          <cell r="F547" t="str">
            <v>общепроизводственные расходы</v>
          </cell>
          <cell r="X547">
            <v>63791.67</v>
          </cell>
          <cell r="Y547">
            <v>42527.770000000004</v>
          </cell>
          <cell r="Z547">
            <v>21263.899999999994</v>
          </cell>
          <cell r="AC547">
            <v>36</v>
          </cell>
        </row>
        <row r="548">
          <cell r="A548" t="str">
            <v>Персональный компьютер (ExeGate special, AOS 27")</v>
          </cell>
          <cell r="B548" t="str">
            <v>000001791</v>
          </cell>
          <cell r="C548" t="str">
            <v>ОБЩЕПРОИЗВОДСТВЕННЫЕ РАСХОДЫ</v>
          </cell>
          <cell r="D548" t="str">
            <v>Машины и оборудование (кроме офисного)</v>
          </cell>
          <cell r="E548" t="str">
            <v>31.12.2019</v>
          </cell>
          <cell r="F548" t="str">
            <v>общепроизводственные расходы</v>
          </cell>
          <cell r="X548">
            <v>63791.67</v>
          </cell>
          <cell r="Y548">
            <v>42527.770000000004</v>
          </cell>
          <cell r="Z548">
            <v>21263.899999999994</v>
          </cell>
          <cell r="AC548">
            <v>36</v>
          </cell>
        </row>
        <row r="549">
          <cell r="A549" t="str">
            <v>Персональный компьютер (ExeGate special, AOS 27")</v>
          </cell>
          <cell r="B549" t="str">
            <v>000001792</v>
          </cell>
          <cell r="C549" t="str">
            <v>ОБЩЕПРОИЗВОДСТВЕННЫЕ РАСХОДЫ</v>
          </cell>
          <cell r="D549" t="str">
            <v>Машины и оборудование (кроме офисного)</v>
          </cell>
          <cell r="E549" t="str">
            <v>31.12.2019</v>
          </cell>
          <cell r="F549" t="str">
            <v>общепроизводственные расходы</v>
          </cell>
          <cell r="X549">
            <v>63791.67</v>
          </cell>
          <cell r="Y549">
            <v>42527.770000000004</v>
          </cell>
          <cell r="Z549">
            <v>21263.899999999994</v>
          </cell>
          <cell r="AC549">
            <v>36</v>
          </cell>
        </row>
        <row r="550">
          <cell r="A550" t="str">
            <v>Персональный компьютер (ExeGate special, AOS 27")</v>
          </cell>
          <cell r="B550" t="str">
            <v>000001793</v>
          </cell>
          <cell r="C550" t="str">
            <v>ОБЩЕПРОИЗВОДСТВЕННЫЕ РАСХОДЫ</v>
          </cell>
          <cell r="D550" t="str">
            <v>Машины и оборудование (кроме офисного)</v>
          </cell>
          <cell r="E550" t="str">
            <v>31.12.2019</v>
          </cell>
          <cell r="F550" t="str">
            <v>общепроизводственные расходы</v>
          </cell>
          <cell r="X550">
            <v>63791.67</v>
          </cell>
          <cell r="Y550">
            <v>42527.770000000004</v>
          </cell>
          <cell r="Z550">
            <v>21263.899999999994</v>
          </cell>
          <cell r="AC550">
            <v>36</v>
          </cell>
        </row>
        <row r="551">
          <cell r="A551" t="str">
            <v>Персональный компьютер (ExeGate special, AOS 27")</v>
          </cell>
          <cell r="B551" t="str">
            <v>000001794</v>
          </cell>
          <cell r="C551" t="str">
            <v>ОБЩЕПРОИЗВОДСТВЕННЫЕ РАСХОДЫ</v>
          </cell>
          <cell r="D551" t="str">
            <v>Машины и оборудование (кроме офисного)</v>
          </cell>
          <cell r="E551" t="str">
            <v>31.12.2019</v>
          </cell>
          <cell r="F551" t="str">
            <v>общепроизводственные расходы</v>
          </cell>
          <cell r="X551">
            <v>63791.68</v>
          </cell>
          <cell r="Y551">
            <v>42527.773333333331</v>
          </cell>
          <cell r="Z551">
            <v>21263.906666666669</v>
          </cell>
          <cell r="AC551">
            <v>36</v>
          </cell>
        </row>
        <row r="552">
          <cell r="A552" t="str">
            <v>Персональный компьютер (ExeGate special, AOS 27")</v>
          </cell>
          <cell r="B552" t="str">
            <v>000001795</v>
          </cell>
          <cell r="C552" t="str">
            <v>ОБЩЕПРОИЗВОДСТВЕННЫЕ РАСХОДЫ</v>
          </cell>
          <cell r="D552" t="str">
            <v>Машины и оборудование (кроме офисного)</v>
          </cell>
          <cell r="E552" t="str">
            <v>31.12.2019</v>
          </cell>
          <cell r="F552" t="str">
            <v>общепроизводственные расходы</v>
          </cell>
          <cell r="X552">
            <v>63791.68</v>
          </cell>
          <cell r="Y552">
            <v>42527.773333333331</v>
          </cell>
          <cell r="Z552">
            <v>21263.906666666669</v>
          </cell>
          <cell r="AC552">
            <v>36</v>
          </cell>
        </row>
        <row r="553">
          <cell r="A553" t="str">
            <v>Персональный компьютер (ExeGate, PHILIPS 27")</v>
          </cell>
          <cell r="B553" t="str">
            <v>000001815</v>
          </cell>
          <cell r="C553" t="str">
            <v>ОБЩЕПРОИЗВОДСТВЕННЫЕ РАСХОДЫ</v>
          </cell>
          <cell r="D553" t="str">
            <v>Машины и оборудование (кроме офисного)</v>
          </cell>
          <cell r="E553" t="str">
            <v>18.06.2020</v>
          </cell>
          <cell r="F553" t="str">
            <v>общепроизводственные расходы</v>
          </cell>
          <cell r="X553">
            <v>80975</v>
          </cell>
          <cell r="Y553">
            <v>40487.526666666658</v>
          </cell>
          <cell r="Z553">
            <v>40487.473333333342</v>
          </cell>
          <cell r="AC553">
            <v>36</v>
          </cell>
        </row>
        <row r="554">
          <cell r="A554" t="str">
            <v>Персональный компьютер (ExeGate, PHILIPS 27")</v>
          </cell>
          <cell r="B554" t="str">
            <v>000001816</v>
          </cell>
          <cell r="C554" t="str">
            <v>ОБЩЕПРОИЗВОДСТВЕННЫЕ РАСХОДЫ</v>
          </cell>
          <cell r="D554" t="str">
            <v>Машины и оборудование (кроме офисного)</v>
          </cell>
          <cell r="E554" t="str">
            <v>18.06.2020</v>
          </cell>
          <cell r="F554" t="str">
            <v>общепроизводственные расходы</v>
          </cell>
          <cell r="X554">
            <v>80975</v>
          </cell>
          <cell r="Y554">
            <v>40487.526666666658</v>
          </cell>
          <cell r="Z554">
            <v>40487.473333333342</v>
          </cell>
          <cell r="AC554">
            <v>36</v>
          </cell>
        </row>
        <row r="555">
          <cell r="A555" t="str">
            <v>Персональный компьютер (ExeGate, VIEWSONIK 32")</v>
          </cell>
          <cell r="B555" t="str">
            <v>000001814</v>
          </cell>
          <cell r="C555" t="str">
            <v>ОБЩЕПРОИЗВОДСТВЕННЫЕ РАСХОДЫ</v>
          </cell>
          <cell r="D555" t="str">
            <v>Машины и оборудование (кроме офисного)</v>
          </cell>
          <cell r="E555" t="str">
            <v>18.06.2020</v>
          </cell>
          <cell r="F555" t="str">
            <v>общепроизводственные расходы</v>
          </cell>
          <cell r="X555">
            <v>93033.34</v>
          </cell>
          <cell r="Y555">
            <v>46516.673333333332</v>
          </cell>
          <cell r="Z555">
            <v>46516.666666666664</v>
          </cell>
          <cell r="AC555">
            <v>36</v>
          </cell>
        </row>
        <row r="556">
          <cell r="A556" t="str">
            <v>Персональный компьютер (ПК) с высокой производительностью</v>
          </cell>
          <cell r="B556" t="str">
            <v>000001745</v>
          </cell>
          <cell r="C556" t="str">
            <v>ОБЩЕПРОИЗВОДСТВЕННЫЕ РАСХОДЫ</v>
          </cell>
          <cell r="D556" t="str">
            <v>Машины и оборудование (кроме офисного)</v>
          </cell>
          <cell r="E556" t="str">
            <v>29.10.2018</v>
          </cell>
          <cell r="F556" t="str">
            <v>общепроизводственные расходы</v>
          </cell>
          <cell r="X556">
            <v>68983.05</v>
          </cell>
          <cell r="Y556">
            <v>68983.012499999997</v>
          </cell>
          <cell r="Z556">
            <v>3.7500000005820766E-2</v>
          </cell>
          <cell r="AC556">
            <v>36</v>
          </cell>
        </row>
        <row r="557">
          <cell r="A557" t="str">
            <v>Персональный компьютер (ПК) с высокой производительностью</v>
          </cell>
          <cell r="B557" t="str">
            <v>000001746</v>
          </cell>
          <cell r="C557" t="str">
            <v>ОБЩЕПРОИЗВОДСТВЕННЫЕ РАСХОДЫ</v>
          </cell>
          <cell r="D557" t="str">
            <v>Машины и оборудование (кроме офисного)</v>
          </cell>
          <cell r="E557" t="str">
            <v>29.10.2018</v>
          </cell>
          <cell r="F557" t="str">
            <v>общепроизводственные расходы</v>
          </cell>
          <cell r="X557">
            <v>68983.05</v>
          </cell>
          <cell r="Y557">
            <v>68983.012499999997</v>
          </cell>
          <cell r="Z557">
            <v>3.7500000005820766E-2</v>
          </cell>
          <cell r="AC557">
            <v>36</v>
          </cell>
        </row>
        <row r="558">
          <cell r="A558" t="str">
            <v>Персональный компьютер (ПК) с высокой производительностью</v>
          </cell>
          <cell r="B558" t="str">
            <v>000001747</v>
          </cell>
          <cell r="C558" t="str">
            <v>ОБЩЕПРОИЗВОДСТВЕННЫЕ РАСХОДЫ</v>
          </cell>
          <cell r="D558" t="str">
            <v>Машины и оборудование (кроме офисного)</v>
          </cell>
          <cell r="E558" t="str">
            <v>29.10.2018</v>
          </cell>
          <cell r="F558" t="str">
            <v>общепроизводственные расходы</v>
          </cell>
          <cell r="X558">
            <v>68983.05</v>
          </cell>
          <cell r="Y558">
            <v>68983.012499999997</v>
          </cell>
          <cell r="Z558">
            <v>3.7500000005820766E-2</v>
          </cell>
          <cell r="AC558">
            <v>36</v>
          </cell>
        </row>
        <row r="559">
          <cell r="A559" t="str">
            <v>Персональный компьютер (ПК) с высокой производительностью</v>
          </cell>
          <cell r="B559" t="str">
            <v>000001748</v>
          </cell>
          <cell r="C559" t="str">
            <v>ОБЩЕПРОИЗВОДСТВЕННЫЕ РАСХОДЫ</v>
          </cell>
          <cell r="D559" t="str">
            <v>Машины и оборудование (кроме офисного)</v>
          </cell>
          <cell r="E559" t="str">
            <v>29.10.2018</v>
          </cell>
          <cell r="F559" t="str">
            <v>общепроизводственные расходы</v>
          </cell>
          <cell r="X559">
            <v>68983.05</v>
          </cell>
          <cell r="Y559">
            <v>68983.012499999997</v>
          </cell>
          <cell r="Z559">
            <v>3.7500000005820766E-2</v>
          </cell>
          <cell r="AC559">
            <v>36</v>
          </cell>
        </row>
        <row r="560">
          <cell r="A560" t="str">
            <v>Персональный компьютер (ПК) с высокой производительностью</v>
          </cell>
          <cell r="B560" t="str">
            <v>000001749</v>
          </cell>
          <cell r="C560" t="str">
            <v>ОБЩЕПРОИЗВОДСТВЕННЫЕ РАСХОДЫ</v>
          </cell>
          <cell r="D560" t="str">
            <v>Машины и оборудование (кроме офисного)</v>
          </cell>
          <cell r="E560" t="str">
            <v>29.10.2018</v>
          </cell>
          <cell r="F560" t="str">
            <v>общепроизводственные расходы</v>
          </cell>
          <cell r="X560">
            <v>68983.06</v>
          </cell>
          <cell r="Y560">
            <v>68983.014999999999</v>
          </cell>
          <cell r="Z560">
            <v>4.499999999825377E-2</v>
          </cell>
          <cell r="AC560">
            <v>36</v>
          </cell>
        </row>
        <row r="561">
          <cell r="A561" t="str">
            <v>Персональный компьютер (ПК) с высокой производительностью</v>
          </cell>
          <cell r="B561" t="str">
            <v>000001750</v>
          </cell>
          <cell r="C561" t="str">
            <v>ОБЩЕПРОИЗВОДСТВЕННЫЕ РАСХОДЫ</v>
          </cell>
          <cell r="D561" t="str">
            <v>Машины и оборудование (кроме офисного)</v>
          </cell>
          <cell r="E561" t="str">
            <v>29.10.2018</v>
          </cell>
          <cell r="F561" t="str">
            <v>общепроизводственные расходы</v>
          </cell>
          <cell r="X561">
            <v>68983.06</v>
          </cell>
          <cell r="Y561">
            <v>68983.014999999999</v>
          </cell>
          <cell r="Z561">
            <v>4.499999999825377E-2</v>
          </cell>
          <cell r="AC561">
            <v>36</v>
          </cell>
        </row>
        <row r="562">
          <cell r="A562" t="str">
            <v>Персональный компьютер высокой производительности</v>
          </cell>
          <cell r="B562" t="str">
            <v>000001851</v>
          </cell>
          <cell r="C562" t="str">
            <v>ОБЩЕПРОИЗВОДСТВЕННЫЕ РАСХОДЫ</v>
          </cell>
          <cell r="D562" t="str">
            <v>Машины и оборудование (кроме офисного)</v>
          </cell>
          <cell r="E562" t="str">
            <v>22.06.2021</v>
          </cell>
          <cell r="F562" t="str">
            <v>общепроизводственные расходы</v>
          </cell>
          <cell r="X562">
            <v>84400</v>
          </cell>
          <cell r="Y562">
            <v>14066.666666666668</v>
          </cell>
          <cell r="Z562">
            <v>70333.333333333328</v>
          </cell>
          <cell r="AC562">
            <v>36</v>
          </cell>
        </row>
        <row r="563">
          <cell r="A563" t="str">
            <v>Персональный компьютер высокой производительности</v>
          </cell>
          <cell r="B563" t="str">
            <v>000001859</v>
          </cell>
          <cell r="C563" t="str">
            <v>ОБЩЕПРОИЗВОДСТВЕННЫЕ РАСХОДЫ</v>
          </cell>
          <cell r="D563" t="str">
            <v>Машины и оборудование (кроме офисного)</v>
          </cell>
          <cell r="E563" t="str">
            <v>31.08.2021</v>
          </cell>
          <cell r="F563" t="str">
            <v>общепроизводственные расходы</v>
          </cell>
          <cell r="X563">
            <v>84400</v>
          </cell>
          <cell r="Y563">
            <v>9377.7777777777774</v>
          </cell>
          <cell r="Z563">
            <v>75022.222222222219</v>
          </cell>
          <cell r="AC563">
            <v>36</v>
          </cell>
        </row>
        <row r="564">
          <cell r="A564" t="str">
            <v>Персональный компьютер высокой производительности c 2-мя мониторами</v>
          </cell>
          <cell r="B564" t="str">
            <v>000001850</v>
          </cell>
          <cell r="C564" t="str">
            <v>ОБЩЕПРОИЗВОДСТВЕННЫЕ РАСХОДЫ</v>
          </cell>
          <cell r="D564" t="str">
            <v>Машины и оборудование (кроме офисного)</v>
          </cell>
          <cell r="E564" t="str">
            <v>26.05.2021</v>
          </cell>
          <cell r="F564" t="str">
            <v>общепроизводственные расходы</v>
          </cell>
          <cell r="X564">
            <v>99990</v>
          </cell>
          <cell r="Y564">
            <v>19442.5</v>
          </cell>
          <cell r="Z564">
            <v>80547.5</v>
          </cell>
          <cell r="AC564">
            <v>36</v>
          </cell>
        </row>
        <row r="565">
          <cell r="A565" t="str">
            <v>Перфоратор Makita HR5202C</v>
          </cell>
          <cell r="B565" t="str">
            <v>000001807</v>
          </cell>
          <cell r="C565" t="str">
            <v>ОБЩЕПРОИЗВОДСТВЕННЫЕ РАСХОДЫ</v>
          </cell>
          <cell r="D565" t="str">
            <v>Машины и оборудование (кроме офисного)</v>
          </cell>
          <cell r="E565" t="str">
            <v>16.04.2020</v>
          </cell>
          <cell r="F565" t="str">
            <v>общепроизводственные расходы</v>
          </cell>
          <cell r="Y565">
            <v>34519.964583333327</v>
          </cell>
          <cell r="AC565">
            <v>24</v>
          </cell>
        </row>
        <row r="566">
          <cell r="A566" t="str">
            <v>Пристройка архива к существующему зданию</v>
          </cell>
          <cell r="B566" t="str">
            <v>00001048</v>
          </cell>
          <cell r="C566" t="str">
            <v>ОБЩЕПРОИЗВОДСТВЕННЫЕ РАСХОДЫ</v>
          </cell>
          <cell r="D566" t="str">
            <v>Здания</v>
          </cell>
          <cell r="E566" t="str">
            <v>31.10.2007</v>
          </cell>
          <cell r="F566" t="str">
            <v>Общехозяйственные расходы</v>
          </cell>
          <cell r="X566">
            <v>1011733.62</v>
          </cell>
          <cell r="Y566">
            <v>409999.94</v>
          </cell>
          <cell r="Z566">
            <v>601733.67999999993</v>
          </cell>
          <cell r="AC566">
            <v>300</v>
          </cell>
        </row>
        <row r="567">
          <cell r="A567" t="str">
            <v>Противотаранное устройство при въезде на территорию предприятия</v>
          </cell>
          <cell r="B567" t="str">
            <v>000001860</v>
          </cell>
          <cell r="C567" t="str">
            <v>ОБЩЕПРОИЗВОДСТВЕННЫЕ РАСХОДЫ</v>
          </cell>
          <cell r="D567" t="str">
            <v>Машины и оборудование (кроме офисного)</v>
          </cell>
          <cell r="E567" t="str">
            <v>13.09.2021</v>
          </cell>
          <cell r="F567" t="str">
            <v>Общехозяйственные расходы</v>
          </cell>
          <cell r="X567">
            <v>2359797.04</v>
          </cell>
          <cell r="Y567">
            <v>19664.975333333332</v>
          </cell>
          <cell r="Z567">
            <v>2300802.1140000001</v>
          </cell>
          <cell r="AC567">
            <v>120</v>
          </cell>
        </row>
        <row r="568">
          <cell r="A568" t="str">
            <v>Сетевой сервер DEPO Storm 3300K</v>
          </cell>
          <cell r="B568" t="str">
            <v>00001161</v>
          </cell>
          <cell r="C568" t="str">
            <v>ОБЩЕПРОИЗВОДСТВЕННЫЕ РАСХОДЫ</v>
          </cell>
          <cell r="D568" t="str">
            <v>Машины и оборудование (кроме офисного)</v>
          </cell>
          <cell r="E568" t="str">
            <v>30.06.2010</v>
          </cell>
          <cell r="F568" t="str">
            <v>общепроизводственные расходы</v>
          </cell>
          <cell r="X568">
            <v>236534.39999999999</v>
          </cell>
          <cell r="Y568">
            <v>184988.06666666665</v>
          </cell>
          <cell r="Z568">
            <v>51546.333333333343</v>
          </cell>
          <cell r="AC568">
            <v>12</v>
          </cell>
        </row>
        <row r="569">
          <cell r="A569" t="str">
            <v>Система контроля и управления доступом на 4 точки прохода (двери)</v>
          </cell>
          <cell r="B569" t="str">
            <v>000001716</v>
          </cell>
          <cell r="C569" t="str">
            <v>ОБЩЕПРОИЗВОДСТВЕННЫЕ РАСХОДЫ</v>
          </cell>
          <cell r="D569" t="str">
            <v>Машины и оборудование (кроме офисного)</v>
          </cell>
          <cell r="E569" t="str">
            <v>28.02.2018</v>
          </cell>
          <cell r="F569" t="str">
            <v>общепроизводственные расходы</v>
          </cell>
          <cell r="X569">
            <v>98908</v>
          </cell>
          <cell r="Y569">
            <v>34467.836363636365</v>
          </cell>
          <cell r="Z569">
            <v>64440.163636363635</v>
          </cell>
          <cell r="AC569">
            <v>132</v>
          </cell>
        </row>
        <row r="570">
          <cell r="A570" t="str">
            <v>Система охраны периметра и охранного телевидения</v>
          </cell>
          <cell r="B570" t="str">
            <v>000001712</v>
          </cell>
          <cell r="C570" t="str">
            <v>ОБЩЕПРОИЗВОДСТВЕННЫЕ РАСХОДЫ</v>
          </cell>
          <cell r="D570" t="str">
            <v>Машины и оборудование (кроме офисного)</v>
          </cell>
          <cell r="E570" t="str">
            <v>21.08.2017</v>
          </cell>
          <cell r="F570" t="str">
            <v>общепроизводственные расходы</v>
          </cell>
          <cell r="X570">
            <v>4836509.93</v>
          </cell>
          <cell r="Y570">
            <v>2994029.9899999998</v>
          </cell>
          <cell r="Z570">
            <v>1842479.94</v>
          </cell>
          <cell r="AC570">
            <v>84</v>
          </cell>
        </row>
        <row r="571">
          <cell r="A571" t="str">
            <v>Спутниковое геодезическое оборудование</v>
          </cell>
          <cell r="B571" t="str">
            <v>000001718</v>
          </cell>
          <cell r="C571" t="str">
            <v>ОБЩЕПРОИЗВОДСТВЕННЫЕ РАСХОДЫ</v>
          </cell>
          <cell r="D571" t="str">
            <v>Машины и оборудование (кроме офисного)</v>
          </cell>
          <cell r="E571" t="str">
            <v>03.04.2018</v>
          </cell>
          <cell r="F571" t="str">
            <v>общепроизводственные расходы</v>
          </cell>
          <cell r="X571">
            <v>741762.97</v>
          </cell>
          <cell r="Y571">
            <v>271979.81699999998</v>
          </cell>
          <cell r="Z571">
            <v>469783.15299999999</v>
          </cell>
          <cell r="AC571">
            <v>120</v>
          </cell>
        </row>
        <row r="572">
          <cell r="A572" t="str">
            <v>Стеллаж металлический 5 пролетов</v>
          </cell>
          <cell r="B572" t="str">
            <v>000001821</v>
          </cell>
          <cell r="C572" t="str">
            <v>ОБЩЕПРОИЗВОДСТВЕННЫЕ РАСХОДЫ</v>
          </cell>
          <cell r="D572" t="str">
            <v>Производственный и хозяйственный инвентарь</v>
          </cell>
          <cell r="E572" t="str">
            <v>31.08.2020</v>
          </cell>
          <cell r="F572" t="str">
            <v>общепроизводственные расходы</v>
          </cell>
          <cell r="X572">
            <v>115494.34</v>
          </cell>
          <cell r="Y572">
            <v>10266.182666666666</v>
          </cell>
          <cell r="Z572">
            <v>105228.15733333334</v>
          </cell>
          <cell r="AC572">
            <v>180</v>
          </cell>
        </row>
        <row r="573">
          <cell r="A573" t="str">
            <v>Стеллаж металлический 9 пролетов</v>
          </cell>
          <cell r="B573" t="str">
            <v>000001822</v>
          </cell>
          <cell r="C573" t="str">
            <v>ОБЩЕПРОИЗВОДСТВЕННЫЕ РАСХОДЫ</v>
          </cell>
          <cell r="D573" t="str">
            <v>Производственный и хозяйственный инвентарь</v>
          </cell>
          <cell r="E573" t="str">
            <v>31.08.2020</v>
          </cell>
          <cell r="F573" t="str">
            <v>общепроизводственные расходы</v>
          </cell>
          <cell r="X573">
            <v>160390.26</v>
          </cell>
          <cell r="Y573">
            <v>14256.924000000001</v>
          </cell>
          <cell r="Z573">
            <v>146133.33600000001</v>
          </cell>
          <cell r="AC573">
            <v>180</v>
          </cell>
        </row>
        <row r="574">
          <cell r="A574" t="str">
            <v>Стойка напольная с лотками</v>
          </cell>
          <cell r="B574" t="str">
            <v>000001811</v>
          </cell>
          <cell r="C574" t="str">
            <v>ОБЩЕПРОИЗВОДСТВЕННЫЕ РАСХОДЫ</v>
          </cell>
          <cell r="D574" t="str">
            <v>Производственный и хозяйственный инвентарь</v>
          </cell>
          <cell r="E574" t="str">
            <v>05.06.2020</v>
          </cell>
          <cell r="F574" t="str">
            <v>общепроизводственные расходы</v>
          </cell>
          <cell r="X574">
            <v>40297.269999999997</v>
          </cell>
          <cell r="Y574">
            <v>4029.7046666666656</v>
          </cell>
          <cell r="Z574">
            <v>36267.565333333332</v>
          </cell>
          <cell r="AC574">
            <v>180</v>
          </cell>
        </row>
        <row r="575">
          <cell r="A575" t="str">
            <v>Теодолит электронный ADA DigiTeo 2 в комплекте</v>
          </cell>
          <cell r="B575" t="str">
            <v>000001681</v>
          </cell>
          <cell r="C575" t="str">
            <v>ОБЩЕПРОИЗВОДСТВЕННЫЕ РАСХОДЫ</v>
          </cell>
          <cell r="D575" t="str">
            <v>Машины и оборудование (кроме офисного)</v>
          </cell>
          <cell r="E575" t="str">
            <v>29.04.2016</v>
          </cell>
          <cell r="F575" t="str">
            <v>общепроизводственные расходы</v>
          </cell>
          <cell r="X575">
            <v>74241.69</v>
          </cell>
          <cell r="Y575">
            <v>60100.435714285719</v>
          </cell>
          <cell r="Z575">
            <v>14141.254285714283</v>
          </cell>
          <cell r="AC575">
            <v>84</v>
          </cell>
        </row>
        <row r="576">
          <cell r="A576" t="str">
            <v>Устройство ограждения 2009г 149,5 п.м.</v>
          </cell>
          <cell r="B576" t="str">
            <v>00001151</v>
          </cell>
          <cell r="C576" t="str">
            <v>ОБЩЕПРОИЗВОДСТВЕННЫЕ РАСХОДЫ</v>
          </cell>
          <cell r="D576" t="str">
            <v>Сооружения</v>
          </cell>
          <cell r="E576" t="str">
            <v>30.11.2009</v>
          </cell>
          <cell r="F576" t="str">
            <v>общепроизводственные расходы</v>
          </cell>
          <cell r="X576">
            <v>1190946</v>
          </cell>
          <cell r="Y576">
            <v>1018920.91</v>
          </cell>
          <cell r="Z576">
            <v>172025.08999999997</v>
          </cell>
          <cell r="AC576">
            <v>180</v>
          </cell>
        </row>
        <row r="577">
          <cell r="A577" t="str">
            <v>ЩО 70-3-02 УЗ №1 ТП в районе школы №2</v>
          </cell>
          <cell r="B577" t="str">
            <v>00001105</v>
          </cell>
          <cell r="C577" t="str">
            <v>ОБЩЕПРОИЗВОДСТВЕННЫЕ РАСХОДЫ</v>
          </cell>
          <cell r="D577" t="str">
            <v>Машины и оборудование (кроме офисного)</v>
          </cell>
          <cell r="E577" t="str">
            <v>31.12.2008</v>
          </cell>
          <cell r="F577" t="str">
            <v>Цех электрических сетей</v>
          </cell>
          <cell r="X577">
            <v>25570</v>
          </cell>
          <cell r="Y577">
            <v>22161.306666666667</v>
          </cell>
          <cell r="Z577">
            <v>3408.6933333333327</v>
          </cell>
          <cell r="AC577">
            <v>180</v>
          </cell>
        </row>
        <row r="578">
          <cell r="A578" t="str">
            <v>ОБЩЕХОЗЯЙСТВЕННЫЕ РАСХОДЫ</v>
          </cell>
        </row>
        <row r="579">
          <cell r="A579" t="str">
            <v>Балок 2004г</v>
          </cell>
          <cell r="B579" t="str">
            <v>00000702</v>
          </cell>
          <cell r="C579" t="str">
            <v>ОБЩЕХОЗЯЙСТВЕННЫЕ РАСХОДЫ</v>
          </cell>
          <cell r="D579" t="str">
            <v>Здания</v>
          </cell>
          <cell r="E579" t="str">
            <v>30.06.2004</v>
          </cell>
          <cell r="F579" t="str">
            <v>Общехозяйственные расходы</v>
          </cell>
          <cell r="X579">
            <v>147586.91</v>
          </cell>
          <cell r="Y579">
            <v>71696.42</v>
          </cell>
          <cell r="Z579">
            <v>75890.490000000005</v>
          </cell>
          <cell r="AC579">
            <v>120</v>
          </cell>
        </row>
        <row r="580">
          <cell r="A580" t="str">
            <v>Балок Геолог деревянный 1991г</v>
          </cell>
          <cell r="B580" t="str">
            <v>00000052</v>
          </cell>
          <cell r="C580" t="str">
            <v>ОБЩЕХОЗЯЙСТВЕННЫЕ РАСХОДЫ</v>
          </cell>
          <cell r="D580" t="str">
            <v>Здания</v>
          </cell>
          <cell r="E580" t="str">
            <v>01.01.1991</v>
          </cell>
          <cell r="F580" t="str">
            <v>Общехозяйственные расходы</v>
          </cell>
          <cell r="X580">
            <v>135023.92000000001</v>
          </cell>
          <cell r="Y580">
            <v>59133.440000000002</v>
          </cell>
          <cell r="Z580">
            <v>75890.48000000001</v>
          </cell>
          <cell r="AC580">
            <v>120</v>
          </cell>
        </row>
        <row r="581">
          <cell r="A581" t="str">
            <v>Балок Геолог деревянный 1994г.</v>
          </cell>
          <cell r="B581" t="str">
            <v>00000051</v>
          </cell>
          <cell r="C581" t="str">
            <v>ОБЩЕХОЗЯЙСТВЕННЫЕ РАСХОДЫ</v>
          </cell>
          <cell r="D581" t="str">
            <v>Здания</v>
          </cell>
          <cell r="E581" t="str">
            <v>01.01.1994</v>
          </cell>
          <cell r="F581" t="str">
            <v>Общехозяйственные расходы</v>
          </cell>
          <cell r="X581">
            <v>164373.92000000001</v>
          </cell>
          <cell r="Y581">
            <v>88483.44</v>
          </cell>
          <cell r="Z581">
            <v>75890.48000000001</v>
          </cell>
          <cell r="AC581">
            <v>120</v>
          </cell>
        </row>
        <row r="582">
          <cell r="A582" t="str">
            <v>Здание  конторы  1976г.</v>
          </cell>
          <cell r="B582" t="str">
            <v>00000049</v>
          </cell>
          <cell r="C582" t="str">
            <v>ОБЩЕХОЗЯЙСТВЕННЫЕ РАСХОДЫ</v>
          </cell>
          <cell r="D582" t="str">
            <v>Здания</v>
          </cell>
          <cell r="E582" t="str">
            <v>01.01.1995</v>
          </cell>
          <cell r="F582" t="str">
            <v>Общехозяйственные расходы</v>
          </cell>
          <cell r="X582">
            <v>2090658.5</v>
          </cell>
          <cell r="Y582">
            <v>426997.6</v>
          </cell>
          <cell r="Z582">
            <v>1663660.9</v>
          </cell>
          <cell r="AC582">
            <v>480</v>
          </cell>
        </row>
        <row r="583">
          <cell r="A583" t="str">
            <v>Здание конторы  1996г.</v>
          </cell>
          <cell r="B583" t="str">
            <v>00000048</v>
          </cell>
          <cell r="C583" t="str">
            <v>ОБЩЕХОЗЯЙСТВЕННЫЕ РАСХОДЫ</v>
          </cell>
          <cell r="D583" t="str">
            <v>Здания</v>
          </cell>
          <cell r="E583" t="str">
            <v>01.01.1965</v>
          </cell>
          <cell r="F583" t="str">
            <v>Общехозяйственные расходы</v>
          </cell>
          <cell r="X583">
            <v>826047.9</v>
          </cell>
          <cell r="Y583">
            <v>138288.44</v>
          </cell>
          <cell r="Z583">
            <v>687759.46</v>
          </cell>
          <cell r="AC583">
            <v>120</v>
          </cell>
        </row>
        <row r="584">
          <cell r="A584" t="str">
            <v>Здание операц зала 2006г</v>
          </cell>
          <cell r="B584" t="str">
            <v>00000978</v>
          </cell>
          <cell r="C584" t="str">
            <v>ОБЩЕХОЗЯЙСТВЕННЫЕ РАСХОДЫ</v>
          </cell>
          <cell r="D584" t="str">
            <v>Здания</v>
          </cell>
          <cell r="E584" t="str">
            <v>30.04.2006</v>
          </cell>
          <cell r="F584" t="str">
            <v>Общехозяйственные расходы</v>
          </cell>
          <cell r="X584">
            <v>3591858.71</v>
          </cell>
          <cell r="Y584">
            <v>861525.4</v>
          </cell>
          <cell r="Z584">
            <v>2730333.31</v>
          </cell>
          <cell r="AC584">
            <v>600</v>
          </cell>
        </row>
        <row r="585">
          <cell r="A585" t="str">
            <v>Комплект мебели для бухгалтерии цвет ЛДСП Ясень анкор светлый (1 шкаф;4 стеллажа;5 столов;4 тумбы)</v>
          </cell>
          <cell r="B585" t="str">
            <v>000001882</v>
          </cell>
          <cell r="C585" t="str">
            <v>ОБЩЕХОЗЯЙСТВЕННЫЕ РАСХОДЫ</v>
          </cell>
          <cell r="D585" t="str">
            <v>Производственный и хозяйственный инвентарь</v>
          </cell>
          <cell r="E585">
            <v>44560</v>
          </cell>
          <cell r="F585" t="str">
            <v>Общехозяйственные расходы</v>
          </cell>
          <cell r="X585">
            <v>128890</v>
          </cell>
          <cell r="Z585">
            <v>128890</v>
          </cell>
          <cell r="AC585">
            <v>180</v>
          </cell>
        </row>
        <row r="586">
          <cell r="A586" t="str">
            <v>Шредер Rexel Auto 300X (секр.P-4)</v>
          </cell>
          <cell r="B586" t="str">
            <v>000001726</v>
          </cell>
          <cell r="C586" t="str">
            <v>ОБЩЕХОЗЯЙСТВЕННЫЕ РАСХОДЫ</v>
          </cell>
          <cell r="D586" t="str">
            <v>Офисное оборудование</v>
          </cell>
          <cell r="E586" t="str">
            <v>07.06.2018</v>
          </cell>
          <cell r="F586" t="str">
            <v>Общехозяйственные расходы</v>
          </cell>
          <cell r="X586">
            <v>46966.1</v>
          </cell>
          <cell r="Y586">
            <v>23483.042857142857</v>
          </cell>
          <cell r="Z586">
            <v>23483.057142857142</v>
          </cell>
          <cell r="AC586">
            <v>84</v>
          </cell>
        </row>
        <row r="587">
          <cell r="A587" t="str">
            <v>Система охранно-пожарной сигнализации в помещениях здания бухгалтерии и абонентского отдела ГУП НАО "Нарьян-Марская электростанция"</v>
          </cell>
          <cell r="B587" t="str">
            <v>000001730</v>
          </cell>
          <cell r="C587" t="str">
            <v>ОБЩЕХОЗЯЙСТВЕННЫЕ РАСХОДЫ</v>
          </cell>
          <cell r="D587" t="str">
            <v>Машины и оборудование (кроме офисного)</v>
          </cell>
          <cell r="E587" t="str">
            <v>31.05.2018</v>
          </cell>
          <cell r="F587" t="str">
            <v>Общехозяйственные расходы</v>
          </cell>
          <cell r="X587">
            <v>44969.32</v>
          </cell>
          <cell r="Y587">
            <v>10742.684666666666</v>
          </cell>
          <cell r="Z587">
            <v>34226.635333333332</v>
          </cell>
          <cell r="AC587">
            <v>180</v>
          </cell>
        </row>
        <row r="588">
          <cell r="A588" t="str">
            <v>Кофемашина Krups EA810770 1450Вт</v>
          </cell>
          <cell r="B588" t="str">
            <v>000001768</v>
          </cell>
          <cell r="C588" t="str">
            <v>ОБЩЕХОЗЯЙСТВЕННЫЕ РАСХОДЫ</v>
          </cell>
          <cell r="D588" t="str">
            <v>Машины и оборудование (кроме офисного)</v>
          </cell>
          <cell r="E588" t="str">
            <v>27.05.2019</v>
          </cell>
          <cell r="F588" t="str">
            <v>Общехозяйственные расходы</v>
          </cell>
          <cell r="X588">
            <v>48590</v>
          </cell>
          <cell r="Y588">
            <v>41841.346666666672</v>
          </cell>
          <cell r="Z588">
            <v>6748.6533333333282</v>
          </cell>
          <cell r="AC588">
            <v>36</v>
          </cell>
        </row>
        <row r="589">
          <cell r="A589" t="str">
            <v>Противотаранное устройство при въезде на территорию предприятия</v>
          </cell>
          <cell r="B589" t="str">
            <v>000001860</v>
          </cell>
          <cell r="C589" t="str">
            <v>ОБЩЕХОЗЯЙСТВЕННЫЕ РАСХОДЫ</v>
          </cell>
          <cell r="D589" t="str">
            <v>Машины и оборудование (кроме офисного)</v>
          </cell>
          <cell r="E589" t="str">
            <v>13.09.2021</v>
          </cell>
          <cell r="F589" t="str">
            <v>Общехозяйственные расходы</v>
          </cell>
          <cell r="Y589">
            <v>39329.950666666664</v>
          </cell>
          <cell r="AC589">
            <v>120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2022-2024 год"/>
      <sheetName val="20.1.1"/>
      <sheetName val="20.1.2"/>
      <sheetName val="20.1.3"/>
      <sheetName val="23 Автотрансп.цех"/>
      <sheetName val="23 Котельная"/>
      <sheetName val="25"/>
      <sheetName val="26"/>
      <sheetName val="2022-2024"/>
      <sheetName val="1 полугодие 2022 факт"/>
      <sheetName val="2 полугодие 2022 факт"/>
      <sheetName val="АСКУЭ"/>
      <sheetName val="Расчёт налога на имущ.2022 факт"/>
      <sheetName val="Расщ.налога на имущ. 2023"/>
      <sheetName val="Расчёт налога на имущ.2024"/>
    </sheetNames>
    <sheetDataSet>
      <sheetData sheetId="0" refreshError="1">
        <row r="30">
          <cell r="AX30">
            <v>3019.53</v>
          </cell>
        </row>
        <row r="585">
          <cell r="AJ585">
            <v>101884.01762000001</v>
          </cell>
          <cell r="BD585">
            <v>101884.01762000001</v>
          </cell>
        </row>
        <row r="600">
          <cell r="AJ600">
            <v>38537.682040000007</v>
          </cell>
          <cell r="BD600">
            <v>38537.682040000007</v>
          </cell>
        </row>
        <row r="601">
          <cell r="AJ601">
            <v>15103.250360000002</v>
          </cell>
          <cell r="BD601">
            <v>15103.250360000002</v>
          </cell>
        </row>
        <row r="603">
          <cell r="AJ603">
            <v>1954.99172</v>
          </cell>
          <cell r="BD603">
            <v>1954.99172</v>
          </cell>
        </row>
        <row r="604">
          <cell r="AJ604">
            <v>8095.5518599999996</v>
          </cell>
          <cell r="BD604">
            <v>8095.5518599999996</v>
          </cell>
        </row>
        <row r="605">
          <cell r="Q605">
            <v>879.80222000000015</v>
          </cell>
          <cell r="AJ605">
            <v>2277.9147600000001</v>
          </cell>
          <cell r="BD605">
            <v>2277.9147600000001</v>
          </cell>
        </row>
        <row r="612">
          <cell r="Q612">
            <v>6836.9644200000002</v>
          </cell>
          <cell r="AJ612">
            <v>17701.730199999995</v>
          </cell>
          <cell r="BD612">
            <v>17701.730199999995</v>
          </cell>
        </row>
        <row r="613">
          <cell r="AJ613">
            <v>7866.4218599999995</v>
          </cell>
          <cell r="BD613">
            <v>7866.4218599999995</v>
          </cell>
        </row>
        <row r="614">
          <cell r="AJ614">
            <v>6273.4421200000015</v>
          </cell>
          <cell r="BD614">
            <v>6273.4421200000015</v>
          </cell>
        </row>
        <row r="619">
          <cell r="Q619">
            <v>2417.3184200000001</v>
          </cell>
          <cell r="AJ619">
            <v>6258.7309400000013</v>
          </cell>
          <cell r="BD619">
            <v>6258.7309400000013</v>
          </cell>
        </row>
        <row r="637">
          <cell r="AJ637">
            <v>11195.151000000002</v>
          </cell>
          <cell r="BD637">
            <v>11195.151000000002</v>
          </cell>
        </row>
        <row r="638">
          <cell r="Q638">
            <v>942.40300000000013</v>
          </cell>
          <cell r="AJ638">
            <v>2433.8034599999992</v>
          </cell>
          <cell r="BD638">
            <v>2433.8034599999992</v>
          </cell>
        </row>
        <row r="643">
          <cell r="AJ643">
            <v>5958.0254800000002</v>
          </cell>
          <cell r="BD643">
            <v>5958.0254800000002</v>
          </cell>
        </row>
        <row r="647">
          <cell r="AJ647">
            <v>4726.6317999999992</v>
          </cell>
          <cell r="BD647">
            <v>4726.6317999999992</v>
          </cell>
        </row>
        <row r="708">
          <cell r="AJ708">
            <v>88313.076280000038</v>
          </cell>
          <cell r="BD708">
            <v>88313.076280000038</v>
          </cell>
        </row>
        <row r="738">
          <cell r="AJ738">
            <v>23657.260659999996</v>
          </cell>
          <cell r="BD738">
            <v>23657.260659999996</v>
          </cell>
        </row>
        <row r="739">
          <cell r="AJ739">
            <v>10825.722599999999</v>
          </cell>
          <cell r="BD739">
            <v>10825.722599999999</v>
          </cell>
        </row>
        <row r="740">
          <cell r="Q740">
            <v>2145.80872</v>
          </cell>
          <cell r="AJ740">
            <v>4610.1831599999996</v>
          </cell>
          <cell r="BD740">
            <v>4610.1831599999996</v>
          </cell>
        </row>
        <row r="961">
          <cell r="AJ961">
            <v>120064.17456000006</v>
          </cell>
          <cell r="BD961">
            <v>120064.17456000006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ый сметный расчет ДТП 932 "/>
    </sheetNames>
    <sheetDataSet>
      <sheetData sheetId="0">
        <row r="48">
          <cell r="H48">
            <v>1804764.57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С1 ДТП 1280 - ЛСР по Методике "/>
    </sheetNames>
    <sheetDataSet>
      <sheetData sheetId="0">
        <row r="453">
          <cell r="N453">
            <v>274801.96000000002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2022-2024 год"/>
      <sheetName val="20.1.1"/>
      <sheetName val="20.1.2"/>
      <sheetName val="20.1.3"/>
      <sheetName val="23 Автотрансп.цех"/>
      <sheetName val="23 Котельная"/>
      <sheetName val="25"/>
      <sheetName val="26"/>
      <sheetName val="2022-2024"/>
      <sheetName val="1 полугодие 2022 факт"/>
      <sheetName val="2 полугодие 2022 факт"/>
      <sheetName val="АСКУЭ"/>
      <sheetName val="Расчёт налога на имущ.2022 факт"/>
      <sheetName val="Расщ.налога на имущ. 2023"/>
      <sheetName val="Расчёт налога на имущ.20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61">
          <cell r="AA361">
            <v>4696.340000000002</v>
          </cell>
        </row>
        <row r="362">
          <cell r="AA362">
            <v>47519.390000000007</v>
          </cell>
        </row>
        <row r="363">
          <cell r="AA363">
            <v>6589.909999999998</v>
          </cell>
        </row>
      </sheetData>
      <sheetData sheetId="13">
        <row r="359">
          <cell r="AB359">
            <v>1565.5399999999997</v>
          </cell>
        </row>
        <row r="360">
          <cell r="AB360">
            <v>15839.870000000006</v>
          </cell>
        </row>
        <row r="361">
          <cell r="AB361">
            <v>2196.7000000000003</v>
          </cell>
        </row>
      </sheetData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 налога на имущ. 2022"/>
      <sheetName val="Расчёт налога на имущество ТЕПЛ"/>
      <sheetName val="Расчёт налога на имущ 1 пол.22г"/>
      <sheetName val="Амортизация2022-2024"/>
      <sheetName val="1 кв.2022"/>
      <sheetName val="1 пол.2022"/>
      <sheetName val="9 мес.2022"/>
      <sheetName val="2022 год"/>
      <sheetName val="Расщ.налога на имущ. 2023"/>
      <sheetName val="Расчёт налога на имущ.2024"/>
      <sheetName val="2022-2024 СВОД НАЛОГ НА ИМУЩЕ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X9">
            <v>3933.85</v>
          </cell>
        </row>
      </sheetData>
      <sheetData sheetId="8">
        <row r="8">
          <cell r="AB8">
            <v>2782.4500000000012</v>
          </cell>
        </row>
        <row r="356">
          <cell r="AB356">
            <v>763261152.16999948</v>
          </cell>
          <cell r="AD356">
            <v>16791745.347740006</v>
          </cell>
        </row>
      </sheetData>
      <sheetData sheetId="9">
        <row r="8">
          <cell r="AB8">
            <v>1631.0500000000034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728"/>
  <sheetViews>
    <sheetView tabSelected="1" zoomScale="110" zoomScaleNormal="110" workbookViewId="0">
      <pane xSplit="7" ySplit="2" topLeftCell="AN677" activePane="bottomRight" state="frozen"/>
      <selection activeCell="BH1078" sqref="BH1078"/>
      <selection pane="topRight" activeCell="BH1078" sqref="BH1078"/>
      <selection pane="bottomLeft" activeCell="BH1078" sqref="BH1078"/>
      <selection pane="bottomRight" activeCell="A692" sqref="A692"/>
    </sheetView>
  </sheetViews>
  <sheetFormatPr defaultRowHeight="11.25" outlineLevelCol="1" x14ac:dyDescent="0.2"/>
  <cols>
    <col min="1" max="1" width="55.5" style="6" customWidth="1"/>
    <col min="2" max="2" width="12.5" customWidth="1"/>
    <col min="3" max="3" width="15.5" customWidth="1"/>
    <col min="4" max="4" width="11.5" customWidth="1"/>
    <col min="5" max="5" width="12.5" customWidth="1"/>
    <col min="6" max="6" width="15.6640625" customWidth="1"/>
    <col min="7" max="7" width="11.33203125" customWidth="1"/>
    <col min="8" max="8" width="21.83203125" customWidth="1"/>
    <col min="9" max="9" width="19.1640625" customWidth="1"/>
    <col min="10" max="10" width="14" customWidth="1"/>
    <col min="11" max="11" width="11.1640625" style="19" customWidth="1"/>
    <col min="12" max="12" width="17.1640625" customWidth="1"/>
    <col min="13" max="13" width="14.33203125" customWidth="1"/>
    <col min="14" max="14" width="15.83203125" customWidth="1"/>
    <col min="15" max="15" width="17" hidden="1" customWidth="1" outlineLevel="1"/>
    <col min="16" max="25" width="13.83203125" hidden="1" customWidth="1" outlineLevel="1"/>
    <col min="26" max="26" width="13.83203125" hidden="1" customWidth="1" collapsed="1"/>
    <col min="27" max="27" width="13.83203125" customWidth="1"/>
    <col min="28" max="28" width="12.33203125" customWidth="1"/>
    <col min="29" max="29" width="12.6640625" customWidth="1"/>
    <col min="30" max="40" width="13.83203125" customWidth="1" outlineLevel="1"/>
    <col min="41" max="41" width="13.83203125" customWidth="1"/>
    <col min="42" max="42" width="13.6640625" style="15" customWidth="1"/>
    <col min="43" max="45" width="14.83203125" customWidth="1"/>
    <col min="46" max="46" width="15.6640625" customWidth="1"/>
    <col min="47" max="56" width="13.83203125" customWidth="1" outlineLevel="1"/>
    <col min="57" max="57" width="14.33203125" customWidth="1" outlineLevel="1"/>
    <col min="58" max="58" width="14.33203125" customWidth="1"/>
    <col min="59" max="59" width="13.6640625" style="15" customWidth="1"/>
    <col min="60" max="60" width="16.5" customWidth="1"/>
    <col min="61" max="61" width="15.6640625" customWidth="1"/>
    <col min="62" max="72" width="14.33203125" customWidth="1" outlineLevel="1"/>
    <col min="73" max="73" width="14.33203125" customWidth="1"/>
    <col min="74" max="74" width="13.6640625" style="15" bestFit="1" customWidth="1"/>
    <col min="75" max="75" width="13.33203125" customWidth="1"/>
    <col min="76" max="77" width="15.83203125" customWidth="1"/>
    <col min="78" max="78" width="15.6640625" customWidth="1"/>
    <col min="79" max="79" width="14.83203125" customWidth="1"/>
    <col min="80" max="80" width="15.6640625" customWidth="1"/>
    <col min="81" max="81" width="16" customWidth="1"/>
    <col min="82" max="82" width="16.1640625" customWidth="1"/>
    <col min="83" max="83" width="16.6640625" customWidth="1"/>
    <col min="84" max="84" width="16" customWidth="1"/>
    <col min="85" max="87" width="14.33203125" customWidth="1"/>
    <col min="88" max="88" width="17.5" customWidth="1"/>
    <col min="89" max="89" width="13.6640625" style="15" customWidth="1"/>
    <col min="90" max="90" width="16.33203125" customWidth="1"/>
    <col min="91" max="91" width="18.5" customWidth="1"/>
    <col min="92" max="92" width="15.1640625" customWidth="1"/>
    <col min="93" max="93" width="14.33203125" customWidth="1"/>
    <col min="94" max="94" width="16.6640625" customWidth="1"/>
    <col min="95" max="95" width="15.5" customWidth="1"/>
    <col min="96" max="97" width="15.1640625" customWidth="1"/>
    <col min="98" max="98" width="16.6640625" customWidth="1"/>
    <col min="99" max="99" width="16.83203125" customWidth="1"/>
    <col min="100" max="100" width="16" customWidth="1"/>
    <col min="101" max="101" width="14.5" customWidth="1"/>
    <col min="102" max="102" width="16.83203125" customWidth="1"/>
    <col min="103" max="103" width="16.6640625" customWidth="1"/>
    <col min="104" max="104" width="13.6640625" style="15" customWidth="1"/>
  </cols>
  <sheetData>
    <row r="1" spans="1:104" ht="12.75" customHeight="1" x14ac:dyDescent="0.2">
      <c r="A1" s="295" t="s">
        <v>0</v>
      </c>
      <c r="B1" s="295" t="s">
        <v>1</v>
      </c>
      <c r="C1" s="293" t="s">
        <v>2</v>
      </c>
      <c r="D1" s="293"/>
      <c r="E1" s="295" t="s">
        <v>3</v>
      </c>
      <c r="F1" s="293" t="s">
        <v>4</v>
      </c>
      <c r="G1" s="293" t="s">
        <v>5</v>
      </c>
      <c r="H1" s="296" t="s">
        <v>6</v>
      </c>
      <c r="I1" s="296"/>
      <c r="J1" s="296"/>
      <c r="K1" s="297" t="s">
        <v>7</v>
      </c>
      <c r="L1" s="298" t="s">
        <v>8</v>
      </c>
      <c r="M1" s="191"/>
      <c r="N1" s="291" t="s">
        <v>9</v>
      </c>
      <c r="AA1" s="1">
        <v>2.1999999999999999E-2</v>
      </c>
      <c r="AC1" s="299" t="s">
        <v>10</v>
      </c>
      <c r="AP1" s="220">
        <v>2.1999999999999999E-2</v>
      </c>
      <c r="AT1" s="291" t="s">
        <v>11</v>
      </c>
      <c r="BG1" s="220">
        <v>2.1999999999999999E-2</v>
      </c>
      <c r="BI1" s="291" t="s">
        <v>2664</v>
      </c>
      <c r="BV1" s="220">
        <v>2.1999999999999999E-2</v>
      </c>
      <c r="BX1" s="291" t="s">
        <v>2666</v>
      </c>
      <c r="CK1" s="220">
        <v>2.1999999999999999E-2</v>
      </c>
      <c r="CM1" s="291" t="s">
        <v>2668</v>
      </c>
      <c r="CZ1" s="220">
        <v>2.1999999999999999E-2</v>
      </c>
    </row>
    <row r="2" spans="1:104" ht="39.75" customHeight="1" x14ac:dyDescent="0.2">
      <c r="A2" s="295"/>
      <c r="B2" s="295"/>
      <c r="C2" s="294"/>
      <c r="D2" s="294"/>
      <c r="E2" s="295"/>
      <c r="F2" s="294"/>
      <c r="G2" s="294"/>
      <c r="H2" s="2" t="s">
        <v>12</v>
      </c>
      <c r="I2" s="2" t="s">
        <v>13</v>
      </c>
      <c r="J2" s="3" t="s">
        <v>14</v>
      </c>
      <c r="K2" s="297"/>
      <c r="L2" s="298"/>
      <c r="M2" s="206" t="s">
        <v>2594</v>
      </c>
      <c r="N2" s="292"/>
      <c r="O2" s="4">
        <v>44593</v>
      </c>
      <c r="P2" s="4">
        <v>44621</v>
      </c>
      <c r="Q2" s="4">
        <v>44652</v>
      </c>
      <c r="R2" s="4">
        <v>44682</v>
      </c>
      <c r="S2" s="4">
        <v>44713</v>
      </c>
      <c r="T2" s="4">
        <v>44743</v>
      </c>
      <c r="U2" s="4">
        <v>44774</v>
      </c>
      <c r="V2" s="4">
        <v>44805</v>
      </c>
      <c r="W2" s="4">
        <v>44835</v>
      </c>
      <c r="X2" s="4">
        <v>44866</v>
      </c>
      <c r="Y2" s="4">
        <v>44896</v>
      </c>
      <c r="Z2" s="4">
        <v>44927</v>
      </c>
      <c r="AA2" s="5" t="s">
        <v>15</v>
      </c>
      <c r="AB2" s="104" t="s">
        <v>2592</v>
      </c>
      <c r="AC2" s="299"/>
      <c r="AD2" s="4">
        <v>44958</v>
      </c>
      <c r="AE2" s="4">
        <v>44986</v>
      </c>
      <c r="AF2" s="4">
        <v>45017</v>
      </c>
      <c r="AG2" s="4">
        <v>45047</v>
      </c>
      <c r="AH2" s="4">
        <v>45078</v>
      </c>
      <c r="AI2" s="4">
        <v>45108</v>
      </c>
      <c r="AJ2" s="4">
        <v>45139</v>
      </c>
      <c r="AK2" s="4">
        <v>45170</v>
      </c>
      <c r="AL2" s="4">
        <v>45200</v>
      </c>
      <c r="AM2" s="4">
        <v>45231</v>
      </c>
      <c r="AN2" s="4">
        <v>45261</v>
      </c>
      <c r="AO2" s="4">
        <v>45292</v>
      </c>
      <c r="AP2" s="221" t="s">
        <v>16</v>
      </c>
      <c r="AQ2" s="46" t="s">
        <v>8</v>
      </c>
      <c r="AR2" s="46"/>
      <c r="AS2" s="46"/>
      <c r="AT2" s="292"/>
      <c r="AU2" s="4">
        <v>45323</v>
      </c>
      <c r="AV2" s="4">
        <v>45352</v>
      </c>
      <c r="AW2" s="4">
        <v>45383</v>
      </c>
      <c r="AX2" s="4">
        <v>45413</v>
      </c>
      <c r="AY2" s="4">
        <v>45444</v>
      </c>
      <c r="AZ2" s="4">
        <v>45474</v>
      </c>
      <c r="BA2" s="4">
        <v>45505</v>
      </c>
      <c r="BB2" s="4">
        <v>45536</v>
      </c>
      <c r="BC2" s="4">
        <v>45566</v>
      </c>
      <c r="BD2" s="4">
        <v>45597</v>
      </c>
      <c r="BE2" s="4">
        <v>45627</v>
      </c>
      <c r="BF2" s="4">
        <v>45658</v>
      </c>
      <c r="BG2" s="221" t="s">
        <v>17</v>
      </c>
      <c r="BH2" s="46" t="s">
        <v>8</v>
      </c>
      <c r="BI2" s="292"/>
      <c r="BJ2" s="4">
        <v>45689</v>
      </c>
      <c r="BK2" s="4">
        <v>45717</v>
      </c>
      <c r="BL2" s="4">
        <v>45748</v>
      </c>
      <c r="BM2" s="4">
        <v>45778</v>
      </c>
      <c r="BN2" s="4">
        <v>45809</v>
      </c>
      <c r="BO2" s="4">
        <v>45839</v>
      </c>
      <c r="BP2" s="4">
        <v>45870</v>
      </c>
      <c r="BQ2" s="4">
        <v>45901</v>
      </c>
      <c r="BR2" s="4">
        <v>45931</v>
      </c>
      <c r="BS2" s="4">
        <v>45962</v>
      </c>
      <c r="BT2" s="4">
        <v>45992</v>
      </c>
      <c r="BU2" s="4">
        <v>46023</v>
      </c>
      <c r="BV2" s="221" t="s">
        <v>2665</v>
      </c>
      <c r="BW2" s="46" t="s">
        <v>8</v>
      </c>
      <c r="BX2" s="292"/>
      <c r="BY2" s="4">
        <v>46054</v>
      </c>
      <c r="BZ2" s="4">
        <v>46082</v>
      </c>
      <c r="CA2" s="4">
        <v>46113</v>
      </c>
      <c r="CB2" s="4">
        <v>46143</v>
      </c>
      <c r="CC2" s="4">
        <v>46174</v>
      </c>
      <c r="CD2" s="4">
        <v>46204</v>
      </c>
      <c r="CE2" s="4">
        <v>46235</v>
      </c>
      <c r="CF2" s="4">
        <v>46266</v>
      </c>
      <c r="CG2" s="4">
        <v>46296</v>
      </c>
      <c r="CH2" s="4">
        <v>46327</v>
      </c>
      <c r="CI2" s="4">
        <v>46357</v>
      </c>
      <c r="CJ2" s="4">
        <v>46388</v>
      </c>
      <c r="CK2" s="221" t="s">
        <v>2667</v>
      </c>
      <c r="CL2" s="46" t="s">
        <v>8</v>
      </c>
      <c r="CM2" s="292"/>
      <c r="CN2" s="4">
        <v>46419</v>
      </c>
      <c r="CO2" s="4">
        <v>46447</v>
      </c>
      <c r="CP2" s="4">
        <v>46478</v>
      </c>
      <c r="CQ2" s="4">
        <v>46508</v>
      </c>
      <c r="CR2" s="4">
        <v>46539</v>
      </c>
      <c r="CS2" s="4">
        <v>46569</v>
      </c>
      <c r="CT2" s="4">
        <v>46600</v>
      </c>
      <c r="CU2" s="4">
        <v>46631</v>
      </c>
      <c r="CV2" s="4">
        <v>46661</v>
      </c>
      <c r="CW2" s="4">
        <v>46692</v>
      </c>
      <c r="CX2" s="4">
        <v>46722</v>
      </c>
      <c r="CY2" s="4">
        <v>46753</v>
      </c>
      <c r="CZ2" s="221" t="s">
        <v>2669</v>
      </c>
    </row>
    <row r="3" spans="1:104" ht="12.75" customHeight="1" x14ac:dyDescent="0.2">
      <c r="A3" s="27" t="s">
        <v>81</v>
      </c>
      <c r="B3" s="27"/>
      <c r="C3" s="27"/>
      <c r="D3" s="27"/>
      <c r="E3" s="27"/>
      <c r="F3" s="27"/>
      <c r="G3" s="27"/>
      <c r="H3" s="28"/>
      <c r="I3" s="28"/>
      <c r="J3" s="29"/>
      <c r="K3" s="30"/>
      <c r="L3" s="31"/>
      <c r="M3" s="31"/>
      <c r="N3" s="32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  <c r="AC3" s="33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221"/>
      <c r="AQ3" s="45"/>
      <c r="AT3" s="32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221"/>
      <c r="BH3" s="45"/>
      <c r="BI3" s="32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221"/>
      <c r="BW3" s="45"/>
      <c r="BX3" s="32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221"/>
      <c r="CL3" s="45"/>
      <c r="CM3" s="32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221"/>
    </row>
    <row r="4" spans="1:104" x14ac:dyDescent="0.2">
      <c r="A4" s="6" t="str">
        <f>'[1]2021 УГРЦТ'!A7</f>
        <v>2 очередь реконст. электрост. Здание ГТЭС-18 2010г</v>
      </c>
      <c r="B4" t="str">
        <f>'[1]2021 УГРЦТ'!B7</f>
        <v>00001166</v>
      </c>
      <c r="C4" t="str">
        <f>'[1]2021 УГРЦТ'!C7</f>
        <v>ПРОИЗВОДСТВО</v>
      </c>
      <c r="D4" t="str">
        <f>'[1]2021 УГРЦТ'!D7</f>
        <v>Здания</v>
      </c>
      <c r="E4" t="str">
        <f>'[1]2021 УГРЦТ'!E7</f>
        <v>31.03.2010</v>
      </c>
      <c r="F4" t="str">
        <f>'[1]2021 УГРЦТ'!F7</f>
        <v>Газотурбинный цех</v>
      </c>
      <c r="G4">
        <f>'[1]2021 УГРЦТ'!AC7</f>
        <v>600</v>
      </c>
      <c r="H4" s="7">
        <f>'[1]2021 УГРЦТ'!X7</f>
        <v>217511750.34</v>
      </c>
      <c r="I4" s="7">
        <f>'[1]2021 УГРЦТ'!Y7</f>
        <v>51115260.826800004</v>
      </c>
      <c r="J4" s="7">
        <f>'[1]2021 УГРЦТ'!Z7</f>
        <v>166396489.51319999</v>
      </c>
      <c r="K4" s="8">
        <v>1</v>
      </c>
      <c r="L4" s="7">
        <v>362519.58919999999</v>
      </c>
      <c r="M4" s="7"/>
      <c r="N4" s="7">
        <f t="shared" ref="N4:N67" si="0">L4*12</f>
        <v>4350235.0703999996</v>
      </c>
      <c r="O4" s="7">
        <f>J4-$L4</f>
        <v>166033969.92399999</v>
      </c>
      <c r="P4" s="7">
        <f>O4-$L4</f>
        <v>165671450.3348</v>
      </c>
      <c r="Q4" s="7">
        <f>P4-$L4</f>
        <v>165308930.74560001</v>
      </c>
      <c r="R4" s="7">
        <f t="shared" ref="R4:Z4" si="1">Q4-$L4</f>
        <v>164946411.15640002</v>
      </c>
      <c r="S4" s="7">
        <f t="shared" si="1"/>
        <v>164583891.56720003</v>
      </c>
      <c r="T4" s="7">
        <f t="shared" si="1"/>
        <v>164221371.97800004</v>
      </c>
      <c r="U4" s="7">
        <f t="shared" si="1"/>
        <v>163858852.38880005</v>
      </c>
      <c r="V4" s="7">
        <f t="shared" si="1"/>
        <v>163496332.79960006</v>
      </c>
      <c r="W4" s="7">
        <f t="shared" si="1"/>
        <v>163133813.21040007</v>
      </c>
      <c r="X4" s="7">
        <f t="shared" si="1"/>
        <v>162771293.62120008</v>
      </c>
      <c r="Y4" s="7">
        <f t="shared" si="1"/>
        <v>162408774.03200009</v>
      </c>
      <c r="Z4" s="7">
        <f t="shared" si="1"/>
        <v>162046254.4428001</v>
      </c>
      <c r="AA4" s="7">
        <f>SUM(O4:Z4,J4)/13*$AA$1</f>
        <v>3612870.1835160009</v>
      </c>
      <c r="AB4" s="7"/>
      <c r="AC4" s="7">
        <f>L4*12</f>
        <v>4350235.0703999996</v>
      </c>
      <c r="AD4" s="7">
        <f>Z4-$L4</f>
        <v>161683734.85360011</v>
      </c>
      <c r="AE4" s="7">
        <f t="shared" ref="AE4:AO19" si="2">AD4-$L4</f>
        <v>161321215.26440012</v>
      </c>
      <c r="AF4" s="7">
        <f t="shared" si="2"/>
        <v>160958695.67520013</v>
      </c>
      <c r="AG4" s="7">
        <f t="shared" si="2"/>
        <v>160596176.08600014</v>
      </c>
      <c r="AH4" s="7">
        <f t="shared" si="2"/>
        <v>160233656.49680015</v>
      </c>
      <c r="AI4" s="7">
        <f t="shared" si="2"/>
        <v>159871136.90760016</v>
      </c>
      <c r="AJ4" s="7">
        <f t="shared" si="2"/>
        <v>159508617.31840017</v>
      </c>
      <c r="AK4" s="7">
        <f t="shared" si="2"/>
        <v>159146097.72920018</v>
      </c>
      <c r="AL4" s="7">
        <f t="shared" si="2"/>
        <v>158783578.14000019</v>
      </c>
      <c r="AM4" s="7">
        <f t="shared" si="2"/>
        <v>158421058.5508002</v>
      </c>
      <c r="AN4" s="7">
        <f t="shared" si="2"/>
        <v>158058538.96160021</v>
      </c>
      <c r="AO4" s="7">
        <f t="shared" si="2"/>
        <v>157696019.37240022</v>
      </c>
      <c r="AP4" s="222">
        <f>IF(K4&lt;1,0,SUM(AD4:AO4,Z4)/13*$BG$1)</f>
        <v>3517165.0119672026</v>
      </c>
      <c r="AQ4" s="7">
        <v>362519.58919999999</v>
      </c>
      <c r="AR4" s="7">
        <f>AN4-AO4</f>
        <v>362519.58919999003</v>
      </c>
      <c r="AS4" s="7">
        <f>AR4-AQ4</f>
        <v>-9.9535100162029266E-9</v>
      </c>
      <c r="AT4" s="7">
        <f>L4*12</f>
        <v>4350235.0703999996</v>
      </c>
      <c r="AU4" s="7">
        <f t="shared" ref="AU4:AU9" si="3">AO4-$L4</f>
        <v>157333499.78320023</v>
      </c>
      <c r="AV4" s="7">
        <f>AU4-$L4</f>
        <v>156970980.19400024</v>
      </c>
      <c r="AW4" s="7">
        <f t="shared" ref="AW4:BF4" si="4">AV4-$L4</f>
        <v>156608460.60480025</v>
      </c>
      <c r="AX4" s="7">
        <f t="shared" si="4"/>
        <v>156245941.01560026</v>
      </c>
      <c r="AY4" s="7">
        <f t="shared" si="4"/>
        <v>155883421.42640027</v>
      </c>
      <c r="AZ4" s="7">
        <f t="shared" si="4"/>
        <v>155520901.83720028</v>
      </c>
      <c r="BA4" s="7">
        <f t="shared" si="4"/>
        <v>155158382.24800029</v>
      </c>
      <c r="BB4" s="7">
        <f t="shared" si="4"/>
        <v>154795862.6588003</v>
      </c>
      <c r="BC4" s="7">
        <f t="shared" si="4"/>
        <v>154433343.06960031</v>
      </c>
      <c r="BD4" s="7">
        <f t="shared" si="4"/>
        <v>154070823.48040032</v>
      </c>
      <c r="BE4" s="7">
        <f t="shared" si="4"/>
        <v>153708303.89120033</v>
      </c>
      <c r="BF4" s="7">
        <f t="shared" si="4"/>
        <v>153345784.30200034</v>
      </c>
      <c r="BG4" s="236">
        <f t="shared" ref="BG4:BG67" si="5">IF(K4&lt;1,0,SUM(AU4:BF4,AO4)/13*$BG$1)</f>
        <v>3421459.8404184058</v>
      </c>
      <c r="BH4" s="7">
        <v>362519.58919999999</v>
      </c>
      <c r="BI4" s="7">
        <f t="shared" ref="BI4:BI9" si="6">BH4*12</f>
        <v>4350235.0703999996</v>
      </c>
      <c r="BJ4" s="7">
        <f t="shared" ref="BJ4:BJ9" si="7">BF4-BH4</f>
        <v>152983264.71280035</v>
      </c>
      <c r="BK4" s="7">
        <f>BJ4-$L4</f>
        <v>152620745.12360036</v>
      </c>
      <c r="BL4" s="7">
        <f t="shared" ref="BL4:BL9" si="8">BK4-$L4</f>
        <v>152258225.53440037</v>
      </c>
      <c r="BM4" s="7">
        <f t="shared" ref="BM4:BM9" si="9">BL4-$L4</f>
        <v>151895705.94520038</v>
      </c>
      <c r="BN4" s="7">
        <f t="shared" ref="BN4:BN9" si="10">BM4-$L4</f>
        <v>151533186.35600039</v>
      </c>
      <c r="BO4" s="7">
        <f t="shared" ref="BO4:BO9" si="11">BN4-$L4</f>
        <v>151170666.7668004</v>
      </c>
      <c r="BP4" s="7">
        <f t="shared" ref="BP4:BP9" si="12">BO4-$L4</f>
        <v>150808147.17760041</v>
      </c>
      <c r="BQ4" s="7">
        <f t="shared" ref="BQ4:BQ9" si="13">BP4-$L4</f>
        <v>150445627.58840042</v>
      </c>
      <c r="BR4" s="7">
        <f t="shared" ref="BR4:BR9" si="14">BQ4-$L4</f>
        <v>150083107.99920043</v>
      </c>
      <c r="BS4" s="7">
        <f t="shared" ref="BS4:BS9" si="15">BR4-$L4</f>
        <v>149720588.41000044</v>
      </c>
      <c r="BT4" s="7">
        <f t="shared" ref="BT4:BT9" si="16">BS4-$L4</f>
        <v>149358068.82080045</v>
      </c>
      <c r="BU4" s="7">
        <f t="shared" ref="BU4:BU9" si="17">BT4-$L4</f>
        <v>148995549.23160046</v>
      </c>
      <c r="BV4" s="222">
        <f>IF(AO4&lt;1,0,SUM(BJ4:BU4,BF4)/13*$BG$1)</f>
        <v>3325754.6688696081</v>
      </c>
      <c r="BW4" s="7">
        <v>362519.58919999999</v>
      </c>
      <c r="BX4" s="7">
        <f t="shared" ref="BX4:BX9" si="18">BW4*12</f>
        <v>4350235.0703999996</v>
      </c>
      <c r="BY4" s="7">
        <f t="shared" ref="BY4:BY9" si="19">BU4-BW4</f>
        <v>148633029.64240047</v>
      </c>
      <c r="BZ4" s="7">
        <f>BY4-$L4</f>
        <v>148270510.05320048</v>
      </c>
      <c r="CA4" s="7">
        <f t="shared" ref="CA4:CA9" si="20">BZ4-$L4</f>
        <v>147907990.46400049</v>
      </c>
      <c r="CB4" s="7">
        <f t="shared" ref="CB4:CB9" si="21">CA4-$L4</f>
        <v>147545470.8748005</v>
      </c>
      <c r="CC4" s="7">
        <f t="shared" ref="CC4:CC9" si="22">CB4-$L4</f>
        <v>147182951.28560051</v>
      </c>
      <c r="CD4" s="7">
        <f t="shared" ref="CD4:CD9" si="23">CC4-$L4</f>
        <v>146820431.69640052</v>
      </c>
      <c r="CE4" s="7">
        <f t="shared" ref="CE4:CE9" si="24">CD4-$L4</f>
        <v>146457912.10720053</v>
      </c>
      <c r="CF4" s="7">
        <f t="shared" ref="CF4:CF9" si="25">CE4-$L4</f>
        <v>146095392.51800054</v>
      </c>
      <c r="CG4" s="7">
        <f t="shared" ref="CG4:CG9" si="26">CF4-$L4</f>
        <v>145732872.92880055</v>
      </c>
      <c r="CH4" s="7">
        <f t="shared" ref="CH4:CH9" si="27">CG4-$L4</f>
        <v>145370353.33960056</v>
      </c>
      <c r="CI4" s="7">
        <f t="shared" ref="CI4:CI9" si="28">CH4-$L4</f>
        <v>145007833.75040057</v>
      </c>
      <c r="CJ4" s="7">
        <f t="shared" ref="CJ4:CJ9" si="29">CI4-$L4</f>
        <v>144645314.16120058</v>
      </c>
      <c r="CK4" s="222">
        <f>IF(BF4&lt;1,0,SUM(BY4:CJ4,BU4)/13*$BG$1)</f>
        <v>3230049.4973208113</v>
      </c>
      <c r="CL4" s="7">
        <v>362519.58919999999</v>
      </c>
      <c r="CM4" s="7">
        <f>CL4*12</f>
        <v>4350235.0703999996</v>
      </c>
      <c r="CN4" s="7">
        <f t="shared" ref="CN4:CN9" si="30">CJ4-CL4</f>
        <v>144282794.57200059</v>
      </c>
      <c r="CO4" s="7">
        <f>CN4-$L4</f>
        <v>143920274.9828006</v>
      </c>
      <c r="CP4" s="7">
        <f t="shared" ref="CP4:CP9" si="31">CO4-$L4</f>
        <v>143557755.39360061</v>
      </c>
      <c r="CQ4" s="7">
        <f t="shared" ref="CQ4:CQ9" si="32">CP4-$L4</f>
        <v>143195235.80440062</v>
      </c>
      <c r="CR4" s="7">
        <f t="shared" ref="CR4:CR9" si="33">CQ4-$L4</f>
        <v>142832716.21520063</v>
      </c>
      <c r="CS4" s="7">
        <f t="shared" ref="CS4:CS9" si="34">CR4-$L4</f>
        <v>142470196.62600064</v>
      </c>
      <c r="CT4" s="7">
        <f t="shared" ref="CT4:CT9" si="35">CS4-$L4</f>
        <v>142107677.03680065</v>
      </c>
      <c r="CU4" s="7">
        <f t="shared" ref="CU4:CU9" si="36">CT4-$L4</f>
        <v>141745157.44760066</v>
      </c>
      <c r="CV4" s="7">
        <f t="shared" ref="CV4:CV9" si="37">CU4-$L4</f>
        <v>141382637.85840067</v>
      </c>
      <c r="CW4" s="7">
        <f t="shared" ref="CW4:CW9" si="38">CV4-$L4</f>
        <v>141020118.26920068</v>
      </c>
      <c r="CX4" s="7">
        <f t="shared" ref="CX4:CX7" si="39">CW4-$L4</f>
        <v>140657598.68000069</v>
      </c>
      <c r="CY4" s="7">
        <f t="shared" ref="CY4:CY7" si="40">CX4-$L4</f>
        <v>140295079.0908007</v>
      </c>
      <c r="CZ4" s="222">
        <f>IF(BU4&lt;1,0,SUM(CN4:CY4,CJ4)/13*$BG$1)</f>
        <v>3134344.3257720135</v>
      </c>
    </row>
    <row r="5" spans="1:104" x14ac:dyDescent="0.2">
      <c r="A5" s="6" t="str">
        <f>'[1]2021 УГРЦТ'!A8</f>
        <v>3х-фазный т/огр РТСТГ-10-250-0,025 УЗ №2</v>
      </c>
      <c r="B5" t="str">
        <f>'[1]2021 УГРЦТ'!B8</f>
        <v>00001173</v>
      </c>
      <c r="C5" t="str">
        <f>'[1]2021 УГРЦТ'!C8</f>
        <v>ПРОИЗВОДСТВО</v>
      </c>
      <c r="D5" t="str">
        <f>'[1]2021 УГРЦТ'!D8</f>
        <v>Машины и оборудование (кроме офисного)</v>
      </c>
      <c r="E5" t="str">
        <f>'[1]2021 УГРЦТ'!E8</f>
        <v>31.03.2010</v>
      </c>
      <c r="F5" t="str">
        <f>'[1]2021 УГРЦТ'!F8</f>
        <v>Газотурбинный цех</v>
      </c>
      <c r="G5">
        <f>'[1]2021 УГРЦТ'!AC8</f>
        <v>240</v>
      </c>
      <c r="H5" s="7">
        <f>'[1]2021 УГРЦТ'!X8</f>
        <v>2926500</v>
      </c>
      <c r="I5" s="7">
        <f>'[1]2021 УГРЦТ'!Y8</f>
        <v>1719318.75</v>
      </c>
      <c r="J5" s="7">
        <f>'[1]2021 УГРЦТ'!Z8</f>
        <v>1207181.25</v>
      </c>
      <c r="K5" s="8">
        <v>0</v>
      </c>
      <c r="L5" s="7">
        <v>12193.75</v>
      </c>
      <c r="M5" s="7"/>
      <c r="N5" s="7">
        <f t="shared" si="0"/>
        <v>146325</v>
      </c>
      <c r="O5" s="7">
        <f t="shared" ref="O5:O68" si="41">J5-$L5</f>
        <v>1194987.5</v>
      </c>
      <c r="P5" s="7">
        <f t="shared" ref="P5:Z20" si="42">O5-$L5</f>
        <v>1182793.75</v>
      </c>
      <c r="Q5" s="7">
        <f t="shared" si="42"/>
        <v>1170600</v>
      </c>
      <c r="R5" s="7">
        <f t="shared" si="42"/>
        <v>1158406.25</v>
      </c>
      <c r="S5" s="7">
        <f t="shared" si="42"/>
        <v>1146212.5</v>
      </c>
      <c r="T5" s="7">
        <f t="shared" si="42"/>
        <v>1134018.75</v>
      </c>
      <c r="U5" s="7">
        <f t="shared" si="42"/>
        <v>1121825</v>
      </c>
      <c r="V5" s="7">
        <f t="shared" si="42"/>
        <v>1109631.25</v>
      </c>
      <c r="W5" s="7">
        <f t="shared" si="42"/>
        <v>1097437.5</v>
      </c>
      <c r="X5" s="7">
        <f t="shared" si="42"/>
        <v>1085243.75</v>
      </c>
      <c r="Y5" s="7">
        <f t="shared" si="42"/>
        <v>1073050</v>
      </c>
      <c r="Z5" s="7">
        <f t="shared" si="42"/>
        <v>1060856.25</v>
      </c>
      <c r="AA5" s="7"/>
      <c r="AB5" s="7"/>
      <c r="AC5" s="7">
        <f t="shared" ref="AC5:AC68" si="43">L5*12</f>
        <v>146325</v>
      </c>
      <c r="AD5" s="7">
        <f t="shared" ref="AD5:AD68" si="44">Z5-$L5</f>
        <v>1048662.5</v>
      </c>
      <c r="AE5" s="7">
        <f t="shared" si="2"/>
        <v>1036468.75</v>
      </c>
      <c r="AF5" s="7">
        <f t="shared" si="2"/>
        <v>1024275</v>
      </c>
      <c r="AG5" s="7">
        <f t="shared" si="2"/>
        <v>1012081.25</v>
      </c>
      <c r="AH5" s="7">
        <f t="shared" si="2"/>
        <v>999887.5</v>
      </c>
      <c r="AI5" s="7">
        <f t="shared" si="2"/>
        <v>987693.75</v>
      </c>
      <c r="AJ5" s="7">
        <f t="shared" si="2"/>
        <v>975500</v>
      </c>
      <c r="AK5" s="7">
        <f t="shared" si="2"/>
        <v>963306.25</v>
      </c>
      <c r="AL5" s="7">
        <f t="shared" si="2"/>
        <v>951112.5</v>
      </c>
      <c r="AM5" s="7">
        <f t="shared" si="2"/>
        <v>938918.75</v>
      </c>
      <c r="AN5" s="7">
        <f t="shared" si="2"/>
        <v>926725</v>
      </c>
      <c r="AO5" s="7">
        <f t="shared" si="2"/>
        <v>914531.25</v>
      </c>
      <c r="AP5" s="222"/>
      <c r="AQ5" s="7">
        <v>12193.75</v>
      </c>
      <c r="AR5" s="7">
        <f t="shared" ref="AR5:AR68" si="45">AN5-AO5</f>
        <v>12193.75</v>
      </c>
      <c r="AS5" s="7">
        <f t="shared" ref="AS5:AS68" si="46">AR5-AQ5</f>
        <v>0</v>
      </c>
      <c r="AT5" s="7">
        <f t="shared" ref="AT5:AT9" si="47">L5*12</f>
        <v>146325</v>
      </c>
      <c r="AU5" s="7">
        <f t="shared" si="3"/>
        <v>902337.5</v>
      </c>
      <c r="AV5" s="7">
        <f t="shared" ref="AV5:BF9" si="48">AU5-$L5</f>
        <v>890143.75</v>
      </c>
      <c r="AW5" s="7">
        <f t="shared" si="48"/>
        <v>877950</v>
      </c>
      <c r="AX5" s="7">
        <f t="shared" si="48"/>
        <v>865756.25</v>
      </c>
      <c r="AY5" s="7">
        <f t="shared" si="48"/>
        <v>853562.5</v>
      </c>
      <c r="AZ5" s="7">
        <f t="shared" si="48"/>
        <v>841368.75</v>
      </c>
      <c r="BA5" s="7">
        <f t="shared" si="48"/>
        <v>829175</v>
      </c>
      <c r="BB5" s="7">
        <f t="shared" si="48"/>
        <v>816981.25</v>
      </c>
      <c r="BC5" s="7">
        <f t="shared" si="48"/>
        <v>804787.5</v>
      </c>
      <c r="BD5" s="7">
        <f t="shared" si="48"/>
        <v>792593.75</v>
      </c>
      <c r="BE5" s="7">
        <f t="shared" si="48"/>
        <v>780400</v>
      </c>
      <c r="BF5" s="7">
        <f t="shared" si="48"/>
        <v>768206.25</v>
      </c>
      <c r="BG5" s="236">
        <f t="shared" si="5"/>
        <v>0</v>
      </c>
      <c r="BH5" s="7">
        <v>12193.75</v>
      </c>
      <c r="BI5" s="7">
        <f t="shared" si="6"/>
        <v>146325</v>
      </c>
      <c r="BJ5" s="7">
        <f t="shared" si="7"/>
        <v>756012.5</v>
      </c>
      <c r="BK5" s="7">
        <f t="shared" ref="BK5:BK9" si="49">BJ5-$L5</f>
        <v>743818.75</v>
      </c>
      <c r="BL5" s="7">
        <f t="shared" si="8"/>
        <v>731625</v>
      </c>
      <c r="BM5" s="7">
        <f t="shared" si="9"/>
        <v>719431.25</v>
      </c>
      <c r="BN5" s="7">
        <f t="shared" si="10"/>
        <v>707237.5</v>
      </c>
      <c r="BO5" s="7">
        <f t="shared" si="11"/>
        <v>695043.75</v>
      </c>
      <c r="BP5" s="7">
        <f t="shared" si="12"/>
        <v>682850</v>
      </c>
      <c r="BQ5" s="7">
        <f t="shared" si="13"/>
        <v>670656.25</v>
      </c>
      <c r="BR5" s="7">
        <f t="shared" si="14"/>
        <v>658462.5</v>
      </c>
      <c r="BS5" s="7">
        <f t="shared" si="15"/>
        <v>646268.75</v>
      </c>
      <c r="BT5" s="7">
        <f t="shared" si="16"/>
        <v>634075</v>
      </c>
      <c r="BU5" s="7">
        <f t="shared" si="17"/>
        <v>621881.25</v>
      </c>
      <c r="BV5" s="236">
        <v>0</v>
      </c>
      <c r="BW5" s="7">
        <v>12193.75</v>
      </c>
      <c r="BX5" s="7">
        <f t="shared" si="18"/>
        <v>146325</v>
      </c>
      <c r="BY5" s="7">
        <f t="shared" si="19"/>
        <v>609687.5</v>
      </c>
      <c r="BZ5" s="7">
        <f t="shared" ref="BZ5:BZ9" si="50">BY5-$L5</f>
        <v>597493.75</v>
      </c>
      <c r="CA5" s="7">
        <f t="shared" si="20"/>
        <v>585300</v>
      </c>
      <c r="CB5" s="7">
        <f t="shared" si="21"/>
        <v>573106.25</v>
      </c>
      <c r="CC5" s="7">
        <f t="shared" si="22"/>
        <v>560912.5</v>
      </c>
      <c r="CD5" s="7">
        <f t="shared" si="23"/>
        <v>548718.75</v>
      </c>
      <c r="CE5" s="7">
        <f t="shared" si="24"/>
        <v>536525</v>
      </c>
      <c r="CF5" s="7">
        <f t="shared" si="25"/>
        <v>524331.25</v>
      </c>
      <c r="CG5" s="7">
        <f t="shared" si="26"/>
        <v>512137.5</v>
      </c>
      <c r="CH5" s="7">
        <f t="shared" si="27"/>
        <v>499943.75</v>
      </c>
      <c r="CI5" s="7">
        <f t="shared" si="28"/>
        <v>487750</v>
      </c>
      <c r="CJ5" s="7">
        <f t="shared" si="29"/>
        <v>475556.25</v>
      </c>
      <c r="CK5" s="236">
        <v>0</v>
      </c>
      <c r="CL5" s="7">
        <v>12193.75</v>
      </c>
      <c r="CM5" s="7">
        <f>CL5*12</f>
        <v>146325</v>
      </c>
      <c r="CN5" s="7">
        <f t="shared" si="30"/>
        <v>463362.5</v>
      </c>
      <c r="CO5" s="7">
        <f t="shared" ref="CO5:CO9" si="51">CN5-$L5</f>
        <v>451168.75</v>
      </c>
      <c r="CP5" s="7">
        <f t="shared" si="31"/>
        <v>438975</v>
      </c>
      <c r="CQ5" s="7">
        <f t="shared" si="32"/>
        <v>426781.25</v>
      </c>
      <c r="CR5" s="7">
        <f t="shared" si="33"/>
        <v>414587.5</v>
      </c>
      <c r="CS5" s="7">
        <f t="shared" si="34"/>
        <v>402393.75</v>
      </c>
      <c r="CT5" s="7">
        <f t="shared" si="35"/>
        <v>390200</v>
      </c>
      <c r="CU5" s="7">
        <f t="shared" si="36"/>
        <v>378006.25</v>
      </c>
      <c r="CV5" s="7">
        <f t="shared" si="37"/>
        <v>365812.5</v>
      </c>
      <c r="CW5" s="7">
        <f t="shared" si="38"/>
        <v>353618.75</v>
      </c>
      <c r="CX5" s="7">
        <f t="shared" si="39"/>
        <v>341425</v>
      </c>
      <c r="CY5" s="7">
        <f t="shared" si="40"/>
        <v>329231.25</v>
      </c>
      <c r="CZ5" s="236">
        <v>0</v>
      </c>
    </row>
    <row r="6" spans="1:104" x14ac:dyDescent="0.2">
      <c r="A6" s="6" t="str">
        <f>'[1]2021 УГРЦТ'!A9</f>
        <v>3х-фазный т/огр РТСТГ-10-250-0,025УЗ №1</v>
      </c>
      <c r="B6" t="str">
        <f>'[1]2021 УГРЦТ'!B9</f>
        <v>00001172</v>
      </c>
      <c r="C6" t="str">
        <f>'[1]2021 УГРЦТ'!C9</f>
        <v>ПРОИЗВОДСТВО</v>
      </c>
      <c r="D6" t="str">
        <f>'[1]2021 УГРЦТ'!D9</f>
        <v>Машины и оборудование (кроме офисного)</v>
      </c>
      <c r="E6" t="str">
        <f>'[1]2021 УГРЦТ'!E9</f>
        <v>31.03.2010</v>
      </c>
      <c r="F6" t="str">
        <f>'[1]2021 УГРЦТ'!F9</f>
        <v>Газотурбинный цех</v>
      </c>
      <c r="G6">
        <f>'[1]2021 УГРЦТ'!AC9</f>
        <v>240</v>
      </c>
      <c r="H6" s="7">
        <f>'[1]2021 УГРЦТ'!X9</f>
        <v>2926500</v>
      </c>
      <c r="I6" s="7">
        <f>'[1]2021 УГРЦТ'!Y9</f>
        <v>1719318.75</v>
      </c>
      <c r="J6" s="7">
        <f>'[1]2021 УГРЦТ'!Z9</f>
        <v>1207181.25</v>
      </c>
      <c r="K6" s="8">
        <v>0</v>
      </c>
      <c r="L6" s="7">
        <v>12193.75</v>
      </c>
      <c r="M6" s="7"/>
      <c r="N6" s="7">
        <f t="shared" si="0"/>
        <v>146325</v>
      </c>
      <c r="O6" s="7">
        <f t="shared" si="41"/>
        <v>1194987.5</v>
      </c>
      <c r="P6" s="7">
        <f t="shared" si="42"/>
        <v>1182793.75</v>
      </c>
      <c r="Q6" s="7">
        <f t="shared" si="42"/>
        <v>1170600</v>
      </c>
      <c r="R6" s="7">
        <f t="shared" si="42"/>
        <v>1158406.25</v>
      </c>
      <c r="S6" s="7">
        <f t="shared" si="42"/>
        <v>1146212.5</v>
      </c>
      <c r="T6" s="7">
        <f t="shared" si="42"/>
        <v>1134018.75</v>
      </c>
      <c r="U6" s="7">
        <f t="shared" si="42"/>
        <v>1121825</v>
      </c>
      <c r="V6" s="7">
        <f t="shared" si="42"/>
        <v>1109631.25</v>
      </c>
      <c r="W6" s="7">
        <f t="shared" si="42"/>
        <v>1097437.5</v>
      </c>
      <c r="X6" s="7">
        <f t="shared" si="42"/>
        <v>1085243.75</v>
      </c>
      <c r="Y6" s="7">
        <f t="shared" si="42"/>
        <v>1073050</v>
      </c>
      <c r="Z6" s="7">
        <f t="shared" si="42"/>
        <v>1060856.25</v>
      </c>
      <c r="AA6" s="7"/>
      <c r="AB6" s="7"/>
      <c r="AC6" s="7">
        <f t="shared" si="43"/>
        <v>146325</v>
      </c>
      <c r="AD6" s="7">
        <f t="shared" si="44"/>
        <v>1048662.5</v>
      </c>
      <c r="AE6" s="7">
        <f t="shared" si="2"/>
        <v>1036468.75</v>
      </c>
      <c r="AF6" s="7">
        <f t="shared" si="2"/>
        <v>1024275</v>
      </c>
      <c r="AG6" s="7">
        <f t="shared" si="2"/>
        <v>1012081.25</v>
      </c>
      <c r="AH6" s="7">
        <f t="shared" si="2"/>
        <v>999887.5</v>
      </c>
      <c r="AI6" s="7">
        <f t="shared" si="2"/>
        <v>987693.75</v>
      </c>
      <c r="AJ6" s="7">
        <f t="shared" si="2"/>
        <v>975500</v>
      </c>
      <c r="AK6" s="7">
        <f t="shared" si="2"/>
        <v>963306.25</v>
      </c>
      <c r="AL6" s="7">
        <f t="shared" si="2"/>
        <v>951112.5</v>
      </c>
      <c r="AM6" s="7">
        <f t="shared" si="2"/>
        <v>938918.75</v>
      </c>
      <c r="AN6" s="7">
        <f t="shared" si="2"/>
        <v>926725</v>
      </c>
      <c r="AO6" s="7">
        <f t="shared" si="2"/>
        <v>914531.25</v>
      </c>
      <c r="AP6" s="222"/>
      <c r="AQ6" s="7">
        <v>12193.75</v>
      </c>
      <c r="AR6" s="7">
        <f t="shared" si="45"/>
        <v>12193.75</v>
      </c>
      <c r="AS6" s="7">
        <f t="shared" si="46"/>
        <v>0</v>
      </c>
      <c r="AT6" s="7">
        <f t="shared" si="47"/>
        <v>146325</v>
      </c>
      <c r="AU6" s="7">
        <f t="shared" si="3"/>
        <v>902337.5</v>
      </c>
      <c r="AV6" s="7">
        <f t="shared" si="48"/>
        <v>890143.75</v>
      </c>
      <c r="AW6" s="7">
        <f t="shared" si="48"/>
        <v>877950</v>
      </c>
      <c r="AX6" s="7">
        <f t="shared" si="48"/>
        <v>865756.25</v>
      </c>
      <c r="AY6" s="7">
        <f t="shared" si="48"/>
        <v>853562.5</v>
      </c>
      <c r="AZ6" s="7">
        <f t="shared" si="48"/>
        <v>841368.75</v>
      </c>
      <c r="BA6" s="7">
        <f t="shared" si="48"/>
        <v>829175</v>
      </c>
      <c r="BB6" s="7">
        <f t="shared" si="48"/>
        <v>816981.25</v>
      </c>
      <c r="BC6" s="7">
        <f t="shared" si="48"/>
        <v>804787.5</v>
      </c>
      <c r="BD6" s="7">
        <f t="shared" si="48"/>
        <v>792593.75</v>
      </c>
      <c r="BE6" s="7">
        <f t="shared" si="48"/>
        <v>780400</v>
      </c>
      <c r="BF6" s="7">
        <f t="shared" si="48"/>
        <v>768206.25</v>
      </c>
      <c r="BG6" s="236">
        <f t="shared" si="5"/>
        <v>0</v>
      </c>
      <c r="BH6" s="7">
        <v>12193.75</v>
      </c>
      <c r="BI6" s="7">
        <f t="shared" si="6"/>
        <v>146325</v>
      </c>
      <c r="BJ6" s="7">
        <f t="shared" si="7"/>
        <v>756012.5</v>
      </c>
      <c r="BK6" s="7">
        <f t="shared" si="49"/>
        <v>743818.75</v>
      </c>
      <c r="BL6" s="7">
        <f t="shared" si="8"/>
        <v>731625</v>
      </c>
      <c r="BM6" s="7">
        <f t="shared" si="9"/>
        <v>719431.25</v>
      </c>
      <c r="BN6" s="7">
        <f t="shared" si="10"/>
        <v>707237.5</v>
      </c>
      <c r="BO6" s="7">
        <f t="shared" si="11"/>
        <v>695043.75</v>
      </c>
      <c r="BP6" s="7">
        <f t="shared" si="12"/>
        <v>682850</v>
      </c>
      <c r="BQ6" s="7">
        <f t="shared" si="13"/>
        <v>670656.25</v>
      </c>
      <c r="BR6" s="7">
        <f t="shared" si="14"/>
        <v>658462.5</v>
      </c>
      <c r="BS6" s="7">
        <f t="shared" si="15"/>
        <v>646268.75</v>
      </c>
      <c r="BT6" s="7">
        <f t="shared" si="16"/>
        <v>634075</v>
      </c>
      <c r="BU6" s="7">
        <f t="shared" si="17"/>
        <v>621881.25</v>
      </c>
      <c r="BV6" s="236">
        <v>0</v>
      </c>
      <c r="BW6" s="7">
        <v>12193.75</v>
      </c>
      <c r="BX6" s="7">
        <f t="shared" si="18"/>
        <v>146325</v>
      </c>
      <c r="BY6" s="7">
        <f t="shared" si="19"/>
        <v>609687.5</v>
      </c>
      <c r="BZ6" s="7">
        <f t="shared" si="50"/>
        <v>597493.75</v>
      </c>
      <c r="CA6" s="7">
        <f t="shared" si="20"/>
        <v>585300</v>
      </c>
      <c r="CB6" s="7">
        <f t="shared" si="21"/>
        <v>573106.25</v>
      </c>
      <c r="CC6" s="7">
        <f t="shared" si="22"/>
        <v>560912.5</v>
      </c>
      <c r="CD6" s="7">
        <f t="shared" si="23"/>
        <v>548718.75</v>
      </c>
      <c r="CE6" s="7">
        <f t="shared" si="24"/>
        <v>536525</v>
      </c>
      <c r="CF6" s="7">
        <f t="shared" si="25"/>
        <v>524331.25</v>
      </c>
      <c r="CG6" s="7">
        <f t="shared" si="26"/>
        <v>512137.5</v>
      </c>
      <c r="CH6" s="7">
        <f t="shared" si="27"/>
        <v>499943.75</v>
      </c>
      <c r="CI6" s="7">
        <f t="shared" si="28"/>
        <v>487750</v>
      </c>
      <c r="CJ6" s="7">
        <f t="shared" si="29"/>
        <v>475556.25</v>
      </c>
      <c r="CK6" s="236">
        <v>0</v>
      </c>
      <c r="CL6" s="7">
        <v>12193.75</v>
      </c>
      <c r="CM6" s="7">
        <f>CL6*12</f>
        <v>146325</v>
      </c>
      <c r="CN6" s="7">
        <f t="shared" si="30"/>
        <v>463362.5</v>
      </c>
      <c r="CO6" s="7">
        <f t="shared" si="51"/>
        <v>451168.75</v>
      </c>
      <c r="CP6" s="7">
        <f t="shared" si="31"/>
        <v>438975</v>
      </c>
      <c r="CQ6" s="7">
        <f t="shared" si="32"/>
        <v>426781.25</v>
      </c>
      <c r="CR6" s="7">
        <f t="shared" si="33"/>
        <v>414587.5</v>
      </c>
      <c r="CS6" s="7">
        <f t="shared" si="34"/>
        <v>402393.75</v>
      </c>
      <c r="CT6" s="7">
        <f t="shared" si="35"/>
        <v>390200</v>
      </c>
      <c r="CU6" s="7">
        <f t="shared" si="36"/>
        <v>378006.25</v>
      </c>
      <c r="CV6" s="7">
        <f t="shared" si="37"/>
        <v>365812.5</v>
      </c>
      <c r="CW6" s="7">
        <f t="shared" si="38"/>
        <v>353618.75</v>
      </c>
      <c r="CX6" s="7">
        <f t="shared" si="39"/>
        <v>341425</v>
      </c>
      <c r="CY6" s="7">
        <f t="shared" si="40"/>
        <v>329231.25</v>
      </c>
      <c r="CZ6" s="236">
        <v>0</v>
      </c>
    </row>
    <row r="7" spans="1:104" ht="22.5" x14ac:dyDescent="0.2">
      <c r="A7" s="6" t="str">
        <f>'[1]2021 УГРЦТ'!A10</f>
        <v>TIP-HOL-MT-7 - Универсальный монитор-тестер AHD/CVI/TVI/CVBS/SDI и IP-видеосистем</v>
      </c>
      <c r="B7" t="str">
        <f>'[1]2021 УГРЦТ'!B10</f>
        <v>000001855</v>
      </c>
      <c r="C7" t="str">
        <f>'[1]2021 УГРЦТ'!C10</f>
        <v>ПРОИЗВОДСТВО</v>
      </c>
      <c r="D7" t="str">
        <f>'[1]2021 УГРЦТ'!D10</f>
        <v>Машины и оборудование (кроме офисного)</v>
      </c>
      <c r="E7" t="str">
        <f>'[1]2021 УГРЦТ'!E10</f>
        <v>23.06.2021</v>
      </c>
      <c r="F7" t="str">
        <f>'[1]2021 УГРЦТ'!F10</f>
        <v>Электрический цех</v>
      </c>
      <c r="G7">
        <f>'[1]2021 УГРЦТ'!AC10</f>
        <v>84</v>
      </c>
      <c r="H7" s="7">
        <f>'[1]2021 УГРЦТ'!X10</f>
        <v>82366.67</v>
      </c>
      <c r="I7" s="7">
        <f>'[1]2021 УГРЦТ'!Y10</f>
        <v>5883.3335714285713</v>
      </c>
      <c r="J7" s="7">
        <f>'[1]2021 УГРЦТ'!Z10</f>
        <v>76483.336428571434</v>
      </c>
      <c r="K7" s="8">
        <v>0</v>
      </c>
      <c r="L7" s="7">
        <v>980.55999999999983</v>
      </c>
      <c r="M7" s="7"/>
      <c r="N7" s="7">
        <f t="shared" si="0"/>
        <v>11766.719999999998</v>
      </c>
      <c r="O7" s="7">
        <f t="shared" si="41"/>
        <v>75502.776428571437</v>
      </c>
      <c r="P7" s="7">
        <f t="shared" si="42"/>
        <v>74522.216428571439</v>
      </c>
      <c r="Q7" s="7">
        <f t="shared" si="42"/>
        <v>73541.656428571441</v>
      </c>
      <c r="R7" s="7">
        <f t="shared" si="42"/>
        <v>72561.096428571444</v>
      </c>
      <c r="S7" s="7">
        <f t="shared" si="42"/>
        <v>71580.536428571446</v>
      </c>
      <c r="T7" s="7">
        <f t="shared" si="42"/>
        <v>70599.976428571448</v>
      </c>
      <c r="U7" s="7">
        <f t="shared" si="42"/>
        <v>69619.416428571451</v>
      </c>
      <c r="V7" s="7">
        <f t="shared" si="42"/>
        <v>68638.856428571453</v>
      </c>
      <c r="W7" s="7">
        <f t="shared" si="42"/>
        <v>67658.296428571455</v>
      </c>
      <c r="X7" s="7">
        <f t="shared" si="42"/>
        <v>66677.736428571458</v>
      </c>
      <c r="Y7" s="7">
        <f t="shared" si="42"/>
        <v>65697.17642857146</v>
      </c>
      <c r="Z7" s="7">
        <f t="shared" si="42"/>
        <v>64716.616428571462</v>
      </c>
      <c r="AA7" s="7"/>
      <c r="AB7" s="7"/>
      <c r="AC7" s="7">
        <f t="shared" si="43"/>
        <v>11766.719999999998</v>
      </c>
      <c r="AD7" s="7">
        <f t="shared" si="44"/>
        <v>63736.056428571464</v>
      </c>
      <c r="AE7" s="7">
        <f t="shared" si="2"/>
        <v>62755.496428571467</v>
      </c>
      <c r="AF7" s="7">
        <f t="shared" si="2"/>
        <v>61774.936428571469</v>
      </c>
      <c r="AG7" s="7">
        <f t="shared" si="2"/>
        <v>60794.376428571471</v>
      </c>
      <c r="AH7" s="7">
        <f t="shared" si="2"/>
        <v>59813.816428571474</v>
      </c>
      <c r="AI7" s="7">
        <f t="shared" si="2"/>
        <v>58833.256428571476</v>
      </c>
      <c r="AJ7" s="7">
        <f t="shared" si="2"/>
        <v>57852.696428571478</v>
      </c>
      <c r="AK7" s="7">
        <f t="shared" si="2"/>
        <v>56872.136428571481</v>
      </c>
      <c r="AL7" s="7">
        <f t="shared" si="2"/>
        <v>55891.576428571483</v>
      </c>
      <c r="AM7" s="7">
        <f t="shared" si="2"/>
        <v>54911.016428571485</v>
      </c>
      <c r="AN7" s="7">
        <f t="shared" si="2"/>
        <v>53930.456428571488</v>
      </c>
      <c r="AO7" s="7">
        <f t="shared" si="2"/>
        <v>52949.89642857149</v>
      </c>
      <c r="AP7" s="222"/>
      <c r="AQ7" s="7">
        <v>980.55999999999983</v>
      </c>
      <c r="AR7" s="7">
        <f t="shared" si="45"/>
        <v>980.55999999999767</v>
      </c>
      <c r="AS7" s="7">
        <f t="shared" si="46"/>
        <v>-2.1600499167107046E-12</v>
      </c>
      <c r="AT7" s="7">
        <f t="shared" si="47"/>
        <v>11766.719999999998</v>
      </c>
      <c r="AU7" s="7">
        <f t="shared" si="3"/>
        <v>51969.336428571492</v>
      </c>
      <c r="AV7" s="7">
        <f t="shared" si="48"/>
        <v>50988.776428571495</v>
      </c>
      <c r="AW7" s="7">
        <f t="shared" si="48"/>
        <v>50008.216428571497</v>
      </c>
      <c r="AX7" s="7">
        <f t="shared" si="48"/>
        <v>49027.656428571499</v>
      </c>
      <c r="AY7" s="7">
        <f t="shared" si="48"/>
        <v>48047.096428571502</v>
      </c>
      <c r="AZ7" s="7">
        <f t="shared" si="48"/>
        <v>47066.536428571504</v>
      </c>
      <c r="BA7" s="7">
        <f t="shared" si="48"/>
        <v>46085.976428571506</v>
      </c>
      <c r="BB7" s="7">
        <f t="shared" si="48"/>
        <v>45105.416428571509</v>
      </c>
      <c r="BC7" s="7">
        <f t="shared" si="48"/>
        <v>44124.856428571511</v>
      </c>
      <c r="BD7" s="7">
        <f t="shared" si="48"/>
        <v>43144.296428571513</v>
      </c>
      <c r="BE7" s="7">
        <f t="shared" si="48"/>
        <v>42163.736428571516</v>
      </c>
      <c r="BF7" s="7">
        <f t="shared" si="48"/>
        <v>41183.176428571518</v>
      </c>
      <c r="BG7" s="236">
        <f t="shared" si="5"/>
        <v>0</v>
      </c>
      <c r="BH7" s="7">
        <v>980.55999999999983</v>
      </c>
      <c r="BI7" s="7">
        <f t="shared" si="6"/>
        <v>11766.719999999998</v>
      </c>
      <c r="BJ7" s="7">
        <f t="shared" si="7"/>
        <v>40202.61642857152</v>
      </c>
      <c r="BK7" s="7">
        <f t="shared" si="49"/>
        <v>39222.056428571523</v>
      </c>
      <c r="BL7" s="7">
        <f t="shared" si="8"/>
        <v>38241.496428571525</v>
      </c>
      <c r="BM7" s="7">
        <f t="shared" si="9"/>
        <v>37260.936428571527</v>
      </c>
      <c r="BN7" s="7">
        <f t="shared" si="10"/>
        <v>36280.37642857153</v>
      </c>
      <c r="BO7" s="7">
        <f t="shared" si="11"/>
        <v>35299.816428571532</v>
      </c>
      <c r="BP7" s="7">
        <f t="shared" si="12"/>
        <v>34319.256428571534</v>
      </c>
      <c r="BQ7" s="7">
        <f t="shared" si="13"/>
        <v>33338.696428571537</v>
      </c>
      <c r="BR7" s="7">
        <f t="shared" si="14"/>
        <v>32358.136428571535</v>
      </c>
      <c r="BS7" s="7">
        <f t="shared" si="15"/>
        <v>31377.576428571534</v>
      </c>
      <c r="BT7" s="7">
        <f t="shared" si="16"/>
        <v>30397.016428571533</v>
      </c>
      <c r="BU7" s="7">
        <f t="shared" si="17"/>
        <v>29416.456428571531</v>
      </c>
      <c r="BV7" s="236">
        <v>0</v>
      </c>
      <c r="BW7" s="7">
        <v>980.55999999999983</v>
      </c>
      <c r="BX7" s="7">
        <f t="shared" si="18"/>
        <v>11766.719999999998</v>
      </c>
      <c r="BY7" s="7">
        <f t="shared" si="19"/>
        <v>28435.89642857153</v>
      </c>
      <c r="BZ7" s="7">
        <f t="shared" si="50"/>
        <v>27455.336428571529</v>
      </c>
      <c r="CA7" s="7">
        <f t="shared" si="20"/>
        <v>26474.776428571528</v>
      </c>
      <c r="CB7" s="7">
        <f t="shared" si="21"/>
        <v>25494.216428571526</v>
      </c>
      <c r="CC7" s="7">
        <f t="shared" si="22"/>
        <v>24513.656428571525</v>
      </c>
      <c r="CD7" s="7">
        <f t="shared" si="23"/>
        <v>23533.096428571524</v>
      </c>
      <c r="CE7" s="7">
        <f t="shared" si="24"/>
        <v>22552.536428571522</v>
      </c>
      <c r="CF7" s="7">
        <f t="shared" si="25"/>
        <v>21571.976428571521</v>
      </c>
      <c r="CG7" s="7">
        <f t="shared" si="26"/>
        <v>20591.41642857152</v>
      </c>
      <c r="CH7" s="7">
        <f t="shared" si="27"/>
        <v>19610.856428571518</v>
      </c>
      <c r="CI7" s="7">
        <f t="shared" si="28"/>
        <v>18630.296428571517</v>
      </c>
      <c r="CJ7" s="7">
        <f t="shared" si="29"/>
        <v>17649.736428571516</v>
      </c>
      <c r="CK7" s="236">
        <v>0</v>
      </c>
      <c r="CL7" s="7">
        <v>980.55999999999983</v>
      </c>
      <c r="CM7" s="7">
        <f>CL7*12</f>
        <v>11766.719999999998</v>
      </c>
      <c r="CN7" s="7">
        <f t="shared" si="30"/>
        <v>16669.176428571514</v>
      </c>
      <c r="CO7" s="7">
        <f t="shared" si="51"/>
        <v>15688.616428571515</v>
      </c>
      <c r="CP7" s="7">
        <f t="shared" si="31"/>
        <v>14708.056428571515</v>
      </c>
      <c r="CQ7" s="7">
        <f t="shared" si="32"/>
        <v>13727.496428571516</v>
      </c>
      <c r="CR7" s="7">
        <f t="shared" si="33"/>
        <v>12746.936428571516</v>
      </c>
      <c r="CS7" s="7">
        <f t="shared" si="34"/>
        <v>11766.376428571517</v>
      </c>
      <c r="CT7" s="7">
        <f t="shared" si="35"/>
        <v>10785.816428571517</v>
      </c>
      <c r="CU7" s="7">
        <f t="shared" si="36"/>
        <v>9805.256428571518</v>
      </c>
      <c r="CV7" s="7">
        <f t="shared" si="37"/>
        <v>8824.6964285715185</v>
      </c>
      <c r="CW7" s="7">
        <f t="shared" si="38"/>
        <v>7844.136428571519</v>
      </c>
      <c r="CX7" s="7">
        <f t="shared" si="39"/>
        <v>6863.5764285715195</v>
      </c>
      <c r="CY7" s="7">
        <f t="shared" si="40"/>
        <v>5883.01642857152</v>
      </c>
      <c r="CZ7" s="236">
        <v>0</v>
      </c>
    </row>
    <row r="8" spans="1:104" x14ac:dyDescent="0.2">
      <c r="A8" s="6" t="str">
        <f>'[1]2021 УГРЦТ'!A11</f>
        <v>Аппарат для испытания масла "ВОЛНА-АИМ90В"</v>
      </c>
      <c r="B8" t="str">
        <f>'[1]2021 УГРЦТ'!B11</f>
        <v>000001705</v>
      </c>
      <c r="C8" t="str">
        <f>'[1]2021 УГРЦТ'!C11</f>
        <v>ПРОИЗВОДСТВО</v>
      </c>
      <c r="D8" t="str">
        <f>'[1]2021 УГРЦТ'!D11</f>
        <v>Машины и оборудование (кроме офисного)</v>
      </c>
      <c r="E8" t="str">
        <f>'[1]2021 УГРЦТ'!E11</f>
        <v>18.07.2017</v>
      </c>
      <c r="F8" t="str">
        <f>'[1]2021 УГРЦТ'!F11</f>
        <v>Электрический цех</v>
      </c>
      <c r="G8">
        <f>'[1]2021 УГРЦТ'!AC11</f>
        <v>120</v>
      </c>
      <c r="H8" s="7">
        <f>'[1]2021 УГРЦТ'!X11</f>
        <v>142372.88</v>
      </c>
      <c r="I8" s="7">
        <f>'[1]2021 УГРЦТ'!Y11</f>
        <v>62881.328000000001</v>
      </c>
      <c r="J8" s="7">
        <f>'[1]2021 УГРЦТ'!Z11</f>
        <v>79491.551999999996</v>
      </c>
      <c r="K8" s="8">
        <v>0</v>
      </c>
      <c r="L8" s="7">
        <v>1186.4400000000003</v>
      </c>
      <c r="M8" s="7"/>
      <c r="N8" s="7">
        <f t="shared" si="0"/>
        <v>14237.280000000002</v>
      </c>
      <c r="O8" s="7">
        <f t="shared" si="41"/>
        <v>78305.111999999994</v>
      </c>
      <c r="P8" s="7">
        <f t="shared" si="42"/>
        <v>77118.671999999991</v>
      </c>
      <c r="Q8" s="7">
        <f t="shared" si="42"/>
        <v>75932.231999999989</v>
      </c>
      <c r="R8" s="7">
        <f t="shared" si="42"/>
        <v>74745.791999999987</v>
      </c>
      <c r="S8" s="7">
        <f t="shared" si="42"/>
        <v>73559.351999999984</v>
      </c>
      <c r="T8" s="7">
        <f t="shared" si="42"/>
        <v>72372.911999999982</v>
      </c>
      <c r="U8" s="7">
        <f t="shared" si="42"/>
        <v>71186.47199999998</v>
      </c>
      <c r="V8" s="7">
        <f t="shared" si="42"/>
        <v>70000.031999999977</v>
      </c>
      <c r="W8" s="7">
        <f t="shared" si="42"/>
        <v>68813.591999999975</v>
      </c>
      <c r="X8" s="7">
        <f t="shared" si="42"/>
        <v>67627.151999999973</v>
      </c>
      <c r="Y8" s="7">
        <f t="shared" si="42"/>
        <v>66440.71199999997</v>
      </c>
      <c r="Z8" s="7">
        <f t="shared" si="42"/>
        <v>65254.271999999968</v>
      </c>
      <c r="AA8" s="7"/>
      <c r="AB8" s="7"/>
      <c r="AC8" s="7">
        <f t="shared" si="43"/>
        <v>14237.280000000002</v>
      </c>
      <c r="AD8" s="7">
        <f t="shared" si="44"/>
        <v>64067.831999999966</v>
      </c>
      <c r="AE8" s="7">
        <f t="shared" si="2"/>
        <v>62881.391999999963</v>
      </c>
      <c r="AF8" s="7">
        <f t="shared" si="2"/>
        <v>61694.951999999961</v>
      </c>
      <c r="AG8" s="7">
        <f t="shared" si="2"/>
        <v>60508.511999999959</v>
      </c>
      <c r="AH8" s="7">
        <f t="shared" si="2"/>
        <v>59322.071999999956</v>
      </c>
      <c r="AI8" s="7">
        <f t="shared" si="2"/>
        <v>58135.631999999954</v>
      </c>
      <c r="AJ8" s="7">
        <f t="shared" si="2"/>
        <v>56949.191999999952</v>
      </c>
      <c r="AK8" s="7">
        <f t="shared" si="2"/>
        <v>55762.751999999949</v>
      </c>
      <c r="AL8" s="7">
        <f t="shared" si="2"/>
        <v>54576.311999999947</v>
      </c>
      <c r="AM8" s="7">
        <f t="shared" si="2"/>
        <v>53389.871999999945</v>
      </c>
      <c r="AN8" s="7">
        <f t="shared" si="2"/>
        <v>52203.431999999942</v>
      </c>
      <c r="AO8" s="7">
        <f t="shared" si="2"/>
        <v>51016.99199999994</v>
      </c>
      <c r="AP8" s="222"/>
      <c r="AQ8" s="7">
        <v>1186.4400000000003</v>
      </c>
      <c r="AR8" s="7">
        <f t="shared" si="45"/>
        <v>1186.4400000000023</v>
      </c>
      <c r="AS8" s="7">
        <f t="shared" si="46"/>
        <v>2.0463630789890885E-12</v>
      </c>
      <c r="AT8" s="7">
        <f t="shared" si="47"/>
        <v>14237.280000000002</v>
      </c>
      <c r="AU8" s="7">
        <f t="shared" si="3"/>
        <v>49830.551999999938</v>
      </c>
      <c r="AV8" s="7">
        <f t="shared" si="48"/>
        <v>48644.111999999936</v>
      </c>
      <c r="AW8" s="7">
        <f t="shared" si="48"/>
        <v>47457.671999999933</v>
      </c>
      <c r="AX8" s="7">
        <f t="shared" si="48"/>
        <v>46271.231999999931</v>
      </c>
      <c r="AY8" s="7">
        <f t="shared" si="48"/>
        <v>45084.791999999929</v>
      </c>
      <c r="AZ8" s="7">
        <f t="shared" si="48"/>
        <v>43898.351999999926</v>
      </c>
      <c r="BA8" s="7">
        <f t="shared" si="48"/>
        <v>42711.911999999924</v>
      </c>
      <c r="BB8" s="7">
        <f t="shared" si="48"/>
        <v>41525.471999999922</v>
      </c>
      <c r="BC8" s="7">
        <f t="shared" si="48"/>
        <v>40339.031999999919</v>
      </c>
      <c r="BD8" s="7">
        <f t="shared" si="48"/>
        <v>39152.591999999917</v>
      </c>
      <c r="BE8" s="7">
        <f t="shared" si="48"/>
        <v>37966.151999999915</v>
      </c>
      <c r="BF8" s="7">
        <f t="shared" si="48"/>
        <v>36779.711999999912</v>
      </c>
      <c r="BG8" s="236">
        <f t="shared" si="5"/>
        <v>0</v>
      </c>
      <c r="BH8" s="7">
        <v>1186.4400000000003</v>
      </c>
      <c r="BI8" s="7">
        <f t="shared" si="6"/>
        <v>14237.280000000002</v>
      </c>
      <c r="BJ8" s="7">
        <f t="shared" si="7"/>
        <v>35593.27199999991</v>
      </c>
      <c r="BK8" s="7">
        <f t="shared" si="49"/>
        <v>34406.831999999908</v>
      </c>
      <c r="BL8" s="7">
        <f t="shared" si="8"/>
        <v>33220.391999999905</v>
      </c>
      <c r="BM8" s="7">
        <f t="shared" si="9"/>
        <v>32033.951999999907</v>
      </c>
      <c r="BN8" s="7">
        <f t="shared" si="10"/>
        <v>30847.511999999908</v>
      </c>
      <c r="BO8" s="7">
        <f t="shared" si="11"/>
        <v>29661.071999999909</v>
      </c>
      <c r="BP8" s="7">
        <f t="shared" si="12"/>
        <v>28474.63199999991</v>
      </c>
      <c r="BQ8" s="7">
        <f t="shared" si="13"/>
        <v>27288.191999999912</v>
      </c>
      <c r="BR8" s="7">
        <f t="shared" si="14"/>
        <v>26101.751999999913</v>
      </c>
      <c r="BS8" s="7">
        <f t="shared" si="15"/>
        <v>24915.311999999914</v>
      </c>
      <c r="BT8" s="7">
        <f t="shared" si="16"/>
        <v>23728.871999999916</v>
      </c>
      <c r="BU8" s="7">
        <f t="shared" si="17"/>
        <v>22542.431999999917</v>
      </c>
      <c r="BV8" s="236">
        <v>0</v>
      </c>
      <c r="BW8" s="7">
        <v>1186.4400000000003</v>
      </c>
      <c r="BX8" s="7">
        <f t="shared" si="18"/>
        <v>14237.280000000002</v>
      </c>
      <c r="BY8" s="7">
        <f t="shared" si="19"/>
        <v>21355.991999999918</v>
      </c>
      <c r="BZ8" s="7">
        <f t="shared" si="50"/>
        <v>20169.55199999992</v>
      </c>
      <c r="CA8" s="7">
        <f t="shared" si="20"/>
        <v>18983.111999999921</v>
      </c>
      <c r="CB8" s="7">
        <f t="shared" si="21"/>
        <v>17796.671999999922</v>
      </c>
      <c r="CC8" s="7">
        <f t="shared" si="22"/>
        <v>16610.231999999924</v>
      </c>
      <c r="CD8" s="7">
        <f t="shared" si="23"/>
        <v>15423.791999999923</v>
      </c>
      <c r="CE8" s="7">
        <f t="shared" si="24"/>
        <v>14237.351999999923</v>
      </c>
      <c r="CF8" s="7">
        <f t="shared" si="25"/>
        <v>13050.911999999922</v>
      </c>
      <c r="CG8" s="7">
        <f t="shared" si="26"/>
        <v>11864.471999999922</v>
      </c>
      <c r="CH8" s="7">
        <f t="shared" si="27"/>
        <v>10678.031999999921</v>
      </c>
      <c r="CI8" s="7">
        <f t="shared" si="28"/>
        <v>9491.5919999999205</v>
      </c>
      <c r="CJ8" s="7">
        <f t="shared" si="29"/>
        <v>8305.15199999992</v>
      </c>
      <c r="CK8" s="236">
        <v>0</v>
      </c>
      <c r="CL8" s="7">
        <v>1186.4400000000003</v>
      </c>
      <c r="CM8" s="7">
        <v>8305.15</v>
      </c>
      <c r="CN8" s="7">
        <f t="shared" si="30"/>
        <v>7118.7119999999195</v>
      </c>
      <c r="CO8" s="7">
        <f t="shared" si="51"/>
        <v>5932.271999999919</v>
      </c>
      <c r="CP8" s="7">
        <f t="shared" si="31"/>
        <v>4745.8319999999185</v>
      </c>
      <c r="CQ8" s="7">
        <f t="shared" si="32"/>
        <v>3559.391999999918</v>
      </c>
      <c r="CR8" s="7">
        <f t="shared" si="33"/>
        <v>2372.9519999999175</v>
      </c>
      <c r="CS8" s="7">
        <f t="shared" si="34"/>
        <v>1186.5119999999172</v>
      </c>
      <c r="CT8" s="7">
        <f t="shared" si="35"/>
        <v>7.199999991689765E-2</v>
      </c>
      <c r="CU8" s="7"/>
      <c r="CV8" s="7"/>
      <c r="CW8" s="7"/>
      <c r="CX8" s="7"/>
      <c r="CY8" s="7"/>
      <c r="CZ8" s="236">
        <v>0</v>
      </c>
    </row>
    <row r="9" spans="1:104" x14ac:dyDescent="0.2">
      <c r="A9" s="6" t="str">
        <f>'[1]2021 УГРЦТ'!A12</f>
        <v>Аппаратура виброконтроля СВКА 1-2-06</v>
      </c>
      <c r="B9" t="str">
        <f>'[1]2021 УГРЦТ'!B12</f>
        <v>000001824</v>
      </c>
      <c r="C9" t="str">
        <f>'[1]2021 УГРЦТ'!C12</f>
        <v>ПРОИЗВОДСТВО</v>
      </c>
      <c r="D9" t="str">
        <f>'[1]2021 УГРЦТ'!D12</f>
        <v>Машины и оборудование (кроме офисного)</v>
      </c>
      <c r="E9" t="str">
        <f>'[1]2021 УГРЦТ'!E12</f>
        <v>02.11.2020</v>
      </c>
      <c r="F9" t="str">
        <f>'[1]2021 УГРЦТ'!F12</f>
        <v>Газотурбинный цех</v>
      </c>
      <c r="G9">
        <f>'[1]2021 УГРЦТ'!AC12</f>
        <v>84</v>
      </c>
      <c r="H9" s="7">
        <f>'[1]2021 УГРЦТ'!X12</f>
        <v>821895</v>
      </c>
      <c r="I9" s="7">
        <f>'[1]2021 УГРЦТ'!Y12</f>
        <v>127198.03142857147</v>
      </c>
      <c r="J9" s="7">
        <f>'[1]2021 УГРЦТ'!Z12</f>
        <v>694696.96857142856</v>
      </c>
      <c r="K9" s="8">
        <v>0</v>
      </c>
      <c r="L9" s="7">
        <v>9784.4658330000002</v>
      </c>
      <c r="M9" s="7"/>
      <c r="N9" s="7">
        <f t="shared" si="0"/>
        <v>117413.589996</v>
      </c>
      <c r="O9" s="7">
        <f t="shared" si="41"/>
        <v>684912.50273842853</v>
      </c>
      <c r="P9" s="7">
        <f t="shared" si="42"/>
        <v>675128.03690542851</v>
      </c>
      <c r="Q9" s="7">
        <f t="shared" si="42"/>
        <v>665343.57107242849</v>
      </c>
      <c r="R9" s="7">
        <f t="shared" si="42"/>
        <v>655559.10523942846</v>
      </c>
      <c r="S9" s="7">
        <f t="shared" si="42"/>
        <v>645774.63940642844</v>
      </c>
      <c r="T9" s="7">
        <f t="shared" si="42"/>
        <v>635990.17357342842</v>
      </c>
      <c r="U9" s="7">
        <f t="shared" si="42"/>
        <v>626205.70774042839</v>
      </c>
      <c r="V9" s="7">
        <f t="shared" si="42"/>
        <v>616421.24190742837</v>
      </c>
      <c r="W9" s="7">
        <f t="shared" si="42"/>
        <v>606636.77607442834</v>
      </c>
      <c r="X9" s="7">
        <f t="shared" si="42"/>
        <v>596852.31024142832</v>
      </c>
      <c r="Y9" s="7">
        <f t="shared" si="42"/>
        <v>587067.8444084283</v>
      </c>
      <c r="Z9" s="7">
        <f t="shared" si="42"/>
        <v>577283.37857542827</v>
      </c>
      <c r="AA9" s="7"/>
      <c r="AB9" s="7"/>
      <c r="AC9" s="7">
        <f t="shared" si="43"/>
        <v>117413.589996</v>
      </c>
      <c r="AD9" s="7">
        <f t="shared" si="44"/>
        <v>567498.91274242825</v>
      </c>
      <c r="AE9" s="7">
        <f t="shared" si="2"/>
        <v>557714.44690942822</v>
      </c>
      <c r="AF9" s="7">
        <f t="shared" si="2"/>
        <v>547929.9810764282</v>
      </c>
      <c r="AG9" s="7">
        <f t="shared" si="2"/>
        <v>538145.51524342818</v>
      </c>
      <c r="AH9" s="7">
        <f t="shared" si="2"/>
        <v>528361.04941042815</v>
      </c>
      <c r="AI9" s="7">
        <f t="shared" si="2"/>
        <v>518576.58357742813</v>
      </c>
      <c r="AJ9" s="7">
        <f t="shared" si="2"/>
        <v>508792.11774442811</v>
      </c>
      <c r="AK9" s="7">
        <f t="shared" si="2"/>
        <v>499007.65191142808</v>
      </c>
      <c r="AL9" s="7">
        <f t="shared" si="2"/>
        <v>489223.18607842806</v>
      </c>
      <c r="AM9" s="7">
        <f t="shared" si="2"/>
        <v>479438.72024542803</v>
      </c>
      <c r="AN9" s="7">
        <f t="shared" si="2"/>
        <v>469654.25441242801</v>
      </c>
      <c r="AO9" s="7">
        <f t="shared" si="2"/>
        <v>459869.78857942799</v>
      </c>
      <c r="AP9" s="222"/>
      <c r="AQ9" s="7">
        <v>9784.4658330000002</v>
      </c>
      <c r="AR9" s="7">
        <f t="shared" si="45"/>
        <v>9784.4658330000238</v>
      </c>
      <c r="AS9" s="7">
        <f t="shared" si="46"/>
        <v>2.3646862246096134E-11</v>
      </c>
      <c r="AT9" s="7">
        <f t="shared" si="47"/>
        <v>117413.589996</v>
      </c>
      <c r="AU9" s="7">
        <f t="shared" si="3"/>
        <v>450085.32274642796</v>
      </c>
      <c r="AV9" s="7">
        <f t="shared" si="48"/>
        <v>440300.85691342794</v>
      </c>
      <c r="AW9" s="7">
        <f t="shared" si="48"/>
        <v>430516.39108042791</v>
      </c>
      <c r="AX9" s="7">
        <f t="shared" si="48"/>
        <v>420731.92524742789</v>
      </c>
      <c r="AY9" s="7">
        <f t="shared" si="48"/>
        <v>410947.45941442787</v>
      </c>
      <c r="AZ9" s="7">
        <f t="shared" si="48"/>
        <v>401162.99358142784</v>
      </c>
      <c r="BA9" s="7">
        <f t="shared" si="48"/>
        <v>391378.52774842782</v>
      </c>
      <c r="BB9" s="7">
        <f t="shared" si="48"/>
        <v>381594.0619154278</v>
      </c>
      <c r="BC9" s="7">
        <f t="shared" si="48"/>
        <v>371809.59608242777</v>
      </c>
      <c r="BD9" s="7">
        <f t="shared" si="48"/>
        <v>362025.13024942775</v>
      </c>
      <c r="BE9" s="7">
        <f t="shared" si="48"/>
        <v>352240.66441642772</v>
      </c>
      <c r="BF9" s="7">
        <f t="shared" si="48"/>
        <v>342456.1985834277</v>
      </c>
      <c r="BG9" s="236">
        <f t="shared" si="5"/>
        <v>0</v>
      </c>
      <c r="BH9" s="7">
        <v>9784.4658330000002</v>
      </c>
      <c r="BI9" s="7">
        <f t="shared" si="6"/>
        <v>117413.589996</v>
      </c>
      <c r="BJ9" s="7">
        <f t="shared" si="7"/>
        <v>332671.73275042768</v>
      </c>
      <c r="BK9" s="7">
        <f t="shared" si="49"/>
        <v>322887.26691742765</v>
      </c>
      <c r="BL9" s="7">
        <f t="shared" si="8"/>
        <v>313102.80108442763</v>
      </c>
      <c r="BM9" s="7">
        <f t="shared" si="9"/>
        <v>303318.3352514276</v>
      </c>
      <c r="BN9" s="7">
        <f t="shared" si="10"/>
        <v>293533.86941842758</v>
      </c>
      <c r="BO9" s="7">
        <f t="shared" si="11"/>
        <v>283749.40358542756</v>
      </c>
      <c r="BP9" s="7">
        <f t="shared" si="12"/>
        <v>273964.93775242753</v>
      </c>
      <c r="BQ9" s="7">
        <f t="shared" si="13"/>
        <v>264180.47191942751</v>
      </c>
      <c r="BR9" s="7">
        <f t="shared" si="14"/>
        <v>254396.00608642751</v>
      </c>
      <c r="BS9" s="7">
        <f t="shared" si="15"/>
        <v>244611.54025342752</v>
      </c>
      <c r="BT9" s="7">
        <f t="shared" si="16"/>
        <v>234827.07442042753</v>
      </c>
      <c r="BU9" s="7">
        <f t="shared" si="17"/>
        <v>225042.60858742753</v>
      </c>
      <c r="BV9" s="236">
        <v>0</v>
      </c>
      <c r="BW9" s="7">
        <v>9784.4658330000002</v>
      </c>
      <c r="BX9" s="7">
        <f t="shared" si="18"/>
        <v>117413.589996</v>
      </c>
      <c r="BY9" s="7">
        <f t="shared" si="19"/>
        <v>215258.14275442754</v>
      </c>
      <c r="BZ9" s="7">
        <f t="shared" si="50"/>
        <v>205473.67692142754</v>
      </c>
      <c r="CA9" s="7">
        <f t="shared" si="20"/>
        <v>195689.21108842755</v>
      </c>
      <c r="CB9" s="7">
        <f t="shared" si="21"/>
        <v>185904.74525542755</v>
      </c>
      <c r="CC9" s="7">
        <f t="shared" si="22"/>
        <v>176120.27942242756</v>
      </c>
      <c r="CD9" s="7">
        <f t="shared" si="23"/>
        <v>166335.81358942756</v>
      </c>
      <c r="CE9" s="7">
        <f t="shared" si="24"/>
        <v>156551.34775642757</v>
      </c>
      <c r="CF9" s="7">
        <f t="shared" si="25"/>
        <v>146766.88192342757</v>
      </c>
      <c r="CG9" s="7">
        <f t="shared" si="26"/>
        <v>136982.41609042758</v>
      </c>
      <c r="CH9" s="7">
        <f t="shared" si="27"/>
        <v>127197.95025742758</v>
      </c>
      <c r="CI9" s="7">
        <f t="shared" si="28"/>
        <v>117413.48442442759</v>
      </c>
      <c r="CJ9" s="7">
        <f t="shared" si="29"/>
        <v>107629.01859142759</v>
      </c>
      <c r="CK9" s="236">
        <v>0</v>
      </c>
      <c r="CL9" s="7">
        <v>9784.4658330000002</v>
      </c>
      <c r="CM9" s="7">
        <v>107629.02</v>
      </c>
      <c r="CN9" s="7">
        <f t="shared" si="30"/>
        <v>97844.552758427599</v>
      </c>
      <c r="CO9" s="7">
        <f t="shared" si="51"/>
        <v>88060.086925427604</v>
      </c>
      <c r="CP9" s="7">
        <f t="shared" si="31"/>
        <v>78275.621092427609</v>
      </c>
      <c r="CQ9" s="7">
        <f t="shared" si="32"/>
        <v>68491.155259427615</v>
      </c>
      <c r="CR9" s="7">
        <f t="shared" si="33"/>
        <v>58706.689426427612</v>
      </c>
      <c r="CS9" s="7">
        <f t="shared" si="34"/>
        <v>48922.22359342761</v>
      </c>
      <c r="CT9" s="7">
        <f t="shared" si="35"/>
        <v>39137.757760427608</v>
      </c>
      <c r="CU9" s="7">
        <f t="shared" si="36"/>
        <v>29353.291927427606</v>
      </c>
      <c r="CV9" s="7">
        <f t="shared" si="37"/>
        <v>19568.826094427604</v>
      </c>
      <c r="CW9" s="7">
        <f t="shared" si="38"/>
        <v>9784.3602614276042</v>
      </c>
      <c r="CX9" s="7"/>
      <c r="CY9" s="7"/>
      <c r="CZ9" s="236">
        <v>0</v>
      </c>
    </row>
    <row r="10" spans="1:104" x14ac:dyDescent="0.2">
      <c r="A10" s="6" t="str">
        <f>'[1]2021 УГРЦТ'!A13</f>
        <v>Блок управления БУШ ДГ-011 №960811011058</v>
      </c>
      <c r="B10" t="str">
        <f>'[1]2021 УГРЦТ'!B13</f>
        <v>00001378</v>
      </c>
      <c r="C10" t="str">
        <f>'[1]2021 УГРЦТ'!C13</f>
        <v>ПРОИЗВОДСТВО</v>
      </c>
      <c r="D10" t="str">
        <f>'[1]2021 УГРЦТ'!D13</f>
        <v>Машины и оборудование (кроме офисного)</v>
      </c>
      <c r="E10" t="str">
        <f>'[1]2021 УГРЦТ'!E13</f>
        <v>18.10.2011</v>
      </c>
      <c r="F10" t="str">
        <f>'[1]2021 УГРЦТ'!F13</f>
        <v>Газотурбинный цех</v>
      </c>
      <c r="G10">
        <f>'[1]2021 УГРЦТ'!AC13</f>
        <v>120</v>
      </c>
      <c r="H10" s="7">
        <f>'[1]2021 УГРЦТ'!X13</f>
        <v>315000</v>
      </c>
      <c r="I10" s="7">
        <f>'[1]2021 УГРЦТ'!Y13</f>
        <v>315000</v>
      </c>
      <c r="J10" s="7">
        <f>'[1]2021 УГРЦТ'!Z13</f>
        <v>0</v>
      </c>
      <c r="K10" s="8">
        <v>0</v>
      </c>
      <c r="L10" s="7">
        <v>0</v>
      </c>
      <c r="M10" s="7"/>
      <c r="N10" s="7">
        <f t="shared" si="0"/>
        <v>0</v>
      </c>
      <c r="O10" s="7">
        <f t="shared" si="41"/>
        <v>0</v>
      </c>
      <c r="P10" s="7">
        <f t="shared" si="42"/>
        <v>0</v>
      </c>
      <c r="Q10" s="7">
        <f t="shared" si="42"/>
        <v>0</v>
      </c>
      <c r="R10" s="7">
        <f t="shared" si="42"/>
        <v>0</v>
      </c>
      <c r="S10" s="7">
        <f t="shared" si="42"/>
        <v>0</v>
      </c>
      <c r="T10" s="7">
        <f t="shared" si="42"/>
        <v>0</v>
      </c>
      <c r="U10" s="7">
        <f t="shared" si="42"/>
        <v>0</v>
      </c>
      <c r="V10" s="7">
        <f t="shared" si="42"/>
        <v>0</v>
      </c>
      <c r="W10" s="7">
        <f t="shared" si="42"/>
        <v>0</v>
      </c>
      <c r="X10" s="7">
        <f t="shared" si="42"/>
        <v>0</v>
      </c>
      <c r="Y10" s="7">
        <f t="shared" si="42"/>
        <v>0</v>
      </c>
      <c r="Z10" s="7">
        <f t="shared" si="42"/>
        <v>0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222"/>
      <c r="AQ10" s="7">
        <v>0</v>
      </c>
      <c r="AR10" s="7">
        <f t="shared" si="45"/>
        <v>0</v>
      </c>
      <c r="AS10" s="7">
        <f t="shared" si="46"/>
        <v>0</v>
      </c>
      <c r="BG10" s="236">
        <f t="shared" si="5"/>
        <v>0</v>
      </c>
      <c r="BH10" s="7">
        <v>0</v>
      </c>
      <c r="BV10" s="236">
        <f>IF(Z10&lt;1,0,SUM(BJ10:BU10,BF10)/13*$BG$1)</f>
        <v>0</v>
      </c>
      <c r="BW10" s="7">
        <v>0</v>
      </c>
      <c r="CK10" s="236">
        <f>IF(AO10&lt;1,0,SUM(BY10:CJ10,BU10)/13*$BG$1)</f>
        <v>0</v>
      </c>
      <c r="CL10" s="7">
        <v>0</v>
      </c>
      <c r="CZ10" s="236">
        <f>IF(BF10&lt;1,0,SUM(CN10:CY10,CJ10)/13*$BG$1)</f>
        <v>0</v>
      </c>
    </row>
    <row r="11" spans="1:104" ht="22.5" x14ac:dyDescent="0.2">
      <c r="A11" s="6" t="str">
        <f>'[1]2021 УГРЦТ'!A14</f>
        <v>Видеоэндоскоп jProbe VJ-ADV, диаметр рабочей части 6,9 мм, длин. зонда -3м</v>
      </c>
      <c r="B11" t="str">
        <f>'[1]2021 УГРЦТ'!B14</f>
        <v>000001640</v>
      </c>
      <c r="C11" t="str">
        <f>'[1]2021 УГРЦТ'!C14</f>
        <v>ПРОИЗВОДСТВО</v>
      </c>
      <c r="D11" t="str">
        <f>'[1]2021 УГРЦТ'!D14</f>
        <v>Машины и оборудование (кроме офисного)</v>
      </c>
      <c r="E11" t="str">
        <f>'[1]2021 УГРЦТ'!E14</f>
        <v>31.07.2014</v>
      </c>
      <c r="F11" t="str">
        <f>'[1]2021 УГРЦТ'!F14</f>
        <v>Газотурбинный цех</v>
      </c>
      <c r="G11">
        <f>'[1]2021 УГРЦТ'!AC14</f>
        <v>84</v>
      </c>
      <c r="H11" s="7">
        <f>'[1]2021 УГРЦТ'!X14</f>
        <v>338983.05</v>
      </c>
      <c r="I11" s="7">
        <f>'[1]2021 УГРЦТ'!Y14</f>
        <v>338983.05</v>
      </c>
      <c r="J11" s="7">
        <f>'[1]2021 УГРЦТ'!Z14</f>
        <v>0</v>
      </c>
      <c r="K11" s="8">
        <v>0</v>
      </c>
      <c r="L11" s="7">
        <v>0</v>
      </c>
      <c r="M11" s="7"/>
      <c r="N11" s="7">
        <f t="shared" si="0"/>
        <v>0</v>
      </c>
      <c r="O11" s="7">
        <f t="shared" si="41"/>
        <v>0</v>
      </c>
      <c r="P11" s="7">
        <f t="shared" si="42"/>
        <v>0</v>
      </c>
      <c r="Q11" s="7">
        <f t="shared" si="42"/>
        <v>0</v>
      </c>
      <c r="R11" s="7">
        <f t="shared" si="42"/>
        <v>0</v>
      </c>
      <c r="S11" s="7">
        <f t="shared" si="42"/>
        <v>0</v>
      </c>
      <c r="T11" s="7">
        <f t="shared" si="42"/>
        <v>0</v>
      </c>
      <c r="U11" s="7">
        <f t="shared" si="42"/>
        <v>0</v>
      </c>
      <c r="V11" s="7">
        <f t="shared" si="42"/>
        <v>0</v>
      </c>
      <c r="W11" s="7">
        <f t="shared" si="42"/>
        <v>0</v>
      </c>
      <c r="X11" s="7">
        <f t="shared" si="42"/>
        <v>0</v>
      </c>
      <c r="Y11" s="7">
        <f t="shared" si="42"/>
        <v>0</v>
      </c>
      <c r="Z11" s="7">
        <f t="shared" si="42"/>
        <v>0</v>
      </c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222"/>
      <c r="AQ11" s="7">
        <v>0</v>
      </c>
      <c r="AR11" s="7">
        <f t="shared" si="45"/>
        <v>0</v>
      </c>
      <c r="AS11" s="7">
        <f t="shared" si="46"/>
        <v>0</v>
      </c>
      <c r="BG11" s="236">
        <f t="shared" si="5"/>
        <v>0</v>
      </c>
      <c r="BH11" s="7">
        <v>0</v>
      </c>
      <c r="BV11" s="236">
        <f>IF(Z11&lt;1,0,SUM(BJ11:BU11,BF11)/13*$BG$1)</f>
        <v>0</v>
      </c>
      <c r="BW11" s="7">
        <v>0</v>
      </c>
      <c r="CK11" s="236">
        <f>IF(AO11&lt;1,0,SUM(BY11:CJ11,BU11)/13*$BG$1)</f>
        <v>0</v>
      </c>
      <c r="CL11" s="7">
        <v>0</v>
      </c>
      <c r="CZ11" s="236">
        <f>IF(BF11&lt;1,0,SUM(CN11:CY11,CJ11)/13*$BG$1)</f>
        <v>0</v>
      </c>
    </row>
    <row r="12" spans="1:104" x14ac:dyDescent="0.2">
      <c r="A12" s="6" t="str">
        <f>'[1]2021 УГРЦТ'!A15</f>
        <v>Воздушная линия 0,4 кВ (ТУ 487 от 02.07.20)</v>
      </c>
      <c r="B12" t="str">
        <f>'[1]2021 УГРЦТ'!B15</f>
        <v>000001867</v>
      </c>
      <c r="C12" t="str">
        <f>'[1]2021 УГРЦТ'!C15</f>
        <v>ПРОИЗВОДСТВО</v>
      </c>
      <c r="D12" t="str">
        <f>'[1]2021 УГРЦТ'!D15</f>
        <v>Сооружения</v>
      </c>
      <c r="E12" t="str">
        <f>'[1]2021 УГРЦТ'!E15</f>
        <v>21.10.2021</v>
      </c>
      <c r="F12" t="str">
        <f>'[1]2021 УГРЦТ'!F15</f>
        <v>ДЭС п.Красное</v>
      </c>
      <c r="G12">
        <f>'[1]2021 УГРЦТ'!AC15</f>
        <v>480</v>
      </c>
      <c r="H12" s="7">
        <f>'[1]2021 УГРЦТ'!X15</f>
        <v>205964.57</v>
      </c>
      <c r="I12" s="7">
        <f>'[1]2021 УГРЦТ'!Y15</f>
        <v>858.18570833333331</v>
      </c>
      <c r="J12" s="7">
        <f>'[1]2021 УГРЦТ'!Z15</f>
        <v>205106.38429166668</v>
      </c>
      <c r="K12" s="8">
        <v>1</v>
      </c>
      <c r="L12" s="7">
        <v>429.09</v>
      </c>
      <c r="M12" s="7"/>
      <c r="N12" s="7">
        <f t="shared" si="0"/>
        <v>5149.08</v>
      </c>
      <c r="O12" s="7">
        <f t="shared" si="41"/>
        <v>204677.29429166668</v>
      </c>
      <c r="P12" s="7">
        <f t="shared" si="42"/>
        <v>204248.20429166668</v>
      </c>
      <c r="Q12" s="7">
        <f t="shared" si="42"/>
        <v>203819.11429166669</v>
      </c>
      <c r="R12" s="7">
        <f t="shared" si="42"/>
        <v>203390.02429166669</v>
      </c>
      <c r="S12" s="7">
        <f t="shared" si="42"/>
        <v>202960.93429166669</v>
      </c>
      <c r="T12" s="7">
        <f t="shared" si="42"/>
        <v>202531.8442916667</v>
      </c>
      <c r="U12" s="7">
        <f t="shared" si="42"/>
        <v>202102.7542916667</v>
      </c>
      <c r="V12" s="7">
        <f t="shared" si="42"/>
        <v>201673.6642916667</v>
      </c>
      <c r="W12" s="7">
        <f t="shared" si="42"/>
        <v>201244.57429166671</v>
      </c>
      <c r="X12" s="7">
        <f t="shared" si="42"/>
        <v>200815.48429166671</v>
      </c>
      <c r="Y12" s="7">
        <f t="shared" si="42"/>
        <v>200386.39429166671</v>
      </c>
      <c r="Z12" s="7">
        <f t="shared" si="42"/>
        <v>199957.30429166672</v>
      </c>
      <c r="AA12" s="7">
        <f>SUM(O12:Z12,J12)/13*$AA$1</f>
        <v>4455.7005744166663</v>
      </c>
      <c r="AB12" s="7"/>
      <c r="AC12" s="7">
        <f t="shared" si="43"/>
        <v>5149.08</v>
      </c>
      <c r="AD12" s="7">
        <f t="shared" si="44"/>
        <v>199528.21429166672</v>
      </c>
      <c r="AE12" s="7">
        <f t="shared" si="2"/>
        <v>199099.12429166673</v>
      </c>
      <c r="AF12" s="7">
        <f t="shared" si="2"/>
        <v>198670.03429166673</v>
      </c>
      <c r="AG12" s="7">
        <f t="shared" si="2"/>
        <v>198240.94429166673</v>
      </c>
      <c r="AH12" s="7">
        <f t="shared" si="2"/>
        <v>197811.85429166674</v>
      </c>
      <c r="AI12" s="7">
        <f t="shared" si="2"/>
        <v>197382.76429166674</v>
      </c>
      <c r="AJ12" s="7">
        <f t="shared" si="2"/>
        <v>196953.67429166674</v>
      </c>
      <c r="AK12" s="7">
        <f t="shared" si="2"/>
        <v>196524.58429166675</v>
      </c>
      <c r="AL12" s="7">
        <f t="shared" si="2"/>
        <v>196095.49429166675</v>
      </c>
      <c r="AM12" s="7">
        <f t="shared" si="2"/>
        <v>195666.40429166675</v>
      </c>
      <c r="AN12" s="7">
        <f t="shared" si="2"/>
        <v>195237.31429166676</v>
      </c>
      <c r="AO12" s="7">
        <f t="shared" si="2"/>
        <v>194808.22429166676</v>
      </c>
      <c r="AP12" s="222">
        <f>IF(K12&lt;1,0,SUM(AD12:AO12,Z12)/13*$BG$1)</f>
        <v>4342.4208144166678</v>
      </c>
      <c r="AQ12" s="7">
        <v>429.09</v>
      </c>
      <c r="AR12" s="7">
        <f t="shared" si="45"/>
        <v>429.08999999999651</v>
      </c>
      <c r="AS12" s="7">
        <f t="shared" si="46"/>
        <v>-3.4674485505092889E-12</v>
      </c>
      <c r="AT12" s="7">
        <f>L12*12</f>
        <v>5149.08</v>
      </c>
      <c r="AU12" s="7">
        <f>AO12-$L12</f>
        <v>194379.13429166676</v>
      </c>
      <c r="AV12" s="7">
        <f>AU12-$L12</f>
        <v>193950.04429166677</v>
      </c>
      <c r="AW12" s="7">
        <f t="shared" ref="AW12:BF12" si="52">AV12-$L12</f>
        <v>193520.95429166677</v>
      </c>
      <c r="AX12" s="7">
        <f t="shared" si="52"/>
        <v>193091.86429166677</v>
      </c>
      <c r="AY12" s="7">
        <f t="shared" si="52"/>
        <v>192662.77429166678</v>
      </c>
      <c r="AZ12" s="7">
        <f t="shared" si="52"/>
        <v>192233.68429166678</v>
      </c>
      <c r="BA12" s="7">
        <f t="shared" si="52"/>
        <v>191804.59429166678</v>
      </c>
      <c r="BB12" s="7">
        <f t="shared" si="52"/>
        <v>191375.50429166679</v>
      </c>
      <c r="BC12" s="7">
        <f t="shared" si="52"/>
        <v>190946.41429166679</v>
      </c>
      <c r="BD12" s="7">
        <f t="shared" si="52"/>
        <v>190517.3242916668</v>
      </c>
      <c r="BE12" s="7">
        <f t="shared" si="52"/>
        <v>190088.2342916668</v>
      </c>
      <c r="BF12" s="7">
        <f t="shared" si="52"/>
        <v>189659.1442916668</v>
      </c>
      <c r="BG12" s="236">
        <f t="shared" si="5"/>
        <v>4229.1410544166692</v>
      </c>
      <c r="BH12" s="7">
        <v>429.09</v>
      </c>
      <c r="BI12" s="7">
        <f>BH12*12</f>
        <v>5149.08</v>
      </c>
      <c r="BJ12" s="7">
        <f>BF12-BH12</f>
        <v>189230.05429166681</v>
      </c>
      <c r="BK12" s="7">
        <f>BJ12-$L12</f>
        <v>188800.96429166681</v>
      </c>
      <c r="BL12" s="7">
        <f t="shared" ref="BL12" si="53">BK12-$L12</f>
        <v>188371.87429166681</v>
      </c>
      <c r="BM12" s="7">
        <f t="shared" ref="BM12" si="54">BL12-$L12</f>
        <v>187942.78429166682</v>
      </c>
      <c r="BN12" s="7">
        <f t="shared" ref="BN12" si="55">BM12-$L12</f>
        <v>187513.69429166682</v>
      </c>
      <c r="BO12" s="7">
        <f t="shared" ref="BO12" si="56">BN12-$L12</f>
        <v>187084.60429166682</v>
      </c>
      <c r="BP12" s="7">
        <f t="shared" ref="BP12" si="57">BO12-$L12</f>
        <v>186655.51429166683</v>
      </c>
      <c r="BQ12" s="7">
        <f t="shared" ref="BQ12" si="58">BP12-$L12</f>
        <v>186226.42429166683</v>
      </c>
      <c r="BR12" s="7">
        <f t="shared" ref="BR12" si="59">BQ12-$L12</f>
        <v>185797.33429166683</v>
      </c>
      <c r="BS12" s="7">
        <f t="shared" ref="BS12" si="60">BR12-$L12</f>
        <v>185368.24429166684</v>
      </c>
      <c r="BT12" s="7">
        <f t="shared" ref="BT12" si="61">BS12-$L12</f>
        <v>184939.15429166684</v>
      </c>
      <c r="BU12" s="7">
        <f t="shared" ref="BU12" si="62">BT12-$L12</f>
        <v>184510.06429166684</v>
      </c>
      <c r="BV12" s="236">
        <f>IF(Z12&lt;1,0,SUM(BJ12:BU12,BF12)/13*$BG$1)</f>
        <v>4115.8612944166698</v>
      </c>
      <c r="BW12" s="7">
        <v>429.09</v>
      </c>
      <c r="BX12" s="7">
        <f>BW12*12</f>
        <v>5149.08</v>
      </c>
      <c r="BY12" s="7">
        <f>BU12-BW12</f>
        <v>184080.97429166685</v>
      </c>
      <c r="BZ12" s="7">
        <f>BY12-$L12</f>
        <v>183651.88429166685</v>
      </c>
      <c r="CA12" s="7">
        <f t="shared" ref="CA12" si="63">BZ12-$L12</f>
        <v>183222.79429166685</v>
      </c>
      <c r="CB12" s="7">
        <f t="shared" ref="CB12" si="64">CA12-$L12</f>
        <v>182793.70429166686</v>
      </c>
      <c r="CC12" s="7">
        <f t="shared" ref="CC12" si="65">CB12-$L12</f>
        <v>182364.61429166686</v>
      </c>
      <c r="CD12" s="7">
        <f t="shared" ref="CD12" si="66">CC12-$L12</f>
        <v>181935.52429166686</v>
      </c>
      <c r="CE12" s="7">
        <f t="shared" ref="CE12" si="67">CD12-$L12</f>
        <v>181506.43429166687</v>
      </c>
      <c r="CF12" s="7">
        <f t="shared" ref="CF12" si="68">CE12-$L12</f>
        <v>181077.34429166687</v>
      </c>
      <c r="CG12" s="7">
        <f t="shared" ref="CG12" si="69">CF12-$L12</f>
        <v>180648.25429166688</v>
      </c>
      <c r="CH12" s="7">
        <f t="shared" ref="CH12" si="70">CG12-$L12</f>
        <v>180219.16429166688</v>
      </c>
      <c r="CI12" s="7">
        <f t="shared" ref="CI12" si="71">CH12-$L12</f>
        <v>179790.07429166688</v>
      </c>
      <c r="CJ12" s="7">
        <f t="shared" ref="CJ12" si="72">CI12-$L12</f>
        <v>179360.98429166689</v>
      </c>
      <c r="CK12" s="236">
        <f>IF(AO12&lt;1,0,SUM(BY12:CJ12,BU12)/13*$BG$1)</f>
        <v>4002.5815344166708</v>
      </c>
      <c r="CL12" s="7">
        <v>429.09</v>
      </c>
      <c r="CM12" s="7">
        <f>CL12*12</f>
        <v>5149.08</v>
      </c>
      <c r="CN12" s="7">
        <f>CJ12-CL12</f>
        <v>178931.89429166689</v>
      </c>
      <c r="CO12" s="7">
        <f>CN12-$L12</f>
        <v>178502.80429166689</v>
      </c>
      <c r="CP12" s="7">
        <f t="shared" ref="CP12" si="73">CO12-$L12</f>
        <v>178073.7142916669</v>
      </c>
      <c r="CQ12" s="7">
        <f t="shared" ref="CQ12" si="74">CP12-$L12</f>
        <v>177644.6242916669</v>
      </c>
      <c r="CR12" s="7">
        <f t="shared" ref="CR12" si="75">CQ12-$L12</f>
        <v>177215.5342916669</v>
      </c>
      <c r="CS12" s="7">
        <f t="shared" ref="CS12" si="76">CR12-$L12</f>
        <v>176786.44429166691</v>
      </c>
      <c r="CT12" s="7">
        <f t="shared" ref="CT12" si="77">CS12-$L12</f>
        <v>176357.35429166691</v>
      </c>
      <c r="CU12" s="7">
        <f t="shared" ref="CU12" si="78">CT12-$L12</f>
        <v>175928.26429166691</v>
      </c>
      <c r="CV12" s="7">
        <f t="shared" ref="CV12" si="79">CU12-$L12</f>
        <v>175499.17429166692</v>
      </c>
      <c r="CW12" s="7">
        <f t="shared" ref="CW12" si="80">CV12-$L12</f>
        <v>175070.08429166692</v>
      </c>
      <c r="CX12" s="7">
        <f t="shared" ref="CX12" si="81">CW12-$L12</f>
        <v>174640.99429166692</v>
      </c>
      <c r="CY12" s="7">
        <f t="shared" ref="CY12" si="82">CX12-$L12</f>
        <v>174211.90429166693</v>
      </c>
      <c r="CZ12" s="236">
        <f>IF(BF12&lt;1,0,SUM(CN12:CY12,CJ12)/13*$BG$1)</f>
        <v>3889.3017744166723</v>
      </c>
    </row>
    <row r="13" spans="1:104" x14ac:dyDescent="0.2">
      <c r="A13" s="6" t="str">
        <f>'[1]2021 УГРЦТ'!A16</f>
        <v>Вольтамперфазометр РЕТОМЕТР-М2 (НПП "ДИНАМИКА")</v>
      </c>
      <c r="B13" t="str">
        <f>'[1]2021 УГРЦТ'!B16</f>
        <v>000001719</v>
      </c>
      <c r="C13" t="str">
        <f>'[1]2021 УГРЦТ'!C16</f>
        <v>ПРОИЗВОДСТВО</v>
      </c>
      <c r="D13" t="str">
        <f>'[1]2021 УГРЦТ'!D16</f>
        <v>Машины и оборудование (кроме офисного)</v>
      </c>
      <c r="E13" t="str">
        <f>'[1]2021 УГРЦТ'!E16</f>
        <v>28.04.2018</v>
      </c>
      <c r="F13" t="str">
        <f>'[1]2021 УГРЦТ'!F16</f>
        <v>Электрический цех</v>
      </c>
      <c r="G13">
        <f>'[1]2021 УГРЦТ'!AC16</f>
        <v>60</v>
      </c>
      <c r="H13" s="7">
        <f>'[1]2021 УГРЦТ'!X16</f>
        <v>63431.72</v>
      </c>
      <c r="I13" s="7">
        <f>'[1]2021 УГРЦТ'!Y16</f>
        <v>46516.743999999999</v>
      </c>
      <c r="J13" s="7">
        <f>'[1]2021 УГРЦТ'!Z16</f>
        <v>16914.976000000002</v>
      </c>
      <c r="K13" s="8">
        <v>0</v>
      </c>
      <c r="L13" s="7">
        <v>1057.2000000000003</v>
      </c>
      <c r="M13" s="7"/>
      <c r="N13" s="7">
        <f t="shared" si="0"/>
        <v>12686.400000000003</v>
      </c>
      <c r="O13" s="7">
        <f t="shared" si="41"/>
        <v>15857.776000000002</v>
      </c>
      <c r="P13" s="7">
        <f t="shared" si="42"/>
        <v>14800.576000000001</v>
      </c>
      <c r="Q13" s="7">
        <f t="shared" si="42"/>
        <v>13743.376</v>
      </c>
      <c r="R13" s="7">
        <f t="shared" si="42"/>
        <v>12686.175999999999</v>
      </c>
      <c r="S13" s="7">
        <f t="shared" si="42"/>
        <v>11628.975999999999</v>
      </c>
      <c r="T13" s="7">
        <f t="shared" si="42"/>
        <v>10571.775999999998</v>
      </c>
      <c r="U13" s="7">
        <f t="shared" si="42"/>
        <v>9514.5759999999973</v>
      </c>
      <c r="V13" s="7">
        <f t="shared" si="42"/>
        <v>8457.3759999999966</v>
      </c>
      <c r="W13" s="7">
        <f t="shared" si="42"/>
        <v>7400.1759999999958</v>
      </c>
      <c r="X13" s="7">
        <f t="shared" si="42"/>
        <v>6342.9759999999951</v>
      </c>
      <c r="Y13" s="7">
        <f t="shared" si="42"/>
        <v>5285.7759999999944</v>
      </c>
      <c r="Z13" s="7">
        <f t="shared" si="42"/>
        <v>4228.5759999999937</v>
      </c>
      <c r="AA13" s="7"/>
      <c r="AB13" s="7"/>
      <c r="AC13" s="7">
        <f>L13*4-0.22</f>
        <v>4228.5800000000008</v>
      </c>
      <c r="AD13" s="7">
        <f t="shared" si="44"/>
        <v>3171.3759999999934</v>
      </c>
      <c r="AE13" s="7">
        <f t="shared" si="2"/>
        <v>2114.1759999999931</v>
      </c>
      <c r="AF13" s="7">
        <f t="shared" si="2"/>
        <v>1056.9759999999928</v>
      </c>
      <c r="AG13" s="7"/>
      <c r="AH13" s="7"/>
      <c r="AI13" s="7"/>
      <c r="AJ13" s="7"/>
      <c r="AK13" s="7"/>
      <c r="AL13" s="7"/>
      <c r="AM13" s="7"/>
      <c r="AN13" s="7"/>
      <c r="AO13" s="7"/>
      <c r="AP13" s="222"/>
      <c r="AQ13" s="7">
        <v>0</v>
      </c>
      <c r="AR13" s="7">
        <f t="shared" si="45"/>
        <v>0</v>
      </c>
      <c r="AS13" s="7">
        <f t="shared" si="46"/>
        <v>0</v>
      </c>
      <c r="BG13" s="236">
        <f t="shared" si="5"/>
        <v>0</v>
      </c>
      <c r="BH13" s="7">
        <v>0</v>
      </c>
      <c r="BV13" s="236">
        <f>IF(Z13&lt;1,0,SUM(BJ13:BU13,BF13)/13*$BG$1)</f>
        <v>0</v>
      </c>
      <c r="BW13" s="7">
        <v>0</v>
      </c>
      <c r="CK13" s="236">
        <f>IF(AO13&lt;1,0,SUM(BY13:CJ13,BU13)/13*$BG$1)</f>
        <v>0</v>
      </c>
      <c r="CL13" s="7">
        <v>0</v>
      </c>
      <c r="CZ13" s="236">
        <f>IF(BF13&lt;1,0,SUM(CN13:CY13,CJ13)/13*$BG$1)</f>
        <v>0</v>
      </c>
    </row>
    <row r="14" spans="1:104" x14ac:dyDescent="0.2">
      <c r="A14" s="6" t="str">
        <f>'[1]2021 УГРЦТ'!A17</f>
        <v>Выпрямитель для стац аккум установок №1</v>
      </c>
      <c r="B14" t="str">
        <f>'[1]2021 УГРЦТ'!B17</f>
        <v>00001177</v>
      </c>
      <c r="C14" t="str">
        <f>'[1]2021 УГРЦТ'!C17</f>
        <v>ПРОИЗВОДСТВО</v>
      </c>
      <c r="D14" t="str">
        <f>'[1]2021 УГРЦТ'!D17</f>
        <v>Машины и оборудование (кроме офисного)</v>
      </c>
      <c r="E14" t="str">
        <f>'[1]2021 УГРЦТ'!E17</f>
        <v>31.03.2010</v>
      </c>
      <c r="F14" t="str">
        <f>'[1]2021 УГРЦТ'!F17</f>
        <v>Газотурбинный цех</v>
      </c>
      <c r="G14">
        <f>'[1]2021 УГРЦТ'!AC17</f>
        <v>240</v>
      </c>
      <c r="H14" s="7">
        <f>'[1]2021 УГРЦТ'!X17</f>
        <v>474500</v>
      </c>
      <c r="I14" s="7">
        <f>'[1]2021 УГРЦТ'!Y17</f>
        <v>278768.32</v>
      </c>
      <c r="J14" s="7">
        <f>'[1]2021 УГРЦТ'!Z17</f>
        <v>195731.68</v>
      </c>
      <c r="K14" s="8">
        <v>0</v>
      </c>
      <c r="L14" s="7">
        <v>1977.09</v>
      </c>
      <c r="M14" s="7"/>
      <c r="N14" s="7">
        <f t="shared" si="0"/>
        <v>23725.079999999998</v>
      </c>
      <c r="O14" s="7">
        <f t="shared" si="41"/>
        <v>193754.59</v>
      </c>
      <c r="P14" s="7">
        <f t="shared" si="42"/>
        <v>191777.5</v>
      </c>
      <c r="Q14" s="7">
        <f t="shared" si="42"/>
        <v>189800.41</v>
      </c>
      <c r="R14" s="7">
        <f t="shared" si="42"/>
        <v>187823.32</v>
      </c>
      <c r="S14" s="7">
        <f t="shared" si="42"/>
        <v>185846.23</v>
      </c>
      <c r="T14" s="7">
        <f t="shared" si="42"/>
        <v>183869.14</v>
      </c>
      <c r="U14" s="7">
        <f t="shared" si="42"/>
        <v>181892.05000000002</v>
      </c>
      <c r="V14" s="7">
        <f t="shared" si="42"/>
        <v>179914.96000000002</v>
      </c>
      <c r="W14" s="7">
        <f t="shared" si="42"/>
        <v>177937.87000000002</v>
      </c>
      <c r="X14" s="7">
        <f t="shared" si="42"/>
        <v>175960.78000000003</v>
      </c>
      <c r="Y14" s="7">
        <f t="shared" si="42"/>
        <v>173983.69000000003</v>
      </c>
      <c r="Z14" s="7">
        <f t="shared" si="42"/>
        <v>172006.60000000003</v>
      </c>
      <c r="AA14" s="7"/>
      <c r="AB14" s="7"/>
      <c r="AC14" s="7">
        <f t="shared" si="43"/>
        <v>23725.079999999998</v>
      </c>
      <c r="AD14" s="7">
        <f t="shared" si="44"/>
        <v>170029.51000000004</v>
      </c>
      <c r="AE14" s="7">
        <f t="shared" si="2"/>
        <v>168052.42000000004</v>
      </c>
      <c r="AF14" s="7">
        <f t="shared" si="2"/>
        <v>166075.33000000005</v>
      </c>
      <c r="AG14" s="7">
        <f t="shared" si="2"/>
        <v>164098.24000000005</v>
      </c>
      <c r="AH14" s="7">
        <f t="shared" si="2"/>
        <v>162121.15000000005</v>
      </c>
      <c r="AI14" s="7">
        <f t="shared" si="2"/>
        <v>160144.06000000006</v>
      </c>
      <c r="AJ14" s="7">
        <f t="shared" si="2"/>
        <v>158166.97000000006</v>
      </c>
      <c r="AK14" s="7">
        <f t="shared" si="2"/>
        <v>156189.88000000006</v>
      </c>
      <c r="AL14" s="7">
        <f t="shared" si="2"/>
        <v>154212.79000000007</v>
      </c>
      <c r="AM14" s="7">
        <f t="shared" si="2"/>
        <v>152235.70000000007</v>
      </c>
      <c r="AN14" s="7">
        <f t="shared" si="2"/>
        <v>150258.61000000007</v>
      </c>
      <c r="AO14" s="7">
        <f t="shared" si="2"/>
        <v>148281.52000000008</v>
      </c>
      <c r="AP14" s="222"/>
      <c r="AQ14" s="7">
        <v>1977.09</v>
      </c>
      <c r="AR14" s="7">
        <f t="shared" si="45"/>
        <v>1977.0899999999965</v>
      </c>
      <c r="AS14" s="7">
        <f t="shared" si="46"/>
        <v>-3.4106051316484809E-12</v>
      </c>
      <c r="AT14" s="7">
        <f t="shared" ref="AT14:AT16" si="83">L14*12</f>
        <v>23725.079999999998</v>
      </c>
      <c r="AU14" s="7">
        <f>AO14-$L14</f>
        <v>146304.43000000008</v>
      </c>
      <c r="AV14" s="7">
        <f t="shared" ref="AV14:BF16" si="84">AU14-$L14</f>
        <v>144327.34000000008</v>
      </c>
      <c r="AW14" s="7">
        <f t="shared" si="84"/>
        <v>142350.25000000009</v>
      </c>
      <c r="AX14" s="7">
        <f t="shared" si="84"/>
        <v>140373.16000000009</v>
      </c>
      <c r="AY14" s="7">
        <f t="shared" si="84"/>
        <v>138396.07000000009</v>
      </c>
      <c r="AZ14" s="7">
        <f t="shared" si="84"/>
        <v>136418.9800000001</v>
      </c>
      <c r="BA14" s="7">
        <f t="shared" si="84"/>
        <v>134441.8900000001</v>
      </c>
      <c r="BB14" s="7">
        <f t="shared" si="84"/>
        <v>132464.8000000001</v>
      </c>
      <c r="BC14" s="7">
        <f t="shared" si="84"/>
        <v>130487.71000000011</v>
      </c>
      <c r="BD14" s="7">
        <f t="shared" si="84"/>
        <v>128510.62000000011</v>
      </c>
      <c r="BE14" s="7">
        <f t="shared" si="84"/>
        <v>126533.53000000012</v>
      </c>
      <c r="BF14" s="7">
        <f t="shared" si="84"/>
        <v>124556.44000000012</v>
      </c>
      <c r="BG14" s="236">
        <f t="shared" si="5"/>
        <v>0</v>
      </c>
      <c r="BH14" s="7">
        <v>1977.09</v>
      </c>
      <c r="BI14" s="7">
        <f>BH14*12</f>
        <v>23725.079999999998</v>
      </c>
      <c r="BJ14" s="7">
        <f>BF14-BH14</f>
        <v>122579.35000000012</v>
      </c>
      <c r="BK14" s="7">
        <f t="shared" ref="BK14:BK16" si="85">BJ14-$L14</f>
        <v>120602.26000000013</v>
      </c>
      <c r="BL14" s="7">
        <f t="shared" ref="BL14:BL16" si="86">BK14-$L14</f>
        <v>118625.17000000013</v>
      </c>
      <c r="BM14" s="7">
        <f t="shared" ref="BM14:BM16" si="87">BL14-$L14</f>
        <v>116648.08000000013</v>
      </c>
      <c r="BN14" s="7">
        <f t="shared" ref="BN14:BN16" si="88">BM14-$L14</f>
        <v>114670.99000000014</v>
      </c>
      <c r="BO14" s="7">
        <f t="shared" ref="BO14:BO16" si="89">BN14-$L14</f>
        <v>112693.90000000014</v>
      </c>
      <c r="BP14" s="7">
        <f t="shared" ref="BP14:BP16" si="90">BO14-$L14</f>
        <v>110716.81000000014</v>
      </c>
      <c r="BQ14" s="7">
        <f t="shared" ref="BQ14:BQ16" si="91">BP14-$L14</f>
        <v>108739.72000000015</v>
      </c>
      <c r="BR14" s="7">
        <f t="shared" ref="BR14:BR16" si="92">BQ14-$L14</f>
        <v>106762.63000000015</v>
      </c>
      <c r="BS14" s="7">
        <f t="shared" ref="BS14:BS16" si="93">BR14-$L14</f>
        <v>104785.54000000015</v>
      </c>
      <c r="BT14" s="7">
        <f t="shared" ref="BT14:BT16" si="94">BS14-$L14</f>
        <v>102808.45000000016</v>
      </c>
      <c r="BU14" s="7">
        <f t="shared" ref="BU14:BU16" si="95">BT14-$L14</f>
        <v>100831.36000000016</v>
      </c>
      <c r="BV14" s="236">
        <v>0</v>
      </c>
      <c r="BW14" s="7">
        <v>1977.09</v>
      </c>
      <c r="BX14" s="7">
        <f>BW14*12</f>
        <v>23725.079999999998</v>
      </c>
      <c r="BY14" s="7">
        <f>BU14-BW14</f>
        <v>98854.270000000164</v>
      </c>
      <c r="BZ14" s="7">
        <f t="shared" ref="BZ14:BZ16" si="96">BY14-$L14</f>
        <v>96877.180000000168</v>
      </c>
      <c r="CA14" s="7">
        <f t="shared" ref="CA14:CA16" si="97">BZ14-$L14</f>
        <v>94900.090000000171</v>
      </c>
      <c r="CB14" s="7">
        <f t="shared" ref="CB14:CB16" si="98">CA14-$L14</f>
        <v>92923.000000000175</v>
      </c>
      <c r="CC14" s="7">
        <f t="shared" ref="CC14:CC16" si="99">CB14-$L14</f>
        <v>90945.910000000178</v>
      </c>
      <c r="CD14" s="7">
        <f t="shared" ref="CD14:CD16" si="100">CC14-$L14</f>
        <v>88968.820000000182</v>
      </c>
      <c r="CE14" s="7">
        <f t="shared" ref="CE14:CE16" si="101">CD14-$L14</f>
        <v>86991.730000000185</v>
      </c>
      <c r="CF14" s="7">
        <f t="shared" ref="CF14:CF16" si="102">CE14-$L14</f>
        <v>85014.640000000189</v>
      </c>
      <c r="CG14" s="7">
        <f t="shared" ref="CG14:CG16" si="103">CF14-$L14</f>
        <v>83037.550000000192</v>
      </c>
      <c r="CH14" s="7">
        <f t="shared" ref="CH14:CH16" si="104">CG14-$L14</f>
        <v>81060.460000000196</v>
      </c>
      <c r="CI14" s="7">
        <f t="shared" ref="CI14:CI16" si="105">CH14-$L14</f>
        <v>79083.370000000199</v>
      </c>
      <c r="CJ14" s="7">
        <f t="shared" ref="CJ14:CJ16" si="106">CI14-$L14</f>
        <v>77106.280000000203</v>
      </c>
      <c r="CK14" s="236">
        <v>0</v>
      </c>
      <c r="CL14" s="7">
        <v>1977.09</v>
      </c>
      <c r="CM14" s="7">
        <f>CL14*12</f>
        <v>23725.079999999998</v>
      </c>
      <c r="CN14" s="7">
        <f>CJ14-CL14</f>
        <v>75129.190000000206</v>
      </c>
      <c r="CO14" s="7">
        <f t="shared" ref="CO14:CO16" si="107">CN14-$L14</f>
        <v>73152.10000000021</v>
      </c>
      <c r="CP14" s="7">
        <f t="shared" ref="CP14:CP16" si="108">CO14-$L14</f>
        <v>71175.010000000213</v>
      </c>
      <c r="CQ14" s="7">
        <f t="shared" ref="CQ14:CQ16" si="109">CP14-$L14</f>
        <v>69197.920000000217</v>
      </c>
      <c r="CR14" s="7">
        <f t="shared" ref="CR14:CR16" si="110">CQ14-$L14</f>
        <v>67220.83000000022</v>
      </c>
      <c r="CS14" s="7">
        <f t="shared" ref="CS14:CS16" si="111">CR14-$L14</f>
        <v>65243.740000000224</v>
      </c>
      <c r="CT14" s="7">
        <f t="shared" ref="CT14:CT15" si="112">CS14-$L14</f>
        <v>63266.650000000227</v>
      </c>
      <c r="CU14" s="7">
        <f t="shared" ref="CU14:CU15" si="113">CT14-$L14</f>
        <v>61289.560000000231</v>
      </c>
      <c r="CV14" s="7">
        <f t="shared" ref="CV14:CV15" si="114">CU14-$L14</f>
        <v>59312.470000000234</v>
      </c>
      <c r="CW14" s="7">
        <f t="shared" ref="CW14:CW15" si="115">CV14-$L14</f>
        <v>57335.380000000237</v>
      </c>
      <c r="CX14" s="7">
        <f t="shared" ref="CX14:CX15" si="116">CW14-$L14</f>
        <v>55358.290000000241</v>
      </c>
      <c r="CY14" s="7">
        <f t="shared" ref="CY14:CY15" si="117">CX14-$L14</f>
        <v>53381.200000000244</v>
      </c>
      <c r="CZ14" s="236">
        <v>0</v>
      </c>
    </row>
    <row r="15" spans="1:104" x14ac:dyDescent="0.2">
      <c r="A15" s="6" t="str">
        <f>'[1]2021 УГРЦТ'!A18</f>
        <v>Выпрямитель для стац аккум установок №2</v>
      </c>
      <c r="B15" t="str">
        <f>'[1]2021 УГРЦТ'!B18</f>
        <v>00001178</v>
      </c>
      <c r="C15" t="str">
        <f>'[1]2021 УГРЦТ'!C18</f>
        <v>ПРОИЗВОДСТВО</v>
      </c>
      <c r="D15" t="str">
        <f>'[1]2021 УГРЦТ'!D18</f>
        <v>Машины и оборудование (кроме офисного)</v>
      </c>
      <c r="E15" t="str">
        <f>'[1]2021 УГРЦТ'!E18</f>
        <v>31.03.2010</v>
      </c>
      <c r="F15" t="str">
        <f>'[1]2021 УГРЦТ'!F18</f>
        <v>Газотурбинный цех</v>
      </c>
      <c r="G15">
        <f>'[1]2021 УГРЦТ'!AC18</f>
        <v>240</v>
      </c>
      <c r="H15" s="7">
        <f>'[1]2021 УГРЦТ'!X18</f>
        <v>474500</v>
      </c>
      <c r="I15" s="7">
        <f>'[1]2021 УГРЦТ'!Y18</f>
        <v>278768.32</v>
      </c>
      <c r="J15" s="7">
        <f>'[1]2021 УГРЦТ'!Z18</f>
        <v>195731.68</v>
      </c>
      <c r="K15" s="8">
        <v>0</v>
      </c>
      <c r="L15" s="7">
        <v>1977.09</v>
      </c>
      <c r="M15" s="7"/>
      <c r="N15" s="7">
        <f t="shared" si="0"/>
        <v>23725.079999999998</v>
      </c>
      <c r="O15" s="7">
        <f t="shared" si="41"/>
        <v>193754.59</v>
      </c>
      <c r="P15" s="7">
        <f t="shared" si="42"/>
        <v>191777.5</v>
      </c>
      <c r="Q15" s="7">
        <f t="shared" si="42"/>
        <v>189800.41</v>
      </c>
      <c r="R15" s="7">
        <f t="shared" si="42"/>
        <v>187823.32</v>
      </c>
      <c r="S15" s="7">
        <f t="shared" si="42"/>
        <v>185846.23</v>
      </c>
      <c r="T15" s="7">
        <f t="shared" si="42"/>
        <v>183869.14</v>
      </c>
      <c r="U15" s="7">
        <f t="shared" si="42"/>
        <v>181892.05000000002</v>
      </c>
      <c r="V15" s="7">
        <f t="shared" si="42"/>
        <v>179914.96000000002</v>
      </c>
      <c r="W15" s="7">
        <f t="shared" si="42"/>
        <v>177937.87000000002</v>
      </c>
      <c r="X15" s="7">
        <f t="shared" si="42"/>
        <v>175960.78000000003</v>
      </c>
      <c r="Y15" s="7">
        <f t="shared" si="42"/>
        <v>173983.69000000003</v>
      </c>
      <c r="Z15" s="7">
        <f t="shared" si="42"/>
        <v>172006.60000000003</v>
      </c>
      <c r="AA15" s="7"/>
      <c r="AB15" s="7"/>
      <c r="AC15" s="7">
        <f t="shared" si="43"/>
        <v>23725.079999999998</v>
      </c>
      <c r="AD15" s="7">
        <f t="shared" si="44"/>
        <v>170029.51000000004</v>
      </c>
      <c r="AE15" s="7">
        <f t="shared" si="2"/>
        <v>168052.42000000004</v>
      </c>
      <c r="AF15" s="7">
        <f t="shared" si="2"/>
        <v>166075.33000000005</v>
      </c>
      <c r="AG15" s="7">
        <f t="shared" si="2"/>
        <v>164098.24000000005</v>
      </c>
      <c r="AH15" s="7">
        <f t="shared" si="2"/>
        <v>162121.15000000005</v>
      </c>
      <c r="AI15" s="7">
        <f t="shared" si="2"/>
        <v>160144.06000000006</v>
      </c>
      <c r="AJ15" s="7">
        <f t="shared" si="2"/>
        <v>158166.97000000006</v>
      </c>
      <c r="AK15" s="7">
        <f t="shared" si="2"/>
        <v>156189.88000000006</v>
      </c>
      <c r="AL15" s="7">
        <f t="shared" si="2"/>
        <v>154212.79000000007</v>
      </c>
      <c r="AM15" s="7">
        <f t="shared" si="2"/>
        <v>152235.70000000007</v>
      </c>
      <c r="AN15" s="7">
        <f t="shared" si="2"/>
        <v>150258.61000000007</v>
      </c>
      <c r="AO15" s="7">
        <f t="shared" si="2"/>
        <v>148281.52000000008</v>
      </c>
      <c r="AP15" s="222"/>
      <c r="AQ15" s="7">
        <v>1977.09</v>
      </c>
      <c r="AR15" s="7">
        <f t="shared" si="45"/>
        <v>1977.0899999999965</v>
      </c>
      <c r="AS15" s="7">
        <f t="shared" si="46"/>
        <v>-3.4106051316484809E-12</v>
      </c>
      <c r="AT15" s="7">
        <f t="shared" si="83"/>
        <v>23725.079999999998</v>
      </c>
      <c r="AU15" s="7">
        <f>AO15-$L15</f>
        <v>146304.43000000008</v>
      </c>
      <c r="AV15" s="7">
        <f t="shared" si="84"/>
        <v>144327.34000000008</v>
      </c>
      <c r="AW15" s="7">
        <f t="shared" si="84"/>
        <v>142350.25000000009</v>
      </c>
      <c r="AX15" s="7">
        <f t="shared" si="84"/>
        <v>140373.16000000009</v>
      </c>
      <c r="AY15" s="7">
        <f t="shared" si="84"/>
        <v>138396.07000000009</v>
      </c>
      <c r="AZ15" s="7">
        <f t="shared" si="84"/>
        <v>136418.9800000001</v>
      </c>
      <c r="BA15" s="7">
        <f t="shared" si="84"/>
        <v>134441.8900000001</v>
      </c>
      <c r="BB15" s="7">
        <f t="shared" si="84"/>
        <v>132464.8000000001</v>
      </c>
      <c r="BC15" s="7">
        <f t="shared" si="84"/>
        <v>130487.71000000011</v>
      </c>
      <c r="BD15" s="7">
        <f t="shared" si="84"/>
        <v>128510.62000000011</v>
      </c>
      <c r="BE15" s="7">
        <f t="shared" si="84"/>
        <v>126533.53000000012</v>
      </c>
      <c r="BF15" s="7">
        <f t="shared" si="84"/>
        <v>124556.44000000012</v>
      </c>
      <c r="BG15" s="236">
        <f t="shared" si="5"/>
        <v>0</v>
      </c>
      <c r="BH15" s="7">
        <v>1977.09</v>
      </c>
      <c r="BI15" s="7">
        <f>BH15*12</f>
        <v>23725.079999999998</v>
      </c>
      <c r="BJ15" s="7">
        <f>BF15-BH15</f>
        <v>122579.35000000012</v>
      </c>
      <c r="BK15" s="7">
        <f t="shared" si="85"/>
        <v>120602.26000000013</v>
      </c>
      <c r="BL15" s="7">
        <f t="shared" si="86"/>
        <v>118625.17000000013</v>
      </c>
      <c r="BM15" s="7">
        <f t="shared" si="87"/>
        <v>116648.08000000013</v>
      </c>
      <c r="BN15" s="7">
        <f t="shared" si="88"/>
        <v>114670.99000000014</v>
      </c>
      <c r="BO15" s="7">
        <f t="shared" si="89"/>
        <v>112693.90000000014</v>
      </c>
      <c r="BP15" s="7">
        <f t="shared" si="90"/>
        <v>110716.81000000014</v>
      </c>
      <c r="BQ15" s="7">
        <f t="shared" si="91"/>
        <v>108739.72000000015</v>
      </c>
      <c r="BR15" s="7">
        <f t="shared" si="92"/>
        <v>106762.63000000015</v>
      </c>
      <c r="BS15" s="7">
        <f t="shared" si="93"/>
        <v>104785.54000000015</v>
      </c>
      <c r="BT15" s="7">
        <f t="shared" si="94"/>
        <v>102808.45000000016</v>
      </c>
      <c r="BU15" s="7">
        <f t="shared" si="95"/>
        <v>100831.36000000016</v>
      </c>
      <c r="BV15" s="236">
        <v>0</v>
      </c>
      <c r="BW15" s="7">
        <v>1977.09</v>
      </c>
      <c r="BX15" s="7">
        <f>BW15*12</f>
        <v>23725.079999999998</v>
      </c>
      <c r="BY15" s="7">
        <f>BU15-BW15</f>
        <v>98854.270000000164</v>
      </c>
      <c r="BZ15" s="7">
        <f t="shared" si="96"/>
        <v>96877.180000000168</v>
      </c>
      <c r="CA15" s="7">
        <f t="shared" si="97"/>
        <v>94900.090000000171</v>
      </c>
      <c r="CB15" s="7">
        <f t="shared" si="98"/>
        <v>92923.000000000175</v>
      </c>
      <c r="CC15" s="7">
        <f t="shared" si="99"/>
        <v>90945.910000000178</v>
      </c>
      <c r="CD15" s="7">
        <f t="shared" si="100"/>
        <v>88968.820000000182</v>
      </c>
      <c r="CE15" s="7">
        <f t="shared" si="101"/>
        <v>86991.730000000185</v>
      </c>
      <c r="CF15" s="7">
        <f t="shared" si="102"/>
        <v>85014.640000000189</v>
      </c>
      <c r="CG15" s="7">
        <f t="shared" si="103"/>
        <v>83037.550000000192</v>
      </c>
      <c r="CH15" s="7">
        <f t="shared" si="104"/>
        <v>81060.460000000196</v>
      </c>
      <c r="CI15" s="7">
        <f t="shared" si="105"/>
        <v>79083.370000000199</v>
      </c>
      <c r="CJ15" s="7">
        <f t="shared" si="106"/>
        <v>77106.280000000203</v>
      </c>
      <c r="CK15" s="236">
        <v>0</v>
      </c>
      <c r="CL15" s="7">
        <v>1977.09</v>
      </c>
      <c r="CM15" s="7">
        <f>CL15*12</f>
        <v>23725.079999999998</v>
      </c>
      <c r="CN15" s="7">
        <f>CJ15-CL15</f>
        <v>75129.190000000206</v>
      </c>
      <c r="CO15" s="7">
        <f t="shared" si="107"/>
        <v>73152.10000000021</v>
      </c>
      <c r="CP15" s="7">
        <f t="shared" si="108"/>
        <v>71175.010000000213</v>
      </c>
      <c r="CQ15" s="7">
        <f t="shared" si="109"/>
        <v>69197.920000000217</v>
      </c>
      <c r="CR15" s="7">
        <f t="shared" si="110"/>
        <v>67220.83000000022</v>
      </c>
      <c r="CS15" s="7">
        <f t="shared" si="111"/>
        <v>65243.740000000224</v>
      </c>
      <c r="CT15" s="7">
        <f t="shared" si="112"/>
        <v>63266.650000000227</v>
      </c>
      <c r="CU15" s="7">
        <f t="shared" si="113"/>
        <v>61289.560000000231</v>
      </c>
      <c r="CV15" s="7">
        <f t="shared" si="114"/>
        <v>59312.470000000234</v>
      </c>
      <c r="CW15" s="7">
        <f t="shared" si="115"/>
        <v>57335.380000000237</v>
      </c>
      <c r="CX15" s="7">
        <f t="shared" si="116"/>
        <v>55358.290000000241</v>
      </c>
      <c r="CY15" s="7">
        <f t="shared" si="117"/>
        <v>53381.200000000244</v>
      </c>
      <c r="CZ15" s="236">
        <v>0</v>
      </c>
    </row>
    <row r="16" spans="1:104" ht="33.75" x14ac:dyDescent="0.2">
      <c r="A16" s="6" t="str">
        <f>'[1]2021 УГРЦТ'!A19</f>
        <v>Высоковольтная установка для испытания кабелей из сшитого полиэтилена (СПЭ) повышенным напряжением сверхнизкой частоты (СНЧ/VLF) АИСТ СНЧ 36</v>
      </c>
      <c r="B16" t="str">
        <f>'[1]2021 УГРЦТ'!B19</f>
        <v>000001818</v>
      </c>
      <c r="C16" t="str">
        <f>'[1]2021 УГРЦТ'!C19</f>
        <v>ПРОИЗВОДСТВО</v>
      </c>
      <c r="D16" t="str">
        <f>'[1]2021 УГРЦТ'!D19</f>
        <v>Машины и оборудование (кроме офисного)</v>
      </c>
      <c r="E16" t="str">
        <f>'[1]2021 УГРЦТ'!E19</f>
        <v>29.06.2020</v>
      </c>
      <c r="F16" t="str">
        <f>'[1]2021 УГРЦТ'!F19</f>
        <v>Электрический цех</v>
      </c>
      <c r="G16">
        <f>'[1]2021 УГРЦТ'!AC19</f>
        <v>84</v>
      </c>
      <c r="H16" s="7">
        <f>'[1]2021 УГРЦТ'!X19</f>
        <v>564250</v>
      </c>
      <c r="I16" s="7">
        <f>'[1]2021 УГРЦТ'!Y19</f>
        <v>120910.70285714288</v>
      </c>
      <c r="J16" s="7">
        <f>'[1]2021 УГРЦТ'!Z19</f>
        <v>443339.2971428571</v>
      </c>
      <c r="K16" s="8">
        <v>0</v>
      </c>
      <c r="L16" s="7">
        <v>6717.2599999999993</v>
      </c>
      <c r="M16" s="7"/>
      <c r="N16" s="7">
        <f t="shared" si="0"/>
        <v>80607.12</v>
      </c>
      <c r="O16" s="7">
        <f t="shared" si="41"/>
        <v>436622.03714285709</v>
      </c>
      <c r="P16" s="7">
        <f t="shared" si="42"/>
        <v>429904.77714285708</v>
      </c>
      <c r="Q16" s="7">
        <f t="shared" si="42"/>
        <v>423187.51714285708</v>
      </c>
      <c r="R16" s="7">
        <f t="shared" si="42"/>
        <v>416470.25714285707</v>
      </c>
      <c r="S16" s="7">
        <f t="shared" si="42"/>
        <v>409752.99714285706</v>
      </c>
      <c r="T16" s="7">
        <f t="shared" si="42"/>
        <v>403035.73714285705</v>
      </c>
      <c r="U16" s="7">
        <f t="shared" si="42"/>
        <v>396318.47714285704</v>
      </c>
      <c r="V16" s="7">
        <f t="shared" si="42"/>
        <v>389601.21714285703</v>
      </c>
      <c r="W16" s="7">
        <f t="shared" si="42"/>
        <v>382883.95714285702</v>
      </c>
      <c r="X16" s="7">
        <f t="shared" si="42"/>
        <v>376166.69714285701</v>
      </c>
      <c r="Y16" s="7">
        <f t="shared" si="42"/>
        <v>369449.437142857</v>
      </c>
      <c r="Z16" s="7">
        <f t="shared" si="42"/>
        <v>362732.17714285699</v>
      </c>
      <c r="AA16" s="7"/>
      <c r="AB16" s="7"/>
      <c r="AC16" s="7">
        <f t="shared" si="43"/>
        <v>80607.12</v>
      </c>
      <c r="AD16" s="7">
        <f t="shared" si="44"/>
        <v>356014.91714285698</v>
      </c>
      <c r="AE16" s="7">
        <f t="shared" si="2"/>
        <v>349297.65714285697</v>
      </c>
      <c r="AF16" s="7">
        <f t="shared" si="2"/>
        <v>342580.39714285696</v>
      </c>
      <c r="AG16" s="7">
        <f t="shared" si="2"/>
        <v>335863.13714285695</v>
      </c>
      <c r="AH16" s="7">
        <f t="shared" si="2"/>
        <v>329145.87714285695</v>
      </c>
      <c r="AI16" s="7">
        <f t="shared" si="2"/>
        <v>322428.61714285694</v>
      </c>
      <c r="AJ16" s="7">
        <f t="shared" si="2"/>
        <v>315711.35714285693</v>
      </c>
      <c r="AK16" s="7">
        <f t="shared" si="2"/>
        <v>308994.09714285692</v>
      </c>
      <c r="AL16" s="7">
        <f t="shared" si="2"/>
        <v>302276.83714285691</v>
      </c>
      <c r="AM16" s="7">
        <f t="shared" si="2"/>
        <v>295559.5771428569</v>
      </c>
      <c r="AN16" s="7">
        <f t="shared" si="2"/>
        <v>288842.31714285689</v>
      </c>
      <c r="AO16" s="7">
        <f t="shared" si="2"/>
        <v>282125.05714285688</v>
      </c>
      <c r="AP16" s="222"/>
      <c r="AQ16" s="7">
        <v>6717.2599999999993</v>
      </c>
      <c r="AR16" s="7">
        <f t="shared" si="45"/>
        <v>6717.2600000000093</v>
      </c>
      <c r="AS16" s="7">
        <f t="shared" si="46"/>
        <v>1.0004441719502211E-11</v>
      </c>
      <c r="AT16" s="7">
        <f t="shared" si="83"/>
        <v>80607.12</v>
      </c>
      <c r="AU16" s="7">
        <f>AO16-$L16</f>
        <v>275407.79714285687</v>
      </c>
      <c r="AV16" s="7">
        <f t="shared" si="84"/>
        <v>268690.53714285686</v>
      </c>
      <c r="AW16" s="7">
        <f t="shared" si="84"/>
        <v>261973.27714285685</v>
      </c>
      <c r="AX16" s="7">
        <f t="shared" si="84"/>
        <v>255256.01714285684</v>
      </c>
      <c r="AY16" s="7">
        <f t="shared" si="84"/>
        <v>248538.75714285683</v>
      </c>
      <c r="AZ16" s="7">
        <f t="shared" si="84"/>
        <v>241821.49714285682</v>
      </c>
      <c r="BA16" s="7">
        <f t="shared" si="84"/>
        <v>235104.23714285681</v>
      </c>
      <c r="BB16" s="7">
        <f t="shared" si="84"/>
        <v>228386.97714285681</v>
      </c>
      <c r="BC16" s="7">
        <f t="shared" si="84"/>
        <v>221669.7171428568</v>
      </c>
      <c r="BD16" s="7">
        <f t="shared" si="84"/>
        <v>214952.45714285679</v>
      </c>
      <c r="BE16" s="7">
        <f t="shared" si="84"/>
        <v>208235.19714285678</v>
      </c>
      <c r="BF16" s="7">
        <f t="shared" si="84"/>
        <v>201517.93714285677</v>
      </c>
      <c r="BG16" s="236">
        <f t="shared" si="5"/>
        <v>0</v>
      </c>
      <c r="BH16" s="7">
        <v>6717.2599999999993</v>
      </c>
      <c r="BI16" s="7">
        <f>BH16*12</f>
        <v>80607.12</v>
      </c>
      <c r="BJ16" s="7">
        <f>BF16-BH16</f>
        <v>194800.67714285676</v>
      </c>
      <c r="BK16" s="7">
        <f t="shared" si="85"/>
        <v>188083.41714285675</v>
      </c>
      <c r="BL16" s="7">
        <f t="shared" si="86"/>
        <v>181366.15714285674</v>
      </c>
      <c r="BM16" s="7">
        <f t="shared" si="87"/>
        <v>174648.89714285673</v>
      </c>
      <c r="BN16" s="7">
        <f t="shared" si="88"/>
        <v>167931.63714285672</v>
      </c>
      <c r="BO16" s="7">
        <f t="shared" si="89"/>
        <v>161214.37714285671</v>
      </c>
      <c r="BP16" s="7">
        <f t="shared" si="90"/>
        <v>154497.1171428567</v>
      </c>
      <c r="BQ16" s="7">
        <f t="shared" si="91"/>
        <v>147779.85714285669</v>
      </c>
      <c r="BR16" s="7">
        <f t="shared" si="92"/>
        <v>141062.59714285668</v>
      </c>
      <c r="BS16" s="7">
        <f t="shared" si="93"/>
        <v>134345.33714285668</v>
      </c>
      <c r="BT16" s="7">
        <f t="shared" si="94"/>
        <v>127628.07714285668</v>
      </c>
      <c r="BU16" s="7">
        <f t="shared" si="95"/>
        <v>120910.81714285669</v>
      </c>
      <c r="BV16" s="236">
        <v>0</v>
      </c>
      <c r="BW16" s="7">
        <v>6717.2599999999993</v>
      </c>
      <c r="BX16" s="7">
        <f>BW16*12</f>
        <v>80607.12</v>
      </c>
      <c r="BY16" s="7">
        <f>BU16-BW16</f>
        <v>114193.55714285669</v>
      </c>
      <c r="BZ16" s="7">
        <f t="shared" si="96"/>
        <v>107476.2971428567</v>
      </c>
      <c r="CA16" s="7">
        <f t="shared" si="97"/>
        <v>100759.0371428567</v>
      </c>
      <c r="CB16" s="7">
        <f t="shared" si="98"/>
        <v>94041.777142856707</v>
      </c>
      <c r="CC16" s="7">
        <f t="shared" si="99"/>
        <v>87324.517142856712</v>
      </c>
      <c r="CD16" s="7">
        <f t="shared" si="100"/>
        <v>80607.257142856717</v>
      </c>
      <c r="CE16" s="7">
        <f t="shared" si="101"/>
        <v>73889.997142856722</v>
      </c>
      <c r="CF16" s="7">
        <f t="shared" si="102"/>
        <v>67172.737142856728</v>
      </c>
      <c r="CG16" s="7">
        <f t="shared" si="103"/>
        <v>60455.477142856726</v>
      </c>
      <c r="CH16" s="7">
        <f t="shared" si="104"/>
        <v>53738.217142856724</v>
      </c>
      <c r="CI16" s="7">
        <f t="shared" si="105"/>
        <v>47020.957142856721</v>
      </c>
      <c r="CJ16" s="7">
        <f t="shared" si="106"/>
        <v>40303.697142856719</v>
      </c>
      <c r="CK16" s="236">
        <v>0</v>
      </c>
      <c r="CL16" s="7">
        <v>6717.2599999999993</v>
      </c>
      <c r="CM16" s="7">
        <v>40303.699999999997</v>
      </c>
      <c r="CN16" s="7">
        <f>CJ16-CL16</f>
        <v>33586.437142856717</v>
      </c>
      <c r="CO16" s="7">
        <f t="shared" si="107"/>
        <v>26869.177142856719</v>
      </c>
      <c r="CP16" s="7">
        <f t="shared" si="108"/>
        <v>20151.917142856721</v>
      </c>
      <c r="CQ16" s="7">
        <f t="shared" si="109"/>
        <v>13434.657142856722</v>
      </c>
      <c r="CR16" s="7">
        <f t="shared" si="110"/>
        <v>6717.3971428567229</v>
      </c>
      <c r="CS16" s="7">
        <f t="shared" si="111"/>
        <v>0.13714285672358528</v>
      </c>
      <c r="CT16" s="7"/>
      <c r="CU16" s="7"/>
      <c r="CV16" s="7"/>
      <c r="CW16" s="7"/>
      <c r="CX16" s="7"/>
      <c r="CY16" s="7"/>
      <c r="CZ16" s="236">
        <v>0</v>
      </c>
    </row>
    <row r="17" spans="1:104" x14ac:dyDescent="0.2">
      <c r="A17" s="6" t="str">
        <f>'[1]2021 УГРЦТ'!A20</f>
        <v>Газоанализатор СГОЭС (метан)</v>
      </c>
      <c r="B17" t="str">
        <f>'[1]2021 УГРЦТ'!B20</f>
        <v>000001757</v>
      </c>
      <c r="C17" t="str">
        <f>'[1]2021 УГРЦТ'!C20</f>
        <v>ПРОИЗВОДСТВО</v>
      </c>
      <c r="D17" t="str">
        <f>'[1]2021 УГРЦТ'!D20</f>
        <v>Машины и оборудование (кроме офисного)</v>
      </c>
      <c r="E17" t="str">
        <f>'[1]2021 УГРЦТ'!E20</f>
        <v>27.02.2019</v>
      </c>
      <c r="F17" t="str">
        <f>'[1]2021 УГРЦТ'!F20</f>
        <v>Газотурбинный цех</v>
      </c>
      <c r="G17">
        <f>'[1]2021 УГРЦТ'!AC20</f>
        <v>60</v>
      </c>
      <c r="H17" s="7">
        <f>'[1]2021 УГРЦТ'!X20</f>
        <v>71300</v>
      </c>
      <c r="I17" s="7">
        <f>'[1]2021 УГРЦТ'!Y20</f>
        <v>40403.26</v>
      </c>
      <c r="J17" s="7">
        <f>'[1]2021 УГРЦТ'!Z20</f>
        <v>30896.739999999998</v>
      </c>
      <c r="K17" s="8">
        <v>0</v>
      </c>
      <c r="L17" s="7">
        <v>1188.33</v>
      </c>
      <c r="M17" s="7"/>
      <c r="N17" s="7">
        <f t="shared" si="0"/>
        <v>14259.96</v>
      </c>
      <c r="O17" s="7">
        <f t="shared" si="41"/>
        <v>29708.409999999996</v>
      </c>
      <c r="P17" s="7">
        <f t="shared" si="42"/>
        <v>28520.079999999994</v>
      </c>
      <c r="Q17" s="7">
        <f t="shared" si="42"/>
        <v>27331.749999999993</v>
      </c>
      <c r="R17" s="7">
        <f t="shared" si="42"/>
        <v>26143.419999999991</v>
      </c>
      <c r="S17" s="7">
        <f t="shared" si="42"/>
        <v>24955.089999999989</v>
      </c>
      <c r="T17" s="7">
        <f t="shared" si="42"/>
        <v>23766.759999999987</v>
      </c>
      <c r="U17" s="7">
        <f t="shared" si="42"/>
        <v>22578.429999999986</v>
      </c>
      <c r="V17" s="7">
        <f t="shared" si="42"/>
        <v>21390.099999999984</v>
      </c>
      <c r="W17" s="7">
        <f t="shared" si="42"/>
        <v>20201.769999999982</v>
      </c>
      <c r="X17" s="7">
        <f t="shared" si="42"/>
        <v>19013.439999999981</v>
      </c>
      <c r="Y17" s="7">
        <f t="shared" si="42"/>
        <v>17825.109999999979</v>
      </c>
      <c r="Z17" s="7">
        <f t="shared" si="42"/>
        <v>16636.779999999977</v>
      </c>
      <c r="AA17" s="7"/>
      <c r="AB17" s="7"/>
      <c r="AC17" s="7">
        <f t="shared" si="43"/>
        <v>14259.96</v>
      </c>
      <c r="AD17" s="7">
        <f t="shared" si="44"/>
        <v>15448.449999999977</v>
      </c>
      <c r="AE17" s="7">
        <f t="shared" si="2"/>
        <v>14260.119999999977</v>
      </c>
      <c r="AF17" s="7">
        <f t="shared" si="2"/>
        <v>13071.789999999977</v>
      </c>
      <c r="AG17" s="7">
        <f t="shared" si="2"/>
        <v>11883.459999999977</v>
      </c>
      <c r="AH17" s="7">
        <f t="shared" si="2"/>
        <v>10695.129999999977</v>
      </c>
      <c r="AI17" s="7">
        <f t="shared" si="2"/>
        <v>9506.7999999999774</v>
      </c>
      <c r="AJ17" s="7">
        <f t="shared" si="2"/>
        <v>8318.4699999999775</v>
      </c>
      <c r="AK17" s="7">
        <f t="shared" si="2"/>
        <v>7130.1399999999776</v>
      </c>
      <c r="AL17" s="7">
        <f t="shared" si="2"/>
        <v>5941.8099999999777</v>
      </c>
      <c r="AM17" s="7">
        <f t="shared" si="2"/>
        <v>4753.4799999999777</v>
      </c>
      <c r="AN17" s="7">
        <f t="shared" si="2"/>
        <v>3565.1499999999778</v>
      </c>
      <c r="AO17" s="7">
        <f t="shared" si="2"/>
        <v>2376.8199999999779</v>
      </c>
      <c r="AP17" s="222"/>
      <c r="AQ17" s="7">
        <v>1188.33</v>
      </c>
      <c r="AR17" s="7">
        <f t="shared" si="45"/>
        <v>1188.33</v>
      </c>
      <c r="AS17" s="7">
        <f t="shared" si="46"/>
        <v>0</v>
      </c>
      <c r="AT17" s="7">
        <f>L17*2+0.16</f>
        <v>2376.8199999999997</v>
      </c>
      <c r="AU17" s="7">
        <f>AO17-$L17</f>
        <v>1188.489999999978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236">
        <f t="shared" si="5"/>
        <v>0</v>
      </c>
      <c r="BH17" s="7">
        <v>1188.33</v>
      </c>
      <c r="BI17" s="7">
        <v>0</v>
      </c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236">
        <f>IF(Z17&lt;1,0,SUM(BJ17:BU17,BF17)/13*$BG$1)</f>
        <v>0</v>
      </c>
      <c r="BW17" s="7">
        <v>1188.33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236">
        <f>IF(AO17&lt;1,0,SUM(BY17:CJ17,BU17)/13*$BG$1)</f>
        <v>0</v>
      </c>
      <c r="CL17" s="7">
        <v>1188.33</v>
      </c>
      <c r="CM17" s="7">
        <v>0</v>
      </c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236">
        <f>IF(BF17&lt;1,0,SUM(CN17:CY17,CJ17)/13*$BG$1)</f>
        <v>0</v>
      </c>
    </row>
    <row r="18" spans="1:104" x14ac:dyDescent="0.2">
      <c r="A18" s="6" t="str">
        <f>'[1]2021 УГРЦТ'!A21</f>
        <v>Газоанализатор СГОЭС метан ЖСКФ</v>
      </c>
      <c r="B18" t="str">
        <f>'[1]2021 УГРЦТ'!B21</f>
        <v>000001744</v>
      </c>
      <c r="C18" t="str">
        <f>'[1]2021 УГРЦТ'!C21</f>
        <v>ПРОИЗВОДСТВО</v>
      </c>
      <c r="D18" t="str">
        <f>'[1]2021 УГРЦТ'!D21</f>
        <v>Машины и оборудование (кроме офисного)</v>
      </c>
      <c r="E18" t="str">
        <f>'[1]2021 УГРЦТ'!E21</f>
        <v>28.08.2018</v>
      </c>
      <c r="F18" t="str">
        <f>'[1]2021 УГРЦТ'!F21</f>
        <v>Газотурбинный цех</v>
      </c>
      <c r="G18">
        <f>'[1]2021 УГРЦТ'!AC21</f>
        <v>60</v>
      </c>
      <c r="H18" s="7">
        <f>'[1]2021 УГРЦТ'!X21</f>
        <v>120511.36</v>
      </c>
      <c r="I18" s="7">
        <f>'[1]2021 УГРЦТ'!Y21</f>
        <v>80340.832000000009</v>
      </c>
      <c r="J18" s="7">
        <f>'[1]2021 УГРЦТ'!Z21</f>
        <v>40170.527999999991</v>
      </c>
      <c r="K18" s="8">
        <v>0</v>
      </c>
      <c r="L18" s="7">
        <v>2008.5200000000002</v>
      </c>
      <c r="M18" s="7"/>
      <c r="N18" s="7">
        <f t="shared" si="0"/>
        <v>24102.240000000002</v>
      </c>
      <c r="O18" s="7">
        <f t="shared" si="41"/>
        <v>38162.007999999994</v>
      </c>
      <c r="P18" s="7">
        <f t="shared" si="42"/>
        <v>36153.487999999998</v>
      </c>
      <c r="Q18" s="7">
        <f t="shared" si="42"/>
        <v>34144.968000000001</v>
      </c>
      <c r="R18" s="7">
        <f t="shared" si="42"/>
        <v>32136.448</v>
      </c>
      <c r="S18" s="7">
        <f t="shared" si="42"/>
        <v>30127.928</v>
      </c>
      <c r="T18" s="7">
        <f t="shared" si="42"/>
        <v>28119.407999999999</v>
      </c>
      <c r="U18" s="7">
        <f t="shared" si="42"/>
        <v>26110.887999999999</v>
      </c>
      <c r="V18" s="7">
        <f t="shared" si="42"/>
        <v>24102.367999999999</v>
      </c>
      <c r="W18" s="7">
        <f t="shared" si="42"/>
        <v>22093.847999999998</v>
      </c>
      <c r="X18" s="7">
        <f t="shared" si="42"/>
        <v>20085.327999999998</v>
      </c>
      <c r="Y18" s="7">
        <f t="shared" si="42"/>
        <v>18076.807999999997</v>
      </c>
      <c r="Z18" s="7">
        <f t="shared" si="42"/>
        <v>16068.287999999997</v>
      </c>
      <c r="AA18" s="7"/>
      <c r="AB18" s="7"/>
      <c r="AC18" s="7">
        <f>L18*8+0.13</f>
        <v>16068.29</v>
      </c>
      <c r="AD18" s="7">
        <f t="shared" si="44"/>
        <v>14059.767999999996</v>
      </c>
      <c r="AE18" s="7">
        <f t="shared" si="2"/>
        <v>12051.247999999996</v>
      </c>
      <c r="AF18" s="7">
        <f t="shared" si="2"/>
        <v>10042.727999999996</v>
      </c>
      <c r="AG18" s="7">
        <f t="shared" si="2"/>
        <v>8034.2079999999951</v>
      </c>
      <c r="AH18" s="7">
        <f t="shared" si="2"/>
        <v>6025.6879999999946</v>
      </c>
      <c r="AI18" s="7">
        <f t="shared" si="2"/>
        <v>4017.1679999999942</v>
      </c>
      <c r="AJ18" s="7">
        <f t="shared" si="2"/>
        <v>2008.647999999994</v>
      </c>
      <c r="AK18" s="7">
        <f t="shared" si="2"/>
        <v>0.12799999999378997</v>
      </c>
      <c r="AL18" s="7"/>
      <c r="AM18" s="7"/>
      <c r="AN18" s="7"/>
      <c r="AO18" s="7"/>
      <c r="AP18" s="222"/>
      <c r="AQ18" s="7">
        <v>0</v>
      </c>
      <c r="AR18" s="7">
        <f t="shared" si="45"/>
        <v>0</v>
      </c>
      <c r="AS18" s="7">
        <f t="shared" si="46"/>
        <v>0</v>
      </c>
      <c r="BG18" s="236">
        <f t="shared" si="5"/>
        <v>0</v>
      </c>
      <c r="BH18" s="7">
        <v>0</v>
      </c>
      <c r="BV18" s="236">
        <f>IF(Z18&lt;1,0,SUM(BJ18:BU18,BF18)/13*$BG$1)</f>
        <v>0</v>
      </c>
      <c r="BW18" s="7">
        <v>0</v>
      </c>
      <c r="CK18" s="236">
        <f>IF(AO18&lt;1,0,SUM(BY18:CJ18,BU18)/13*$BG$1)</f>
        <v>0</v>
      </c>
      <c r="CL18" s="7">
        <v>0</v>
      </c>
      <c r="CZ18" s="236">
        <f>IF(BF18&lt;1,0,SUM(CN18:CY18,CJ18)/13*$BG$1)</f>
        <v>0</v>
      </c>
    </row>
    <row r="19" spans="1:104" s="10" customFormat="1" x14ac:dyDescent="0.2">
      <c r="A19" s="9" t="str">
        <f>'[1]2021 УГРЦТ'!A22</f>
        <v>Газон 600 м2  в районе ГТЭС-18</v>
      </c>
      <c r="B19" s="10" t="str">
        <f>'[1]2021 УГРЦТ'!B22</f>
        <v>00001147</v>
      </c>
      <c r="C19" s="10" t="str">
        <f>'[1]2021 УГРЦТ'!C22</f>
        <v>ПРОИЗВОДСТВО</v>
      </c>
      <c r="D19" s="10" t="str">
        <f>'[1]2021 УГРЦТ'!D22</f>
        <v>Машины и оборудование (кроме офисного)</v>
      </c>
      <c r="E19" s="10" t="str">
        <f>'[1]2021 УГРЦТ'!E22</f>
        <v>30.10.2009</v>
      </c>
      <c r="F19" s="10" t="str">
        <f>'[1]2021 УГРЦТ'!F22</f>
        <v>Газотурбинный цех</v>
      </c>
      <c r="G19" s="10">
        <f>'[1]2021 УГРЦТ'!AC22</f>
        <v>60</v>
      </c>
      <c r="H19" s="11">
        <f>'[1]2021 УГРЦТ'!X22</f>
        <v>325875.88</v>
      </c>
      <c r="I19" s="11">
        <f>'[1]2021 УГРЦТ'!Y22</f>
        <v>325875.88</v>
      </c>
      <c r="J19" s="11">
        <f>'[1]2021 УГРЦТ'!Z22</f>
        <v>325875.88</v>
      </c>
      <c r="K19" s="8">
        <v>0</v>
      </c>
      <c r="L19" s="12">
        <v>0</v>
      </c>
      <c r="M19" s="12"/>
      <c r="N19" s="11">
        <f t="shared" si="0"/>
        <v>0</v>
      </c>
      <c r="O19" s="11">
        <f t="shared" si="41"/>
        <v>325875.88</v>
      </c>
      <c r="P19" s="11">
        <f t="shared" si="42"/>
        <v>325875.88</v>
      </c>
      <c r="Q19" s="11">
        <f t="shared" si="42"/>
        <v>325875.88</v>
      </c>
      <c r="R19" s="11">
        <f t="shared" si="42"/>
        <v>325875.88</v>
      </c>
      <c r="S19" s="11">
        <f t="shared" si="42"/>
        <v>325875.88</v>
      </c>
      <c r="T19" s="11">
        <f t="shared" si="42"/>
        <v>325875.88</v>
      </c>
      <c r="U19" s="11">
        <f t="shared" si="42"/>
        <v>325875.88</v>
      </c>
      <c r="V19" s="11">
        <f t="shared" si="42"/>
        <v>325875.88</v>
      </c>
      <c r="W19" s="11">
        <f t="shared" si="42"/>
        <v>325875.88</v>
      </c>
      <c r="X19" s="11">
        <f t="shared" si="42"/>
        <v>325875.88</v>
      </c>
      <c r="Y19" s="11">
        <f t="shared" si="42"/>
        <v>325875.88</v>
      </c>
      <c r="Z19" s="11">
        <f t="shared" si="42"/>
        <v>325875.88</v>
      </c>
      <c r="AA19" s="11"/>
      <c r="AB19" s="11"/>
      <c r="AC19" s="11">
        <f t="shared" si="43"/>
        <v>0</v>
      </c>
      <c r="AD19" s="11">
        <f t="shared" si="44"/>
        <v>325875.88</v>
      </c>
      <c r="AE19" s="11">
        <f t="shared" si="2"/>
        <v>325875.88</v>
      </c>
      <c r="AF19" s="11">
        <f t="shared" si="2"/>
        <v>325875.88</v>
      </c>
      <c r="AG19" s="11">
        <f t="shared" si="2"/>
        <v>325875.88</v>
      </c>
      <c r="AH19" s="11">
        <f t="shared" si="2"/>
        <v>325875.88</v>
      </c>
      <c r="AI19" s="11">
        <f t="shared" si="2"/>
        <v>325875.88</v>
      </c>
      <c r="AJ19" s="11">
        <f t="shared" si="2"/>
        <v>325875.88</v>
      </c>
      <c r="AK19" s="11">
        <f t="shared" si="2"/>
        <v>325875.88</v>
      </c>
      <c r="AL19" s="11">
        <f t="shared" si="2"/>
        <v>325875.88</v>
      </c>
      <c r="AM19" s="11">
        <f t="shared" si="2"/>
        <v>325875.88</v>
      </c>
      <c r="AN19" s="11">
        <f t="shared" si="2"/>
        <v>325875.88</v>
      </c>
      <c r="AO19" s="11">
        <f t="shared" si="2"/>
        <v>325875.88</v>
      </c>
      <c r="AP19" s="222"/>
      <c r="AQ19" s="7">
        <v>0</v>
      </c>
      <c r="AR19" s="7">
        <f t="shared" si="45"/>
        <v>0</v>
      </c>
      <c r="AS19" s="7">
        <f t="shared" si="46"/>
        <v>0</v>
      </c>
      <c r="AT19" s="11">
        <f t="shared" ref="AT19:AT31" si="118">L19*12</f>
        <v>0</v>
      </c>
      <c r="AU19" s="11">
        <f t="shared" ref="AU19:AU28" si="119">AO19-$L19</f>
        <v>325875.88</v>
      </c>
      <c r="AV19" s="11">
        <f t="shared" ref="AV19:BF28" si="120">AU19-$L19</f>
        <v>325875.88</v>
      </c>
      <c r="AW19" s="11">
        <f t="shared" si="120"/>
        <v>325875.88</v>
      </c>
      <c r="AX19" s="11">
        <f t="shared" si="120"/>
        <v>325875.88</v>
      </c>
      <c r="AY19" s="11">
        <f t="shared" si="120"/>
        <v>325875.88</v>
      </c>
      <c r="AZ19" s="11">
        <f t="shared" si="120"/>
        <v>325875.88</v>
      </c>
      <c r="BA19" s="11">
        <f t="shared" si="120"/>
        <v>325875.88</v>
      </c>
      <c r="BB19" s="11">
        <f t="shared" si="120"/>
        <v>325875.88</v>
      </c>
      <c r="BC19" s="11">
        <f t="shared" si="120"/>
        <v>325875.88</v>
      </c>
      <c r="BD19" s="11">
        <f t="shared" si="120"/>
        <v>325875.88</v>
      </c>
      <c r="BE19" s="11">
        <f t="shared" si="120"/>
        <v>325875.88</v>
      </c>
      <c r="BF19" s="11">
        <f t="shared" si="120"/>
        <v>325875.88</v>
      </c>
      <c r="BG19" s="236">
        <f t="shared" si="5"/>
        <v>0</v>
      </c>
      <c r="BH19" s="7">
        <v>0</v>
      </c>
      <c r="BI19" s="11">
        <v>0</v>
      </c>
      <c r="BJ19" s="11">
        <f>BF19</f>
        <v>325875.88</v>
      </c>
      <c r="BK19" s="11">
        <f t="shared" ref="BK19:BK28" si="121">BJ19-$L19</f>
        <v>325875.88</v>
      </c>
      <c r="BL19" s="11">
        <f t="shared" ref="BL19:BL28" si="122">BK19-$L19</f>
        <v>325875.88</v>
      </c>
      <c r="BM19" s="11">
        <f t="shared" ref="BM19:BM28" si="123">BL19-$L19</f>
        <v>325875.88</v>
      </c>
      <c r="BN19" s="11">
        <f t="shared" ref="BN19:BN28" si="124">BM19-$L19</f>
        <v>325875.88</v>
      </c>
      <c r="BO19" s="11">
        <f t="shared" ref="BO19:BO28" si="125">BN19-$L19</f>
        <v>325875.88</v>
      </c>
      <c r="BP19" s="11">
        <f t="shared" ref="BP19:BP28" si="126">BO19-$L19</f>
        <v>325875.88</v>
      </c>
      <c r="BQ19" s="11">
        <f t="shared" ref="BQ19:BQ28" si="127">BP19-$L19</f>
        <v>325875.88</v>
      </c>
      <c r="BR19" s="11">
        <f t="shared" ref="BR19:BR28" si="128">BQ19-$L19</f>
        <v>325875.88</v>
      </c>
      <c r="BS19" s="11">
        <f t="shared" ref="BS19:BS28" si="129">BR19-$L19</f>
        <v>325875.88</v>
      </c>
      <c r="BT19" s="11">
        <f t="shared" ref="BT19:BT28" si="130">BS19-$L19</f>
        <v>325875.88</v>
      </c>
      <c r="BU19" s="11">
        <f t="shared" ref="BU19:BU28" si="131">BT19-$L19</f>
        <v>325875.88</v>
      </c>
      <c r="BV19" s="236">
        <v>0</v>
      </c>
      <c r="BW19" s="7">
        <v>0</v>
      </c>
      <c r="BX19" s="11">
        <v>0</v>
      </c>
      <c r="BY19" s="11">
        <f>BU19</f>
        <v>325875.88</v>
      </c>
      <c r="BZ19" s="11">
        <f t="shared" ref="BZ19:BZ28" si="132">BY19-$L19</f>
        <v>325875.88</v>
      </c>
      <c r="CA19" s="11">
        <f t="shared" ref="CA19:CA28" si="133">BZ19-$L19</f>
        <v>325875.88</v>
      </c>
      <c r="CB19" s="11">
        <f t="shared" ref="CB19:CB28" si="134">CA19-$L19</f>
        <v>325875.88</v>
      </c>
      <c r="CC19" s="11">
        <f t="shared" ref="CC19:CC28" si="135">CB19-$L19</f>
        <v>325875.88</v>
      </c>
      <c r="CD19" s="11">
        <f t="shared" ref="CD19:CD28" si="136">CC19-$L19</f>
        <v>325875.88</v>
      </c>
      <c r="CE19" s="11">
        <f t="shared" ref="CE19:CE28" si="137">CD19-$L19</f>
        <v>325875.88</v>
      </c>
      <c r="CF19" s="11">
        <f t="shared" ref="CF19:CF28" si="138">CE19-$L19</f>
        <v>325875.88</v>
      </c>
      <c r="CG19" s="11">
        <f t="shared" ref="CG19:CG28" si="139">CF19-$L19</f>
        <v>325875.88</v>
      </c>
      <c r="CH19" s="11">
        <f t="shared" ref="CH19:CH28" si="140">CG19-$L19</f>
        <v>325875.88</v>
      </c>
      <c r="CI19" s="11">
        <f t="shared" ref="CI19:CI28" si="141">CH19-$L19</f>
        <v>325875.88</v>
      </c>
      <c r="CJ19" s="11">
        <f t="shared" ref="CJ19:CJ28" si="142">CI19-$L19</f>
        <v>325875.88</v>
      </c>
      <c r="CK19" s="236">
        <v>0</v>
      </c>
      <c r="CL19" s="7">
        <v>0</v>
      </c>
      <c r="CM19" s="11">
        <v>0</v>
      </c>
      <c r="CN19" s="11">
        <f>CJ19</f>
        <v>325875.88</v>
      </c>
      <c r="CO19" s="11">
        <f t="shared" ref="CO19:CO28" si="143">CN19-$L19</f>
        <v>325875.88</v>
      </c>
      <c r="CP19" s="11">
        <f t="shared" ref="CP19:CP28" si="144">CO19-$L19</f>
        <v>325875.88</v>
      </c>
      <c r="CQ19" s="11">
        <f t="shared" ref="CQ19:CQ28" si="145">CP19-$L19</f>
        <v>325875.88</v>
      </c>
      <c r="CR19" s="11">
        <f t="shared" ref="CR19:CR28" si="146">CQ19-$L19</f>
        <v>325875.88</v>
      </c>
      <c r="CS19" s="11">
        <f t="shared" ref="CS19:CS28" si="147">CR19-$L19</f>
        <v>325875.88</v>
      </c>
      <c r="CT19" s="11">
        <f t="shared" ref="CT19:CT28" si="148">CS19-$L19</f>
        <v>325875.88</v>
      </c>
      <c r="CU19" s="11">
        <f t="shared" ref="CU19:CU28" si="149">CT19-$L19</f>
        <v>325875.88</v>
      </c>
      <c r="CV19" s="11">
        <f t="shared" ref="CV19:CV28" si="150">CU19-$L19</f>
        <v>325875.88</v>
      </c>
      <c r="CW19" s="11">
        <f t="shared" ref="CW19:CW28" si="151">CV19-$L19</f>
        <v>325875.88</v>
      </c>
      <c r="CX19" s="11">
        <f t="shared" ref="CX19:CX28" si="152">CW19-$L19</f>
        <v>325875.88</v>
      </c>
      <c r="CY19" s="11">
        <f t="shared" ref="CY19:CY28" si="153">CX19-$L19</f>
        <v>325875.88</v>
      </c>
      <c r="CZ19" s="236">
        <v>0</v>
      </c>
    </row>
    <row r="20" spans="1:104" s="10" customFormat="1" x14ac:dyDescent="0.2">
      <c r="A20" s="9" t="str">
        <f>'[1]2021 УГРЦТ'!A23</f>
        <v>Газон в районе основного здания</v>
      </c>
      <c r="B20" s="10" t="str">
        <f>'[1]2021 УГРЦТ'!B23</f>
        <v>00001236</v>
      </c>
      <c r="C20" s="10" t="str">
        <f>'[1]2021 УГРЦТ'!C23</f>
        <v>ПРОИЗВОДСТВО</v>
      </c>
      <c r="D20" s="10" t="str">
        <f>'[1]2021 УГРЦТ'!D23</f>
        <v>Машины и оборудование (кроме офисного)</v>
      </c>
      <c r="E20" s="10" t="str">
        <f>'[1]2021 УГРЦТ'!E23</f>
        <v>10.10.2010</v>
      </c>
      <c r="F20" s="10" t="str">
        <f>'[1]2021 УГРЦТ'!F23</f>
        <v>Тепломеханический цех</v>
      </c>
      <c r="G20" s="10">
        <f>'[1]2021 УГРЦТ'!AC23</f>
        <v>60</v>
      </c>
      <c r="H20" s="11">
        <f>'[1]2021 УГРЦТ'!X23</f>
        <v>33100</v>
      </c>
      <c r="I20" s="11">
        <f>'[1]2021 УГРЦТ'!Y23</f>
        <v>33100</v>
      </c>
      <c r="J20" s="11">
        <f>'[1]2021 УГРЦТ'!Z23</f>
        <v>33100</v>
      </c>
      <c r="K20" s="8">
        <v>0</v>
      </c>
      <c r="L20" s="12">
        <v>0</v>
      </c>
      <c r="M20" s="12"/>
      <c r="N20" s="11">
        <f t="shared" si="0"/>
        <v>0</v>
      </c>
      <c r="O20" s="11">
        <f t="shared" si="41"/>
        <v>33100</v>
      </c>
      <c r="P20" s="11">
        <f t="shared" si="42"/>
        <v>33100</v>
      </c>
      <c r="Q20" s="11">
        <f t="shared" si="42"/>
        <v>33100</v>
      </c>
      <c r="R20" s="11">
        <f t="shared" si="42"/>
        <v>33100</v>
      </c>
      <c r="S20" s="11">
        <f t="shared" si="42"/>
        <v>33100</v>
      </c>
      <c r="T20" s="11">
        <f t="shared" si="42"/>
        <v>33100</v>
      </c>
      <c r="U20" s="11">
        <f t="shared" si="42"/>
        <v>33100</v>
      </c>
      <c r="V20" s="11">
        <f t="shared" si="42"/>
        <v>33100</v>
      </c>
      <c r="W20" s="11">
        <f t="shared" si="42"/>
        <v>33100</v>
      </c>
      <c r="X20" s="11">
        <f t="shared" si="42"/>
        <v>33100</v>
      </c>
      <c r="Y20" s="11">
        <f t="shared" si="42"/>
        <v>33100</v>
      </c>
      <c r="Z20" s="11">
        <f t="shared" si="42"/>
        <v>33100</v>
      </c>
      <c r="AA20" s="11"/>
      <c r="AB20" s="11"/>
      <c r="AC20" s="11">
        <f t="shared" si="43"/>
        <v>0</v>
      </c>
      <c r="AD20" s="11">
        <f t="shared" si="44"/>
        <v>33100</v>
      </c>
      <c r="AE20" s="11">
        <f t="shared" ref="AE20:AO33" si="154">AD20-$L20</f>
        <v>33100</v>
      </c>
      <c r="AF20" s="11">
        <f t="shared" si="154"/>
        <v>33100</v>
      </c>
      <c r="AG20" s="11">
        <f t="shared" si="154"/>
        <v>33100</v>
      </c>
      <c r="AH20" s="11">
        <f t="shared" si="154"/>
        <v>33100</v>
      </c>
      <c r="AI20" s="11">
        <f t="shared" si="154"/>
        <v>33100</v>
      </c>
      <c r="AJ20" s="11">
        <f t="shared" si="154"/>
        <v>33100</v>
      </c>
      <c r="AK20" s="11">
        <f t="shared" si="154"/>
        <v>33100</v>
      </c>
      <c r="AL20" s="11">
        <f t="shared" si="154"/>
        <v>33100</v>
      </c>
      <c r="AM20" s="11">
        <f t="shared" si="154"/>
        <v>33100</v>
      </c>
      <c r="AN20" s="11">
        <f t="shared" si="154"/>
        <v>33100</v>
      </c>
      <c r="AO20" s="11">
        <f t="shared" si="154"/>
        <v>33100</v>
      </c>
      <c r="AP20" s="222"/>
      <c r="AQ20" s="7">
        <v>0</v>
      </c>
      <c r="AR20" s="7">
        <f t="shared" si="45"/>
        <v>0</v>
      </c>
      <c r="AS20" s="7">
        <f t="shared" si="46"/>
        <v>0</v>
      </c>
      <c r="AT20" s="11">
        <f t="shared" si="118"/>
        <v>0</v>
      </c>
      <c r="AU20" s="11">
        <f t="shared" si="119"/>
        <v>33100</v>
      </c>
      <c r="AV20" s="11">
        <f t="shared" si="120"/>
        <v>33100</v>
      </c>
      <c r="AW20" s="11">
        <f t="shared" si="120"/>
        <v>33100</v>
      </c>
      <c r="AX20" s="11">
        <f t="shared" si="120"/>
        <v>33100</v>
      </c>
      <c r="AY20" s="11">
        <f t="shared" si="120"/>
        <v>33100</v>
      </c>
      <c r="AZ20" s="11">
        <f t="shared" si="120"/>
        <v>33100</v>
      </c>
      <c r="BA20" s="11">
        <f t="shared" si="120"/>
        <v>33100</v>
      </c>
      <c r="BB20" s="11">
        <f t="shared" si="120"/>
        <v>33100</v>
      </c>
      <c r="BC20" s="11">
        <f t="shared" si="120"/>
        <v>33100</v>
      </c>
      <c r="BD20" s="11">
        <f t="shared" si="120"/>
        <v>33100</v>
      </c>
      <c r="BE20" s="11">
        <f t="shared" si="120"/>
        <v>33100</v>
      </c>
      <c r="BF20" s="11">
        <f t="shared" si="120"/>
        <v>33100</v>
      </c>
      <c r="BG20" s="236">
        <f t="shared" si="5"/>
        <v>0</v>
      </c>
      <c r="BH20" s="7">
        <v>0</v>
      </c>
      <c r="BI20" s="11">
        <v>0</v>
      </c>
      <c r="BJ20" s="11">
        <f>BF20</f>
        <v>33100</v>
      </c>
      <c r="BK20" s="11">
        <f t="shared" si="121"/>
        <v>33100</v>
      </c>
      <c r="BL20" s="11">
        <f t="shared" si="122"/>
        <v>33100</v>
      </c>
      <c r="BM20" s="11">
        <f t="shared" si="123"/>
        <v>33100</v>
      </c>
      <c r="BN20" s="11">
        <f t="shared" si="124"/>
        <v>33100</v>
      </c>
      <c r="BO20" s="11">
        <f t="shared" si="125"/>
        <v>33100</v>
      </c>
      <c r="BP20" s="11">
        <f t="shared" si="126"/>
        <v>33100</v>
      </c>
      <c r="BQ20" s="11">
        <f t="shared" si="127"/>
        <v>33100</v>
      </c>
      <c r="BR20" s="11">
        <f t="shared" si="128"/>
        <v>33100</v>
      </c>
      <c r="BS20" s="11">
        <f t="shared" si="129"/>
        <v>33100</v>
      </c>
      <c r="BT20" s="11">
        <f t="shared" si="130"/>
        <v>33100</v>
      </c>
      <c r="BU20" s="11">
        <f t="shared" si="131"/>
        <v>33100</v>
      </c>
      <c r="BV20" s="236">
        <v>0</v>
      </c>
      <c r="BW20" s="7">
        <v>0</v>
      </c>
      <c r="BX20" s="11">
        <v>0</v>
      </c>
      <c r="BY20" s="11">
        <f>BU20</f>
        <v>33100</v>
      </c>
      <c r="BZ20" s="11">
        <f t="shared" si="132"/>
        <v>33100</v>
      </c>
      <c r="CA20" s="11">
        <f t="shared" si="133"/>
        <v>33100</v>
      </c>
      <c r="CB20" s="11">
        <f t="shared" si="134"/>
        <v>33100</v>
      </c>
      <c r="CC20" s="11">
        <f t="shared" si="135"/>
        <v>33100</v>
      </c>
      <c r="CD20" s="11">
        <f t="shared" si="136"/>
        <v>33100</v>
      </c>
      <c r="CE20" s="11">
        <f t="shared" si="137"/>
        <v>33100</v>
      </c>
      <c r="CF20" s="11">
        <f t="shared" si="138"/>
        <v>33100</v>
      </c>
      <c r="CG20" s="11">
        <f t="shared" si="139"/>
        <v>33100</v>
      </c>
      <c r="CH20" s="11">
        <f t="shared" si="140"/>
        <v>33100</v>
      </c>
      <c r="CI20" s="11">
        <f t="shared" si="141"/>
        <v>33100</v>
      </c>
      <c r="CJ20" s="11">
        <f t="shared" si="142"/>
        <v>33100</v>
      </c>
      <c r="CK20" s="236">
        <v>0</v>
      </c>
      <c r="CL20" s="7">
        <v>0</v>
      </c>
      <c r="CM20" s="11">
        <v>0</v>
      </c>
      <c r="CN20" s="11">
        <f>CJ20</f>
        <v>33100</v>
      </c>
      <c r="CO20" s="11">
        <f t="shared" si="143"/>
        <v>33100</v>
      </c>
      <c r="CP20" s="11">
        <f t="shared" si="144"/>
        <v>33100</v>
      </c>
      <c r="CQ20" s="11">
        <f t="shared" si="145"/>
        <v>33100</v>
      </c>
      <c r="CR20" s="11">
        <f t="shared" si="146"/>
        <v>33100</v>
      </c>
      <c r="CS20" s="11">
        <f t="shared" si="147"/>
        <v>33100</v>
      </c>
      <c r="CT20" s="11">
        <f t="shared" si="148"/>
        <v>33100</v>
      </c>
      <c r="CU20" s="11">
        <f t="shared" si="149"/>
        <v>33100</v>
      </c>
      <c r="CV20" s="11">
        <f t="shared" si="150"/>
        <v>33100</v>
      </c>
      <c r="CW20" s="11">
        <f t="shared" si="151"/>
        <v>33100</v>
      </c>
      <c r="CX20" s="11">
        <f t="shared" si="152"/>
        <v>33100</v>
      </c>
      <c r="CY20" s="11">
        <f t="shared" si="153"/>
        <v>33100</v>
      </c>
      <c r="CZ20" s="236">
        <v>0</v>
      </c>
    </row>
    <row r="21" spans="1:104" x14ac:dyDescent="0.2">
      <c r="A21" s="6" t="str">
        <f>'[1]2021 УГРЦТ'!A24</f>
        <v>Газопровод выс. давления(наружный) 2003г</v>
      </c>
      <c r="B21" t="str">
        <f>'[1]2021 УГРЦТ'!B24</f>
        <v>00000596</v>
      </c>
      <c r="C21" t="str">
        <f>'[1]2021 УГРЦТ'!C24</f>
        <v>ПРОИЗВОДСТВО</v>
      </c>
      <c r="D21" t="str">
        <f>'[1]2021 УГРЦТ'!D24</f>
        <v>Сооружения</v>
      </c>
      <c r="E21" t="str">
        <f>'[1]2021 УГРЦТ'!E24</f>
        <v>01.10.2003</v>
      </c>
      <c r="F21" t="str">
        <f>'[1]2021 УГРЦТ'!F24</f>
        <v>Газотурбинный цех</v>
      </c>
      <c r="G21">
        <f>'[1]2021 УГРЦТ'!AC24</f>
        <v>300</v>
      </c>
      <c r="H21" s="7">
        <f>'[1]2021 УГРЦТ'!X24</f>
        <v>538189.19999999995</v>
      </c>
      <c r="I21" s="7">
        <f>'[1]2021 УГРЦТ'!Y24</f>
        <v>391083.37800000003</v>
      </c>
      <c r="J21" s="7">
        <f>'[1]2021 УГРЦТ'!Z24</f>
        <v>147105.82199999993</v>
      </c>
      <c r="K21" s="8">
        <v>1</v>
      </c>
      <c r="L21" s="7">
        <v>1793.9725000000001</v>
      </c>
      <c r="M21" s="7"/>
      <c r="N21" s="7">
        <f t="shared" si="0"/>
        <v>21527.670000000002</v>
      </c>
      <c r="O21" s="7">
        <f t="shared" si="41"/>
        <v>145311.84949999992</v>
      </c>
      <c r="P21" s="7">
        <f t="shared" ref="P21:Z36" si="155">O21-$L21</f>
        <v>143517.87699999992</v>
      </c>
      <c r="Q21" s="7">
        <f t="shared" si="155"/>
        <v>141723.90449999992</v>
      </c>
      <c r="R21" s="7">
        <f t="shared" si="155"/>
        <v>139929.93199999991</v>
      </c>
      <c r="S21" s="7">
        <f t="shared" si="155"/>
        <v>138135.95949999991</v>
      </c>
      <c r="T21" s="7">
        <f t="shared" si="155"/>
        <v>136341.98699999991</v>
      </c>
      <c r="U21" s="7">
        <f t="shared" si="155"/>
        <v>134548.0144999999</v>
      </c>
      <c r="V21" s="7">
        <f t="shared" si="155"/>
        <v>132754.0419999999</v>
      </c>
      <c r="W21" s="7">
        <f t="shared" si="155"/>
        <v>130960.0694999999</v>
      </c>
      <c r="X21" s="7">
        <f t="shared" si="155"/>
        <v>129166.09699999989</v>
      </c>
      <c r="Y21" s="7">
        <f t="shared" si="155"/>
        <v>127372.12449999989</v>
      </c>
      <c r="Z21" s="7">
        <f t="shared" si="155"/>
        <v>125578.15199999989</v>
      </c>
      <c r="AA21" s="7">
        <f>SUM(O21:Z21,J21)/13*$AA$1</f>
        <v>2999.5237139999977</v>
      </c>
      <c r="AB21" s="7"/>
      <c r="AC21" s="7">
        <f t="shared" si="43"/>
        <v>21527.670000000002</v>
      </c>
      <c r="AD21" s="7">
        <f t="shared" si="44"/>
        <v>123784.17949999988</v>
      </c>
      <c r="AE21" s="7">
        <f t="shared" si="154"/>
        <v>121990.20699999988</v>
      </c>
      <c r="AF21" s="7">
        <f t="shared" si="154"/>
        <v>120196.23449999987</v>
      </c>
      <c r="AG21" s="7">
        <f t="shared" si="154"/>
        <v>118402.26199999987</v>
      </c>
      <c r="AH21" s="7">
        <f t="shared" si="154"/>
        <v>116608.28949999987</v>
      </c>
      <c r="AI21" s="7">
        <f t="shared" si="154"/>
        <v>114814.31699999986</v>
      </c>
      <c r="AJ21" s="7">
        <f t="shared" si="154"/>
        <v>113020.34449999986</v>
      </c>
      <c r="AK21" s="7">
        <f t="shared" si="154"/>
        <v>111226.37199999986</v>
      </c>
      <c r="AL21" s="7">
        <f t="shared" si="154"/>
        <v>109432.39949999985</v>
      </c>
      <c r="AM21" s="7">
        <f t="shared" si="154"/>
        <v>107638.42699999985</v>
      </c>
      <c r="AN21" s="7">
        <f t="shared" si="154"/>
        <v>105844.45449999985</v>
      </c>
      <c r="AO21" s="7">
        <f t="shared" si="154"/>
        <v>104050.48199999984</v>
      </c>
      <c r="AP21" s="222">
        <f>IF(K21&lt;1,0,SUM(AD21:AO21,Z21)/13*$BG$1)</f>
        <v>2525.9149739999971</v>
      </c>
      <c r="AQ21" s="7">
        <v>1793.9725000000001</v>
      </c>
      <c r="AR21" s="7">
        <f t="shared" si="45"/>
        <v>1793.9725000000035</v>
      </c>
      <c r="AS21" s="7">
        <f t="shared" si="46"/>
        <v>3.4106051316484809E-12</v>
      </c>
      <c r="AT21" s="7">
        <f t="shared" si="118"/>
        <v>21527.670000000002</v>
      </c>
      <c r="AU21" s="7">
        <f t="shared" si="119"/>
        <v>102256.50949999984</v>
      </c>
      <c r="AV21" s="7">
        <f t="shared" si="120"/>
        <v>100462.53699999984</v>
      </c>
      <c r="AW21" s="7">
        <f t="shared" si="120"/>
        <v>98668.564499999833</v>
      </c>
      <c r="AX21" s="7">
        <f t="shared" si="120"/>
        <v>96874.59199999983</v>
      </c>
      <c r="AY21" s="7">
        <f t="shared" si="120"/>
        <v>95080.619499999826</v>
      </c>
      <c r="AZ21" s="7">
        <f t="shared" si="120"/>
        <v>93286.646999999823</v>
      </c>
      <c r="BA21" s="7">
        <f t="shared" si="120"/>
        <v>91492.674499999819</v>
      </c>
      <c r="BB21" s="7">
        <f t="shared" si="120"/>
        <v>89698.701999999816</v>
      </c>
      <c r="BC21" s="7">
        <f t="shared" si="120"/>
        <v>87904.729499999812</v>
      </c>
      <c r="BD21" s="7">
        <f t="shared" si="120"/>
        <v>86110.756999999809</v>
      </c>
      <c r="BE21" s="7">
        <f t="shared" si="120"/>
        <v>84316.784499999805</v>
      </c>
      <c r="BF21" s="7">
        <f t="shared" si="120"/>
        <v>82522.811999999802</v>
      </c>
      <c r="BG21" s="236">
        <f t="shared" si="5"/>
        <v>2052.3062339999956</v>
      </c>
      <c r="BH21" s="7">
        <v>1793.9725000000001</v>
      </c>
      <c r="BI21" s="7">
        <f>BH21*12</f>
        <v>21527.670000000002</v>
      </c>
      <c r="BJ21" s="7">
        <f t="shared" ref="BJ21:BJ28" si="156">BF21-BH21</f>
        <v>80728.839499999798</v>
      </c>
      <c r="BK21" s="7">
        <f t="shared" si="121"/>
        <v>78934.866999999795</v>
      </c>
      <c r="BL21" s="7">
        <f t="shared" si="122"/>
        <v>77140.894499999791</v>
      </c>
      <c r="BM21" s="7">
        <f t="shared" si="123"/>
        <v>75346.921999999788</v>
      </c>
      <c r="BN21" s="7">
        <f t="shared" si="124"/>
        <v>73552.949499999784</v>
      </c>
      <c r="BO21" s="7">
        <f t="shared" si="125"/>
        <v>71758.976999999781</v>
      </c>
      <c r="BP21" s="7">
        <f t="shared" si="126"/>
        <v>69965.004499999777</v>
      </c>
      <c r="BQ21" s="7">
        <f t="shared" si="127"/>
        <v>68171.031999999774</v>
      </c>
      <c r="BR21" s="7">
        <f t="shared" si="128"/>
        <v>66377.05949999977</v>
      </c>
      <c r="BS21" s="7">
        <f t="shared" si="129"/>
        <v>64583.086999999767</v>
      </c>
      <c r="BT21" s="7">
        <f t="shared" si="130"/>
        <v>62789.114499999763</v>
      </c>
      <c r="BU21" s="7">
        <f t="shared" si="131"/>
        <v>60995.14199999976</v>
      </c>
      <c r="BV21" s="236">
        <f>IF(Z21&lt;1,0,SUM(BJ21:BU21,BF21)/13*$BG$1)</f>
        <v>1578.697493999995</v>
      </c>
      <c r="BW21" s="7">
        <v>1793.9725000000001</v>
      </c>
      <c r="BX21" s="7">
        <f>BW21*12</f>
        <v>21527.670000000002</v>
      </c>
      <c r="BY21" s="7">
        <f t="shared" ref="BY21:BY28" si="157">BU21-BW21</f>
        <v>59201.169499999756</v>
      </c>
      <c r="BZ21" s="7">
        <f t="shared" si="132"/>
        <v>57407.196999999753</v>
      </c>
      <c r="CA21" s="7">
        <f t="shared" si="133"/>
        <v>55613.224499999749</v>
      </c>
      <c r="CB21" s="7">
        <f t="shared" si="134"/>
        <v>53819.251999999746</v>
      </c>
      <c r="CC21" s="7">
        <f t="shared" si="135"/>
        <v>52025.279499999742</v>
      </c>
      <c r="CD21" s="7">
        <f t="shared" si="136"/>
        <v>50231.306999999739</v>
      </c>
      <c r="CE21" s="7">
        <f t="shared" si="137"/>
        <v>48437.334499999735</v>
      </c>
      <c r="CF21" s="7">
        <f t="shared" si="138"/>
        <v>46643.361999999732</v>
      </c>
      <c r="CG21" s="7">
        <f t="shared" si="139"/>
        <v>44849.389499999728</v>
      </c>
      <c r="CH21" s="7">
        <f t="shared" si="140"/>
        <v>43055.416999999725</v>
      </c>
      <c r="CI21" s="7">
        <f t="shared" si="141"/>
        <v>41261.444499999721</v>
      </c>
      <c r="CJ21" s="7">
        <f t="shared" si="142"/>
        <v>39467.471999999718</v>
      </c>
      <c r="CK21" s="236">
        <f>IF(AO21&lt;1,0,SUM(BY21:CJ21,BU21)/13*$BG$1)</f>
        <v>1105.088753999994</v>
      </c>
      <c r="CL21" s="7">
        <v>1793.9725000000001</v>
      </c>
      <c r="CM21" s="7">
        <f>CL21*12</f>
        <v>21527.670000000002</v>
      </c>
      <c r="CN21" s="7">
        <f t="shared" ref="CN21:CN28" si="158">CJ21-CL21</f>
        <v>37673.499499999714</v>
      </c>
      <c r="CO21" s="7">
        <f t="shared" si="143"/>
        <v>35879.526999999711</v>
      </c>
      <c r="CP21" s="7">
        <f t="shared" si="144"/>
        <v>34085.554499999707</v>
      </c>
      <c r="CQ21" s="7">
        <f t="shared" si="145"/>
        <v>32291.581999999707</v>
      </c>
      <c r="CR21" s="7">
        <f t="shared" si="146"/>
        <v>30497.609499999708</v>
      </c>
      <c r="CS21" s="7">
        <f t="shared" si="147"/>
        <v>28703.636999999708</v>
      </c>
      <c r="CT21" s="7">
        <f t="shared" si="148"/>
        <v>26909.664499999708</v>
      </c>
      <c r="CU21" s="7">
        <f t="shared" si="149"/>
        <v>25115.691999999708</v>
      </c>
      <c r="CV21" s="7">
        <f t="shared" si="150"/>
        <v>23321.719499999708</v>
      </c>
      <c r="CW21" s="7">
        <f t="shared" si="151"/>
        <v>21527.746999999708</v>
      </c>
      <c r="CX21" s="7">
        <f t="shared" si="152"/>
        <v>19733.774499999708</v>
      </c>
      <c r="CY21" s="7">
        <f t="shared" si="153"/>
        <v>17939.801999999709</v>
      </c>
      <c r="CZ21" s="236">
        <f>IF(BF21&lt;1,0,SUM(CN21:CY21,CJ21)/13*$BG$1)</f>
        <v>631.4800139999935</v>
      </c>
    </row>
    <row r="22" spans="1:104" s="10" customFormat="1" x14ac:dyDescent="0.2">
      <c r="A22" s="9" t="str">
        <f>'[1]2021 УГРЦТ'!A25</f>
        <v>Газотурбинный агрегат ГТА-6РМ №1</v>
      </c>
      <c r="B22" s="10" t="str">
        <f>'[1]2021 УГРЦТ'!B25</f>
        <v>00001168</v>
      </c>
      <c r="C22" s="10" t="str">
        <f>'[1]2021 УГРЦТ'!C25</f>
        <v>ПРОИЗВОДСТВО</v>
      </c>
      <c r="D22" s="10" t="str">
        <f>'[1]2021 УГРЦТ'!D25</f>
        <v>Машины и оборудование (кроме офисного)</v>
      </c>
      <c r="E22" s="10" t="str">
        <f>'[1]2021 УГРЦТ'!E25</f>
        <v>31.03.2010</v>
      </c>
      <c r="F22" s="10" t="str">
        <f>'[1]2021 УГРЦТ'!F25</f>
        <v>Газотурбинный цех</v>
      </c>
      <c r="G22" s="10">
        <f>'[1]2021 УГРЦТ'!AC25</f>
        <v>180</v>
      </c>
      <c r="H22" s="11">
        <f>'[1]2021 УГРЦТ'!X25</f>
        <v>63489676.780000001</v>
      </c>
      <c r="I22" s="11" t="e">
        <f>'[1]2021 УГРЦТ'!Y25</f>
        <v>#REF!</v>
      </c>
      <c r="J22" s="11">
        <f>'[1]2021 УГРЦТ'!Z25</f>
        <v>63489676.780000001</v>
      </c>
      <c r="K22" s="8">
        <v>0</v>
      </c>
      <c r="L22" s="11">
        <v>0</v>
      </c>
      <c r="M22" s="11"/>
      <c r="N22" s="11">
        <f t="shared" si="0"/>
        <v>0</v>
      </c>
      <c r="O22" s="11">
        <f t="shared" si="41"/>
        <v>63489676.780000001</v>
      </c>
      <c r="P22" s="11">
        <f t="shared" si="155"/>
        <v>63489676.780000001</v>
      </c>
      <c r="Q22" s="11">
        <f t="shared" si="155"/>
        <v>63489676.780000001</v>
      </c>
      <c r="R22" s="11">
        <f t="shared" si="155"/>
        <v>63489676.780000001</v>
      </c>
      <c r="S22" s="11">
        <f t="shared" si="155"/>
        <v>63489676.780000001</v>
      </c>
      <c r="T22" s="11">
        <f t="shared" si="155"/>
        <v>63489676.780000001</v>
      </c>
      <c r="U22" s="11">
        <f t="shared" si="155"/>
        <v>63489676.780000001</v>
      </c>
      <c r="V22" s="11">
        <f t="shared" si="155"/>
        <v>63489676.780000001</v>
      </c>
      <c r="W22" s="11">
        <f t="shared" si="155"/>
        <v>63489676.780000001</v>
      </c>
      <c r="X22" s="11">
        <f t="shared" si="155"/>
        <v>63489676.780000001</v>
      </c>
      <c r="Y22" s="11">
        <f t="shared" si="155"/>
        <v>63489676.780000001</v>
      </c>
      <c r="Z22" s="11">
        <f>Y22-$L22</f>
        <v>63489676.780000001</v>
      </c>
      <c r="AA22" s="11"/>
      <c r="AB22" s="11"/>
      <c r="AC22" s="11">
        <f t="shared" si="43"/>
        <v>0</v>
      </c>
      <c r="AD22" s="11">
        <f t="shared" si="44"/>
        <v>63489676.780000001</v>
      </c>
      <c r="AE22" s="11">
        <f t="shared" si="154"/>
        <v>63489676.780000001</v>
      </c>
      <c r="AF22" s="11">
        <f t="shared" si="154"/>
        <v>63489676.780000001</v>
      </c>
      <c r="AG22" s="11">
        <f t="shared" si="154"/>
        <v>63489676.780000001</v>
      </c>
      <c r="AH22" s="11">
        <f t="shared" si="154"/>
        <v>63489676.780000001</v>
      </c>
      <c r="AI22" s="11">
        <f t="shared" si="154"/>
        <v>63489676.780000001</v>
      </c>
      <c r="AJ22" s="11">
        <f t="shared" si="154"/>
        <v>63489676.780000001</v>
      </c>
      <c r="AK22" s="11">
        <f t="shared" si="154"/>
        <v>63489676.780000001</v>
      </c>
      <c r="AL22" s="11">
        <f t="shared" si="154"/>
        <v>63489676.780000001</v>
      </c>
      <c r="AM22" s="11">
        <f t="shared" si="154"/>
        <v>63489676.780000001</v>
      </c>
      <c r="AN22" s="11">
        <f t="shared" si="154"/>
        <v>63489676.780000001</v>
      </c>
      <c r="AO22" s="11">
        <f>AN22-$L22</f>
        <v>63489676.780000001</v>
      </c>
      <c r="AP22" s="222"/>
      <c r="AQ22" s="7">
        <v>0</v>
      </c>
      <c r="AR22" s="7">
        <f t="shared" si="45"/>
        <v>0</v>
      </c>
      <c r="AS22" s="7">
        <f t="shared" si="46"/>
        <v>0</v>
      </c>
      <c r="AT22" s="11">
        <f t="shared" si="118"/>
        <v>0</v>
      </c>
      <c r="AU22" s="11">
        <f t="shared" si="119"/>
        <v>63489676.780000001</v>
      </c>
      <c r="AV22" s="11">
        <f t="shared" si="120"/>
        <v>63489676.780000001</v>
      </c>
      <c r="AW22" s="11">
        <f t="shared" si="120"/>
        <v>63489676.780000001</v>
      </c>
      <c r="AX22" s="11">
        <f t="shared" si="120"/>
        <v>63489676.780000001</v>
      </c>
      <c r="AY22" s="11">
        <f t="shared" si="120"/>
        <v>63489676.780000001</v>
      </c>
      <c r="AZ22" s="11">
        <f t="shared" si="120"/>
        <v>63489676.780000001</v>
      </c>
      <c r="BA22" s="11">
        <f t="shared" si="120"/>
        <v>63489676.780000001</v>
      </c>
      <c r="BB22" s="11">
        <f t="shared" si="120"/>
        <v>63489676.780000001</v>
      </c>
      <c r="BC22" s="11">
        <f t="shared" si="120"/>
        <v>63489676.780000001</v>
      </c>
      <c r="BD22" s="11">
        <f t="shared" si="120"/>
        <v>63489676.780000001</v>
      </c>
      <c r="BE22" s="11">
        <f t="shared" si="120"/>
        <v>63489676.780000001</v>
      </c>
      <c r="BF22" s="11">
        <f t="shared" si="120"/>
        <v>63489676.780000001</v>
      </c>
      <c r="BG22" s="236">
        <f t="shared" si="5"/>
        <v>0</v>
      </c>
      <c r="BH22" s="7">
        <v>0</v>
      </c>
      <c r="BI22" s="11">
        <f>AC22*12</f>
        <v>0</v>
      </c>
      <c r="BJ22" s="11">
        <f t="shared" si="156"/>
        <v>63489676.780000001</v>
      </c>
      <c r="BK22" s="11">
        <f t="shared" si="121"/>
        <v>63489676.780000001</v>
      </c>
      <c r="BL22" s="11">
        <f t="shared" si="122"/>
        <v>63489676.780000001</v>
      </c>
      <c r="BM22" s="11">
        <f t="shared" si="123"/>
        <v>63489676.780000001</v>
      </c>
      <c r="BN22" s="11">
        <f t="shared" si="124"/>
        <v>63489676.780000001</v>
      </c>
      <c r="BO22" s="11">
        <f t="shared" si="125"/>
        <v>63489676.780000001</v>
      </c>
      <c r="BP22" s="11">
        <f t="shared" si="126"/>
        <v>63489676.780000001</v>
      </c>
      <c r="BQ22" s="11">
        <f t="shared" si="127"/>
        <v>63489676.780000001</v>
      </c>
      <c r="BR22" s="11">
        <f t="shared" si="128"/>
        <v>63489676.780000001</v>
      </c>
      <c r="BS22" s="11">
        <f t="shared" si="129"/>
        <v>63489676.780000001</v>
      </c>
      <c r="BT22" s="11">
        <f t="shared" si="130"/>
        <v>63489676.780000001</v>
      </c>
      <c r="BU22" s="11">
        <f t="shared" si="131"/>
        <v>63489676.780000001</v>
      </c>
      <c r="BV22" s="236">
        <v>0</v>
      </c>
      <c r="BW22" s="7">
        <v>0</v>
      </c>
      <c r="BX22" s="11">
        <f>AT22*12</f>
        <v>0</v>
      </c>
      <c r="BY22" s="11">
        <f t="shared" si="157"/>
        <v>63489676.780000001</v>
      </c>
      <c r="BZ22" s="11">
        <f t="shared" si="132"/>
        <v>63489676.780000001</v>
      </c>
      <c r="CA22" s="11">
        <f t="shared" si="133"/>
        <v>63489676.780000001</v>
      </c>
      <c r="CB22" s="11">
        <f t="shared" si="134"/>
        <v>63489676.780000001</v>
      </c>
      <c r="CC22" s="11">
        <f t="shared" si="135"/>
        <v>63489676.780000001</v>
      </c>
      <c r="CD22" s="11">
        <f t="shared" si="136"/>
        <v>63489676.780000001</v>
      </c>
      <c r="CE22" s="11">
        <f t="shared" si="137"/>
        <v>63489676.780000001</v>
      </c>
      <c r="CF22" s="11">
        <f t="shared" si="138"/>
        <v>63489676.780000001</v>
      </c>
      <c r="CG22" s="11">
        <f t="shared" si="139"/>
        <v>63489676.780000001</v>
      </c>
      <c r="CH22" s="11">
        <f t="shared" si="140"/>
        <v>63489676.780000001</v>
      </c>
      <c r="CI22" s="11">
        <f t="shared" si="141"/>
        <v>63489676.780000001</v>
      </c>
      <c r="CJ22" s="11">
        <f t="shared" si="142"/>
        <v>63489676.780000001</v>
      </c>
      <c r="CK22" s="236">
        <v>0</v>
      </c>
      <c r="CL22" s="7">
        <v>0</v>
      </c>
      <c r="CM22" s="11">
        <f>BI22*12</f>
        <v>0</v>
      </c>
      <c r="CN22" s="11">
        <f t="shared" si="158"/>
        <v>63489676.780000001</v>
      </c>
      <c r="CO22" s="11">
        <f t="shared" si="143"/>
        <v>63489676.780000001</v>
      </c>
      <c r="CP22" s="11">
        <f t="shared" si="144"/>
        <v>63489676.780000001</v>
      </c>
      <c r="CQ22" s="11">
        <f t="shared" si="145"/>
        <v>63489676.780000001</v>
      </c>
      <c r="CR22" s="11">
        <f t="shared" si="146"/>
        <v>63489676.780000001</v>
      </c>
      <c r="CS22" s="11">
        <f t="shared" si="147"/>
        <v>63489676.780000001</v>
      </c>
      <c r="CT22" s="11">
        <f t="shared" si="148"/>
        <v>63489676.780000001</v>
      </c>
      <c r="CU22" s="11">
        <f t="shared" si="149"/>
        <v>63489676.780000001</v>
      </c>
      <c r="CV22" s="11">
        <f t="shared" si="150"/>
        <v>63489676.780000001</v>
      </c>
      <c r="CW22" s="11">
        <f t="shared" si="151"/>
        <v>63489676.780000001</v>
      </c>
      <c r="CX22" s="11">
        <f t="shared" si="152"/>
        <v>63489676.780000001</v>
      </c>
      <c r="CY22" s="11">
        <f t="shared" si="153"/>
        <v>63489676.780000001</v>
      </c>
      <c r="CZ22" s="236">
        <v>0</v>
      </c>
    </row>
    <row r="23" spans="1:104" s="10" customFormat="1" x14ac:dyDescent="0.2">
      <c r="A23" s="9" t="str">
        <f>'[1]2021 УГРЦТ'!A26</f>
        <v>Газотурбинный агрегат ГТА-6РМ №1</v>
      </c>
      <c r="B23" s="10" t="e">
        <f>'[1]2021 УГРЦТ'!B26</f>
        <v>#REF!</v>
      </c>
      <c r="C23" s="10" t="str">
        <f>'[1]2021 УГРЦТ'!C26</f>
        <v>ПРОИЗВОДСТВО</v>
      </c>
      <c r="D23" s="10" t="str">
        <f>'[1]2021 УГРЦТ'!D26</f>
        <v>Машины и оборудование (кроме офисного)</v>
      </c>
      <c r="E23" s="10" t="e">
        <f>'[1]2021 УГРЦТ'!E26</f>
        <v>#REF!</v>
      </c>
      <c r="F23" s="10" t="str">
        <f>'[1]2021 УГРЦТ'!F26</f>
        <v>Газотурбинный цех</v>
      </c>
      <c r="G23" s="10">
        <f>'[1]2021 УГРЦТ'!AC26</f>
        <v>100</v>
      </c>
      <c r="H23" s="11">
        <f>'[1]2021 УГРЦТ'!X26</f>
        <v>37399701.020000003</v>
      </c>
      <c r="I23" s="11">
        <f>'[1]2021 УГРЦТ'!Y26</f>
        <v>29415400.995200001</v>
      </c>
      <c r="J23" s="11">
        <f>'[1]2021 УГРЦТ'!Z26</f>
        <v>7984300.0248000035</v>
      </c>
      <c r="K23" s="8">
        <v>0</v>
      </c>
      <c r="L23" s="11">
        <v>80649.5</v>
      </c>
      <c r="M23" s="11"/>
      <c r="N23" s="11">
        <f>L23*12</f>
        <v>967794</v>
      </c>
      <c r="O23" s="11">
        <f t="shared" si="41"/>
        <v>7903650.5248000035</v>
      </c>
      <c r="P23" s="11">
        <f t="shared" si="155"/>
        <v>7823001.0248000035</v>
      </c>
      <c r="Q23" s="11">
        <f t="shared" si="155"/>
        <v>7742351.5248000035</v>
      </c>
      <c r="R23" s="11">
        <f t="shared" si="155"/>
        <v>7661702.0248000035</v>
      </c>
      <c r="S23" s="11">
        <f t="shared" si="155"/>
        <v>7581052.5248000035</v>
      </c>
      <c r="T23" s="11">
        <f t="shared" si="155"/>
        <v>7500403.0248000035</v>
      </c>
      <c r="U23" s="11">
        <f t="shared" si="155"/>
        <v>7419753.5248000035</v>
      </c>
      <c r="V23" s="11">
        <f t="shared" si="155"/>
        <v>7339104.0248000035</v>
      </c>
      <c r="W23" s="11">
        <f t="shared" si="155"/>
        <v>7258454.5248000035</v>
      </c>
      <c r="X23" s="11">
        <f t="shared" si="155"/>
        <v>7177805.0248000035</v>
      </c>
      <c r="Y23" s="11">
        <f t="shared" si="155"/>
        <v>7097155.5248000035</v>
      </c>
      <c r="Z23" s="11">
        <f t="shared" si="155"/>
        <v>7016506.0248000035</v>
      </c>
      <c r="AA23" s="11"/>
      <c r="AB23" s="11"/>
      <c r="AC23" s="11">
        <f t="shared" si="43"/>
        <v>967794</v>
      </c>
      <c r="AD23" s="11">
        <f t="shared" si="44"/>
        <v>6935856.5248000035</v>
      </c>
      <c r="AE23" s="11">
        <f t="shared" si="154"/>
        <v>6855207.0248000035</v>
      </c>
      <c r="AF23" s="11">
        <f t="shared" si="154"/>
        <v>6774557.5248000035</v>
      </c>
      <c r="AG23" s="11">
        <f t="shared" si="154"/>
        <v>6693908.0248000035</v>
      </c>
      <c r="AH23" s="11">
        <f t="shared" si="154"/>
        <v>6613258.5248000035</v>
      </c>
      <c r="AI23" s="11">
        <f t="shared" si="154"/>
        <v>6532609.0248000035</v>
      </c>
      <c r="AJ23" s="11">
        <f t="shared" si="154"/>
        <v>6451959.5248000035</v>
      </c>
      <c r="AK23" s="11">
        <f t="shared" si="154"/>
        <v>6371310.0248000035</v>
      </c>
      <c r="AL23" s="11">
        <f t="shared" si="154"/>
        <v>6290660.5248000035</v>
      </c>
      <c r="AM23" s="11">
        <f t="shared" si="154"/>
        <v>6210011.0248000035</v>
      </c>
      <c r="AN23" s="11">
        <f t="shared" si="154"/>
        <v>6129361.5248000035</v>
      </c>
      <c r="AO23" s="11">
        <f t="shared" si="154"/>
        <v>6048712.0248000035</v>
      </c>
      <c r="AP23" s="222"/>
      <c r="AQ23" s="7">
        <v>80649.5</v>
      </c>
      <c r="AR23" s="7">
        <f t="shared" si="45"/>
        <v>80649.5</v>
      </c>
      <c r="AS23" s="7">
        <f t="shared" si="46"/>
        <v>0</v>
      </c>
      <c r="AT23" s="11">
        <f>L23*12</f>
        <v>967794</v>
      </c>
      <c r="AU23" s="11">
        <f t="shared" si="119"/>
        <v>5968062.5248000035</v>
      </c>
      <c r="AV23" s="11">
        <f t="shared" si="120"/>
        <v>5887413.0248000035</v>
      </c>
      <c r="AW23" s="11">
        <f t="shared" si="120"/>
        <v>5806763.5248000035</v>
      </c>
      <c r="AX23" s="11">
        <f t="shared" si="120"/>
        <v>5726114.0248000035</v>
      </c>
      <c r="AY23" s="11">
        <f t="shared" si="120"/>
        <v>5645464.5248000035</v>
      </c>
      <c r="AZ23" s="11">
        <f t="shared" si="120"/>
        <v>5564815.0248000035</v>
      </c>
      <c r="BA23" s="11">
        <f t="shared" si="120"/>
        <v>5484165.5248000035</v>
      </c>
      <c r="BB23" s="11">
        <f t="shared" si="120"/>
        <v>5403516.0248000035</v>
      </c>
      <c r="BC23" s="11">
        <f t="shared" si="120"/>
        <v>5322866.5248000035</v>
      </c>
      <c r="BD23" s="11">
        <f t="shared" si="120"/>
        <v>5242217.0248000035</v>
      </c>
      <c r="BE23" s="11">
        <f t="shared" si="120"/>
        <v>5161567.5248000035</v>
      </c>
      <c r="BF23" s="11">
        <f t="shared" si="120"/>
        <v>5080918.0248000035</v>
      </c>
      <c r="BG23" s="236">
        <f t="shared" si="5"/>
        <v>0</v>
      </c>
      <c r="BH23" s="7">
        <v>80649.5</v>
      </c>
      <c r="BI23" s="11">
        <f>BH23*12</f>
        <v>967794</v>
      </c>
      <c r="BJ23" s="11">
        <f t="shared" si="156"/>
        <v>5000268.5248000035</v>
      </c>
      <c r="BK23" s="11">
        <f t="shared" si="121"/>
        <v>4919619.0248000035</v>
      </c>
      <c r="BL23" s="11">
        <f t="shared" si="122"/>
        <v>4838969.5248000035</v>
      </c>
      <c r="BM23" s="11">
        <f t="shared" si="123"/>
        <v>4758320.0248000035</v>
      </c>
      <c r="BN23" s="11">
        <f t="shared" si="124"/>
        <v>4677670.5248000035</v>
      </c>
      <c r="BO23" s="11">
        <f t="shared" si="125"/>
        <v>4597021.0248000035</v>
      </c>
      <c r="BP23" s="11">
        <f t="shared" si="126"/>
        <v>4516371.5248000035</v>
      </c>
      <c r="BQ23" s="11">
        <f t="shared" si="127"/>
        <v>4435722.0248000035</v>
      </c>
      <c r="BR23" s="11">
        <f t="shared" si="128"/>
        <v>4355072.5248000035</v>
      </c>
      <c r="BS23" s="11">
        <f t="shared" si="129"/>
        <v>4274423.0248000035</v>
      </c>
      <c r="BT23" s="11">
        <f t="shared" si="130"/>
        <v>4193773.5248000035</v>
      </c>
      <c r="BU23" s="11">
        <f t="shared" si="131"/>
        <v>4113124.0248000035</v>
      </c>
      <c r="BV23" s="236">
        <v>0</v>
      </c>
      <c r="BW23" s="7">
        <v>80649.5</v>
      </c>
      <c r="BX23" s="11">
        <f>BW23*12</f>
        <v>967794</v>
      </c>
      <c r="BY23" s="11">
        <f t="shared" si="157"/>
        <v>4032474.5248000035</v>
      </c>
      <c r="BZ23" s="11">
        <f t="shared" si="132"/>
        <v>3951825.0248000035</v>
      </c>
      <c r="CA23" s="11">
        <f t="shared" si="133"/>
        <v>3871175.5248000035</v>
      </c>
      <c r="CB23" s="11">
        <f t="shared" si="134"/>
        <v>3790526.0248000035</v>
      </c>
      <c r="CC23" s="11">
        <f t="shared" si="135"/>
        <v>3709876.5248000035</v>
      </c>
      <c r="CD23" s="11">
        <f t="shared" si="136"/>
        <v>3629227.0248000035</v>
      </c>
      <c r="CE23" s="11">
        <f t="shared" si="137"/>
        <v>3548577.5248000035</v>
      </c>
      <c r="CF23" s="11">
        <f t="shared" si="138"/>
        <v>3467928.0248000035</v>
      </c>
      <c r="CG23" s="11">
        <f t="shared" si="139"/>
        <v>3387278.5248000035</v>
      </c>
      <c r="CH23" s="11">
        <f t="shared" si="140"/>
        <v>3306629.0248000035</v>
      </c>
      <c r="CI23" s="11">
        <f t="shared" si="141"/>
        <v>3225979.5248000035</v>
      </c>
      <c r="CJ23" s="11">
        <f t="shared" si="142"/>
        <v>3145330.0248000035</v>
      </c>
      <c r="CK23" s="236">
        <v>0</v>
      </c>
      <c r="CL23" s="7">
        <v>80649.5</v>
      </c>
      <c r="CM23" s="11">
        <f>CL23*12</f>
        <v>967794</v>
      </c>
      <c r="CN23" s="11">
        <f t="shared" si="158"/>
        <v>3064680.5248000035</v>
      </c>
      <c r="CO23" s="11">
        <f t="shared" si="143"/>
        <v>2984031.0248000035</v>
      </c>
      <c r="CP23" s="11">
        <f t="shared" si="144"/>
        <v>2903381.5248000035</v>
      </c>
      <c r="CQ23" s="11">
        <f t="shared" si="145"/>
        <v>2822732.0248000035</v>
      </c>
      <c r="CR23" s="11">
        <f t="shared" si="146"/>
        <v>2742082.5248000035</v>
      </c>
      <c r="CS23" s="11">
        <f t="shared" si="147"/>
        <v>2661433.0248000035</v>
      </c>
      <c r="CT23" s="11">
        <f t="shared" si="148"/>
        <v>2580783.5248000035</v>
      </c>
      <c r="CU23" s="11">
        <f t="shared" si="149"/>
        <v>2500134.0248000035</v>
      </c>
      <c r="CV23" s="11">
        <f t="shared" si="150"/>
        <v>2419484.5248000035</v>
      </c>
      <c r="CW23" s="11">
        <f t="shared" si="151"/>
        <v>2338835.0248000035</v>
      </c>
      <c r="CX23" s="11">
        <f t="shared" si="152"/>
        <v>2258185.5248000035</v>
      </c>
      <c r="CY23" s="11">
        <f t="shared" si="153"/>
        <v>2177536.0248000035</v>
      </c>
      <c r="CZ23" s="236">
        <v>0</v>
      </c>
    </row>
    <row r="24" spans="1:104" s="10" customFormat="1" x14ac:dyDescent="0.2">
      <c r="A24" s="9" t="str">
        <f>'[1]2021 УГРЦТ'!A27</f>
        <v>Газотурбинный агрегат ГТА-6РМ №2</v>
      </c>
      <c r="B24" s="10" t="str">
        <f>'[1]2021 УГРЦТ'!B27</f>
        <v>00001169</v>
      </c>
      <c r="C24" s="10" t="str">
        <f>'[1]2021 УГРЦТ'!C27</f>
        <v>ПРОИЗВОДСТВО</v>
      </c>
      <c r="D24" s="10" t="str">
        <f>'[1]2021 УГРЦТ'!D27</f>
        <v>Машины и оборудование (кроме офисного)</v>
      </c>
      <c r="E24" s="10" t="str">
        <f>'[1]2021 УГРЦТ'!E27</f>
        <v>31.03.2010</v>
      </c>
      <c r="F24" s="10" t="str">
        <f>'[1]2021 УГРЦТ'!F27</f>
        <v>Газотурбинный цех</v>
      </c>
      <c r="G24" s="10">
        <f>'[1]2021 УГРЦТ'!AC27</f>
        <v>180</v>
      </c>
      <c r="H24" s="11">
        <f>'[1]2021 УГРЦТ'!X27</f>
        <v>63489676.780000001</v>
      </c>
      <c r="I24" s="11" t="e">
        <f>'[1]2021 УГРЦТ'!Y27</f>
        <v>#REF!</v>
      </c>
      <c r="J24" s="11">
        <f>'[1]2021 УГРЦТ'!Z27</f>
        <v>63489676.780000001</v>
      </c>
      <c r="K24" s="8">
        <v>0</v>
      </c>
      <c r="L24" s="11">
        <v>0</v>
      </c>
      <c r="M24" s="11"/>
      <c r="N24" s="11">
        <f t="shared" si="0"/>
        <v>0</v>
      </c>
      <c r="O24" s="11">
        <f t="shared" si="41"/>
        <v>63489676.780000001</v>
      </c>
      <c r="P24" s="11">
        <f t="shared" si="155"/>
        <v>63489676.780000001</v>
      </c>
      <c r="Q24" s="11">
        <f t="shared" si="155"/>
        <v>63489676.780000001</v>
      </c>
      <c r="R24" s="11">
        <f t="shared" si="155"/>
        <v>63489676.780000001</v>
      </c>
      <c r="S24" s="11">
        <f t="shared" si="155"/>
        <v>63489676.780000001</v>
      </c>
      <c r="T24" s="11">
        <f t="shared" si="155"/>
        <v>63489676.780000001</v>
      </c>
      <c r="U24" s="11">
        <f t="shared" si="155"/>
        <v>63489676.780000001</v>
      </c>
      <c r="V24" s="11">
        <f t="shared" si="155"/>
        <v>63489676.780000001</v>
      </c>
      <c r="W24" s="11">
        <f t="shared" si="155"/>
        <v>63489676.780000001</v>
      </c>
      <c r="X24" s="11">
        <f t="shared" si="155"/>
        <v>63489676.780000001</v>
      </c>
      <c r="Y24" s="11">
        <f t="shared" si="155"/>
        <v>63489676.780000001</v>
      </c>
      <c r="Z24" s="11">
        <f t="shared" si="155"/>
        <v>63489676.780000001</v>
      </c>
      <c r="AA24" s="11"/>
      <c r="AB24" s="11"/>
      <c r="AC24" s="11">
        <f t="shared" si="43"/>
        <v>0</v>
      </c>
      <c r="AD24" s="11">
        <f t="shared" si="44"/>
        <v>63489676.780000001</v>
      </c>
      <c r="AE24" s="11">
        <f t="shared" si="154"/>
        <v>63489676.780000001</v>
      </c>
      <c r="AF24" s="11">
        <f t="shared" si="154"/>
        <v>63489676.780000001</v>
      </c>
      <c r="AG24" s="11">
        <f t="shared" si="154"/>
        <v>63489676.780000001</v>
      </c>
      <c r="AH24" s="11">
        <f t="shared" si="154"/>
        <v>63489676.780000001</v>
      </c>
      <c r="AI24" s="11">
        <f t="shared" si="154"/>
        <v>63489676.780000001</v>
      </c>
      <c r="AJ24" s="11">
        <f t="shared" si="154"/>
        <v>63489676.780000001</v>
      </c>
      <c r="AK24" s="11">
        <f t="shared" si="154"/>
        <v>63489676.780000001</v>
      </c>
      <c r="AL24" s="11">
        <f t="shared" si="154"/>
        <v>63489676.780000001</v>
      </c>
      <c r="AM24" s="11">
        <f t="shared" si="154"/>
        <v>63489676.780000001</v>
      </c>
      <c r="AN24" s="11">
        <f t="shared" si="154"/>
        <v>63489676.780000001</v>
      </c>
      <c r="AO24" s="11">
        <f t="shared" si="154"/>
        <v>63489676.780000001</v>
      </c>
      <c r="AP24" s="222"/>
      <c r="AQ24" s="7">
        <v>0</v>
      </c>
      <c r="AR24" s="7">
        <f t="shared" si="45"/>
        <v>0</v>
      </c>
      <c r="AS24" s="7">
        <f t="shared" si="46"/>
        <v>0</v>
      </c>
      <c r="AT24" s="11">
        <f t="shared" si="118"/>
        <v>0</v>
      </c>
      <c r="AU24" s="11">
        <f t="shared" si="119"/>
        <v>63489676.780000001</v>
      </c>
      <c r="AV24" s="11">
        <f t="shared" si="120"/>
        <v>63489676.780000001</v>
      </c>
      <c r="AW24" s="11">
        <f t="shared" si="120"/>
        <v>63489676.780000001</v>
      </c>
      <c r="AX24" s="11">
        <f t="shared" si="120"/>
        <v>63489676.780000001</v>
      </c>
      <c r="AY24" s="11">
        <f t="shared" si="120"/>
        <v>63489676.780000001</v>
      </c>
      <c r="AZ24" s="11">
        <f t="shared" si="120"/>
        <v>63489676.780000001</v>
      </c>
      <c r="BA24" s="11">
        <f t="shared" si="120"/>
        <v>63489676.780000001</v>
      </c>
      <c r="BB24" s="11">
        <f t="shared" si="120"/>
        <v>63489676.780000001</v>
      </c>
      <c r="BC24" s="11">
        <f t="shared" si="120"/>
        <v>63489676.780000001</v>
      </c>
      <c r="BD24" s="11">
        <f t="shared" si="120"/>
        <v>63489676.780000001</v>
      </c>
      <c r="BE24" s="11">
        <f t="shared" si="120"/>
        <v>63489676.780000001</v>
      </c>
      <c r="BF24" s="11">
        <f t="shared" si="120"/>
        <v>63489676.780000001</v>
      </c>
      <c r="BG24" s="236">
        <f t="shared" si="5"/>
        <v>0</v>
      </c>
      <c r="BH24" s="7">
        <v>0</v>
      </c>
      <c r="BI24" s="11">
        <f>AC24*12</f>
        <v>0</v>
      </c>
      <c r="BJ24" s="11">
        <f t="shared" si="156"/>
        <v>63489676.780000001</v>
      </c>
      <c r="BK24" s="11">
        <f t="shared" si="121"/>
        <v>63489676.780000001</v>
      </c>
      <c r="BL24" s="11">
        <f t="shared" si="122"/>
        <v>63489676.780000001</v>
      </c>
      <c r="BM24" s="11">
        <f t="shared" si="123"/>
        <v>63489676.780000001</v>
      </c>
      <c r="BN24" s="11">
        <f t="shared" si="124"/>
        <v>63489676.780000001</v>
      </c>
      <c r="BO24" s="11">
        <f t="shared" si="125"/>
        <v>63489676.780000001</v>
      </c>
      <c r="BP24" s="11">
        <f t="shared" si="126"/>
        <v>63489676.780000001</v>
      </c>
      <c r="BQ24" s="11">
        <f t="shared" si="127"/>
        <v>63489676.780000001</v>
      </c>
      <c r="BR24" s="11">
        <f t="shared" si="128"/>
        <v>63489676.780000001</v>
      </c>
      <c r="BS24" s="11">
        <f t="shared" si="129"/>
        <v>63489676.780000001</v>
      </c>
      <c r="BT24" s="11">
        <f t="shared" si="130"/>
        <v>63489676.780000001</v>
      </c>
      <c r="BU24" s="11">
        <f t="shared" si="131"/>
        <v>63489676.780000001</v>
      </c>
      <c r="BV24" s="236">
        <v>0</v>
      </c>
      <c r="BW24" s="7">
        <v>0</v>
      </c>
      <c r="BX24" s="11">
        <f>AT24*12</f>
        <v>0</v>
      </c>
      <c r="BY24" s="11">
        <f t="shared" si="157"/>
        <v>63489676.780000001</v>
      </c>
      <c r="BZ24" s="11">
        <f t="shared" si="132"/>
        <v>63489676.780000001</v>
      </c>
      <c r="CA24" s="11">
        <f t="shared" si="133"/>
        <v>63489676.780000001</v>
      </c>
      <c r="CB24" s="11">
        <f t="shared" si="134"/>
        <v>63489676.780000001</v>
      </c>
      <c r="CC24" s="11">
        <f t="shared" si="135"/>
        <v>63489676.780000001</v>
      </c>
      <c r="CD24" s="11">
        <f t="shared" si="136"/>
        <v>63489676.780000001</v>
      </c>
      <c r="CE24" s="11">
        <f t="shared" si="137"/>
        <v>63489676.780000001</v>
      </c>
      <c r="CF24" s="11">
        <f t="shared" si="138"/>
        <v>63489676.780000001</v>
      </c>
      <c r="CG24" s="11">
        <f t="shared" si="139"/>
        <v>63489676.780000001</v>
      </c>
      <c r="CH24" s="11">
        <f t="shared" si="140"/>
        <v>63489676.780000001</v>
      </c>
      <c r="CI24" s="11">
        <f t="shared" si="141"/>
        <v>63489676.780000001</v>
      </c>
      <c r="CJ24" s="11">
        <f t="shared" si="142"/>
        <v>63489676.780000001</v>
      </c>
      <c r="CK24" s="236">
        <v>0</v>
      </c>
      <c r="CL24" s="7">
        <v>0</v>
      </c>
      <c r="CM24" s="11">
        <f>BI24*12</f>
        <v>0</v>
      </c>
      <c r="CN24" s="11">
        <f t="shared" si="158"/>
        <v>63489676.780000001</v>
      </c>
      <c r="CO24" s="11">
        <f t="shared" si="143"/>
        <v>63489676.780000001</v>
      </c>
      <c r="CP24" s="11">
        <f t="shared" si="144"/>
        <v>63489676.780000001</v>
      </c>
      <c r="CQ24" s="11">
        <f t="shared" si="145"/>
        <v>63489676.780000001</v>
      </c>
      <c r="CR24" s="11">
        <f t="shared" si="146"/>
        <v>63489676.780000001</v>
      </c>
      <c r="CS24" s="11">
        <f t="shared" si="147"/>
        <v>63489676.780000001</v>
      </c>
      <c r="CT24" s="11">
        <f t="shared" si="148"/>
        <v>63489676.780000001</v>
      </c>
      <c r="CU24" s="11">
        <f t="shared" si="149"/>
        <v>63489676.780000001</v>
      </c>
      <c r="CV24" s="11">
        <f t="shared" si="150"/>
        <v>63489676.780000001</v>
      </c>
      <c r="CW24" s="11">
        <f t="shared" si="151"/>
        <v>63489676.780000001</v>
      </c>
      <c r="CX24" s="11">
        <f t="shared" si="152"/>
        <v>63489676.780000001</v>
      </c>
      <c r="CY24" s="11">
        <f t="shared" si="153"/>
        <v>63489676.780000001</v>
      </c>
      <c r="CZ24" s="236">
        <v>0</v>
      </c>
    </row>
    <row r="25" spans="1:104" s="10" customFormat="1" x14ac:dyDescent="0.2">
      <c r="A25" s="9" t="str">
        <f>'[1]2021 УГРЦТ'!A28</f>
        <v>Газотурбинный агрегат ГТА-6РМ №2</v>
      </c>
      <c r="B25" s="10" t="e">
        <f>'[1]2021 УГРЦТ'!B28</f>
        <v>#REF!</v>
      </c>
      <c r="C25" s="10" t="str">
        <f>'[1]2021 УГРЦТ'!C28</f>
        <v>ПРОИЗВОДСТВО</v>
      </c>
      <c r="D25" s="10" t="str">
        <f>'[1]2021 УГРЦТ'!D28</f>
        <v>Машины и оборудование (кроме офисного)</v>
      </c>
      <c r="E25" s="10" t="e">
        <f>'[1]2021 УГРЦТ'!E28</f>
        <v>#REF!</v>
      </c>
      <c r="F25" s="10" t="str">
        <f>'[1]2021 УГРЦТ'!F28</f>
        <v>Газотурбинный цех</v>
      </c>
      <c r="G25" s="10">
        <f>'[1]2021 УГРЦТ'!AC28</f>
        <v>100</v>
      </c>
      <c r="H25" s="11">
        <f>'[1]2021 УГРЦТ'!X28</f>
        <v>37399701.020000003</v>
      </c>
      <c r="I25" s="11">
        <f>'[1]2021 УГРЦТ'!Y28</f>
        <v>29415400.995200001</v>
      </c>
      <c r="J25" s="11">
        <f>'[1]2021 УГРЦТ'!Z28</f>
        <v>7984300.0248000035</v>
      </c>
      <c r="K25" s="8">
        <v>0</v>
      </c>
      <c r="L25" s="11">
        <v>80649.5</v>
      </c>
      <c r="M25" s="11"/>
      <c r="N25" s="11">
        <f t="shared" si="0"/>
        <v>967794</v>
      </c>
      <c r="O25" s="11">
        <f t="shared" si="41"/>
        <v>7903650.5248000035</v>
      </c>
      <c r="P25" s="11">
        <f t="shared" si="155"/>
        <v>7823001.0248000035</v>
      </c>
      <c r="Q25" s="11">
        <f t="shared" si="155"/>
        <v>7742351.5248000035</v>
      </c>
      <c r="R25" s="11">
        <f t="shared" si="155"/>
        <v>7661702.0248000035</v>
      </c>
      <c r="S25" s="11">
        <f t="shared" si="155"/>
        <v>7581052.5248000035</v>
      </c>
      <c r="T25" s="11">
        <f t="shared" si="155"/>
        <v>7500403.0248000035</v>
      </c>
      <c r="U25" s="11">
        <f t="shared" si="155"/>
        <v>7419753.5248000035</v>
      </c>
      <c r="V25" s="11">
        <f t="shared" si="155"/>
        <v>7339104.0248000035</v>
      </c>
      <c r="W25" s="11">
        <f t="shared" si="155"/>
        <v>7258454.5248000035</v>
      </c>
      <c r="X25" s="11">
        <f t="shared" si="155"/>
        <v>7177805.0248000035</v>
      </c>
      <c r="Y25" s="11">
        <f t="shared" si="155"/>
        <v>7097155.5248000035</v>
      </c>
      <c r="Z25" s="11">
        <f t="shared" si="155"/>
        <v>7016506.0248000035</v>
      </c>
      <c r="AA25" s="11"/>
      <c r="AB25" s="11"/>
      <c r="AC25" s="11">
        <f t="shared" si="43"/>
        <v>967794</v>
      </c>
      <c r="AD25" s="11">
        <f t="shared" si="44"/>
        <v>6935856.5248000035</v>
      </c>
      <c r="AE25" s="11">
        <f t="shared" si="154"/>
        <v>6855207.0248000035</v>
      </c>
      <c r="AF25" s="11">
        <f t="shared" si="154"/>
        <v>6774557.5248000035</v>
      </c>
      <c r="AG25" s="11">
        <f t="shared" si="154"/>
        <v>6693908.0248000035</v>
      </c>
      <c r="AH25" s="11">
        <f t="shared" si="154"/>
        <v>6613258.5248000035</v>
      </c>
      <c r="AI25" s="11">
        <f t="shared" si="154"/>
        <v>6532609.0248000035</v>
      </c>
      <c r="AJ25" s="11">
        <f t="shared" si="154"/>
        <v>6451959.5248000035</v>
      </c>
      <c r="AK25" s="11">
        <f t="shared" si="154"/>
        <v>6371310.0248000035</v>
      </c>
      <c r="AL25" s="11">
        <f t="shared" si="154"/>
        <v>6290660.5248000035</v>
      </c>
      <c r="AM25" s="11">
        <f t="shared" si="154"/>
        <v>6210011.0248000035</v>
      </c>
      <c r="AN25" s="11">
        <f t="shared" si="154"/>
        <v>6129361.5248000035</v>
      </c>
      <c r="AO25" s="11">
        <f t="shared" si="154"/>
        <v>6048712.0248000035</v>
      </c>
      <c r="AP25" s="222"/>
      <c r="AQ25" s="7">
        <v>80649.5</v>
      </c>
      <c r="AR25" s="7">
        <f t="shared" si="45"/>
        <v>80649.5</v>
      </c>
      <c r="AS25" s="7">
        <f t="shared" si="46"/>
        <v>0</v>
      </c>
      <c r="AT25" s="11">
        <f t="shared" si="118"/>
        <v>967794</v>
      </c>
      <c r="AU25" s="11">
        <f t="shared" si="119"/>
        <v>5968062.5248000035</v>
      </c>
      <c r="AV25" s="11">
        <f t="shared" si="120"/>
        <v>5887413.0248000035</v>
      </c>
      <c r="AW25" s="11">
        <f t="shared" si="120"/>
        <v>5806763.5248000035</v>
      </c>
      <c r="AX25" s="11">
        <f t="shared" si="120"/>
        <v>5726114.0248000035</v>
      </c>
      <c r="AY25" s="11">
        <f t="shared" si="120"/>
        <v>5645464.5248000035</v>
      </c>
      <c r="AZ25" s="11">
        <f t="shared" si="120"/>
        <v>5564815.0248000035</v>
      </c>
      <c r="BA25" s="11">
        <f t="shared" si="120"/>
        <v>5484165.5248000035</v>
      </c>
      <c r="BB25" s="11">
        <f t="shared" si="120"/>
        <v>5403516.0248000035</v>
      </c>
      <c r="BC25" s="11">
        <f t="shared" si="120"/>
        <v>5322866.5248000035</v>
      </c>
      <c r="BD25" s="11">
        <f t="shared" si="120"/>
        <v>5242217.0248000035</v>
      </c>
      <c r="BE25" s="11">
        <f t="shared" si="120"/>
        <v>5161567.5248000035</v>
      </c>
      <c r="BF25" s="11">
        <f t="shared" si="120"/>
        <v>5080918.0248000035</v>
      </c>
      <c r="BG25" s="236">
        <f t="shared" si="5"/>
        <v>0</v>
      </c>
      <c r="BH25" s="7">
        <v>80649.5</v>
      </c>
      <c r="BI25" s="11">
        <f>BH25*12</f>
        <v>967794</v>
      </c>
      <c r="BJ25" s="11">
        <f t="shared" si="156"/>
        <v>5000268.5248000035</v>
      </c>
      <c r="BK25" s="11">
        <f t="shared" si="121"/>
        <v>4919619.0248000035</v>
      </c>
      <c r="BL25" s="11">
        <f t="shared" si="122"/>
        <v>4838969.5248000035</v>
      </c>
      <c r="BM25" s="11">
        <f t="shared" si="123"/>
        <v>4758320.0248000035</v>
      </c>
      <c r="BN25" s="11">
        <f t="shared" si="124"/>
        <v>4677670.5248000035</v>
      </c>
      <c r="BO25" s="11">
        <f t="shared" si="125"/>
        <v>4597021.0248000035</v>
      </c>
      <c r="BP25" s="11">
        <f t="shared" si="126"/>
        <v>4516371.5248000035</v>
      </c>
      <c r="BQ25" s="11">
        <f t="shared" si="127"/>
        <v>4435722.0248000035</v>
      </c>
      <c r="BR25" s="11">
        <f t="shared" si="128"/>
        <v>4355072.5248000035</v>
      </c>
      <c r="BS25" s="11">
        <f t="shared" si="129"/>
        <v>4274423.0248000035</v>
      </c>
      <c r="BT25" s="11">
        <f t="shared" si="130"/>
        <v>4193773.5248000035</v>
      </c>
      <c r="BU25" s="11">
        <f t="shared" si="131"/>
        <v>4113124.0248000035</v>
      </c>
      <c r="BV25" s="236">
        <v>0</v>
      </c>
      <c r="BW25" s="7">
        <v>80649.5</v>
      </c>
      <c r="BX25" s="11">
        <f>BW25*12</f>
        <v>967794</v>
      </c>
      <c r="BY25" s="11">
        <f t="shared" si="157"/>
        <v>4032474.5248000035</v>
      </c>
      <c r="BZ25" s="11">
        <f t="shared" si="132"/>
        <v>3951825.0248000035</v>
      </c>
      <c r="CA25" s="11">
        <f t="shared" si="133"/>
        <v>3871175.5248000035</v>
      </c>
      <c r="CB25" s="11">
        <f t="shared" si="134"/>
        <v>3790526.0248000035</v>
      </c>
      <c r="CC25" s="11">
        <f t="shared" si="135"/>
        <v>3709876.5248000035</v>
      </c>
      <c r="CD25" s="11">
        <f t="shared" si="136"/>
        <v>3629227.0248000035</v>
      </c>
      <c r="CE25" s="11">
        <f t="shared" si="137"/>
        <v>3548577.5248000035</v>
      </c>
      <c r="CF25" s="11">
        <f t="shared" si="138"/>
        <v>3467928.0248000035</v>
      </c>
      <c r="CG25" s="11">
        <f t="shared" si="139"/>
        <v>3387278.5248000035</v>
      </c>
      <c r="CH25" s="11">
        <f t="shared" si="140"/>
        <v>3306629.0248000035</v>
      </c>
      <c r="CI25" s="11">
        <f t="shared" si="141"/>
        <v>3225979.5248000035</v>
      </c>
      <c r="CJ25" s="11">
        <f t="shared" si="142"/>
        <v>3145330.0248000035</v>
      </c>
      <c r="CK25" s="236">
        <v>0</v>
      </c>
      <c r="CL25" s="7">
        <v>80649.5</v>
      </c>
      <c r="CM25" s="11">
        <f>CL25*12</f>
        <v>967794</v>
      </c>
      <c r="CN25" s="11">
        <f t="shared" si="158"/>
        <v>3064680.5248000035</v>
      </c>
      <c r="CO25" s="11">
        <f t="shared" si="143"/>
        <v>2984031.0248000035</v>
      </c>
      <c r="CP25" s="11">
        <f t="shared" si="144"/>
        <v>2903381.5248000035</v>
      </c>
      <c r="CQ25" s="11">
        <f t="shared" si="145"/>
        <v>2822732.0248000035</v>
      </c>
      <c r="CR25" s="11">
        <f t="shared" si="146"/>
        <v>2742082.5248000035</v>
      </c>
      <c r="CS25" s="11">
        <f t="shared" si="147"/>
        <v>2661433.0248000035</v>
      </c>
      <c r="CT25" s="11">
        <f t="shared" si="148"/>
        <v>2580783.5248000035</v>
      </c>
      <c r="CU25" s="11">
        <f t="shared" si="149"/>
        <v>2500134.0248000035</v>
      </c>
      <c r="CV25" s="11">
        <f t="shared" si="150"/>
        <v>2419484.5248000035</v>
      </c>
      <c r="CW25" s="11">
        <f t="shared" si="151"/>
        <v>2338835.0248000035</v>
      </c>
      <c r="CX25" s="11">
        <f t="shared" si="152"/>
        <v>2258185.5248000035</v>
      </c>
      <c r="CY25" s="11">
        <f t="shared" si="153"/>
        <v>2177536.0248000035</v>
      </c>
      <c r="CZ25" s="236">
        <v>0</v>
      </c>
    </row>
    <row r="26" spans="1:104" s="10" customFormat="1" x14ac:dyDescent="0.2">
      <c r="A26" s="9" t="str">
        <f>'[1]2021 УГРЦТ'!A29</f>
        <v>Газотурбинный агрегат ГТА-6РМ №3</v>
      </c>
      <c r="B26" s="10" t="str">
        <f>'[1]2021 УГРЦТ'!B29</f>
        <v>00001170</v>
      </c>
      <c r="C26" s="10" t="str">
        <f>'[1]2021 УГРЦТ'!C29</f>
        <v>ПРОИЗВОДСТВО</v>
      </c>
      <c r="D26" s="10" t="str">
        <f>'[1]2021 УГРЦТ'!D29</f>
        <v>Машины и оборудование (кроме офисного)</v>
      </c>
      <c r="E26" s="10" t="str">
        <f>'[1]2021 УГРЦТ'!E29</f>
        <v>31.03.2010</v>
      </c>
      <c r="F26" s="10" t="str">
        <f>'[1]2021 УГРЦТ'!F29</f>
        <v>Газотурбинный цех</v>
      </c>
      <c r="G26" s="10">
        <f>'[1]2021 УГРЦТ'!AC29</f>
        <v>180</v>
      </c>
      <c r="H26" s="11">
        <f>'[1]2021 УГРЦТ'!X29</f>
        <v>63230670</v>
      </c>
      <c r="I26" s="11" t="e">
        <f>'[1]2021 УГРЦТ'!Y29</f>
        <v>#REF!</v>
      </c>
      <c r="J26" s="11">
        <f>'[1]2021 УГРЦТ'!Z29</f>
        <v>63230670</v>
      </c>
      <c r="K26" s="8">
        <v>0</v>
      </c>
      <c r="L26" s="11">
        <v>0</v>
      </c>
      <c r="M26" s="11"/>
      <c r="N26" s="11">
        <f t="shared" si="0"/>
        <v>0</v>
      </c>
      <c r="O26" s="11">
        <f t="shared" si="41"/>
        <v>63230670</v>
      </c>
      <c r="P26" s="11">
        <f t="shared" si="155"/>
        <v>63230670</v>
      </c>
      <c r="Q26" s="11">
        <f t="shared" si="155"/>
        <v>63230670</v>
      </c>
      <c r="R26" s="11">
        <f t="shared" si="155"/>
        <v>63230670</v>
      </c>
      <c r="S26" s="11">
        <f t="shared" si="155"/>
        <v>63230670</v>
      </c>
      <c r="T26" s="11">
        <f t="shared" si="155"/>
        <v>63230670</v>
      </c>
      <c r="U26" s="11">
        <f t="shared" si="155"/>
        <v>63230670</v>
      </c>
      <c r="V26" s="11">
        <f t="shared" si="155"/>
        <v>63230670</v>
      </c>
      <c r="W26" s="11">
        <f t="shared" si="155"/>
        <v>63230670</v>
      </c>
      <c r="X26" s="11">
        <f t="shared" si="155"/>
        <v>63230670</v>
      </c>
      <c r="Y26" s="11">
        <f t="shared" si="155"/>
        <v>63230670</v>
      </c>
      <c r="Z26" s="11">
        <f t="shared" si="155"/>
        <v>63230670</v>
      </c>
      <c r="AA26" s="11"/>
      <c r="AB26" s="11"/>
      <c r="AC26" s="11">
        <f t="shared" si="43"/>
        <v>0</v>
      </c>
      <c r="AD26" s="11">
        <f t="shared" si="44"/>
        <v>63230670</v>
      </c>
      <c r="AE26" s="11">
        <f t="shared" si="154"/>
        <v>63230670</v>
      </c>
      <c r="AF26" s="11">
        <f t="shared" si="154"/>
        <v>63230670</v>
      </c>
      <c r="AG26" s="11">
        <f t="shared" si="154"/>
        <v>63230670</v>
      </c>
      <c r="AH26" s="11">
        <f t="shared" si="154"/>
        <v>63230670</v>
      </c>
      <c r="AI26" s="11">
        <f t="shared" si="154"/>
        <v>63230670</v>
      </c>
      <c r="AJ26" s="11">
        <f t="shared" si="154"/>
        <v>63230670</v>
      </c>
      <c r="AK26" s="11">
        <f t="shared" si="154"/>
        <v>63230670</v>
      </c>
      <c r="AL26" s="11">
        <f t="shared" si="154"/>
        <v>63230670</v>
      </c>
      <c r="AM26" s="11">
        <f t="shared" si="154"/>
        <v>63230670</v>
      </c>
      <c r="AN26" s="11">
        <f t="shared" si="154"/>
        <v>63230670</v>
      </c>
      <c r="AO26" s="11">
        <f t="shared" si="154"/>
        <v>63230670</v>
      </c>
      <c r="AP26" s="222"/>
      <c r="AQ26" s="7">
        <v>0</v>
      </c>
      <c r="AR26" s="7">
        <f t="shared" si="45"/>
        <v>0</v>
      </c>
      <c r="AS26" s="7">
        <f t="shared" si="46"/>
        <v>0</v>
      </c>
      <c r="AT26" s="11">
        <f t="shared" si="118"/>
        <v>0</v>
      </c>
      <c r="AU26" s="11">
        <f t="shared" si="119"/>
        <v>63230670</v>
      </c>
      <c r="AV26" s="11">
        <f t="shared" si="120"/>
        <v>63230670</v>
      </c>
      <c r="AW26" s="11">
        <f t="shared" si="120"/>
        <v>63230670</v>
      </c>
      <c r="AX26" s="11">
        <f t="shared" si="120"/>
        <v>63230670</v>
      </c>
      <c r="AY26" s="11">
        <f t="shared" si="120"/>
        <v>63230670</v>
      </c>
      <c r="AZ26" s="11">
        <f t="shared" si="120"/>
        <v>63230670</v>
      </c>
      <c r="BA26" s="11">
        <f t="shared" si="120"/>
        <v>63230670</v>
      </c>
      <c r="BB26" s="11">
        <f t="shared" si="120"/>
        <v>63230670</v>
      </c>
      <c r="BC26" s="11">
        <f t="shared" si="120"/>
        <v>63230670</v>
      </c>
      <c r="BD26" s="11">
        <f t="shared" si="120"/>
        <v>63230670</v>
      </c>
      <c r="BE26" s="11">
        <f t="shared" si="120"/>
        <v>63230670</v>
      </c>
      <c r="BF26" s="11">
        <f t="shared" si="120"/>
        <v>63230670</v>
      </c>
      <c r="BG26" s="236">
        <f t="shared" si="5"/>
        <v>0</v>
      </c>
      <c r="BH26" s="7">
        <v>0</v>
      </c>
      <c r="BI26" s="11">
        <f>AC26*12</f>
        <v>0</v>
      </c>
      <c r="BJ26" s="11">
        <f t="shared" si="156"/>
        <v>63230670</v>
      </c>
      <c r="BK26" s="11">
        <f t="shared" si="121"/>
        <v>63230670</v>
      </c>
      <c r="BL26" s="11">
        <f t="shared" si="122"/>
        <v>63230670</v>
      </c>
      <c r="BM26" s="11">
        <f t="shared" si="123"/>
        <v>63230670</v>
      </c>
      <c r="BN26" s="11">
        <f t="shared" si="124"/>
        <v>63230670</v>
      </c>
      <c r="BO26" s="11">
        <f t="shared" si="125"/>
        <v>63230670</v>
      </c>
      <c r="BP26" s="11">
        <f t="shared" si="126"/>
        <v>63230670</v>
      </c>
      <c r="BQ26" s="11">
        <f t="shared" si="127"/>
        <v>63230670</v>
      </c>
      <c r="BR26" s="11">
        <f t="shared" si="128"/>
        <v>63230670</v>
      </c>
      <c r="BS26" s="11">
        <f t="shared" si="129"/>
        <v>63230670</v>
      </c>
      <c r="BT26" s="11">
        <f t="shared" si="130"/>
        <v>63230670</v>
      </c>
      <c r="BU26" s="11">
        <f t="shared" si="131"/>
        <v>63230670</v>
      </c>
      <c r="BV26" s="236">
        <v>0</v>
      </c>
      <c r="BW26" s="7">
        <v>0</v>
      </c>
      <c r="BX26" s="11">
        <f>AT26*12</f>
        <v>0</v>
      </c>
      <c r="BY26" s="11">
        <f t="shared" si="157"/>
        <v>63230670</v>
      </c>
      <c r="BZ26" s="11">
        <f t="shared" si="132"/>
        <v>63230670</v>
      </c>
      <c r="CA26" s="11">
        <f t="shared" si="133"/>
        <v>63230670</v>
      </c>
      <c r="CB26" s="11">
        <f t="shared" si="134"/>
        <v>63230670</v>
      </c>
      <c r="CC26" s="11">
        <f t="shared" si="135"/>
        <v>63230670</v>
      </c>
      <c r="CD26" s="11">
        <f t="shared" si="136"/>
        <v>63230670</v>
      </c>
      <c r="CE26" s="11">
        <f t="shared" si="137"/>
        <v>63230670</v>
      </c>
      <c r="CF26" s="11">
        <f t="shared" si="138"/>
        <v>63230670</v>
      </c>
      <c r="CG26" s="11">
        <f t="shared" si="139"/>
        <v>63230670</v>
      </c>
      <c r="CH26" s="11">
        <f t="shared" si="140"/>
        <v>63230670</v>
      </c>
      <c r="CI26" s="11">
        <f t="shared" si="141"/>
        <v>63230670</v>
      </c>
      <c r="CJ26" s="11">
        <f t="shared" si="142"/>
        <v>63230670</v>
      </c>
      <c r="CK26" s="236">
        <v>0</v>
      </c>
      <c r="CL26" s="7">
        <v>0</v>
      </c>
      <c r="CM26" s="11">
        <f>BI26*12</f>
        <v>0</v>
      </c>
      <c r="CN26" s="11">
        <f t="shared" si="158"/>
        <v>63230670</v>
      </c>
      <c r="CO26" s="11">
        <f t="shared" si="143"/>
        <v>63230670</v>
      </c>
      <c r="CP26" s="11">
        <f t="shared" si="144"/>
        <v>63230670</v>
      </c>
      <c r="CQ26" s="11">
        <f t="shared" si="145"/>
        <v>63230670</v>
      </c>
      <c r="CR26" s="11">
        <f t="shared" si="146"/>
        <v>63230670</v>
      </c>
      <c r="CS26" s="11">
        <f t="shared" si="147"/>
        <v>63230670</v>
      </c>
      <c r="CT26" s="11">
        <f t="shared" si="148"/>
        <v>63230670</v>
      </c>
      <c r="CU26" s="11">
        <f t="shared" si="149"/>
        <v>63230670</v>
      </c>
      <c r="CV26" s="11">
        <f t="shared" si="150"/>
        <v>63230670</v>
      </c>
      <c r="CW26" s="11">
        <f t="shared" si="151"/>
        <v>63230670</v>
      </c>
      <c r="CX26" s="11">
        <f t="shared" si="152"/>
        <v>63230670</v>
      </c>
      <c r="CY26" s="11">
        <f t="shared" si="153"/>
        <v>63230670</v>
      </c>
      <c r="CZ26" s="236">
        <v>0</v>
      </c>
    </row>
    <row r="27" spans="1:104" s="10" customFormat="1" x14ac:dyDescent="0.2">
      <c r="A27" s="9" t="str">
        <f>'[1]2021 УГРЦТ'!A30</f>
        <v>Газотурбинный агрегат ГТА-6РМ №3</v>
      </c>
      <c r="B27" s="10" t="e">
        <f>'[1]2021 УГРЦТ'!B30</f>
        <v>#REF!</v>
      </c>
      <c r="C27" s="10" t="str">
        <f>'[1]2021 УГРЦТ'!C30</f>
        <v>ПРОИЗВОДСТВО</v>
      </c>
      <c r="D27" s="10" t="str">
        <f>'[1]2021 УГРЦТ'!D30</f>
        <v>Машины и оборудование (кроме офисного)</v>
      </c>
      <c r="E27" s="10" t="e">
        <f>'[1]2021 УГРЦТ'!E30</f>
        <v>#REF!</v>
      </c>
      <c r="F27" s="10" t="str">
        <f>'[1]2021 УГРЦТ'!F30</f>
        <v>Газотурбинный цех</v>
      </c>
      <c r="G27" s="10">
        <f>'[1]2021 УГРЦТ'!AC30</f>
        <v>100</v>
      </c>
      <c r="H27" s="11">
        <f>'[1]2021 УГРЦТ'!X30</f>
        <v>37140694.240000002</v>
      </c>
      <c r="I27" s="11">
        <f>'[1]2021 УГРЦТ'!Y30</f>
        <v>28969741.476400003</v>
      </c>
      <c r="J27" s="11">
        <f>'[1]2021 УГРЦТ'!Z30</f>
        <v>8170952.7636000002</v>
      </c>
      <c r="K27" s="8">
        <v>0</v>
      </c>
      <c r="L27" s="11">
        <v>82534.880000000005</v>
      </c>
      <c r="M27" s="11"/>
      <c r="N27" s="11">
        <f t="shared" si="0"/>
        <v>990418.56</v>
      </c>
      <c r="O27" s="11">
        <f t="shared" si="41"/>
        <v>8088417.8836000003</v>
      </c>
      <c r="P27" s="11">
        <f t="shared" si="155"/>
        <v>8005883.0036000004</v>
      </c>
      <c r="Q27" s="11">
        <f t="shared" si="155"/>
        <v>7923348.1236000005</v>
      </c>
      <c r="R27" s="11">
        <f t="shared" si="155"/>
        <v>7840813.2436000006</v>
      </c>
      <c r="S27" s="11">
        <f t="shared" si="155"/>
        <v>7758278.3636000007</v>
      </c>
      <c r="T27" s="11">
        <f t="shared" si="155"/>
        <v>7675743.4836000009</v>
      </c>
      <c r="U27" s="11">
        <f t="shared" si="155"/>
        <v>7593208.603600001</v>
      </c>
      <c r="V27" s="11">
        <f t="shared" si="155"/>
        <v>7510673.7236000011</v>
      </c>
      <c r="W27" s="11">
        <f t="shared" si="155"/>
        <v>7428138.8436000012</v>
      </c>
      <c r="X27" s="11">
        <f t="shared" si="155"/>
        <v>7345603.9636000013</v>
      </c>
      <c r="Y27" s="11">
        <f t="shared" si="155"/>
        <v>7263069.0836000014</v>
      </c>
      <c r="Z27" s="11">
        <f t="shared" si="155"/>
        <v>7180534.2036000015</v>
      </c>
      <c r="AA27" s="11"/>
      <c r="AB27" s="11"/>
      <c r="AC27" s="11">
        <f t="shared" si="43"/>
        <v>990418.56</v>
      </c>
      <c r="AD27" s="11">
        <f t="shared" si="44"/>
        <v>7097999.3236000016</v>
      </c>
      <c r="AE27" s="11">
        <f t="shared" si="154"/>
        <v>7015464.4436000017</v>
      </c>
      <c r="AF27" s="11">
        <f t="shared" si="154"/>
        <v>6932929.5636000019</v>
      </c>
      <c r="AG27" s="11">
        <f t="shared" si="154"/>
        <v>6850394.683600002</v>
      </c>
      <c r="AH27" s="11">
        <f t="shared" si="154"/>
        <v>6767859.8036000021</v>
      </c>
      <c r="AI27" s="11">
        <f t="shared" si="154"/>
        <v>6685324.9236000022</v>
      </c>
      <c r="AJ27" s="11">
        <f t="shared" si="154"/>
        <v>6602790.0436000023</v>
      </c>
      <c r="AK27" s="11">
        <f t="shared" si="154"/>
        <v>6520255.1636000024</v>
      </c>
      <c r="AL27" s="11">
        <f t="shared" si="154"/>
        <v>6437720.2836000025</v>
      </c>
      <c r="AM27" s="11">
        <f t="shared" si="154"/>
        <v>6355185.4036000026</v>
      </c>
      <c r="AN27" s="11">
        <f t="shared" si="154"/>
        <v>6272650.5236000028</v>
      </c>
      <c r="AO27" s="11">
        <f t="shared" si="154"/>
        <v>6190115.6436000029</v>
      </c>
      <c r="AP27" s="222"/>
      <c r="AQ27" s="7">
        <v>82534.880000000005</v>
      </c>
      <c r="AR27" s="7">
        <f t="shared" si="45"/>
        <v>82534.879999999888</v>
      </c>
      <c r="AS27" s="7">
        <f t="shared" si="46"/>
        <v>-1.1641532182693481E-10</v>
      </c>
      <c r="AT27" s="11">
        <f t="shared" si="118"/>
        <v>990418.56</v>
      </c>
      <c r="AU27" s="11">
        <f t="shared" si="119"/>
        <v>6107580.763600003</v>
      </c>
      <c r="AV27" s="11">
        <f t="shared" si="120"/>
        <v>6025045.8836000031</v>
      </c>
      <c r="AW27" s="11">
        <f t="shared" si="120"/>
        <v>5942511.0036000032</v>
      </c>
      <c r="AX27" s="11">
        <f t="shared" si="120"/>
        <v>5859976.1236000033</v>
      </c>
      <c r="AY27" s="11">
        <f t="shared" si="120"/>
        <v>5777441.2436000034</v>
      </c>
      <c r="AZ27" s="11">
        <f t="shared" si="120"/>
        <v>5694906.3636000035</v>
      </c>
      <c r="BA27" s="11">
        <f t="shared" si="120"/>
        <v>5612371.4836000036</v>
      </c>
      <c r="BB27" s="11">
        <f t="shared" si="120"/>
        <v>5529836.6036000038</v>
      </c>
      <c r="BC27" s="11">
        <f t="shared" si="120"/>
        <v>5447301.7236000039</v>
      </c>
      <c r="BD27" s="11">
        <f t="shared" si="120"/>
        <v>5364766.843600004</v>
      </c>
      <c r="BE27" s="11">
        <f t="shared" si="120"/>
        <v>5282231.9636000041</v>
      </c>
      <c r="BF27" s="11">
        <f t="shared" si="120"/>
        <v>5199697.0836000042</v>
      </c>
      <c r="BG27" s="236">
        <f t="shared" si="5"/>
        <v>0</v>
      </c>
      <c r="BH27" s="7">
        <v>82534.880000000005</v>
      </c>
      <c r="BI27" s="11">
        <f>BH27*12</f>
        <v>990418.56</v>
      </c>
      <c r="BJ27" s="11">
        <f t="shared" si="156"/>
        <v>5117162.2036000043</v>
      </c>
      <c r="BK27" s="11">
        <f t="shared" si="121"/>
        <v>5034627.3236000044</v>
      </c>
      <c r="BL27" s="11">
        <f t="shared" si="122"/>
        <v>4952092.4436000045</v>
      </c>
      <c r="BM27" s="11">
        <f t="shared" si="123"/>
        <v>4869557.5636000047</v>
      </c>
      <c r="BN27" s="11">
        <f t="shared" si="124"/>
        <v>4787022.6836000048</v>
      </c>
      <c r="BO27" s="11">
        <f t="shared" si="125"/>
        <v>4704487.8036000049</v>
      </c>
      <c r="BP27" s="11">
        <f t="shared" si="126"/>
        <v>4621952.923600005</v>
      </c>
      <c r="BQ27" s="11">
        <f t="shared" si="127"/>
        <v>4539418.0436000051</v>
      </c>
      <c r="BR27" s="11">
        <f t="shared" si="128"/>
        <v>4456883.1636000052</v>
      </c>
      <c r="BS27" s="11">
        <f t="shared" si="129"/>
        <v>4374348.2836000053</v>
      </c>
      <c r="BT27" s="11">
        <f t="shared" si="130"/>
        <v>4291813.4036000054</v>
      </c>
      <c r="BU27" s="11">
        <f t="shared" si="131"/>
        <v>4209278.5236000055</v>
      </c>
      <c r="BV27" s="236">
        <v>0</v>
      </c>
      <c r="BW27" s="7">
        <v>82534.880000000005</v>
      </c>
      <c r="BX27" s="11">
        <f>BW27*12</f>
        <v>990418.56</v>
      </c>
      <c r="BY27" s="11">
        <f t="shared" si="157"/>
        <v>4126743.6436000057</v>
      </c>
      <c r="BZ27" s="11">
        <f t="shared" si="132"/>
        <v>4044208.7636000058</v>
      </c>
      <c r="CA27" s="11">
        <f t="shared" si="133"/>
        <v>3961673.8836000059</v>
      </c>
      <c r="CB27" s="11">
        <f t="shared" si="134"/>
        <v>3879139.003600006</v>
      </c>
      <c r="CC27" s="11">
        <f t="shared" si="135"/>
        <v>3796604.1236000061</v>
      </c>
      <c r="CD27" s="11">
        <f t="shared" si="136"/>
        <v>3714069.2436000062</v>
      </c>
      <c r="CE27" s="11">
        <f t="shared" si="137"/>
        <v>3631534.3636000063</v>
      </c>
      <c r="CF27" s="11">
        <f t="shared" si="138"/>
        <v>3548999.4836000064</v>
      </c>
      <c r="CG27" s="11">
        <f t="shared" si="139"/>
        <v>3466464.6036000066</v>
      </c>
      <c r="CH27" s="11">
        <f t="shared" si="140"/>
        <v>3383929.7236000067</v>
      </c>
      <c r="CI27" s="11">
        <f t="shared" si="141"/>
        <v>3301394.8436000068</v>
      </c>
      <c r="CJ27" s="11">
        <f t="shared" si="142"/>
        <v>3218859.9636000069</v>
      </c>
      <c r="CK27" s="236">
        <v>0</v>
      </c>
      <c r="CL27" s="7">
        <v>82534.880000000005</v>
      </c>
      <c r="CM27" s="11">
        <f>CL27*12</f>
        <v>990418.56</v>
      </c>
      <c r="CN27" s="11">
        <f t="shared" si="158"/>
        <v>3136325.083600007</v>
      </c>
      <c r="CO27" s="11">
        <f t="shared" si="143"/>
        <v>3053790.2036000071</v>
      </c>
      <c r="CP27" s="11">
        <f t="shared" si="144"/>
        <v>2971255.3236000072</v>
      </c>
      <c r="CQ27" s="11">
        <f t="shared" si="145"/>
        <v>2888720.4436000073</v>
      </c>
      <c r="CR27" s="11">
        <f t="shared" si="146"/>
        <v>2806185.5636000074</v>
      </c>
      <c r="CS27" s="11">
        <f t="shared" si="147"/>
        <v>2723650.6836000076</v>
      </c>
      <c r="CT27" s="11">
        <f t="shared" si="148"/>
        <v>2641115.8036000077</v>
      </c>
      <c r="CU27" s="11">
        <f t="shared" si="149"/>
        <v>2558580.9236000078</v>
      </c>
      <c r="CV27" s="11">
        <f t="shared" si="150"/>
        <v>2476046.0436000079</v>
      </c>
      <c r="CW27" s="11">
        <f t="shared" si="151"/>
        <v>2393511.163600008</v>
      </c>
      <c r="CX27" s="11">
        <f t="shared" si="152"/>
        <v>2310976.2836000081</v>
      </c>
      <c r="CY27" s="11">
        <f t="shared" si="153"/>
        <v>2228441.4036000082</v>
      </c>
      <c r="CZ27" s="236">
        <v>0</v>
      </c>
    </row>
    <row r="28" spans="1:104" s="180" customFormat="1" x14ac:dyDescent="0.2">
      <c r="A28" s="179" t="str">
        <f>'[1]2021 УГРЦТ'!A31</f>
        <v>Гараж на 5 машин  1989г</v>
      </c>
      <c r="B28" s="180" t="str">
        <f>'[1]2021 УГРЦТ'!B31</f>
        <v>00000514</v>
      </c>
      <c r="C28" s="180" t="str">
        <f>'[1]2021 УГРЦТ'!C31</f>
        <v>ПРОИЗВОДСТВО</v>
      </c>
      <c r="D28" s="180" t="str">
        <f>'[1]2021 УГРЦТ'!D31</f>
        <v>Здания</v>
      </c>
      <c r="E28" s="180" t="str">
        <f>'[1]2021 УГРЦТ'!E31</f>
        <v>31.12.2003</v>
      </c>
      <c r="F28" s="180" t="str">
        <f>'[1]2021 УГРЦТ'!F31</f>
        <v>Тепломеханический цех</v>
      </c>
      <c r="G28" s="180">
        <f>'[1]2021 УГРЦТ'!AC31</f>
        <v>480</v>
      </c>
      <c r="H28" s="181">
        <f>'[1]2021 УГРЦТ'!X31</f>
        <v>1449374.74</v>
      </c>
      <c r="I28" s="181">
        <f>'[1]2021 УГРЦТ'!Y31</f>
        <v>536104.95999999996</v>
      </c>
      <c r="J28" s="181">
        <f>'[1]2021 УГРЦТ'!Z31</f>
        <v>913269.78</v>
      </c>
      <c r="K28" s="182">
        <v>1</v>
      </c>
      <c r="L28" s="181">
        <v>3459.36</v>
      </c>
      <c r="M28" s="181"/>
      <c r="N28" s="181">
        <f t="shared" si="0"/>
        <v>41512.32</v>
      </c>
      <c r="O28" s="7">
        <f t="shared" si="41"/>
        <v>909810.42</v>
      </c>
      <c r="P28" s="7">
        <f t="shared" si="155"/>
        <v>906351.06</v>
      </c>
      <c r="Q28" s="7">
        <f t="shared" si="155"/>
        <v>902891.70000000007</v>
      </c>
      <c r="R28" s="7">
        <f t="shared" si="155"/>
        <v>899432.34000000008</v>
      </c>
      <c r="S28" s="7">
        <f t="shared" si="155"/>
        <v>895972.9800000001</v>
      </c>
      <c r="T28" s="7">
        <f t="shared" si="155"/>
        <v>892513.62000000011</v>
      </c>
      <c r="U28" s="7">
        <f t="shared" si="155"/>
        <v>889054.26000000013</v>
      </c>
      <c r="V28" s="7">
        <f t="shared" si="155"/>
        <v>885594.90000000014</v>
      </c>
      <c r="W28" s="7">
        <f t="shared" si="155"/>
        <v>882135.54000000015</v>
      </c>
      <c r="X28" s="7">
        <f t="shared" si="155"/>
        <v>878676.18000000017</v>
      </c>
      <c r="Y28" s="7">
        <f t="shared" si="155"/>
        <v>875216.82000000018</v>
      </c>
      <c r="Z28" s="7">
        <f>Y28-$L28</f>
        <v>871757.4600000002</v>
      </c>
      <c r="AA28" s="7">
        <f t="shared" ref="AA28:AA29" si="159">SUM(O28:Z28,J28)/13*$AA$1</f>
        <v>19635.299640000005</v>
      </c>
      <c r="AB28" s="7"/>
      <c r="AC28" s="7">
        <f t="shared" si="43"/>
        <v>41512.32</v>
      </c>
      <c r="AD28" s="7">
        <f t="shared" si="44"/>
        <v>868298.10000000021</v>
      </c>
      <c r="AE28" s="7">
        <f t="shared" si="154"/>
        <v>864838.74000000022</v>
      </c>
      <c r="AF28" s="7">
        <f t="shared" si="154"/>
        <v>861379.38000000024</v>
      </c>
      <c r="AG28" s="7">
        <f t="shared" si="154"/>
        <v>857920.02000000025</v>
      </c>
      <c r="AH28" s="7">
        <f t="shared" si="154"/>
        <v>854460.66000000027</v>
      </c>
      <c r="AI28" s="7">
        <f t="shared" si="154"/>
        <v>851001.30000000028</v>
      </c>
      <c r="AJ28" s="7">
        <f t="shared" si="154"/>
        <v>847541.94000000029</v>
      </c>
      <c r="AK28" s="7">
        <f t="shared" si="154"/>
        <v>844082.58000000031</v>
      </c>
      <c r="AL28" s="7">
        <f t="shared" si="154"/>
        <v>840623.22000000032</v>
      </c>
      <c r="AM28" s="7">
        <f t="shared" si="154"/>
        <v>837163.86000000034</v>
      </c>
      <c r="AN28" s="7">
        <f t="shared" si="154"/>
        <v>833704.50000000035</v>
      </c>
      <c r="AO28" s="7">
        <f t="shared" si="154"/>
        <v>830245.14000000036</v>
      </c>
      <c r="AP28" s="222">
        <f>IF(K28&lt;1,0,SUM(AD28:AO28,Z28)/13*$BG$1)</f>
        <v>18722.028600000005</v>
      </c>
      <c r="AQ28" s="7">
        <v>3459.36</v>
      </c>
      <c r="AR28" s="7">
        <f t="shared" si="45"/>
        <v>3459.359999999986</v>
      </c>
      <c r="AS28" s="7">
        <f t="shared" si="46"/>
        <v>-1.4097167877480388E-11</v>
      </c>
      <c r="AT28" s="7">
        <f t="shared" si="118"/>
        <v>41512.32</v>
      </c>
      <c r="AU28" s="7">
        <f t="shared" si="119"/>
        <v>826785.78000000038</v>
      </c>
      <c r="AV28" s="7">
        <f t="shared" si="120"/>
        <v>823326.42000000039</v>
      </c>
      <c r="AW28" s="7">
        <f t="shared" si="120"/>
        <v>819867.06000000041</v>
      </c>
      <c r="AX28" s="7">
        <f t="shared" si="120"/>
        <v>816407.70000000042</v>
      </c>
      <c r="AY28" s="7">
        <f t="shared" si="120"/>
        <v>812948.34000000043</v>
      </c>
      <c r="AZ28" s="7">
        <f t="shared" si="120"/>
        <v>809488.98000000045</v>
      </c>
      <c r="BA28" s="7">
        <f t="shared" si="120"/>
        <v>806029.62000000046</v>
      </c>
      <c r="BB28" s="7">
        <f t="shared" si="120"/>
        <v>802570.26000000047</v>
      </c>
      <c r="BC28" s="7">
        <f t="shared" si="120"/>
        <v>799110.90000000049</v>
      </c>
      <c r="BD28" s="7">
        <f t="shared" si="120"/>
        <v>795651.5400000005</v>
      </c>
      <c r="BE28" s="7">
        <f t="shared" si="120"/>
        <v>792192.18000000052</v>
      </c>
      <c r="BF28" s="7">
        <f t="shared" si="120"/>
        <v>788732.82000000053</v>
      </c>
      <c r="BG28" s="236">
        <f t="shared" si="5"/>
        <v>17808.757560000009</v>
      </c>
      <c r="BH28" s="7">
        <v>3459.36</v>
      </c>
      <c r="BI28" s="39">
        <f>BH28*12</f>
        <v>41512.32</v>
      </c>
      <c r="BJ28" s="7">
        <f t="shared" si="156"/>
        <v>785273.46000000054</v>
      </c>
      <c r="BK28" s="7">
        <f t="shared" si="121"/>
        <v>781814.10000000056</v>
      </c>
      <c r="BL28" s="7">
        <f t="shared" si="122"/>
        <v>778354.74000000057</v>
      </c>
      <c r="BM28" s="7">
        <f t="shared" si="123"/>
        <v>774895.38000000059</v>
      </c>
      <c r="BN28" s="7">
        <f t="shared" si="124"/>
        <v>771436.0200000006</v>
      </c>
      <c r="BO28" s="7">
        <f t="shared" si="125"/>
        <v>767976.66000000061</v>
      </c>
      <c r="BP28" s="7">
        <f t="shared" si="126"/>
        <v>764517.30000000063</v>
      </c>
      <c r="BQ28" s="7">
        <f t="shared" si="127"/>
        <v>761057.94000000064</v>
      </c>
      <c r="BR28" s="7">
        <f t="shared" si="128"/>
        <v>757598.58000000066</v>
      </c>
      <c r="BS28" s="7">
        <f t="shared" si="129"/>
        <v>754139.22000000067</v>
      </c>
      <c r="BT28" s="7">
        <f t="shared" si="130"/>
        <v>750679.86000000068</v>
      </c>
      <c r="BU28" s="7">
        <f t="shared" si="131"/>
        <v>747220.5000000007</v>
      </c>
      <c r="BV28" s="236">
        <f>IF(Z28&lt;1,0,SUM(BJ28:BU28,BF28)/13*$BG$1)</f>
        <v>16895.486520000013</v>
      </c>
      <c r="BW28" s="7">
        <v>3459.36</v>
      </c>
      <c r="BX28" s="39">
        <f>BW28*12</f>
        <v>41512.32</v>
      </c>
      <c r="BY28" s="7">
        <f t="shared" si="157"/>
        <v>743761.14000000071</v>
      </c>
      <c r="BZ28" s="7">
        <f t="shared" si="132"/>
        <v>740301.78000000073</v>
      </c>
      <c r="CA28" s="7">
        <f t="shared" si="133"/>
        <v>736842.42000000074</v>
      </c>
      <c r="CB28" s="7">
        <f t="shared" si="134"/>
        <v>733383.06000000075</v>
      </c>
      <c r="CC28" s="7">
        <f t="shared" si="135"/>
        <v>729923.70000000077</v>
      </c>
      <c r="CD28" s="7">
        <f t="shared" si="136"/>
        <v>726464.34000000078</v>
      </c>
      <c r="CE28" s="7">
        <f t="shared" si="137"/>
        <v>723004.9800000008</v>
      </c>
      <c r="CF28" s="7">
        <f t="shared" si="138"/>
        <v>719545.62000000081</v>
      </c>
      <c r="CG28" s="7">
        <f t="shared" si="139"/>
        <v>716086.26000000082</v>
      </c>
      <c r="CH28" s="7">
        <f t="shared" si="140"/>
        <v>712626.90000000084</v>
      </c>
      <c r="CI28" s="7">
        <f t="shared" si="141"/>
        <v>709167.54000000085</v>
      </c>
      <c r="CJ28" s="7">
        <f t="shared" si="142"/>
        <v>705708.18000000087</v>
      </c>
      <c r="CK28" s="236">
        <f>IF(AO28&lt;1,0,SUM(BY28:CJ28,BU28)/13*$BG$1)</f>
        <v>15982.215480000019</v>
      </c>
      <c r="CL28" s="7">
        <v>3459.36</v>
      </c>
      <c r="CM28" s="39">
        <f>CL28*12</f>
        <v>41512.32</v>
      </c>
      <c r="CN28" s="7">
        <f t="shared" si="158"/>
        <v>702248.82000000088</v>
      </c>
      <c r="CO28" s="7">
        <f t="shared" si="143"/>
        <v>698789.46000000089</v>
      </c>
      <c r="CP28" s="7">
        <f t="shared" si="144"/>
        <v>695330.10000000091</v>
      </c>
      <c r="CQ28" s="7">
        <f t="shared" si="145"/>
        <v>691870.74000000092</v>
      </c>
      <c r="CR28" s="7">
        <f t="shared" si="146"/>
        <v>688411.38000000094</v>
      </c>
      <c r="CS28" s="7">
        <f t="shared" si="147"/>
        <v>684952.02000000095</v>
      </c>
      <c r="CT28" s="7">
        <f t="shared" si="148"/>
        <v>681492.66000000096</v>
      </c>
      <c r="CU28" s="7">
        <f t="shared" si="149"/>
        <v>678033.30000000098</v>
      </c>
      <c r="CV28" s="7">
        <f t="shared" si="150"/>
        <v>674573.94000000099</v>
      </c>
      <c r="CW28" s="7">
        <f t="shared" si="151"/>
        <v>671114.58000000101</v>
      </c>
      <c r="CX28" s="7">
        <f t="shared" si="152"/>
        <v>667655.22000000102</v>
      </c>
      <c r="CY28" s="7">
        <f t="shared" si="153"/>
        <v>664195.86000000103</v>
      </c>
      <c r="CZ28" s="236">
        <f>IF(BF28&lt;1,0,SUM(CN28:CY28,CJ28)/13*$BG$1)</f>
        <v>15068.944440000019</v>
      </c>
    </row>
    <row r="29" spans="1:104" s="180" customFormat="1" x14ac:dyDescent="0.2">
      <c r="A29" s="179" t="str">
        <f>'[1]2021 УГРЦТ'!A32</f>
        <v>Градирня (бассейн)</v>
      </c>
      <c r="B29" s="180" t="str">
        <f>'[1]2021 УГРЦТ'!B32</f>
        <v>00000280</v>
      </c>
      <c r="C29" s="180" t="str">
        <f>'[1]2021 УГРЦТ'!C32</f>
        <v>ПРОИЗВОДСТВО</v>
      </c>
      <c r="D29" s="180" t="str">
        <f>'[1]2021 УГРЦТ'!D32</f>
        <v>Сооружения</v>
      </c>
      <c r="E29" s="180" t="str">
        <f>'[1]2021 УГРЦТ'!E32</f>
        <v>30.01.1974</v>
      </c>
      <c r="F29" s="180" t="str">
        <f>'[1]2021 УГРЦТ'!F32</f>
        <v>Тепломеханический цех</v>
      </c>
      <c r="G29" s="180">
        <f>'[1]2021 УГРЦТ'!AC32</f>
        <v>600</v>
      </c>
      <c r="H29" s="181">
        <f>'[1]2021 УГРЦТ'!X32</f>
        <v>191276.19</v>
      </c>
      <c r="I29" s="181">
        <f>'[1]2021 УГРЦТ'!Y32</f>
        <v>159145.69999999998</v>
      </c>
      <c r="J29" s="181">
        <f>'[1]2021 УГРЦТ'!Z32</f>
        <v>32130.49000000002</v>
      </c>
      <c r="K29" s="182">
        <v>1</v>
      </c>
      <c r="L29" s="181">
        <v>1286.9599999999998</v>
      </c>
      <c r="M29" s="181"/>
      <c r="N29" s="181">
        <f t="shared" si="0"/>
        <v>15443.519999999997</v>
      </c>
      <c r="O29" s="7">
        <f t="shared" si="41"/>
        <v>30843.530000000021</v>
      </c>
      <c r="P29" s="7">
        <f t="shared" si="155"/>
        <v>29556.570000000022</v>
      </c>
      <c r="Q29" s="7">
        <f t="shared" si="155"/>
        <v>28269.610000000022</v>
      </c>
      <c r="R29" s="7">
        <f t="shared" si="155"/>
        <v>26982.650000000023</v>
      </c>
      <c r="S29" s="7">
        <f t="shared" si="155"/>
        <v>25695.690000000024</v>
      </c>
      <c r="T29" s="7">
        <f t="shared" si="155"/>
        <v>24408.730000000025</v>
      </c>
      <c r="U29" s="7">
        <f t="shared" si="155"/>
        <v>23121.770000000026</v>
      </c>
      <c r="V29" s="7">
        <f t="shared" si="155"/>
        <v>21834.810000000027</v>
      </c>
      <c r="W29" s="7">
        <f t="shared" si="155"/>
        <v>20547.850000000028</v>
      </c>
      <c r="X29" s="7">
        <f t="shared" si="155"/>
        <v>19260.890000000029</v>
      </c>
      <c r="Y29" s="7">
        <f t="shared" si="155"/>
        <v>17973.930000000029</v>
      </c>
      <c r="Z29" s="7">
        <f t="shared" si="155"/>
        <v>16686.97000000003</v>
      </c>
      <c r="AA29" s="7">
        <f t="shared" si="159"/>
        <v>536.99206000000049</v>
      </c>
      <c r="AB29" s="7"/>
      <c r="AC29" s="7">
        <f t="shared" si="43"/>
        <v>15443.519999999997</v>
      </c>
      <c r="AD29" s="7">
        <f t="shared" si="44"/>
        <v>15400.010000000031</v>
      </c>
      <c r="AE29" s="7">
        <f t="shared" si="154"/>
        <v>14113.050000000032</v>
      </c>
      <c r="AF29" s="7">
        <f t="shared" si="154"/>
        <v>12826.090000000033</v>
      </c>
      <c r="AG29" s="7">
        <f t="shared" si="154"/>
        <v>11539.130000000034</v>
      </c>
      <c r="AH29" s="7">
        <f t="shared" si="154"/>
        <v>10252.170000000035</v>
      </c>
      <c r="AI29" s="7">
        <f t="shared" si="154"/>
        <v>8965.2100000000355</v>
      </c>
      <c r="AJ29" s="7">
        <f t="shared" si="154"/>
        <v>7678.2500000000355</v>
      </c>
      <c r="AK29" s="7">
        <f t="shared" si="154"/>
        <v>6391.2900000000354</v>
      </c>
      <c r="AL29" s="7">
        <f t="shared" si="154"/>
        <v>5104.3300000000354</v>
      </c>
      <c r="AM29" s="7">
        <f t="shared" si="154"/>
        <v>3817.3700000000354</v>
      </c>
      <c r="AN29" s="7">
        <f t="shared" si="154"/>
        <v>2530.4100000000353</v>
      </c>
      <c r="AO29" s="7">
        <f t="shared" si="154"/>
        <v>1243.4500000000355</v>
      </c>
      <c r="AP29" s="222">
        <f>IF(K29&lt;1,0,SUM(AD29:AO29,Z29)/13*$BG$1)</f>
        <v>197.23462000000072</v>
      </c>
      <c r="AQ29" s="7">
        <v>1286.9599999999998</v>
      </c>
      <c r="AR29" s="7">
        <f t="shared" si="45"/>
        <v>1286.9599999999998</v>
      </c>
      <c r="AS29" s="7">
        <f t="shared" si="46"/>
        <v>0</v>
      </c>
      <c r="AT29" s="7">
        <f>L29*1-43.51</f>
        <v>1243.4499999999998</v>
      </c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236">
        <f t="shared" si="5"/>
        <v>2.1043000000000602</v>
      </c>
      <c r="BH29" s="7">
        <v>1286.9599999999998</v>
      </c>
      <c r="BI29" s="39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236">
        <f>IF(Z29&lt;1,0,SUM(BJ29:BU29,BF29)/13*$BG$1)</f>
        <v>0</v>
      </c>
      <c r="BW29" s="7">
        <v>1286.9599999999998</v>
      </c>
      <c r="BX29" s="39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236">
        <f>IF(AO29&lt;1,0,SUM(BY29:CJ29,BU29)/13*$BG$1)</f>
        <v>0</v>
      </c>
      <c r="CL29" s="7">
        <v>1286.9599999999998</v>
      </c>
      <c r="CM29" s="39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236">
        <f>IF(BF29&lt;1,0,SUM(CN29:CY29,CJ29)/13*$BG$1)</f>
        <v>0</v>
      </c>
    </row>
    <row r="30" spans="1:104" x14ac:dyDescent="0.2">
      <c r="A30" s="6" t="str">
        <f>'[1]2021 УГРЦТ'!A33</f>
        <v>ГТА-6 РМ №1 (газотурбинная энергетич установка)</v>
      </c>
      <c r="B30" t="str">
        <f>'[1]2021 УГРЦТ'!B33</f>
        <v>00000505</v>
      </c>
      <c r="C30" t="str">
        <f>'[1]2021 УГРЦТ'!C33</f>
        <v>ПРОИЗВОДСТВО</v>
      </c>
      <c r="D30" t="str">
        <f>'[1]2021 УГРЦТ'!D33</f>
        <v>Машины и оборудование (кроме офисного)</v>
      </c>
      <c r="E30" t="str">
        <f>'[1]2021 УГРЦТ'!E33</f>
        <v>30.09.2005</v>
      </c>
      <c r="F30" t="str">
        <f>'[1]2021 УГРЦТ'!F33</f>
        <v>Газотурбинный цех</v>
      </c>
      <c r="G30">
        <f>'[1]2021 УГРЦТ'!AC33</f>
        <v>132</v>
      </c>
      <c r="H30" s="7">
        <f>'[1]2021 УГРЦТ'!X33</f>
        <v>30784100.07</v>
      </c>
      <c r="I30" s="7">
        <f>'[1]2021 УГРЦТ'!Y33</f>
        <v>27031031.52</v>
      </c>
      <c r="J30" s="7">
        <f>'[1]2021 УГРЦТ'!Z33</f>
        <v>3753068.5500000007</v>
      </c>
      <c r="K30" s="8">
        <v>0</v>
      </c>
      <c r="L30" s="7">
        <v>64708.079999999994</v>
      </c>
      <c r="M30" s="7"/>
      <c r="N30" s="7">
        <f t="shared" si="0"/>
        <v>776496.96</v>
      </c>
      <c r="O30" s="7">
        <f t="shared" si="41"/>
        <v>3688360.4700000007</v>
      </c>
      <c r="P30" s="7">
        <f t="shared" si="155"/>
        <v>3623652.3900000006</v>
      </c>
      <c r="Q30" s="7">
        <f t="shared" si="155"/>
        <v>3558944.3100000005</v>
      </c>
      <c r="R30" s="7">
        <f t="shared" si="155"/>
        <v>3494236.2300000004</v>
      </c>
      <c r="S30" s="7">
        <f t="shared" si="155"/>
        <v>3429528.1500000004</v>
      </c>
      <c r="T30" s="7">
        <f t="shared" si="155"/>
        <v>3364820.0700000003</v>
      </c>
      <c r="U30" s="7">
        <f t="shared" si="155"/>
        <v>3300111.99</v>
      </c>
      <c r="V30" s="7">
        <f t="shared" si="155"/>
        <v>3235403.91</v>
      </c>
      <c r="W30" s="7">
        <f t="shared" si="155"/>
        <v>3170695.83</v>
      </c>
      <c r="X30" s="7">
        <f t="shared" si="155"/>
        <v>3105987.75</v>
      </c>
      <c r="Y30" s="7">
        <f t="shared" si="155"/>
        <v>3041279.67</v>
      </c>
      <c r="Z30" s="7">
        <f t="shared" si="155"/>
        <v>2976571.59</v>
      </c>
      <c r="AA30" s="7"/>
      <c r="AB30" s="7"/>
      <c r="AC30" s="7">
        <f t="shared" si="43"/>
        <v>776496.96</v>
      </c>
      <c r="AD30" s="7">
        <f t="shared" si="44"/>
        <v>2911863.51</v>
      </c>
      <c r="AE30" s="7">
        <f t="shared" si="154"/>
        <v>2847155.4299999997</v>
      </c>
      <c r="AF30" s="7">
        <f t="shared" si="154"/>
        <v>2782447.3499999996</v>
      </c>
      <c r="AG30" s="7">
        <f t="shared" si="154"/>
        <v>2717739.2699999996</v>
      </c>
      <c r="AH30" s="7">
        <f t="shared" si="154"/>
        <v>2653031.1899999995</v>
      </c>
      <c r="AI30" s="7">
        <f t="shared" si="154"/>
        <v>2588323.1099999994</v>
      </c>
      <c r="AJ30" s="7">
        <f t="shared" si="154"/>
        <v>2523615.0299999993</v>
      </c>
      <c r="AK30" s="7">
        <f t="shared" si="154"/>
        <v>2458906.9499999993</v>
      </c>
      <c r="AL30" s="7">
        <f t="shared" si="154"/>
        <v>2394198.8699999992</v>
      </c>
      <c r="AM30" s="7">
        <f t="shared" si="154"/>
        <v>2329490.7899999991</v>
      </c>
      <c r="AN30" s="7">
        <f t="shared" si="154"/>
        <v>2264782.709999999</v>
      </c>
      <c r="AO30" s="7">
        <f t="shared" si="154"/>
        <v>2200074.629999999</v>
      </c>
      <c r="AP30" s="222"/>
      <c r="AQ30" s="7">
        <v>64708.079999999994</v>
      </c>
      <c r="AR30" s="7">
        <f t="shared" si="45"/>
        <v>64708.080000000075</v>
      </c>
      <c r="AS30" s="7">
        <f t="shared" si="46"/>
        <v>8.0035533756017685E-11</v>
      </c>
      <c r="AT30" s="7">
        <f t="shared" si="118"/>
        <v>776496.96</v>
      </c>
      <c r="AU30" s="7">
        <f>AO30-$L30</f>
        <v>2135366.5499999989</v>
      </c>
      <c r="AV30" s="7">
        <f t="shared" ref="AV30:BF31" si="160">AU30-$L30</f>
        <v>2070658.4699999988</v>
      </c>
      <c r="AW30" s="7">
        <f t="shared" si="160"/>
        <v>2005950.3899999987</v>
      </c>
      <c r="AX30" s="7">
        <f t="shared" si="160"/>
        <v>1941242.3099999987</v>
      </c>
      <c r="AY30" s="7">
        <f t="shared" si="160"/>
        <v>1876534.2299999986</v>
      </c>
      <c r="AZ30" s="7">
        <f t="shared" si="160"/>
        <v>1811826.1499999985</v>
      </c>
      <c r="BA30" s="7">
        <f t="shared" si="160"/>
        <v>1747118.0699999984</v>
      </c>
      <c r="BB30" s="7">
        <f t="shared" si="160"/>
        <v>1682409.9899999984</v>
      </c>
      <c r="BC30" s="7">
        <f t="shared" si="160"/>
        <v>1617701.9099999983</v>
      </c>
      <c r="BD30" s="7">
        <f t="shared" si="160"/>
        <v>1552993.8299999982</v>
      </c>
      <c r="BE30" s="7">
        <f t="shared" si="160"/>
        <v>1488285.7499999981</v>
      </c>
      <c r="BF30" s="7">
        <f t="shared" si="160"/>
        <v>1423577.6699999981</v>
      </c>
      <c r="BG30" s="236">
        <f t="shared" si="5"/>
        <v>0</v>
      </c>
      <c r="BH30" s="7">
        <v>64708.079999999994</v>
      </c>
      <c r="BI30" s="39">
        <f>BH30*12</f>
        <v>776496.96</v>
      </c>
      <c r="BJ30" s="7">
        <f>BF30-BH30</f>
        <v>1358869.589999998</v>
      </c>
      <c r="BK30" s="7">
        <f t="shared" ref="BK30:BK31" si="161">BJ30-$L30</f>
        <v>1294161.5099999979</v>
      </c>
      <c r="BL30" s="7">
        <f t="shared" ref="BL30:BL31" si="162">BK30-$L30</f>
        <v>1229453.4299999978</v>
      </c>
      <c r="BM30" s="7">
        <f t="shared" ref="BM30:BM31" si="163">BL30-$L30</f>
        <v>1164745.3499999978</v>
      </c>
      <c r="BN30" s="7">
        <f t="shared" ref="BN30:BN31" si="164">BM30-$L30</f>
        <v>1100037.2699999977</v>
      </c>
      <c r="BO30" s="7">
        <f t="shared" ref="BO30:BO31" si="165">BN30-$L30</f>
        <v>1035329.1899999977</v>
      </c>
      <c r="BP30" s="7">
        <f t="shared" ref="BP30:BP31" si="166">BO30-$L30</f>
        <v>970621.10999999777</v>
      </c>
      <c r="BQ30" s="7">
        <f t="shared" ref="BQ30:BQ31" si="167">BP30-$L30</f>
        <v>905913.02999999782</v>
      </c>
      <c r="BR30" s="7">
        <f t="shared" ref="BR30:BR31" si="168">BQ30-$L30</f>
        <v>841204.94999999786</v>
      </c>
      <c r="BS30" s="7">
        <f t="shared" ref="BS30:BS31" si="169">BR30-$L30</f>
        <v>776496.8699999979</v>
      </c>
      <c r="BT30" s="7">
        <f t="shared" ref="BT30:BT31" si="170">BS30-$L30</f>
        <v>711788.78999999794</v>
      </c>
      <c r="BU30" s="7">
        <f t="shared" ref="BU30:BU31" si="171">BT30-$L30</f>
        <v>647080.70999999798</v>
      </c>
      <c r="BV30" s="236">
        <v>0</v>
      </c>
      <c r="BW30" s="7">
        <v>64708.079999999994</v>
      </c>
      <c r="BX30" s="39">
        <v>647080.71</v>
      </c>
      <c r="BY30" s="7">
        <f>BU30-BW30</f>
        <v>582372.62999999803</v>
      </c>
      <c r="BZ30" s="7">
        <f t="shared" ref="BZ30:BZ31" si="172">BY30-$L30</f>
        <v>517664.54999999801</v>
      </c>
      <c r="CA30" s="7">
        <f t="shared" ref="CA30:CA31" si="173">BZ30-$L30</f>
        <v>452956.46999999799</v>
      </c>
      <c r="CB30" s="7">
        <f t="shared" ref="CB30:CB31" si="174">CA30-$L30</f>
        <v>388248.38999999798</v>
      </c>
      <c r="CC30" s="7">
        <f t="shared" ref="CC30:CC31" si="175">CB30-$L30</f>
        <v>323540.30999999796</v>
      </c>
      <c r="CD30" s="7">
        <f t="shared" ref="CD30:CD31" si="176">CC30-$L30</f>
        <v>258832.22999999797</v>
      </c>
      <c r="CE30" s="7">
        <f t="shared" ref="CE30:CE31" si="177">CD30-$L30</f>
        <v>194124.14999999799</v>
      </c>
      <c r="CF30" s="7">
        <f t="shared" ref="CF30:CF31" si="178">CE30-$L30</f>
        <v>129416.069999998</v>
      </c>
      <c r="CG30" s="7">
        <f t="shared" ref="CG30:CG31" si="179">CF30-$L30</f>
        <v>64707.989999998004</v>
      </c>
      <c r="CH30" s="7"/>
      <c r="CI30" s="7"/>
      <c r="CJ30" s="7"/>
      <c r="CK30" s="236">
        <v>0</v>
      </c>
      <c r="CL30" s="7">
        <v>64708.079999999994</v>
      </c>
      <c r="CM30" s="39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236">
        <v>0</v>
      </c>
    </row>
    <row r="31" spans="1:104" x14ac:dyDescent="0.2">
      <c r="A31" s="6" t="str">
        <f>'[1]2021 УГРЦТ'!A34</f>
        <v>ГТА-6РМ №2</v>
      </c>
      <c r="B31" t="str">
        <f>'[1]2021 УГРЦТ'!B34</f>
        <v>00000534</v>
      </c>
      <c r="C31" t="str">
        <f>'[1]2021 УГРЦТ'!C34</f>
        <v>ПРОИЗВОДСТВО</v>
      </c>
      <c r="D31" t="str">
        <f>'[1]2021 УГРЦТ'!D34</f>
        <v>Машины и оборудование (кроме офисного)</v>
      </c>
      <c r="E31" t="str">
        <f>'[1]2021 УГРЦТ'!E34</f>
        <v>30.09.2005</v>
      </c>
      <c r="F31" t="str">
        <f>'[1]2021 УГРЦТ'!F34</f>
        <v>Газотурбинный цех</v>
      </c>
      <c r="G31">
        <f>'[1]2021 УГРЦТ'!AC34</f>
        <v>132</v>
      </c>
      <c r="H31" s="7">
        <f>'[1]2021 УГРЦТ'!X34</f>
        <v>30784121.07</v>
      </c>
      <c r="I31" s="7">
        <f>'[1]2021 УГРЦТ'!Y34</f>
        <v>27031043.629999999</v>
      </c>
      <c r="J31" s="7">
        <f>'[1]2021 УГРЦТ'!Z34</f>
        <v>3753077.4400000013</v>
      </c>
      <c r="K31" s="8">
        <v>0</v>
      </c>
      <c r="L31" s="7">
        <v>64708.24</v>
      </c>
      <c r="M31" s="7"/>
      <c r="N31" s="7">
        <f t="shared" si="0"/>
        <v>776498.88</v>
      </c>
      <c r="O31" s="7">
        <f t="shared" si="41"/>
        <v>3688369.2000000011</v>
      </c>
      <c r="P31" s="7">
        <f t="shared" si="155"/>
        <v>3623660.9600000009</v>
      </c>
      <c r="Q31" s="7">
        <f t="shared" si="155"/>
        <v>3558952.7200000007</v>
      </c>
      <c r="R31" s="7">
        <f t="shared" si="155"/>
        <v>3494244.4800000004</v>
      </c>
      <c r="S31" s="7">
        <f t="shared" si="155"/>
        <v>3429536.24</v>
      </c>
      <c r="T31" s="7">
        <f t="shared" si="155"/>
        <v>3364828</v>
      </c>
      <c r="U31" s="7">
        <f t="shared" si="155"/>
        <v>3300119.76</v>
      </c>
      <c r="V31" s="7">
        <f t="shared" si="155"/>
        <v>3235411.5199999996</v>
      </c>
      <c r="W31" s="7">
        <f t="shared" si="155"/>
        <v>3170703.2799999993</v>
      </c>
      <c r="X31" s="7">
        <f t="shared" si="155"/>
        <v>3105995.0399999991</v>
      </c>
      <c r="Y31" s="7">
        <f t="shared" si="155"/>
        <v>3041286.7999999989</v>
      </c>
      <c r="Z31" s="7">
        <f t="shared" si="155"/>
        <v>2976578.5599999987</v>
      </c>
      <c r="AA31" s="7"/>
      <c r="AB31" s="7"/>
      <c r="AC31" s="7">
        <f t="shared" si="43"/>
        <v>776498.88</v>
      </c>
      <c r="AD31" s="7">
        <f t="shared" si="44"/>
        <v>2911870.3199999984</v>
      </c>
      <c r="AE31" s="7">
        <f t="shared" si="154"/>
        <v>2847162.0799999982</v>
      </c>
      <c r="AF31" s="7">
        <f t="shared" si="154"/>
        <v>2782453.839999998</v>
      </c>
      <c r="AG31" s="7">
        <f t="shared" si="154"/>
        <v>2717745.5999999978</v>
      </c>
      <c r="AH31" s="7">
        <f t="shared" si="154"/>
        <v>2653037.3599999975</v>
      </c>
      <c r="AI31" s="7">
        <f t="shared" si="154"/>
        <v>2588329.1199999973</v>
      </c>
      <c r="AJ31" s="7">
        <f t="shared" si="154"/>
        <v>2523620.8799999971</v>
      </c>
      <c r="AK31" s="7">
        <f t="shared" si="154"/>
        <v>2458912.6399999969</v>
      </c>
      <c r="AL31" s="7">
        <f t="shared" si="154"/>
        <v>2394204.3999999966</v>
      </c>
      <c r="AM31" s="7">
        <f t="shared" si="154"/>
        <v>2329496.1599999964</v>
      </c>
      <c r="AN31" s="7">
        <f t="shared" si="154"/>
        <v>2264787.9199999962</v>
      </c>
      <c r="AO31" s="7">
        <f t="shared" si="154"/>
        <v>2200079.679999996</v>
      </c>
      <c r="AP31" s="222"/>
      <c r="AQ31" s="7">
        <v>64708.24</v>
      </c>
      <c r="AR31" s="7">
        <f t="shared" si="45"/>
        <v>64708.240000000224</v>
      </c>
      <c r="AS31" s="7">
        <f t="shared" si="46"/>
        <v>2.255546860396862E-10</v>
      </c>
      <c r="AT31" s="7">
        <f t="shared" si="118"/>
        <v>776498.88</v>
      </c>
      <c r="AU31" s="7">
        <f>AO31-$L31</f>
        <v>2135371.4399999958</v>
      </c>
      <c r="AV31" s="7">
        <f t="shared" si="160"/>
        <v>2070663.1999999958</v>
      </c>
      <c r="AW31" s="7">
        <f t="shared" si="160"/>
        <v>2005954.9599999958</v>
      </c>
      <c r="AX31" s="7">
        <f t="shared" si="160"/>
        <v>1941246.7199999958</v>
      </c>
      <c r="AY31" s="7">
        <f t="shared" si="160"/>
        <v>1876538.4799999958</v>
      </c>
      <c r="AZ31" s="7">
        <f t="shared" si="160"/>
        <v>1811830.2399999958</v>
      </c>
      <c r="BA31" s="7">
        <f t="shared" si="160"/>
        <v>1747121.9999999958</v>
      </c>
      <c r="BB31" s="7">
        <f t="shared" si="160"/>
        <v>1682413.7599999958</v>
      </c>
      <c r="BC31" s="7">
        <f t="shared" si="160"/>
        <v>1617705.5199999958</v>
      </c>
      <c r="BD31" s="7">
        <f t="shared" si="160"/>
        <v>1552997.2799999958</v>
      </c>
      <c r="BE31" s="7">
        <f t="shared" si="160"/>
        <v>1488289.0399999958</v>
      </c>
      <c r="BF31" s="7">
        <f t="shared" si="160"/>
        <v>1423580.7999999959</v>
      </c>
      <c r="BG31" s="236">
        <f t="shared" si="5"/>
        <v>0</v>
      </c>
      <c r="BH31" s="7">
        <v>64708.24</v>
      </c>
      <c r="BI31" s="39">
        <f>BH31*12</f>
        <v>776498.88</v>
      </c>
      <c r="BJ31" s="7">
        <f>BF31-BH31</f>
        <v>1358872.5599999959</v>
      </c>
      <c r="BK31" s="7">
        <f t="shared" si="161"/>
        <v>1294164.3199999959</v>
      </c>
      <c r="BL31" s="7">
        <f t="shared" si="162"/>
        <v>1229456.0799999959</v>
      </c>
      <c r="BM31" s="7">
        <f t="shared" si="163"/>
        <v>1164747.8399999959</v>
      </c>
      <c r="BN31" s="7">
        <f t="shared" si="164"/>
        <v>1100039.5999999959</v>
      </c>
      <c r="BO31" s="7">
        <f t="shared" si="165"/>
        <v>1035331.3599999959</v>
      </c>
      <c r="BP31" s="7">
        <f t="shared" si="166"/>
        <v>970623.11999999592</v>
      </c>
      <c r="BQ31" s="7">
        <f t="shared" si="167"/>
        <v>905914.87999999593</v>
      </c>
      <c r="BR31" s="7">
        <f t="shared" si="168"/>
        <v>841206.63999999594</v>
      </c>
      <c r="BS31" s="7">
        <f t="shared" si="169"/>
        <v>776498.39999999595</v>
      </c>
      <c r="BT31" s="7">
        <f t="shared" si="170"/>
        <v>711790.15999999596</v>
      </c>
      <c r="BU31" s="7">
        <f t="shared" si="171"/>
        <v>647081.91999999597</v>
      </c>
      <c r="BV31" s="236">
        <v>0</v>
      </c>
      <c r="BW31" s="7">
        <v>64708.24</v>
      </c>
      <c r="BX31" s="39">
        <v>647081.92000000004</v>
      </c>
      <c r="BY31" s="7">
        <f>BU31-BW31</f>
        <v>582373.67999999598</v>
      </c>
      <c r="BZ31" s="7">
        <f t="shared" si="172"/>
        <v>517665.43999999599</v>
      </c>
      <c r="CA31" s="7">
        <f t="shared" si="173"/>
        <v>452957.199999996</v>
      </c>
      <c r="CB31" s="7">
        <f t="shared" si="174"/>
        <v>388248.959999996</v>
      </c>
      <c r="CC31" s="7">
        <f t="shared" si="175"/>
        <v>323540.71999999601</v>
      </c>
      <c r="CD31" s="7">
        <f t="shared" si="176"/>
        <v>258832.47999999602</v>
      </c>
      <c r="CE31" s="7">
        <f t="shared" si="177"/>
        <v>194124.23999999603</v>
      </c>
      <c r="CF31" s="7">
        <f t="shared" si="178"/>
        <v>129415.99999999604</v>
      </c>
      <c r="CG31" s="7">
        <f t="shared" si="179"/>
        <v>64707.759999996044</v>
      </c>
      <c r="CH31" s="7"/>
      <c r="CI31" s="7"/>
      <c r="CJ31" s="7"/>
      <c r="CK31" s="236">
        <v>0</v>
      </c>
      <c r="CL31" s="7">
        <v>64708.24</v>
      </c>
      <c r="CM31" s="39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236">
        <v>0</v>
      </c>
    </row>
    <row r="32" spans="1:104" x14ac:dyDescent="0.2">
      <c r="A32" s="6" t="str">
        <f>'[1]2021 УГРЦТ'!A35</f>
        <v>Двигатель газотурбинный резервный ГТД-6/РМ (2007г)</v>
      </c>
      <c r="B32" t="str">
        <f>'[1]2021 УГРЦТ'!B35</f>
        <v>00001025</v>
      </c>
      <c r="C32" t="str">
        <f>'[1]2021 УГРЦТ'!C35</f>
        <v>ПРОИЗВОДСТВО</v>
      </c>
      <c r="D32" t="str">
        <f>'[1]2021 УГРЦТ'!D35</f>
        <v>Машины и оборудование (кроме офисного)</v>
      </c>
      <c r="E32" t="str">
        <f>'[1]2021 УГРЦТ'!E35</f>
        <v>28.02.2007</v>
      </c>
      <c r="F32" t="str">
        <f>'[1]2021 УГРЦТ'!F35</f>
        <v>Газотурбинный цех</v>
      </c>
      <c r="G32">
        <f>'[1]2021 УГРЦТ'!AC35</f>
        <v>190</v>
      </c>
      <c r="H32" s="7">
        <f>'[1]2021 УГРЦТ'!X35</f>
        <v>26107350.57</v>
      </c>
      <c r="I32" s="7">
        <f>'[1]2021 УГРЦТ'!Y35</f>
        <v>23296462.640000001</v>
      </c>
      <c r="J32" s="7">
        <f>'[1]2021 УГРЦТ'!Z35</f>
        <v>2810887.9299999997</v>
      </c>
      <c r="K32" s="8">
        <v>0</v>
      </c>
      <c r="L32" s="7">
        <v>128915.41999999998</v>
      </c>
      <c r="M32" s="7"/>
      <c r="N32" s="7">
        <f t="shared" si="0"/>
        <v>1546985.0399999998</v>
      </c>
      <c r="O32" s="7">
        <f t="shared" si="41"/>
        <v>2681972.5099999998</v>
      </c>
      <c r="P32" s="7">
        <f t="shared" si="155"/>
        <v>2553057.09</v>
      </c>
      <c r="Q32" s="7">
        <f t="shared" si="155"/>
        <v>2424141.67</v>
      </c>
      <c r="R32" s="7">
        <f t="shared" si="155"/>
        <v>2295226.25</v>
      </c>
      <c r="S32" s="7">
        <f t="shared" si="155"/>
        <v>2166310.83</v>
      </c>
      <c r="T32" s="7">
        <f t="shared" si="155"/>
        <v>2037395.4100000001</v>
      </c>
      <c r="U32" s="7">
        <f t="shared" si="155"/>
        <v>1908479.9900000002</v>
      </c>
      <c r="V32" s="7">
        <f t="shared" si="155"/>
        <v>1779564.5700000003</v>
      </c>
      <c r="W32" s="7">
        <f t="shared" si="155"/>
        <v>1650649.1500000004</v>
      </c>
      <c r="X32" s="7">
        <f t="shared" si="155"/>
        <v>1521733.7300000004</v>
      </c>
      <c r="Y32" s="7">
        <f t="shared" si="155"/>
        <v>1392818.3100000005</v>
      </c>
      <c r="Z32" s="7">
        <f t="shared" si="155"/>
        <v>1263902.8900000006</v>
      </c>
      <c r="AA32" s="7"/>
      <c r="AB32" s="7"/>
      <c r="AC32" s="7">
        <f>L32*10-25251.31</f>
        <v>1263902.8899999997</v>
      </c>
      <c r="AD32" s="7">
        <f t="shared" si="44"/>
        <v>1134987.4700000007</v>
      </c>
      <c r="AE32" s="7">
        <f t="shared" si="154"/>
        <v>1006072.0500000007</v>
      </c>
      <c r="AF32" s="7">
        <f t="shared" si="154"/>
        <v>877156.63000000082</v>
      </c>
      <c r="AG32" s="7">
        <f t="shared" si="154"/>
        <v>748241.21000000089</v>
      </c>
      <c r="AH32" s="7">
        <f t="shared" si="154"/>
        <v>619325.79000000097</v>
      </c>
      <c r="AI32" s="7">
        <f t="shared" si="154"/>
        <v>490410.37000000098</v>
      </c>
      <c r="AJ32" s="7">
        <f t="shared" si="154"/>
        <v>361494.950000001</v>
      </c>
      <c r="AK32" s="7">
        <f t="shared" si="154"/>
        <v>232579.53000000102</v>
      </c>
      <c r="AL32" s="7">
        <f t="shared" si="154"/>
        <v>103664.11000000103</v>
      </c>
      <c r="AM32" s="7"/>
      <c r="AN32" s="7"/>
      <c r="AO32" s="7"/>
      <c r="AP32" s="222"/>
      <c r="AQ32" s="7">
        <v>128915.41999999998</v>
      </c>
      <c r="AR32" s="7"/>
      <c r="AS32" s="7"/>
      <c r="BG32" s="236">
        <f t="shared" si="5"/>
        <v>0</v>
      </c>
      <c r="BH32" s="7">
        <v>128915.41999999998</v>
      </c>
      <c r="BV32" s="236">
        <f>IF(Z32&lt;1,0,SUM(BJ32:BU32,BF32)/13*$BG$1)</f>
        <v>0</v>
      </c>
      <c r="BW32" s="7">
        <v>128915.41999999998</v>
      </c>
      <c r="CK32" s="236">
        <f>IF(AO32&lt;1,0,SUM(BY32:CJ32,BU32)/13*$BG$1)</f>
        <v>0</v>
      </c>
      <c r="CL32" s="7">
        <v>128915.41999999998</v>
      </c>
      <c r="CZ32" s="236">
        <f>IF(BF32&lt;1,0,SUM(CN32:CY32,CJ32)/13*$BG$1)</f>
        <v>0</v>
      </c>
    </row>
    <row r="33" spans="1:104" x14ac:dyDescent="0.2">
      <c r="A33" s="6" t="str">
        <f>'[1]2021 УГРЦТ'!A36</f>
        <v>Двигатель ГТД-6РМ № В6-17</v>
      </c>
      <c r="B33" t="str">
        <f>'[1]2021 УГРЦТ'!B36</f>
        <v>00000928</v>
      </c>
      <c r="C33" t="str">
        <f>'[1]2021 УГРЦТ'!C36</f>
        <v>ПРОИЗВОДСТВО</v>
      </c>
      <c r="D33" t="str">
        <f>'[1]2021 УГРЦТ'!D36</f>
        <v>Машины и оборудование (кроме офисного)</v>
      </c>
      <c r="E33" t="str">
        <f>'[1]2021 УГРЦТ'!E36</f>
        <v>30.09.2005</v>
      </c>
      <c r="F33" t="str">
        <f>'[1]2021 УГРЦТ'!F36</f>
        <v>Газотурбинный цех</v>
      </c>
      <c r="G33">
        <f>'[1]2021 УГРЦТ'!AC36</f>
        <v>180</v>
      </c>
      <c r="H33" s="7">
        <f>'[1]2021 УГРЦТ'!X36</f>
        <v>32415718.690000001</v>
      </c>
      <c r="I33" s="7">
        <f>'[1]2021 УГРЦТ'!Y36</f>
        <v>28188953.699999999</v>
      </c>
      <c r="J33" s="7">
        <f>'[1]2021 УГРЦТ'!Z36</f>
        <v>4226764.9900000021</v>
      </c>
      <c r="K33" s="8">
        <v>0</v>
      </c>
      <c r="L33" s="7">
        <v>234820.25</v>
      </c>
      <c r="M33" s="7"/>
      <c r="N33" s="7">
        <f t="shared" si="0"/>
        <v>2817843</v>
      </c>
      <c r="O33" s="7">
        <f t="shared" si="41"/>
        <v>3991944.7400000021</v>
      </c>
      <c r="P33" s="7">
        <f t="shared" si="155"/>
        <v>3757124.4900000021</v>
      </c>
      <c r="Q33" s="7">
        <f t="shared" si="155"/>
        <v>3522304.2400000021</v>
      </c>
      <c r="R33" s="7">
        <f t="shared" si="155"/>
        <v>3287483.9900000021</v>
      </c>
      <c r="S33" s="7">
        <f t="shared" si="155"/>
        <v>3052663.7400000021</v>
      </c>
      <c r="T33" s="7">
        <f t="shared" si="155"/>
        <v>2817843.4900000021</v>
      </c>
      <c r="U33" s="7">
        <f t="shared" si="155"/>
        <v>2583023.2400000021</v>
      </c>
      <c r="V33" s="7">
        <f t="shared" si="155"/>
        <v>2348202.9900000021</v>
      </c>
      <c r="W33" s="7">
        <f t="shared" si="155"/>
        <v>2113382.7400000021</v>
      </c>
      <c r="X33" s="7">
        <f t="shared" si="155"/>
        <v>1878562.4900000021</v>
      </c>
      <c r="Y33" s="7">
        <f t="shared" si="155"/>
        <v>1643742.2400000021</v>
      </c>
      <c r="Z33" s="7">
        <f t="shared" si="155"/>
        <v>1408921.9900000021</v>
      </c>
      <c r="AA33" s="7"/>
      <c r="AB33" s="7"/>
      <c r="AC33" s="7">
        <f>L33*6+0.49</f>
        <v>1408921.99</v>
      </c>
      <c r="AD33" s="7">
        <f t="shared" si="44"/>
        <v>1174101.7400000021</v>
      </c>
      <c r="AE33" s="7">
        <f t="shared" si="154"/>
        <v>939281.49000000209</v>
      </c>
      <c r="AF33" s="7">
        <f t="shared" si="154"/>
        <v>704461.24000000209</v>
      </c>
      <c r="AG33" s="7">
        <f t="shared" si="154"/>
        <v>469640.99000000209</v>
      </c>
      <c r="AH33" s="7">
        <f t="shared" si="154"/>
        <v>234820.74000000209</v>
      </c>
      <c r="AI33" s="7">
        <f t="shared" si="154"/>
        <v>0.49000000208616257</v>
      </c>
      <c r="AJ33" s="7"/>
      <c r="AK33" s="7"/>
      <c r="AL33" s="7"/>
      <c r="AM33" s="7"/>
      <c r="AN33" s="7"/>
      <c r="AO33" s="7"/>
      <c r="AP33" s="222"/>
      <c r="AQ33" s="7">
        <v>234820.25</v>
      </c>
      <c r="AR33" s="7"/>
      <c r="AS33" s="7"/>
      <c r="BG33" s="236">
        <f t="shared" si="5"/>
        <v>0</v>
      </c>
      <c r="BH33" s="7">
        <v>234820.25</v>
      </c>
      <c r="BV33" s="236">
        <f>IF(Z33&lt;1,0,SUM(BJ33:BU33,BF33)/13*$BG$1)</f>
        <v>0</v>
      </c>
      <c r="BW33" s="7">
        <v>234820.25</v>
      </c>
      <c r="CK33" s="236">
        <f>IF(AO33&lt;1,0,SUM(BY33:CJ33,BU33)/13*$BG$1)</f>
        <v>0</v>
      </c>
      <c r="CL33" s="7">
        <v>234820.25</v>
      </c>
      <c r="CZ33" s="236">
        <f>IF(BF33&lt;1,0,SUM(CN33:CY33,CJ33)/13*$BG$1)</f>
        <v>0</v>
      </c>
    </row>
    <row r="34" spans="1:104" x14ac:dyDescent="0.2">
      <c r="A34" s="6" t="str">
        <f>'[1]2021 УГРЦТ'!A37</f>
        <v>Двигатель ГТД-6РМ №В6-11</v>
      </c>
      <c r="B34" t="str">
        <f>'[1]2021 УГРЦТ'!B37</f>
        <v>00000929</v>
      </c>
      <c r="C34" t="str">
        <f>'[1]2021 УГРЦТ'!C37</f>
        <v>ПРОИЗВОДСТВО</v>
      </c>
      <c r="D34" t="str">
        <f>'[1]2021 УГРЦТ'!D37</f>
        <v>Машины и оборудование (кроме офисного)</v>
      </c>
      <c r="E34" t="str">
        <f>'[1]2021 УГРЦТ'!E37</f>
        <v>30.09.2005</v>
      </c>
      <c r="F34" t="str">
        <f>'[1]2021 УГРЦТ'!F37</f>
        <v>Газотурбинный цех</v>
      </c>
      <c r="G34">
        <f>'[1]2021 УГРЦТ'!AC37</f>
        <v>180</v>
      </c>
      <c r="H34" s="7">
        <f>'[1]2021 УГРЦТ'!X37</f>
        <v>12711864.41</v>
      </c>
      <c r="I34" s="7">
        <f>'[1]2021 УГРЦТ'!Y37</f>
        <v>12146892.827333333</v>
      </c>
      <c r="J34" s="7">
        <f>'[1]2021 УГРЦТ'!Z37</f>
        <v>564971.58266666718</v>
      </c>
      <c r="K34" s="8">
        <v>0</v>
      </c>
      <c r="L34" s="7">
        <v>70621.469999999987</v>
      </c>
      <c r="M34" s="7"/>
      <c r="N34" s="7">
        <f>L34*8-0.18</f>
        <v>564971.57999999984</v>
      </c>
      <c r="O34" s="7">
        <f t="shared" si="41"/>
        <v>494350.11266666721</v>
      </c>
      <c r="P34" s="7">
        <f t="shared" si="155"/>
        <v>423728.64266666723</v>
      </c>
      <c r="Q34" s="7">
        <f t="shared" si="155"/>
        <v>353107.17266666726</v>
      </c>
      <c r="R34" s="7">
        <f t="shared" si="155"/>
        <v>282485.70266666729</v>
      </c>
      <c r="S34" s="7">
        <f t="shared" si="155"/>
        <v>211864.23266666732</v>
      </c>
      <c r="T34" s="7">
        <f t="shared" si="155"/>
        <v>141242.76266666735</v>
      </c>
      <c r="U34" s="7">
        <f t="shared" si="155"/>
        <v>70621.292666667359</v>
      </c>
      <c r="V34" s="7">
        <f>U34-$L34+0.18</f>
        <v>2.6666673726867818E-3</v>
      </c>
      <c r="W34" s="7">
        <v>0</v>
      </c>
      <c r="X34" s="7">
        <v>0</v>
      </c>
      <c r="Y34" s="7">
        <v>0</v>
      </c>
      <c r="Z34" s="7">
        <v>0</v>
      </c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222"/>
      <c r="AQ34" s="7">
        <v>0</v>
      </c>
      <c r="AR34" s="7">
        <f t="shared" si="45"/>
        <v>0</v>
      </c>
      <c r="AS34" s="7">
        <f t="shared" si="46"/>
        <v>0</v>
      </c>
      <c r="BG34" s="236">
        <f t="shared" si="5"/>
        <v>0</v>
      </c>
      <c r="BH34" s="7">
        <v>0</v>
      </c>
      <c r="BV34" s="236">
        <f>IF(Z34&lt;1,0,SUM(BJ34:BU34,BF34)/13*$BG$1)</f>
        <v>0</v>
      </c>
      <c r="BW34" s="7">
        <v>0</v>
      </c>
      <c r="CK34" s="236">
        <f>IF(AO34&lt;1,0,SUM(BY34:CJ34,BU34)/13*$BG$1)</f>
        <v>0</v>
      </c>
      <c r="CL34" s="7">
        <v>0</v>
      </c>
      <c r="CZ34" s="236">
        <f>IF(BF34&lt;1,0,SUM(CN34:CY34,CJ34)/13*$BG$1)</f>
        <v>0</v>
      </c>
    </row>
    <row r="35" spans="1:104" x14ac:dyDescent="0.2">
      <c r="A35" s="6" t="str">
        <f>'[1]2021 УГРЦТ'!A38</f>
        <v>Двигатель ГТД-6РМ №В6-44</v>
      </c>
      <c r="B35" t="str">
        <f>'[1]2021 УГРЦТ'!B38</f>
        <v>000001872</v>
      </c>
      <c r="C35" t="str">
        <f>'[1]2021 УГРЦТ'!C38</f>
        <v>ПРОИЗВОДСТВО</v>
      </c>
      <c r="D35" t="str">
        <f>'[1]2021 УГРЦТ'!D38</f>
        <v>Машины и оборудование (кроме офисного)</v>
      </c>
      <c r="E35" s="4">
        <f>'[1]2021 УГРЦТ'!E38</f>
        <v>44530</v>
      </c>
      <c r="F35" t="str">
        <f>'[1]2021 УГРЦТ'!F38</f>
        <v>Газотурбинный цех</v>
      </c>
      <c r="G35">
        <f>'[1]2021 УГРЦТ'!AC38</f>
        <v>100</v>
      </c>
      <c r="H35" s="7">
        <f>'[1]2021 УГРЦТ'!X38</f>
        <v>5797772.3600000003</v>
      </c>
      <c r="I35" s="7">
        <f>'[1]2021 УГРЦТ'!Y38</f>
        <v>57977.723600000005</v>
      </c>
      <c r="J35" s="7">
        <f>'[1]2021 УГРЦТ'!Z38</f>
        <v>5739794.6364000002</v>
      </c>
      <c r="K35" s="8">
        <v>0</v>
      </c>
      <c r="L35" s="7">
        <v>57977.72</v>
      </c>
      <c r="M35" s="7"/>
      <c r="N35" s="7">
        <f t="shared" si="0"/>
        <v>695732.64</v>
      </c>
      <c r="O35" s="7">
        <f t="shared" si="41"/>
        <v>5681816.9164000005</v>
      </c>
      <c r="P35" s="7">
        <f t="shared" si="155"/>
        <v>5623839.1964000007</v>
      </c>
      <c r="Q35" s="7">
        <f t="shared" si="155"/>
        <v>5565861.476400001</v>
      </c>
      <c r="R35" s="7">
        <f t="shared" si="155"/>
        <v>5507883.7564000012</v>
      </c>
      <c r="S35" s="7">
        <f t="shared" si="155"/>
        <v>5449906.0364000015</v>
      </c>
      <c r="T35" s="7">
        <f t="shared" si="155"/>
        <v>5391928.3164000018</v>
      </c>
      <c r="U35" s="7">
        <f t="shared" si="155"/>
        <v>5333950.596400002</v>
      </c>
      <c r="V35" s="7">
        <f t="shared" si="155"/>
        <v>5275972.8764000023</v>
      </c>
      <c r="W35" s="7">
        <f t="shared" si="155"/>
        <v>5217995.1564000025</v>
      </c>
      <c r="X35" s="7">
        <f t="shared" si="155"/>
        <v>5160017.4364000028</v>
      </c>
      <c r="Y35" s="7">
        <f t="shared" si="155"/>
        <v>5102039.7164000031</v>
      </c>
      <c r="Z35" s="7">
        <f t="shared" si="155"/>
        <v>5044061.9964000033</v>
      </c>
      <c r="AA35" s="7"/>
      <c r="AB35" s="7"/>
      <c r="AC35" s="7">
        <f t="shared" si="43"/>
        <v>695732.64</v>
      </c>
      <c r="AD35" s="7">
        <f t="shared" si="44"/>
        <v>4986084.2764000036</v>
      </c>
      <c r="AE35" s="7">
        <f t="shared" ref="AE35:AO38" si="180">AD35-$L35</f>
        <v>4928106.5564000038</v>
      </c>
      <c r="AF35" s="7">
        <f t="shared" si="180"/>
        <v>4870128.8364000041</v>
      </c>
      <c r="AG35" s="7">
        <f t="shared" si="180"/>
        <v>4812151.1164000044</v>
      </c>
      <c r="AH35" s="7">
        <f t="shared" si="180"/>
        <v>4754173.3964000046</v>
      </c>
      <c r="AI35" s="7">
        <f t="shared" si="180"/>
        <v>4696195.6764000049</v>
      </c>
      <c r="AJ35" s="7">
        <f t="shared" si="180"/>
        <v>4638217.9564000051</v>
      </c>
      <c r="AK35" s="7">
        <f t="shared" si="180"/>
        <v>4580240.2364000054</v>
      </c>
      <c r="AL35" s="7">
        <f t="shared" si="180"/>
        <v>4522262.5164000057</v>
      </c>
      <c r="AM35" s="7">
        <f t="shared" si="180"/>
        <v>4464284.7964000059</v>
      </c>
      <c r="AN35" s="7">
        <f t="shared" si="180"/>
        <v>4406307.0764000062</v>
      </c>
      <c r="AO35" s="7">
        <f t="shared" si="180"/>
        <v>4348329.3564000065</v>
      </c>
      <c r="AP35" s="222"/>
      <c r="AQ35" s="7">
        <v>57977.72</v>
      </c>
      <c r="AR35" s="7">
        <f t="shared" si="45"/>
        <v>57977.719999999739</v>
      </c>
      <c r="AS35" s="7">
        <f t="shared" si="46"/>
        <v>-2.6193447411060333E-10</v>
      </c>
      <c r="AT35" s="7">
        <f t="shared" ref="AT35:AT37" si="181">L35*12</f>
        <v>695732.64</v>
      </c>
      <c r="AU35" s="7">
        <f>AO35-$L35</f>
        <v>4290351.6364000067</v>
      </c>
      <c r="AV35" s="7">
        <f t="shared" ref="AV35:BF38" si="182">AU35-$L35</f>
        <v>4232373.916400007</v>
      </c>
      <c r="AW35" s="7">
        <f t="shared" si="182"/>
        <v>4174396.1964000068</v>
      </c>
      <c r="AX35" s="7">
        <f t="shared" si="182"/>
        <v>4116418.4764000066</v>
      </c>
      <c r="AY35" s="7">
        <f t="shared" si="182"/>
        <v>4058440.7564000064</v>
      </c>
      <c r="AZ35" s="7">
        <f t="shared" si="182"/>
        <v>4000463.0364000062</v>
      </c>
      <c r="BA35" s="7">
        <f t="shared" si="182"/>
        <v>3942485.3164000059</v>
      </c>
      <c r="BB35" s="7">
        <f t="shared" si="182"/>
        <v>3884507.5964000057</v>
      </c>
      <c r="BC35" s="7">
        <f t="shared" si="182"/>
        <v>3826529.8764000055</v>
      </c>
      <c r="BD35" s="7">
        <f t="shared" si="182"/>
        <v>3768552.1564000053</v>
      </c>
      <c r="BE35" s="7">
        <f t="shared" si="182"/>
        <v>3710574.4364000051</v>
      </c>
      <c r="BF35" s="7">
        <f t="shared" si="182"/>
        <v>3652596.7164000049</v>
      </c>
      <c r="BG35" s="236">
        <f t="shared" si="5"/>
        <v>0</v>
      </c>
      <c r="BH35" s="7">
        <v>57977.72</v>
      </c>
      <c r="BI35" s="39">
        <f>BH35*12</f>
        <v>695732.64</v>
      </c>
      <c r="BJ35" s="7">
        <f>BF35-BH35</f>
        <v>3594618.9964000047</v>
      </c>
      <c r="BK35" s="7">
        <f t="shared" ref="BK35:BK37" si="183">BJ35-$L35</f>
        <v>3536641.2764000045</v>
      </c>
      <c r="BL35" s="7">
        <f t="shared" ref="BL35:BL37" si="184">BK35-$L35</f>
        <v>3478663.5564000043</v>
      </c>
      <c r="BM35" s="7">
        <f t="shared" ref="BM35:BM37" si="185">BL35-$L35</f>
        <v>3420685.8364000041</v>
      </c>
      <c r="BN35" s="7">
        <f t="shared" ref="BN35:BN37" si="186">BM35-$L35</f>
        <v>3362708.1164000039</v>
      </c>
      <c r="BO35" s="7">
        <f t="shared" ref="BO35:BO37" si="187">BN35-$L35</f>
        <v>3304730.3964000037</v>
      </c>
      <c r="BP35" s="7">
        <f t="shared" ref="BP35:BP37" si="188">BO35-$L35</f>
        <v>3246752.6764000035</v>
      </c>
      <c r="BQ35" s="7">
        <f t="shared" ref="BQ35:BQ37" si="189">BP35-$L35</f>
        <v>3188774.9564000033</v>
      </c>
      <c r="BR35" s="7">
        <f t="shared" ref="BR35:BR37" si="190">BQ35-$L35</f>
        <v>3130797.2364000031</v>
      </c>
      <c r="BS35" s="7">
        <f t="shared" ref="BS35:BS37" si="191">BR35-$L35</f>
        <v>3072819.5164000029</v>
      </c>
      <c r="BT35" s="7">
        <f t="shared" ref="BT35:BT37" si="192">BS35-$L35</f>
        <v>3014841.7964000027</v>
      </c>
      <c r="BU35" s="7">
        <f t="shared" ref="BU35:BU37" si="193">BT35-$L35</f>
        <v>2956864.0764000025</v>
      </c>
      <c r="BV35" s="236">
        <v>0</v>
      </c>
      <c r="BW35" s="7">
        <v>57977.72</v>
      </c>
      <c r="BX35" s="39">
        <f>BW35*12</f>
        <v>695732.64</v>
      </c>
      <c r="BY35" s="7">
        <f>BU35-BW35</f>
        <v>2898886.3564000023</v>
      </c>
      <c r="BZ35" s="7">
        <f t="shared" ref="BZ35:BZ37" si="194">BY35-$L35</f>
        <v>2840908.6364000021</v>
      </c>
      <c r="CA35" s="7">
        <f t="shared" ref="CA35:CA37" si="195">BZ35-$L35</f>
        <v>2782930.9164000018</v>
      </c>
      <c r="CB35" s="7">
        <f t="shared" ref="CB35:CB37" si="196">CA35-$L35</f>
        <v>2724953.1964000016</v>
      </c>
      <c r="CC35" s="7">
        <f t="shared" ref="CC35:CC37" si="197">CB35-$L35</f>
        <v>2666975.4764000014</v>
      </c>
      <c r="CD35" s="7">
        <f t="shared" ref="CD35:CD37" si="198">CC35-$L35</f>
        <v>2608997.7564000012</v>
      </c>
      <c r="CE35" s="7">
        <f t="shared" ref="CE35:CE37" si="199">CD35-$L35</f>
        <v>2551020.036400001</v>
      </c>
      <c r="CF35" s="7">
        <f t="shared" ref="CF35:CF37" si="200">CE35-$L35</f>
        <v>2493042.3164000008</v>
      </c>
      <c r="CG35" s="7">
        <f t="shared" ref="CG35:CG37" si="201">CF35-$L35</f>
        <v>2435064.5964000006</v>
      </c>
      <c r="CH35" s="7">
        <f t="shared" ref="CH35:CH37" si="202">CG35-$L35</f>
        <v>2377086.8764000004</v>
      </c>
      <c r="CI35" s="7">
        <f t="shared" ref="CI35:CI37" si="203">CH35-$L35</f>
        <v>2319109.1564000002</v>
      </c>
      <c r="CJ35" s="7">
        <f t="shared" ref="CJ35:CJ37" si="204">CI35-$L35</f>
        <v>2261131.4364</v>
      </c>
      <c r="CK35" s="236">
        <v>0</v>
      </c>
      <c r="CL35" s="7">
        <v>57977.72</v>
      </c>
      <c r="CM35" s="39">
        <f>CL35*12</f>
        <v>695732.64</v>
      </c>
      <c r="CN35" s="7">
        <f>CJ35-CL35</f>
        <v>2203153.7163999998</v>
      </c>
      <c r="CO35" s="7">
        <f t="shared" ref="CO35:CO37" si="205">CN35-$L35</f>
        <v>2145175.9963999996</v>
      </c>
      <c r="CP35" s="7">
        <f t="shared" ref="CP35:CP37" si="206">CO35-$L35</f>
        <v>2087198.2763999996</v>
      </c>
      <c r="CQ35" s="7">
        <f t="shared" ref="CQ35:CQ37" si="207">CP35-$L35</f>
        <v>2029220.5563999997</v>
      </c>
      <c r="CR35" s="7">
        <f t="shared" ref="CR35:CR37" si="208">CQ35-$L35</f>
        <v>1971242.8363999997</v>
      </c>
      <c r="CS35" s="7">
        <f t="shared" ref="CS35:CS37" si="209">CR35-$L35</f>
        <v>1913265.1163999997</v>
      </c>
      <c r="CT35" s="7">
        <f t="shared" ref="CT35:CT37" si="210">CS35-$L35</f>
        <v>1855287.3963999997</v>
      </c>
      <c r="CU35" s="7">
        <f t="shared" ref="CU35:CU37" si="211">CT35-$L35</f>
        <v>1797309.6763999998</v>
      </c>
      <c r="CV35" s="7">
        <f t="shared" ref="CV35:CV37" si="212">CU35-$L35</f>
        <v>1739331.9563999998</v>
      </c>
      <c r="CW35" s="7">
        <f t="shared" ref="CW35:CW37" si="213">CV35-$L35</f>
        <v>1681354.2363999998</v>
      </c>
      <c r="CX35" s="7">
        <f t="shared" ref="CX35:CX37" si="214">CW35-$L35</f>
        <v>1623376.5163999998</v>
      </c>
      <c r="CY35" s="7">
        <f t="shared" ref="CY35:CY37" si="215">CX35-$L35</f>
        <v>1565398.7963999999</v>
      </c>
      <c r="CZ35" s="236">
        <v>0</v>
      </c>
    </row>
    <row r="36" spans="1:104" x14ac:dyDescent="0.2">
      <c r="A36" s="6" t="str">
        <f>'[1]2021 УГРЦТ'!A39</f>
        <v>Двигатель ГТД-6РМ №В6-45</v>
      </c>
      <c r="B36" t="str">
        <f>'[1]2021 УГРЦТ'!B39</f>
        <v>000001871</v>
      </c>
      <c r="C36" t="str">
        <f>'[1]2021 УГРЦТ'!C39</f>
        <v>ПРОИЗВОДСТВО</v>
      </c>
      <c r="D36" t="str">
        <f>'[1]2021 УГРЦТ'!D39</f>
        <v>Машины и оборудование (кроме офисного)</v>
      </c>
      <c r="E36" s="4">
        <f>'[1]2021 УГРЦТ'!E39</f>
        <v>44530</v>
      </c>
      <c r="F36" t="str">
        <f>'[1]2021 УГРЦТ'!F39</f>
        <v>Газотурбинный цех</v>
      </c>
      <c r="G36">
        <f>'[1]2021 УГРЦТ'!AC39</f>
        <v>100</v>
      </c>
      <c r="H36" s="7">
        <f>'[1]2021 УГРЦТ'!X39</f>
        <v>5797772.3600000003</v>
      </c>
      <c r="I36" s="7">
        <f>'[1]2021 УГРЦТ'!Y39</f>
        <v>57977.723600000005</v>
      </c>
      <c r="J36" s="7">
        <f>'[1]2021 УГРЦТ'!Z39</f>
        <v>5739794.6364000002</v>
      </c>
      <c r="K36" s="8">
        <v>0</v>
      </c>
      <c r="L36" s="7">
        <v>57977.72</v>
      </c>
      <c r="M36" s="7"/>
      <c r="N36" s="7">
        <f t="shared" si="0"/>
        <v>695732.64</v>
      </c>
      <c r="O36" s="7">
        <f t="shared" si="41"/>
        <v>5681816.9164000005</v>
      </c>
      <c r="P36" s="7">
        <f t="shared" si="155"/>
        <v>5623839.1964000007</v>
      </c>
      <c r="Q36" s="7">
        <f t="shared" si="155"/>
        <v>5565861.476400001</v>
      </c>
      <c r="R36" s="7">
        <f t="shared" si="155"/>
        <v>5507883.7564000012</v>
      </c>
      <c r="S36" s="7">
        <f t="shared" si="155"/>
        <v>5449906.0364000015</v>
      </c>
      <c r="T36" s="7">
        <f t="shared" si="155"/>
        <v>5391928.3164000018</v>
      </c>
      <c r="U36" s="7">
        <f t="shared" si="155"/>
        <v>5333950.596400002</v>
      </c>
      <c r="V36" s="7">
        <f t="shared" si="155"/>
        <v>5275972.8764000023</v>
      </c>
      <c r="W36" s="7">
        <f t="shared" si="155"/>
        <v>5217995.1564000025</v>
      </c>
      <c r="X36" s="7">
        <f t="shared" si="155"/>
        <v>5160017.4364000028</v>
      </c>
      <c r="Y36" s="7">
        <f t="shared" si="155"/>
        <v>5102039.7164000031</v>
      </c>
      <c r="Z36" s="7">
        <f t="shared" si="155"/>
        <v>5044061.9964000033</v>
      </c>
      <c r="AA36" s="7"/>
      <c r="AB36" s="7"/>
      <c r="AC36" s="7">
        <f t="shared" si="43"/>
        <v>695732.64</v>
      </c>
      <c r="AD36" s="7">
        <f t="shared" si="44"/>
        <v>4986084.2764000036</v>
      </c>
      <c r="AE36" s="7">
        <f t="shared" si="180"/>
        <v>4928106.5564000038</v>
      </c>
      <c r="AF36" s="7">
        <f t="shared" si="180"/>
        <v>4870128.8364000041</v>
      </c>
      <c r="AG36" s="7">
        <f t="shared" si="180"/>
        <v>4812151.1164000044</v>
      </c>
      <c r="AH36" s="7">
        <f t="shared" si="180"/>
        <v>4754173.3964000046</v>
      </c>
      <c r="AI36" s="7">
        <f t="shared" si="180"/>
        <v>4696195.6764000049</v>
      </c>
      <c r="AJ36" s="7">
        <f t="shared" si="180"/>
        <v>4638217.9564000051</v>
      </c>
      <c r="AK36" s="7">
        <f t="shared" si="180"/>
        <v>4580240.2364000054</v>
      </c>
      <c r="AL36" s="7">
        <f t="shared" si="180"/>
        <v>4522262.5164000057</v>
      </c>
      <c r="AM36" s="7">
        <f t="shared" si="180"/>
        <v>4464284.7964000059</v>
      </c>
      <c r="AN36" s="7">
        <f t="shared" si="180"/>
        <v>4406307.0764000062</v>
      </c>
      <c r="AO36" s="7">
        <f t="shared" si="180"/>
        <v>4348329.3564000065</v>
      </c>
      <c r="AP36" s="222"/>
      <c r="AQ36" s="7">
        <v>57977.72</v>
      </c>
      <c r="AR36" s="7">
        <f t="shared" si="45"/>
        <v>57977.719999999739</v>
      </c>
      <c r="AS36" s="7">
        <f t="shared" si="46"/>
        <v>-2.6193447411060333E-10</v>
      </c>
      <c r="AT36" s="7">
        <f t="shared" si="181"/>
        <v>695732.64</v>
      </c>
      <c r="AU36" s="7">
        <f>AO36-$L36</f>
        <v>4290351.6364000067</v>
      </c>
      <c r="AV36" s="7">
        <f t="shared" si="182"/>
        <v>4232373.916400007</v>
      </c>
      <c r="AW36" s="7">
        <f t="shared" si="182"/>
        <v>4174396.1964000068</v>
      </c>
      <c r="AX36" s="7">
        <f t="shared" si="182"/>
        <v>4116418.4764000066</v>
      </c>
      <c r="AY36" s="7">
        <f t="shared" si="182"/>
        <v>4058440.7564000064</v>
      </c>
      <c r="AZ36" s="7">
        <f t="shared" si="182"/>
        <v>4000463.0364000062</v>
      </c>
      <c r="BA36" s="7">
        <f t="shared" si="182"/>
        <v>3942485.3164000059</v>
      </c>
      <c r="BB36" s="7">
        <f t="shared" si="182"/>
        <v>3884507.5964000057</v>
      </c>
      <c r="BC36" s="7">
        <f t="shared" si="182"/>
        <v>3826529.8764000055</v>
      </c>
      <c r="BD36" s="7">
        <f t="shared" si="182"/>
        <v>3768552.1564000053</v>
      </c>
      <c r="BE36" s="7">
        <f t="shared" si="182"/>
        <v>3710574.4364000051</v>
      </c>
      <c r="BF36" s="7">
        <f t="shared" si="182"/>
        <v>3652596.7164000049</v>
      </c>
      <c r="BG36" s="236">
        <f t="shared" si="5"/>
        <v>0</v>
      </c>
      <c r="BH36" s="7">
        <v>57977.72</v>
      </c>
      <c r="BI36" s="39">
        <f>BH36*12</f>
        <v>695732.64</v>
      </c>
      <c r="BJ36" s="7">
        <f>BF36-BH36</f>
        <v>3594618.9964000047</v>
      </c>
      <c r="BK36" s="7">
        <f t="shared" si="183"/>
        <v>3536641.2764000045</v>
      </c>
      <c r="BL36" s="7">
        <f t="shared" si="184"/>
        <v>3478663.5564000043</v>
      </c>
      <c r="BM36" s="7">
        <f t="shared" si="185"/>
        <v>3420685.8364000041</v>
      </c>
      <c r="BN36" s="7">
        <f t="shared" si="186"/>
        <v>3362708.1164000039</v>
      </c>
      <c r="BO36" s="7">
        <f t="shared" si="187"/>
        <v>3304730.3964000037</v>
      </c>
      <c r="BP36" s="7">
        <f t="shared" si="188"/>
        <v>3246752.6764000035</v>
      </c>
      <c r="BQ36" s="7">
        <f t="shared" si="189"/>
        <v>3188774.9564000033</v>
      </c>
      <c r="BR36" s="7">
        <f t="shared" si="190"/>
        <v>3130797.2364000031</v>
      </c>
      <c r="BS36" s="7">
        <f t="shared" si="191"/>
        <v>3072819.5164000029</v>
      </c>
      <c r="BT36" s="7">
        <f t="shared" si="192"/>
        <v>3014841.7964000027</v>
      </c>
      <c r="BU36" s="7">
        <f t="shared" si="193"/>
        <v>2956864.0764000025</v>
      </c>
      <c r="BV36" s="236">
        <v>0</v>
      </c>
      <c r="BW36" s="7">
        <v>57977.72</v>
      </c>
      <c r="BX36" s="39">
        <f>BW36*12</f>
        <v>695732.64</v>
      </c>
      <c r="BY36" s="7">
        <f>BU36-BW36</f>
        <v>2898886.3564000023</v>
      </c>
      <c r="BZ36" s="7">
        <f t="shared" si="194"/>
        <v>2840908.6364000021</v>
      </c>
      <c r="CA36" s="7">
        <f t="shared" si="195"/>
        <v>2782930.9164000018</v>
      </c>
      <c r="CB36" s="7">
        <f t="shared" si="196"/>
        <v>2724953.1964000016</v>
      </c>
      <c r="CC36" s="7">
        <f t="shared" si="197"/>
        <v>2666975.4764000014</v>
      </c>
      <c r="CD36" s="7">
        <f t="shared" si="198"/>
        <v>2608997.7564000012</v>
      </c>
      <c r="CE36" s="7">
        <f t="shared" si="199"/>
        <v>2551020.036400001</v>
      </c>
      <c r="CF36" s="7">
        <f t="shared" si="200"/>
        <v>2493042.3164000008</v>
      </c>
      <c r="CG36" s="7">
        <f t="shared" si="201"/>
        <v>2435064.5964000006</v>
      </c>
      <c r="CH36" s="7">
        <f t="shared" si="202"/>
        <v>2377086.8764000004</v>
      </c>
      <c r="CI36" s="7">
        <f t="shared" si="203"/>
        <v>2319109.1564000002</v>
      </c>
      <c r="CJ36" s="7">
        <f t="shared" si="204"/>
        <v>2261131.4364</v>
      </c>
      <c r="CK36" s="236">
        <v>0</v>
      </c>
      <c r="CL36" s="7">
        <v>57977.72</v>
      </c>
      <c r="CM36" s="39">
        <f>CL36*12</f>
        <v>695732.64</v>
      </c>
      <c r="CN36" s="7">
        <f>CJ36-CL36</f>
        <v>2203153.7163999998</v>
      </c>
      <c r="CO36" s="7">
        <f t="shared" si="205"/>
        <v>2145175.9963999996</v>
      </c>
      <c r="CP36" s="7">
        <f t="shared" si="206"/>
        <v>2087198.2763999996</v>
      </c>
      <c r="CQ36" s="7">
        <f t="shared" si="207"/>
        <v>2029220.5563999997</v>
      </c>
      <c r="CR36" s="7">
        <f t="shared" si="208"/>
        <v>1971242.8363999997</v>
      </c>
      <c r="CS36" s="7">
        <f t="shared" si="209"/>
        <v>1913265.1163999997</v>
      </c>
      <c r="CT36" s="7">
        <f t="shared" si="210"/>
        <v>1855287.3963999997</v>
      </c>
      <c r="CU36" s="7">
        <f t="shared" si="211"/>
        <v>1797309.6763999998</v>
      </c>
      <c r="CV36" s="7">
        <f t="shared" si="212"/>
        <v>1739331.9563999998</v>
      </c>
      <c r="CW36" s="7">
        <f t="shared" si="213"/>
        <v>1681354.2363999998</v>
      </c>
      <c r="CX36" s="7">
        <f t="shared" si="214"/>
        <v>1623376.5163999998</v>
      </c>
      <c r="CY36" s="7">
        <f t="shared" si="215"/>
        <v>1565398.7963999999</v>
      </c>
      <c r="CZ36" s="236">
        <v>0</v>
      </c>
    </row>
    <row r="37" spans="1:104" x14ac:dyDescent="0.2">
      <c r="A37" s="6" t="str">
        <f>'[1]2021 УГРЦТ'!A40</f>
        <v>Двигатель ГТД-6РМ №В6-47</v>
      </c>
      <c r="B37" t="str">
        <f>'[1]2021 УГРЦТ'!B40</f>
        <v>000001870</v>
      </c>
      <c r="C37" t="str">
        <f>'[1]2021 УГРЦТ'!C40</f>
        <v>ПРОИЗВОДСТВО</v>
      </c>
      <c r="D37" t="str">
        <f>'[1]2021 УГРЦТ'!D40</f>
        <v>Машины и оборудование (кроме офисного)</v>
      </c>
      <c r="E37" s="4">
        <f>'[1]2021 УГРЦТ'!E40</f>
        <v>44530</v>
      </c>
      <c r="F37" t="str">
        <f>'[1]2021 УГРЦТ'!F40</f>
        <v>Газотурбинный цех</v>
      </c>
      <c r="G37">
        <f>'[1]2021 УГРЦТ'!AC40</f>
        <v>100</v>
      </c>
      <c r="H37" s="7">
        <f>'[1]2021 УГРЦТ'!X40</f>
        <v>5797772.3600000003</v>
      </c>
      <c r="I37" s="7">
        <f>'[1]2021 УГРЦТ'!Y40</f>
        <v>57977.723600000005</v>
      </c>
      <c r="J37" s="7">
        <f>'[1]2021 УГРЦТ'!Z40</f>
        <v>5739794.6364000002</v>
      </c>
      <c r="K37" s="8">
        <v>0</v>
      </c>
      <c r="L37" s="7">
        <v>57977.72</v>
      </c>
      <c r="M37" s="7"/>
      <c r="N37" s="7">
        <f t="shared" si="0"/>
        <v>695732.64</v>
      </c>
      <c r="O37" s="7">
        <f t="shared" si="41"/>
        <v>5681816.9164000005</v>
      </c>
      <c r="P37" s="7">
        <f t="shared" ref="P37:Z52" si="216">O37-$L37</f>
        <v>5623839.1964000007</v>
      </c>
      <c r="Q37" s="7">
        <f t="shared" si="216"/>
        <v>5565861.476400001</v>
      </c>
      <c r="R37" s="7">
        <f t="shared" si="216"/>
        <v>5507883.7564000012</v>
      </c>
      <c r="S37" s="7">
        <f t="shared" si="216"/>
        <v>5449906.0364000015</v>
      </c>
      <c r="T37" s="7">
        <f t="shared" si="216"/>
        <v>5391928.3164000018</v>
      </c>
      <c r="U37" s="7">
        <f t="shared" si="216"/>
        <v>5333950.596400002</v>
      </c>
      <c r="V37" s="7">
        <f t="shared" si="216"/>
        <v>5275972.8764000023</v>
      </c>
      <c r="W37" s="7">
        <f t="shared" si="216"/>
        <v>5217995.1564000025</v>
      </c>
      <c r="X37" s="7">
        <f t="shared" si="216"/>
        <v>5160017.4364000028</v>
      </c>
      <c r="Y37" s="7">
        <f t="shared" si="216"/>
        <v>5102039.7164000031</v>
      </c>
      <c r="Z37" s="7">
        <f t="shared" si="216"/>
        <v>5044061.9964000033</v>
      </c>
      <c r="AA37" s="7"/>
      <c r="AB37" s="7"/>
      <c r="AC37" s="7">
        <f t="shared" si="43"/>
        <v>695732.64</v>
      </c>
      <c r="AD37" s="7">
        <f t="shared" si="44"/>
        <v>4986084.2764000036</v>
      </c>
      <c r="AE37" s="7">
        <f t="shared" si="180"/>
        <v>4928106.5564000038</v>
      </c>
      <c r="AF37" s="7">
        <f t="shared" si="180"/>
        <v>4870128.8364000041</v>
      </c>
      <c r="AG37" s="7">
        <f t="shared" si="180"/>
        <v>4812151.1164000044</v>
      </c>
      <c r="AH37" s="7">
        <f t="shared" si="180"/>
        <v>4754173.3964000046</v>
      </c>
      <c r="AI37" s="7">
        <f t="shared" si="180"/>
        <v>4696195.6764000049</v>
      </c>
      <c r="AJ37" s="7">
        <f t="shared" si="180"/>
        <v>4638217.9564000051</v>
      </c>
      <c r="AK37" s="7">
        <f t="shared" si="180"/>
        <v>4580240.2364000054</v>
      </c>
      <c r="AL37" s="7">
        <f t="shared" si="180"/>
        <v>4522262.5164000057</v>
      </c>
      <c r="AM37" s="7">
        <f t="shared" si="180"/>
        <v>4464284.7964000059</v>
      </c>
      <c r="AN37" s="7">
        <f t="shared" si="180"/>
        <v>4406307.0764000062</v>
      </c>
      <c r="AO37" s="7">
        <f t="shared" si="180"/>
        <v>4348329.3564000065</v>
      </c>
      <c r="AP37" s="222"/>
      <c r="AQ37" s="7">
        <v>57977.72</v>
      </c>
      <c r="AR37" s="7">
        <f t="shared" si="45"/>
        <v>57977.719999999739</v>
      </c>
      <c r="AS37" s="7">
        <f t="shared" si="46"/>
        <v>-2.6193447411060333E-10</v>
      </c>
      <c r="AT37" s="7">
        <f t="shared" si="181"/>
        <v>695732.64</v>
      </c>
      <c r="AU37" s="7">
        <f>AO37-$L37</f>
        <v>4290351.6364000067</v>
      </c>
      <c r="AV37" s="7">
        <f t="shared" si="182"/>
        <v>4232373.916400007</v>
      </c>
      <c r="AW37" s="7">
        <f t="shared" si="182"/>
        <v>4174396.1964000068</v>
      </c>
      <c r="AX37" s="7">
        <f t="shared" si="182"/>
        <v>4116418.4764000066</v>
      </c>
      <c r="AY37" s="7">
        <f t="shared" si="182"/>
        <v>4058440.7564000064</v>
      </c>
      <c r="AZ37" s="7">
        <f t="shared" si="182"/>
        <v>4000463.0364000062</v>
      </c>
      <c r="BA37" s="7">
        <f t="shared" si="182"/>
        <v>3942485.3164000059</v>
      </c>
      <c r="BB37" s="7">
        <f t="shared" si="182"/>
        <v>3884507.5964000057</v>
      </c>
      <c r="BC37" s="7">
        <f t="shared" si="182"/>
        <v>3826529.8764000055</v>
      </c>
      <c r="BD37" s="7">
        <f t="shared" si="182"/>
        <v>3768552.1564000053</v>
      </c>
      <c r="BE37" s="7">
        <f t="shared" si="182"/>
        <v>3710574.4364000051</v>
      </c>
      <c r="BF37" s="7">
        <f t="shared" si="182"/>
        <v>3652596.7164000049</v>
      </c>
      <c r="BG37" s="236">
        <f t="shared" si="5"/>
        <v>0</v>
      </c>
      <c r="BH37" s="7">
        <v>57977.72</v>
      </c>
      <c r="BI37" s="39">
        <f>BH37*12</f>
        <v>695732.64</v>
      </c>
      <c r="BJ37" s="7">
        <f>BF37-BH37</f>
        <v>3594618.9964000047</v>
      </c>
      <c r="BK37" s="7">
        <f t="shared" si="183"/>
        <v>3536641.2764000045</v>
      </c>
      <c r="BL37" s="7">
        <f t="shared" si="184"/>
        <v>3478663.5564000043</v>
      </c>
      <c r="BM37" s="7">
        <f t="shared" si="185"/>
        <v>3420685.8364000041</v>
      </c>
      <c r="BN37" s="7">
        <f t="shared" si="186"/>
        <v>3362708.1164000039</v>
      </c>
      <c r="BO37" s="7">
        <f t="shared" si="187"/>
        <v>3304730.3964000037</v>
      </c>
      <c r="BP37" s="7">
        <f t="shared" si="188"/>
        <v>3246752.6764000035</v>
      </c>
      <c r="BQ37" s="7">
        <f t="shared" si="189"/>
        <v>3188774.9564000033</v>
      </c>
      <c r="BR37" s="7">
        <f t="shared" si="190"/>
        <v>3130797.2364000031</v>
      </c>
      <c r="BS37" s="7">
        <f t="shared" si="191"/>
        <v>3072819.5164000029</v>
      </c>
      <c r="BT37" s="7">
        <f t="shared" si="192"/>
        <v>3014841.7964000027</v>
      </c>
      <c r="BU37" s="7">
        <f t="shared" si="193"/>
        <v>2956864.0764000025</v>
      </c>
      <c r="BV37" s="236">
        <v>0</v>
      </c>
      <c r="BW37" s="7">
        <v>57977.72</v>
      </c>
      <c r="BX37" s="39">
        <f>BW37*12</f>
        <v>695732.64</v>
      </c>
      <c r="BY37" s="7">
        <f>BU37-BW37</f>
        <v>2898886.3564000023</v>
      </c>
      <c r="BZ37" s="7">
        <f t="shared" si="194"/>
        <v>2840908.6364000021</v>
      </c>
      <c r="CA37" s="7">
        <f t="shared" si="195"/>
        <v>2782930.9164000018</v>
      </c>
      <c r="CB37" s="7">
        <f t="shared" si="196"/>
        <v>2724953.1964000016</v>
      </c>
      <c r="CC37" s="7">
        <f t="shared" si="197"/>
        <v>2666975.4764000014</v>
      </c>
      <c r="CD37" s="7">
        <f t="shared" si="198"/>
        <v>2608997.7564000012</v>
      </c>
      <c r="CE37" s="7">
        <f t="shared" si="199"/>
        <v>2551020.036400001</v>
      </c>
      <c r="CF37" s="7">
        <f t="shared" si="200"/>
        <v>2493042.3164000008</v>
      </c>
      <c r="CG37" s="7">
        <f t="shared" si="201"/>
        <v>2435064.5964000006</v>
      </c>
      <c r="CH37" s="7">
        <f t="shared" si="202"/>
        <v>2377086.8764000004</v>
      </c>
      <c r="CI37" s="7">
        <f t="shared" si="203"/>
        <v>2319109.1564000002</v>
      </c>
      <c r="CJ37" s="7">
        <f t="shared" si="204"/>
        <v>2261131.4364</v>
      </c>
      <c r="CK37" s="236">
        <v>0</v>
      </c>
      <c r="CL37" s="7">
        <v>57977.72</v>
      </c>
      <c r="CM37" s="39">
        <f>CL37*12</f>
        <v>695732.64</v>
      </c>
      <c r="CN37" s="7">
        <f>CJ37-CL37</f>
        <v>2203153.7163999998</v>
      </c>
      <c r="CO37" s="7">
        <f t="shared" si="205"/>
        <v>2145175.9963999996</v>
      </c>
      <c r="CP37" s="7">
        <f t="shared" si="206"/>
        <v>2087198.2763999996</v>
      </c>
      <c r="CQ37" s="7">
        <f t="shared" si="207"/>
        <v>2029220.5563999997</v>
      </c>
      <c r="CR37" s="7">
        <f t="shared" si="208"/>
        <v>1971242.8363999997</v>
      </c>
      <c r="CS37" s="7">
        <f t="shared" si="209"/>
        <v>1913265.1163999997</v>
      </c>
      <c r="CT37" s="7">
        <f t="shared" si="210"/>
        <v>1855287.3963999997</v>
      </c>
      <c r="CU37" s="7">
        <f t="shared" si="211"/>
        <v>1797309.6763999998</v>
      </c>
      <c r="CV37" s="7">
        <f t="shared" si="212"/>
        <v>1739331.9563999998</v>
      </c>
      <c r="CW37" s="7">
        <f t="shared" si="213"/>
        <v>1681354.2363999998</v>
      </c>
      <c r="CX37" s="7">
        <f t="shared" si="214"/>
        <v>1623376.5163999998</v>
      </c>
      <c r="CY37" s="7">
        <f t="shared" si="215"/>
        <v>1565398.7963999999</v>
      </c>
      <c r="CZ37" s="236">
        <v>0</v>
      </c>
    </row>
    <row r="38" spans="1:104" x14ac:dyDescent="0.2">
      <c r="A38" s="6" t="str">
        <f>'[1]2021 УГРЦТ'!A41</f>
        <v>Двигатель ГТД-6РМ зав. №В6-69 на раме №163-069</v>
      </c>
      <c r="B38" t="str">
        <f>'[1]2021 УГРЦТ'!B41</f>
        <v>000001566</v>
      </c>
      <c r="C38" t="str">
        <f>'[1]2021 УГРЦТ'!C41</f>
        <v>ПРОИЗВОДСТВО</v>
      </c>
      <c r="D38" t="str">
        <f>'[1]2021 УГРЦТ'!D41</f>
        <v>Машины и оборудование (кроме офисного)</v>
      </c>
      <c r="E38" t="str">
        <f>'[1]2021 УГРЦТ'!E41</f>
        <v>30.11.2013</v>
      </c>
      <c r="F38" t="str">
        <f>'[1]2021 УГРЦТ'!F41</f>
        <v>Газотурбинный цех</v>
      </c>
      <c r="G38">
        <f>'[1]2021 УГРЦТ'!AC41</f>
        <v>120</v>
      </c>
      <c r="H38" s="7">
        <f>'[1]2021 УГРЦТ'!X41</f>
        <v>35115893.210000001</v>
      </c>
      <c r="I38" s="7">
        <f>'[1]2021 УГРЦТ'!Y41</f>
        <v>27507449.400999997</v>
      </c>
      <c r="J38" s="7">
        <f>'[1]2021 УГРЦТ'!Z41</f>
        <v>7608443.8090000041</v>
      </c>
      <c r="K38" s="8">
        <v>0</v>
      </c>
      <c r="L38" s="7">
        <v>292632.44</v>
      </c>
      <c r="M38" s="7"/>
      <c r="N38" s="7">
        <f t="shared" si="0"/>
        <v>3511589.2800000003</v>
      </c>
      <c r="O38" s="7">
        <f t="shared" si="41"/>
        <v>7315811.3690000037</v>
      </c>
      <c r="P38" s="7">
        <f t="shared" si="216"/>
        <v>7023178.9290000033</v>
      </c>
      <c r="Q38" s="7">
        <f t="shared" si="216"/>
        <v>6730546.4890000029</v>
      </c>
      <c r="R38" s="7">
        <f t="shared" si="216"/>
        <v>6437914.0490000024</v>
      </c>
      <c r="S38" s="7">
        <f t="shared" si="216"/>
        <v>6145281.609000002</v>
      </c>
      <c r="T38" s="7">
        <f t="shared" si="216"/>
        <v>5852649.1690000016</v>
      </c>
      <c r="U38" s="7">
        <f t="shared" si="216"/>
        <v>5560016.7290000012</v>
      </c>
      <c r="V38" s="7">
        <f t="shared" si="216"/>
        <v>5267384.2890000008</v>
      </c>
      <c r="W38" s="7">
        <f t="shared" si="216"/>
        <v>4974751.8490000004</v>
      </c>
      <c r="X38" s="7">
        <f t="shared" si="216"/>
        <v>4682119.409</v>
      </c>
      <c r="Y38" s="7">
        <f t="shared" si="216"/>
        <v>4389486.9689999996</v>
      </c>
      <c r="Z38" s="7">
        <f t="shared" si="216"/>
        <v>4096854.5289999996</v>
      </c>
      <c r="AA38" s="7"/>
      <c r="AB38" s="7"/>
      <c r="AC38" s="7">
        <f t="shared" si="43"/>
        <v>3511589.2800000003</v>
      </c>
      <c r="AD38" s="7">
        <f t="shared" si="44"/>
        <v>3804222.0889999997</v>
      </c>
      <c r="AE38" s="7">
        <f t="shared" si="180"/>
        <v>3511589.6489999997</v>
      </c>
      <c r="AF38" s="7">
        <f t="shared" si="180"/>
        <v>3218957.2089999998</v>
      </c>
      <c r="AG38" s="7">
        <f t="shared" si="180"/>
        <v>2926324.7689999999</v>
      </c>
      <c r="AH38" s="7">
        <f t="shared" si="180"/>
        <v>2633692.3289999999</v>
      </c>
      <c r="AI38" s="7">
        <f t="shared" si="180"/>
        <v>2341059.889</v>
      </c>
      <c r="AJ38" s="7">
        <f t="shared" si="180"/>
        <v>2048427.449</v>
      </c>
      <c r="AK38" s="7">
        <f t="shared" si="180"/>
        <v>1755795.0090000001</v>
      </c>
      <c r="AL38" s="7">
        <f t="shared" si="180"/>
        <v>1463162.5690000001</v>
      </c>
      <c r="AM38" s="7">
        <f t="shared" si="180"/>
        <v>1170530.1290000002</v>
      </c>
      <c r="AN38" s="7">
        <f t="shared" si="180"/>
        <v>877897.68900000025</v>
      </c>
      <c r="AO38" s="7">
        <f t="shared" si="180"/>
        <v>585265.2490000003</v>
      </c>
      <c r="AP38" s="222"/>
      <c r="AQ38" s="7">
        <v>292632.44</v>
      </c>
      <c r="AR38" s="7">
        <f t="shared" si="45"/>
        <v>292632.43999999994</v>
      </c>
      <c r="AS38" s="7">
        <f t="shared" si="46"/>
        <v>0</v>
      </c>
      <c r="AT38" s="7">
        <f>L38*2+0.37</f>
        <v>585265.25</v>
      </c>
      <c r="AU38" s="7">
        <f>AO38-$L38</f>
        <v>292632.8090000003</v>
      </c>
      <c r="AV38" s="7">
        <f t="shared" si="182"/>
        <v>0.3690000002970919</v>
      </c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236">
        <f t="shared" si="5"/>
        <v>0</v>
      </c>
      <c r="BH38" s="7">
        <v>292632.44</v>
      </c>
      <c r="BI38" s="39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236">
        <f>IF(Z38&lt;1,0,SUM(BJ38:BU38,BF38)/13*$BG$1)</f>
        <v>0</v>
      </c>
      <c r="BW38" s="7">
        <v>292632.44</v>
      </c>
      <c r="BX38" s="39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236">
        <f>IF(AO38&lt;1,0,SUM(BY38:CJ38,BU38)/13*$BG$1)</f>
        <v>0</v>
      </c>
      <c r="CL38" s="7">
        <v>292632.44</v>
      </c>
      <c r="CM38" s="39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236">
        <f>IF(BF38&lt;1,0,SUM(CN38:CY38,CJ38)/13*$BG$1)</f>
        <v>0</v>
      </c>
    </row>
    <row r="39" spans="1:104" ht="22.5" x14ac:dyDescent="0.2">
      <c r="A39" s="179" t="str">
        <f>'[1]2021 УГРЦТ'!A42</f>
        <v>Дизель электростанция ДЭС электроснабжение объекта "Ненецкая СББЖ г.Нарьян-Мара"</v>
      </c>
      <c r="B39" s="180" t="str">
        <f>'[1]2021 УГРЦТ'!B42</f>
        <v>000001669</v>
      </c>
      <c r="C39" s="180" t="str">
        <f>'[1]2021 УГРЦТ'!C42</f>
        <v>ПРОИЗВОДСТВО</v>
      </c>
      <c r="D39" s="180" t="str">
        <f>'[1]2021 УГРЦТ'!D42</f>
        <v>Машины и оборудование (кроме офисного)</v>
      </c>
      <c r="E39" s="180" t="str">
        <f>'[1]2021 УГРЦТ'!E42</f>
        <v>31.12.2015</v>
      </c>
      <c r="F39" s="180" t="str">
        <f>'[1]2021 УГРЦТ'!F42</f>
        <v>Тепломеханический цех</v>
      </c>
      <c r="G39" s="180">
        <f>'[1]2021 УГРЦТ'!AC42</f>
        <v>84</v>
      </c>
      <c r="H39" s="181">
        <f>'[1]2021 УГРЦТ'!X42</f>
        <v>2404272.6</v>
      </c>
      <c r="I39" s="181">
        <f>'[1]2021 УГРЦТ'!Y42</f>
        <v>2060804.9142857143</v>
      </c>
      <c r="J39" s="181">
        <f>'[1]2021 УГРЦТ'!Z42</f>
        <v>343467.68571428582</v>
      </c>
      <c r="K39" s="182">
        <v>0</v>
      </c>
      <c r="L39" s="181">
        <v>28622.289999999997</v>
      </c>
      <c r="M39" s="181"/>
      <c r="N39" s="181">
        <f t="shared" si="0"/>
        <v>343467.48</v>
      </c>
      <c r="O39" s="7">
        <f t="shared" si="41"/>
        <v>314845.39571428584</v>
      </c>
      <c r="P39" s="7">
        <f t="shared" si="216"/>
        <v>286223.10571428586</v>
      </c>
      <c r="Q39" s="7">
        <f t="shared" si="216"/>
        <v>257600.81571428585</v>
      </c>
      <c r="R39" s="7">
        <f t="shared" si="216"/>
        <v>228978.52571428585</v>
      </c>
      <c r="S39" s="7">
        <f t="shared" si="216"/>
        <v>200356.23571428584</v>
      </c>
      <c r="T39" s="7">
        <f t="shared" si="216"/>
        <v>171733.94571428583</v>
      </c>
      <c r="U39" s="7">
        <f t="shared" si="216"/>
        <v>143111.65571428582</v>
      </c>
      <c r="V39" s="7">
        <f t="shared" si="216"/>
        <v>114489.36571428583</v>
      </c>
      <c r="W39" s="7">
        <f t="shared" si="216"/>
        <v>85867.075714285835</v>
      </c>
      <c r="X39" s="7">
        <f t="shared" si="216"/>
        <v>57244.785714285841</v>
      </c>
      <c r="Y39" s="7">
        <f t="shared" si="216"/>
        <v>28622.495714285844</v>
      </c>
      <c r="Z39" s="7">
        <f t="shared" si="216"/>
        <v>0.20571428584662499</v>
      </c>
      <c r="AA39" s="7"/>
      <c r="AB39" s="7"/>
      <c r="AC39" s="7">
        <f>L39*0+0.21</f>
        <v>0.21</v>
      </c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222"/>
      <c r="AQ39" s="7">
        <v>0</v>
      </c>
      <c r="AR39" s="7">
        <f t="shared" si="45"/>
        <v>0</v>
      </c>
      <c r="AS39" s="7">
        <f t="shared" si="46"/>
        <v>0</v>
      </c>
      <c r="BG39" s="236">
        <f t="shared" si="5"/>
        <v>0</v>
      </c>
      <c r="BH39" s="7">
        <v>0</v>
      </c>
      <c r="BV39" s="236">
        <f>IF(Z39&lt;1,0,SUM(BJ39:BU39,BF39)/13*$BG$1)</f>
        <v>0</v>
      </c>
      <c r="BW39" s="7">
        <v>0</v>
      </c>
      <c r="CK39" s="236">
        <f>IF(AO39&lt;1,0,SUM(BY39:CJ39,BU39)/13*$BG$1)</f>
        <v>0</v>
      </c>
      <c r="CL39" s="7">
        <v>0</v>
      </c>
      <c r="CZ39" s="236">
        <f>IF(BF39&lt;1,0,SUM(CN39:CY39,CJ39)/13*$BG$1)</f>
        <v>0</v>
      </c>
    </row>
    <row r="40" spans="1:104" s="180" customFormat="1" x14ac:dyDescent="0.2">
      <c r="A40" s="179" t="str">
        <f>'[1]2021 УГРЦТ'!A43</f>
        <v>Дизель-генератор ДГР 630/1000 с пневмопуском 2009г</v>
      </c>
      <c r="B40" s="180" t="str">
        <f>'[1]2021 УГРЦТ'!B43</f>
        <v>00001109</v>
      </c>
      <c r="C40" s="180" t="str">
        <f>'[1]2021 УГРЦТ'!C43</f>
        <v>ПРОИЗВОДСТВО</v>
      </c>
      <c r="D40" s="180" t="str">
        <f>'[1]2021 УГРЦТ'!D43</f>
        <v>Машины и оборудование (кроме офисного)</v>
      </c>
      <c r="E40" s="180" t="str">
        <f>'[1]2021 УГРЦТ'!E43</f>
        <v>31.01.2009</v>
      </c>
      <c r="F40" s="180" t="str">
        <f>'[1]2021 УГРЦТ'!F43</f>
        <v>Тепломеханический цех</v>
      </c>
      <c r="G40" s="180">
        <f>'[1]2021 УГРЦТ'!AC43</f>
        <v>180</v>
      </c>
      <c r="H40" s="181">
        <f>'[1]2021 УГРЦТ'!X43</f>
        <v>9872012.8699999992</v>
      </c>
      <c r="I40" s="181">
        <f>'[1]2021 УГРЦТ'!Y43</f>
        <v>8288289.1699999999</v>
      </c>
      <c r="J40" s="181">
        <f>'[1]2021 УГРЦТ'!Z43</f>
        <v>1583723.6999999993</v>
      </c>
      <c r="K40" s="182">
        <v>0</v>
      </c>
      <c r="L40" s="181">
        <v>64753.660000000025</v>
      </c>
      <c r="M40" s="181"/>
      <c r="N40" s="181">
        <f t="shared" si="0"/>
        <v>777043.92000000027</v>
      </c>
      <c r="O40" s="7">
        <f t="shared" si="41"/>
        <v>1518970.0399999993</v>
      </c>
      <c r="P40" s="7">
        <f t="shared" si="216"/>
        <v>1454216.3799999994</v>
      </c>
      <c r="Q40" s="7">
        <f t="shared" si="216"/>
        <v>1389462.7199999995</v>
      </c>
      <c r="R40" s="7">
        <f t="shared" si="216"/>
        <v>1324709.0599999996</v>
      </c>
      <c r="S40" s="7">
        <f t="shared" si="216"/>
        <v>1259955.3999999997</v>
      </c>
      <c r="T40" s="7">
        <f t="shared" si="216"/>
        <v>1195201.7399999998</v>
      </c>
      <c r="U40" s="7">
        <f t="shared" si="216"/>
        <v>1130448.0799999998</v>
      </c>
      <c r="V40" s="7">
        <f t="shared" si="216"/>
        <v>1065694.42</v>
      </c>
      <c r="W40" s="7">
        <f t="shared" si="216"/>
        <v>1000940.7599999999</v>
      </c>
      <c r="X40" s="7">
        <f t="shared" si="216"/>
        <v>936187.09999999986</v>
      </c>
      <c r="Y40" s="7">
        <f t="shared" si="216"/>
        <v>871433.43999999983</v>
      </c>
      <c r="Z40" s="7">
        <f t="shared" si="216"/>
        <v>806679.7799999998</v>
      </c>
      <c r="AA40" s="7"/>
      <c r="AB40" s="7"/>
      <c r="AC40" s="7">
        <f t="shared" si="43"/>
        <v>777043.92000000027</v>
      </c>
      <c r="AD40" s="7">
        <f t="shared" si="44"/>
        <v>741926.11999999976</v>
      </c>
      <c r="AE40" s="7">
        <f t="shared" ref="AE40:AO40" si="217">AD40-$L40</f>
        <v>677172.45999999973</v>
      </c>
      <c r="AF40" s="7">
        <f t="shared" si="217"/>
        <v>612418.7999999997</v>
      </c>
      <c r="AG40" s="7">
        <f t="shared" si="217"/>
        <v>547665.13999999966</v>
      </c>
      <c r="AH40" s="7">
        <f t="shared" si="217"/>
        <v>482911.47999999963</v>
      </c>
      <c r="AI40" s="7">
        <f t="shared" si="217"/>
        <v>418157.8199999996</v>
      </c>
      <c r="AJ40" s="7">
        <f t="shared" si="217"/>
        <v>353404.15999999957</v>
      </c>
      <c r="AK40" s="7">
        <f t="shared" si="217"/>
        <v>288650.49999999953</v>
      </c>
      <c r="AL40" s="7">
        <f t="shared" si="217"/>
        <v>223896.8399999995</v>
      </c>
      <c r="AM40" s="7">
        <f t="shared" si="217"/>
        <v>159143.17999999947</v>
      </c>
      <c r="AN40" s="7">
        <f t="shared" si="217"/>
        <v>94389.519999999437</v>
      </c>
      <c r="AO40" s="7">
        <f t="shared" si="217"/>
        <v>29635.859999999411</v>
      </c>
      <c r="AP40" s="222"/>
      <c r="AQ40" s="7">
        <v>64753.660000000025</v>
      </c>
      <c r="AR40" s="7">
        <f t="shared" si="45"/>
        <v>64753.660000000025</v>
      </c>
      <c r="AS40" s="7">
        <f t="shared" si="46"/>
        <v>0</v>
      </c>
      <c r="AT40" s="276">
        <f>L40*0+29635.86</f>
        <v>29635.86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236">
        <f t="shared" si="5"/>
        <v>0</v>
      </c>
      <c r="BH40" s="7">
        <v>64753.660000000025</v>
      </c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236">
        <f>IF(Z40&lt;1,0,SUM(BJ40:BU40,BF40)/13*$BG$1)</f>
        <v>0</v>
      </c>
      <c r="BW40" s="7">
        <v>64753.660000000025</v>
      </c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236">
        <f>IF(AO40&lt;1,0,SUM(BY40:CJ40,BU40)/13*$BG$1)</f>
        <v>0</v>
      </c>
      <c r="CL40" s="7">
        <v>64753.660000000025</v>
      </c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236">
        <f>IF(BF40&lt;1,0,SUM(CN40:CY40,CJ40)/13*$BG$1)</f>
        <v>0</v>
      </c>
    </row>
    <row r="41" spans="1:104" ht="22.5" x14ac:dyDescent="0.2">
      <c r="A41" s="6" t="str">
        <f>'[1]2021 УГРЦТ'!A44</f>
        <v>Дизель-генераторная установка Caterpillar 3516BHD с двутопливной системой</v>
      </c>
      <c r="B41" t="str">
        <f>'[1]2021 УГРЦТ'!B44</f>
        <v>000001506</v>
      </c>
      <c r="C41" t="str">
        <f>'[1]2021 УГРЦТ'!C44</f>
        <v>ПРОИЗВОДСТВО</v>
      </c>
      <c r="D41" t="str">
        <f>'[1]2021 УГРЦТ'!D44</f>
        <v>Машины и оборудование (кроме офисного)</v>
      </c>
      <c r="E41" t="str">
        <f>'[1]2021 УГРЦТ'!E44</f>
        <v>19.12.2012</v>
      </c>
      <c r="F41" t="str">
        <f>'[1]2021 УГРЦТ'!F44</f>
        <v>Тепломеханический цех</v>
      </c>
      <c r="G41">
        <f>'[1]2021 УГРЦТ'!AC44</f>
        <v>120</v>
      </c>
      <c r="H41" s="7">
        <f>'[1]2021 УГРЦТ'!X44</f>
        <v>28190060.440000001</v>
      </c>
      <c r="I41" s="7">
        <f>'[1]2021 УГРЦТ'!Y44</f>
        <v>25370787.973999999</v>
      </c>
      <c r="J41" s="7">
        <f>'[1]2021 УГРЦТ'!Z44</f>
        <v>2819272.4660000019</v>
      </c>
      <c r="K41" s="8">
        <v>0</v>
      </c>
      <c r="L41" s="7">
        <v>234917.16999999995</v>
      </c>
      <c r="M41" s="7"/>
      <c r="N41" s="7">
        <f t="shared" si="0"/>
        <v>2819006.0399999996</v>
      </c>
      <c r="O41" s="7">
        <f t="shared" si="41"/>
        <v>2584355.296000002</v>
      </c>
      <c r="P41" s="7">
        <f t="shared" si="216"/>
        <v>2349438.126000002</v>
      </c>
      <c r="Q41" s="7">
        <f t="shared" si="216"/>
        <v>2114520.9560000021</v>
      </c>
      <c r="R41" s="7">
        <f t="shared" si="216"/>
        <v>1879603.7860000022</v>
      </c>
      <c r="S41" s="7">
        <f t="shared" si="216"/>
        <v>1644686.6160000023</v>
      </c>
      <c r="T41" s="7">
        <f t="shared" si="216"/>
        <v>1409769.4460000023</v>
      </c>
      <c r="U41" s="7">
        <f t="shared" si="216"/>
        <v>1174852.2760000024</v>
      </c>
      <c r="V41" s="7">
        <f t="shared" si="216"/>
        <v>939935.10600000247</v>
      </c>
      <c r="W41" s="7">
        <f t="shared" si="216"/>
        <v>705017.93600000255</v>
      </c>
      <c r="X41" s="7">
        <f t="shared" si="216"/>
        <v>470100.76600000262</v>
      </c>
      <c r="Y41" s="7">
        <f t="shared" si="216"/>
        <v>235183.59600000267</v>
      </c>
      <c r="Z41" s="7">
        <f t="shared" si="216"/>
        <v>266.42600000271341</v>
      </c>
      <c r="AA41" s="7"/>
      <c r="AB41" s="7"/>
      <c r="AC41" s="7">
        <f>L41*0+266.43</f>
        <v>266.43</v>
      </c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222"/>
      <c r="AQ41" s="7">
        <v>0</v>
      </c>
      <c r="AR41" s="7">
        <f t="shared" si="45"/>
        <v>0</v>
      </c>
      <c r="AS41" s="7">
        <f t="shared" si="46"/>
        <v>0</v>
      </c>
      <c r="BG41" s="236">
        <f t="shared" si="5"/>
        <v>0</v>
      </c>
      <c r="BH41" s="7">
        <v>0</v>
      </c>
      <c r="BV41" s="236">
        <f>IF(Z41&lt;1,0,SUM(BJ41:BU41,BF41)/13*$BG$1)</f>
        <v>0</v>
      </c>
      <c r="BW41" s="7">
        <v>0</v>
      </c>
      <c r="CK41" s="236">
        <f>IF(AO41&lt;1,0,SUM(BY41:CJ41,BU41)/13*$BG$1)</f>
        <v>0</v>
      </c>
      <c r="CL41" s="7">
        <v>0</v>
      </c>
      <c r="CZ41" s="236">
        <f>IF(BF41&lt;1,0,SUM(CN41:CY41,CJ41)/13*$BG$1)</f>
        <v>0</v>
      </c>
    </row>
    <row r="42" spans="1:104" x14ac:dyDescent="0.2">
      <c r="A42" s="6" t="str">
        <f>'[1]2021 УГРЦТ'!A45</f>
        <v>Дизельная электростанция АДК 500.2-Baltic</v>
      </c>
      <c r="B42" t="str">
        <f>'[1]2021 УГРЦТ'!B45</f>
        <v>000001836</v>
      </c>
      <c r="C42" t="str">
        <f>'[1]2021 УГРЦТ'!C45</f>
        <v>ПРОИЗВОДСТВО</v>
      </c>
      <c r="D42" t="str">
        <f>'[1]2021 УГРЦТ'!D45</f>
        <v>Здания</v>
      </c>
      <c r="E42" t="str">
        <f>'[1]2021 УГРЦТ'!E45</f>
        <v>30.12.2020</v>
      </c>
      <c r="F42" t="str">
        <f>'[1]2021 УГРЦТ'!F45</f>
        <v>ДЭС п.Красное</v>
      </c>
      <c r="G42">
        <f>'[1]2021 УГРЦТ'!AC45</f>
        <v>360</v>
      </c>
      <c r="H42" s="7">
        <f>'[1]2021 УГРЦТ'!X45</f>
        <v>2315429.2200000002</v>
      </c>
      <c r="I42" s="7">
        <f>'[1]2021 УГРЦТ'!Y45</f>
        <v>77180.974000000002</v>
      </c>
      <c r="J42" s="7">
        <f>'[1]2021 УГРЦТ'!Z45</f>
        <v>2238248.2460000003</v>
      </c>
      <c r="K42" s="8">
        <v>1</v>
      </c>
      <c r="L42" s="7">
        <v>6431.75</v>
      </c>
      <c r="M42" s="7"/>
      <c r="N42" s="7">
        <f t="shared" si="0"/>
        <v>77181</v>
      </c>
      <c r="O42" s="7">
        <f t="shared" si="41"/>
        <v>2231816.4960000003</v>
      </c>
      <c r="P42" s="7">
        <f t="shared" si="216"/>
        <v>2225384.7460000003</v>
      </c>
      <c r="Q42" s="7">
        <f t="shared" si="216"/>
        <v>2218952.9960000003</v>
      </c>
      <c r="R42" s="7">
        <f t="shared" si="216"/>
        <v>2212521.2460000003</v>
      </c>
      <c r="S42" s="7">
        <f t="shared" si="216"/>
        <v>2206089.4960000003</v>
      </c>
      <c r="T42" s="7">
        <f t="shared" si="216"/>
        <v>2199657.7460000003</v>
      </c>
      <c r="U42" s="7">
        <f t="shared" si="216"/>
        <v>2193225.9960000003</v>
      </c>
      <c r="V42" s="7">
        <f t="shared" si="216"/>
        <v>2186794.2460000003</v>
      </c>
      <c r="W42" s="7">
        <f t="shared" si="216"/>
        <v>2180362.4960000003</v>
      </c>
      <c r="X42" s="7">
        <f t="shared" si="216"/>
        <v>2173930.7460000003</v>
      </c>
      <c r="Y42" s="7">
        <f t="shared" si="216"/>
        <v>2167498.9960000003</v>
      </c>
      <c r="Z42" s="7">
        <f t="shared" si="216"/>
        <v>2161067.2460000003</v>
      </c>
      <c r="AA42" s="7">
        <f>SUM(O42:Z42,J42)/13*$AA$1</f>
        <v>48392.470411999995</v>
      </c>
      <c r="AB42" s="7"/>
      <c r="AC42" s="7">
        <f t="shared" si="43"/>
        <v>77181</v>
      </c>
      <c r="AD42" s="7">
        <f t="shared" si="44"/>
        <v>2154635.4960000003</v>
      </c>
      <c r="AE42" s="7">
        <f t="shared" ref="AE42:AO57" si="218">AD42-$L42</f>
        <v>2148203.7460000003</v>
      </c>
      <c r="AF42" s="7">
        <f t="shared" si="218"/>
        <v>2141771.9960000003</v>
      </c>
      <c r="AG42" s="7">
        <f t="shared" si="218"/>
        <v>2135340.2460000003</v>
      </c>
      <c r="AH42" s="7">
        <f t="shared" si="218"/>
        <v>2128908.4960000003</v>
      </c>
      <c r="AI42" s="7">
        <f t="shared" si="218"/>
        <v>2122476.7460000003</v>
      </c>
      <c r="AJ42" s="7">
        <f t="shared" si="218"/>
        <v>2116044.9960000003</v>
      </c>
      <c r="AK42" s="7">
        <f t="shared" si="218"/>
        <v>2109613.2460000003</v>
      </c>
      <c r="AL42" s="7">
        <f t="shared" si="218"/>
        <v>2103181.4960000003</v>
      </c>
      <c r="AM42" s="7">
        <f t="shared" si="218"/>
        <v>2096749.7460000003</v>
      </c>
      <c r="AN42" s="7">
        <f t="shared" si="218"/>
        <v>2090317.9960000003</v>
      </c>
      <c r="AO42" s="7">
        <f t="shared" si="218"/>
        <v>2083886.2460000003</v>
      </c>
      <c r="AP42" s="222">
        <f>IF(K42&lt;1,0,SUM(AD42:AO42,Z42)/13*$BG$1)</f>
        <v>46694.488411999992</v>
      </c>
      <c r="AQ42" s="7">
        <v>6431.75</v>
      </c>
      <c r="AR42" s="7">
        <f t="shared" si="45"/>
        <v>6431.75</v>
      </c>
      <c r="AS42" s="7">
        <f t="shared" si="46"/>
        <v>0</v>
      </c>
      <c r="AT42" s="7">
        <f t="shared" ref="AT42:AT44" si="219">L42*12</f>
        <v>77181</v>
      </c>
      <c r="AU42" s="7">
        <f>AO42-$L42</f>
        <v>2077454.4960000003</v>
      </c>
      <c r="AV42" s="7">
        <f t="shared" ref="AV42:BF45" si="220">AU42-$L42</f>
        <v>2071022.7460000003</v>
      </c>
      <c r="AW42" s="7">
        <f t="shared" si="220"/>
        <v>2064590.9960000003</v>
      </c>
      <c r="AX42" s="7">
        <f t="shared" si="220"/>
        <v>2058159.2460000003</v>
      </c>
      <c r="AY42" s="7">
        <f t="shared" si="220"/>
        <v>2051727.4960000003</v>
      </c>
      <c r="AZ42" s="7">
        <f t="shared" si="220"/>
        <v>2045295.7460000003</v>
      </c>
      <c r="BA42" s="7">
        <f t="shared" si="220"/>
        <v>2038863.9960000003</v>
      </c>
      <c r="BB42" s="7">
        <f t="shared" si="220"/>
        <v>2032432.2460000003</v>
      </c>
      <c r="BC42" s="7">
        <f t="shared" si="220"/>
        <v>2026000.4960000003</v>
      </c>
      <c r="BD42" s="7">
        <f t="shared" si="220"/>
        <v>2019568.7460000003</v>
      </c>
      <c r="BE42" s="7">
        <f t="shared" si="220"/>
        <v>2013136.9960000003</v>
      </c>
      <c r="BF42" s="7">
        <f t="shared" si="220"/>
        <v>2006705.2460000003</v>
      </c>
      <c r="BG42" s="236">
        <f t="shared" si="5"/>
        <v>44996.506411999988</v>
      </c>
      <c r="BH42" s="7">
        <v>6431.75</v>
      </c>
      <c r="BI42" s="39">
        <f>BH42*12</f>
        <v>77181</v>
      </c>
      <c r="BJ42" s="7">
        <f>BF42-BH42</f>
        <v>2000273.4960000003</v>
      </c>
      <c r="BK42" s="7">
        <f t="shared" ref="BK42:BK44" si="221">BJ42-$L42</f>
        <v>1993841.7460000003</v>
      </c>
      <c r="BL42" s="7">
        <f t="shared" ref="BL42:BL44" si="222">BK42-$L42</f>
        <v>1987409.9960000003</v>
      </c>
      <c r="BM42" s="7">
        <f t="shared" ref="BM42:BM44" si="223">BL42-$L42</f>
        <v>1980978.2460000003</v>
      </c>
      <c r="BN42" s="7">
        <f t="shared" ref="BN42:BN44" si="224">BM42-$L42</f>
        <v>1974546.4960000003</v>
      </c>
      <c r="BO42" s="7">
        <f t="shared" ref="BO42:BO44" si="225">BN42-$L42</f>
        <v>1968114.7460000003</v>
      </c>
      <c r="BP42" s="7">
        <f t="shared" ref="BP42:BP44" si="226">BO42-$L42</f>
        <v>1961682.9960000003</v>
      </c>
      <c r="BQ42" s="7">
        <f t="shared" ref="BQ42:BQ44" si="227">BP42-$L42</f>
        <v>1955251.2460000003</v>
      </c>
      <c r="BR42" s="7">
        <f t="shared" ref="BR42:BR44" si="228">BQ42-$L42</f>
        <v>1948819.4960000003</v>
      </c>
      <c r="BS42" s="7">
        <f t="shared" ref="BS42:BS44" si="229">BR42-$L42</f>
        <v>1942387.7460000003</v>
      </c>
      <c r="BT42" s="7">
        <f t="shared" ref="BT42:BT44" si="230">BS42-$L42</f>
        <v>1935955.9960000003</v>
      </c>
      <c r="BU42" s="7">
        <f t="shared" ref="BU42:BU44" si="231">BT42-$L42</f>
        <v>1929524.2460000003</v>
      </c>
      <c r="BV42" s="236">
        <f>IF(Z42&lt;1,0,SUM(BJ42:BU42,BF42)/13*$BG$1)</f>
        <v>43298.524411999992</v>
      </c>
      <c r="BW42" s="7">
        <v>6431.75</v>
      </c>
      <c r="BX42" s="39">
        <f>BW42*12</f>
        <v>77181</v>
      </c>
      <c r="BY42" s="7">
        <f>BU42-BW42</f>
        <v>1923092.4960000003</v>
      </c>
      <c r="BZ42" s="7">
        <f t="shared" ref="BZ42:BZ44" si="232">BY42-$L42</f>
        <v>1916660.7460000003</v>
      </c>
      <c r="CA42" s="7">
        <f t="shared" ref="CA42:CA44" si="233">BZ42-$L42</f>
        <v>1910228.9960000003</v>
      </c>
      <c r="CB42" s="7">
        <f t="shared" ref="CB42:CB44" si="234">CA42-$L42</f>
        <v>1903797.2460000003</v>
      </c>
      <c r="CC42" s="7">
        <f t="shared" ref="CC42:CC44" si="235">CB42-$L42</f>
        <v>1897365.4960000003</v>
      </c>
      <c r="CD42" s="7">
        <f t="shared" ref="CD42:CD44" si="236">CC42-$L42</f>
        <v>1890933.7460000003</v>
      </c>
      <c r="CE42" s="7">
        <f t="shared" ref="CE42:CE44" si="237">CD42-$L42</f>
        <v>1884501.9960000003</v>
      </c>
      <c r="CF42" s="7">
        <f t="shared" ref="CF42:CF44" si="238">CE42-$L42</f>
        <v>1878070.2460000003</v>
      </c>
      <c r="CG42" s="7">
        <f t="shared" ref="CG42:CG44" si="239">CF42-$L42</f>
        <v>1871638.4960000003</v>
      </c>
      <c r="CH42" s="7">
        <f t="shared" ref="CH42:CH44" si="240">CG42-$L42</f>
        <v>1865206.7460000003</v>
      </c>
      <c r="CI42" s="7">
        <f t="shared" ref="CI42:CI44" si="241">CH42-$L42</f>
        <v>1858774.9960000003</v>
      </c>
      <c r="CJ42" s="7">
        <f t="shared" ref="CJ42:CJ44" si="242">CI42-$L42</f>
        <v>1852343.2460000003</v>
      </c>
      <c r="CK42" s="236">
        <f>IF(AO42&lt;1,0,SUM(BY42:CJ42,BU42)/13*$BG$1)</f>
        <v>41600.542411999988</v>
      </c>
      <c r="CL42" s="7">
        <v>6431.75</v>
      </c>
      <c r="CM42" s="39">
        <f>CL42*12</f>
        <v>77181</v>
      </c>
      <c r="CN42" s="7">
        <f>CJ42-CL42</f>
        <v>1845911.4960000003</v>
      </c>
      <c r="CO42" s="7">
        <f t="shared" ref="CO42:CO44" si="243">CN42-$L42</f>
        <v>1839479.7460000003</v>
      </c>
      <c r="CP42" s="7">
        <f t="shared" ref="CP42:CP44" si="244">CO42-$L42</f>
        <v>1833047.9960000003</v>
      </c>
      <c r="CQ42" s="7">
        <f t="shared" ref="CQ42:CQ44" si="245">CP42-$L42</f>
        <v>1826616.2460000003</v>
      </c>
      <c r="CR42" s="7">
        <f t="shared" ref="CR42:CR44" si="246">CQ42-$L42</f>
        <v>1820184.4960000003</v>
      </c>
      <c r="CS42" s="7">
        <f t="shared" ref="CS42:CS44" si="247">CR42-$L42</f>
        <v>1813752.7460000003</v>
      </c>
      <c r="CT42" s="7">
        <f t="shared" ref="CT42:CT44" si="248">CS42-$L42</f>
        <v>1807320.9960000003</v>
      </c>
      <c r="CU42" s="7">
        <f t="shared" ref="CU42:CU44" si="249">CT42-$L42</f>
        <v>1800889.2460000003</v>
      </c>
      <c r="CV42" s="7">
        <f t="shared" ref="CV42:CV44" si="250">CU42-$L42</f>
        <v>1794457.4960000003</v>
      </c>
      <c r="CW42" s="7">
        <f t="shared" ref="CW42:CW44" si="251">CV42-$L42</f>
        <v>1788025.7460000003</v>
      </c>
      <c r="CX42" s="7">
        <f t="shared" ref="CX42:CX44" si="252">CW42-$L42</f>
        <v>1781593.9960000003</v>
      </c>
      <c r="CY42" s="7">
        <f t="shared" ref="CY42:CY44" si="253">CX42-$L42</f>
        <v>1775162.2460000003</v>
      </c>
      <c r="CZ42" s="236">
        <f>IF(BF42&lt;1,0,SUM(CN42:CY42,CJ42)/13*$BG$1)</f>
        <v>39902.560411999992</v>
      </c>
    </row>
    <row r="43" spans="1:104" ht="22.5" x14ac:dyDescent="0.2">
      <c r="A43" s="6" t="str">
        <f>'[1]2021 УГРЦТ'!A46</f>
        <v>Зарядное с автоматическим циклом зарядки 24В, 35А СТЕК МХТS 70</v>
      </c>
      <c r="B43" t="str">
        <f>'[1]2021 УГРЦТ'!B46</f>
        <v>000001548</v>
      </c>
      <c r="C43" t="str">
        <f>'[1]2021 УГРЦТ'!C46</f>
        <v>ПРОИЗВОДСТВО</v>
      </c>
      <c r="D43" t="str">
        <f>'[1]2021 УГРЦТ'!D46</f>
        <v>Машины и оборудование (кроме офисного)</v>
      </c>
      <c r="E43" t="str">
        <f>'[1]2021 УГРЦТ'!E46</f>
        <v>30.09.2013</v>
      </c>
      <c r="F43" t="str">
        <f>'[1]2021 УГРЦТ'!F46</f>
        <v>Тепломеханический цех</v>
      </c>
      <c r="G43">
        <f>'[1]2021 УГРЦТ'!AC46</f>
        <v>180</v>
      </c>
      <c r="H43" s="7">
        <f>'[1]2021 УГРЦТ'!X46</f>
        <v>58050.85</v>
      </c>
      <c r="I43" s="7">
        <f>'[1]2021 УГРЦТ'!Y46</f>
        <v>31927.556666666664</v>
      </c>
      <c r="J43" s="7">
        <f>'[1]2021 УГРЦТ'!Z46</f>
        <v>26123.293333333335</v>
      </c>
      <c r="K43" s="8">
        <v>0</v>
      </c>
      <c r="L43" s="7">
        <v>322.51</v>
      </c>
      <c r="M43" s="7"/>
      <c r="N43" s="7">
        <f t="shared" si="0"/>
        <v>3870.12</v>
      </c>
      <c r="O43" s="7">
        <f t="shared" si="41"/>
        <v>25800.783333333336</v>
      </c>
      <c r="P43" s="7">
        <f t="shared" si="216"/>
        <v>25478.273333333338</v>
      </c>
      <c r="Q43" s="7">
        <f t="shared" si="216"/>
        <v>25155.76333333334</v>
      </c>
      <c r="R43" s="7">
        <f t="shared" si="216"/>
        <v>24833.253333333341</v>
      </c>
      <c r="S43" s="7">
        <f t="shared" si="216"/>
        <v>24510.743333333343</v>
      </c>
      <c r="T43" s="7">
        <f t="shared" si="216"/>
        <v>24188.233333333344</v>
      </c>
      <c r="U43" s="7">
        <f t="shared" si="216"/>
        <v>23865.723333333346</v>
      </c>
      <c r="V43" s="7">
        <f t="shared" si="216"/>
        <v>23543.213333333348</v>
      </c>
      <c r="W43" s="7">
        <f t="shared" si="216"/>
        <v>23220.703333333349</v>
      </c>
      <c r="X43" s="7">
        <f t="shared" si="216"/>
        <v>22898.193333333351</v>
      </c>
      <c r="Y43" s="7">
        <f t="shared" si="216"/>
        <v>22575.683333333352</v>
      </c>
      <c r="Z43" s="7">
        <f t="shared" si="216"/>
        <v>22253.173333333354</v>
      </c>
      <c r="AA43" s="7"/>
      <c r="AB43" s="7"/>
      <c r="AC43" s="7">
        <f t="shared" si="43"/>
        <v>3870.12</v>
      </c>
      <c r="AD43" s="7">
        <f t="shared" si="44"/>
        <v>21930.663333333356</v>
      </c>
      <c r="AE43" s="7">
        <f t="shared" si="218"/>
        <v>21608.153333333357</v>
      </c>
      <c r="AF43" s="7">
        <f t="shared" si="218"/>
        <v>21285.643333333359</v>
      </c>
      <c r="AG43" s="7">
        <f t="shared" si="218"/>
        <v>20963.13333333336</v>
      </c>
      <c r="AH43" s="7">
        <f t="shared" si="218"/>
        <v>20640.623333333362</v>
      </c>
      <c r="AI43" s="7">
        <f t="shared" si="218"/>
        <v>20318.113333333364</v>
      </c>
      <c r="AJ43" s="7">
        <f t="shared" si="218"/>
        <v>19995.603333333365</v>
      </c>
      <c r="AK43" s="7">
        <f t="shared" si="218"/>
        <v>19673.093333333367</v>
      </c>
      <c r="AL43" s="7">
        <f t="shared" si="218"/>
        <v>19350.583333333369</v>
      </c>
      <c r="AM43" s="7">
        <f t="shared" si="218"/>
        <v>19028.07333333337</v>
      </c>
      <c r="AN43" s="7">
        <f t="shared" si="218"/>
        <v>18705.563333333372</v>
      </c>
      <c r="AO43" s="7">
        <f t="shared" si="218"/>
        <v>18383.053333333373</v>
      </c>
      <c r="AP43" s="222"/>
      <c r="AQ43" s="7">
        <v>322.51</v>
      </c>
      <c r="AR43" s="7">
        <f t="shared" si="45"/>
        <v>322.5099999999984</v>
      </c>
      <c r="AS43" s="7">
        <f t="shared" si="46"/>
        <v>-1.5916157281026244E-12</v>
      </c>
      <c r="AT43" s="7">
        <f t="shared" si="219"/>
        <v>3870.12</v>
      </c>
      <c r="AU43" s="7">
        <f>AO43-$L43</f>
        <v>18060.543333333375</v>
      </c>
      <c r="AV43" s="7">
        <f t="shared" si="220"/>
        <v>17738.033333333377</v>
      </c>
      <c r="AW43" s="7">
        <f t="shared" si="220"/>
        <v>17415.523333333378</v>
      </c>
      <c r="AX43" s="7">
        <f t="shared" si="220"/>
        <v>17093.01333333338</v>
      </c>
      <c r="AY43" s="7">
        <f t="shared" si="220"/>
        <v>16770.503333333381</v>
      </c>
      <c r="AZ43" s="7">
        <f t="shared" si="220"/>
        <v>16447.993333333383</v>
      </c>
      <c r="BA43" s="7">
        <f t="shared" si="220"/>
        <v>16125.483333333383</v>
      </c>
      <c r="BB43" s="7">
        <f t="shared" si="220"/>
        <v>15802.973333333382</v>
      </c>
      <c r="BC43" s="7">
        <f t="shared" si="220"/>
        <v>15480.463333333382</v>
      </c>
      <c r="BD43" s="7">
        <f t="shared" si="220"/>
        <v>15157.953333333382</v>
      </c>
      <c r="BE43" s="7">
        <f t="shared" si="220"/>
        <v>14835.443333333382</v>
      </c>
      <c r="BF43" s="7">
        <f t="shared" si="220"/>
        <v>14512.933333333382</v>
      </c>
      <c r="BG43" s="236">
        <f t="shared" si="5"/>
        <v>0</v>
      </c>
      <c r="BH43" s="7">
        <v>322.51</v>
      </c>
      <c r="BI43" s="39">
        <f>BH43*12</f>
        <v>3870.12</v>
      </c>
      <c r="BJ43" s="7">
        <f>BF43-BH43</f>
        <v>14190.423333333381</v>
      </c>
      <c r="BK43" s="7">
        <f t="shared" si="221"/>
        <v>13867.913333333381</v>
      </c>
      <c r="BL43" s="7">
        <f t="shared" si="222"/>
        <v>13545.403333333381</v>
      </c>
      <c r="BM43" s="7">
        <f t="shared" si="223"/>
        <v>13222.893333333381</v>
      </c>
      <c r="BN43" s="7">
        <f t="shared" si="224"/>
        <v>12900.383333333381</v>
      </c>
      <c r="BO43" s="7">
        <f t="shared" si="225"/>
        <v>12577.87333333338</v>
      </c>
      <c r="BP43" s="7">
        <f t="shared" si="226"/>
        <v>12255.36333333338</v>
      </c>
      <c r="BQ43" s="7">
        <f t="shared" si="227"/>
        <v>11932.85333333338</v>
      </c>
      <c r="BR43" s="7">
        <f t="shared" si="228"/>
        <v>11610.34333333338</v>
      </c>
      <c r="BS43" s="7">
        <f t="shared" si="229"/>
        <v>11287.833333333379</v>
      </c>
      <c r="BT43" s="7">
        <f t="shared" si="230"/>
        <v>10965.323333333379</v>
      </c>
      <c r="BU43" s="7">
        <f t="shared" si="231"/>
        <v>10642.813333333379</v>
      </c>
      <c r="BV43" s="236">
        <v>0</v>
      </c>
      <c r="BW43" s="7">
        <v>322.51</v>
      </c>
      <c r="BX43" s="39">
        <f>BW43*12</f>
        <v>3870.12</v>
      </c>
      <c r="BY43" s="7">
        <f>BU43-BW43</f>
        <v>10320.303333333379</v>
      </c>
      <c r="BZ43" s="7">
        <f t="shared" si="232"/>
        <v>9997.7933333333785</v>
      </c>
      <c r="CA43" s="7">
        <f t="shared" si="233"/>
        <v>9675.2833333333783</v>
      </c>
      <c r="CB43" s="7">
        <f t="shared" si="234"/>
        <v>9352.7733333333781</v>
      </c>
      <c r="CC43" s="7">
        <f t="shared" si="235"/>
        <v>9030.2633333333779</v>
      </c>
      <c r="CD43" s="7">
        <f t="shared" si="236"/>
        <v>8707.7533333333777</v>
      </c>
      <c r="CE43" s="7">
        <f t="shared" si="237"/>
        <v>8385.2433333333774</v>
      </c>
      <c r="CF43" s="7">
        <f t="shared" si="238"/>
        <v>8062.7333333333772</v>
      </c>
      <c r="CG43" s="7">
        <f t="shared" si="239"/>
        <v>7740.223333333377</v>
      </c>
      <c r="CH43" s="7">
        <f t="shared" si="240"/>
        <v>7417.7133333333768</v>
      </c>
      <c r="CI43" s="7">
        <f t="shared" si="241"/>
        <v>7095.2033333333766</v>
      </c>
      <c r="CJ43" s="7">
        <f t="shared" si="242"/>
        <v>6772.6933333333764</v>
      </c>
      <c r="CK43" s="236">
        <v>0</v>
      </c>
      <c r="CL43" s="7">
        <v>322.51</v>
      </c>
      <c r="CM43" s="39">
        <f>CL43*12</f>
        <v>3870.12</v>
      </c>
      <c r="CN43" s="7">
        <f>CJ43-CL43</f>
        <v>6450.1833333333761</v>
      </c>
      <c r="CO43" s="7">
        <f t="shared" si="243"/>
        <v>6127.6733333333759</v>
      </c>
      <c r="CP43" s="7">
        <f t="shared" si="244"/>
        <v>5805.1633333333757</v>
      </c>
      <c r="CQ43" s="7">
        <f t="shared" si="245"/>
        <v>5482.6533333333755</v>
      </c>
      <c r="CR43" s="7">
        <f t="shared" si="246"/>
        <v>5160.1433333333753</v>
      </c>
      <c r="CS43" s="7">
        <f t="shared" si="247"/>
        <v>4837.633333333375</v>
      </c>
      <c r="CT43" s="7">
        <f t="shared" si="248"/>
        <v>4515.1233333333748</v>
      </c>
      <c r="CU43" s="7">
        <f t="shared" si="249"/>
        <v>4192.6133333333746</v>
      </c>
      <c r="CV43" s="7">
        <f t="shared" si="250"/>
        <v>3870.1033333333744</v>
      </c>
      <c r="CW43" s="7">
        <f t="shared" si="251"/>
        <v>3547.5933333333742</v>
      </c>
      <c r="CX43" s="7">
        <f t="shared" si="252"/>
        <v>3225.083333333374</v>
      </c>
      <c r="CY43" s="7">
        <f t="shared" si="253"/>
        <v>2902.5733333333737</v>
      </c>
      <c r="CZ43" s="236">
        <v>0</v>
      </c>
    </row>
    <row r="44" spans="1:104" s="180" customFormat="1" x14ac:dyDescent="0.2">
      <c r="A44" s="179" t="str">
        <f>'[1]2021 УГРЦТ'!A47</f>
        <v>Здание ГТЭС-12 2003г</v>
      </c>
      <c r="B44" s="180" t="str">
        <f>'[1]2021 УГРЦТ'!B47</f>
        <v>00000498</v>
      </c>
      <c r="C44" s="180" t="str">
        <f>'[1]2021 УГРЦТ'!C47</f>
        <v>ПРОИЗВОДСТВО</v>
      </c>
      <c r="D44" s="180" t="str">
        <f>'[1]2021 УГРЦТ'!D47</f>
        <v>Здания</v>
      </c>
      <c r="E44" s="180" t="str">
        <f>'[1]2021 УГРЦТ'!E47</f>
        <v>02.10.2003</v>
      </c>
      <c r="F44" s="180" t="str">
        <f>'[1]2021 УГРЦТ'!F47</f>
        <v>Газотурбинный цех</v>
      </c>
      <c r="G44" s="180">
        <f>'[1]2021 УГРЦТ'!AC47</f>
        <v>180</v>
      </c>
      <c r="H44" s="181">
        <f>'[1]2021 УГРЦТ'!X47</f>
        <v>40639366.43</v>
      </c>
      <c r="I44" s="181">
        <f>'[1]2021 УГРЦТ'!Y47</f>
        <v>14622810.040000001</v>
      </c>
      <c r="J44" s="181">
        <f>'[1]2021 УГРЦТ'!Z47</f>
        <v>26016556.390000001</v>
      </c>
      <c r="K44" s="182">
        <v>1</v>
      </c>
      <c r="L44" s="181">
        <v>68106.170000000013</v>
      </c>
      <c r="M44" s="181"/>
      <c r="N44" s="181">
        <f t="shared" si="0"/>
        <v>817274.04000000015</v>
      </c>
      <c r="O44" s="7">
        <f t="shared" si="41"/>
        <v>25948450.219999999</v>
      </c>
      <c r="P44" s="7">
        <f t="shared" si="216"/>
        <v>25880344.049999997</v>
      </c>
      <c r="Q44" s="7">
        <f t="shared" si="216"/>
        <v>25812237.879999995</v>
      </c>
      <c r="R44" s="7">
        <f t="shared" si="216"/>
        <v>25744131.709999993</v>
      </c>
      <c r="S44" s="7">
        <f t="shared" si="216"/>
        <v>25676025.539999992</v>
      </c>
      <c r="T44" s="7">
        <f t="shared" si="216"/>
        <v>25607919.36999999</v>
      </c>
      <c r="U44" s="7">
        <f t="shared" si="216"/>
        <v>25539813.199999988</v>
      </c>
      <c r="V44" s="7">
        <f t="shared" si="216"/>
        <v>25471707.029999986</v>
      </c>
      <c r="W44" s="7">
        <f t="shared" si="216"/>
        <v>25403600.859999985</v>
      </c>
      <c r="X44" s="7">
        <f t="shared" si="216"/>
        <v>25335494.689999983</v>
      </c>
      <c r="Y44" s="7">
        <f t="shared" si="216"/>
        <v>25267388.519999981</v>
      </c>
      <c r="Z44" s="7">
        <f t="shared" si="216"/>
        <v>25199282.349999979</v>
      </c>
      <c r="AA44" s="7">
        <f>SUM(O44:Z44,J44)/13*$AA$1</f>
        <v>563374.22613999969</v>
      </c>
      <c r="AB44" s="7"/>
      <c r="AC44" s="7">
        <f t="shared" si="43"/>
        <v>817274.04000000015</v>
      </c>
      <c r="AD44" s="7">
        <f t="shared" si="44"/>
        <v>25131176.179999977</v>
      </c>
      <c r="AE44" s="7">
        <f t="shared" si="218"/>
        <v>25063070.009999976</v>
      </c>
      <c r="AF44" s="7">
        <f t="shared" si="218"/>
        <v>24994963.839999974</v>
      </c>
      <c r="AG44" s="7">
        <f t="shared" si="218"/>
        <v>24926857.669999972</v>
      </c>
      <c r="AH44" s="7">
        <f t="shared" si="218"/>
        <v>24858751.49999997</v>
      </c>
      <c r="AI44" s="7">
        <f t="shared" si="218"/>
        <v>24790645.329999968</v>
      </c>
      <c r="AJ44" s="7">
        <f t="shared" si="218"/>
        <v>24722539.159999967</v>
      </c>
      <c r="AK44" s="7">
        <f t="shared" si="218"/>
        <v>24654432.989999965</v>
      </c>
      <c r="AL44" s="7">
        <f t="shared" si="218"/>
        <v>24586326.819999963</v>
      </c>
      <c r="AM44" s="7">
        <f t="shared" si="218"/>
        <v>24518220.649999961</v>
      </c>
      <c r="AN44" s="7">
        <f t="shared" si="218"/>
        <v>24450114.479999959</v>
      </c>
      <c r="AO44" s="7">
        <f t="shared" si="218"/>
        <v>24382008.309999958</v>
      </c>
      <c r="AP44" s="222">
        <f>IF(K44&lt;1,0,SUM(AD44:AO44,Z44)/13*$BG$1)</f>
        <v>545394.19725999923</v>
      </c>
      <c r="AQ44" s="7">
        <v>68106.170000000013</v>
      </c>
      <c r="AR44" s="7">
        <f t="shared" si="45"/>
        <v>68106.170000001788</v>
      </c>
      <c r="AS44" s="7">
        <f t="shared" si="46"/>
        <v>1.7753336578607559E-9</v>
      </c>
      <c r="AT44" s="7">
        <f t="shared" si="219"/>
        <v>817274.04000000015</v>
      </c>
      <c r="AU44" s="7">
        <f>AO44-$L44</f>
        <v>24313902.139999956</v>
      </c>
      <c r="AV44" s="7">
        <f t="shared" si="220"/>
        <v>24245795.969999954</v>
      </c>
      <c r="AW44" s="7">
        <f t="shared" si="220"/>
        <v>24177689.799999952</v>
      </c>
      <c r="AX44" s="7">
        <f t="shared" si="220"/>
        <v>24109583.629999951</v>
      </c>
      <c r="AY44" s="7">
        <f t="shared" si="220"/>
        <v>24041477.459999949</v>
      </c>
      <c r="AZ44" s="7">
        <f t="shared" si="220"/>
        <v>23973371.289999947</v>
      </c>
      <c r="BA44" s="7">
        <f t="shared" si="220"/>
        <v>23905265.119999945</v>
      </c>
      <c r="BB44" s="7">
        <f t="shared" si="220"/>
        <v>23837158.949999943</v>
      </c>
      <c r="BC44" s="7">
        <f t="shared" si="220"/>
        <v>23769052.779999942</v>
      </c>
      <c r="BD44" s="7">
        <f t="shared" si="220"/>
        <v>23700946.60999994</v>
      </c>
      <c r="BE44" s="7">
        <f t="shared" si="220"/>
        <v>23632840.439999938</v>
      </c>
      <c r="BF44" s="7">
        <f t="shared" si="220"/>
        <v>23564734.269999936</v>
      </c>
      <c r="BG44" s="236">
        <f t="shared" si="5"/>
        <v>527414.16837999877</v>
      </c>
      <c r="BH44" s="7">
        <v>68106.170000000013</v>
      </c>
      <c r="BI44" s="39">
        <f>BH44*12</f>
        <v>817274.04000000015</v>
      </c>
      <c r="BJ44" s="7">
        <f>BF44-BH44</f>
        <v>23496628.099999934</v>
      </c>
      <c r="BK44" s="7">
        <f t="shared" si="221"/>
        <v>23428521.929999933</v>
      </c>
      <c r="BL44" s="7">
        <f t="shared" si="222"/>
        <v>23360415.759999931</v>
      </c>
      <c r="BM44" s="7">
        <f t="shared" si="223"/>
        <v>23292309.589999929</v>
      </c>
      <c r="BN44" s="7">
        <f t="shared" si="224"/>
        <v>23224203.419999927</v>
      </c>
      <c r="BO44" s="7">
        <f t="shared" si="225"/>
        <v>23156097.249999925</v>
      </c>
      <c r="BP44" s="7">
        <f t="shared" si="226"/>
        <v>23087991.079999924</v>
      </c>
      <c r="BQ44" s="7">
        <f t="shared" si="227"/>
        <v>23019884.909999922</v>
      </c>
      <c r="BR44" s="7">
        <f t="shared" si="228"/>
        <v>22951778.73999992</v>
      </c>
      <c r="BS44" s="7">
        <f t="shared" si="229"/>
        <v>22883672.569999918</v>
      </c>
      <c r="BT44" s="7">
        <f t="shared" si="230"/>
        <v>22815566.399999917</v>
      </c>
      <c r="BU44" s="7">
        <f t="shared" si="231"/>
        <v>22747460.229999915</v>
      </c>
      <c r="BV44" s="236">
        <f t="shared" ref="BV44:BV50" si="254">IF(Z44&lt;1,0,SUM(BJ44:BU44,BF44)/13*$BG$1)</f>
        <v>509434.13949999824</v>
      </c>
      <c r="BW44" s="7">
        <v>68106.170000000013</v>
      </c>
      <c r="BX44" s="39">
        <f>BW44*12</f>
        <v>817274.04000000015</v>
      </c>
      <c r="BY44" s="7">
        <f>BU44-BW44</f>
        <v>22679354.059999913</v>
      </c>
      <c r="BZ44" s="7">
        <f t="shared" si="232"/>
        <v>22611247.889999911</v>
      </c>
      <c r="CA44" s="7">
        <f t="shared" si="233"/>
        <v>22543141.719999909</v>
      </c>
      <c r="CB44" s="7">
        <f t="shared" si="234"/>
        <v>22475035.549999908</v>
      </c>
      <c r="CC44" s="7">
        <f t="shared" si="235"/>
        <v>22406929.379999906</v>
      </c>
      <c r="CD44" s="7">
        <f t="shared" si="236"/>
        <v>22338823.209999904</v>
      </c>
      <c r="CE44" s="7">
        <f t="shared" si="237"/>
        <v>22270717.039999902</v>
      </c>
      <c r="CF44" s="7">
        <f t="shared" si="238"/>
        <v>22202610.8699999</v>
      </c>
      <c r="CG44" s="7">
        <f t="shared" si="239"/>
        <v>22134504.699999899</v>
      </c>
      <c r="CH44" s="7">
        <f t="shared" si="240"/>
        <v>22066398.529999897</v>
      </c>
      <c r="CI44" s="7">
        <f t="shared" si="241"/>
        <v>21998292.359999895</v>
      </c>
      <c r="CJ44" s="7">
        <f t="shared" si="242"/>
        <v>21930186.189999893</v>
      </c>
      <c r="CK44" s="236">
        <f t="shared" ref="CK44:CK50" si="255">IF(AO44&lt;1,0,SUM(BY44:CJ44,BU44)/13*$BG$1)</f>
        <v>491454.11061999778</v>
      </c>
      <c r="CL44" s="7">
        <v>68106.170000000013</v>
      </c>
      <c r="CM44" s="39">
        <f>CL44*12</f>
        <v>817274.04000000015</v>
      </c>
      <c r="CN44" s="7">
        <f>CJ44-CL44</f>
        <v>21862080.019999892</v>
      </c>
      <c r="CO44" s="7">
        <f t="shared" si="243"/>
        <v>21793973.84999989</v>
      </c>
      <c r="CP44" s="7">
        <f t="shared" si="244"/>
        <v>21725867.679999888</v>
      </c>
      <c r="CQ44" s="7">
        <f t="shared" si="245"/>
        <v>21657761.509999886</v>
      </c>
      <c r="CR44" s="7">
        <f t="shared" si="246"/>
        <v>21589655.339999884</v>
      </c>
      <c r="CS44" s="7">
        <f t="shared" si="247"/>
        <v>21521549.169999883</v>
      </c>
      <c r="CT44" s="7">
        <f t="shared" si="248"/>
        <v>21453442.999999881</v>
      </c>
      <c r="CU44" s="7">
        <f t="shared" si="249"/>
        <v>21385336.829999879</v>
      </c>
      <c r="CV44" s="7">
        <f t="shared" si="250"/>
        <v>21317230.659999877</v>
      </c>
      <c r="CW44" s="7">
        <f t="shared" si="251"/>
        <v>21249124.489999875</v>
      </c>
      <c r="CX44" s="7">
        <f t="shared" si="252"/>
        <v>21181018.319999874</v>
      </c>
      <c r="CY44" s="7">
        <f t="shared" si="253"/>
        <v>21112912.149999872</v>
      </c>
      <c r="CZ44" s="236">
        <f t="shared" ref="CZ44:CZ50" si="256">IF(BF44&lt;1,0,SUM(CN44:CY44,CJ44)/13*$BG$1)</f>
        <v>473474.08173999732</v>
      </c>
    </row>
    <row r="45" spans="1:104" x14ac:dyDescent="0.2">
      <c r="A45" s="6" t="str">
        <f>'[1]2021 УГРЦТ'!A48</f>
        <v>Измеритель сопротивления заземления Metrel MI3123</v>
      </c>
      <c r="B45" t="str">
        <f>'[1]2021 УГРЦТ'!B48</f>
        <v>000001777</v>
      </c>
      <c r="C45" t="str">
        <f>'[1]2021 УГРЦТ'!C48</f>
        <v>ПРОИЗВОДСТВО</v>
      </c>
      <c r="D45" t="str">
        <f>'[1]2021 УГРЦТ'!D48</f>
        <v>Машины и оборудование (кроме офисного)</v>
      </c>
      <c r="E45" t="str">
        <f>'[1]2021 УГРЦТ'!E48</f>
        <v>19.08.2019</v>
      </c>
      <c r="F45" t="str">
        <f>'[1]2021 УГРЦТ'!F48</f>
        <v>Электрический цех</v>
      </c>
      <c r="G45">
        <f>'[1]2021 УГРЦТ'!AC48</f>
        <v>60</v>
      </c>
      <c r="H45" s="7">
        <f>'[1]2021 УГРЦТ'!X48</f>
        <v>48921.57</v>
      </c>
      <c r="I45" s="7">
        <f>'[1]2021 УГРЦТ'!Y48</f>
        <v>22830.074000000001</v>
      </c>
      <c r="J45" s="7">
        <f>'[1]2021 УГРЦТ'!Z48</f>
        <v>26091.495999999999</v>
      </c>
      <c r="K45" s="8">
        <v>0</v>
      </c>
      <c r="L45" s="7">
        <v>815.36</v>
      </c>
      <c r="M45" s="7"/>
      <c r="N45" s="7">
        <f t="shared" si="0"/>
        <v>9784.32</v>
      </c>
      <c r="O45" s="7">
        <f t="shared" si="41"/>
        <v>25276.135999999999</v>
      </c>
      <c r="P45" s="7">
        <f t="shared" si="216"/>
        <v>24460.775999999998</v>
      </c>
      <c r="Q45" s="7">
        <f t="shared" si="216"/>
        <v>23645.415999999997</v>
      </c>
      <c r="R45" s="7">
        <f t="shared" si="216"/>
        <v>22830.055999999997</v>
      </c>
      <c r="S45" s="7">
        <f t="shared" si="216"/>
        <v>22014.695999999996</v>
      </c>
      <c r="T45" s="7">
        <f t="shared" si="216"/>
        <v>21199.335999999996</v>
      </c>
      <c r="U45" s="7">
        <f t="shared" si="216"/>
        <v>20383.975999999995</v>
      </c>
      <c r="V45" s="7">
        <f t="shared" si="216"/>
        <v>19568.615999999995</v>
      </c>
      <c r="W45" s="7">
        <f t="shared" si="216"/>
        <v>18753.255999999994</v>
      </c>
      <c r="X45" s="7">
        <f t="shared" si="216"/>
        <v>17937.895999999993</v>
      </c>
      <c r="Y45" s="7">
        <f t="shared" si="216"/>
        <v>17122.535999999993</v>
      </c>
      <c r="Z45" s="7">
        <f t="shared" si="216"/>
        <v>16307.175999999992</v>
      </c>
      <c r="AA45" s="7"/>
      <c r="AB45" s="7"/>
      <c r="AC45" s="7">
        <f t="shared" si="43"/>
        <v>9784.32</v>
      </c>
      <c r="AD45" s="7">
        <f t="shared" si="44"/>
        <v>15491.815999999992</v>
      </c>
      <c r="AE45" s="7">
        <f t="shared" si="218"/>
        <v>14676.455999999991</v>
      </c>
      <c r="AF45" s="7">
        <f t="shared" si="218"/>
        <v>13861.09599999999</v>
      </c>
      <c r="AG45" s="7">
        <f t="shared" si="218"/>
        <v>13045.73599999999</v>
      </c>
      <c r="AH45" s="7">
        <f t="shared" si="218"/>
        <v>12230.375999999989</v>
      </c>
      <c r="AI45" s="7">
        <f t="shared" si="218"/>
        <v>11415.015999999989</v>
      </c>
      <c r="AJ45" s="7">
        <f t="shared" si="218"/>
        <v>10599.655999999988</v>
      </c>
      <c r="AK45" s="7">
        <f t="shared" si="218"/>
        <v>9784.2959999999875</v>
      </c>
      <c r="AL45" s="7">
        <f t="shared" si="218"/>
        <v>8968.935999999987</v>
      </c>
      <c r="AM45" s="7">
        <f t="shared" si="218"/>
        <v>8153.5759999999873</v>
      </c>
      <c r="AN45" s="7">
        <f t="shared" si="218"/>
        <v>7338.2159999999876</v>
      </c>
      <c r="AO45" s="7">
        <f t="shared" si="218"/>
        <v>6522.8559999999879</v>
      </c>
      <c r="AP45" s="222"/>
      <c r="AQ45" s="7">
        <v>815.36</v>
      </c>
      <c r="AR45" s="7">
        <f t="shared" si="45"/>
        <v>815.35999999999967</v>
      </c>
      <c r="AS45" s="7">
        <f t="shared" si="46"/>
        <v>0</v>
      </c>
      <c r="AT45" s="7">
        <f>L45*8-0.02</f>
        <v>6522.86</v>
      </c>
      <c r="AU45" s="7">
        <f>AO45-$L45</f>
        <v>5707.4959999999883</v>
      </c>
      <c r="AV45" s="7">
        <f t="shared" si="220"/>
        <v>4892.1359999999886</v>
      </c>
      <c r="AW45" s="7">
        <f t="shared" si="220"/>
        <v>4076.7759999999885</v>
      </c>
      <c r="AX45" s="7">
        <f t="shared" si="220"/>
        <v>3261.4159999999883</v>
      </c>
      <c r="AY45" s="7">
        <f t="shared" si="220"/>
        <v>2446.0559999999882</v>
      </c>
      <c r="AZ45" s="7">
        <f t="shared" si="220"/>
        <v>1630.6959999999881</v>
      </c>
      <c r="BA45" s="7">
        <f>AZ45-$L45+0.02</f>
        <v>815.35599999998806</v>
      </c>
      <c r="BB45" s="7">
        <f t="shared" si="220"/>
        <v>-4.0000000119562173E-3</v>
      </c>
      <c r="BC45" s="7">
        <f t="shared" ref="BC45:BF45" si="257">BB45-$L45*0</f>
        <v>-4.0000000119562173E-3</v>
      </c>
      <c r="BD45" s="7">
        <f t="shared" si="257"/>
        <v>-4.0000000119562173E-3</v>
      </c>
      <c r="BE45" s="7">
        <f t="shared" si="257"/>
        <v>-4.0000000119562173E-3</v>
      </c>
      <c r="BF45" s="7">
        <f t="shared" si="257"/>
        <v>-4.0000000119562173E-3</v>
      </c>
      <c r="BG45" s="236">
        <f t="shared" si="5"/>
        <v>0</v>
      </c>
      <c r="BH45" s="7">
        <v>815.36</v>
      </c>
      <c r="BI45" s="39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236">
        <f t="shared" si="254"/>
        <v>-6.7692307894643673E-6</v>
      </c>
      <c r="BW45" s="7">
        <v>815.36</v>
      </c>
      <c r="BX45" s="39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236">
        <f t="shared" si="255"/>
        <v>0</v>
      </c>
      <c r="CL45" s="7">
        <v>815.36</v>
      </c>
      <c r="CM45" s="39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236">
        <f t="shared" si="256"/>
        <v>0</v>
      </c>
    </row>
    <row r="46" spans="1:104" ht="22.5" x14ac:dyDescent="0.2">
      <c r="A46" s="6" t="str">
        <f>'[1]2021 УГРЦТ'!A49</f>
        <v>Инвертор плазменной резки Nelwin Superior Plasma 60 HF 400V</v>
      </c>
      <c r="B46" t="str">
        <f>'[1]2021 УГРЦТ'!B49</f>
        <v>000001619</v>
      </c>
      <c r="C46" t="str">
        <f>'[1]2021 УГРЦТ'!C49</f>
        <v>ПРОИЗВОДСТВО</v>
      </c>
      <c r="D46" t="str">
        <f>'[1]2021 УГРЦТ'!D49</f>
        <v>Другие виды основных средств</v>
      </c>
      <c r="E46" t="str">
        <f>'[1]2021 УГРЦТ'!E49</f>
        <v>30.04.2014</v>
      </c>
      <c r="F46" t="str">
        <f>'[1]2021 УГРЦТ'!F49</f>
        <v>Тепломеханический цех</v>
      </c>
      <c r="G46">
        <f>'[1]2021 УГРЦТ'!AC49</f>
        <v>84</v>
      </c>
      <c r="H46" s="7">
        <f>'[1]2021 УГРЦТ'!X49</f>
        <v>85000</v>
      </c>
      <c r="I46" s="7">
        <f>'[1]2021 УГРЦТ'!Y49</f>
        <v>85000</v>
      </c>
      <c r="J46" s="7">
        <f>'[1]2021 УГРЦТ'!Z49</f>
        <v>0</v>
      </c>
      <c r="K46" s="8">
        <v>0</v>
      </c>
      <c r="L46" s="7">
        <v>0</v>
      </c>
      <c r="M46" s="7"/>
      <c r="N46" s="7">
        <f t="shared" si="0"/>
        <v>0</v>
      </c>
      <c r="O46" s="7">
        <f t="shared" si="41"/>
        <v>0</v>
      </c>
      <c r="P46" s="7">
        <f t="shared" si="216"/>
        <v>0</v>
      </c>
      <c r="Q46" s="7">
        <f t="shared" si="216"/>
        <v>0</v>
      </c>
      <c r="R46" s="7">
        <f t="shared" si="216"/>
        <v>0</v>
      </c>
      <c r="S46" s="7">
        <f t="shared" si="216"/>
        <v>0</v>
      </c>
      <c r="T46" s="7">
        <f t="shared" si="216"/>
        <v>0</v>
      </c>
      <c r="U46" s="7">
        <f t="shared" si="216"/>
        <v>0</v>
      </c>
      <c r="V46" s="7">
        <f t="shared" si="216"/>
        <v>0</v>
      </c>
      <c r="W46" s="7">
        <f t="shared" si="216"/>
        <v>0</v>
      </c>
      <c r="X46" s="7">
        <f t="shared" si="216"/>
        <v>0</v>
      </c>
      <c r="Y46" s="7">
        <f t="shared" si="216"/>
        <v>0</v>
      </c>
      <c r="Z46" s="7">
        <f t="shared" si="216"/>
        <v>0</v>
      </c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222"/>
      <c r="AQ46" s="7">
        <v>0</v>
      </c>
      <c r="AR46" s="7">
        <f t="shared" si="45"/>
        <v>0</v>
      </c>
      <c r="AS46" s="7">
        <f t="shared" si="46"/>
        <v>0</v>
      </c>
      <c r="BG46" s="236">
        <f t="shared" si="5"/>
        <v>0</v>
      </c>
      <c r="BH46" s="7">
        <v>0</v>
      </c>
      <c r="BV46" s="236">
        <f t="shared" si="254"/>
        <v>0</v>
      </c>
      <c r="BW46" s="7">
        <v>0</v>
      </c>
      <c r="CK46" s="236">
        <f t="shared" si="255"/>
        <v>0</v>
      </c>
      <c r="CL46" s="7">
        <v>0</v>
      </c>
      <c r="CZ46" s="236">
        <f t="shared" si="256"/>
        <v>0</v>
      </c>
    </row>
    <row r="47" spans="1:104" x14ac:dyDescent="0.2">
      <c r="A47" s="6" t="str">
        <f>'[1]2021 УГРЦТ'!A50</f>
        <v>Испытательное устройство РЕТОМ-21 НПП "Динамика"</v>
      </c>
      <c r="B47" t="str">
        <f>'[1]2021 УГРЦТ'!B50</f>
        <v>000001720</v>
      </c>
      <c r="C47" t="str">
        <f>'[1]2021 УГРЦТ'!C50</f>
        <v>ПРОИЗВОДСТВО</v>
      </c>
      <c r="D47" t="str">
        <f>'[1]2021 УГРЦТ'!D50</f>
        <v>Машины и оборудование (кроме офисного)</v>
      </c>
      <c r="E47" t="str">
        <f>'[1]2021 УГРЦТ'!E50</f>
        <v>28.04.2018</v>
      </c>
      <c r="F47" t="str">
        <f>'[1]2021 УГРЦТ'!F50</f>
        <v>Электрический цех</v>
      </c>
      <c r="G47">
        <f>'[1]2021 УГРЦТ'!AC50</f>
        <v>60</v>
      </c>
      <c r="H47" s="7">
        <f>'[1]2021 УГРЦТ'!X50</f>
        <v>475686.44</v>
      </c>
      <c r="I47" s="7">
        <f>'[1]2021 УГРЦТ'!Y50</f>
        <v>348836.80799999996</v>
      </c>
      <c r="J47" s="7">
        <f>'[1]2021 УГРЦТ'!Z50</f>
        <v>126849.63200000004</v>
      </c>
      <c r="K47" s="8">
        <v>0</v>
      </c>
      <c r="L47" s="7">
        <v>7928.11</v>
      </c>
      <c r="M47" s="7"/>
      <c r="N47" s="7">
        <f t="shared" si="0"/>
        <v>95137.319999999992</v>
      </c>
      <c r="O47" s="7">
        <f t="shared" si="41"/>
        <v>118921.52200000004</v>
      </c>
      <c r="P47" s="7">
        <f t="shared" si="216"/>
        <v>110993.41200000004</v>
      </c>
      <c r="Q47" s="7">
        <f t="shared" si="216"/>
        <v>103065.30200000004</v>
      </c>
      <c r="R47" s="7">
        <f t="shared" si="216"/>
        <v>95137.192000000039</v>
      </c>
      <c r="S47" s="7">
        <f t="shared" si="216"/>
        <v>87209.082000000039</v>
      </c>
      <c r="T47" s="7">
        <f t="shared" si="216"/>
        <v>79280.972000000038</v>
      </c>
      <c r="U47" s="7">
        <f t="shared" si="216"/>
        <v>71352.862000000037</v>
      </c>
      <c r="V47" s="7">
        <f t="shared" si="216"/>
        <v>63424.752000000037</v>
      </c>
      <c r="W47" s="7">
        <f t="shared" si="216"/>
        <v>55496.642000000036</v>
      </c>
      <c r="X47" s="7">
        <f t="shared" si="216"/>
        <v>47568.532000000036</v>
      </c>
      <c r="Y47" s="7">
        <f t="shared" si="216"/>
        <v>39640.422000000035</v>
      </c>
      <c r="Z47" s="7">
        <f t="shared" si="216"/>
        <v>31712.312000000034</v>
      </c>
      <c r="AA47" s="7"/>
      <c r="AB47" s="7"/>
      <c r="AC47" s="7">
        <f>L47*4-0.13</f>
        <v>31712.309999999998</v>
      </c>
      <c r="AD47" s="7">
        <f t="shared" si="44"/>
        <v>23784.202000000034</v>
      </c>
      <c r="AE47" s="7">
        <f t="shared" si="218"/>
        <v>15856.092000000033</v>
      </c>
      <c r="AF47" s="7">
        <f t="shared" si="218"/>
        <v>7927.9820000000336</v>
      </c>
      <c r="AG47" s="7"/>
      <c r="AH47" s="7"/>
      <c r="AI47" s="7"/>
      <c r="AJ47" s="7"/>
      <c r="AK47" s="7"/>
      <c r="AL47" s="7"/>
      <c r="AM47" s="7"/>
      <c r="AN47" s="7"/>
      <c r="AO47" s="7"/>
      <c r="AP47" s="222"/>
      <c r="AQ47" s="7">
        <v>7928.11</v>
      </c>
      <c r="AR47" s="7"/>
      <c r="AS47" s="7"/>
      <c r="BG47" s="236">
        <f t="shared" si="5"/>
        <v>0</v>
      </c>
      <c r="BH47" s="7">
        <v>7928.11</v>
      </c>
      <c r="BV47" s="236">
        <f t="shared" si="254"/>
        <v>0</v>
      </c>
      <c r="BW47" s="7">
        <v>7928.11</v>
      </c>
      <c r="CK47" s="236">
        <f t="shared" si="255"/>
        <v>0</v>
      </c>
      <c r="CL47" s="7">
        <v>7928.11</v>
      </c>
      <c r="CZ47" s="236">
        <f t="shared" si="256"/>
        <v>0</v>
      </c>
    </row>
    <row r="48" spans="1:104" x14ac:dyDescent="0.2">
      <c r="A48" s="6" t="str">
        <f>'[1]2021 УГРЦТ'!A51</f>
        <v>Кабель н/в от главного здания  400м 1955г.</v>
      </c>
      <c r="B48" t="str">
        <f>'[1]2021 УГРЦТ'!B51</f>
        <v>00000034</v>
      </c>
      <c r="C48" t="str">
        <f>'[1]2021 УГРЦТ'!C51</f>
        <v>ПРОИЗВОДСТВО</v>
      </c>
      <c r="D48" t="str">
        <f>'[1]2021 УГРЦТ'!D51</f>
        <v>Сооружения</v>
      </c>
      <c r="E48" t="str">
        <f>'[1]2021 УГРЦТ'!E51</f>
        <v>01.01.1955</v>
      </c>
      <c r="F48" t="str">
        <f>'[1]2021 УГРЦТ'!F51</f>
        <v>Электрический цех</v>
      </c>
      <c r="G48">
        <f>'[1]2021 УГРЦТ'!AC51</f>
        <v>360</v>
      </c>
      <c r="H48" s="7">
        <f>'[1]2021 УГРЦТ'!X51</f>
        <v>483624.2</v>
      </c>
      <c r="I48" s="7">
        <f>'[1]2021 УГРЦТ'!Y51</f>
        <v>125810.16</v>
      </c>
      <c r="J48" s="7">
        <f>'[1]2021 УГРЦТ'!Z51</f>
        <v>357814.04000000004</v>
      </c>
      <c r="K48" s="8">
        <v>1</v>
      </c>
      <c r="L48" s="7">
        <v>1310.68</v>
      </c>
      <c r="M48" s="7"/>
      <c r="N48" s="7">
        <f t="shared" si="0"/>
        <v>15728.16</v>
      </c>
      <c r="O48" s="7">
        <f t="shared" si="41"/>
        <v>356503.36000000004</v>
      </c>
      <c r="P48" s="7">
        <f t="shared" si="216"/>
        <v>355192.68000000005</v>
      </c>
      <c r="Q48" s="7">
        <f t="shared" si="216"/>
        <v>353882.00000000006</v>
      </c>
      <c r="R48" s="7">
        <f t="shared" si="216"/>
        <v>352571.32000000007</v>
      </c>
      <c r="S48" s="7">
        <f t="shared" si="216"/>
        <v>351260.64000000007</v>
      </c>
      <c r="T48" s="7">
        <f t="shared" si="216"/>
        <v>349949.96000000008</v>
      </c>
      <c r="U48" s="7">
        <f t="shared" si="216"/>
        <v>348639.28000000009</v>
      </c>
      <c r="V48" s="7">
        <f t="shared" si="216"/>
        <v>347328.60000000009</v>
      </c>
      <c r="W48" s="7">
        <f t="shared" si="216"/>
        <v>346017.9200000001</v>
      </c>
      <c r="X48" s="7">
        <f t="shared" si="216"/>
        <v>344707.24000000011</v>
      </c>
      <c r="Y48" s="7">
        <f t="shared" si="216"/>
        <v>343396.56000000011</v>
      </c>
      <c r="Z48" s="7">
        <f t="shared" si="216"/>
        <v>342085.88000000012</v>
      </c>
      <c r="AA48" s="7">
        <f t="shared" ref="AA48:AA50" si="258">SUM(O48:Z48,J48)/13*$AA$1</f>
        <v>7698.8991200000009</v>
      </c>
      <c r="AB48" s="7"/>
      <c r="AC48" s="7">
        <f t="shared" si="43"/>
        <v>15728.16</v>
      </c>
      <c r="AD48" s="7">
        <f t="shared" si="44"/>
        <v>340775.20000000013</v>
      </c>
      <c r="AE48" s="7">
        <f t="shared" si="218"/>
        <v>339464.52000000014</v>
      </c>
      <c r="AF48" s="7">
        <f t="shared" si="218"/>
        <v>338153.84000000014</v>
      </c>
      <c r="AG48" s="7">
        <f t="shared" si="218"/>
        <v>336843.16000000015</v>
      </c>
      <c r="AH48" s="7">
        <f t="shared" si="218"/>
        <v>335532.48000000016</v>
      </c>
      <c r="AI48" s="7">
        <f t="shared" si="218"/>
        <v>334221.80000000016</v>
      </c>
      <c r="AJ48" s="7">
        <f t="shared" si="218"/>
        <v>332911.12000000017</v>
      </c>
      <c r="AK48" s="7">
        <f t="shared" si="218"/>
        <v>331600.44000000018</v>
      </c>
      <c r="AL48" s="7">
        <f t="shared" si="218"/>
        <v>330289.76000000018</v>
      </c>
      <c r="AM48" s="7">
        <f t="shared" si="218"/>
        <v>328979.08000000019</v>
      </c>
      <c r="AN48" s="7">
        <f t="shared" si="218"/>
        <v>327668.4000000002</v>
      </c>
      <c r="AO48" s="7">
        <f t="shared" si="218"/>
        <v>326357.7200000002</v>
      </c>
      <c r="AP48" s="222">
        <f>IF(K48&lt;1,0,SUM(AD48:AO48,Z48)/13*$BG$1)</f>
        <v>7352.8796000000029</v>
      </c>
      <c r="AQ48" s="7">
        <v>1310.68</v>
      </c>
      <c r="AR48" s="7">
        <f t="shared" si="45"/>
        <v>1310.679999999993</v>
      </c>
      <c r="AS48" s="7">
        <f t="shared" si="46"/>
        <v>-7.0485839387401938E-12</v>
      </c>
      <c r="AT48" s="7">
        <f t="shared" ref="AT48:AT51" si="259">L48*12</f>
        <v>15728.16</v>
      </c>
      <c r="AU48" s="7">
        <f>AO48-$L48</f>
        <v>325047.04000000021</v>
      </c>
      <c r="AV48" s="7">
        <f t="shared" ref="AV48:BF51" si="260">AU48-$L48</f>
        <v>323736.36000000022</v>
      </c>
      <c r="AW48" s="7">
        <f t="shared" si="260"/>
        <v>322425.68000000023</v>
      </c>
      <c r="AX48" s="7">
        <f t="shared" si="260"/>
        <v>321115.00000000023</v>
      </c>
      <c r="AY48" s="7">
        <f t="shared" si="260"/>
        <v>319804.32000000024</v>
      </c>
      <c r="AZ48" s="7">
        <f t="shared" si="260"/>
        <v>318493.64000000025</v>
      </c>
      <c r="BA48" s="7">
        <f t="shared" si="260"/>
        <v>317182.96000000025</v>
      </c>
      <c r="BB48" s="7">
        <f t="shared" si="260"/>
        <v>315872.28000000026</v>
      </c>
      <c r="BC48" s="7">
        <f t="shared" si="260"/>
        <v>314561.60000000027</v>
      </c>
      <c r="BD48" s="7">
        <f t="shared" si="260"/>
        <v>313250.92000000027</v>
      </c>
      <c r="BE48" s="7">
        <f t="shared" si="260"/>
        <v>311940.24000000028</v>
      </c>
      <c r="BF48" s="7">
        <f t="shared" si="260"/>
        <v>310629.56000000029</v>
      </c>
      <c r="BG48" s="236">
        <f t="shared" si="5"/>
        <v>7006.8600800000049</v>
      </c>
      <c r="BH48" s="7">
        <v>1310.68</v>
      </c>
      <c r="BI48" s="39">
        <f>BH48*12</f>
        <v>15728.16</v>
      </c>
      <c r="BJ48" s="7">
        <f>BF48-BH48</f>
        <v>309318.8800000003</v>
      </c>
      <c r="BK48" s="7">
        <f t="shared" ref="BK48:BK51" si="261">BJ48-$L48</f>
        <v>308008.2000000003</v>
      </c>
      <c r="BL48" s="7">
        <f t="shared" ref="BL48:BL51" si="262">BK48-$L48</f>
        <v>306697.52000000031</v>
      </c>
      <c r="BM48" s="7">
        <f t="shared" ref="BM48:BM51" si="263">BL48-$L48</f>
        <v>305386.84000000032</v>
      </c>
      <c r="BN48" s="7">
        <f t="shared" ref="BN48:BN51" si="264">BM48-$L48</f>
        <v>304076.16000000032</v>
      </c>
      <c r="BO48" s="7">
        <f t="shared" ref="BO48:BO51" si="265">BN48-$L48</f>
        <v>302765.48000000033</v>
      </c>
      <c r="BP48" s="7">
        <f t="shared" ref="BP48:BP51" si="266">BO48-$L48</f>
        <v>301454.80000000034</v>
      </c>
      <c r="BQ48" s="7">
        <f t="shared" ref="BQ48:BQ51" si="267">BP48-$L48</f>
        <v>300144.12000000034</v>
      </c>
      <c r="BR48" s="7">
        <f t="shared" ref="BR48:BR51" si="268">BQ48-$L48</f>
        <v>298833.44000000035</v>
      </c>
      <c r="BS48" s="7">
        <f t="shared" ref="BS48:BS51" si="269">BR48-$L48</f>
        <v>297522.76000000036</v>
      </c>
      <c r="BT48" s="7">
        <f t="shared" ref="BT48:BT51" si="270">BS48-$L48</f>
        <v>296212.08000000037</v>
      </c>
      <c r="BU48" s="7">
        <f t="shared" ref="BU48:BU51" si="271">BT48-$L48</f>
        <v>294901.40000000037</v>
      </c>
      <c r="BV48" s="236">
        <f t="shared" si="254"/>
        <v>6660.8405600000078</v>
      </c>
      <c r="BW48" s="7">
        <v>1310.68</v>
      </c>
      <c r="BX48" s="39">
        <f>BW48*12</f>
        <v>15728.16</v>
      </c>
      <c r="BY48" s="7">
        <f>BU48-BW48</f>
        <v>293590.72000000038</v>
      </c>
      <c r="BZ48" s="7">
        <f t="shared" ref="BZ48:BZ51" si="272">BY48-$L48</f>
        <v>292280.04000000039</v>
      </c>
      <c r="CA48" s="7">
        <f t="shared" ref="CA48:CA51" si="273">BZ48-$L48</f>
        <v>290969.36000000039</v>
      </c>
      <c r="CB48" s="7">
        <f t="shared" ref="CB48:CB51" si="274">CA48-$L48</f>
        <v>289658.6800000004</v>
      </c>
      <c r="CC48" s="7">
        <f t="shared" ref="CC48:CC51" si="275">CB48-$L48</f>
        <v>288348.00000000041</v>
      </c>
      <c r="CD48" s="7">
        <f t="shared" ref="CD48:CD51" si="276">CC48-$L48</f>
        <v>287037.32000000041</v>
      </c>
      <c r="CE48" s="7">
        <f t="shared" ref="CE48:CE51" si="277">CD48-$L48</f>
        <v>285726.64000000042</v>
      </c>
      <c r="CF48" s="7">
        <f t="shared" ref="CF48:CF51" si="278">CE48-$L48</f>
        <v>284415.96000000043</v>
      </c>
      <c r="CG48" s="7">
        <f t="shared" ref="CG48:CG51" si="279">CF48-$L48</f>
        <v>283105.28000000044</v>
      </c>
      <c r="CH48" s="7">
        <f t="shared" ref="CH48:CH51" si="280">CG48-$L48</f>
        <v>281794.60000000044</v>
      </c>
      <c r="CI48" s="7">
        <f t="shared" ref="CI48:CI51" si="281">CH48-$L48</f>
        <v>280483.92000000045</v>
      </c>
      <c r="CJ48" s="7">
        <f t="shared" ref="CJ48:CJ51" si="282">CI48-$L48</f>
        <v>279173.24000000046</v>
      </c>
      <c r="CK48" s="236">
        <f t="shared" si="255"/>
        <v>6314.8210400000089</v>
      </c>
      <c r="CL48" s="7">
        <v>1310.68</v>
      </c>
      <c r="CM48" s="39">
        <f>CL48*12</f>
        <v>15728.16</v>
      </c>
      <c r="CN48" s="7">
        <f>CJ48-CL48</f>
        <v>277862.56000000046</v>
      </c>
      <c r="CO48" s="7">
        <f t="shared" ref="CO48:CO51" si="283">CN48-$L48</f>
        <v>276551.88000000047</v>
      </c>
      <c r="CP48" s="7">
        <f t="shared" ref="CP48:CP51" si="284">CO48-$L48</f>
        <v>275241.20000000048</v>
      </c>
      <c r="CQ48" s="7">
        <f t="shared" ref="CQ48:CQ51" si="285">CP48-$L48</f>
        <v>273930.52000000048</v>
      </c>
      <c r="CR48" s="7">
        <f t="shared" ref="CR48:CR51" si="286">CQ48-$L48</f>
        <v>272619.84000000049</v>
      </c>
      <c r="CS48" s="7">
        <f t="shared" ref="CS48:CS51" si="287">CR48-$L48</f>
        <v>271309.1600000005</v>
      </c>
      <c r="CT48" s="7">
        <f t="shared" ref="CT48:CT50" si="288">CS48-$L48</f>
        <v>269998.48000000051</v>
      </c>
      <c r="CU48" s="7">
        <f t="shared" ref="CU48:CU50" si="289">CT48-$L48</f>
        <v>268687.80000000051</v>
      </c>
      <c r="CV48" s="7">
        <f t="shared" ref="CV48:CV50" si="290">CU48-$L48</f>
        <v>267377.12000000052</v>
      </c>
      <c r="CW48" s="7">
        <f t="shared" ref="CW48:CW50" si="291">CV48-$L48</f>
        <v>266066.44000000053</v>
      </c>
      <c r="CX48" s="7">
        <f t="shared" ref="CX48:CX50" si="292">CW48-$L48</f>
        <v>264755.76000000053</v>
      </c>
      <c r="CY48" s="7">
        <f t="shared" ref="CY48:CY50" si="293">CX48-$L48</f>
        <v>263445.08000000054</v>
      </c>
      <c r="CZ48" s="236">
        <f t="shared" si="256"/>
        <v>5968.8015200000109</v>
      </c>
    </row>
    <row r="49" spans="1:104" x14ac:dyDescent="0.2">
      <c r="A49" s="6" t="str">
        <f>'[1]2021 УГРЦТ'!A52</f>
        <v>Кабельные линии 6 кв 2003г.</v>
      </c>
      <c r="B49" t="str">
        <f>'[1]2021 УГРЦТ'!B52</f>
        <v>00000597</v>
      </c>
      <c r="C49" t="str">
        <f>'[1]2021 УГРЦТ'!C52</f>
        <v>ПРОИЗВОДСТВО</v>
      </c>
      <c r="D49" t="str">
        <f>'[1]2021 УГРЦТ'!D52</f>
        <v>Сооружения</v>
      </c>
      <c r="E49" t="str">
        <f>'[1]2021 УГРЦТ'!E52</f>
        <v>01.10.2003</v>
      </c>
      <c r="F49" t="str">
        <f>'[1]2021 УГРЦТ'!F52</f>
        <v>Электрический цех</v>
      </c>
      <c r="G49">
        <f>'[1]2021 УГРЦТ'!AC52</f>
        <v>300</v>
      </c>
      <c r="H49" s="7">
        <f>'[1]2021 УГРЦТ'!X52</f>
        <v>659676</v>
      </c>
      <c r="I49" s="7">
        <f>'[1]2021 УГРЦТ'!Y52</f>
        <v>479364.56</v>
      </c>
      <c r="J49" s="7">
        <f>'[1]2021 УГРЦТ'!Z52</f>
        <v>180311.44</v>
      </c>
      <c r="K49" s="8">
        <v>1</v>
      </c>
      <c r="L49" s="7">
        <v>2198.9199999999996</v>
      </c>
      <c r="M49" s="7"/>
      <c r="N49" s="7">
        <f t="shared" si="0"/>
        <v>26387.039999999994</v>
      </c>
      <c r="O49" s="7">
        <f t="shared" si="41"/>
        <v>178112.52</v>
      </c>
      <c r="P49" s="7">
        <f t="shared" si="216"/>
        <v>175913.59999999998</v>
      </c>
      <c r="Q49" s="7">
        <f t="shared" si="216"/>
        <v>173714.67999999996</v>
      </c>
      <c r="R49" s="7">
        <f t="shared" si="216"/>
        <v>171515.75999999995</v>
      </c>
      <c r="S49" s="7">
        <f t="shared" si="216"/>
        <v>169316.83999999994</v>
      </c>
      <c r="T49" s="7">
        <f t="shared" si="216"/>
        <v>167117.91999999993</v>
      </c>
      <c r="U49" s="7">
        <f t="shared" si="216"/>
        <v>164918.99999999991</v>
      </c>
      <c r="V49" s="7">
        <f t="shared" si="216"/>
        <v>162720.0799999999</v>
      </c>
      <c r="W49" s="7">
        <f t="shared" si="216"/>
        <v>160521.15999999989</v>
      </c>
      <c r="X49" s="7">
        <f t="shared" si="216"/>
        <v>158322.23999999987</v>
      </c>
      <c r="Y49" s="7">
        <f t="shared" si="216"/>
        <v>156123.31999999986</v>
      </c>
      <c r="Z49" s="7">
        <f t="shared" si="216"/>
        <v>153924.39999999985</v>
      </c>
      <c r="AA49" s="7">
        <f t="shared" si="258"/>
        <v>3676.5942399999981</v>
      </c>
      <c r="AB49" s="7"/>
      <c r="AC49" s="7">
        <f t="shared" si="43"/>
        <v>26387.039999999994</v>
      </c>
      <c r="AD49" s="7">
        <f t="shared" si="44"/>
        <v>151725.47999999984</v>
      </c>
      <c r="AE49" s="7">
        <f t="shared" si="218"/>
        <v>149526.55999999982</v>
      </c>
      <c r="AF49" s="7">
        <f t="shared" si="218"/>
        <v>147327.63999999981</v>
      </c>
      <c r="AG49" s="7">
        <f t="shared" si="218"/>
        <v>145128.7199999998</v>
      </c>
      <c r="AH49" s="7">
        <f t="shared" si="218"/>
        <v>142929.79999999978</v>
      </c>
      <c r="AI49" s="7">
        <f t="shared" si="218"/>
        <v>140730.87999999977</v>
      </c>
      <c r="AJ49" s="7">
        <f t="shared" si="218"/>
        <v>138531.95999999976</v>
      </c>
      <c r="AK49" s="7">
        <f t="shared" si="218"/>
        <v>136333.03999999975</v>
      </c>
      <c r="AL49" s="7">
        <f t="shared" si="218"/>
        <v>134134.11999999973</v>
      </c>
      <c r="AM49" s="7">
        <f t="shared" si="218"/>
        <v>131935.19999999972</v>
      </c>
      <c r="AN49" s="7">
        <f t="shared" si="218"/>
        <v>129736.27999999972</v>
      </c>
      <c r="AO49" s="7">
        <f t="shared" si="218"/>
        <v>127537.35999999972</v>
      </c>
      <c r="AP49" s="222">
        <f>IF(K49&lt;1,0,SUM(AD49:AO49,Z49)/13*$BG$1)</f>
        <v>3096.0793599999947</v>
      </c>
      <c r="AQ49" s="7">
        <v>2198.9199999999996</v>
      </c>
      <c r="AR49" s="7">
        <f t="shared" si="45"/>
        <v>2198.9199999999983</v>
      </c>
      <c r="AS49" s="7">
        <f t="shared" si="46"/>
        <v>0</v>
      </c>
      <c r="AT49" s="7">
        <f t="shared" si="259"/>
        <v>26387.039999999994</v>
      </c>
      <c r="AU49" s="7">
        <f>AO49-$L49</f>
        <v>125338.43999999973</v>
      </c>
      <c r="AV49" s="7">
        <f t="shared" si="260"/>
        <v>123139.51999999973</v>
      </c>
      <c r="AW49" s="7">
        <f t="shared" si="260"/>
        <v>120940.59999999973</v>
      </c>
      <c r="AX49" s="7">
        <f t="shared" si="260"/>
        <v>118741.67999999973</v>
      </c>
      <c r="AY49" s="7">
        <f t="shared" si="260"/>
        <v>116542.75999999973</v>
      </c>
      <c r="AZ49" s="7">
        <f t="shared" si="260"/>
        <v>114343.83999999973</v>
      </c>
      <c r="BA49" s="7">
        <f t="shared" si="260"/>
        <v>112144.91999999974</v>
      </c>
      <c r="BB49" s="7">
        <f t="shared" si="260"/>
        <v>109945.99999999974</v>
      </c>
      <c r="BC49" s="7">
        <f t="shared" si="260"/>
        <v>107747.07999999974</v>
      </c>
      <c r="BD49" s="7">
        <f t="shared" si="260"/>
        <v>105548.15999999974</v>
      </c>
      <c r="BE49" s="7">
        <f t="shared" si="260"/>
        <v>103349.23999999974</v>
      </c>
      <c r="BF49" s="7">
        <f t="shared" si="260"/>
        <v>101150.31999999975</v>
      </c>
      <c r="BG49" s="236">
        <f t="shared" si="5"/>
        <v>2515.5644799999945</v>
      </c>
      <c r="BH49" s="7">
        <v>2198.9199999999996</v>
      </c>
      <c r="BI49" s="39">
        <f>BH49*12</f>
        <v>26387.039999999994</v>
      </c>
      <c r="BJ49" s="7">
        <f>BF49-BH49</f>
        <v>98951.399999999747</v>
      </c>
      <c r="BK49" s="7">
        <f t="shared" si="261"/>
        <v>96752.479999999749</v>
      </c>
      <c r="BL49" s="7">
        <f t="shared" si="262"/>
        <v>94553.55999999975</v>
      </c>
      <c r="BM49" s="7">
        <f t="shared" si="263"/>
        <v>92354.639999999752</v>
      </c>
      <c r="BN49" s="7">
        <f t="shared" si="264"/>
        <v>90155.719999999754</v>
      </c>
      <c r="BO49" s="7">
        <f t="shared" si="265"/>
        <v>87956.799999999756</v>
      </c>
      <c r="BP49" s="7">
        <f t="shared" si="266"/>
        <v>85757.879999999757</v>
      </c>
      <c r="BQ49" s="7">
        <f t="shared" si="267"/>
        <v>83558.959999999759</v>
      </c>
      <c r="BR49" s="7">
        <f t="shared" si="268"/>
        <v>81360.039999999761</v>
      </c>
      <c r="BS49" s="7">
        <f t="shared" si="269"/>
        <v>79161.119999999763</v>
      </c>
      <c r="BT49" s="7">
        <f t="shared" si="270"/>
        <v>76962.199999999764</v>
      </c>
      <c r="BU49" s="7">
        <f t="shared" si="271"/>
        <v>74763.279999999766</v>
      </c>
      <c r="BV49" s="236">
        <f t="shared" si="254"/>
        <v>1935.0495999999946</v>
      </c>
      <c r="BW49" s="7">
        <v>2198.9199999999996</v>
      </c>
      <c r="BX49" s="39">
        <f>BW49*12</f>
        <v>26387.039999999994</v>
      </c>
      <c r="BY49" s="7">
        <f>BU49-BW49</f>
        <v>72564.359999999768</v>
      </c>
      <c r="BZ49" s="7">
        <f t="shared" si="272"/>
        <v>70365.439999999769</v>
      </c>
      <c r="CA49" s="7">
        <f t="shared" si="273"/>
        <v>68166.519999999771</v>
      </c>
      <c r="CB49" s="7">
        <f t="shared" si="274"/>
        <v>65967.599999999773</v>
      </c>
      <c r="CC49" s="7">
        <f t="shared" si="275"/>
        <v>63768.679999999775</v>
      </c>
      <c r="CD49" s="7">
        <f t="shared" si="276"/>
        <v>61569.759999999776</v>
      </c>
      <c r="CE49" s="7">
        <f t="shared" si="277"/>
        <v>59370.839999999778</v>
      </c>
      <c r="CF49" s="7">
        <f t="shared" si="278"/>
        <v>57171.91999999978</v>
      </c>
      <c r="CG49" s="7">
        <f t="shared" si="279"/>
        <v>54972.999999999782</v>
      </c>
      <c r="CH49" s="7">
        <f t="shared" si="280"/>
        <v>52774.079999999783</v>
      </c>
      <c r="CI49" s="7">
        <f t="shared" si="281"/>
        <v>50575.159999999785</v>
      </c>
      <c r="CJ49" s="7">
        <f t="shared" si="282"/>
        <v>48376.239999999787</v>
      </c>
      <c r="CK49" s="236">
        <f t="shared" si="255"/>
        <v>1354.5347199999951</v>
      </c>
      <c r="CL49" s="7">
        <v>2198.9199999999996</v>
      </c>
      <c r="CM49" s="39">
        <f>CL49*12</f>
        <v>26387.039999999994</v>
      </c>
      <c r="CN49" s="7">
        <f>CJ49-CL49</f>
        <v>46177.319999999789</v>
      </c>
      <c r="CO49" s="7">
        <f t="shared" si="283"/>
        <v>43978.39999999979</v>
      </c>
      <c r="CP49" s="7">
        <f t="shared" si="284"/>
        <v>41779.479999999792</v>
      </c>
      <c r="CQ49" s="7">
        <f t="shared" si="285"/>
        <v>39580.559999999794</v>
      </c>
      <c r="CR49" s="7">
        <f t="shared" si="286"/>
        <v>37381.639999999796</v>
      </c>
      <c r="CS49" s="7">
        <f t="shared" si="287"/>
        <v>35182.719999999797</v>
      </c>
      <c r="CT49" s="7">
        <f t="shared" si="288"/>
        <v>32983.799999999799</v>
      </c>
      <c r="CU49" s="7">
        <f t="shared" si="289"/>
        <v>30784.879999999801</v>
      </c>
      <c r="CV49" s="7">
        <f t="shared" si="290"/>
        <v>28585.959999999803</v>
      </c>
      <c r="CW49" s="7">
        <f t="shared" si="291"/>
        <v>26387.039999999804</v>
      </c>
      <c r="CX49" s="7">
        <f t="shared" si="292"/>
        <v>24188.119999999806</v>
      </c>
      <c r="CY49" s="7">
        <f t="shared" si="293"/>
        <v>21989.199999999808</v>
      </c>
      <c r="CZ49" s="236">
        <f t="shared" si="256"/>
        <v>774.01983999999561</v>
      </c>
    </row>
    <row r="50" spans="1:104" x14ac:dyDescent="0.2">
      <c r="A50" s="6" t="str">
        <f>'[1]2021 УГРЦТ'!A53</f>
        <v>КЛ 0,4 кВ "РШ-8-РЩ"Гараж. Новый бокс"</v>
      </c>
      <c r="B50" t="str">
        <f>'[1]2021 УГРЦТ'!B53</f>
        <v>000001647</v>
      </c>
      <c r="C50" t="str">
        <f>'[1]2021 УГРЦТ'!C53</f>
        <v>ПРОИЗВОДСТВО</v>
      </c>
      <c r="D50" t="str">
        <f>'[1]2021 УГРЦТ'!D53</f>
        <v>Сооружения</v>
      </c>
      <c r="E50" t="str">
        <f>'[1]2021 УГРЦТ'!E53</f>
        <v>31.12.2014</v>
      </c>
      <c r="F50" t="str">
        <f>'[1]2021 УГРЦТ'!F53</f>
        <v>Электрический цех</v>
      </c>
      <c r="G50">
        <f>'[1]2021 УГРЦТ'!AC53</f>
        <v>300</v>
      </c>
      <c r="H50" s="7">
        <f>'[1]2021 УГРЦТ'!X53</f>
        <v>45504.01</v>
      </c>
      <c r="I50" s="7">
        <f>'[1]2021 УГРЦТ'!Y53</f>
        <v>12741.1204</v>
      </c>
      <c r="J50" s="7">
        <f>'[1]2021 УГРЦТ'!Z53</f>
        <v>32762.889600000002</v>
      </c>
      <c r="K50" s="8">
        <v>1</v>
      </c>
      <c r="L50" s="7">
        <v>151.68000000000004</v>
      </c>
      <c r="M50" s="7"/>
      <c r="N50" s="7">
        <f t="shared" si="0"/>
        <v>1820.1600000000003</v>
      </c>
      <c r="O50" s="7">
        <f t="shared" si="41"/>
        <v>32611.209600000002</v>
      </c>
      <c r="P50" s="7">
        <f t="shared" si="216"/>
        <v>32459.529600000002</v>
      </c>
      <c r="Q50" s="7">
        <f t="shared" si="216"/>
        <v>32307.849600000001</v>
      </c>
      <c r="R50" s="7">
        <f t="shared" si="216"/>
        <v>32156.169600000001</v>
      </c>
      <c r="S50" s="7">
        <f t="shared" si="216"/>
        <v>32004.489600000001</v>
      </c>
      <c r="T50" s="7">
        <f t="shared" si="216"/>
        <v>31852.809600000001</v>
      </c>
      <c r="U50" s="7">
        <f t="shared" si="216"/>
        <v>31701.1296</v>
      </c>
      <c r="V50" s="7">
        <f t="shared" si="216"/>
        <v>31549.4496</v>
      </c>
      <c r="W50" s="7">
        <f t="shared" si="216"/>
        <v>31397.7696</v>
      </c>
      <c r="X50" s="7">
        <f t="shared" si="216"/>
        <v>31246.089599999999</v>
      </c>
      <c r="Y50" s="7">
        <f t="shared" si="216"/>
        <v>31094.409599999999</v>
      </c>
      <c r="Z50" s="7">
        <f t="shared" si="216"/>
        <v>30942.729599999999</v>
      </c>
      <c r="AA50" s="7">
        <f t="shared" si="258"/>
        <v>700.76181120000001</v>
      </c>
      <c r="AB50" s="7"/>
      <c r="AC50" s="7">
        <f t="shared" si="43"/>
        <v>1820.1600000000003</v>
      </c>
      <c r="AD50" s="7">
        <f t="shared" si="44"/>
        <v>30791.049599999998</v>
      </c>
      <c r="AE50" s="7">
        <f t="shared" si="218"/>
        <v>30639.369599999998</v>
      </c>
      <c r="AF50" s="7">
        <f t="shared" si="218"/>
        <v>30487.689599999998</v>
      </c>
      <c r="AG50" s="7">
        <f t="shared" si="218"/>
        <v>30336.009599999998</v>
      </c>
      <c r="AH50" s="7">
        <f t="shared" si="218"/>
        <v>30184.329599999997</v>
      </c>
      <c r="AI50" s="7">
        <f t="shared" si="218"/>
        <v>30032.649599999997</v>
      </c>
      <c r="AJ50" s="7">
        <f t="shared" si="218"/>
        <v>29880.969599999997</v>
      </c>
      <c r="AK50" s="7">
        <f t="shared" si="218"/>
        <v>29729.289599999996</v>
      </c>
      <c r="AL50" s="7">
        <f t="shared" si="218"/>
        <v>29577.609599999996</v>
      </c>
      <c r="AM50" s="7">
        <f t="shared" si="218"/>
        <v>29425.929599999996</v>
      </c>
      <c r="AN50" s="7">
        <f t="shared" si="218"/>
        <v>29274.249599999996</v>
      </c>
      <c r="AO50" s="7">
        <f t="shared" si="218"/>
        <v>29122.569599999995</v>
      </c>
      <c r="AP50" s="222">
        <f>IF(K50&lt;1,0,SUM(AD50:AO50,Z50)/13*$BG$1)</f>
        <v>660.71829119999984</v>
      </c>
      <c r="AQ50" s="7">
        <v>151.68000000000004</v>
      </c>
      <c r="AR50" s="7">
        <f t="shared" si="45"/>
        <v>151.68000000000029</v>
      </c>
      <c r="AS50" s="7">
        <f t="shared" si="46"/>
        <v>2.5579538487363607E-13</v>
      </c>
      <c r="AT50" s="7">
        <f t="shared" si="259"/>
        <v>1820.1600000000003</v>
      </c>
      <c r="AU50" s="7">
        <f>AO50-$L50</f>
        <v>28970.889599999995</v>
      </c>
      <c r="AV50" s="7">
        <f t="shared" si="260"/>
        <v>28819.209599999995</v>
      </c>
      <c r="AW50" s="7">
        <f t="shared" si="260"/>
        <v>28667.529599999994</v>
      </c>
      <c r="AX50" s="7">
        <f t="shared" si="260"/>
        <v>28515.849599999994</v>
      </c>
      <c r="AY50" s="7">
        <f t="shared" si="260"/>
        <v>28364.169599999994</v>
      </c>
      <c r="AZ50" s="7">
        <f t="shared" si="260"/>
        <v>28212.489599999994</v>
      </c>
      <c r="BA50" s="7">
        <f t="shared" si="260"/>
        <v>28060.809599999993</v>
      </c>
      <c r="BB50" s="7">
        <f t="shared" si="260"/>
        <v>27909.129599999993</v>
      </c>
      <c r="BC50" s="7">
        <f t="shared" si="260"/>
        <v>27757.449599999993</v>
      </c>
      <c r="BD50" s="7">
        <f t="shared" si="260"/>
        <v>27605.769599999992</v>
      </c>
      <c r="BE50" s="7">
        <f t="shared" si="260"/>
        <v>27454.089599999992</v>
      </c>
      <c r="BF50" s="7">
        <f t="shared" si="260"/>
        <v>27302.409599999992</v>
      </c>
      <c r="BG50" s="236">
        <f t="shared" si="5"/>
        <v>620.67477119999978</v>
      </c>
      <c r="BH50" s="7">
        <v>151.68000000000004</v>
      </c>
      <c r="BI50" s="39">
        <f>BH50*12</f>
        <v>1820.1600000000003</v>
      </c>
      <c r="BJ50" s="7">
        <f>BF50-BH50</f>
        <v>27150.729599999991</v>
      </c>
      <c r="BK50" s="7">
        <f t="shared" si="261"/>
        <v>26999.049599999991</v>
      </c>
      <c r="BL50" s="7">
        <f t="shared" si="262"/>
        <v>26847.369599999991</v>
      </c>
      <c r="BM50" s="7">
        <f t="shared" si="263"/>
        <v>26695.689599999991</v>
      </c>
      <c r="BN50" s="7">
        <f t="shared" si="264"/>
        <v>26544.00959999999</v>
      </c>
      <c r="BO50" s="7">
        <f t="shared" si="265"/>
        <v>26392.32959999999</v>
      </c>
      <c r="BP50" s="7">
        <f t="shared" si="266"/>
        <v>26240.64959999999</v>
      </c>
      <c r="BQ50" s="7">
        <f t="shared" si="267"/>
        <v>26088.969599999989</v>
      </c>
      <c r="BR50" s="7">
        <f t="shared" si="268"/>
        <v>25937.289599999989</v>
      </c>
      <c r="BS50" s="7">
        <f t="shared" si="269"/>
        <v>25785.609599999989</v>
      </c>
      <c r="BT50" s="7">
        <f t="shared" si="270"/>
        <v>25633.929599999989</v>
      </c>
      <c r="BU50" s="7">
        <f t="shared" si="271"/>
        <v>25482.249599999988</v>
      </c>
      <c r="BV50" s="236">
        <f t="shared" si="254"/>
        <v>580.63125119999972</v>
      </c>
      <c r="BW50" s="7">
        <v>151.68000000000004</v>
      </c>
      <c r="BX50" s="39">
        <f>BW50*12</f>
        <v>1820.1600000000003</v>
      </c>
      <c r="BY50" s="7">
        <f>BU50-BW50</f>
        <v>25330.569599999988</v>
      </c>
      <c r="BZ50" s="7">
        <f t="shared" si="272"/>
        <v>25178.889599999988</v>
      </c>
      <c r="CA50" s="7">
        <f t="shared" si="273"/>
        <v>25027.209599999987</v>
      </c>
      <c r="CB50" s="7">
        <f t="shared" si="274"/>
        <v>24875.529599999987</v>
      </c>
      <c r="CC50" s="7">
        <f t="shared" si="275"/>
        <v>24723.849599999987</v>
      </c>
      <c r="CD50" s="7">
        <f t="shared" si="276"/>
        <v>24572.169599999987</v>
      </c>
      <c r="CE50" s="7">
        <f t="shared" si="277"/>
        <v>24420.489599999986</v>
      </c>
      <c r="CF50" s="7">
        <f t="shared" si="278"/>
        <v>24268.809599999986</v>
      </c>
      <c r="CG50" s="7">
        <f t="shared" si="279"/>
        <v>24117.129599999986</v>
      </c>
      <c r="CH50" s="7">
        <f t="shared" si="280"/>
        <v>23965.449599999985</v>
      </c>
      <c r="CI50" s="7">
        <f t="shared" si="281"/>
        <v>23813.769599999985</v>
      </c>
      <c r="CJ50" s="7">
        <f t="shared" si="282"/>
        <v>23662.089599999985</v>
      </c>
      <c r="CK50" s="236">
        <f t="shared" si="255"/>
        <v>540.58773119999967</v>
      </c>
      <c r="CL50" s="7">
        <v>151.68000000000004</v>
      </c>
      <c r="CM50" s="39">
        <f>CL50*12</f>
        <v>1820.1600000000003</v>
      </c>
      <c r="CN50" s="7">
        <f>CJ50-CL50</f>
        <v>23510.409599999984</v>
      </c>
      <c r="CO50" s="7">
        <f t="shared" si="283"/>
        <v>23358.729599999984</v>
      </c>
      <c r="CP50" s="7">
        <f t="shared" si="284"/>
        <v>23207.049599999984</v>
      </c>
      <c r="CQ50" s="7">
        <f t="shared" si="285"/>
        <v>23055.369599999984</v>
      </c>
      <c r="CR50" s="7">
        <f t="shared" si="286"/>
        <v>22903.689599999983</v>
      </c>
      <c r="CS50" s="7">
        <f t="shared" si="287"/>
        <v>22752.009599999983</v>
      </c>
      <c r="CT50" s="7">
        <f t="shared" si="288"/>
        <v>22600.329599999983</v>
      </c>
      <c r="CU50" s="7">
        <f t="shared" si="289"/>
        <v>22448.649599999982</v>
      </c>
      <c r="CV50" s="7">
        <f t="shared" si="290"/>
        <v>22296.969599999982</v>
      </c>
      <c r="CW50" s="7">
        <f t="shared" si="291"/>
        <v>22145.289599999982</v>
      </c>
      <c r="CX50" s="7">
        <f t="shared" si="292"/>
        <v>21993.609599999982</v>
      </c>
      <c r="CY50" s="7">
        <f t="shared" si="293"/>
        <v>21841.929599999981</v>
      </c>
      <c r="CZ50" s="236">
        <f t="shared" si="256"/>
        <v>500.54421119999967</v>
      </c>
    </row>
    <row r="51" spans="1:104" x14ac:dyDescent="0.2">
      <c r="A51" s="6" t="str">
        <f>'[1]2021 УГРЦТ'!A54</f>
        <v>Комплекс измерительно-поисковый КИП-2Т</v>
      </c>
      <c r="B51" t="str">
        <f>'[1]2021 УГРЦТ'!B54</f>
        <v>000001812</v>
      </c>
      <c r="C51" t="str">
        <f>'[1]2021 УГРЦТ'!C54</f>
        <v>ПРОИЗВОДСТВО</v>
      </c>
      <c r="D51" t="str">
        <f>'[1]2021 УГРЦТ'!D54</f>
        <v>Машины и оборудование (кроме офисного)</v>
      </c>
      <c r="E51" t="str">
        <f>'[1]2021 УГРЦТ'!E54</f>
        <v>15.06.2020</v>
      </c>
      <c r="F51" t="str">
        <f>'[1]2021 УГРЦТ'!F54</f>
        <v>Электрический цех</v>
      </c>
      <c r="G51">
        <f>'[1]2021 УГРЦТ'!AC54</f>
        <v>84</v>
      </c>
      <c r="H51" s="7">
        <f>'[1]2021 УГРЦТ'!X54</f>
        <v>188333.33</v>
      </c>
      <c r="I51" s="7">
        <f>'[1]2021 УГРЦТ'!Y54</f>
        <v>40357.121428571438</v>
      </c>
      <c r="J51" s="7">
        <f>'[1]2021 УГРЦТ'!Z54</f>
        <v>147976.20857142855</v>
      </c>
      <c r="K51" s="8">
        <v>0</v>
      </c>
      <c r="L51" s="7">
        <v>2242.0600000000004</v>
      </c>
      <c r="M51" s="7"/>
      <c r="N51" s="7">
        <f t="shared" si="0"/>
        <v>26904.720000000005</v>
      </c>
      <c r="O51" s="7">
        <f t="shared" si="41"/>
        <v>145734.14857142855</v>
      </c>
      <c r="P51" s="7">
        <f t="shared" si="216"/>
        <v>143492.08857142855</v>
      </c>
      <c r="Q51" s="7">
        <f t="shared" si="216"/>
        <v>141250.02857142856</v>
      </c>
      <c r="R51" s="7">
        <f t="shared" si="216"/>
        <v>139007.96857142856</v>
      </c>
      <c r="S51" s="7">
        <f t="shared" si="216"/>
        <v>136765.90857142856</v>
      </c>
      <c r="T51" s="7">
        <f t="shared" si="216"/>
        <v>134523.84857142856</v>
      </c>
      <c r="U51" s="7">
        <f t="shared" si="216"/>
        <v>132281.78857142857</v>
      </c>
      <c r="V51" s="7">
        <f t="shared" si="216"/>
        <v>130039.72857142857</v>
      </c>
      <c r="W51" s="7">
        <f t="shared" si="216"/>
        <v>127797.66857142857</v>
      </c>
      <c r="X51" s="7">
        <f t="shared" si="216"/>
        <v>125555.60857142857</v>
      </c>
      <c r="Y51" s="7">
        <f t="shared" si="216"/>
        <v>123313.54857142858</v>
      </c>
      <c r="Z51" s="7">
        <f t="shared" si="216"/>
        <v>121071.48857142858</v>
      </c>
      <c r="AA51" s="7"/>
      <c r="AB51" s="7"/>
      <c r="AC51" s="7">
        <f t="shared" si="43"/>
        <v>26904.720000000005</v>
      </c>
      <c r="AD51" s="7">
        <f t="shared" si="44"/>
        <v>118829.42857142858</v>
      </c>
      <c r="AE51" s="7">
        <f t="shared" si="218"/>
        <v>116587.36857142858</v>
      </c>
      <c r="AF51" s="7">
        <f t="shared" si="218"/>
        <v>114345.30857142858</v>
      </c>
      <c r="AG51" s="7">
        <f t="shared" si="218"/>
        <v>112103.24857142859</v>
      </c>
      <c r="AH51" s="7">
        <f t="shared" si="218"/>
        <v>109861.18857142859</v>
      </c>
      <c r="AI51" s="7">
        <f t="shared" si="218"/>
        <v>107619.12857142859</v>
      </c>
      <c r="AJ51" s="7">
        <f t="shared" si="218"/>
        <v>105377.06857142859</v>
      </c>
      <c r="AK51" s="7">
        <f t="shared" si="218"/>
        <v>103135.0085714286</v>
      </c>
      <c r="AL51" s="7">
        <f t="shared" si="218"/>
        <v>100892.9485714286</v>
      </c>
      <c r="AM51" s="7">
        <f t="shared" si="218"/>
        <v>98650.888571428601</v>
      </c>
      <c r="AN51" s="7">
        <f t="shared" si="218"/>
        <v>96408.828571428603</v>
      </c>
      <c r="AO51" s="7">
        <f t="shared" si="218"/>
        <v>94166.768571428605</v>
      </c>
      <c r="AP51" s="222"/>
      <c r="AQ51" s="7">
        <v>2242.0600000000004</v>
      </c>
      <c r="AR51" s="7">
        <f t="shared" si="45"/>
        <v>2242.0599999999977</v>
      </c>
      <c r="AS51" s="7">
        <f t="shared" si="46"/>
        <v>0</v>
      </c>
      <c r="AT51" s="7">
        <f t="shared" si="259"/>
        <v>26904.720000000005</v>
      </c>
      <c r="AU51" s="7">
        <f>AO51-$L51</f>
        <v>91924.708571428608</v>
      </c>
      <c r="AV51" s="7">
        <f t="shared" si="260"/>
        <v>89682.64857142861</v>
      </c>
      <c r="AW51" s="7">
        <f t="shared" si="260"/>
        <v>87440.588571428612</v>
      </c>
      <c r="AX51" s="7">
        <f t="shared" si="260"/>
        <v>85198.528571428615</v>
      </c>
      <c r="AY51" s="7">
        <f t="shared" si="260"/>
        <v>82956.468571428617</v>
      </c>
      <c r="AZ51" s="7">
        <f t="shared" si="260"/>
        <v>80714.408571428619</v>
      </c>
      <c r="BA51" s="7">
        <f t="shared" si="260"/>
        <v>78472.348571428622</v>
      </c>
      <c r="BB51" s="7">
        <f t="shared" si="260"/>
        <v>76230.288571428624</v>
      </c>
      <c r="BC51" s="7">
        <f t="shared" si="260"/>
        <v>73988.228571428626</v>
      </c>
      <c r="BD51" s="7">
        <f t="shared" si="260"/>
        <v>71746.168571428629</v>
      </c>
      <c r="BE51" s="7">
        <f t="shared" si="260"/>
        <v>69504.108571428631</v>
      </c>
      <c r="BF51" s="7">
        <f t="shared" si="260"/>
        <v>67262.048571428633</v>
      </c>
      <c r="BG51" s="236">
        <f t="shared" si="5"/>
        <v>0</v>
      </c>
      <c r="BH51" s="7">
        <v>2242.0600000000004</v>
      </c>
      <c r="BI51" s="39">
        <f>BH51*12</f>
        <v>26904.720000000005</v>
      </c>
      <c r="BJ51" s="7">
        <f>BF51-BH51</f>
        <v>65019.988571428636</v>
      </c>
      <c r="BK51" s="7">
        <f t="shared" si="261"/>
        <v>62777.928571428638</v>
      </c>
      <c r="BL51" s="7">
        <f t="shared" si="262"/>
        <v>60535.86857142864</v>
      </c>
      <c r="BM51" s="7">
        <f t="shared" si="263"/>
        <v>58293.808571428643</v>
      </c>
      <c r="BN51" s="7">
        <f t="shared" si="264"/>
        <v>56051.748571428645</v>
      </c>
      <c r="BO51" s="7">
        <f t="shared" si="265"/>
        <v>53809.688571428647</v>
      </c>
      <c r="BP51" s="7">
        <f t="shared" si="266"/>
        <v>51567.62857142865</v>
      </c>
      <c r="BQ51" s="7">
        <f t="shared" si="267"/>
        <v>49325.568571428652</v>
      </c>
      <c r="BR51" s="7">
        <f t="shared" si="268"/>
        <v>47083.508571428654</v>
      </c>
      <c r="BS51" s="7">
        <f t="shared" si="269"/>
        <v>44841.448571428657</v>
      </c>
      <c r="BT51" s="7">
        <f t="shared" si="270"/>
        <v>42599.388571428659</v>
      </c>
      <c r="BU51" s="7">
        <f t="shared" si="271"/>
        <v>40357.328571428661</v>
      </c>
      <c r="BV51" s="236">
        <v>0</v>
      </c>
      <c r="BW51" s="7">
        <v>2242.0600000000004</v>
      </c>
      <c r="BX51" s="39">
        <f>BW51*12</f>
        <v>26904.720000000005</v>
      </c>
      <c r="BY51" s="7">
        <f>BU51-BW51</f>
        <v>38115.268571428664</v>
      </c>
      <c r="BZ51" s="7">
        <f t="shared" si="272"/>
        <v>35873.208571428666</v>
      </c>
      <c r="CA51" s="7">
        <f t="shared" si="273"/>
        <v>33631.148571428668</v>
      </c>
      <c r="CB51" s="7">
        <f t="shared" si="274"/>
        <v>31389.088571428667</v>
      </c>
      <c r="CC51" s="7">
        <f t="shared" si="275"/>
        <v>29147.028571428666</v>
      </c>
      <c r="CD51" s="7">
        <f t="shared" si="276"/>
        <v>26904.968571428664</v>
      </c>
      <c r="CE51" s="7">
        <f t="shared" si="277"/>
        <v>24662.908571428663</v>
      </c>
      <c r="CF51" s="7">
        <f t="shared" si="278"/>
        <v>22420.848571428662</v>
      </c>
      <c r="CG51" s="7">
        <f t="shared" si="279"/>
        <v>20178.78857142866</v>
      </c>
      <c r="CH51" s="7">
        <f t="shared" si="280"/>
        <v>17936.728571428659</v>
      </c>
      <c r="CI51" s="7">
        <f t="shared" si="281"/>
        <v>15694.668571428658</v>
      </c>
      <c r="CJ51" s="7">
        <f t="shared" si="282"/>
        <v>13452.608571428656</v>
      </c>
      <c r="CK51" s="236">
        <v>0</v>
      </c>
      <c r="CL51" s="7">
        <v>2242.0600000000004</v>
      </c>
      <c r="CM51" s="39">
        <v>13452.61</v>
      </c>
      <c r="CN51" s="7">
        <f>CJ51-CL51</f>
        <v>11210.548571428655</v>
      </c>
      <c r="CO51" s="7">
        <f t="shared" si="283"/>
        <v>8968.4885714286538</v>
      </c>
      <c r="CP51" s="7">
        <f t="shared" si="284"/>
        <v>6726.4285714286534</v>
      </c>
      <c r="CQ51" s="7">
        <f t="shared" si="285"/>
        <v>4484.368571428653</v>
      </c>
      <c r="CR51" s="7">
        <f t="shared" si="286"/>
        <v>2242.3085714286526</v>
      </c>
      <c r="CS51" s="7">
        <f t="shared" si="287"/>
        <v>0.24857142865221249</v>
      </c>
      <c r="CT51" s="7"/>
      <c r="CU51" s="7"/>
      <c r="CV51" s="7"/>
      <c r="CW51" s="7"/>
      <c r="CX51" s="7"/>
      <c r="CY51" s="7"/>
      <c r="CZ51" s="236">
        <v>0</v>
      </c>
    </row>
    <row r="52" spans="1:104" x14ac:dyDescent="0.2">
      <c r="A52" s="6" t="str">
        <f>'[1]2021 УГРЦТ'!A55</f>
        <v>Комплект офисной мебели</v>
      </c>
      <c r="B52" t="str">
        <f>'[1]2021 УГРЦТ'!B55</f>
        <v>00001503</v>
      </c>
      <c r="C52" t="str">
        <f>'[1]2021 УГРЦТ'!C55</f>
        <v>ПРОИЗВОДСТВО</v>
      </c>
      <c r="D52" t="str">
        <f>'[1]2021 УГРЦТ'!D55</f>
        <v>Офисное оборудование</v>
      </c>
      <c r="E52" t="str">
        <f>'[1]2021 УГРЦТ'!E55</f>
        <v>06.04.2012</v>
      </c>
      <c r="F52" t="str">
        <f>'[1]2021 УГРЦТ'!F55</f>
        <v>Электрический цех</v>
      </c>
      <c r="G52">
        <f>'[1]2021 УГРЦТ'!AC55</f>
        <v>84</v>
      </c>
      <c r="H52" s="7">
        <f>'[1]2021 УГРЦТ'!X55</f>
        <v>68750</v>
      </c>
      <c r="I52" s="7">
        <f>'[1]2021 УГРЦТ'!Y55</f>
        <v>68750</v>
      </c>
      <c r="J52" s="7">
        <f>'[1]2021 УГРЦТ'!Z55</f>
        <v>0</v>
      </c>
      <c r="K52" s="8">
        <v>1</v>
      </c>
      <c r="L52" s="7">
        <v>0</v>
      </c>
      <c r="M52" s="7"/>
      <c r="N52" s="7">
        <f t="shared" si="0"/>
        <v>0</v>
      </c>
      <c r="O52" s="7">
        <f t="shared" si="41"/>
        <v>0</v>
      </c>
      <c r="P52" s="7">
        <f t="shared" si="216"/>
        <v>0</v>
      </c>
      <c r="Q52" s="7">
        <f t="shared" si="216"/>
        <v>0</v>
      </c>
      <c r="R52" s="7">
        <f t="shared" si="216"/>
        <v>0</v>
      </c>
      <c r="S52" s="7">
        <f t="shared" si="216"/>
        <v>0</v>
      </c>
      <c r="T52" s="7">
        <f t="shared" si="216"/>
        <v>0</v>
      </c>
      <c r="U52" s="7">
        <f t="shared" si="216"/>
        <v>0</v>
      </c>
      <c r="V52" s="7">
        <f t="shared" si="216"/>
        <v>0</v>
      </c>
      <c r="W52" s="7">
        <f t="shared" si="216"/>
        <v>0</v>
      </c>
      <c r="X52" s="7">
        <f t="shared" si="216"/>
        <v>0</v>
      </c>
      <c r="Y52" s="7">
        <f t="shared" si="216"/>
        <v>0</v>
      </c>
      <c r="Z52" s="7">
        <f t="shared" si="216"/>
        <v>0</v>
      </c>
      <c r="AA52" s="7">
        <f>SUM(O52:Z52,J52)/13*$AA$1</f>
        <v>0</v>
      </c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222"/>
      <c r="AQ52" s="7">
        <v>0</v>
      </c>
      <c r="AR52" s="7">
        <f t="shared" si="45"/>
        <v>0</v>
      </c>
      <c r="AS52" s="7">
        <f t="shared" si="46"/>
        <v>0</v>
      </c>
      <c r="BG52" s="236">
        <f t="shared" si="5"/>
        <v>0</v>
      </c>
      <c r="BH52" s="7">
        <v>0</v>
      </c>
      <c r="BV52" s="236">
        <f>IF(Z52&lt;1,0,SUM(BJ52:BU52,BF52)/13*$BG$1)</f>
        <v>0</v>
      </c>
      <c r="BW52" s="7">
        <v>0</v>
      </c>
      <c r="CK52" s="236">
        <f>IF(AO52&lt;1,0,SUM(BY52:CJ52,BU52)/13*$BG$1)</f>
        <v>0</v>
      </c>
      <c r="CL52" s="7">
        <v>0</v>
      </c>
      <c r="CZ52" s="236">
        <f>IF(BF52&lt;1,0,SUM(CN52:CY52,CJ52)/13*$BG$1)</f>
        <v>0</v>
      </c>
    </row>
    <row r="53" spans="1:104" ht="22.5" x14ac:dyDescent="0.2">
      <c r="A53" s="6" t="str">
        <f>'[1]2021 УГРЦТ'!A56</f>
        <v xml:space="preserve">Комплект трассо-дефектоискателя Поиск-510 Мастер (с генератором МК-510) </v>
      </c>
      <c r="B53" t="str">
        <f>'[1]2021 УГРЦТ'!B56</f>
        <v>000001804</v>
      </c>
      <c r="C53" t="str">
        <f>'[1]2021 УГРЦТ'!C56</f>
        <v>ПРОИЗВОДСТВО</v>
      </c>
      <c r="D53" t="str">
        <f>'[1]2021 УГРЦТ'!D56</f>
        <v>Машины и оборудование (кроме офисного)</v>
      </c>
      <c r="E53" t="str">
        <f>'[1]2021 УГРЦТ'!E56</f>
        <v>24.03.2020</v>
      </c>
      <c r="F53" t="str">
        <f>'[1]2021 УГРЦТ'!F56</f>
        <v>ДЭС п.Красное</v>
      </c>
      <c r="G53">
        <f>'[1]2021 УГРЦТ'!AC56</f>
        <v>84</v>
      </c>
      <c r="H53" s="7">
        <f>'[1]2021 УГРЦТ'!X56</f>
        <v>45323.25</v>
      </c>
      <c r="I53" s="7">
        <f>'[1]2021 УГРЦТ'!Y56</f>
        <v>11330.79</v>
      </c>
      <c r="J53" s="7">
        <f>'[1]2021 УГРЦТ'!Z56</f>
        <v>33992.46</v>
      </c>
      <c r="K53" s="8">
        <v>0</v>
      </c>
      <c r="L53" s="7">
        <v>539.55999999999983</v>
      </c>
      <c r="M53" s="7"/>
      <c r="N53" s="7">
        <f t="shared" si="0"/>
        <v>6474.7199999999975</v>
      </c>
      <c r="O53" s="7">
        <f t="shared" si="41"/>
        <v>33452.9</v>
      </c>
      <c r="P53" s="7">
        <f t="shared" ref="P53:Z68" si="294">O53-$L53</f>
        <v>32913.340000000004</v>
      </c>
      <c r="Q53" s="7">
        <f t="shared" si="294"/>
        <v>32373.780000000002</v>
      </c>
      <c r="R53" s="7">
        <f t="shared" si="294"/>
        <v>31834.22</v>
      </c>
      <c r="S53" s="7">
        <f t="shared" si="294"/>
        <v>31294.66</v>
      </c>
      <c r="T53" s="7">
        <f t="shared" si="294"/>
        <v>30755.1</v>
      </c>
      <c r="U53" s="7">
        <f t="shared" si="294"/>
        <v>30215.539999999997</v>
      </c>
      <c r="V53" s="7">
        <f t="shared" si="294"/>
        <v>29675.979999999996</v>
      </c>
      <c r="W53" s="7">
        <f t="shared" si="294"/>
        <v>29136.419999999995</v>
      </c>
      <c r="X53" s="7">
        <f t="shared" si="294"/>
        <v>28596.859999999993</v>
      </c>
      <c r="Y53" s="7">
        <f t="shared" si="294"/>
        <v>28057.299999999992</v>
      </c>
      <c r="Z53" s="7">
        <f t="shared" si="294"/>
        <v>27517.739999999991</v>
      </c>
      <c r="AA53" s="7"/>
      <c r="AB53" s="7"/>
      <c r="AC53" s="7">
        <f t="shared" si="43"/>
        <v>6474.7199999999975</v>
      </c>
      <c r="AD53" s="7">
        <f t="shared" si="44"/>
        <v>26978.179999999989</v>
      </c>
      <c r="AE53" s="7">
        <f t="shared" si="218"/>
        <v>26438.619999999988</v>
      </c>
      <c r="AF53" s="7">
        <f t="shared" si="218"/>
        <v>25899.059999999987</v>
      </c>
      <c r="AG53" s="7">
        <f t="shared" si="218"/>
        <v>25359.499999999985</v>
      </c>
      <c r="AH53" s="7">
        <f t="shared" si="218"/>
        <v>24819.939999999984</v>
      </c>
      <c r="AI53" s="7">
        <f t="shared" si="218"/>
        <v>24280.379999999983</v>
      </c>
      <c r="AJ53" s="7">
        <f t="shared" si="218"/>
        <v>23740.819999999982</v>
      </c>
      <c r="AK53" s="7">
        <f t="shared" si="218"/>
        <v>23201.25999999998</v>
      </c>
      <c r="AL53" s="7">
        <f t="shared" si="218"/>
        <v>22661.699999999979</v>
      </c>
      <c r="AM53" s="7">
        <f t="shared" si="218"/>
        <v>22122.139999999978</v>
      </c>
      <c r="AN53" s="7">
        <f t="shared" si="218"/>
        <v>21582.579999999976</v>
      </c>
      <c r="AO53" s="7">
        <f t="shared" si="218"/>
        <v>21043.019999999975</v>
      </c>
      <c r="AP53" s="222"/>
      <c r="AQ53" s="7">
        <v>539.55999999999983</v>
      </c>
      <c r="AR53" s="7">
        <f t="shared" si="45"/>
        <v>539.56000000000131</v>
      </c>
      <c r="AS53" s="7">
        <f t="shared" si="46"/>
        <v>1.4779288903810084E-12</v>
      </c>
      <c r="AT53" s="7">
        <f t="shared" ref="AT53:AT55" si="295">L53*12</f>
        <v>6474.7199999999975</v>
      </c>
      <c r="AU53" s="7">
        <f>AO53-$L53</f>
        <v>20503.459999999974</v>
      </c>
      <c r="AV53" s="7">
        <f t="shared" ref="AV53:BF55" si="296">AU53-$L53</f>
        <v>19963.899999999972</v>
      </c>
      <c r="AW53" s="7">
        <f t="shared" si="296"/>
        <v>19424.339999999971</v>
      </c>
      <c r="AX53" s="7">
        <f t="shared" si="296"/>
        <v>18884.77999999997</v>
      </c>
      <c r="AY53" s="7">
        <f t="shared" si="296"/>
        <v>18345.219999999968</v>
      </c>
      <c r="AZ53" s="7">
        <f t="shared" si="296"/>
        <v>17805.659999999967</v>
      </c>
      <c r="BA53" s="7">
        <f t="shared" si="296"/>
        <v>17266.099999999966</v>
      </c>
      <c r="BB53" s="7">
        <f t="shared" si="296"/>
        <v>16726.539999999964</v>
      </c>
      <c r="BC53" s="7">
        <f t="shared" si="296"/>
        <v>16186.979999999965</v>
      </c>
      <c r="BD53" s="7">
        <f t="shared" si="296"/>
        <v>15647.419999999966</v>
      </c>
      <c r="BE53" s="7">
        <f t="shared" si="296"/>
        <v>15107.859999999966</v>
      </c>
      <c r="BF53" s="7">
        <f t="shared" si="296"/>
        <v>14568.299999999967</v>
      </c>
      <c r="BG53" s="236">
        <f t="shared" si="5"/>
        <v>0</v>
      </c>
      <c r="BH53" s="7">
        <v>539.55999999999983</v>
      </c>
      <c r="BI53" s="39">
        <f>BH53*12</f>
        <v>6474.7199999999975</v>
      </c>
      <c r="BJ53" s="7">
        <f>BF53-BH53</f>
        <v>14028.739999999967</v>
      </c>
      <c r="BK53" s="7">
        <f t="shared" ref="BK53:BK55" si="297">BJ53-$L53</f>
        <v>13489.179999999968</v>
      </c>
      <c r="BL53" s="7">
        <f t="shared" ref="BL53:BL55" si="298">BK53-$L53</f>
        <v>12949.619999999968</v>
      </c>
      <c r="BM53" s="7">
        <f t="shared" ref="BM53:BM55" si="299">BL53-$L53</f>
        <v>12410.059999999969</v>
      </c>
      <c r="BN53" s="7">
        <f t="shared" ref="BN53:BN55" si="300">BM53-$L53</f>
        <v>11870.499999999969</v>
      </c>
      <c r="BO53" s="7">
        <f t="shared" ref="BO53:BO55" si="301">BN53-$L53</f>
        <v>11330.93999999997</v>
      </c>
      <c r="BP53" s="7">
        <f t="shared" ref="BP53:BP55" si="302">BO53-$L53</f>
        <v>10791.37999999997</v>
      </c>
      <c r="BQ53" s="7">
        <f t="shared" ref="BQ53:BQ55" si="303">BP53-$L53</f>
        <v>10251.819999999971</v>
      </c>
      <c r="BR53" s="7">
        <f t="shared" ref="BR53:BR55" si="304">BQ53-$L53</f>
        <v>9712.2599999999711</v>
      </c>
      <c r="BS53" s="7">
        <f t="shared" ref="BS53:BS55" si="305">BR53-$L53</f>
        <v>9172.6999999999716</v>
      </c>
      <c r="BT53" s="7">
        <f t="shared" ref="BT53:BT55" si="306">BS53-$L53</f>
        <v>8633.1399999999721</v>
      </c>
      <c r="BU53" s="7">
        <f t="shared" ref="BU53:BU55" si="307">BT53-$L53</f>
        <v>8093.5799999999726</v>
      </c>
      <c r="BV53" s="236">
        <v>0</v>
      </c>
      <c r="BW53" s="7">
        <v>539.55999999999983</v>
      </c>
      <c r="BX53" s="39">
        <f>BW53*12</f>
        <v>6474.7199999999975</v>
      </c>
      <c r="BY53" s="7">
        <f>BU53-BW53</f>
        <v>7554.0199999999732</v>
      </c>
      <c r="BZ53" s="7">
        <f t="shared" ref="BZ53:BZ55" si="308">BY53-$L53</f>
        <v>7014.4599999999737</v>
      </c>
      <c r="CA53" s="7">
        <f t="shared" ref="CA53:CA55" si="309">BZ53-$L53</f>
        <v>6474.8999999999742</v>
      </c>
      <c r="CB53" s="7">
        <f t="shared" ref="CB53:CB55" si="310">CA53-$L53</f>
        <v>5935.3399999999747</v>
      </c>
      <c r="CC53" s="7">
        <f t="shared" ref="CC53:CC55" si="311">CB53-$L53</f>
        <v>5395.7799999999752</v>
      </c>
      <c r="CD53" s="7">
        <f t="shared" ref="CD53:CD55" si="312">CC53-$L53</f>
        <v>4856.2199999999757</v>
      </c>
      <c r="CE53" s="7">
        <f t="shared" ref="CE53:CE55" si="313">CD53-$L53</f>
        <v>4316.6599999999762</v>
      </c>
      <c r="CF53" s="7">
        <f t="shared" ref="CF53:CF55" si="314">CE53-$L53</f>
        <v>3777.0999999999763</v>
      </c>
      <c r="CG53" s="7">
        <f t="shared" ref="CG53:CG55" si="315">CF53-$L53</f>
        <v>3237.5399999999763</v>
      </c>
      <c r="CH53" s="7">
        <f t="shared" ref="CH53:CH55" si="316">CG53-$L53</f>
        <v>2697.9799999999764</v>
      </c>
      <c r="CI53" s="7">
        <f t="shared" ref="CI53:CI55" si="317">CH53-$L53</f>
        <v>2158.4199999999764</v>
      </c>
      <c r="CJ53" s="7">
        <f t="shared" ref="CJ53:CJ55" si="318">CI53-$L53</f>
        <v>1618.8599999999765</v>
      </c>
      <c r="CK53" s="236">
        <v>0</v>
      </c>
      <c r="CL53" s="7">
        <v>539.55999999999983</v>
      </c>
      <c r="CM53" s="39">
        <v>1618.86</v>
      </c>
      <c r="CN53" s="7">
        <f>CJ53-CL53</f>
        <v>1079.2999999999765</v>
      </c>
      <c r="CO53" s="7">
        <f t="shared" ref="CO53:CO55" si="319">CN53-$L53</f>
        <v>539.7399999999767</v>
      </c>
      <c r="CP53" s="7">
        <f t="shared" ref="CP53:CP55" si="320">CO53-$L53</f>
        <v>0.17999999997687155</v>
      </c>
      <c r="CQ53" s="7"/>
      <c r="CR53" s="7"/>
      <c r="CS53" s="7"/>
      <c r="CT53" s="7"/>
      <c r="CU53" s="7"/>
      <c r="CV53" s="7"/>
      <c r="CW53" s="7"/>
      <c r="CX53" s="7"/>
      <c r="CY53" s="7"/>
      <c r="CZ53" s="236">
        <v>0</v>
      </c>
    </row>
    <row r="54" spans="1:104" ht="22.5" x14ac:dyDescent="0.2">
      <c r="A54" s="6" t="str">
        <f>'[1]2021 УГРЦТ'!A57</f>
        <v>Комплектная трансформаторная подстанция 2КТП(М)-630-6/0,4-УХЛ1</v>
      </c>
      <c r="B54" t="str">
        <f>'[1]2021 УГРЦТ'!B57</f>
        <v>000001835</v>
      </c>
      <c r="C54" t="str">
        <f>'[1]2021 УГРЦТ'!C57</f>
        <v>ПРОИЗВОДСТВО</v>
      </c>
      <c r="D54" t="str">
        <f>'[1]2021 УГРЦТ'!D57</f>
        <v>Здания</v>
      </c>
      <c r="E54" t="str">
        <f>'[1]2021 УГРЦТ'!E57</f>
        <v>30.12.2020</v>
      </c>
      <c r="F54" t="str">
        <f>'[1]2021 УГРЦТ'!F57</f>
        <v>ДЭС п.Красное</v>
      </c>
      <c r="G54">
        <f>'[1]2021 УГРЦТ'!AC57</f>
        <v>360</v>
      </c>
      <c r="H54" s="7">
        <f>'[1]2021 УГРЦТ'!X57</f>
        <v>19015901.02</v>
      </c>
      <c r="I54" s="7">
        <f>'[1]2021 УГРЦТ'!Y57</f>
        <v>633863.36733333347</v>
      </c>
      <c r="J54" s="7">
        <f>'[1]2021 УГРЦТ'!Z57</f>
        <v>18382037.652666666</v>
      </c>
      <c r="K54" s="8">
        <v>1</v>
      </c>
      <c r="L54" s="7">
        <v>52821.94999999999</v>
      </c>
      <c r="M54" s="7"/>
      <c r="N54" s="7">
        <f t="shared" si="0"/>
        <v>633863.39999999991</v>
      </c>
      <c r="O54" s="7">
        <f t="shared" si="41"/>
        <v>18329215.702666666</v>
      </c>
      <c r="P54" s="7">
        <f t="shared" si="294"/>
        <v>18276393.752666667</v>
      </c>
      <c r="Q54" s="7">
        <f t="shared" si="294"/>
        <v>18223571.802666668</v>
      </c>
      <c r="R54" s="7">
        <f t="shared" si="294"/>
        <v>18170749.852666669</v>
      </c>
      <c r="S54" s="7">
        <f t="shared" si="294"/>
        <v>18117927.902666669</v>
      </c>
      <c r="T54" s="7">
        <f t="shared" si="294"/>
        <v>18065105.95266667</v>
      </c>
      <c r="U54" s="7">
        <f t="shared" si="294"/>
        <v>18012284.002666671</v>
      </c>
      <c r="V54" s="7">
        <f t="shared" si="294"/>
        <v>17959462.052666672</v>
      </c>
      <c r="W54" s="7">
        <f t="shared" si="294"/>
        <v>17906640.102666672</v>
      </c>
      <c r="X54" s="7">
        <f t="shared" si="294"/>
        <v>17853818.152666673</v>
      </c>
      <c r="Y54" s="7">
        <f t="shared" si="294"/>
        <v>17800996.202666674</v>
      </c>
      <c r="Z54" s="7">
        <f t="shared" si="294"/>
        <v>17748174.252666675</v>
      </c>
      <c r="AA54" s="7">
        <f>SUM(O54:Z54,J54)/13*$AA$1</f>
        <v>397432.33095866675</v>
      </c>
      <c r="AB54" s="7"/>
      <c r="AC54" s="7">
        <f t="shared" si="43"/>
        <v>633863.39999999991</v>
      </c>
      <c r="AD54" s="7">
        <f t="shared" si="44"/>
        <v>17695352.302666675</v>
      </c>
      <c r="AE54" s="7">
        <f t="shared" si="218"/>
        <v>17642530.352666676</v>
      </c>
      <c r="AF54" s="7">
        <f t="shared" si="218"/>
        <v>17589708.402666677</v>
      </c>
      <c r="AG54" s="7">
        <f t="shared" si="218"/>
        <v>17536886.452666678</v>
      </c>
      <c r="AH54" s="7">
        <f t="shared" si="218"/>
        <v>17484064.502666678</v>
      </c>
      <c r="AI54" s="7">
        <f t="shared" si="218"/>
        <v>17431242.552666679</v>
      </c>
      <c r="AJ54" s="7">
        <f t="shared" si="218"/>
        <v>17378420.60266668</v>
      </c>
      <c r="AK54" s="7">
        <f t="shared" si="218"/>
        <v>17325598.652666681</v>
      </c>
      <c r="AL54" s="7">
        <f t="shared" si="218"/>
        <v>17272776.702666681</v>
      </c>
      <c r="AM54" s="7">
        <f t="shared" si="218"/>
        <v>17219954.752666682</v>
      </c>
      <c r="AN54" s="7">
        <f t="shared" si="218"/>
        <v>17167132.802666683</v>
      </c>
      <c r="AO54" s="7">
        <f t="shared" si="218"/>
        <v>17114310.852666683</v>
      </c>
      <c r="AP54" s="222">
        <f>IF(K54&lt;1,0,SUM(AD54:AO54,Z54)/13*$BG$1)</f>
        <v>383487.33615866693</v>
      </c>
      <c r="AQ54" s="7">
        <v>52821.94999999999</v>
      </c>
      <c r="AR54" s="7">
        <f t="shared" si="45"/>
        <v>52821.949999999255</v>
      </c>
      <c r="AS54" s="7">
        <f t="shared" si="46"/>
        <v>-7.3487171903252602E-10</v>
      </c>
      <c r="AT54" s="7">
        <f t="shared" si="295"/>
        <v>633863.39999999991</v>
      </c>
      <c r="AU54" s="7">
        <f>AO54-$L54</f>
        <v>17061488.902666684</v>
      </c>
      <c r="AV54" s="7">
        <f t="shared" si="296"/>
        <v>17008666.952666685</v>
      </c>
      <c r="AW54" s="7">
        <f t="shared" si="296"/>
        <v>16955845.002666686</v>
      </c>
      <c r="AX54" s="7">
        <f t="shared" si="296"/>
        <v>16903023.052666686</v>
      </c>
      <c r="AY54" s="7">
        <f t="shared" si="296"/>
        <v>16850201.102666687</v>
      </c>
      <c r="AZ54" s="7">
        <f t="shared" si="296"/>
        <v>16797379.152666688</v>
      </c>
      <c r="BA54" s="7">
        <f t="shared" si="296"/>
        <v>16744557.202666689</v>
      </c>
      <c r="BB54" s="7">
        <f t="shared" si="296"/>
        <v>16691735.252666689</v>
      </c>
      <c r="BC54" s="7">
        <f t="shared" si="296"/>
        <v>16638913.30266669</v>
      </c>
      <c r="BD54" s="7">
        <f t="shared" si="296"/>
        <v>16586091.352666691</v>
      </c>
      <c r="BE54" s="7">
        <f t="shared" si="296"/>
        <v>16533269.402666692</v>
      </c>
      <c r="BF54" s="7">
        <f t="shared" si="296"/>
        <v>16480447.452666692</v>
      </c>
      <c r="BG54" s="236">
        <f t="shared" si="5"/>
        <v>369542.34135866712</v>
      </c>
      <c r="BH54" s="7">
        <v>52821.94999999999</v>
      </c>
      <c r="BI54" s="39">
        <f>BH54*12</f>
        <v>633863.39999999991</v>
      </c>
      <c r="BJ54" s="7">
        <f>BF54-BH54</f>
        <v>16427625.502666693</v>
      </c>
      <c r="BK54" s="7">
        <f t="shared" si="297"/>
        <v>16374803.552666694</v>
      </c>
      <c r="BL54" s="7">
        <f t="shared" si="298"/>
        <v>16321981.602666695</v>
      </c>
      <c r="BM54" s="7">
        <f t="shared" si="299"/>
        <v>16269159.652666695</v>
      </c>
      <c r="BN54" s="7">
        <f t="shared" si="300"/>
        <v>16216337.702666696</v>
      </c>
      <c r="BO54" s="7">
        <f t="shared" si="301"/>
        <v>16163515.752666697</v>
      </c>
      <c r="BP54" s="7">
        <f t="shared" si="302"/>
        <v>16110693.802666698</v>
      </c>
      <c r="BQ54" s="7">
        <f t="shared" si="303"/>
        <v>16057871.852666698</v>
      </c>
      <c r="BR54" s="7">
        <f t="shared" si="304"/>
        <v>16005049.902666699</v>
      </c>
      <c r="BS54" s="7">
        <f t="shared" si="305"/>
        <v>15952227.9526667</v>
      </c>
      <c r="BT54" s="7">
        <f t="shared" si="306"/>
        <v>15899406.002666701</v>
      </c>
      <c r="BU54" s="7">
        <f t="shared" si="307"/>
        <v>15846584.052666701</v>
      </c>
      <c r="BV54" s="236">
        <f>IF(Z54&lt;1,0,SUM(BJ54:BU54,BF54)/13*$BG$1)</f>
        <v>355597.34655866725</v>
      </c>
      <c r="BW54" s="7">
        <v>52821.94999999999</v>
      </c>
      <c r="BX54" s="39">
        <f>BW54*12</f>
        <v>633863.39999999991</v>
      </c>
      <c r="BY54" s="7">
        <f>BU54-BW54</f>
        <v>15793762.102666702</v>
      </c>
      <c r="BZ54" s="7">
        <f t="shared" si="308"/>
        <v>15740940.152666703</v>
      </c>
      <c r="CA54" s="7">
        <f t="shared" si="309"/>
        <v>15688118.202666704</v>
      </c>
      <c r="CB54" s="7">
        <f t="shared" si="310"/>
        <v>15635296.252666704</v>
      </c>
      <c r="CC54" s="7">
        <f t="shared" si="311"/>
        <v>15582474.302666705</v>
      </c>
      <c r="CD54" s="7">
        <f t="shared" si="312"/>
        <v>15529652.352666706</v>
      </c>
      <c r="CE54" s="7">
        <f t="shared" si="313"/>
        <v>15476830.402666707</v>
      </c>
      <c r="CF54" s="7">
        <f t="shared" si="314"/>
        <v>15424008.452666707</v>
      </c>
      <c r="CG54" s="7">
        <f t="shared" si="315"/>
        <v>15371186.502666708</v>
      </c>
      <c r="CH54" s="7">
        <f t="shared" si="316"/>
        <v>15318364.552666709</v>
      </c>
      <c r="CI54" s="7">
        <f t="shared" si="317"/>
        <v>15265542.60266671</v>
      </c>
      <c r="CJ54" s="7">
        <f t="shared" si="318"/>
        <v>15212720.65266671</v>
      </c>
      <c r="CK54" s="236">
        <f>IF(AO54&lt;1,0,SUM(BY54:CJ54,BU54)/13*$BG$1)</f>
        <v>341652.3517586675</v>
      </c>
      <c r="CL54" s="7">
        <v>52821.94999999999</v>
      </c>
      <c r="CM54" s="39">
        <f>CL54*12</f>
        <v>633863.39999999991</v>
      </c>
      <c r="CN54" s="7">
        <f>CJ54-CL54</f>
        <v>15159898.702666711</v>
      </c>
      <c r="CO54" s="7">
        <f t="shared" si="319"/>
        <v>15107076.752666712</v>
      </c>
      <c r="CP54" s="7">
        <f t="shared" si="320"/>
        <v>15054254.802666713</v>
      </c>
      <c r="CQ54" s="7">
        <f t="shared" ref="CQ54:CQ55" si="321">CP54-$L54</f>
        <v>15001432.852666713</v>
      </c>
      <c r="CR54" s="7">
        <f t="shared" ref="CR54:CR55" si="322">CQ54-$L54</f>
        <v>14948610.902666714</v>
      </c>
      <c r="CS54" s="7">
        <f t="shared" ref="CS54:CS55" si="323">CR54-$L54</f>
        <v>14895788.952666715</v>
      </c>
      <c r="CT54" s="7">
        <f t="shared" ref="CT54:CT55" si="324">CS54-$L54</f>
        <v>14842967.002666716</v>
      </c>
      <c r="CU54" s="7">
        <f t="shared" ref="CU54:CU55" si="325">CT54-$L54</f>
        <v>14790145.052666716</v>
      </c>
      <c r="CV54" s="7">
        <f t="shared" ref="CV54:CV55" si="326">CU54-$L54</f>
        <v>14737323.102666717</v>
      </c>
      <c r="CW54" s="7">
        <f t="shared" ref="CW54:CW55" si="327">CV54-$L54</f>
        <v>14684501.152666718</v>
      </c>
      <c r="CX54" s="7">
        <f t="shared" ref="CX54:CX55" si="328">CW54-$L54</f>
        <v>14631679.202666719</v>
      </c>
      <c r="CY54" s="7">
        <f t="shared" ref="CY54:CY55" si="329">CX54-$L54</f>
        <v>14578857.252666719</v>
      </c>
      <c r="CZ54" s="236">
        <f>IF(BF54&lt;1,0,SUM(CN54:CY54,CJ54)/13*$BG$1)</f>
        <v>327707.35695866769</v>
      </c>
    </row>
    <row r="55" spans="1:104" x14ac:dyDescent="0.2">
      <c r="A55" s="6" t="str">
        <f>'[1]2021 УГРЦТ'!A58</f>
        <v>Компрессор REMEZA BP 10-30</v>
      </c>
      <c r="B55" t="str">
        <f>'[1]2021 УГРЦТ'!B58</f>
        <v>000001771</v>
      </c>
      <c r="C55" t="str">
        <f>'[1]2021 УГРЦТ'!C58</f>
        <v>ПРОИЗВОДСТВО</v>
      </c>
      <c r="D55" t="str">
        <f>'[1]2021 УГРЦТ'!D58</f>
        <v>Машины и оборудование (кроме офисного)</v>
      </c>
      <c r="E55" t="str">
        <f>'[1]2021 УГРЦТ'!E58</f>
        <v>25.06.2019</v>
      </c>
      <c r="F55" t="str">
        <f>'[1]2021 УГРЦТ'!F58</f>
        <v>Тепломеханический цех</v>
      </c>
      <c r="G55">
        <f>'[1]2021 УГРЦТ'!AC58</f>
        <v>240</v>
      </c>
      <c r="H55" s="7">
        <f>'[1]2021 УГРЦТ'!X58</f>
        <v>239750</v>
      </c>
      <c r="I55" s="7">
        <f>'[1]2021 УГРЦТ'!Y58</f>
        <v>29968.78</v>
      </c>
      <c r="J55" s="7">
        <f>'[1]2021 УГРЦТ'!Z58</f>
        <v>209781.22</v>
      </c>
      <c r="K55" s="8">
        <v>0</v>
      </c>
      <c r="L55" s="7">
        <v>998.9599999999997</v>
      </c>
      <c r="M55" s="7"/>
      <c r="N55" s="7">
        <f t="shared" si="0"/>
        <v>11987.519999999997</v>
      </c>
      <c r="O55" s="7">
        <f t="shared" si="41"/>
        <v>208782.26</v>
      </c>
      <c r="P55" s="7">
        <f t="shared" si="294"/>
        <v>207783.30000000002</v>
      </c>
      <c r="Q55" s="7">
        <f t="shared" si="294"/>
        <v>206784.34000000003</v>
      </c>
      <c r="R55" s="7">
        <f t="shared" si="294"/>
        <v>205785.38000000003</v>
      </c>
      <c r="S55" s="7">
        <f t="shared" si="294"/>
        <v>204786.42000000004</v>
      </c>
      <c r="T55" s="7">
        <f t="shared" si="294"/>
        <v>203787.46000000005</v>
      </c>
      <c r="U55" s="7">
        <f t="shared" si="294"/>
        <v>202788.50000000006</v>
      </c>
      <c r="V55" s="7">
        <f t="shared" si="294"/>
        <v>201789.54000000007</v>
      </c>
      <c r="W55" s="7">
        <f t="shared" si="294"/>
        <v>200790.58000000007</v>
      </c>
      <c r="X55" s="7">
        <f t="shared" si="294"/>
        <v>199791.62000000008</v>
      </c>
      <c r="Y55" s="7">
        <f t="shared" si="294"/>
        <v>198792.66000000009</v>
      </c>
      <c r="Z55" s="7">
        <f t="shared" si="294"/>
        <v>197793.7000000001</v>
      </c>
      <c r="AA55" s="7"/>
      <c r="AB55" s="7"/>
      <c r="AC55" s="7">
        <f t="shared" si="43"/>
        <v>11987.519999999997</v>
      </c>
      <c r="AD55" s="7">
        <f t="shared" si="44"/>
        <v>196794.74000000011</v>
      </c>
      <c r="AE55" s="7">
        <f t="shared" si="218"/>
        <v>195795.78000000012</v>
      </c>
      <c r="AF55" s="7">
        <f t="shared" si="218"/>
        <v>194796.82000000012</v>
      </c>
      <c r="AG55" s="7">
        <f t="shared" si="218"/>
        <v>193797.86000000013</v>
      </c>
      <c r="AH55" s="7">
        <f t="shared" si="218"/>
        <v>192798.90000000014</v>
      </c>
      <c r="AI55" s="7">
        <f t="shared" si="218"/>
        <v>191799.94000000015</v>
      </c>
      <c r="AJ55" s="7">
        <f t="shared" si="218"/>
        <v>190800.98000000016</v>
      </c>
      <c r="AK55" s="7">
        <f t="shared" si="218"/>
        <v>189802.02000000016</v>
      </c>
      <c r="AL55" s="7">
        <f t="shared" si="218"/>
        <v>188803.06000000017</v>
      </c>
      <c r="AM55" s="7">
        <f t="shared" si="218"/>
        <v>187804.10000000018</v>
      </c>
      <c r="AN55" s="7">
        <f t="shared" si="218"/>
        <v>186805.14000000019</v>
      </c>
      <c r="AO55" s="7">
        <f t="shared" si="218"/>
        <v>185806.1800000002</v>
      </c>
      <c r="AP55" s="222"/>
      <c r="AQ55" s="7">
        <v>998.9599999999997</v>
      </c>
      <c r="AR55" s="7">
        <f t="shared" si="45"/>
        <v>998.95999999999185</v>
      </c>
      <c r="AS55" s="7">
        <f t="shared" si="46"/>
        <v>-7.8443918027915061E-12</v>
      </c>
      <c r="AT55" s="7">
        <f t="shared" si="295"/>
        <v>11987.519999999997</v>
      </c>
      <c r="AU55" s="7">
        <f>AO55-$L55</f>
        <v>184807.2200000002</v>
      </c>
      <c r="AV55" s="7">
        <f t="shared" si="296"/>
        <v>183808.26000000021</v>
      </c>
      <c r="AW55" s="7">
        <f t="shared" si="296"/>
        <v>182809.30000000022</v>
      </c>
      <c r="AX55" s="7">
        <f t="shared" si="296"/>
        <v>181810.34000000023</v>
      </c>
      <c r="AY55" s="7">
        <f t="shared" si="296"/>
        <v>180811.38000000024</v>
      </c>
      <c r="AZ55" s="7">
        <f t="shared" si="296"/>
        <v>179812.42000000025</v>
      </c>
      <c r="BA55" s="7">
        <f t="shared" si="296"/>
        <v>178813.46000000025</v>
      </c>
      <c r="BB55" s="7">
        <f t="shared" si="296"/>
        <v>177814.50000000026</v>
      </c>
      <c r="BC55" s="7">
        <f t="shared" si="296"/>
        <v>176815.54000000027</v>
      </c>
      <c r="BD55" s="7">
        <f t="shared" si="296"/>
        <v>175816.58000000028</v>
      </c>
      <c r="BE55" s="7">
        <f t="shared" si="296"/>
        <v>174817.62000000029</v>
      </c>
      <c r="BF55" s="7">
        <f t="shared" si="296"/>
        <v>173818.66000000029</v>
      </c>
      <c r="BG55" s="236">
        <f t="shared" si="5"/>
        <v>0</v>
      </c>
      <c r="BH55" s="7">
        <v>998.9599999999997</v>
      </c>
      <c r="BI55" s="39">
        <f>BH55*12</f>
        <v>11987.519999999997</v>
      </c>
      <c r="BJ55" s="7">
        <f>BF55-BH55</f>
        <v>172819.7000000003</v>
      </c>
      <c r="BK55" s="7">
        <f t="shared" si="297"/>
        <v>171820.74000000031</v>
      </c>
      <c r="BL55" s="7">
        <f t="shared" si="298"/>
        <v>170821.78000000032</v>
      </c>
      <c r="BM55" s="7">
        <f t="shared" si="299"/>
        <v>169822.82000000033</v>
      </c>
      <c r="BN55" s="7">
        <f t="shared" si="300"/>
        <v>168823.86000000034</v>
      </c>
      <c r="BO55" s="7">
        <f t="shared" si="301"/>
        <v>167824.90000000034</v>
      </c>
      <c r="BP55" s="7">
        <f t="shared" si="302"/>
        <v>166825.94000000035</v>
      </c>
      <c r="BQ55" s="7">
        <f t="shared" si="303"/>
        <v>165826.98000000036</v>
      </c>
      <c r="BR55" s="7">
        <f t="shared" si="304"/>
        <v>164828.02000000037</v>
      </c>
      <c r="BS55" s="7">
        <f t="shared" si="305"/>
        <v>163829.06000000038</v>
      </c>
      <c r="BT55" s="7">
        <f t="shared" si="306"/>
        <v>162830.10000000038</v>
      </c>
      <c r="BU55" s="7">
        <f t="shared" si="307"/>
        <v>161831.14000000039</v>
      </c>
      <c r="BV55" s="236">
        <v>0</v>
      </c>
      <c r="BW55" s="7">
        <v>998.9599999999997</v>
      </c>
      <c r="BX55" s="39">
        <f>BW55*12</f>
        <v>11987.519999999997</v>
      </c>
      <c r="BY55" s="7">
        <f>BU55-BW55</f>
        <v>160832.1800000004</v>
      </c>
      <c r="BZ55" s="7">
        <f t="shared" si="308"/>
        <v>159833.22000000041</v>
      </c>
      <c r="CA55" s="7">
        <f t="shared" si="309"/>
        <v>158834.26000000042</v>
      </c>
      <c r="CB55" s="7">
        <f t="shared" si="310"/>
        <v>157835.30000000042</v>
      </c>
      <c r="CC55" s="7">
        <f t="shared" si="311"/>
        <v>156836.34000000043</v>
      </c>
      <c r="CD55" s="7">
        <f t="shared" si="312"/>
        <v>155837.38000000044</v>
      </c>
      <c r="CE55" s="7">
        <f t="shared" si="313"/>
        <v>154838.42000000045</v>
      </c>
      <c r="CF55" s="7">
        <f t="shared" si="314"/>
        <v>153839.46000000046</v>
      </c>
      <c r="CG55" s="7">
        <f t="shared" si="315"/>
        <v>152840.50000000047</v>
      </c>
      <c r="CH55" s="7">
        <f t="shared" si="316"/>
        <v>151841.54000000047</v>
      </c>
      <c r="CI55" s="7">
        <f t="shared" si="317"/>
        <v>150842.58000000048</v>
      </c>
      <c r="CJ55" s="7">
        <f t="shared" si="318"/>
        <v>149843.62000000049</v>
      </c>
      <c r="CK55" s="236">
        <v>0</v>
      </c>
      <c r="CL55" s="7">
        <v>998.9599999999997</v>
      </c>
      <c r="CM55" s="39">
        <f>CL55*12</f>
        <v>11987.519999999997</v>
      </c>
      <c r="CN55" s="7">
        <f>CJ55-CL55</f>
        <v>148844.6600000005</v>
      </c>
      <c r="CO55" s="7">
        <f t="shared" si="319"/>
        <v>147845.70000000051</v>
      </c>
      <c r="CP55" s="7">
        <f t="shared" si="320"/>
        <v>146846.74000000051</v>
      </c>
      <c r="CQ55" s="7">
        <f t="shared" si="321"/>
        <v>145847.78000000052</v>
      </c>
      <c r="CR55" s="7">
        <f t="shared" si="322"/>
        <v>144848.82000000053</v>
      </c>
      <c r="CS55" s="7">
        <f t="shared" si="323"/>
        <v>143849.86000000054</v>
      </c>
      <c r="CT55" s="7">
        <f t="shared" si="324"/>
        <v>142850.90000000055</v>
      </c>
      <c r="CU55" s="7">
        <f t="shared" si="325"/>
        <v>141851.94000000056</v>
      </c>
      <c r="CV55" s="7">
        <f t="shared" si="326"/>
        <v>140852.98000000056</v>
      </c>
      <c r="CW55" s="7">
        <f t="shared" si="327"/>
        <v>139854.02000000057</v>
      </c>
      <c r="CX55" s="7">
        <f t="shared" si="328"/>
        <v>138855.06000000058</v>
      </c>
      <c r="CY55" s="7">
        <f t="shared" si="329"/>
        <v>137856.10000000059</v>
      </c>
      <c r="CZ55" s="236">
        <v>0</v>
      </c>
    </row>
    <row r="56" spans="1:104" x14ac:dyDescent="0.2">
      <c r="A56" s="6" t="str">
        <f>'[1]2021 УГРЦТ'!A59</f>
        <v>Контейнер 20 ф №1</v>
      </c>
      <c r="B56" t="str">
        <f>'[1]2021 УГРЦТ'!B59</f>
        <v>000001521</v>
      </c>
      <c r="C56" t="str">
        <f>'[1]2021 УГРЦТ'!C59</f>
        <v>ПРОИЗВОДСТВО</v>
      </c>
      <c r="D56" t="str">
        <f>'[1]2021 УГРЦТ'!D59</f>
        <v>Другие виды основных средств</v>
      </c>
      <c r="E56" t="str">
        <f>'[1]2021 УГРЦТ'!E59</f>
        <v>10.04.2013</v>
      </c>
      <c r="F56" t="str">
        <f>'[1]2021 УГРЦТ'!F59</f>
        <v>Тепломеханический цех</v>
      </c>
      <c r="G56">
        <f>'[1]2021 УГРЦТ'!AC59</f>
        <v>180</v>
      </c>
      <c r="H56" s="7">
        <v>0</v>
      </c>
      <c r="I56" s="7">
        <f>'[1]2021 УГРЦТ'!Y59</f>
        <v>28813.93888888889</v>
      </c>
      <c r="J56" s="7">
        <v>0</v>
      </c>
      <c r="K56" s="8">
        <v>0</v>
      </c>
      <c r="L56" s="13">
        <v>0</v>
      </c>
      <c r="M56" s="13"/>
      <c r="N56" s="7">
        <f t="shared" si="0"/>
        <v>0</v>
      </c>
      <c r="O56" s="7">
        <f t="shared" si="41"/>
        <v>0</v>
      </c>
      <c r="P56" s="7">
        <f t="shared" si="294"/>
        <v>0</v>
      </c>
      <c r="Q56" s="7">
        <f t="shared" si="294"/>
        <v>0</v>
      </c>
      <c r="R56" s="7">
        <f t="shared" si="294"/>
        <v>0</v>
      </c>
      <c r="S56" s="7">
        <f t="shared" si="294"/>
        <v>0</v>
      </c>
      <c r="T56" s="7">
        <f t="shared" si="294"/>
        <v>0</v>
      </c>
      <c r="U56" s="7">
        <f t="shared" si="294"/>
        <v>0</v>
      </c>
      <c r="V56" s="7">
        <f t="shared" si="294"/>
        <v>0</v>
      </c>
      <c r="W56" s="7">
        <f t="shared" si="294"/>
        <v>0</v>
      </c>
      <c r="X56" s="7">
        <f t="shared" si="294"/>
        <v>0</v>
      </c>
      <c r="Y56" s="7">
        <f t="shared" si="294"/>
        <v>0</v>
      </c>
      <c r="Z56" s="7">
        <f t="shared" si="294"/>
        <v>0</v>
      </c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222"/>
      <c r="AQ56" s="7">
        <v>0</v>
      </c>
      <c r="AR56" s="7">
        <f t="shared" si="45"/>
        <v>0</v>
      </c>
      <c r="AS56" s="7">
        <f t="shared" si="46"/>
        <v>0</v>
      </c>
      <c r="BG56" s="236">
        <f t="shared" si="5"/>
        <v>0</v>
      </c>
      <c r="BH56" s="7">
        <v>0</v>
      </c>
      <c r="BV56" s="236">
        <v>0</v>
      </c>
      <c r="BW56" s="7">
        <v>0</v>
      </c>
      <c r="CK56" s="236">
        <v>0</v>
      </c>
      <c r="CL56" s="7">
        <v>0</v>
      </c>
      <c r="CZ56" s="236">
        <f>IF(BF56&lt;1,0,SUM(CN56:CY56,CJ56)/13*$BG$1)</f>
        <v>0</v>
      </c>
    </row>
    <row r="57" spans="1:104" x14ac:dyDescent="0.2">
      <c r="A57" s="6" t="str">
        <f>'[1]2021 УГРЦТ'!A60</f>
        <v>Контейнер 20 ф №2</v>
      </c>
      <c r="B57" t="str">
        <f>'[1]2021 УГРЦТ'!B60</f>
        <v>000001522</v>
      </c>
      <c r="C57" t="str">
        <f>'[1]2021 УГРЦТ'!C60</f>
        <v>ПРОИЗВОДСТВО</v>
      </c>
      <c r="D57" t="str">
        <f>'[1]2021 УГРЦТ'!D60</f>
        <v>Другие виды основных средств</v>
      </c>
      <c r="E57" t="str">
        <f>'[1]2021 УГРЦТ'!E60</f>
        <v>10.04.2013</v>
      </c>
      <c r="F57" t="str">
        <f>'[1]2021 УГРЦТ'!F60</f>
        <v>Тепломеханический цех</v>
      </c>
      <c r="G57">
        <f>'[1]2021 УГРЦТ'!AC60</f>
        <v>180</v>
      </c>
      <c r="H57" s="7">
        <f>'[1]2021 УГРЦТ'!X60</f>
        <v>50847.46</v>
      </c>
      <c r="I57" s="7">
        <f>'[1]2021 УГРЦТ'!Y60</f>
        <v>29378.91066666667</v>
      </c>
      <c r="J57" s="7">
        <f>'[1]2021 УГРЦТ'!Z60</f>
        <v>21468.549333333329</v>
      </c>
      <c r="K57" s="8">
        <v>0</v>
      </c>
      <c r="L57" s="7">
        <v>282.48</v>
      </c>
      <c r="M57" s="7"/>
      <c r="N57" s="7">
        <f t="shared" si="0"/>
        <v>3389.76</v>
      </c>
      <c r="O57" s="7">
        <f t="shared" si="41"/>
        <v>21186.069333333329</v>
      </c>
      <c r="P57" s="7">
        <f t="shared" si="294"/>
        <v>20903.58933333333</v>
      </c>
      <c r="Q57" s="7">
        <f t="shared" si="294"/>
        <v>20621.10933333333</v>
      </c>
      <c r="R57" s="7">
        <f t="shared" si="294"/>
        <v>20338.629333333331</v>
      </c>
      <c r="S57" s="7">
        <f t="shared" si="294"/>
        <v>20056.149333333331</v>
      </c>
      <c r="T57" s="7">
        <f t="shared" si="294"/>
        <v>19773.669333333331</v>
      </c>
      <c r="U57" s="7">
        <f t="shared" si="294"/>
        <v>19491.189333333332</v>
      </c>
      <c r="V57" s="7">
        <f t="shared" si="294"/>
        <v>19208.709333333332</v>
      </c>
      <c r="W57" s="7">
        <f t="shared" si="294"/>
        <v>18926.229333333333</v>
      </c>
      <c r="X57" s="7">
        <f t="shared" si="294"/>
        <v>18643.749333333333</v>
      </c>
      <c r="Y57" s="7">
        <f t="shared" si="294"/>
        <v>18361.269333333334</v>
      </c>
      <c r="Z57" s="7">
        <f t="shared" si="294"/>
        <v>18078.789333333334</v>
      </c>
      <c r="AA57" s="7"/>
      <c r="AB57" s="7"/>
      <c r="AC57" s="7">
        <f t="shared" si="43"/>
        <v>3389.76</v>
      </c>
      <c r="AD57" s="7">
        <f t="shared" si="44"/>
        <v>17796.309333333335</v>
      </c>
      <c r="AE57" s="7">
        <f t="shared" si="218"/>
        <v>17513.829333333335</v>
      </c>
      <c r="AF57" s="7">
        <f t="shared" si="218"/>
        <v>17231.349333333335</v>
      </c>
      <c r="AG57" s="7">
        <f t="shared" si="218"/>
        <v>16948.869333333336</v>
      </c>
      <c r="AH57" s="7">
        <f t="shared" si="218"/>
        <v>16666.389333333336</v>
      </c>
      <c r="AI57" s="7">
        <f t="shared" si="218"/>
        <v>16383.909333333337</v>
      </c>
      <c r="AJ57" s="7">
        <f t="shared" si="218"/>
        <v>16101.429333333337</v>
      </c>
      <c r="AK57" s="7">
        <f t="shared" si="218"/>
        <v>15818.949333333338</v>
      </c>
      <c r="AL57" s="7">
        <f t="shared" si="218"/>
        <v>15536.469333333338</v>
      </c>
      <c r="AM57" s="7">
        <f t="shared" si="218"/>
        <v>15253.989333333338</v>
      </c>
      <c r="AN57" s="7">
        <f t="shared" si="218"/>
        <v>14971.509333333339</v>
      </c>
      <c r="AO57" s="7">
        <f t="shared" si="218"/>
        <v>14689.029333333339</v>
      </c>
      <c r="AP57" s="222"/>
      <c r="AQ57" s="7">
        <v>282.48</v>
      </c>
      <c r="AR57" s="7">
        <f t="shared" si="45"/>
        <v>282.47999999999956</v>
      </c>
      <c r="AS57" s="7">
        <f t="shared" si="46"/>
        <v>-4.5474735088646412E-13</v>
      </c>
      <c r="AT57" s="7">
        <f t="shared" ref="AT57:AT71" si="330">L57*12</f>
        <v>3389.76</v>
      </c>
      <c r="AU57" s="7">
        <f t="shared" ref="AU57:AU71" si="331">AO57-$L57</f>
        <v>14406.54933333334</v>
      </c>
      <c r="AV57" s="7">
        <f t="shared" ref="AV57:BF71" si="332">AU57-$L57</f>
        <v>14124.06933333334</v>
      </c>
      <c r="AW57" s="7">
        <f t="shared" si="332"/>
        <v>13841.589333333341</v>
      </c>
      <c r="AX57" s="7">
        <f t="shared" si="332"/>
        <v>13559.109333333341</v>
      </c>
      <c r="AY57" s="7">
        <f t="shared" si="332"/>
        <v>13276.629333333341</v>
      </c>
      <c r="AZ57" s="7">
        <f t="shared" si="332"/>
        <v>12994.149333333342</v>
      </c>
      <c r="BA57" s="7">
        <f t="shared" si="332"/>
        <v>12711.669333333342</v>
      </c>
      <c r="BB57" s="7">
        <f t="shared" si="332"/>
        <v>12429.189333333343</v>
      </c>
      <c r="BC57" s="7">
        <f t="shared" si="332"/>
        <v>12146.709333333343</v>
      </c>
      <c r="BD57" s="7">
        <f t="shared" si="332"/>
        <v>11864.229333333344</v>
      </c>
      <c r="BE57" s="7">
        <f t="shared" si="332"/>
        <v>11581.749333333344</v>
      </c>
      <c r="BF57" s="7">
        <f t="shared" si="332"/>
        <v>11299.269333333345</v>
      </c>
      <c r="BG57" s="236">
        <f t="shared" si="5"/>
        <v>0</v>
      </c>
      <c r="BH57" s="7">
        <v>282.48</v>
      </c>
      <c r="BI57" s="39">
        <f>BH57*12</f>
        <v>3389.76</v>
      </c>
      <c r="BJ57" s="7">
        <f>BF57-BH57</f>
        <v>11016.789333333345</v>
      </c>
      <c r="BK57" s="7">
        <f t="shared" ref="BK57:BK71" si="333">BJ57-$L57</f>
        <v>10734.309333333345</v>
      </c>
      <c r="BL57" s="7">
        <f t="shared" ref="BL57:BL71" si="334">BK57-$L57</f>
        <v>10451.829333333346</v>
      </c>
      <c r="BM57" s="7">
        <f t="shared" ref="BM57:BM71" si="335">BL57-$L57</f>
        <v>10169.349333333346</v>
      </c>
      <c r="BN57" s="7">
        <f t="shared" ref="BN57:BN71" si="336">BM57-$L57</f>
        <v>9886.8693333333467</v>
      </c>
      <c r="BO57" s="7">
        <f t="shared" ref="BO57:BO71" si="337">BN57-$L57</f>
        <v>9604.3893333333472</v>
      </c>
      <c r="BP57" s="7">
        <f t="shared" ref="BP57:BP71" si="338">BO57-$L57</f>
        <v>9321.9093333333476</v>
      </c>
      <c r="BQ57" s="7">
        <f t="shared" ref="BQ57:BQ58" si="339">BP57-$L57</f>
        <v>9039.429333333348</v>
      </c>
      <c r="BR57" s="7">
        <f t="shared" ref="BR57:BR58" si="340">BQ57-$L57</f>
        <v>8756.9493333333485</v>
      </c>
      <c r="BS57" s="7">
        <f t="shared" ref="BS57:BS58" si="341">BR57-$L57</f>
        <v>8474.4693333333489</v>
      </c>
      <c r="BT57" s="7">
        <f t="shared" ref="BT57:BT58" si="342">BS57-$L57</f>
        <v>8191.9893333333494</v>
      </c>
      <c r="BU57" s="7">
        <f t="shared" ref="BU57:BU58" si="343">BT57-$L57</f>
        <v>7909.5093333333498</v>
      </c>
      <c r="BV57" s="236">
        <v>0</v>
      </c>
      <c r="BW57" s="7">
        <v>282.48</v>
      </c>
      <c r="BX57" s="39">
        <f>BW57*12</f>
        <v>3389.76</v>
      </c>
      <c r="BY57" s="7">
        <f>BU57-BW57</f>
        <v>7627.0293333333502</v>
      </c>
      <c r="BZ57" s="7">
        <f t="shared" ref="BZ57:BZ58" si="344">BY57-$L57</f>
        <v>7344.5493333333507</v>
      </c>
      <c r="CA57" s="7">
        <f t="shared" ref="CA57:CA58" si="345">BZ57-$L57</f>
        <v>7062.0693333333511</v>
      </c>
      <c r="CB57" s="7">
        <f t="shared" ref="CB57:CB58" si="346">CA57-$L57</f>
        <v>6779.5893333333515</v>
      </c>
      <c r="CC57" s="7">
        <f t="shared" ref="CC57:CC58" si="347">CB57-$L57</f>
        <v>6497.109333333352</v>
      </c>
      <c r="CD57" s="7">
        <f t="shared" ref="CD57:CD58" si="348">CC57-$L57</f>
        <v>6214.6293333333524</v>
      </c>
      <c r="CE57" s="7">
        <f t="shared" ref="CE57:CE58" si="349">CD57-$L57</f>
        <v>5932.1493333333528</v>
      </c>
      <c r="CF57" s="7">
        <f t="shared" ref="CF57:CF58" si="350">CE57-$L57</f>
        <v>5649.6693333333533</v>
      </c>
      <c r="CG57" s="7">
        <f t="shared" ref="CG57:CG58" si="351">CF57-$L57</f>
        <v>5367.1893333333537</v>
      </c>
      <c r="CH57" s="7">
        <f t="shared" ref="CH57:CH58" si="352">CG57-$L57</f>
        <v>5084.7093333333542</v>
      </c>
      <c r="CI57" s="7">
        <f t="shared" ref="CI57:CI58" si="353">CH57-$L57</f>
        <v>4802.2293333333546</v>
      </c>
      <c r="CJ57" s="7">
        <f t="shared" ref="CJ57:CJ58" si="354">CI57-$L57</f>
        <v>4519.749333333355</v>
      </c>
      <c r="CK57" s="236">
        <v>0</v>
      </c>
      <c r="CL57" s="7">
        <v>282.48</v>
      </c>
      <c r="CM57" s="39">
        <f>CL57*12</f>
        <v>3389.76</v>
      </c>
      <c r="CN57" s="7">
        <f>CJ57-CL57</f>
        <v>4237.2693333333555</v>
      </c>
      <c r="CO57" s="7">
        <f t="shared" ref="CO57:CO58" si="355">CN57-$L57</f>
        <v>3954.7893333333554</v>
      </c>
      <c r="CP57" s="7">
        <f t="shared" ref="CP57:CP58" si="356">CO57-$L57</f>
        <v>3672.3093333333554</v>
      </c>
      <c r="CQ57" s="7">
        <f t="shared" ref="CQ57:CQ58" si="357">CP57-$L57</f>
        <v>3389.8293333333554</v>
      </c>
      <c r="CR57" s="7">
        <f t="shared" ref="CR57:CR58" si="358">CQ57-$L57</f>
        <v>3107.3493333333554</v>
      </c>
      <c r="CS57" s="7">
        <f t="shared" ref="CS57:CS58" si="359">CR57-$L57</f>
        <v>2824.8693333333554</v>
      </c>
      <c r="CT57" s="7">
        <f t="shared" ref="CT57:CT58" si="360">CS57-$L57</f>
        <v>2542.3893333333554</v>
      </c>
      <c r="CU57" s="7">
        <f t="shared" ref="CU57:CU58" si="361">CT57-$L57</f>
        <v>2259.9093333333553</v>
      </c>
      <c r="CV57" s="7">
        <f t="shared" ref="CV57:CV58" si="362">CU57-$L57</f>
        <v>1977.4293333333553</v>
      </c>
      <c r="CW57" s="7">
        <f t="shared" ref="CW57:CW58" si="363">CV57-$L57</f>
        <v>1694.9493333333553</v>
      </c>
      <c r="CX57" s="7">
        <f t="shared" ref="CX57:CX58" si="364">CW57-$L57</f>
        <v>1412.4693333333553</v>
      </c>
      <c r="CY57" s="7">
        <f t="shared" ref="CY57:CY58" si="365">CX57-$L57</f>
        <v>1129.9893333333553</v>
      </c>
      <c r="CZ57" s="236">
        <v>0</v>
      </c>
    </row>
    <row r="58" spans="1:104" x14ac:dyDescent="0.2">
      <c r="A58" s="6" t="str">
        <f>'[1]2021 УГРЦТ'!A61</f>
        <v>Контейнер 20т DC FSCU7393953</v>
      </c>
      <c r="B58" t="str">
        <f>'[1]2021 УГРЦТ'!B61</f>
        <v>000001537</v>
      </c>
      <c r="C58" t="str">
        <f>'[1]2021 УГРЦТ'!C61</f>
        <v>ПРОИЗВОДСТВО</v>
      </c>
      <c r="D58" t="str">
        <f>'[1]2021 УГРЦТ'!D61</f>
        <v>Машины и оборудование (кроме офисного)</v>
      </c>
      <c r="E58" t="str">
        <f>'[1]2021 УГРЦТ'!E61</f>
        <v>01.08.2013</v>
      </c>
      <c r="F58" t="str">
        <f>'[1]2021 УГРЦТ'!F61</f>
        <v>Электрический цех</v>
      </c>
      <c r="G58">
        <f>'[1]2021 УГРЦТ'!AC61</f>
        <v>180</v>
      </c>
      <c r="H58" s="7">
        <f>'[1]2021 УГРЦТ'!X61</f>
        <v>88203</v>
      </c>
      <c r="I58" s="7">
        <f>'[1]2021 УГРЦТ'!Y61</f>
        <v>49001.96</v>
      </c>
      <c r="J58" s="7">
        <f>'[1]2021 УГРЦТ'!Z61</f>
        <v>39201.040000000001</v>
      </c>
      <c r="K58" s="8">
        <v>0</v>
      </c>
      <c r="L58" s="7">
        <v>490.01</v>
      </c>
      <c r="M58" s="7"/>
      <c r="N58" s="7">
        <f t="shared" si="0"/>
        <v>5880.12</v>
      </c>
      <c r="O58" s="7">
        <f t="shared" si="41"/>
        <v>38711.03</v>
      </c>
      <c r="P58" s="7">
        <f t="shared" si="294"/>
        <v>38221.019999999997</v>
      </c>
      <c r="Q58" s="7">
        <f t="shared" si="294"/>
        <v>37731.009999999995</v>
      </c>
      <c r="R58" s="7">
        <f t="shared" si="294"/>
        <v>37240.999999999993</v>
      </c>
      <c r="S58" s="7">
        <f t="shared" si="294"/>
        <v>36750.989999999991</v>
      </c>
      <c r="T58" s="7">
        <f t="shared" si="294"/>
        <v>36260.979999999989</v>
      </c>
      <c r="U58" s="7">
        <f t="shared" si="294"/>
        <v>35770.969999999987</v>
      </c>
      <c r="V58" s="7">
        <f t="shared" si="294"/>
        <v>35280.959999999985</v>
      </c>
      <c r="W58" s="7">
        <f t="shared" si="294"/>
        <v>34790.949999999983</v>
      </c>
      <c r="X58" s="7">
        <f t="shared" si="294"/>
        <v>34300.939999999981</v>
      </c>
      <c r="Y58" s="7">
        <f t="shared" si="294"/>
        <v>33810.929999999978</v>
      </c>
      <c r="Z58" s="7">
        <f t="shared" si="294"/>
        <v>33320.919999999976</v>
      </c>
      <c r="AA58" s="7"/>
      <c r="AB58" s="7"/>
      <c r="AC58" s="7">
        <f t="shared" si="43"/>
        <v>5880.12</v>
      </c>
      <c r="AD58" s="7">
        <f t="shared" si="44"/>
        <v>32830.909999999974</v>
      </c>
      <c r="AE58" s="7">
        <f t="shared" ref="AE58:AO73" si="366">AD58-$L58</f>
        <v>32340.899999999976</v>
      </c>
      <c r="AF58" s="7">
        <f t="shared" si="366"/>
        <v>31850.889999999978</v>
      </c>
      <c r="AG58" s="7">
        <f t="shared" si="366"/>
        <v>31360.879999999979</v>
      </c>
      <c r="AH58" s="7">
        <f t="shared" si="366"/>
        <v>30870.869999999981</v>
      </c>
      <c r="AI58" s="7">
        <f t="shared" si="366"/>
        <v>30380.859999999982</v>
      </c>
      <c r="AJ58" s="7">
        <f t="shared" si="366"/>
        <v>29890.849999999984</v>
      </c>
      <c r="AK58" s="7">
        <f t="shared" si="366"/>
        <v>29400.839999999986</v>
      </c>
      <c r="AL58" s="7">
        <f t="shared" si="366"/>
        <v>28910.829999999987</v>
      </c>
      <c r="AM58" s="7">
        <f t="shared" si="366"/>
        <v>28420.819999999989</v>
      </c>
      <c r="AN58" s="7">
        <f t="shared" si="366"/>
        <v>27930.80999999999</v>
      </c>
      <c r="AO58" s="7">
        <f t="shared" si="366"/>
        <v>27440.799999999992</v>
      </c>
      <c r="AP58" s="222"/>
      <c r="AQ58" s="7">
        <v>490.01</v>
      </c>
      <c r="AR58" s="7">
        <f t="shared" si="45"/>
        <v>490.0099999999984</v>
      </c>
      <c r="AS58" s="7">
        <f t="shared" si="46"/>
        <v>-1.5916157281026244E-12</v>
      </c>
      <c r="AT58" s="7">
        <f t="shared" si="330"/>
        <v>5880.12</v>
      </c>
      <c r="AU58" s="7">
        <f t="shared" si="331"/>
        <v>26950.789999999994</v>
      </c>
      <c r="AV58" s="7">
        <f t="shared" si="332"/>
        <v>26460.779999999995</v>
      </c>
      <c r="AW58" s="7">
        <f t="shared" si="332"/>
        <v>25970.769999999997</v>
      </c>
      <c r="AX58" s="7">
        <f t="shared" si="332"/>
        <v>25480.76</v>
      </c>
      <c r="AY58" s="7">
        <f t="shared" si="332"/>
        <v>24990.75</v>
      </c>
      <c r="AZ58" s="7">
        <f t="shared" si="332"/>
        <v>24500.74</v>
      </c>
      <c r="BA58" s="7">
        <f t="shared" si="332"/>
        <v>24010.730000000003</v>
      </c>
      <c r="BB58" s="7">
        <f t="shared" si="332"/>
        <v>23520.720000000005</v>
      </c>
      <c r="BC58" s="7">
        <f t="shared" si="332"/>
        <v>23030.710000000006</v>
      </c>
      <c r="BD58" s="7">
        <f t="shared" si="332"/>
        <v>22540.700000000008</v>
      </c>
      <c r="BE58" s="7">
        <f t="shared" si="332"/>
        <v>22050.69000000001</v>
      </c>
      <c r="BF58" s="7">
        <f t="shared" si="332"/>
        <v>21560.680000000011</v>
      </c>
      <c r="BG58" s="236">
        <f t="shared" si="5"/>
        <v>0</v>
      </c>
      <c r="BH58" s="7">
        <v>490.01</v>
      </c>
      <c r="BI58" s="39">
        <f>BH58*12</f>
        <v>5880.12</v>
      </c>
      <c r="BJ58" s="7">
        <f>BF58-BH58</f>
        <v>21070.670000000013</v>
      </c>
      <c r="BK58" s="7">
        <f t="shared" si="333"/>
        <v>20580.660000000014</v>
      </c>
      <c r="BL58" s="7">
        <f t="shared" si="334"/>
        <v>20090.650000000016</v>
      </c>
      <c r="BM58" s="7">
        <f t="shared" si="335"/>
        <v>19600.640000000018</v>
      </c>
      <c r="BN58" s="7">
        <f t="shared" si="336"/>
        <v>19110.630000000019</v>
      </c>
      <c r="BO58" s="7">
        <f t="shared" si="337"/>
        <v>18620.620000000021</v>
      </c>
      <c r="BP58" s="7">
        <f t="shared" si="338"/>
        <v>18130.610000000022</v>
      </c>
      <c r="BQ58" s="7">
        <f t="shared" si="339"/>
        <v>17640.600000000024</v>
      </c>
      <c r="BR58" s="7">
        <f t="shared" si="340"/>
        <v>17150.590000000026</v>
      </c>
      <c r="BS58" s="7">
        <f t="shared" si="341"/>
        <v>16660.580000000027</v>
      </c>
      <c r="BT58" s="7">
        <f t="shared" si="342"/>
        <v>16170.570000000027</v>
      </c>
      <c r="BU58" s="7">
        <f t="shared" si="343"/>
        <v>15680.560000000027</v>
      </c>
      <c r="BV58" s="236">
        <v>0</v>
      </c>
      <c r="BW58" s="7">
        <v>490.01</v>
      </c>
      <c r="BX58" s="39">
        <f>BW58*12</f>
        <v>5880.12</v>
      </c>
      <c r="BY58" s="7">
        <f>BU58-BW58</f>
        <v>15190.550000000027</v>
      </c>
      <c r="BZ58" s="7">
        <f t="shared" si="344"/>
        <v>14700.540000000026</v>
      </c>
      <c r="CA58" s="7">
        <f t="shared" si="345"/>
        <v>14210.530000000026</v>
      </c>
      <c r="CB58" s="7">
        <f t="shared" si="346"/>
        <v>13720.520000000026</v>
      </c>
      <c r="CC58" s="7">
        <f t="shared" si="347"/>
        <v>13230.510000000026</v>
      </c>
      <c r="CD58" s="7">
        <f t="shared" si="348"/>
        <v>12740.500000000025</v>
      </c>
      <c r="CE58" s="7">
        <f t="shared" si="349"/>
        <v>12250.490000000025</v>
      </c>
      <c r="CF58" s="7">
        <f t="shared" si="350"/>
        <v>11760.480000000025</v>
      </c>
      <c r="CG58" s="7">
        <f t="shared" si="351"/>
        <v>11270.470000000025</v>
      </c>
      <c r="CH58" s="7">
        <f t="shared" si="352"/>
        <v>10780.460000000025</v>
      </c>
      <c r="CI58" s="7">
        <f t="shared" si="353"/>
        <v>10290.450000000024</v>
      </c>
      <c r="CJ58" s="7">
        <f t="shared" si="354"/>
        <v>9800.4400000000242</v>
      </c>
      <c r="CK58" s="236">
        <v>0</v>
      </c>
      <c r="CL58" s="7">
        <v>490.01</v>
      </c>
      <c r="CM58" s="39">
        <f>CL58*12</f>
        <v>5880.12</v>
      </c>
      <c r="CN58" s="7">
        <f>CJ58-CL58</f>
        <v>9310.4300000000239</v>
      </c>
      <c r="CO58" s="7">
        <f t="shared" si="355"/>
        <v>8820.4200000000237</v>
      </c>
      <c r="CP58" s="7">
        <f t="shared" si="356"/>
        <v>8330.4100000000235</v>
      </c>
      <c r="CQ58" s="7">
        <f t="shared" si="357"/>
        <v>7840.4000000000233</v>
      </c>
      <c r="CR58" s="7">
        <f t="shared" si="358"/>
        <v>7350.3900000000231</v>
      </c>
      <c r="CS58" s="7">
        <f t="shared" si="359"/>
        <v>6860.3800000000228</v>
      </c>
      <c r="CT58" s="7">
        <f t="shared" si="360"/>
        <v>6370.3700000000226</v>
      </c>
      <c r="CU58" s="7">
        <f t="shared" si="361"/>
        <v>5880.3600000000224</v>
      </c>
      <c r="CV58" s="7">
        <f t="shared" si="362"/>
        <v>5390.3500000000222</v>
      </c>
      <c r="CW58" s="7">
        <f t="shared" si="363"/>
        <v>4900.340000000022</v>
      </c>
      <c r="CX58" s="7">
        <f t="shared" si="364"/>
        <v>4410.3300000000218</v>
      </c>
      <c r="CY58" s="7">
        <f t="shared" si="365"/>
        <v>3920.3200000000215</v>
      </c>
      <c r="CZ58" s="236">
        <v>0</v>
      </c>
    </row>
    <row r="59" spans="1:104" x14ac:dyDescent="0.2">
      <c r="A59" s="6" t="str">
        <f>'[1]2021 УГРЦТ'!A62</f>
        <v>Микроомметр Metrel MI3242</v>
      </c>
      <c r="B59" t="str">
        <f>'[1]2021 УГРЦТ'!B62</f>
        <v>000001778</v>
      </c>
      <c r="C59" t="str">
        <f>'[1]2021 УГРЦТ'!C62</f>
        <v>ПРОИЗВОДСТВО</v>
      </c>
      <c r="D59" t="str">
        <f>'[1]2021 УГРЦТ'!D62</f>
        <v>Машины и оборудование (кроме офисного)</v>
      </c>
      <c r="E59" t="str">
        <f>'[1]2021 УГРЦТ'!E62</f>
        <v>19.08.2019</v>
      </c>
      <c r="F59" t="str">
        <f>'[1]2021 УГРЦТ'!F62</f>
        <v>Электрический цех</v>
      </c>
      <c r="G59">
        <f>'[1]2021 УГРЦТ'!AC62</f>
        <v>60</v>
      </c>
      <c r="H59" s="7">
        <f>'[1]2021 УГРЦТ'!X62</f>
        <v>64730.39</v>
      </c>
      <c r="I59" s="7">
        <f>'[1]2021 УГРЦТ'!Y62</f>
        <v>30207.517999999996</v>
      </c>
      <c r="J59" s="7">
        <f>'[1]2021 УГРЦТ'!Z62</f>
        <v>34522.872000000003</v>
      </c>
      <c r="K59" s="8">
        <v>0</v>
      </c>
      <c r="L59" s="7">
        <v>1078.8399999999999</v>
      </c>
      <c r="M59" s="7"/>
      <c r="N59" s="7">
        <f t="shared" si="0"/>
        <v>12946.079999999998</v>
      </c>
      <c r="O59" s="7">
        <f t="shared" si="41"/>
        <v>33444.032000000007</v>
      </c>
      <c r="P59" s="7">
        <f t="shared" si="294"/>
        <v>32365.192000000006</v>
      </c>
      <c r="Q59" s="7">
        <f t="shared" si="294"/>
        <v>31286.352000000006</v>
      </c>
      <c r="R59" s="7">
        <f t="shared" si="294"/>
        <v>30207.512000000006</v>
      </c>
      <c r="S59" s="7">
        <f t="shared" si="294"/>
        <v>29128.672000000006</v>
      </c>
      <c r="T59" s="7">
        <f t="shared" si="294"/>
        <v>28049.832000000006</v>
      </c>
      <c r="U59" s="7">
        <f t="shared" si="294"/>
        <v>26970.992000000006</v>
      </c>
      <c r="V59" s="7">
        <f t="shared" si="294"/>
        <v>25892.152000000006</v>
      </c>
      <c r="W59" s="7">
        <f t="shared" si="294"/>
        <v>24813.312000000005</v>
      </c>
      <c r="X59" s="7">
        <f t="shared" si="294"/>
        <v>23734.472000000005</v>
      </c>
      <c r="Y59" s="7">
        <f t="shared" si="294"/>
        <v>22655.632000000005</v>
      </c>
      <c r="Z59" s="7">
        <f t="shared" si="294"/>
        <v>21576.792000000005</v>
      </c>
      <c r="AA59" s="7"/>
      <c r="AB59" s="7"/>
      <c r="AC59" s="7">
        <f t="shared" si="43"/>
        <v>12946.079999999998</v>
      </c>
      <c r="AD59" s="7">
        <f t="shared" si="44"/>
        <v>20497.952000000005</v>
      </c>
      <c r="AE59" s="7">
        <f t="shared" si="366"/>
        <v>19419.112000000005</v>
      </c>
      <c r="AF59" s="7">
        <f t="shared" si="366"/>
        <v>18340.272000000004</v>
      </c>
      <c r="AG59" s="7">
        <f t="shared" si="366"/>
        <v>17261.432000000004</v>
      </c>
      <c r="AH59" s="7">
        <f t="shared" si="366"/>
        <v>16182.592000000004</v>
      </c>
      <c r="AI59" s="7">
        <f t="shared" si="366"/>
        <v>15103.752000000004</v>
      </c>
      <c r="AJ59" s="7">
        <f t="shared" si="366"/>
        <v>14024.912000000004</v>
      </c>
      <c r="AK59" s="7">
        <f t="shared" si="366"/>
        <v>12946.072000000004</v>
      </c>
      <c r="AL59" s="7">
        <f t="shared" si="366"/>
        <v>11867.232000000004</v>
      </c>
      <c r="AM59" s="7">
        <f t="shared" si="366"/>
        <v>10788.392000000003</v>
      </c>
      <c r="AN59" s="7">
        <f t="shared" si="366"/>
        <v>9709.5520000000033</v>
      </c>
      <c r="AO59" s="7">
        <f t="shared" si="366"/>
        <v>8630.7120000000032</v>
      </c>
      <c r="AP59" s="222"/>
      <c r="AQ59" s="7">
        <v>1078.8399999999999</v>
      </c>
      <c r="AR59" s="7">
        <f t="shared" si="45"/>
        <v>1078.8400000000001</v>
      </c>
      <c r="AS59" s="7">
        <f t="shared" si="46"/>
        <v>0</v>
      </c>
      <c r="AT59" s="7">
        <f>L59*8-0.01</f>
        <v>8630.7099999999991</v>
      </c>
      <c r="AU59" s="7">
        <f t="shared" si="331"/>
        <v>7551.872000000003</v>
      </c>
      <c r="AV59" s="7">
        <f t="shared" si="332"/>
        <v>6473.0320000000029</v>
      </c>
      <c r="AW59" s="7">
        <f t="shared" si="332"/>
        <v>5394.1920000000027</v>
      </c>
      <c r="AX59" s="7">
        <f t="shared" si="332"/>
        <v>4315.3520000000026</v>
      </c>
      <c r="AY59" s="7">
        <f t="shared" si="332"/>
        <v>3236.5120000000024</v>
      </c>
      <c r="AZ59" s="7">
        <f t="shared" si="332"/>
        <v>2157.6720000000023</v>
      </c>
      <c r="BA59" s="7">
        <f t="shared" si="332"/>
        <v>1078.8320000000024</v>
      </c>
      <c r="BB59" s="7">
        <f>BA59-$L59+0.01</f>
        <v>2.0000000024629119E-3</v>
      </c>
      <c r="BC59" s="7">
        <f t="shared" ref="BC59:BF59" si="367">BB59-$L59*0</f>
        <v>2.0000000024629119E-3</v>
      </c>
      <c r="BD59" s="7">
        <f t="shared" si="367"/>
        <v>2.0000000024629119E-3</v>
      </c>
      <c r="BE59" s="7">
        <f t="shared" si="367"/>
        <v>2.0000000024629119E-3</v>
      </c>
      <c r="BF59" s="7">
        <f t="shared" si="367"/>
        <v>2.0000000024629119E-3</v>
      </c>
      <c r="BG59" s="236">
        <f t="shared" si="5"/>
        <v>0</v>
      </c>
      <c r="BH59" s="7">
        <v>1078.8399999999999</v>
      </c>
      <c r="BI59" s="39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236">
        <f>IF(Z59&lt;1,0,SUM(BJ59:BU59,BF59)/13*$BG$1)</f>
        <v>3.3846153887833891E-6</v>
      </c>
      <c r="BW59" s="7">
        <v>1078.8399999999999</v>
      </c>
      <c r="BX59" s="39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236">
        <f>IF(AO59&lt;1,0,SUM(BY59:CJ59,BU59)/13*$BG$1)</f>
        <v>0</v>
      </c>
      <c r="CL59" s="7">
        <v>1078.8399999999999</v>
      </c>
      <c r="CM59" s="39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236">
        <f>IF(BF59&lt;1,0,SUM(CN59:CY59,CJ59)/13*$BG$1)</f>
        <v>0</v>
      </c>
    </row>
    <row r="60" spans="1:104" x14ac:dyDescent="0.2">
      <c r="A60" s="6" t="str">
        <f>'[1]2021 УГРЦТ'!A63</f>
        <v>Мини козловой кран г/п 1000 кг</v>
      </c>
      <c r="B60" t="str">
        <f>'[1]2021 УГРЦТ'!B63</f>
        <v>000001852</v>
      </c>
      <c r="C60" t="str">
        <f>'[1]2021 УГРЦТ'!C63</f>
        <v>ПРОИЗВОДСТВО</v>
      </c>
      <c r="D60" t="str">
        <f>'[1]2021 УГРЦТ'!D63</f>
        <v>Машины и оборудование (кроме офисного)</v>
      </c>
      <c r="E60" t="str">
        <f>'[1]2021 УГРЦТ'!E63</f>
        <v>23.06.2021</v>
      </c>
      <c r="F60" t="str">
        <f>'[1]2021 УГРЦТ'!F63</f>
        <v>Электрический цех</v>
      </c>
      <c r="G60">
        <f>'[1]2021 УГРЦТ'!AC63</f>
        <v>120</v>
      </c>
      <c r="H60" s="7">
        <f>'[1]2021 УГРЦТ'!X63</f>
        <v>161666.67000000001</v>
      </c>
      <c r="I60" s="7">
        <f>'[1]2021 УГРЦТ'!Y63</f>
        <v>8083.3334999999997</v>
      </c>
      <c r="J60" s="7">
        <f>'[1]2021 УГРЦТ'!Z63</f>
        <v>153583.3365</v>
      </c>
      <c r="K60" s="8">
        <v>0</v>
      </c>
      <c r="L60" s="7">
        <v>1347.22</v>
      </c>
      <c r="M60" s="7"/>
      <c r="N60" s="7">
        <f t="shared" si="0"/>
        <v>16166.64</v>
      </c>
      <c r="O60" s="7">
        <f t="shared" si="41"/>
        <v>152236.1165</v>
      </c>
      <c r="P60" s="7">
        <f t="shared" si="294"/>
        <v>150888.8965</v>
      </c>
      <c r="Q60" s="7">
        <f t="shared" si="294"/>
        <v>149541.6765</v>
      </c>
      <c r="R60" s="7">
        <f t="shared" si="294"/>
        <v>148194.4565</v>
      </c>
      <c r="S60" s="7">
        <f t="shared" si="294"/>
        <v>146847.2365</v>
      </c>
      <c r="T60" s="7">
        <f t="shared" si="294"/>
        <v>145500.0165</v>
      </c>
      <c r="U60" s="7">
        <f t="shared" si="294"/>
        <v>144152.7965</v>
      </c>
      <c r="V60" s="7">
        <f t="shared" si="294"/>
        <v>142805.5765</v>
      </c>
      <c r="W60" s="7">
        <f t="shared" si="294"/>
        <v>141458.35649999999</v>
      </c>
      <c r="X60" s="7">
        <f t="shared" si="294"/>
        <v>140111.13649999999</v>
      </c>
      <c r="Y60" s="7">
        <f t="shared" si="294"/>
        <v>138763.91649999999</v>
      </c>
      <c r="Z60" s="7">
        <f t="shared" si="294"/>
        <v>137416.69649999999</v>
      </c>
      <c r="AA60" s="7"/>
      <c r="AB60" s="7"/>
      <c r="AC60" s="7">
        <f t="shared" si="43"/>
        <v>16166.64</v>
      </c>
      <c r="AD60" s="7">
        <f t="shared" si="44"/>
        <v>136069.47649999999</v>
      </c>
      <c r="AE60" s="7">
        <f t="shared" si="366"/>
        <v>134722.25649999999</v>
      </c>
      <c r="AF60" s="7">
        <f t="shared" si="366"/>
        <v>133375.03649999999</v>
      </c>
      <c r="AG60" s="7">
        <f t="shared" si="366"/>
        <v>132027.81649999999</v>
      </c>
      <c r="AH60" s="7">
        <f t="shared" si="366"/>
        <v>130680.59649999999</v>
      </c>
      <c r="AI60" s="7">
        <f t="shared" si="366"/>
        <v>129333.37649999998</v>
      </c>
      <c r="AJ60" s="7">
        <f t="shared" si="366"/>
        <v>127986.15649999998</v>
      </c>
      <c r="AK60" s="7">
        <f t="shared" si="366"/>
        <v>126638.93649999998</v>
      </c>
      <c r="AL60" s="7">
        <f t="shared" si="366"/>
        <v>125291.71649999998</v>
      </c>
      <c r="AM60" s="7">
        <f t="shared" si="366"/>
        <v>123944.49649999998</v>
      </c>
      <c r="AN60" s="7">
        <f t="shared" si="366"/>
        <v>122597.27649999998</v>
      </c>
      <c r="AO60" s="7">
        <f t="shared" si="366"/>
        <v>121250.05649999998</v>
      </c>
      <c r="AP60" s="222"/>
      <c r="AQ60" s="7">
        <v>1347.22</v>
      </c>
      <c r="AR60" s="7">
        <f t="shared" si="45"/>
        <v>1347.2200000000012</v>
      </c>
      <c r="AS60" s="7">
        <f t="shared" si="46"/>
        <v>0</v>
      </c>
      <c r="AT60" s="7">
        <f t="shared" si="330"/>
        <v>16166.64</v>
      </c>
      <c r="AU60" s="7">
        <f t="shared" si="331"/>
        <v>119902.83649999998</v>
      </c>
      <c r="AV60" s="7">
        <f t="shared" si="332"/>
        <v>118555.61649999997</v>
      </c>
      <c r="AW60" s="7">
        <f t="shared" si="332"/>
        <v>117208.39649999997</v>
      </c>
      <c r="AX60" s="7">
        <f t="shared" si="332"/>
        <v>115861.17649999997</v>
      </c>
      <c r="AY60" s="7">
        <f t="shared" si="332"/>
        <v>114513.95649999997</v>
      </c>
      <c r="AZ60" s="7">
        <f t="shared" si="332"/>
        <v>113166.73649999997</v>
      </c>
      <c r="BA60" s="7">
        <f t="shared" si="332"/>
        <v>111819.51649999997</v>
      </c>
      <c r="BB60" s="7">
        <f t="shared" si="332"/>
        <v>110472.29649999997</v>
      </c>
      <c r="BC60" s="7">
        <f t="shared" si="332"/>
        <v>109125.07649999997</v>
      </c>
      <c r="BD60" s="7">
        <f t="shared" si="332"/>
        <v>107777.85649999997</v>
      </c>
      <c r="BE60" s="7">
        <f t="shared" si="332"/>
        <v>106430.63649999996</v>
      </c>
      <c r="BF60" s="7">
        <f t="shared" si="332"/>
        <v>105083.41649999996</v>
      </c>
      <c r="BG60" s="236">
        <f t="shared" si="5"/>
        <v>0</v>
      </c>
      <c r="BH60" s="7">
        <v>1347.22</v>
      </c>
      <c r="BI60" s="39">
        <f t="shared" ref="BI60:BI71" si="368">BH60*12</f>
        <v>16166.64</v>
      </c>
      <c r="BJ60" s="7">
        <f t="shared" ref="BJ60:BJ71" si="369">BF60-BH60</f>
        <v>103736.19649999996</v>
      </c>
      <c r="BK60" s="7">
        <f t="shared" si="333"/>
        <v>102388.97649999996</v>
      </c>
      <c r="BL60" s="7">
        <f t="shared" si="334"/>
        <v>101041.75649999996</v>
      </c>
      <c r="BM60" s="7">
        <f t="shared" si="335"/>
        <v>99694.536499999958</v>
      </c>
      <c r="BN60" s="7">
        <f t="shared" si="336"/>
        <v>98347.316499999957</v>
      </c>
      <c r="BO60" s="7">
        <f t="shared" si="337"/>
        <v>97000.096499999956</v>
      </c>
      <c r="BP60" s="7">
        <f t="shared" si="338"/>
        <v>95652.876499999955</v>
      </c>
      <c r="BQ60" s="7">
        <f t="shared" ref="BQ60:BQ71" si="370">BP60-$L60</f>
        <v>94305.656499999954</v>
      </c>
      <c r="BR60" s="7">
        <f t="shared" ref="BR60:BR71" si="371">BQ60-$L60</f>
        <v>92958.436499999953</v>
      </c>
      <c r="BS60" s="7">
        <f t="shared" ref="BS60:BS71" si="372">BR60-$L60</f>
        <v>91611.216499999951</v>
      </c>
      <c r="BT60" s="7">
        <f t="shared" ref="BT60:BT71" si="373">BS60-$L60</f>
        <v>90263.99649999995</v>
      </c>
      <c r="BU60" s="7">
        <f t="shared" ref="BU60:BU71" si="374">BT60-$L60</f>
        <v>88916.776499999949</v>
      </c>
      <c r="BV60" s="236">
        <v>0</v>
      </c>
      <c r="BW60" s="7">
        <v>1347.22</v>
      </c>
      <c r="BX60" s="39">
        <f t="shared" ref="BX60:BX71" si="375">BW60*12</f>
        <v>16166.64</v>
      </c>
      <c r="BY60" s="7">
        <f t="shared" ref="BY60:BY71" si="376">BU60-BW60</f>
        <v>87569.556499999948</v>
      </c>
      <c r="BZ60" s="7">
        <f t="shared" ref="BZ60:BZ71" si="377">BY60-$L60</f>
        <v>86222.336499999947</v>
      </c>
      <c r="CA60" s="7">
        <f t="shared" ref="CA60:CA71" si="378">BZ60-$L60</f>
        <v>84875.116499999946</v>
      </c>
      <c r="CB60" s="7">
        <f t="shared" ref="CB60:CB71" si="379">CA60-$L60</f>
        <v>83527.896499999944</v>
      </c>
      <c r="CC60" s="7">
        <f t="shared" ref="CC60:CC71" si="380">CB60-$L60</f>
        <v>82180.676499999943</v>
      </c>
      <c r="CD60" s="7">
        <f t="shared" ref="CD60:CD71" si="381">CC60-$L60</f>
        <v>80833.456499999942</v>
      </c>
      <c r="CE60" s="7">
        <f t="shared" ref="CE60:CE71" si="382">CD60-$L60</f>
        <v>79486.236499999941</v>
      </c>
      <c r="CF60" s="7">
        <f t="shared" ref="CF60:CF71" si="383">CE60-$L60</f>
        <v>78139.01649999994</v>
      </c>
      <c r="CG60" s="7">
        <f t="shared" ref="CG60:CG71" si="384">CF60-$L60</f>
        <v>76791.796499999939</v>
      </c>
      <c r="CH60" s="7">
        <f t="shared" ref="CH60:CH71" si="385">CG60-$L60</f>
        <v>75444.576499999937</v>
      </c>
      <c r="CI60" s="7">
        <f t="shared" ref="CI60:CI71" si="386">CH60-$L60</f>
        <v>74097.356499999936</v>
      </c>
      <c r="CJ60" s="7">
        <f t="shared" ref="CJ60:CJ71" si="387">CI60-$L60</f>
        <v>72750.136499999935</v>
      </c>
      <c r="CK60" s="236">
        <v>0</v>
      </c>
      <c r="CL60" s="7">
        <v>1347.22</v>
      </c>
      <c r="CM60" s="39">
        <f t="shared" ref="CM60:CM71" si="388">CL60*12</f>
        <v>16166.64</v>
      </c>
      <c r="CN60" s="7">
        <f t="shared" ref="CN60:CN71" si="389">CJ60-CL60</f>
        <v>71402.916499999934</v>
      </c>
      <c r="CO60" s="7">
        <f t="shared" ref="CO60:CO71" si="390">CN60-$L60</f>
        <v>70055.696499999933</v>
      </c>
      <c r="CP60" s="7">
        <f t="shared" ref="CP60:CP71" si="391">CO60-$L60</f>
        <v>68708.476499999932</v>
      </c>
      <c r="CQ60" s="7">
        <f t="shared" ref="CQ60:CQ71" si="392">CP60-$L60</f>
        <v>67361.25649999993</v>
      </c>
      <c r="CR60" s="7">
        <f t="shared" ref="CR60:CR71" si="393">CQ60-$L60</f>
        <v>66014.036499999929</v>
      </c>
      <c r="CS60" s="7">
        <f t="shared" ref="CS60:CS71" si="394">CR60-$L60</f>
        <v>64666.816499999928</v>
      </c>
      <c r="CT60" s="7">
        <f t="shared" ref="CT60:CT71" si="395">CS60-$L60</f>
        <v>63319.596499999927</v>
      </c>
      <c r="CU60" s="7">
        <f t="shared" ref="CU60:CU71" si="396">CT60-$L60</f>
        <v>61972.376499999926</v>
      </c>
      <c r="CV60" s="7">
        <f t="shared" ref="CV60:CV71" si="397">CU60-$L60</f>
        <v>60625.156499999925</v>
      </c>
      <c r="CW60" s="7">
        <f t="shared" ref="CW60:CW71" si="398">CV60-$L60</f>
        <v>59277.936499999923</v>
      </c>
      <c r="CX60" s="7">
        <f t="shared" ref="CX60:CX71" si="399">CW60-$L60</f>
        <v>57930.716499999922</v>
      </c>
      <c r="CY60" s="7">
        <f t="shared" ref="CY60:CY71" si="400">CX60-$L60</f>
        <v>56583.496499999921</v>
      </c>
      <c r="CZ60" s="236">
        <v>0</v>
      </c>
    </row>
    <row r="61" spans="1:104" x14ac:dyDescent="0.2">
      <c r="A61" s="6" t="str">
        <f>'[1]2021 УГРЦТ'!A64</f>
        <v>Мини козловой кран г/п 5000 кг</v>
      </c>
      <c r="B61" t="str">
        <f>'[1]2021 УГРЦТ'!B64</f>
        <v>000001853</v>
      </c>
      <c r="C61" t="str">
        <f>'[1]2021 УГРЦТ'!C64</f>
        <v>ПРОИЗВОДСТВО</v>
      </c>
      <c r="D61" t="str">
        <f>'[1]2021 УГРЦТ'!D64</f>
        <v>Машины и оборудование (кроме офисного)</v>
      </c>
      <c r="E61" t="str">
        <f>'[1]2021 УГРЦТ'!E64</f>
        <v>23.06.2021</v>
      </c>
      <c r="F61" t="str">
        <f>'[1]2021 УГРЦТ'!F64</f>
        <v>Электрический цех</v>
      </c>
      <c r="G61">
        <f>'[1]2021 УГРЦТ'!AC64</f>
        <v>120</v>
      </c>
      <c r="H61" s="7">
        <f>'[1]2021 УГРЦТ'!X64</f>
        <v>227500</v>
      </c>
      <c r="I61" s="7">
        <f>'[1]2021 УГРЦТ'!Y64</f>
        <v>11375</v>
      </c>
      <c r="J61" s="7">
        <f>'[1]2021 УГРЦТ'!Z64</f>
        <v>216125</v>
      </c>
      <c r="K61" s="8">
        <v>0</v>
      </c>
      <c r="L61" s="7">
        <v>1895.8300000000006</v>
      </c>
      <c r="M61" s="7"/>
      <c r="N61" s="7">
        <f t="shared" si="0"/>
        <v>22749.960000000006</v>
      </c>
      <c r="O61" s="7">
        <f t="shared" si="41"/>
        <v>214229.17</v>
      </c>
      <c r="P61" s="7">
        <f t="shared" si="294"/>
        <v>212333.34000000003</v>
      </c>
      <c r="Q61" s="7">
        <f t="shared" si="294"/>
        <v>210437.51000000004</v>
      </c>
      <c r="R61" s="7">
        <f t="shared" si="294"/>
        <v>208541.68000000005</v>
      </c>
      <c r="S61" s="7">
        <f t="shared" si="294"/>
        <v>206645.85000000006</v>
      </c>
      <c r="T61" s="7">
        <f t="shared" si="294"/>
        <v>204750.02000000008</v>
      </c>
      <c r="U61" s="7">
        <f t="shared" si="294"/>
        <v>202854.19000000009</v>
      </c>
      <c r="V61" s="7">
        <f t="shared" si="294"/>
        <v>200958.3600000001</v>
      </c>
      <c r="W61" s="7">
        <f t="shared" si="294"/>
        <v>199062.53000000012</v>
      </c>
      <c r="X61" s="7">
        <f t="shared" si="294"/>
        <v>197166.70000000013</v>
      </c>
      <c r="Y61" s="7">
        <f t="shared" si="294"/>
        <v>195270.87000000014</v>
      </c>
      <c r="Z61" s="7">
        <f t="shared" si="294"/>
        <v>193375.04000000015</v>
      </c>
      <c r="AA61" s="7"/>
      <c r="AB61" s="7"/>
      <c r="AC61" s="7">
        <f t="shared" si="43"/>
        <v>22749.960000000006</v>
      </c>
      <c r="AD61" s="7">
        <f t="shared" si="44"/>
        <v>191479.21000000017</v>
      </c>
      <c r="AE61" s="7">
        <f t="shared" si="366"/>
        <v>189583.38000000018</v>
      </c>
      <c r="AF61" s="7">
        <f t="shared" si="366"/>
        <v>187687.55000000019</v>
      </c>
      <c r="AG61" s="7">
        <f t="shared" si="366"/>
        <v>185791.7200000002</v>
      </c>
      <c r="AH61" s="7">
        <f t="shared" si="366"/>
        <v>183895.89000000022</v>
      </c>
      <c r="AI61" s="7">
        <f t="shared" si="366"/>
        <v>182000.06000000023</v>
      </c>
      <c r="AJ61" s="7">
        <f t="shared" si="366"/>
        <v>180104.23000000024</v>
      </c>
      <c r="AK61" s="7">
        <f t="shared" si="366"/>
        <v>178208.40000000026</v>
      </c>
      <c r="AL61" s="7">
        <f t="shared" si="366"/>
        <v>176312.57000000027</v>
      </c>
      <c r="AM61" s="7">
        <f t="shared" si="366"/>
        <v>174416.74000000028</v>
      </c>
      <c r="AN61" s="7">
        <f t="shared" si="366"/>
        <v>172520.91000000029</v>
      </c>
      <c r="AO61" s="7">
        <f t="shared" si="366"/>
        <v>170625.08000000031</v>
      </c>
      <c r="AP61" s="222"/>
      <c r="AQ61" s="7">
        <v>1895.8300000000006</v>
      </c>
      <c r="AR61" s="7">
        <f t="shared" si="45"/>
        <v>1895.8299999999872</v>
      </c>
      <c r="AS61" s="7">
        <f t="shared" si="46"/>
        <v>-1.3415046851150692E-11</v>
      </c>
      <c r="AT61" s="7">
        <f t="shared" si="330"/>
        <v>22749.960000000006</v>
      </c>
      <c r="AU61" s="7">
        <f t="shared" si="331"/>
        <v>168729.25000000032</v>
      </c>
      <c r="AV61" s="7">
        <f t="shared" si="332"/>
        <v>166833.42000000033</v>
      </c>
      <c r="AW61" s="7">
        <f t="shared" si="332"/>
        <v>164937.59000000035</v>
      </c>
      <c r="AX61" s="7">
        <f t="shared" si="332"/>
        <v>163041.76000000036</v>
      </c>
      <c r="AY61" s="7">
        <f t="shared" si="332"/>
        <v>161145.93000000037</v>
      </c>
      <c r="AZ61" s="7">
        <f t="shared" si="332"/>
        <v>159250.10000000038</v>
      </c>
      <c r="BA61" s="7">
        <f t="shared" si="332"/>
        <v>157354.2700000004</v>
      </c>
      <c r="BB61" s="7">
        <f t="shared" si="332"/>
        <v>155458.44000000041</v>
      </c>
      <c r="BC61" s="7">
        <f t="shared" si="332"/>
        <v>153562.61000000042</v>
      </c>
      <c r="BD61" s="7">
        <f t="shared" si="332"/>
        <v>151666.78000000044</v>
      </c>
      <c r="BE61" s="7">
        <f t="shared" si="332"/>
        <v>149770.95000000045</v>
      </c>
      <c r="BF61" s="7">
        <f t="shared" si="332"/>
        <v>147875.12000000046</v>
      </c>
      <c r="BG61" s="236">
        <f t="shared" si="5"/>
        <v>0</v>
      </c>
      <c r="BH61" s="7">
        <v>1895.8300000000006</v>
      </c>
      <c r="BI61" s="39">
        <f t="shared" si="368"/>
        <v>22749.960000000006</v>
      </c>
      <c r="BJ61" s="7">
        <f t="shared" si="369"/>
        <v>145979.29000000047</v>
      </c>
      <c r="BK61" s="7">
        <f t="shared" si="333"/>
        <v>144083.46000000049</v>
      </c>
      <c r="BL61" s="7">
        <f t="shared" si="334"/>
        <v>142187.6300000005</v>
      </c>
      <c r="BM61" s="7">
        <f t="shared" si="335"/>
        <v>140291.80000000051</v>
      </c>
      <c r="BN61" s="7">
        <f t="shared" si="336"/>
        <v>138395.97000000053</v>
      </c>
      <c r="BO61" s="7">
        <f t="shared" si="337"/>
        <v>136500.14000000054</v>
      </c>
      <c r="BP61" s="7">
        <f t="shared" si="338"/>
        <v>134604.31000000055</v>
      </c>
      <c r="BQ61" s="7">
        <f t="shared" si="370"/>
        <v>132708.48000000056</v>
      </c>
      <c r="BR61" s="7">
        <f t="shared" si="371"/>
        <v>130812.65000000056</v>
      </c>
      <c r="BS61" s="7">
        <f t="shared" si="372"/>
        <v>128916.82000000056</v>
      </c>
      <c r="BT61" s="7">
        <f t="shared" si="373"/>
        <v>127020.99000000056</v>
      </c>
      <c r="BU61" s="7">
        <f t="shared" si="374"/>
        <v>125125.16000000056</v>
      </c>
      <c r="BV61" s="236">
        <v>0</v>
      </c>
      <c r="BW61" s="7">
        <v>1895.8300000000006</v>
      </c>
      <c r="BX61" s="39">
        <f t="shared" si="375"/>
        <v>22749.960000000006</v>
      </c>
      <c r="BY61" s="7">
        <f t="shared" si="376"/>
        <v>123229.33000000055</v>
      </c>
      <c r="BZ61" s="7">
        <f t="shared" si="377"/>
        <v>121333.50000000055</v>
      </c>
      <c r="CA61" s="7">
        <f t="shared" si="378"/>
        <v>119437.67000000055</v>
      </c>
      <c r="CB61" s="7">
        <f t="shared" si="379"/>
        <v>117541.84000000055</v>
      </c>
      <c r="CC61" s="7">
        <f t="shared" si="380"/>
        <v>115646.01000000055</v>
      </c>
      <c r="CD61" s="7">
        <f t="shared" si="381"/>
        <v>113750.18000000055</v>
      </c>
      <c r="CE61" s="7">
        <f t="shared" si="382"/>
        <v>111854.35000000054</v>
      </c>
      <c r="CF61" s="7">
        <f t="shared" si="383"/>
        <v>109958.52000000054</v>
      </c>
      <c r="CG61" s="7">
        <f t="shared" si="384"/>
        <v>108062.69000000054</v>
      </c>
      <c r="CH61" s="7">
        <f t="shared" si="385"/>
        <v>106166.86000000054</v>
      </c>
      <c r="CI61" s="7">
        <f t="shared" si="386"/>
        <v>104271.03000000054</v>
      </c>
      <c r="CJ61" s="7">
        <f t="shared" si="387"/>
        <v>102375.20000000054</v>
      </c>
      <c r="CK61" s="236">
        <v>0</v>
      </c>
      <c r="CL61" s="7">
        <v>1895.8300000000006</v>
      </c>
      <c r="CM61" s="39">
        <f t="shared" si="388"/>
        <v>22749.960000000006</v>
      </c>
      <c r="CN61" s="7">
        <f t="shared" si="389"/>
        <v>100479.37000000053</v>
      </c>
      <c r="CO61" s="7">
        <f t="shared" si="390"/>
        <v>98583.540000000532</v>
      </c>
      <c r="CP61" s="7">
        <f t="shared" si="391"/>
        <v>96687.71000000053</v>
      </c>
      <c r="CQ61" s="7">
        <f t="shared" si="392"/>
        <v>94791.880000000529</v>
      </c>
      <c r="CR61" s="7">
        <f t="shared" si="393"/>
        <v>92896.050000000527</v>
      </c>
      <c r="CS61" s="7">
        <f t="shared" si="394"/>
        <v>91000.220000000525</v>
      </c>
      <c r="CT61" s="7">
        <f t="shared" si="395"/>
        <v>89104.390000000523</v>
      </c>
      <c r="CU61" s="7">
        <f t="shared" si="396"/>
        <v>87208.560000000522</v>
      </c>
      <c r="CV61" s="7">
        <f t="shared" si="397"/>
        <v>85312.73000000052</v>
      </c>
      <c r="CW61" s="7">
        <f t="shared" si="398"/>
        <v>83416.900000000518</v>
      </c>
      <c r="CX61" s="7">
        <f t="shared" si="399"/>
        <v>81521.070000000516</v>
      </c>
      <c r="CY61" s="7">
        <f t="shared" si="400"/>
        <v>79625.240000000515</v>
      </c>
      <c r="CZ61" s="236">
        <v>0</v>
      </c>
    </row>
    <row r="62" spans="1:104" x14ac:dyDescent="0.2">
      <c r="A62" s="6" t="str">
        <f>'[1]2021 УГРЦТ'!A65</f>
        <v>Мини козловой кран г/п 5000 кг</v>
      </c>
      <c r="B62" t="str">
        <f>'[1]2021 УГРЦТ'!B65</f>
        <v>000001854</v>
      </c>
      <c r="C62" t="str">
        <f>'[1]2021 УГРЦТ'!C65</f>
        <v>ПРОИЗВОДСТВО</v>
      </c>
      <c r="D62" t="str">
        <f>'[1]2021 УГРЦТ'!D65</f>
        <v>Машины и оборудование (кроме офисного)</v>
      </c>
      <c r="E62" t="str">
        <f>'[1]2021 УГРЦТ'!E65</f>
        <v>23.06.2021</v>
      </c>
      <c r="F62" t="str">
        <f>'[1]2021 УГРЦТ'!F65</f>
        <v>Электрический цех</v>
      </c>
      <c r="G62">
        <f>'[1]2021 УГРЦТ'!AC65</f>
        <v>120</v>
      </c>
      <c r="H62" s="7">
        <f>'[1]2021 УГРЦТ'!X65</f>
        <v>227500</v>
      </c>
      <c r="I62" s="7">
        <f>'[1]2021 УГРЦТ'!Y65</f>
        <v>11375</v>
      </c>
      <c r="J62" s="7">
        <f>'[1]2021 УГРЦТ'!Z65</f>
        <v>216125</v>
      </c>
      <c r="K62" s="8">
        <v>0</v>
      </c>
      <c r="L62" s="7">
        <v>1895.8300000000006</v>
      </c>
      <c r="M62" s="7"/>
      <c r="N62" s="7">
        <f t="shared" si="0"/>
        <v>22749.960000000006</v>
      </c>
      <c r="O62" s="7">
        <f t="shared" si="41"/>
        <v>214229.17</v>
      </c>
      <c r="P62" s="7">
        <f t="shared" si="294"/>
        <v>212333.34000000003</v>
      </c>
      <c r="Q62" s="7">
        <f t="shared" si="294"/>
        <v>210437.51000000004</v>
      </c>
      <c r="R62" s="7">
        <f t="shared" si="294"/>
        <v>208541.68000000005</v>
      </c>
      <c r="S62" s="7">
        <f t="shared" si="294"/>
        <v>206645.85000000006</v>
      </c>
      <c r="T62" s="7">
        <f t="shared" si="294"/>
        <v>204750.02000000008</v>
      </c>
      <c r="U62" s="7">
        <f t="shared" si="294"/>
        <v>202854.19000000009</v>
      </c>
      <c r="V62" s="7">
        <f t="shared" si="294"/>
        <v>200958.3600000001</v>
      </c>
      <c r="W62" s="7">
        <f t="shared" si="294"/>
        <v>199062.53000000012</v>
      </c>
      <c r="X62" s="7">
        <f t="shared" si="294"/>
        <v>197166.70000000013</v>
      </c>
      <c r="Y62" s="7">
        <f t="shared" si="294"/>
        <v>195270.87000000014</v>
      </c>
      <c r="Z62" s="7">
        <f t="shared" si="294"/>
        <v>193375.04000000015</v>
      </c>
      <c r="AA62" s="7"/>
      <c r="AB62" s="7"/>
      <c r="AC62" s="7">
        <f t="shared" si="43"/>
        <v>22749.960000000006</v>
      </c>
      <c r="AD62" s="7">
        <f t="shared" si="44"/>
        <v>191479.21000000017</v>
      </c>
      <c r="AE62" s="7">
        <f t="shared" si="366"/>
        <v>189583.38000000018</v>
      </c>
      <c r="AF62" s="7">
        <f t="shared" si="366"/>
        <v>187687.55000000019</v>
      </c>
      <c r="AG62" s="7">
        <f t="shared" si="366"/>
        <v>185791.7200000002</v>
      </c>
      <c r="AH62" s="7">
        <f t="shared" si="366"/>
        <v>183895.89000000022</v>
      </c>
      <c r="AI62" s="7">
        <f t="shared" si="366"/>
        <v>182000.06000000023</v>
      </c>
      <c r="AJ62" s="7">
        <f t="shared" si="366"/>
        <v>180104.23000000024</v>
      </c>
      <c r="AK62" s="7">
        <f t="shared" si="366"/>
        <v>178208.40000000026</v>
      </c>
      <c r="AL62" s="7">
        <f t="shared" si="366"/>
        <v>176312.57000000027</v>
      </c>
      <c r="AM62" s="7">
        <f t="shared" si="366"/>
        <v>174416.74000000028</v>
      </c>
      <c r="AN62" s="7">
        <f t="shared" si="366"/>
        <v>172520.91000000029</v>
      </c>
      <c r="AO62" s="7">
        <f t="shared" si="366"/>
        <v>170625.08000000031</v>
      </c>
      <c r="AP62" s="222"/>
      <c r="AQ62" s="7">
        <v>1895.8300000000006</v>
      </c>
      <c r="AR62" s="7">
        <f t="shared" si="45"/>
        <v>1895.8299999999872</v>
      </c>
      <c r="AS62" s="7">
        <f t="shared" si="46"/>
        <v>-1.3415046851150692E-11</v>
      </c>
      <c r="AT62" s="7">
        <f t="shared" si="330"/>
        <v>22749.960000000006</v>
      </c>
      <c r="AU62" s="7">
        <f t="shared" si="331"/>
        <v>168729.25000000032</v>
      </c>
      <c r="AV62" s="7">
        <f t="shared" si="332"/>
        <v>166833.42000000033</v>
      </c>
      <c r="AW62" s="7">
        <f t="shared" si="332"/>
        <v>164937.59000000035</v>
      </c>
      <c r="AX62" s="7">
        <f t="shared" si="332"/>
        <v>163041.76000000036</v>
      </c>
      <c r="AY62" s="7">
        <f t="shared" si="332"/>
        <v>161145.93000000037</v>
      </c>
      <c r="AZ62" s="7">
        <f t="shared" si="332"/>
        <v>159250.10000000038</v>
      </c>
      <c r="BA62" s="7">
        <f t="shared" si="332"/>
        <v>157354.2700000004</v>
      </c>
      <c r="BB62" s="7">
        <f t="shared" si="332"/>
        <v>155458.44000000041</v>
      </c>
      <c r="BC62" s="7">
        <f t="shared" si="332"/>
        <v>153562.61000000042</v>
      </c>
      <c r="BD62" s="7">
        <f t="shared" si="332"/>
        <v>151666.78000000044</v>
      </c>
      <c r="BE62" s="7">
        <f t="shared" si="332"/>
        <v>149770.95000000045</v>
      </c>
      <c r="BF62" s="7">
        <f t="shared" si="332"/>
        <v>147875.12000000046</v>
      </c>
      <c r="BG62" s="236">
        <f t="shared" si="5"/>
        <v>0</v>
      </c>
      <c r="BH62" s="7">
        <v>1895.8300000000006</v>
      </c>
      <c r="BI62" s="39">
        <f t="shared" si="368"/>
        <v>22749.960000000006</v>
      </c>
      <c r="BJ62" s="7">
        <f t="shared" si="369"/>
        <v>145979.29000000047</v>
      </c>
      <c r="BK62" s="7">
        <f t="shared" si="333"/>
        <v>144083.46000000049</v>
      </c>
      <c r="BL62" s="7">
        <f t="shared" si="334"/>
        <v>142187.6300000005</v>
      </c>
      <c r="BM62" s="7">
        <f t="shared" si="335"/>
        <v>140291.80000000051</v>
      </c>
      <c r="BN62" s="7">
        <f t="shared" si="336"/>
        <v>138395.97000000053</v>
      </c>
      <c r="BO62" s="7">
        <f t="shared" si="337"/>
        <v>136500.14000000054</v>
      </c>
      <c r="BP62" s="7">
        <f t="shared" si="338"/>
        <v>134604.31000000055</v>
      </c>
      <c r="BQ62" s="7">
        <f t="shared" si="370"/>
        <v>132708.48000000056</v>
      </c>
      <c r="BR62" s="7">
        <f t="shared" si="371"/>
        <v>130812.65000000056</v>
      </c>
      <c r="BS62" s="7">
        <f t="shared" si="372"/>
        <v>128916.82000000056</v>
      </c>
      <c r="BT62" s="7">
        <f t="shared" si="373"/>
        <v>127020.99000000056</v>
      </c>
      <c r="BU62" s="7">
        <f t="shared" si="374"/>
        <v>125125.16000000056</v>
      </c>
      <c r="BV62" s="236">
        <v>0</v>
      </c>
      <c r="BW62" s="7">
        <v>1895.8300000000006</v>
      </c>
      <c r="BX62" s="39">
        <f t="shared" si="375"/>
        <v>22749.960000000006</v>
      </c>
      <c r="BY62" s="7">
        <f t="shared" si="376"/>
        <v>123229.33000000055</v>
      </c>
      <c r="BZ62" s="7">
        <f t="shared" si="377"/>
        <v>121333.50000000055</v>
      </c>
      <c r="CA62" s="7">
        <f t="shared" si="378"/>
        <v>119437.67000000055</v>
      </c>
      <c r="CB62" s="7">
        <f t="shared" si="379"/>
        <v>117541.84000000055</v>
      </c>
      <c r="CC62" s="7">
        <f t="shared" si="380"/>
        <v>115646.01000000055</v>
      </c>
      <c r="CD62" s="7">
        <f t="shared" si="381"/>
        <v>113750.18000000055</v>
      </c>
      <c r="CE62" s="7">
        <f t="shared" si="382"/>
        <v>111854.35000000054</v>
      </c>
      <c r="CF62" s="7">
        <f t="shared" si="383"/>
        <v>109958.52000000054</v>
      </c>
      <c r="CG62" s="7">
        <f t="shared" si="384"/>
        <v>108062.69000000054</v>
      </c>
      <c r="CH62" s="7">
        <f t="shared" si="385"/>
        <v>106166.86000000054</v>
      </c>
      <c r="CI62" s="7">
        <f t="shared" si="386"/>
        <v>104271.03000000054</v>
      </c>
      <c r="CJ62" s="7">
        <f t="shared" si="387"/>
        <v>102375.20000000054</v>
      </c>
      <c r="CK62" s="236">
        <v>0</v>
      </c>
      <c r="CL62" s="7">
        <v>1895.8300000000006</v>
      </c>
      <c r="CM62" s="39">
        <f t="shared" si="388"/>
        <v>22749.960000000006</v>
      </c>
      <c r="CN62" s="7">
        <f t="shared" si="389"/>
        <v>100479.37000000053</v>
      </c>
      <c r="CO62" s="7">
        <f t="shared" si="390"/>
        <v>98583.540000000532</v>
      </c>
      <c r="CP62" s="7">
        <f t="shared" si="391"/>
        <v>96687.71000000053</v>
      </c>
      <c r="CQ62" s="7">
        <f t="shared" si="392"/>
        <v>94791.880000000529</v>
      </c>
      <c r="CR62" s="7">
        <f t="shared" si="393"/>
        <v>92896.050000000527</v>
      </c>
      <c r="CS62" s="7">
        <f t="shared" si="394"/>
        <v>91000.220000000525</v>
      </c>
      <c r="CT62" s="7">
        <f t="shared" si="395"/>
        <v>89104.390000000523</v>
      </c>
      <c r="CU62" s="7">
        <f t="shared" si="396"/>
        <v>87208.560000000522</v>
      </c>
      <c r="CV62" s="7">
        <f t="shared" si="397"/>
        <v>85312.73000000052</v>
      </c>
      <c r="CW62" s="7">
        <f t="shared" si="398"/>
        <v>83416.900000000518</v>
      </c>
      <c r="CX62" s="7">
        <f t="shared" si="399"/>
        <v>81521.070000000516</v>
      </c>
      <c r="CY62" s="7">
        <f t="shared" si="400"/>
        <v>79625.240000000515</v>
      </c>
      <c r="CZ62" s="236">
        <v>0</v>
      </c>
    </row>
    <row r="63" spans="1:104" x14ac:dyDescent="0.2">
      <c r="A63" s="6" t="str">
        <f>'[1]2021 УГРЦТ'!A66</f>
        <v>Молниеотвод с прожекторами, МОГК</v>
      </c>
      <c r="B63" t="str">
        <f>'[1]2021 УГРЦТ'!B66</f>
        <v>000001830</v>
      </c>
      <c r="C63" t="str">
        <f>'[1]2021 УГРЦТ'!C66</f>
        <v>ПРОИЗВОДСТВО</v>
      </c>
      <c r="D63" t="str">
        <f>'[1]2021 УГРЦТ'!D66</f>
        <v>Сооружения</v>
      </c>
      <c r="E63" t="str">
        <f>'[1]2021 УГРЦТ'!E66</f>
        <v>30.12.2020</v>
      </c>
      <c r="F63" t="str">
        <f>'[1]2021 УГРЦТ'!F66</f>
        <v>ДЭС п.Красное</v>
      </c>
      <c r="G63">
        <f>'[1]2021 УГРЦТ'!AC66</f>
        <v>360</v>
      </c>
      <c r="H63" s="7">
        <f>'[1]2021 УГРЦТ'!X66</f>
        <v>1566507.35</v>
      </c>
      <c r="I63" s="7">
        <f>'[1]2021 УГРЦТ'!Y66</f>
        <v>52216.911666666674</v>
      </c>
      <c r="J63" s="7">
        <f>'[1]2021 УГРЦТ'!Z66</f>
        <v>1514290.4383333335</v>
      </c>
      <c r="K63" s="8">
        <v>1</v>
      </c>
      <c r="L63" s="7">
        <v>4351.4100000000008</v>
      </c>
      <c r="M63" s="7"/>
      <c r="N63" s="7">
        <f t="shared" si="0"/>
        <v>52216.920000000013</v>
      </c>
      <c r="O63" s="7">
        <f t="shared" si="41"/>
        <v>1509939.0283333336</v>
      </c>
      <c r="P63" s="7">
        <f t="shared" si="294"/>
        <v>1505587.6183333336</v>
      </c>
      <c r="Q63" s="7">
        <f t="shared" si="294"/>
        <v>1501236.2083333337</v>
      </c>
      <c r="R63" s="7">
        <f t="shared" si="294"/>
        <v>1496884.7983333338</v>
      </c>
      <c r="S63" s="7">
        <f t="shared" si="294"/>
        <v>1492533.3883333339</v>
      </c>
      <c r="T63" s="7">
        <f t="shared" si="294"/>
        <v>1488181.978333334</v>
      </c>
      <c r="U63" s="7">
        <f t="shared" si="294"/>
        <v>1483830.5683333341</v>
      </c>
      <c r="V63" s="7">
        <f t="shared" si="294"/>
        <v>1479479.1583333341</v>
      </c>
      <c r="W63" s="7">
        <f t="shared" si="294"/>
        <v>1475127.7483333342</v>
      </c>
      <c r="X63" s="7">
        <f t="shared" si="294"/>
        <v>1470776.3383333343</v>
      </c>
      <c r="Y63" s="7">
        <f t="shared" si="294"/>
        <v>1466424.9283333344</v>
      </c>
      <c r="Z63" s="7">
        <f t="shared" si="294"/>
        <v>1462073.5183333345</v>
      </c>
      <c r="AA63" s="7">
        <f t="shared" ref="AA63:AA71" si="401">SUM(O63:Z63,J63)/13*$AA$1</f>
        <v>32740.003523333344</v>
      </c>
      <c r="AB63" s="7"/>
      <c r="AC63" s="7">
        <f t="shared" si="43"/>
        <v>52216.920000000013</v>
      </c>
      <c r="AD63" s="7">
        <f t="shared" si="44"/>
        <v>1457722.1083333346</v>
      </c>
      <c r="AE63" s="7">
        <f t="shared" si="366"/>
        <v>1453370.6983333346</v>
      </c>
      <c r="AF63" s="7">
        <f t="shared" si="366"/>
        <v>1449019.2883333347</v>
      </c>
      <c r="AG63" s="7">
        <f t="shared" si="366"/>
        <v>1444667.8783333348</v>
      </c>
      <c r="AH63" s="7">
        <f t="shared" si="366"/>
        <v>1440316.4683333349</v>
      </c>
      <c r="AI63" s="7">
        <f t="shared" si="366"/>
        <v>1435965.058333335</v>
      </c>
      <c r="AJ63" s="7">
        <f t="shared" si="366"/>
        <v>1431613.6483333351</v>
      </c>
      <c r="AK63" s="7">
        <f t="shared" si="366"/>
        <v>1427262.2383333351</v>
      </c>
      <c r="AL63" s="7">
        <f t="shared" si="366"/>
        <v>1422910.8283333352</v>
      </c>
      <c r="AM63" s="7">
        <f t="shared" si="366"/>
        <v>1418559.4183333353</v>
      </c>
      <c r="AN63" s="7">
        <f t="shared" si="366"/>
        <v>1414208.0083333354</v>
      </c>
      <c r="AO63" s="7">
        <f t="shared" si="366"/>
        <v>1409856.5983333355</v>
      </c>
      <c r="AP63" s="222">
        <f t="shared" ref="AP63:AP71" si="402">IF(K63&lt;1,0,SUM(AD63:AO63,Z63)/13*$BG$1)</f>
        <v>31591.231283333367</v>
      </c>
      <c r="AQ63" s="7">
        <v>4351.4100000000008</v>
      </c>
      <c r="AR63" s="7">
        <f t="shared" si="45"/>
        <v>4351.4099999999162</v>
      </c>
      <c r="AS63" s="7">
        <f t="shared" si="46"/>
        <v>-8.4583007264882326E-11</v>
      </c>
      <c r="AT63" s="7">
        <f t="shared" si="330"/>
        <v>52216.920000000013</v>
      </c>
      <c r="AU63" s="7">
        <f t="shared" si="331"/>
        <v>1405505.1883333356</v>
      </c>
      <c r="AV63" s="7">
        <f t="shared" si="332"/>
        <v>1401153.7783333356</v>
      </c>
      <c r="AW63" s="7">
        <f t="shared" si="332"/>
        <v>1396802.3683333357</v>
      </c>
      <c r="AX63" s="7">
        <f t="shared" si="332"/>
        <v>1392450.9583333358</v>
      </c>
      <c r="AY63" s="7">
        <f t="shared" si="332"/>
        <v>1388099.5483333359</v>
      </c>
      <c r="AZ63" s="7">
        <f t="shared" si="332"/>
        <v>1383748.138333336</v>
      </c>
      <c r="BA63" s="7">
        <f t="shared" si="332"/>
        <v>1379396.7283333361</v>
      </c>
      <c r="BB63" s="7">
        <f t="shared" si="332"/>
        <v>1375045.3183333362</v>
      </c>
      <c r="BC63" s="7">
        <f t="shared" si="332"/>
        <v>1370693.9083333362</v>
      </c>
      <c r="BD63" s="7">
        <f t="shared" si="332"/>
        <v>1366342.4983333363</v>
      </c>
      <c r="BE63" s="7">
        <f t="shared" si="332"/>
        <v>1361991.0883333364</v>
      </c>
      <c r="BF63" s="7">
        <f t="shared" si="332"/>
        <v>1357639.6783333365</v>
      </c>
      <c r="BG63" s="236">
        <f t="shared" si="5"/>
        <v>30442.459043333391</v>
      </c>
      <c r="BH63" s="7">
        <v>4351.4100000000008</v>
      </c>
      <c r="BI63" s="39">
        <f t="shared" si="368"/>
        <v>52216.920000000013</v>
      </c>
      <c r="BJ63" s="7">
        <f t="shared" si="369"/>
        <v>1353288.2683333366</v>
      </c>
      <c r="BK63" s="7">
        <f t="shared" si="333"/>
        <v>1348936.8583333367</v>
      </c>
      <c r="BL63" s="7">
        <f t="shared" si="334"/>
        <v>1344585.4483333367</v>
      </c>
      <c r="BM63" s="7">
        <f t="shared" si="335"/>
        <v>1340234.0383333368</v>
      </c>
      <c r="BN63" s="7">
        <f t="shared" si="336"/>
        <v>1335882.6283333369</v>
      </c>
      <c r="BO63" s="7">
        <f t="shared" si="337"/>
        <v>1331531.218333337</v>
      </c>
      <c r="BP63" s="7">
        <f t="shared" si="338"/>
        <v>1327179.8083333371</v>
      </c>
      <c r="BQ63" s="7">
        <f t="shared" si="370"/>
        <v>1322828.3983333372</v>
      </c>
      <c r="BR63" s="7">
        <f t="shared" si="371"/>
        <v>1318476.9883333372</v>
      </c>
      <c r="BS63" s="7">
        <f t="shared" si="372"/>
        <v>1314125.5783333373</v>
      </c>
      <c r="BT63" s="7">
        <f t="shared" si="373"/>
        <v>1309774.1683333374</v>
      </c>
      <c r="BU63" s="7">
        <f t="shared" si="374"/>
        <v>1305422.7583333375</v>
      </c>
      <c r="BV63" s="236">
        <f t="shared" ref="BV63:BV80" si="403">IF(Z63&lt;1,0,SUM(BJ63:BU63,BF63)/13*$BG$1)</f>
        <v>29293.686803333418</v>
      </c>
      <c r="BW63" s="7">
        <v>4351.4100000000008</v>
      </c>
      <c r="BX63" s="39">
        <f t="shared" si="375"/>
        <v>52216.920000000013</v>
      </c>
      <c r="BY63" s="7">
        <f t="shared" si="376"/>
        <v>1301071.3483333376</v>
      </c>
      <c r="BZ63" s="7">
        <f t="shared" si="377"/>
        <v>1296719.9383333377</v>
      </c>
      <c r="CA63" s="7">
        <f t="shared" si="378"/>
        <v>1292368.5283333377</v>
      </c>
      <c r="CB63" s="7">
        <f t="shared" si="379"/>
        <v>1288017.1183333378</v>
      </c>
      <c r="CC63" s="7">
        <f t="shared" si="380"/>
        <v>1283665.7083333379</v>
      </c>
      <c r="CD63" s="7">
        <f t="shared" si="381"/>
        <v>1279314.298333338</v>
      </c>
      <c r="CE63" s="7">
        <f t="shared" si="382"/>
        <v>1274962.8883333381</v>
      </c>
      <c r="CF63" s="7">
        <f t="shared" si="383"/>
        <v>1270611.4783333382</v>
      </c>
      <c r="CG63" s="7">
        <f t="shared" si="384"/>
        <v>1266260.0683333382</v>
      </c>
      <c r="CH63" s="7">
        <f t="shared" si="385"/>
        <v>1261908.6583333383</v>
      </c>
      <c r="CI63" s="7">
        <f t="shared" si="386"/>
        <v>1257557.2483333384</v>
      </c>
      <c r="CJ63" s="7">
        <f t="shared" si="387"/>
        <v>1253205.8383333385</v>
      </c>
      <c r="CK63" s="236">
        <f t="shared" ref="CK63:CK80" si="404">IF(AO63&lt;1,0,SUM(BY63:CJ63,BU63)/13*$BG$1)</f>
        <v>28144.914563333434</v>
      </c>
      <c r="CL63" s="7">
        <v>4351.4100000000008</v>
      </c>
      <c r="CM63" s="39">
        <f t="shared" si="388"/>
        <v>52216.920000000013</v>
      </c>
      <c r="CN63" s="7">
        <f t="shared" si="389"/>
        <v>1248854.4283333386</v>
      </c>
      <c r="CO63" s="7">
        <f t="shared" si="390"/>
        <v>1244503.0183333387</v>
      </c>
      <c r="CP63" s="7">
        <f t="shared" si="391"/>
        <v>1240151.6083333388</v>
      </c>
      <c r="CQ63" s="7">
        <f t="shared" si="392"/>
        <v>1235800.1983333388</v>
      </c>
      <c r="CR63" s="7">
        <f t="shared" si="393"/>
        <v>1231448.7883333389</v>
      </c>
      <c r="CS63" s="7">
        <f t="shared" si="394"/>
        <v>1227097.378333339</v>
      </c>
      <c r="CT63" s="7">
        <f t="shared" si="395"/>
        <v>1222745.9683333391</v>
      </c>
      <c r="CU63" s="7">
        <f t="shared" si="396"/>
        <v>1218394.5583333392</v>
      </c>
      <c r="CV63" s="7">
        <f t="shared" si="397"/>
        <v>1214043.1483333393</v>
      </c>
      <c r="CW63" s="7">
        <f t="shared" si="398"/>
        <v>1209691.7383333393</v>
      </c>
      <c r="CX63" s="7">
        <f t="shared" si="399"/>
        <v>1205340.3283333394</v>
      </c>
      <c r="CY63" s="7">
        <f t="shared" si="400"/>
        <v>1200988.9183333395</v>
      </c>
      <c r="CZ63" s="236">
        <f t="shared" ref="CZ63:CZ80" si="405">IF(BF63&lt;1,0,SUM(CN63:CY63,CJ63)/13*$BG$1)</f>
        <v>26996.142323333457</v>
      </c>
    </row>
    <row r="64" spans="1:104" x14ac:dyDescent="0.2">
      <c r="A64" s="6" t="str">
        <f>'[1]2021 УГРЦТ'!A67</f>
        <v>Наружные сети электроснабжения (п. Красное)</v>
      </c>
      <c r="B64" t="str">
        <f>'[1]2021 УГРЦТ'!B67</f>
        <v>000001674</v>
      </c>
      <c r="C64" t="str">
        <f>'[1]2021 УГРЦТ'!C67</f>
        <v>ПРОИЗВОДСТВО</v>
      </c>
      <c r="D64" t="str">
        <f>'[1]2021 УГРЦТ'!D67</f>
        <v>Сооружения</v>
      </c>
      <c r="E64" t="str">
        <f>'[1]2021 УГРЦТ'!E67</f>
        <v>20.01.2016</v>
      </c>
      <c r="F64" t="str">
        <f>'[1]2021 УГРЦТ'!F67</f>
        <v>ДЭС п.Красное</v>
      </c>
      <c r="G64">
        <f>'[1]2021 УГРЦТ'!AC67</f>
        <v>180</v>
      </c>
      <c r="H64" s="7">
        <f>'[1]2021 УГРЦТ'!X67</f>
        <v>40883.46</v>
      </c>
      <c r="I64" s="7">
        <f>'[1]2021 УГРЦТ'!Y67</f>
        <v>16126.234</v>
      </c>
      <c r="J64" s="7">
        <f>'[1]2021 УГРЦТ'!Z67</f>
        <v>24757.225999999999</v>
      </c>
      <c r="K64" s="8">
        <v>1</v>
      </c>
      <c r="L64" s="7">
        <v>227.13000000000008</v>
      </c>
      <c r="M64" s="7"/>
      <c r="N64" s="7">
        <f t="shared" si="0"/>
        <v>2725.5600000000009</v>
      </c>
      <c r="O64" s="7">
        <f t="shared" si="41"/>
        <v>24530.095999999998</v>
      </c>
      <c r="P64" s="7">
        <f t="shared" si="294"/>
        <v>24302.965999999997</v>
      </c>
      <c r="Q64" s="7">
        <f t="shared" si="294"/>
        <v>24075.835999999996</v>
      </c>
      <c r="R64" s="7">
        <f t="shared" si="294"/>
        <v>23848.705999999995</v>
      </c>
      <c r="S64" s="7">
        <f t="shared" si="294"/>
        <v>23621.575999999994</v>
      </c>
      <c r="T64" s="7">
        <f t="shared" si="294"/>
        <v>23394.445999999993</v>
      </c>
      <c r="U64" s="7">
        <f t="shared" si="294"/>
        <v>23167.315999999992</v>
      </c>
      <c r="V64" s="7">
        <f t="shared" si="294"/>
        <v>22940.185999999991</v>
      </c>
      <c r="W64" s="7">
        <f t="shared" si="294"/>
        <v>22713.05599999999</v>
      </c>
      <c r="X64" s="7">
        <f t="shared" si="294"/>
        <v>22485.925999999989</v>
      </c>
      <c r="Y64" s="7">
        <f t="shared" si="294"/>
        <v>22258.795999999988</v>
      </c>
      <c r="Z64" s="7">
        <f t="shared" si="294"/>
        <v>22031.665999999987</v>
      </c>
      <c r="AA64" s="7">
        <f t="shared" si="401"/>
        <v>514.67781199999979</v>
      </c>
      <c r="AB64" s="7"/>
      <c r="AC64" s="7">
        <f t="shared" si="43"/>
        <v>2725.5600000000009</v>
      </c>
      <c r="AD64" s="7">
        <f t="shared" si="44"/>
        <v>21804.535999999986</v>
      </c>
      <c r="AE64" s="7">
        <f t="shared" si="366"/>
        <v>21577.405999999984</v>
      </c>
      <c r="AF64" s="7">
        <f t="shared" si="366"/>
        <v>21350.275999999983</v>
      </c>
      <c r="AG64" s="7">
        <f t="shared" si="366"/>
        <v>21123.145999999982</v>
      </c>
      <c r="AH64" s="7">
        <f t="shared" si="366"/>
        <v>20896.015999999981</v>
      </c>
      <c r="AI64" s="7">
        <f t="shared" si="366"/>
        <v>20668.88599999998</v>
      </c>
      <c r="AJ64" s="7">
        <f t="shared" si="366"/>
        <v>20441.755999999979</v>
      </c>
      <c r="AK64" s="7">
        <f t="shared" si="366"/>
        <v>20214.625999999978</v>
      </c>
      <c r="AL64" s="7">
        <f t="shared" si="366"/>
        <v>19987.495999999977</v>
      </c>
      <c r="AM64" s="7">
        <f t="shared" si="366"/>
        <v>19760.365999999976</v>
      </c>
      <c r="AN64" s="7">
        <f t="shared" si="366"/>
        <v>19533.235999999975</v>
      </c>
      <c r="AO64" s="7">
        <f t="shared" si="366"/>
        <v>19306.105999999974</v>
      </c>
      <c r="AP64" s="222">
        <f t="shared" si="402"/>
        <v>454.71549199999953</v>
      </c>
      <c r="AQ64" s="7">
        <v>227.13000000000008</v>
      </c>
      <c r="AR64" s="7">
        <f t="shared" si="45"/>
        <v>227.13000000000102</v>
      </c>
      <c r="AS64" s="7">
        <f t="shared" si="46"/>
        <v>9.3791641120333225E-13</v>
      </c>
      <c r="AT64" s="7">
        <f t="shared" si="330"/>
        <v>2725.5600000000009</v>
      </c>
      <c r="AU64" s="7">
        <f t="shared" si="331"/>
        <v>19078.975999999973</v>
      </c>
      <c r="AV64" s="7">
        <f t="shared" si="332"/>
        <v>18851.845999999972</v>
      </c>
      <c r="AW64" s="7">
        <f t="shared" si="332"/>
        <v>18624.715999999971</v>
      </c>
      <c r="AX64" s="7">
        <f t="shared" si="332"/>
        <v>18397.58599999997</v>
      </c>
      <c r="AY64" s="7">
        <f t="shared" si="332"/>
        <v>18170.455999999969</v>
      </c>
      <c r="AZ64" s="7">
        <f t="shared" si="332"/>
        <v>17943.325999999968</v>
      </c>
      <c r="BA64" s="7">
        <f t="shared" si="332"/>
        <v>17716.195999999967</v>
      </c>
      <c r="BB64" s="7">
        <f t="shared" si="332"/>
        <v>17489.065999999966</v>
      </c>
      <c r="BC64" s="7">
        <f t="shared" si="332"/>
        <v>17261.935999999965</v>
      </c>
      <c r="BD64" s="7">
        <f t="shared" si="332"/>
        <v>17034.805999999964</v>
      </c>
      <c r="BE64" s="7">
        <f t="shared" si="332"/>
        <v>16807.675999999963</v>
      </c>
      <c r="BF64" s="7">
        <f t="shared" si="332"/>
        <v>16580.545999999962</v>
      </c>
      <c r="BG64" s="236">
        <f t="shared" si="5"/>
        <v>394.75317199999921</v>
      </c>
      <c r="BH64" s="7">
        <v>227.13000000000008</v>
      </c>
      <c r="BI64" s="39">
        <f t="shared" si="368"/>
        <v>2725.5600000000009</v>
      </c>
      <c r="BJ64" s="7">
        <f t="shared" si="369"/>
        <v>16353.415999999963</v>
      </c>
      <c r="BK64" s="7">
        <f t="shared" si="333"/>
        <v>16126.285999999964</v>
      </c>
      <c r="BL64" s="7">
        <f t="shared" si="334"/>
        <v>15899.155999999964</v>
      </c>
      <c r="BM64" s="7">
        <f t="shared" si="335"/>
        <v>15672.025999999965</v>
      </c>
      <c r="BN64" s="7">
        <f t="shared" si="336"/>
        <v>15444.895999999966</v>
      </c>
      <c r="BO64" s="7">
        <f t="shared" si="337"/>
        <v>15217.765999999967</v>
      </c>
      <c r="BP64" s="7">
        <f t="shared" si="338"/>
        <v>14990.635999999968</v>
      </c>
      <c r="BQ64" s="7">
        <f t="shared" si="370"/>
        <v>14763.505999999968</v>
      </c>
      <c r="BR64" s="7">
        <f t="shared" si="371"/>
        <v>14536.375999999969</v>
      </c>
      <c r="BS64" s="7">
        <f t="shared" si="372"/>
        <v>14309.24599999997</v>
      </c>
      <c r="BT64" s="7">
        <f t="shared" si="373"/>
        <v>14082.115999999971</v>
      </c>
      <c r="BU64" s="7">
        <f t="shared" si="374"/>
        <v>13854.985999999972</v>
      </c>
      <c r="BV64" s="236">
        <f t="shared" si="403"/>
        <v>334.79085199999923</v>
      </c>
      <c r="BW64" s="7">
        <v>227.13000000000008</v>
      </c>
      <c r="BX64" s="39">
        <f t="shared" si="375"/>
        <v>2725.5600000000009</v>
      </c>
      <c r="BY64" s="7">
        <f t="shared" si="376"/>
        <v>13627.855999999972</v>
      </c>
      <c r="BZ64" s="7">
        <f t="shared" si="377"/>
        <v>13400.725999999973</v>
      </c>
      <c r="CA64" s="7">
        <f t="shared" si="378"/>
        <v>13173.595999999974</v>
      </c>
      <c r="CB64" s="7">
        <f t="shared" si="379"/>
        <v>12946.465999999975</v>
      </c>
      <c r="CC64" s="7">
        <f t="shared" si="380"/>
        <v>12719.335999999976</v>
      </c>
      <c r="CD64" s="7">
        <f t="shared" si="381"/>
        <v>12492.205999999976</v>
      </c>
      <c r="CE64" s="7">
        <f t="shared" si="382"/>
        <v>12265.075999999977</v>
      </c>
      <c r="CF64" s="7">
        <f t="shared" si="383"/>
        <v>12037.945999999978</v>
      </c>
      <c r="CG64" s="7">
        <f t="shared" si="384"/>
        <v>11810.815999999979</v>
      </c>
      <c r="CH64" s="7">
        <f t="shared" si="385"/>
        <v>11583.68599999998</v>
      </c>
      <c r="CI64" s="7">
        <f t="shared" si="386"/>
        <v>11356.55599999998</v>
      </c>
      <c r="CJ64" s="7">
        <f t="shared" si="387"/>
        <v>11129.425999999981</v>
      </c>
      <c r="CK64" s="236">
        <f t="shared" si="404"/>
        <v>274.82853199999948</v>
      </c>
      <c r="CL64" s="7">
        <v>227.13000000000008</v>
      </c>
      <c r="CM64" s="39">
        <f t="shared" si="388"/>
        <v>2725.5600000000009</v>
      </c>
      <c r="CN64" s="7">
        <f t="shared" si="389"/>
        <v>10902.295999999982</v>
      </c>
      <c r="CO64" s="7">
        <f t="shared" si="390"/>
        <v>10675.165999999983</v>
      </c>
      <c r="CP64" s="7">
        <f t="shared" si="391"/>
        <v>10448.035999999984</v>
      </c>
      <c r="CQ64" s="7">
        <f t="shared" si="392"/>
        <v>10220.905999999984</v>
      </c>
      <c r="CR64" s="7">
        <f t="shared" si="393"/>
        <v>9993.7759999999853</v>
      </c>
      <c r="CS64" s="7">
        <f t="shared" si="394"/>
        <v>9766.6459999999861</v>
      </c>
      <c r="CT64" s="7">
        <f t="shared" si="395"/>
        <v>9539.5159999999869</v>
      </c>
      <c r="CU64" s="7">
        <f t="shared" si="396"/>
        <v>9312.3859999999877</v>
      </c>
      <c r="CV64" s="7">
        <f t="shared" si="397"/>
        <v>9085.2559999999885</v>
      </c>
      <c r="CW64" s="7">
        <f t="shared" si="398"/>
        <v>8858.1259999999893</v>
      </c>
      <c r="CX64" s="7">
        <f t="shared" si="399"/>
        <v>8630.9959999999901</v>
      </c>
      <c r="CY64" s="7">
        <f t="shared" si="400"/>
        <v>8403.8659999999909</v>
      </c>
      <c r="CZ64" s="236">
        <f t="shared" si="405"/>
        <v>214.86621199999968</v>
      </c>
    </row>
    <row r="65" spans="1:104" x14ac:dyDescent="0.2">
      <c r="A65" s="6" t="str">
        <f>'[1]2021 УГРЦТ'!A68</f>
        <v>Наружные сети электроснабжения 0,4 кВ ( НАО п. Красное)</v>
      </c>
      <c r="B65" t="str">
        <f>'[1]2021 УГРЦТ'!B68</f>
        <v>000001684</v>
      </c>
      <c r="C65" t="str">
        <f>'[1]2021 УГРЦТ'!C68</f>
        <v>ПРОИЗВОДСТВО</v>
      </c>
      <c r="D65" t="str">
        <f>'[1]2021 УГРЦТ'!D68</f>
        <v>Сооружения</v>
      </c>
      <c r="E65" t="str">
        <f>'[1]2021 УГРЦТ'!E68</f>
        <v>10.06.2016</v>
      </c>
      <c r="F65" t="str">
        <f>'[1]2021 УГРЦТ'!F68</f>
        <v>ДЭС п.Красное</v>
      </c>
      <c r="G65">
        <f>'[1]2021 УГРЦТ'!AC68</f>
        <v>180</v>
      </c>
      <c r="H65" s="7">
        <f>'[1]2021 УГРЦТ'!X68</f>
        <v>239099</v>
      </c>
      <c r="I65" s="7">
        <f>'[1]2021 УГРЦТ'!Y68</f>
        <v>87669.753333333341</v>
      </c>
      <c r="J65" s="7">
        <f>'[1]2021 УГРЦТ'!Z68</f>
        <v>151429.24666666664</v>
      </c>
      <c r="K65" s="8">
        <v>1</v>
      </c>
      <c r="L65" s="7">
        <v>1328.33</v>
      </c>
      <c r="M65" s="7"/>
      <c r="N65" s="7">
        <f t="shared" si="0"/>
        <v>15939.96</v>
      </c>
      <c r="O65" s="7">
        <f t="shared" si="41"/>
        <v>150100.91666666666</v>
      </c>
      <c r="P65" s="7">
        <f t="shared" si="294"/>
        <v>148772.58666666667</v>
      </c>
      <c r="Q65" s="7">
        <f t="shared" si="294"/>
        <v>147444.25666666668</v>
      </c>
      <c r="R65" s="7">
        <f t="shared" si="294"/>
        <v>146115.9266666667</v>
      </c>
      <c r="S65" s="7">
        <f t="shared" si="294"/>
        <v>144787.59666666671</v>
      </c>
      <c r="T65" s="7">
        <f t="shared" si="294"/>
        <v>143459.26666666672</v>
      </c>
      <c r="U65" s="7">
        <f t="shared" si="294"/>
        <v>142130.93666666673</v>
      </c>
      <c r="V65" s="7">
        <f t="shared" si="294"/>
        <v>140802.60666666675</v>
      </c>
      <c r="W65" s="7">
        <f t="shared" si="294"/>
        <v>139474.27666666676</v>
      </c>
      <c r="X65" s="7">
        <f t="shared" si="294"/>
        <v>138145.94666666677</v>
      </c>
      <c r="Y65" s="7">
        <f t="shared" si="294"/>
        <v>136817.61666666679</v>
      </c>
      <c r="Z65" s="7">
        <f t="shared" si="294"/>
        <v>135489.2866666668</v>
      </c>
      <c r="AA65" s="7">
        <f t="shared" si="401"/>
        <v>3156.1038666666677</v>
      </c>
      <c r="AB65" s="7"/>
      <c r="AC65" s="7">
        <f t="shared" si="43"/>
        <v>15939.96</v>
      </c>
      <c r="AD65" s="7">
        <f t="shared" si="44"/>
        <v>134160.95666666681</v>
      </c>
      <c r="AE65" s="7">
        <f t="shared" si="366"/>
        <v>132832.62666666682</v>
      </c>
      <c r="AF65" s="7">
        <f t="shared" si="366"/>
        <v>131504.29666666684</v>
      </c>
      <c r="AG65" s="7">
        <f t="shared" si="366"/>
        <v>130175.96666666683</v>
      </c>
      <c r="AH65" s="7">
        <f t="shared" si="366"/>
        <v>128847.63666666683</v>
      </c>
      <c r="AI65" s="7">
        <f t="shared" si="366"/>
        <v>127519.30666666683</v>
      </c>
      <c r="AJ65" s="7">
        <f t="shared" si="366"/>
        <v>126190.97666666683</v>
      </c>
      <c r="AK65" s="7">
        <f t="shared" si="366"/>
        <v>124862.64666666683</v>
      </c>
      <c r="AL65" s="7">
        <f t="shared" si="366"/>
        <v>123534.31666666683</v>
      </c>
      <c r="AM65" s="7">
        <f t="shared" si="366"/>
        <v>122205.98666666682</v>
      </c>
      <c r="AN65" s="7">
        <f t="shared" si="366"/>
        <v>120877.65666666682</v>
      </c>
      <c r="AO65" s="7">
        <f t="shared" si="366"/>
        <v>119549.32666666682</v>
      </c>
      <c r="AP65" s="222">
        <f t="shared" si="402"/>
        <v>2805.4247466666698</v>
      </c>
      <c r="AQ65" s="7">
        <v>1328.33</v>
      </c>
      <c r="AR65" s="7">
        <f t="shared" si="45"/>
        <v>1328.3300000000017</v>
      </c>
      <c r="AS65" s="7">
        <f t="shared" si="46"/>
        <v>1.8189894035458565E-12</v>
      </c>
      <c r="AT65" s="7">
        <f t="shared" si="330"/>
        <v>15939.96</v>
      </c>
      <c r="AU65" s="7">
        <f t="shared" si="331"/>
        <v>118220.99666666682</v>
      </c>
      <c r="AV65" s="7">
        <f t="shared" si="332"/>
        <v>116892.66666666682</v>
      </c>
      <c r="AW65" s="7">
        <f t="shared" si="332"/>
        <v>115564.33666666682</v>
      </c>
      <c r="AX65" s="7">
        <f t="shared" si="332"/>
        <v>114236.00666666681</v>
      </c>
      <c r="AY65" s="7">
        <f t="shared" si="332"/>
        <v>112907.67666666681</v>
      </c>
      <c r="AZ65" s="7">
        <f t="shared" si="332"/>
        <v>111579.34666666681</v>
      </c>
      <c r="BA65" s="7">
        <f t="shared" si="332"/>
        <v>110251.01666666681</v>
      </c>
      <c r="BB65" s="7">
        <f t="shared" si="332"/>
        <v>108922.68666666681</v>
      </c>
      <c r="BC65" s="7">
        <f t="shared" si="332"/>
        <v>107594.3566666668</v>
      </c>
      <c r="BD65" s="7">
        <f t="shared" si="332"/>
        <v>106266.0266666668</v>
      </c>
      <c r="BE65" s="7">
        <f t="shared" si="332"/>
        <v>104937.6966666668</v>
      </c>
      <c r="BF65" s="7">
        <f t="shared" si="332"/>
        <v>103609.3666666668</v>
      </c>
      <c r="BG65" s="236">
        <f t="shared" si="5"/>
        <v>2454.7456266666695</v>
      </c>
      <c r="BH65" s="7">
        <v>1328.33</v>
      </c>
      <c r="BI65" s="39">
        <f t="shared" si="368"/>
        <v>15939.96</v>
      </c>
      <c r="BJ65" s="7">
        <f t="shared" si="369"/>
        <v>102281.0366666668</v>
      </c>
      <c r="BK65" s="7">
        <f t="shared" si="333"/>
        <v>100952.7066666668</v>
      </c>
      <c r="BL65" s="7">
        <f t="shared" si="334"/>
        <v>99624.376666666794</v>
      </c>
      <c r="BM65" s="7">
        <f t="shared" si="335"/>
        <v>98296.046666666793</v>
      </c>
      <c r="BN65" s="7">
        <f t="shared" si="336"/>
        <v>96967.716666666791</v>
      </c>
      <c r="BO65" s="7">
        <f t="shared" si="337"/>
        <v>95639.386666666789</v>
      </c>
      <c r="BP65" s="7">
        <f t="shared" si="338"/>
        <v>94311.056666666787</v>
      </c>
      <c r="BQ65" s="7">
        <f t="shared" si="370"/>
        <v>92982.726666666786</v>
      </c>
      <c r="BR65" s="7">
        <f t="shared" si="371"/>
        <v>91654.396666666784</v>
      </c>
      <c r="BS65" s="7">
        <f t="shared" si="372"/>
        <v>90326.066666666782</v>
      </c>
      <c r="BT65" s="7">
        <f t="shared" si="373"/>
        <v>88997.73666666678</v>
      </c>
      <c r="BU65" s="7">
        <f t="shared" si="374"/>
        <v>87669.406666666779</v>
      </c>
      <c r="BV65" s="236">
        <f t="shared" si="403"/>
        <v>2104.0665066666688</v>
      </c>
      <c r="BW65" s="7">
        <v>1328.33</v>
      </c>
      <c r="BX65" s="39">
        <f t="shared" si="375"/>
        <v>15939.96</v>
      </c>
      <c r="BY65" s="7">
        <f t="shared" si="376"/>
        <v>86341.076666666777</v>
      </c>
      <c r="BZ65" s="7">
        <f t="shared" si="377"/>
        <v>85012.746666666775</v>
      </c>
      <c r="CA65" s="7">
        <f t="shared" si="378"/>
        <v>83684.416666666773</v>
      </c>
      <c r="CB65" s="7">
        <f t="shared" si="379"/>
        <v>82356.086666666772</v>
      </c>
      <c r="CC65" s="7">
        <f t="shared" si="380"/>
        <v>81027.75666666677</v>
      </c>
      <c r="CD65" s="7">
        <f t="shared" si="381"/>
        <v>79699.426666666768</v>
      </c>
      <c r="CE65" s="7">
        <f t="shared" si="382"/>
        <v>78371.096666666766</v>
      </c>
      <c r="CF65" s="7">
        <f t="shared" si="383"/>
        <v>77042.766666666765</v>
      </c>
      <c r="CG65" s="7">
        <f t="shared" si="384"/>
        <v>75714.436666666763</v>
      </c>
      <c r="CH65" s="7">
        <f t="shared" si="385"/>
        <v>74386.106666666761</v>
      </c>
      <c r="CI65" s="7">
        <f t="shared" si="386"/>
        <v>73057.776666666759</v>
      </c>
      <c r="CJ65" s="7">
        <f t="shared" si="387"/>
        <v>71729.446666666758</v>
      </c>
      <c r="CK65" s="236">
        <f t="shared" si="404"/>
        <v>1753.3873866666688</v>
      </c>
      <c r="CL65" s="7">
        <v>1328.33</v>
      </c>
      <c r="CM65" s="39">
        <f t="shared" si="388"/>
        <v>15939.96</v>
      </c>
      <c r="CN65" s="7">
        <f t="shared" si="389"/>
        <v>70401.116666666756</v>
      </c>
      <c r="CO65" s="7">
        <f t="shared" si="390"/>
        <v>69072.786666666754</v>
      </c>
      <c r="CP65" s="7">
        <f t="shared" si="391"/>
        <v>67744.456666666752</v>
      </c>
      <c r="CQ65" s="7">
        <f t="shared" si="392"/>
        <v>66416.126666666751</v>
      </c>
      <c r="CR65" s="7">
        <f t="shared" si="393"/>
        <v>65087.796666666749</v>
      </c>
      <c r="CS65" s="7">
        <f t="shared" si="394"/>
        <v>63759.466666666747</v>
      </c>
      <c r="CT65" s="7">
        <f t="shared" si="395"/>
        <v>62431.136666666745</v>
      </c>
      <c r="CU65" s="7">
        <f t="shared" si="396"/>
        <v>61102.806666666744</v>
      </c>
      <c r="CV65" s="7">
        <f t="shared" si="397"/>
        <v>59774.476666666742</v>
      </c>
      <c r="CW65" s="7">
        <f t="shared" si="398"/>
        <v>58446.14666666674</v>
      </c>
      <c r="CX65" s="7">
        <f t="shared" si="399"/>
        <v>57117.816666666738</v>
      </c>
      <c r="CY65" s="7">
        <f t="shared" si="400"/>
        <v>55789.486666666737</v>
      </c>
      <c r="CZ65" s="236">
        <f t="shared" si="405"/>
        <v>1402.7082666666681</v>
      </c>
    </row>
    <row r="66" spans="1:104" s="26" customFormat="1" x14ac:dyDescent="0.2">
      <c r="A66" s="104" t="str">
        <f>'[1]2021 УГРЦТ'!A69</f>
        <v>Наружные сети электроснабжения 0,4 кВ ( НАО п. Красное)</v>
      </c>
      <c r="B66" s="26" t="str">
        <f>'[1]2021 УГРЦТ'!B69</f>
        <v>000001685</v>
      </c>
      <c r="C66" s="26" t="str">
        <f>'[1]2021 УГРЦТ'!C69</f>
        <v>ПРОИЗВОДСТВО</v>
      </c>
      <c r="D66" s="26" t="str">
        <f>'[1]2021 УГРЦТ'!D69</f>
        <v>Сооружения</v>
      </c>
      <c r="E66" s="26" t="str">
        <f>'[1]2021 УГРЦТ'!E69</f>
        <v>10.06.2016</v>
      </c>
      <c r="F66" s="26" t="str">
        <f>'[1]2021 УГРЦТ'!F69</f>
        <v>ДЭС п.Красное</v>
      </c>
      <c r="G66" s="26">
        <f>'[1]2021 УГРЦТ'!AC69</f>
        <v>180</v>
      </c>
      <c r="H66" s="39">
        <f>'[1]2021 УГРЦТ'!X69</f>
        <v>87099</v>
      </c>
      <c r="I66" s="39">
        <f>'[1]2021 УГРЦТ'!Y69</f>
        <v>31936.12</v>
      </c>
      <c r="J66" s="39">
        <f>'[1]2021 УГРЦТ'!Z69</f>
        <v>55162.880000000005</v>
      </c>
      <c r="K66" s="40">
        <v>1</v>
      </c>
      <c r="L66" s="39">
        <v>483.88</v>
      </c>
      <c r="M66" s="39"/>
      <c r="N66" s="39">
        <f t="shared" si="0"/>
        <v>5806.5599999999995</v>
      </c>
      <c r="O66" s="7">
        <f t="shared" si="41"/>
        <v>54679.000000000007</v>
      </c>
      <c r="P66" s="7">
        <f t="shared" si="294"/>
        <v>54195.12000000001</v>
      </c>
      <c r="Q66" s="7">
        <f t="shared" si="294"/>
        <v>53711.240000000013</v>
      </c>
      <c r="R66" s="7">
        <f t="shared" si="294"/>
        <v>53227.360000000015</v>
      </c>
      <c r="S66" s="7">
        <f t="shared" si="294"/>
        <v>52743.480000000018</v>
      </c>
      <c r="T66" s="7">
        <f t="shared" si="294"/>
        <v>52259.60000000002</v>
      </c>
      <c r="U66" s="7">
        <f t="shared" si="294"/>
        <v>51775.720000000023</v>
      </c>
      <c r="V66" s="7">
        <f t="shared" si="294"/>
        <v>51291.840000000026</v>
      </c>
      <c r="W66" s="7">
        <f t="shared" si="294"/>
        <v>50807.960000000028</v>
      </c>
      <c r="X66" s="7">
        <f t="shared" si="294"/>
        <v>50324.080000000031</v>
      </c>
      <c r="Y66" s="7">
        <f t="shared" si="294"/>
        <v>49840.200000000033</v>
      </c>
      <c r="Z66" s="7">
        <f t="shared" si="294"/>
        <v>49356.320000000036</v>
      </c>
      <c r="AA66" s="7">
        <f t="shared" si="401"/>
        <v>1149.7112000000006</v>
      </c>
      <c r="AB66" s="7"/>
      <c r="AC66" s="7">
        <f t="shared" si="43"/>
        <v>5806.5599999999995</v>
      </c>
      <c r="AD66" s="7">
        <f t="shared" si="44"/>
        <v>48872.440000000039</v>
      </c>
      <c r="AE66" s="7">
        <f t="shared" si="366"/>
        <v>48388.560000000041</v>
      </c>
      <c r="AF66" s="7">
        <f t="shared" si="366"/>
        <v>47904.680000000044</v>
      </c>
      <c r="AG66" s="7">
        <f t="shared" si="366"/>
        <v>47420.800000000047</v>
      </c>
      <c r="AH66" s="7">
        <f t="shared" si="366"/>
        <v>46936.920000000049</v>
      </c>
      <c r="AI66" s="7">
        <f t="shared" si="366"/>
        <v>46453.040000000052</v>
      </c>
      <c r="AJ66" s="7">
        <f t="shared" si="366"/>
        <v>45969.160000000054</v>
      </c>
      <c r="AK66" s="7">
        <f t="shared" si="366"/>
        <v>45485.280000000057</v>
      </c>
      <c r="AL66" s="7">
        <f t="shared" si="366"/>
        <v>45001.40000000006</v>
      </c>
      <c r="AM66" s="7">
        <f t="shared" si="366"/>
        <v>44517.520000000062</v>
      </c>
      <c r="AN66" s="7">
        <f t="shared" si="366"/>
        <v>44033.640000000065</v>
      </c>
      <c r="AO66" s="7">
        <f t="shared" si="366"/>
        <v>43549.760000000068</v>
      </c>
      <c r="AP66" s="222">
        <f t="shared" si="402"/>
        <v>1021.9668800000011</v>
      </c>
      <c r="AQ66" s="7">
        <v>483.88</v>
      </c>
      <c r="AR66" s="7">
        <f t="shared" si="45"/>
        <v>483.87999999999738</v>
      </c>
      <c r="AS66" s="7">
        <f t="shared" si="46"/>
        <v>-2.6147972675971687E-12</v>
      </c>
      <c r="AT66" s="7">
        <f t="shared" si="330"/>
        <v>5806.5599999999995</v>
      </c>
      <c r="AU66" s="7">
        <f t="shared" si="331"/>
        <v>43065.88000000007</v>
      </c>
      <c r="AV66" s="7">
        <f t="shared" si="332"/>
        <v>42582.000000000073</v>
      </c>
      <c r="AW66" s="7">
        <f t="shared" si="332"/>
        <v>42098.120000000075</v>
      </c>
      <c r="AX66" s="7">
        <f t="shared" si="332"/>
        <v>41614.240000000078</v>
      </c>
      <c r="AY66" s="7">
        <f t="shared" si="332"/>
        <v>41130.360000000081</v>
      </c>
      <c r="AZ66" s="7">
        <f t="shared" si="332"/>
        <v>40646.480000000083</v>
      </c>
      <c r="BA66" s="7">
        <f t="shared" si="332"/>
        <v>40162.600000000086</v>
      </c>
      <c r="BB66" s="7">
        <f t="shared" si="332"/>
        <v>39678.720000000088</v>
      </c>
      <c r="BC66" s="7">
        <f t="shared" si="332"/>
        <v>39194.840000000091</v>
      </c>
      <c r="BD66" s="7">
        <f t="shared" si="332"/>
        <v>38710.960000000094</v>
      </c>
      <c r="BE66" s="7">
        <f t="shared" si="332"/>
        <v>38227.080000000096</v>
      </c>
      <c r="BF66" s="7">
        <f t="shared" si="332"/>
        <v>37743.200000000099</v>
      </c>
      <c r="BG66" s="236">
        <f t="shared" si="5"/>
        <v>894.22256000000198</v>
      </c>
      <c r="BH66" s="7">
        <v>483.88</v>
      </c>
      <c r="BI66" s="39">
        <f t="shared" si="368"/>
        <v>5806.5599999999995</v>
      </c>
      <c r="BJ66" s="7">
        <f t="shared" si="369"/>
        <v>37259.320000000102</v>
      </c>
      <c r="BK66" s="7">
        <f t="shared" si="333"/>
        <v>36775.440000000104</v>
      </c>
      <c r="BL66" s="7">
        <f t="shared" si="334"/>
        <v>36291.560000000107</v>
      </c>
      <c r="BM66" s="7">
        <f t="shared" si="335"/>
        <v>35807.680000000109</v>
      </c>
      <c r="BN66" s="7">
        <f t="shared" si="336"/>
        <v>35323.800000000112</v>
      </c>
      <c r="BO66" s="7">
        <f t="shared" si="337"/>
        <v>34839.920000000115</v>
      </c>
      <c r="BP66" s="7">
        <f t="shared" si="338"/>
        <v>34356.040000000117</v>
      </c>
      <c r="BQ66" s="7">
        <f t="shared" si="370"/>
        <v>33872.16000000012</v>
      </c>
      <c r="BR66" s="7">
        <f t="shared" si="371"/>
        <v>33388.280000000123</v>
      </c>
      <c r="BS66" s="7">
        <f t="shared" si="372"/>
        <v>32904.400000000125</v>
      </c>
      <c r="BT66" s="7">
        <f t="shared" si="373"/>
        <v>32420.520000000124</v>
      </c>
      <c r="BU66" s="7">
        <f t="shared" si="374"/>
        <v>31936.640000000123</v>
      </c>
      <c r="BV66" s="236">
        <f t="shared" si="403"/>
        <v>766.47824000000264</v>
      </c>
      <c r="BW66" s="7">
        <v>483.88</v>
      </c>
      <c r="BX66" s="39">
        <f t="shared" si="375"/>
        <v>5806.5599999999995</v>
      </c>
      <c r="BY66" s="7">
        <f t="shared" si="376"/>
        <v>31452.760000000122</v>
      </c>
      <c r="BZ66" s="7">
        <f t="shared" si="377"/>
        <v>30968.880000000121</v>
      </c>
      <c r="CA66" s="7">
        <f t="shared" si="378"/>
        <v>30485.00000000012</v>
      </c>
      <c r="CB66" s="7">
        <f t="shared" si="379"/>
        <v>30001.120000000119</v>
      </c>
      <c r="CC66" s="7">
        <f t="shared" si="380"/>
        <v>29517.240000000118</v>
      </c>
      <c r="CD66" s="7">
        <f t="shared" si="381"/>
        <v>29033.360000000117</v>
      </c>
      <c r="CE66" s="7">
        <f t="shared" si="382"/>
        <v>28549.480000000116</v>
      </c>
      <c r="CF66" s="7">
        <f t="shared" si="383"/>
        <v>28065.600000000115</v>
      </c>
      <c r="CG66" s="7">
        <f t="shared" si="384"/>
        <v>27581.720000000114</v>
      </c>
      <c r="CH66" s="7">
        <f t="shared" si="385"/>
        <v>27097.840000000113</v>
      </c>
      <c r="CI66" s="7">
        <f t="shared" si="386"/>
        <v>26613.960000000112</v>
      </c>
      <c r="CJ66" s="7">
        <f t="shared" si="387"/>
        <v>26130.080000000111</v>
      </c>
      <c r="CK66" s="236">
        <f t="shared" si="404"/>
        <v>638.73392000000263</v>
      </c>
      <c r="CL66" s="7">
        <v>483.88</v>
      </c>
      <c r="CM66" s="39">
        <f t="shared" si="388"/>
        <v>5806.5599999999995</v>
      </c>
      <c r="CN66" s="7">
        <f t="shared" si="389"/>
        <v>25646.20000000011</v>
      </c>
      <c r="CO66" s="7">
        <f t="shared" si="390"/>
        <v>25162.320000000109</v>
      </c>
      <c r="CP66" s="7">
        <f t="shared" si="391"/>
        <v>24678.440000000108</v>
      </c>
      <c r="CQ66" s="7">
        <f t="shared" si="392"/>
        <v>24194.560000000107</v>
      </c>
      <c r="CR66" s="7">
        <f t="shared" si="393"/>
        <v>23710.680000000106</v>
      </c>
      <c r="CS66" s="7">
        <f t="shared" si="394"/>
        <v>23226.800000000105</v>
      </c>
      <c r="CT66" s="7">
        <f t="shared" si="395"/>
        <v>22742.920000000104</v>
      </c>
      <c r="CU66" s="7">
        <f t="shared" si="396"/>
        <v>22259.040000000103</v>
      </c>
      <c r="CV66" s="7">
        <f t="shared" si="397"/>
        <v>21775.160000000102</v>
      </c>
      <c r="CW66" s="7">
        <f t="shared" si="398"/>
        <v>21291.280000000101</v>
      </c>
      <c r="CX66" s="7">
        <f t="shared" si="399"/>
        <v>20807.4000000001</v>
      </c>
      <c r="CY66" s="7">
        <f t="shared" si="400"/>
        <v>20323.520000000099</v>
      </c>
      <c r="CZ66" s="236">
        <f t="shared" si="405"/>
        <v>510.98960000000227</v>
      </c>
    </row>
    <row r="67" spans="1:104" x14ac:dyDescent="0.2">
      <c r="A67" s="6" t="str">
        <f>'[1]2021 УГРЦТ'!A70</f>
        <v>Наружные сети электроснабжения 0,4 кВ (НАО, п. Красное)</v>
      </c>
      <c r="B67" t="str">
        <f>'[1]2021 УГРЦТ'!B70</f>
        <v>000001687</v>
      </c>
      <c r="C67" t="str">
        <f>'[1]2021 УГРЦТ'!C70</f>
        <v>ПРОИЗВОДСТВО</v>
      </c>
      <c r="D67" t="str">
        <f>'[1]2021 УГРЦТ'!D70</f>
        <v>Сооружения</v>
      </c>
      <c r="E67" t="str">
        <f>'[1]2021 УГРЦТ'!E70</f>
        <v>29.06.2016</v>
      </c>
      <c r="F67" t="str">
        <f>'[1]2021 УГРЦТ'!F70</f>
        <v>ДЭС п.Красное</v>
      </c>
      <c r="G67">
        <f>'[1]2021 УГРЦТ'!AC70</f>
        <v>180</v>
      </c>
      <c r="H67" s="7">
        <f>'[1]2021 УГРЦТ'!X70</f>
        <v>25447</v>
      </c>
      <c r="I67" s="7">
        <f>'[1]2021 УГРЦТ'!Y70</f>
        <v>9330.4466666666667</v>
      </c>
      <c r="J67" s="7">
        <f>'[1]2021 УГРЦТ'!Z70</f>
        <v>16116.553333333333</v>
      </c>
      <c r="K67" s="8">
        <v>1</v>
      </c>
      <c r="L67" s="7">
        <v>141.37</v>
      </c>
      <c r="M67" s="7"/>
      <c r="N67" s="7">
        <f t="shared" si="0"/>
        <v>1696.44</v>
      </c>
      <c r="O67" s="7">
        <f t="shared" si="41"/>
        <v>15975.183333333332</v>
      </c>
      <c r="P67" s="7">
        <f t="shared" si="294"/>
        <v>15833.813333333332</v>
      </c>
      <c r="Q67" s="7">
        <f t="shared" si="294"/>
        <v>15692.443333333331</v>
      </c>
      <c r="R67" s="7">
        <f t="shared" si="294"/>
        <v>15551.07333333333</v>
      </c>
      <c r="S67" s="7">
        <f t="shared" si="294"/>
        <v>15409.703333333329</v>
      </c>
      <c r="T67" s="7">
        <f t="shared" si="294"/>
        <v>15268.333333333328</v>
      </c>
      <c r="U67" s="7">
        <f t="shared" si="294"/>
        <v>15126.963333333328</v>
      </c>
      <c r="V67" s="7">
        <f t="shared" si="294"/>
        <v>14985.593333333327</v>
      </c>
      <c r="W67" s="7">
        <f t="shared" si="294"/>
        <v>14844.223333333326</v>
      </c>
      <c r="X67" s="7">
        <f t="shared" si="294"/>
        <v>14702.853333333325</v>
      </c>
      <c r="Y67" s="7">
        <f t="shared" si="294"/>
        <v>14561.483333333324</v>
      </c>
      <c r="Z67" s="7">
        <f t="shared" si="294"/>
        <v>14420.113333333324</v>
      </c>
      <c r="AA67" s="7">
        <f t="shared" si="401"/>
        <v>335.90333333333325</v>
      </c>
      <c r="AB67" s="7"/>
      <c r="AC67" s="7">
        <f t="shared" si="43"/>
        <v>1696.44</v>
      </c>
      <c r="AD67" s="7">
        <f t="shared" si="44"/>
        <v>14278.743333333323</v>
      </c>
      <c r="AE67" s="7">
        <f t="shared" si="366"/>
        <v>14137.373333333322</v>
      </c>
      <c r="AF67" s="7">
        <f t="shared" si="366"/>
        <v>13996.003333333321</v>
      </c>
      <c r="AG67" s="7">
        <f t="shared" si="366"/>
        <v>13854.63333333332</v>
      </c>
      <c r="AH67" s="7">
        <f t="shared" si="366"/>
        <v>13713.26333333332</v>
      </c>
      <c r="AI67" s="7">
        <f t="shared" si="366"/>
        <v>13571.893333333319</v>
      </c>
      <c r="AJ67" s="7">
        <f t="shared" si="366"/>
        <v>13430.523333333318</v>
      </c>
      <c r="AK67" s="7">
        <f t="shared" si="366"/>
        <v>13289.153333333317</v>
      </c>
      <c r="AL67" s="7">
        <f t="shared" si="366"/>
        <v>13147.783333333316</v>
      </c>
      <c r="AM67" s="7">
        <f t="shared" si="366"/>
        <v>13006.413333333316</v>
      </c>
      <c r="AN67" s="7">
        <f t="shared" si="366"/>
        <v>12865.043333333315</v>
      </c>
      <c r="AO67" s="7">
        <f t="shared" si="366"/>
        <v>12723.673333333314</v>
      </c>
      <c r="AP67" s="222">
        <f t="shared" si="402"/>
        <v>298.58165333333289</v>
      </c>
      <c r="AQ67" s="7">
        <v>141.37</v>
      </c>
      <c r="AR67" s="7">
        <f t="shared" si="45"/>
        <v>141.3700000000008</v>
      </c>
      <c r="AS67" s="7">
        <f t="shared" si="46"/>
        <v>7.9580786405131221E-13</v>
      </c>
      <c r="AT67" s="7">
        <f t="shared" si="330"/>
        <v>1696.44</v>
      </c>
      <c r="AU67" s="7">
        <f t="shared" si="331"/>
        <v>12582.303333333313</v>
      </c>
      <c r="AV67" s="7">
        <f t="shared" si="332"/>
        <v>12440.933333333312</v>
      </c>
      <c r="AW67" s="7">
        <f t="shared" si="332"/>
        <v>12299.563333333312</v>
      </c>
      <c r="AX67" s="7">
        <f t="shared" si="332"/>
        <v>12158.193333333311</v>
      </c>
      <c r="AY67" s="7">
        <f t="shared" si="332"/>
        <v>12016.82333333331</v>
      </c>
      <c r="AZ67" s="7">
        <f t="shared" si="332"/>
        <v>11875.453333333309</v>
      </c>
      <c r="BA67" s="7">
        <f t="shared" si="332"/>
        <v>11734.083333333308</v>
      </c>
      <c r="BB67" s="7">
        <f t="shared" si="332"/>
        <v>11592.713333333308</v>
      </c>
      <c r="BC67" s="7">
        <f t="shared" si="332"/>
        <v>11451.343333333307</v>
      </c>
      <c r="BD67" s="7">
        <f t="shared" si="332"/>
        <v>11309.973333333306</v>
      </c>
      <c r="BE67" s="7">
        <f t="shared" si="332"/>
        <v>11168.603333333305</v>
      </c>
      <c r="BF67" s="7">
        <f t="shared" si="332"/>
        <v>11027.233333333304</v>
      </c>
      <c r="BG67" s="236">
        <f t="shared" si="5"/>
        <v>261.25997333333277</v>
      </c>
      <c r="BH67" s="7">
        <v>141.37</v>
      </c>
      <c r="BI67" s="39">
        <f t="shared" si="368"/>
        <v>1696.44</v>
      </c>
      <c r="BJ67" s="7">
        <f t="shared" si="369"/>
        <v>10885.863333333304</v>
      </c>
      <c r="BK67" s="7">
        <f t="shared" si="333"/>
        <v>10744.493333333303</v>
      </c>
      <c r="BL67" s="7">
        <f t="shared" si="334"/>
        <v>10603.123333333302</v>
      </c>
      <c r="BM67" s="7">
        <f t="shared" si="335"/>
        <v>10461.753333333301</v>
      </c>
      <c r="BN67" s="7">
        <f t="shared" si="336"/>
        <v>10320.3833333333</v>
      </c>
      <c r="BO67" s="7">
        <f t="shared" si="337"/>
        <v>10179.0133333333</v>
      </c>
      <c r="BP67" s="7">
        <f t="shared" si="338"/>
        <v>10037.643333333299</v>
      </c>
      <c r="BQ67" s="7">
        <f t="shared" si="370"/>
        <v>9896.2733333332981</v>
      </c>
      <c r="BR67" s="7">
        <f t="shared" si="371"/>
        <v>9754.9033333332973</v>
      </c>
      <c r="BS67" s="7">
        <f t="shared" si="372"/>
        <v>9613.5333333332965</v>
      </c>
      <c r="BT67" s="7">
        <f t="shared" si="373"/>
        <v>9472.1633333332957</v>
      </c>
      <c r="BU67" s="7">
        <f t="shared" si="374"/>
        <v>9330.7933333332949</v>
      </c>
      <c r="BV67" s="236">
        <f t="shared" si="403"/>
        <v>223.93829333333258</v>
      </c>
      <c r="BW67" s="7">
        <v>141.37</v>
      </c>
      <c r="BX67" s="39">
        <f t="shared" si="375"/>
        <v>1696.44</v>
      </c>
      <c r="BY67" s="7">
        <f t="shared" si="376"/>
        <v>9189.4233333332941</v>
      </c>
      <c r="BZ67" s="7">
        <f t="shared" si="377"/>
        <v>9048.0533333332933</v>
      </c>
      <c r="CA67" s="7">
        <f t="shared" si="378"/>
        <v>8906.6833333332925</v>
      </c>
      <c r="CB67" s="7">
        <f t="shared" si="379"/>
        <v>8765.3133333332917</v>
      </c>
      <c r="CC67" s="7">
        <f t="shared" si="380"/>
        <v>8623.9433333332909</v>
      </c>
      <c r="CD67" s="7">
        <f t="shared" si="381"/>
        <v>8482.5733333332901</v>
      </c>
      <c r="CE67" s="7">
        <f t="shared" si="382"/>
        <v>8341.2033333332893</v>
      </c>
      <c r="CF67" s="7">
        <f t="shared" si="383"/>
        <v>8199.8333333332885</v>
      </c>
      <c r="CG67" s="7">
        <f t="shared" si="384"/>
        <v>8058.4633333332886</v>
      </c>
      <c r="CH67" s="7">
        <f t="shared" si="385"/>
        <v>7917.0933333332887</v>
      </c>
      <c r="CI67" s="7">
        <f t="shared" si="386"/>
        <v>7775.7233333332888</v>
      </c>
      <c r="CJ67" s="7">
        <f t="shared" si="387"/>
        <v>7634.3533333332889</v>
      </c>
      <c r="CK67" s="236">
        <f t="shared" si="404"/>
        <v>186.61661333333237</v>
      </c>
      <c r="CL67" s="7">
        <v>141.37</v>
      </c>
      <c r="CM67" s="39">
        <f t="shared" si="388"/>
        <v>1696.44</v>
      </c>
      <c r="CN67" s="7">
        <f t="shared" si="389"/>
        <v>7492.983333333289</v>
      </c>
      <c r="CO67" s="7">
        <f t="shared" si="390"/>
        <v>7351.6133333332891</v>
      </c>
      <c r="CP67" s="7">
        <f t="shared" si="391"/>
        <v>7210.2433333332892</v>
      </c>
      <c r="CQ67" s="7">
        <f t="shared" si="392"/>
        <v>7068.8733333332893</v>
      </c>
      <c r="CR67" s="7">
        <f t="shared" si="393"/>
        <v>6927.5033333332894</v>
      </c>
      <c r="CS67" s="7">
        <f t="shared" si="394"/>
        <v>6786.1333333332896</v>
      </c>
      <c r="CT67" s="7">
        <f t="shared" si="395"/>
        <v>6644.7633333332897</v>
      </c>
      <c r="CU67" s="7">
        <f t="shared" si="396"/>
        <v>6503.3933333332898</v>
      </c>
      <c r="CV67" s="7">
        <f t="shared" si="397"/>
        <v>6362.0233333332899</v>
      </c>
      <c r="CW67" s="7">
        <f t="shared" si="398"/>
        <v>6220.65333333329</v>
      </c>
      <c r="CX67" s="7">
        <f t="shared" si="399"/>
        <v>6079.2833333332901</v>
      </c>
      <c r="CY67" s="7">
        <f t="shared" si="400"/>
        <v>5937.9133333332902</v>
      </c>
      <c r="CZ67" s="236">
        <f t="shared" si="405"/>
        <v>149.29493333333235</v>
      </c>
    </row>
    <row r="68" spans="1:104" x14ac:dyDescent="0.2">
      <c r="A68" s="6" t="str">
        <f>'[1]2021 УГРЦТ'!A71</f>
        <v>Наружные сети электроснабжения 0,4 кВ (НАО, п. Красное)</v>
      </c>
      <c r="B68" t="str">
        <f>'[1]2021 УГРЦТ'!B71</f>
        <v>000001688</v>
      </c>
      <c r="C68" t="str">
        <f>'[1]2021 УГРЦТ'!C71</f>
        <v>ПРОИЗВОДСТВО</v>
      </c>
      <c r="D68" t="str">
        <f>'[1]2021 УГРЦТ'!D71</f>
        <v>Сооружения</v>
      </c>
      <c r="E68" t="str">
        <f>'[1]2021 УГРЦТ'!E71</f>
        <v>29.06.2016</v>
      </c>
      <c r="F68" t="str">
        <f>'[1]2021 УГРЦТ'!F71</f>
        <v>ДЭС п.Красное</v>
      </c>
      <c r="G68">
        <f>'[1]2021 УГРЦТ'!AC71</f>
        <v>180</v>
      </c>
      <c r="H68" s="7">
        <f>'[1]2021 УГРЦТ'!X71</f>
        <v>36352</v>
      </c>
      <c r="I68" s="7">
        <f>'[1]2021 УГРЦТ'!Y71</f>
        <v>13329.306666666667</v>
      </c>
      <c r="J68" s="7">
        <f>'[1]2021 УГРЦТ'!Z71</f>
        <v>23022.693333333333</v>
      </c>
      <c r="K68" s="8">
        <v>1</v>
      </c>
      <c r="L68" s="7">
        <v>201.96</v>
      </c>
      <c r="M68" s="7"/>
      <c r="N68" s="7">
        <f t="shared" ref="N68:N131" si="406">L68*12</f>
        <v>2423.52</v>
      </c>
      <c r="O68" s="7">
        <f t="shared" si="41"/>
        <v>22820.733333333334</v>
      </c>
      <c r="P68" s="7">
        <f t="shared" si="294"/>
        <v>22618.773333333334</v>
      </c>
      <c r="Q68" s="7">
        <f t="shared" si="294"/>
        <v>22416.813333333335</v>
      </c>
      <c r="R68" s="7">
        <f t="shared" si="294"/>
        <v>22214.853333333336</v>
      </c>
      <c r="S68" s="7">
        <f t="shared" si="294"/>
        <v>22012.893333333337</v>
      </c>
      <c r="T68" s="7">
        <f t="shared" si="294"/>
        <v>21810.933333333338</v>
      </c>
      <c r="U68" s="7">
        <f t="shared" si="294"/>
        <v>21608.973333333339</v>
      </c>
      <c r="V68" s="7">
        <f t="shared" si="294"/>
        <v>21407.01333333334</v>
      </c>
      <c r="W68" s="7">
        <f t="shared" si="294"/>
        <v>21205.053333333341</v>
      </c>
      <c r="X68" s="7">
        <f t="shared" si="294"/>
        <v>21003.093333333341</v>
      </c>
      <c r="Y68" s="7">
        <f t="shared" si="294"/>
        <v>20801.133333333342</v>
      </c>
      <c r="Z68" s="7">
        <f t="shared" si="294"/>
        <v>20599.173333333343</v>
      </c>
      <c r="AA68" s="7">
        <f t="shared" si="401"/>
        <v>479.8405333333335</v>
      </c>
      <c r="AB68" s="7"/>
      <c r="AC68" s="7">
        <f t="shared" si="43"/>
        <v>2423.52</v>
      </c>
      <c r="AD68" s="7">
        <f t="shared" si="44"/>
        <v>20397.213333333344</v>
      </c>
      <c r="AE68" s="7">
        <f t="shared" si="366"/>
        <v>20195.253333333345</v>
      </c>
      <c r="AF68" s="7">
        <f t="shared" si="366"/>
        <v>19993.293333333346</v>
      </c>
      <c r="AG68" s="7">
        <f t="shared" si="366"/>
        <v>19791.333333333347</v>
      </c>
      <c r="AH68" s="7">
        <f t="shared" si="366"/>
        <v>19589.373333333348</v>
      </c>
      <c r="AI68" s="7">
        <f t="shared" si="366"/>
        <v>19387.413333333348</v>
      </c>
      <c r="AJ68" s="7">
        <f t="shared" si="366"/>
        <v>19185.453333333349</v>
      </c>
      <c r="AK68" s="7">
        <f t="shared" si="366"/>
        <v>18983.49333333335</v>
      </c>
      <c r="AL68" s="7">
        <f t="shared" si="366"/>
        <v>18781.533333333351</v>
      </c>
      <c r="AM68" s="7">
        <f t="shared" si="366"/>
        <v>18579.573333333352</v>
      </c>
      <c r="AN68" s="7">
        <f t="shared" si="366"/>
        <v>18377.613333333353</v>
      </c>
      <c r="AO68" s="7">
        <f t="shared" si="366"/>
        <v>18175.653333333354</v>
      </c>
      <c r="AP68" s="222">
        <f t="shared" si="402"/>
        <v>426.52309333333363</v>
      </c>
      <c r="AQ68" s="7">
        <v>201.96</v>
      </c>
      <c r="AR68" s="7">
        <f t="shared" si="45"/>
        <v>201.95999999999913</v>
      </c>
      <c r="AS68" s="7">
        <f t="shared" si="46"/>
        <v>-8.8107299234252423E-13</v>
      </c>
      <c r="AT68" s="7">
        <f t="shared" si="330"/>
        <v>2423.52</v>
      </c>
      <c r="AU68" s="7">
        <f t="shared" si="331"/>
        <v>17973.693333333355</v>
      </c>
      <c r="AV68" s="7">
        <f t="shared" si="332"/>
        <v>17771.733333333355</v>
      </c>
      <c r="AW68" s="7">
        <f t="shared" si="332"/>
        <v>17569.773333333356</v>
      </c>
      <c r="AX68" s="7">
        <f t="shared" si="332"/>
        <v>17367.813333333357</v>
      </c>
      <c r="AY68" s="7">
        <f t="shared" si="332"/>
        <v>17165.853333333358</v>
      </c>
      <c r="AZ68" s="7">
        <f t="shared" si="332"/>
        <v>16963.893333333359</v>
      </c>
      <c r="BA68" s="7">
        <f t="shared" si="332"/>
        <v>16761.93333333336</v>
      </c>
      <c r="BB68" s="7">
        <f t="shared" si="332"/>
        <v>16559.973333333361</v>
      </c>
      <c r="BC68" s="7">
        <f t="shared" si="332"/>
        <v>16358.013333333362</v>
      </c>
      <c r="BD68" s="7">
        <f t="shared" si="332"/>
        <v>16156.053333333362</v>
      </c>
      <c r="BE68" s="7">
        <f t="shared" si="332"/>
        <v>15954.093333333363</v>
      </c>
      <c r="BF68" s="7">
        <f t="shared" si="332"/>
        <v>15752.133333333364</v>
      </c>
      <c r="BG68" s="236">
        <f t="shared" ref="BG68:BG131" si="407">IF(K68&lt;1,0,SUM(AU68:BF68,AO68)/13*$BG$1)</f>
        <v>373.20565333333388</v>
      </c>
      <c r="BH68" s="7">
        <v>201.96</v>
      </c>
      <c r="BI68" s="39">
        <f t="shared" si="368"/>
        <v>2423.52</v>
      </c>
      <c r="BJ68" s="7">
        <f t="shared" si="369"/>
        <v>15550.173333333365</v>
      </c>
      <c r="BK68" s="7">
        <f t="shared" si="333"/>
        <v>15348.213333333366</v>
      </c>
      <c r="BL68" s="7">
        <f t="shared" si="334"/>
        <v>15146.253333333367</v>
      </c>
      <c r="BM68" s="7">
        <f t="shared" si="335"/>
        <v>14944.293333333368</v>
      </c>
      <c r="BN68" s="7">
        <f t="shared" si="336"/>
        <v>14742.333333333369</v>
      </c>
      <c r="BO68" s="7">
        <f t="shared" si="337"/>
        <v>14540.373333333369</v>
      </c>
      <c r="BP68" s="7">
        <f t="shared" si="338"/>
        <v>14338.41333333337</v>
      </c>
      <c r="BQ68" s="7">
        <f t="shared" si="370"/>
        <v>14136.453333333371</v>
      </c>
      <c r="BR68" s="7">
        <f t="shared" si="371"/>
        <v>13934.493333333372</v>
      </c>
      <c r="BS68" s="7">
        <f t="shared" si="372"/>
        <v>13732.533333333373</v>
      </c>
      <c r="BT68" s="7">
        <f t="shared" si="373"/>
        <v>13530.573333333374</v>
      </c>
      <c r="BU68" s="7">
        <f t="shared" si="374"/>
        <v>13328.613333333375</v>
      </c>
      <c r="BV68" s="236">
        <f t="shared" si="403"/>
        <v>319.88821333333414</v>
      </c>
      <c r="BW68" s="7">
        <v>201.96</v>
      </c>
      <c r="BX68" s="39">
        <f t="shared" si="375"/>
        <v>2423.52</v>
      </c>
      <c r="BY68" s="7">
        <f t="shared" si="376"/>
        <v>13126.653333333375</v>
      </c>
      <c r="BZ68" s="7">
        <f t="shared" si="377"/>
        <v>12924.693333333376</v>
      </c>
      <c r="CA68" s="7">
        <f t="shared" si="378"/>
        <v>12722.733333333377</v>
      </c>
      <c r="CB68" s="7">
        <f t="shared" si="379"/>
        <v>12520.773333333378</v>
      </c>
      <c r="CC68" s="7">
        <f t="shared" si="380"/>
        <v>12318.813333333379</v>
      </c>
      <c r="CD68" s="7">
        <f t="shared" si="381"/>
        <v>12116.85333333338</v>
      </c>
      <c r="CE68" s="7">
        <f t="shared" si="382"/>
        <v>11914.893333333381</v>
      </c>
      <c r="CF68" s="7">
        <f t="shared" si="383"/>
        <v>11712.933333333382</v>
      </c>
      <c r="CG68" s="7">
        <f t="shared" si="384"/>
        <v>11510.973333333382</v>
      </c>
      <c r="CH68" s="7">
        <f t="shared" si="385"/>
        <v>11309.013333333383</v>
      </c>
      <c r="CI68" s="7">
        <f t="shared" si="386"/>
        <v>11107.053333333384</v>
      </c>
      <c r="CJ68" s="7">
        <f t="shared" si="387"/>
        <v>10905.093333333385</v>
      </c>
      <c r="CK68" s="236">
        <f t="shared" si="404"/>
        <v>266.57077333333433</v>
      </c>
      <c r="CL68" s="7">
        <v>201.96</v>
      </c>
      <c r="CM68" s="39">
        <f t="shared" si="388"/>
        <v>2423.52</v>
      </c>
      <c r="CN68" s="7">
        <f t="shared" si="389"/>
        <v>10703.133333333386</v>
      </c>
      <c r="CO68" s="7">
        <f t="shared" si="390"/>
        <v>10501.173333333387</v>
      </c>
      <c r="CP68" s="7">
        <f t="shared" si="391"/>
        <v>10299.213333333388</v>
      </c>
      <c r="CQ68" s="7">
        <f t="shared" si="392"/>
        <v>10097.253333333389</v>
      </c>
      <c r="CR68" s="7">
        <f t="shared" si="393"/>
        <v>9895.2933333333895</v>
      </c>
      <c r="CS68" s="7">
        <f t="shared" si="394"/>
        <v>9693.3333333333903</v>
      </c>
      <c r="CT68" s="7">
        <f t="shared" si="395"/>
        <v>9491.3733333333912</v>
      </c>
      <c r="CU68" s="7">
        <f t="shared" si="396"/>
        <v>9289.4133333333921</v>
      </c>
      <c r="CV68" s="7">
        <f t="shared" si="397"/>
        <v>9087.4533333333929</v>
      </c>
      <c r="CW68" s="7">
        <f t="shared" si="398"/>
        <v>8885.4933333333938</v>
      </c>
      <c r="CX68" s="7">
        <f t="shared" si="399"/>
        <v>8683.5333333333947</v>
      </c>
      <c r="CY68" s="7">
        <f t="shared" si="400"/>
        <v>8481.5733333333956</v>
      </c>
      <c r="CZ68" s="236">
        <f t="shared" si="405"/>
        <v>213.25333333333458</v>
      </c>
    </row>
    <row r="69" spans="1:104" x14ac:dyDescent="0.2">
      <c r="A69" s="6" t="str">
        <f>'[1]2021 УГРЦТ'!A72</f>
        <v>Наружные сети электроснабжения 0,4 кВ п. Красное</v>
      </c>
      <c r="B69" t="str">
        <f>'[1]2021 УГРЦТ'!B72</f>
        <v>000001675</v>
      </c>
      <c r="C69" t="str">
        <f>'[1]2021 УГРЦТ'!C72</f>
        <v>ПРОИЗВОДСТВО</v>
      </c>
      <c r="D69" t="str">
        <f>'[1]2021 УГРЦТ'!D72</f>
        <v>Сооружения</v>
      </c>
      <c r="E69" t="str">
        <f>'[1]2021 УГРЦТ'!E72</f>
        <v>20.01.2016</v>
      </c>
      <c r="F69" t="str">
        <f>'[1]2021 УГРЦТ'!F72</f>
        <v>ДЭС п.Красное</v>
      </c>
      <c r="G69">
        <f>'[1]2021 УГРЦТ'!AC72</f>
        <v>180</v>
      </c>
      <c r="H69" s="7">
        <f>'[1]2021 УГРЦТ'!X72</f>
        <v>347860.46</v>
      </c>
      <c r="I69" s="7">
        <f>'[1]2021 УГРЦТ'!Y72</f>
        <v>137211.73733333332</v>
      </c>
      <c r="J69" s="7">
        <f>'[1]2021 УГРЦТ'!Z72</f>
        <v>210648.7226666667</v>
      </c>
      <c r="K69" s="8">
        <v>1</v>
      </c>
      <c r="L69" s="7">
        <v>1932.56</v>
      </c>
      <c r="M69" s="7"/>
      <c r="N69" s="7">
        <f t="shared" si="406"/>
        <v>23190.720000000001</v>
      </c>
      <c r="O69" s="7">
        <f t="shared" ref="O69:O132" si="408">J69-$L69</f>
        <v>208716.1626666667</v>
      </c>
      <c r="P69" s="7">
        <f t="shared" ref="P69:Z84" si="409">O69-$L69</f>
        <v>206783.6026666667</v>
      </c>
      <c r="Q69" s="7">
        <f t="shared" si="409"/>
        <v>204851.0426666667</v>
      </c>
      <c r="R69" s="7">
        <f t="shared" si="409"/>
        <v>202918.48266666671</v>
      </c>
      <c r="S69" s="7">
        <f t="shared" si="409"/>
        <v>200985.92266666671</v>
      </c>
      <c r="T69" s="7">
        <f t="shared" si="409"/>
        <v>199053.36266666671</v>
      </c>
      <c r="U69" s="7">
        <f t="shared" si="409"/>
        <v>197120.80266666671</v>
      </c>
      <c r="V69" s="7">
        <f t="shared" si="409"/>
        <v>195188.24266666672</v>
      </c>
      <c r="W69" s="7">
        <f t="shared" si="409"/>
        <v>193255.68266666672</v>
      </c>
      <c r="X69" s="7">
        <f t="shared" si="409"/>
        <v>191323.12266666672</v>
      </c>
      <c r="Y69" s="7">
        <f t="shared" si="409"/>
        <v>189390.56266666672</v>
      </c>
      <c r="Z69" s="7">
        <f t="shared" si="409"/>
        <v>187458.00266666673</v>
      </c>
      <c r="AA69" s="7">
        <f t="shared" si="401"/>
        <v>4379.1739786666676</v>
      </c>
      <c r="AB69" s="7"/>
      <c r="AC69" s="7">
        <f t="shared" ref="AC69:AC132" si="410">L69*12</f>
        <v>23190.720000000001</v>
      </c>
      <c r="AD69" s="7">
        <f t="shared" ref="AD69:AD132" si="411">Z69-$L69</f>
        <v>185525.44266666673</v>
      </c>
      <c r="AE69" s="7">
        <f t="shared" si="366"/>
        <v>183592.88266666673</v>
      </c>
      <c r="AF69" s="7">
        <f t="shared" si="366"/>
        <v>181660.32266666673</v>
      </c>
      <c r="AG69" s="7">
        <f t="shared" si="366"/>
        <v>179727.76266666673</v>
      </c>
      <c r="AH69" s="7">
        <f t="shared" si="366"/>
        <v>177795.20266666674</v>
      </c>
      <c r="AI69" s="7">
        <f t="shared" si="366"/>
        <v>175862.64266666674</v>
      </c>
      <c r="AJ69" s="7">
        <f t="shared" si="366"/>
        <v>173930.08266666674</v>
      </c>
      <c r="AK69" s="7">
        <f t="shared" si="366"/>
        <v>171997.52266666674</v>
      </c>
      <c r="AL69" s="7">
        <f t="shared" si="366"/>
        <v>170064.96266666675</v>
      </c>
      <c r="AM69" s="7">
        <f t="shared" si="366"/>
        <v>168132.40266666675</v>
      </c>
      <c r="AN69" s="7">
        <f t="shared" si="366"/>
        <v>166199.84266666675</v>
      </c>
      <c r="AO69" s="7">
        <f t="shared" si="366"/>
        <v>164267.28266666675</v>
      </c>
      <c r="AP69" s="222">
        <f t="shared" si="402"/>
        <v>3868.9781386666682</v>
      </c>
      <c r="AQ69" s="7">
        <v>1932.56</v>
      </c>
      <c r="AR69" s="7">
        <f t="shared" ref="AR69:AR132" si="412">AN69-AO69</f>
        <v>1932.5599999999977</v>
      </c>
      <c r="AS69" s="7">
        <f t="shared" ref="AS69:AS132" si="413">AR69-AQ69</f>
        <v>-2.2737367544323206E-12</v>
      </c>
      <c r="AT69" s="7">
        <f t="shared" si="330"/>
        <v>23190.720000000001</v>
      </c>
      <c r="AU69" s="7">
        <f t="shared" si="331"/>
        <v>162334.72266666676</v>
      </c>
      <c r="AV69" s="7">
        <f t="shared" si="332"/>
        <v>160402.16266666676</v>
      </c>
      <c r="AW69" s="7">
        <f t="shared" si="332"/>
        <v>158469.60266666676</v>
      </c>
      <c r="AX69" s="7">
        <f t="shared" si="332"/>
        <v>156537.04266666676</v>
      </c>
      <c r="AY69" s="7">
        <f t="shared" si="332"/>
        <v>154604.48266666676</v>
      </c>
      <c r="AZ69" s="7">
        <f t="shared" si="332"/>
        <v>152671.92266666677</v>
      </c>
      <c r="BA69" s="7">
        <f t="shared" si="332"/>
        <v>150739.36266666677</v>
      </c>
      <c r="BB69" s="7">
        <f t="shared" si="332"/>
        <v>148806.80266666677</v>
      </c>
      <c r="BC69" s="7">
        <f t="shared" si="332"/>
        <v>146874.24266666677</v>
      </c>
      <c r="BD69" s="7">
        <f t="shared" si="332"/>
        <v>144941.68266666678</v>
      </c>
      <c r="BE69" s="7">
        <f t="shared" si="332"/>
        <v>143009.12266666678</v>
      </c>
      <c r="BF69" s="7">
        <f t="shared" si="332"/>
        <v>141076.56266666678</v>
      </c>
      <c r="BG69" s="236">
        <f t="shared" si="407"/>
        <v>3358.7822986666688</v>
      </c>
      <c r="BH69" s="7">
        <v>1932.56</v>
      </c>
      <c r="BI69" s="39">
        <f t="shared" si="368"/>
        <v>23190.720000000001</v>
      </c>
      <c r="BJ69" s="7">
        <f t="shared" si="369"/>
        <v>139144.00266666678</v>
      </c>
      <c r="BK69" s="7">
        <f t="shared" si="333"/>
        <v>137211.44266666679</v>
      </c>
      <c r="BL69" s="7">
        <f t="shared" si="334"/>
        <v>135278.88266666679</v>
      </c>
      <c r="BM69" s="7">
        <f t="shared" si="335"/>
        <v>133346.32266666679</v>
      </c>
      <c r="BN69" s="7">
        <f t="shared" si="336"/>
        <v>131413.76266666679</v>
      </c>
      <c r="BO69" s="7">
        <f t="shared" si="337"/>
        <v>129481.2026666668</v>
      </c>
      <c r="BP69" s="7">
        <f t="shared" si="338"/>
        <v>127548.6426666668</v>
      </c>
      <c r="BQ69" s="7">
        <f t="shared" si="370"/>
        <v>125616.0826666668</v>
      </c>
      <c r="BR69" s="7">
        <f t="shared" si="371"/>
        <v>123683.5226666668</v>
      </c>
      <c r="BS69" s="7">
        <f t="shared" si="372"/>
        <v>121750.9626666668</v>
      </c>
      <c r="BT69" s="7">
        <f t="shared" si="373"/>
        <v>119818.40266666681</v>
      </c>
      <c r="BU69" s="7">
        <f t="shared" si="374"/>
        <v>117885.84266666681</v>
      </c>
      <c r="BV69" s="236">
        <f t="shared" si="403"/>
        <v>2848.5864586666694</v>
      </c>
      <c r="BW69" s="7">
        <v>1932.56</v>
      </c>
      <c r="BX69" s="39">
        <f t="shared" si="375"/>
        <v>23190.720000000001</v>
      </c>
      <c r="BY69" s="7">
        <f t="shared" si="376"/>
        <v>115953.28266666681</v>
      </c>
      <c r="BZ69" s="7">
        <f t="shared" si="377"/>
        <v>114020.72266666681</v>
      </c>
      <c r="CA69" s="7">
        <f t="shared" si="378"/>
        <v>112088.16266666682</v>
      </c>
      <c r="CB69" s="7">
        <f t="shared" si="379"/>
        <v>110155.60266666682</v>
      </c>
      <c r="CC69" s="7">
        <f t="shared" si="380"/>
        <v>108223.04266666682</v>
      </c>
      <c r="CD69" s="7">
        <f t="shared" si="381"/>
        <v>106290.48266666682</v>
      </c>
      <c r="CE69" s="7">
        <f t="shared" si="382"/>
        <v>104357.92266666683</v>
      </c>
      <c r="CF69" s="7">
        <f t="shared" si="383"/>
        <v>102425.36266666683</v>
      </c>
      <c r="CG69" s="7">
        <f t="shared" si="384"/>
        <v>100492.80266666683</v>
      </c>
      <c r="CH69" s="7">
        <f t="shared" si="385"/>
        <v>98560.242666666833</v>
      </c>
      <c r="CI69" s="7">
        <f t="shared" si="386"/>
        <v>96627.682666666835</v>
      </c>
      <c r="CJ69" s="7">
        <f t="shared" si="387"/>
        <v>94695.122666666837</v>
      </c>
      <c r="CK69" s="236">
        <f t="shared" si="404"/>
        <v>2338.3906186666695</v>
      </c>
      <c r="CL69" s="7">
        <v>1932.56</v>
      </c>
      <c r="CM69" s="39">
        <f t="shared" si="388"/>
        <v>23190.720000000001</v>
      </c>
      <c r="CN69" s="7">
        <f t="shared" si="389"/>
        <v>92762.56266666684</v>
      </c>
      <c r="CO69" s="7">
        <f t="shared" si="390"/>
        <v>90830.002666666842</v>
      </c>
      <c r="CP69" s="7">
        <f t="shared" si="391"/>
        <v>88897.442666666844</v>
      </c>
      <c r="CQ69" s="7">
        <f t="shared" si="392"/>
        <v>86964.882666666846</v>
      </c>
      <c r="CR69" s="7">
        <f t="shared" si="393"/>
        <v>85032.322666666849</v>
      </c>
      <c r="CS69" s="7">
        <f t="shared" si="394"/>
        <v>83099.762666666851</v>
      </c>
      <c r="CT69" s="7">
        <f t="shared" si="395"/>
        <v>81167.202666666853</v>
      </c>
      <c r="CU69" s="7">
        <f t="shared" si="396"/>
        <v>79234.642666666856</v>
      </c>
      <c r="CV69" s="7">
        <f t="shared" si="397"/>
        <v>77302.082666666858</v>
      </c>
      <c r="CW69" s="7">
        <f t="shared" si="398"/>
        <v>75369.52266666686</v>
      </c>
      <c r="CX69" s="7">
        <f t="shared" si="399"/>
        <v>73436.962666666863</v>
      </c>
      <c r="CY69" s="7">
        <f t="shared" si="400"/>
        <v>71504.402666666865</v>
      </c>
      <c r="CZ69" s="236">
        <f t="shared" si="405"/>
        <v>1828.1947786666706</v>
      </c>
    </row>
    <row r="70" spans="1:104" x14ac:dyDescent="0.2">
      <c r="A70" s="6" t="str">
        <f>'[1]2021 УГРЦТ'!A73</f>
        <v>Наружные сети электроснабжения 0,4 кВ п. Красное</v>
      </c>
      <c r="B70" t="str">
        <f>'[1]2021 УГРЦТ'!B73</f>
        <v>000001676</v>
      </c>
      <c r="C70" t="str">
        <f>'[1]2021 УГРЦТ'!C73</f>
        <v>ПРОИЗВОДСТВО</v>
      </c>
      <c r="D70" t="str">
        <f>'[1]2021 УГРЦТ'!D73</f>
        <v>Сооружения</v>
      </c>
      <c r="E70" t="str">
        <f>'[1]2021 УГРЦТ'!E73</f>
        <v>20.01.2016</v>
      </c>
      <c r="F70" t="str">
        <f>'[1]2021 УГРЦТ'!F73</f>
        <v>ДЭС п.Красное</v>
      </c>
      <c r="G70">
        <f>'[1]2021 УГРЦТ'!AC73</f>
        <v>180</v>
      </c>
      <c r="H70" s="7">
        <f>'[1]2021 УГРЦТ'!X73</f>
        <v>65865.240000000005</v>
      </c>
      <c r="I70" s="7">
        <f>'[1]2021 УГРЦТ'!Y73</f>
        <v>25980.295999999998</v>
      </c>
      <c r="J70" s="7">
        <f>'[1]2021 УГРЦТ'!Z73</f>
        <v>39884.944000000003</v>
      </c>
      <c r="K70" s="8">
        <v>1</v>
      </c>
      <c r="L70" s="7">
        <v>365.92</v>
      </c>
      <c r="M70" s="7"/>
      <c r="N70" s="7">
        <f t="shared" si="406"/>
        <v>4391.04</v>
      </c>
      <c r="O70" s="7">
        <f t="shared" si="408"/>
        <v>39519.024000000005</v>
      </c>
      <c r="P70" s="7">
        <f t="shared" si="409"/>
        <v>39153.104000000007</v>
      </c>
      <c r="Q70" s="7">
        <f t="shared" si="409"/>
        <v>38787.184000000008</v>
      </c>
      <c r="R70" s="7">
        <f t="shared" si="409"/>
        <v>38421.26400000001</v>
      </c>
      <c r="S70" s="7">
        <f t="shared" si="409"/>
        <v>38055.344000000012</v>
      </c>
      <c r="T70" s="7">
        <f t="shared" si="409"/>
        <v>37689.424000000014</v>
      </c>
      <c r="U70" s="7">
        <f t="shared" si="409"/>
        <v>37323.504000000015</v>
      </c>
      <c r="V70" s="7">
        <f t="shared" si="409"/>
        <v>36957.584000000017</v>
      </c>
      <c r="W70" s="7">
        <f t="shared" si="409"/>
        <v>36591.664000000019</v>
      </c>
      <c r="X70" s="7">
        <f t="shared" si="409"/>
        <v>36225.744000000021</v>
      </c>
      <c r="Y70" s="7">
        <f t="shared" si="409"/>
        <v>35859.824000000022</v>
      </c>
      <c r="Z70" s="7">
        <f t="shared" si="409"/>
        <v>35493.904000000024</v>
      </c>
      <c r="AA70" s="7">
        <f t="shared" si="401"/>
        <v>829.16732800000023</v>
      </c>
      <c r="AB70" s="7"/>
      <c r="AC70" s="7">
        <f t="shared" si="410"/>
        <v>4391.04</v>
      </c>
      <c r="AD70" s="7">
        <f t="shared" si="411"/>
        <v>35127.984000000026</v>
      </c>
      <c r="AE70" s="7">
        <f t="shared" si="366"/>
        <v>34762.064000000028</v>
      </c>
      <c r="AF70" s="7">
        <f t="shared" si="366"/>
        <v>34396.144000000029</v>
      </c>
      <c r="AG70" s="7">
        <f t="shared" si="366"/>
        <v>34030.224000000031</v>
      </c>
      <c r="AH70" s="7">
        <f t="shared" si="366"/>
        <v>33664.304000000033</v>
      </c>
      <c r="AI70" s="7">
        <f t="shared" si="366"/>
        <v>33298.384000000035</v>
      </c>
      <c r="AJ70" s="7">
        <f t="shared" si="366"/>
        <v>32932.464000000036</v>
      </c>
      <c r="AK70" s="7">
        <f t="shared" si="366"/>
        <v>32566.544000000038</v>
      </c>
      <c r="AL70" s="7">
        <f t="shared" si="366"/>
        <v>32200.62400000004</v>
      </c>
      <c r="AM70" s="7">
        <f t="shared" si="366"/>
        <v>31834.704000000042</v>
      </c>
      <c r="AN70" s="7">
        <f t="shared" si="366"/>
        <v>31468.784000000043</v>
      </c>
      <c r="AO70" s="7">
        <f t="shared" si="366"/>
        <v>31102.864000000045</v>
      </c>
      <c r="AP70" s="222">
        <f t="shared" si="402"/>
        <v>732.56444800000077</v>
      </c>
      <c r="AQ70" s="7">
        <v>365.92</v>
      </c>
      <c r="AR70" s="7">
        <f t="shared" si="412"/>
        <v>365.91999999999825</v>
      </c>
      <c r="AS70" s="7">
        <f t="shared" si="413"/>
        <v>-1.7621459846850485E-12</v>
      </c>
      <c r="AT70" s="7">
        <f t="shared" si="330"/>
        <v>4391.04</v>
      </c>
      <c r="AU70" s="7">
        <f t="shared" si="331"/>
        <v>30736.944000000047</v>
      </c>
      <c r="AV70" s="7">
        <f t="shared" si="332"/>
        <v>30371.024000000049</v>
      </c>
      <c r="AW70" s="7">
        <f t="shared" si="332"/>
        <v>30005.10400000005</v>
      </c>
      <c r="AX70" s="7">
        <f t="shared" si="332"/>
        <v>29639.184000000052</v>
      </c>
      <c r="AY70" s="7">
        <f t="shared" si="332"/>
        <v>29273.264000000054</v>
      </c>
      <c r="AZ70" s="7">
        <f t="shared" si="332"/>
        <v>28907.344000000056</v>
      </c>
      <c r="BA70" s="7">
        <f t="shared" si="332"/>
        <v>28541.424000000057</v>
      </c>
      <c r="BB70" s="7">
        <f t="shared" si="332"/>
        <v>28175.504000000059</v>
      </c>
      <c r="BC70" s="7">
        <f t="shared" si="332"/>
        <v>27809.584000000061</v>
      </c>
      <c r="BD70" s="7">
        <f t="shared" si="332"/>
        <v>27443.664000000063</v>
      </c>
      <c r="BE70" s="7">
        <f t="shared" si="332"/>
        <v>27077.744000000064</v>
      </c>
      <c r="BF70" s="7">
        <f t="shared" si="332"/>
        <v>26711.824000000066</v>
      </c>
      <c r="BG70" s="236">
        <f t="shared" si="407"/>
        <v>635.96156800000131</v>
      </c>
      <c r="BH70" s="7">
        <v>365.92</v>
      </c>
      <c r="BI70" s="39">
        <f t="shared" si="368"/>
        <v>4391.04</v>
      </c>
      <c r="BJ70" s="7">
        <f t="shared" si="369"/>
        <v>26345.904000000068</v>
      </c>
      <c r="BK70" s="7">
        <f t="shared" si="333"/>
        <v>25979.984000000069</v>
      </c>
      <c r="BL70" s="7">
        <f t="shared" si="334"/>
        <v>25614.064000000071</v>
      </c>
      <c r="BM70" s="7">
        <f t="shared" si="335"/>
        <v>25248.144000000073</v>
      </c>
      <c r="BN70" s="7">
        <f t="shared" si="336"/>
        <v>24882.224000000075</v>
      </c>
      <c r="BO70" s="7">
        <f t="shared" si="337"/>
        <v>24516.304000000076</v>
      </c>
      <c r="BP70" s="7">
        <f t="shared" si="338"/>
        <v>24150.384000000078</v>
      </c>
      <c r="BQ70" s="7">
        <f t="shared" si="370"/>
        <v>23784.46400000008</v>
      </c>
      <c r="BR70" s="7">
        <f t="shared" si="371"/>
        <v>23418.544000000082</v>
      </c>
      <c r="BS70" s="7">
        <f t="shared" si="372"/>
        <v>23052.624000000083</v>
      </c>
      <c r="BT70" s="7">
        <f t="shared" si="373"/>
        <v>22686.704000000085</v>
      </c>
      <c r="BU70" s="7">
        <f t="shared" si="374"/>
        <v>22320.784000000087</v>
      </c>
      <c r="BV70" s="236">
        <f t="shared" si="403"/>
        <v>539.35868800000173</v>
      </c>
      <c r="BW70" s="7">
        <v>365.92</v>
      </c>
      <c r="BX70" s="39">
        <f t="shared" si="375"/>
        <v>4391.04</v>
      </c>
      <c r="BY70" s="7">
        <f t="shared" si="376"/>
        <v>21954.864000000089</v>
      </c>
      <c r="BZ70" s="7">
        <f t="shared" si="377"/>
        <v>21588.94400000009</v>
      </c>
      <c r="CA70" s="7">
        <f t="shared" si="378"/>
        <v>21223.024000000092</v>
      </c>
      <c r="CB70" s="7">
        <f t="shared" si="379"/>
        <v>20857.104000000094</v>
      </c>
      <c r="CC70" s="7">
        <f t="shared" si="380"/>
        <v>20491.184000000096</v>
      </c>
      <c r="CD70" s="7">
        <f t="shared" si="381"/>
        <v>20125.264000000097</v>
      </c>
      <c r="CE70" s="7">
        <f t="shared" si="382"/>
        <v>19759.344000000099</v>
      </c>
      <c r="CF70" s="7">
        <f t="shared" si="383"/>
        <v>19393.424000000101</v>
      </c>
      <c r="CG70" s="7">
        <f t="shared" si="384"/>
        <v>19027.504000000103</v>
      </c>
      <c r="CH70" s="7">
        <f t="shared" si="385"/>
        <v>18661.584000000104</v>
      </c>
      <c r="CI70" s="7">
        <f t="shared" si="386"/>
        <v>18295.664000000106</v>
      </c>
      <c r="CJ70" s="7">
        <f t="shared" si="387"/>
        <v>17929.744000000108</v>
      </c>
      <c r="CK70" s="236">
        <f t="shared" si="404"/>
        <v>442.75580800000222</v>
      </c>
      <c r="CL70" s="7">
        <v>365.92</v>
      </c>
      <c r="CM70" s="39">
        <f t="shared" si="388"/>
        <v>4391.04</v>
      </c>
      <c r="CN70" s="7">
        <f t="shared" si="389"/>
        <v>17563.82400000011</v>
      </c>
      <c r="CO70" s="7">
        <f t="shared" si="390"/>
        <v>17197.904000000111</v>
      </c>
      <c r="CP70" s="7">
        <f t="shared" si="391"/>
        <v>16831.984000000113</v>
      </c>
      <c r="CQ70" s="7">
        <f t="shared" si="392"/>
        <v>16466.064000000115</v>
      </c>
      <c r="CR70" s="7">
        <f t="shared" si="393"/>
        <v>16100.144000000115</v>
      </c>
      <c r="CS70" s="7">
        <f t="shared" si="394"/>
        <v>15734.224000000115</v>
      </c>
      <c r="CT70" s="7">
        <f t="shared" si="395"/>
        <v>15368.304000000115</v>
      </c>
      <c r="CU70" s="7">
        <f t="shared" si="396"/>
        <v>15002.384000000115</v>
      </c>
      <c r="CV70" s="7">
        <f t="shared" si="397"/>
        <v>14636.464000000115</v>
      </c>
      <c r="CW70" s="7">
        <f t="shared" si="398"/>
        <v>14270.544000000114</v>
      </c>
      <c r="CX70" s="7">
        <f t="shared" si="399"/>
        <v>13904.624000000114</v>
      </c>
      <c r="CY70" s="7">
        <f t="shared" si="400"/>
        <v>13538.704000000114</v>
      </c>
      <c r="CZ70" s="236">
        <f t="shared" si="405"/>
        <v>346.15292800000253</v>
      </c>
    </row>
    <row r="71" spans="1:104" ht="22.5" x14ac:dyDescent="0.2">
      <c r="A71" s="6" t="str">
        <f>'[1]2021 УГРЦТ'!A74</f>
        <v>Наружные сети электроснабжения 6 кВт, адрес: Ненецкий АО, Заполярный р-н, Красное п, Мира ул</v>
      </c>
      <c r="B71" t="str">
        <f>'[1]2021 УГРЦТ'!B74</f>
        <v>000001722</v>
      </c>
      <c r="C71" t="str">
        <f>'[1]2021 УГРЦТ'!C74</f>
        <v>ПРОИЗВОДСТВО</v>
      </c>
      <c r="D71" t="str">
        <f>'[1]2021 УГРЦТ'!D74</f>
        <v>Сооружения</v>
      </c>
      <c r="E71" t="str">
        <f>'[1]2021 УГРЦТ'!E74</f>
        <v>03.05.2018</v>
      </c>
      <c r="F71" t="str">
        <f>'[1]2021 УГРЦТ'!F74</f>
        <v>ДЭС п.Красное</v>
      </c>
      <c r="G71">
        <f>'[1]2021 УГРЦТ'!AC74</f>
        <v>360</v>
      </c>
      <c r="H71" s="7">
        <f>'[1]2021 УГРЦТ'!X74</f>
        <v>2193414</v>
      </c>
      <c r="I71" s="7">
        <f>'[1]2021 УГРЦТ'!Y74</f>
        <v>261991.22000000003</v>
      </c>
      <c r="J71" s="7">
        <f>'[1]2021 УГРЦТ'!Z74</f>
        <v>1931422.78</v>
      </c>
      <c r="K71" s="8">
        <v>1</v>
      </c>
      <c r="L71" s="7">
        <v>6092.82</v>
      </c>
      <c r="M71" s="7"/>
      <c r="N71" s="7">
        <f t="shared" si="406"/>
        <v>73113.84</v>
      </c>
      <c r="O71" s="7">
        <f t="shared" si="408"/>
        <v>1925329.96</v>
      </c>
      <c r="P71" s="7">
        <f t="shared" si="409"/>
        <v>1919237.14</v>
      </c>
      <c r="Q71" s="7">
        <f t="shared" si="409"/>
        <v>1913144.3199999998</v>
      </c>
      <c r="R71" s="7">
        <f t="shared" si="409"/>
        <v>1907051.4999999998</v>
      </c>
      <c r="S71" s="7">
        <f t="shared" si="409"/>
        <v>1900958.6799999997</v>
      </c>
      <c r="T71" s="7">
        <f t="shared" si="409"/>
        <v>1894865.8599999996</v>
      </c>
      <c r="U71" s="7">
        <f t="shared" si="409"/>
        <v>1888773.0399999996</v>
      </c>
      <c r="V71" s="7">
        <f t="shared" si="409"/>
        <v>1882680.2199999995</v>
      </c>
      <c r="W71" s="7">
        <f t="shared" si="409"/>
        <v>1876587.3999999994</v>
      </c>
      <c r="X71" s="7">
        <f t="shared" si="409"/>
        <v>1870494.5799999994</v>
      </c>
      <c r="Y71" s="7">
        <f t="shared" si="409"/>
        <v>1864401.7599999993</v>
      </c>
      <c r="Z71" s="7">
        <f t="shared" si="409"/>
        <v>1858308.9399999992</v>
      </c>
      <c r="AA71" s="7">
        <f t="shared" si="401"/>
        <v>41687.048919999987</v>
      </c>
      <c r="AB71" s="7"/>
      <c r="AC71" s="7">
        <f t="shared" si="410"/>
        <v>73113.84</v>
      </c>
      <c r="AD71" s="7">
        <f t="shared" si="411"/>
        <v>1852216.1199999992</v>
      </c>
      <c r="AE71" s="7">
        <f t="shared" si="366"/>
        <v>1846123.2999999991</v>
      </c>
      <c r="AF71" s="7">
        <f t="shared" si="366"/>
        <v>1840030.4799999991</v>
      </c>
      <c r="AG71" s="7">
        <f t="shared" si="366"/>
        <v>1833937.659999999</v>
      </c>
      <c r="AH71" s="7">
        <f t="shared" si="366"/>
        <v>1827844.8399999989</v>
      </c>
      <c r="AI71" s="7">
        <f t="shared" si="366"/>
        <v>1821752.0199999989</v>
      </c>
      <c r="AJ71" s="7">
        <f t="shared" si="366"/>
        <v>1815659.1999999988</v>
      </c>
      <c r="AK71" s="7">
        <f t="shared" si="366"/>
        <v>1809566.3799999987</v>
      </c>
      <c r="AL71" s="7">
        <f t="shared" si="366"/>
        <v>1803473.5599999987</v>
      </c>
      <c r="AM71" s="7">
        <f t="shared" si="366"/>
        <v>1797380.7399999986</v>
      </c>
      <c r="AN71" s="7">
        <f t="shared" si="366"/>
        <v>1791287.9199999985</v>
      </c>
      <c r="AO71" s="7">
        <f t="shared" si="366"/>
        <v>1785195.0999999985</v>
      </c>
      <c r="AP71" s="222">
        <f t="shared" si="402"/>
        <v>40078.544439999969</v>
      </c>
      <c r="AQ71" s="7">
        <v>6092.82</v>
      </c>
      <c r="AR71" s="7">
        <f t="shared" si="412"/>
        <v>6092.8200000000652</v>
      </c>
      <c r="AS71" s="7">
        <f t="shared" si="413"/>
        <v>6.5483618527650833E-11</v>
      </c>
      <c r="AT71" s="7">
        <f t="shared" si="330"/>
        <v>73113.84</v>
      </c>
      <c r="AU71" s="7">
        <f t="shared" si="331"/>
        <v>1779102.2799999984</v>
      </c>
      <c r="AV71" s="7">
        <f t="shared" si="332"/>
        <v>1773009.4599999983</v>
      </c>
      <c r="AW71" s="7">
        <f t="shared" si="332"/>
        <v>1766916.6399999983</v>
      </c>
      <c r="AX71" s="7">
        <f t="shared" si="332"/>
        <v>1760823.8199999982</v>
      </c>
      <c r="AY71" s="7">
        <f t="shared" si="332"/>
        <v>1754730.9999999981</v>
      </c>
      <c r="AZ71" s="7">
        <f t="shared" si="332"/>
        <v>1748638.1799999981</v>
      </c>
      <c r="BA71" s="7">
        <f t="shared" si="332"/>
        <v>1742545.359999998</v>
      </c>
      <c r="BB71" s="7">
        <f t="shared" si="332"/>
        <v>1736452.5399999979</v>
      </c>
      <c r="BC71" s="7">
        <f t="shared" si="332"/>
        <v>1730359.7199999979</v>
      </c>
      <c r="BD71" s="7">
        <f t="shared" si="332"/>
        <v>1724266.8999999978</v>
      </c>
      <c r="BE71" s="7">
        <f t="shared" si="332"/>
        <v>1718174.0799999977</v>
      </c>
      <c r="BF71" s="7">
        <f t="shared" si="332"/>
        <v>1712081.2599999977</v>
      </c>
      <c r="BG71" s="236">
        <f t="shared" si="407"/>
        <v>38470.039959999958</v>
      </c>
      <c r="BH71" s="7">
        <v>6092.82</v>
      </c>
      <c r="BI71" s="39">
        <f t="shared" si="368"/>
        <v>73113.84</v>
      </c>
      <c r="BJ71" s="7">
        <f t="shared" si="369"/>
        <v>1705988.4399999976</v>
      </c>
      <c r="BK71" s="7">
        <f t="shared" si="333"/>
        <v>1699895.6199999976</v>
      </c>
      <c r="BL71" s="7">
        <f t="shared" si="334"/>
        <v>1693802.7999999975</v>
      </c>
      <c r="BM71" s="7">
        <f t="shared" si="335"/>
        <v>1687709.9799999974</v>
      </c>
      <c r="BN71" s="7">
        <f t="shared" si="336"/>
        <v>1681617.1599999974</v>
      </c>
      <c r="BO71" s="7">
        <f t="shared" si="337"/>
        <v>1675524.3399999973</v>
      </c>
      <c r="BP71" s="7">
        <f t="shared" si="338"/>
        <v>1669431.5199999972</v>
      </c>
      <c r="BQ71" s="7">
        <f t="shared" si="370"/>
        <v>1663338.6999999972</v>
      </c>
      <c r="BR71" s="7">
        <f t="shared" si="371"/>
        <v>1657245.8799999971</v>
      </c>
      <c r="BS71" s="7">
        <f t="shared" si="372"/>
        <v>1651153.059999997</v>
      </c>
      <c r="BT71" s="7">
        <f t="shared" si="373"/>
        <v>1645060.239999997</v>
      </c>
      <c r="BU71" s="7">
        <f t="shared" si="374"/>
        <v>1638967.4199999969</v>
      </c>
      <c r="BV71" s="236">
        <f t="shared" si="403"/>
        <v>36861.53547999994</v>
      </c>
      <c r="BW71" s="7">
        <v>6092.82</v>
      </c>
      <c r="BX71" s="39">
        <f t="shared" si="375"/>
        <v>73113.84</v>
      </c>
      <c r="BY71" s="7">
        <f t="shared" si="376"/>
        <v>1632874.5999999968</v>
      </c>
      <c r="BZ71" s="7">
        <f t="shared" si="377"/>
        <v>1626781.7799999968</v>
      </c>
      <c r="CA71" s="7">
        <f t="shared" si="378"/>
        <v>1620688.9599999967</v>
      </c>
      <c r="CB71" s="7">
        <f t="shared" si="379"/>
        <v>1614596.1399999966</v>
      </c>
      <c r="CC71" s="7">
        <f t="shared" si="380"/>
        <v>1608503.3199999966</v>
      </c>
      <c r="CD71" s="7">
        <f t="shared" si="381"/>
        <v>1602410.4999999965</v>
      </c>
      <c r="CE71" s="7">
        <f t="shared" si="382"/>
        <v>1596317.6799999964</v>
      </c>
      <c r="CF71" s="7">
        <f t="shared" si="383"/>
        <v>1590224.8599999964</v>
      </c>
      <c r="CG71" s="7">
        <f t="shared" si="384"/>
        <v>1584132.0399999963</v>
      </c>
      <c r="CH71" s="7">
        <f t="shared" si="385"/>
        <v>1578039.2199999962</v>
      </c>
      <c r="CI71" s="7">
        <f t="shared" si="386"/>
        <v>1571946.3999999962</v>
      </c>
      <c r="CJ71" s="7">
        <f t="shared" si="387"/>
        <v>1565853.5799999961</v>
      </c>
      <c r="CK71" s="236">
        <f t="shared" si="404"/>
        <v>35253.030999999923</v>
      </c>
      <c r="CL71" s="7">
        <v>6092.82</v>
      </c>
      <c r="CM71" s="39">
        <f t="shared" si="388"/>
        <v>73113.84</v>
      </c>
      <c r="CN71" s="7">
        <f t="shared" si="389"/>
        <v>1559760.7599999961</v>
      </c>
      <c r="CO71" s="7">
        <f t="shared" si="390"/>
        <v>1553667.939999996</v>
      </c>
      <c r="CP71" s="7">
        <f t="shared" si="391"/>
        <v>1547575.1199999959</v>
      </c>
      <c r="CQ71" s="7">
        <f t="shared" si="392"/>
        <v>1541482.2999999959</v>
      </c>
      <c r="CR71" s="7">
        <f t="shared" si="393"/>
        <v>1535389.4799999958</v>
      </c>
      <c r="CS71" s="7">
        <f t="shared" si="394"/>
        <v>1529296.6599999957</v>
      </c>
      <c r="CT71" s="7">
        <f t="shared" si="395"/>
        <v>1523203.8399999957</v>
      </c>
      <c r="CU71" s="7">
        <f t="shared" si="396"/>
        <v>1517111.0199999956</v>
      </c>
      <c r="CV71" s="7">
        <f t="shared" si="397"/>
        <v>1511018.1999999955</v>
      </c>
      <c r="CW71" s="7">
        <f t="shared" si="398"/>
        <v>1504925.3799999955</v>
      </c>
      <c r="CX71" s="7">
        <f t="shared" si="399"/>
        <v>1498832.5599999954</v>
      </c>
      <c r="CY71" s="7">
        <f t="shared" si="400"/>
        <v>1492739.7399999953</v>
      </c>
      <c r="CZ71" s="236">
        <f t="shared" si="405"/>
        <v>33644.526519999898</v>
      </c>
    </row>
    <row r="72" spans="1:104" x14ac:dyDescent="0.2">
      <c r="A72" s="6" t="str">
        <f>'[1]2021 УГРЦТ'!A75</f>
        <v>Насос агрегатный  1994г.</v>
      </c>
      <c r="B72" t="str">
        <f>'[1]2021 УГРЦТ'!B75</f>
        <v>00000589</v>
      </c>
      <c r="C72" t="str">
        <f>'[1]2021 УГРЦТ'!C75</f>
        <v>ПРОИЗВОДСТВО</v>
      </c>
      <c r="D72" t="str">
        <f>'[1]2021 УГРЦТ'!D75</f>
        <v>Машины и оборудование (кроме офисного)</v>
      </c>
      <c r="E72" t="str">
        <f>'[1]2021 УГРЦТ'!E75</f>
        <v>01.07.1994</v>
      </c>
      <c r="F72" t="str">
        <f>'[1]2021 УГРЦТ'!F75</f>
        <v>Тепломеханический цех</v>
      </c>
      <c r="G72">
        <f>'[1]2021 УГРЦТ'!AC75</f>
        <v>324</v>
      </c>
      <c r="H72" s="7">
        <f>'[1]2021 УГРЦТ'!X75</f>
        <v>5528</v>
      </c>
      <c r="I72" s="7">
        <f>'[1]2021 УГРЦТ'!Y75</f>
        <v>5527.9990123456791</v>
      </c>
      <c r="J72" s="7">
        <f>'[1]2021 УГРЦТ'!Z75</f>
        <v>9.876543208520161E-4</v>
      </c>
      <c r="K72" s="8">
        <v>0</v>
      </c>
      <c r="L72" s="7">
        <v>0</v>
      </c>
      <c r="M72" s="7"/>
      <c r="N72" s="7">
        <f t="shared" si="406"/>
        <v>0</v>
      </c>
      <c r="O72" s="7">
        <f t="shared" si="408"/>
        <v>9.876543208520161E-4</v>
      </c>
      <c r="P72" s="7">
        <f t="shared" si="409"/>
        <v>9.876543208520161E-4</v>
      </c>
      <c r="Q72" s="7">
        <f t="shared" si="409"/>
        <v>9.876543208520161E-4</v>
      </c>
      <c r="R72" s="7">
        <f t="shared" si="409"/>
        <v>9.876543208520161E-4</v>
      </c>
      <c r="S72" s="7">
        <f t="shared" si="409"/>
        <v>9.876543208520161E-4</v>
      </c>
      <c r="T72" s="7">
        <f t="shared" si="409"/>
        <v>9.876543208520161E-4</v>
      </c>
      <c r="U72" s="7">
        <f t="shared" si="409"/>
        <v>9.876543208520161E-4</v>
      </c>
      <c r="V72" s="7">
        <f t="shared" si="409"/>
        <v>9.876543208520161E-4</v>
      </c>
      <c r="W72" s="7">
        <f t="shared" si="409"/>
        <v>9.876543208520161E-4</v>
      </c>
      <c r="X72" s="7">
        <f t="shared" si="409"/>
        <v>9.876543208520161E-4</v>
      </c>
      <c r="Y72" s="7">
        <f t="shared" si="409"/>
        <v>9.876543208520161E-4</v>
      </c>
      <c r="Z72" s="7">
        <f t="shared" si="409"/>
        <v>9.876543208520161E-4</v>
      </c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222"/>
      <c r="AQ72" s="7">
        <v>0</v>
      </c>
      <c r="AR72" s="7">
        <f t="shared" si="412"/>
        <v>0</v>
      </c>
      <c r="AS72" s="7">
        <f t="shared" si="413"/>
        <v>0</v>
      </c>
      <c r="BG72" s="236">
        <f t="shared" si="407"/>
        <v>0</v>
      </c>
      <c r="BH72" s="7">
        <v>0</v>
      </c>
      <c r="BV72" s="236">
        <f t="shared" si="403"/>
        <v>0</v>
      </c>
      <c r="BW72" s="7">
        <v>0</v>
      </c>
      <c r="CK72" s="236">
        <f t="shared" si="404"/>
        <v>0</v>
      </c>
      <c r="CL72" s="7">
        <v>0</v>
      </c>
      <c r="CZ72" s="236">
        <f t="shared" si="405"/>
        <v>0</v>
      </c>
    </row>
    <row r="73" spans="1:104" x14ac:dyDescent="0.2">
      <c r="A73" s="6" t="str">
        <f>'[1]2021 УГРЦТ'!A76</f>
        <v>Насосная дизельного топлива</v>
      </c>
      <c r="B73" t="str">
        <f>'[1]2021 УГРЦТ'!B76</f>
        <v>000001833</v>
      </c>
      <c r="C73" t="str">
        <f>'[1]2021 УГРЦТ'!C76</f>
        <v>ПРОИЗВОДСТВО</v>
      </c>
      <c r="D73" t="str">
        <f>'[1]2021 УГРЦТ'!D76</f>
        <v>Сооружения</v>
      </c>
      <c r="E73" t="str">
        <f>'[1]2021 УГРЦТ'!E76</f>
        <v>30.12.2020</v>
      </c>
      <c r="F73" t="str">
        <f>'[1]2021 УГРЦТ'!F76</f>
        <v>ДЭС п.Красное</v>
      </c>
      <c r="G73">
        <f>'[1]2021 УГРЦТ'!AC76</f>
        <v>180</v>
      </c>
      <c r="H73" s="7">
        <f>'[1]2021 УГРЦТ'!X76</f>
        <v>1044745.03</v>
      </c>
      <c r="I73" s="7">
        <f>'[1]2021 УГРЦТ'!Y76</f>
        <v>69649.668666666665</v>
      </c>
      <c r="J73" s="7">
        <f>'[1]2021 УГРЦТ'!Z76</f>
        <v>975095.36133333342</v>
      </c>
      <c r="K73" s="8">
        <v>1</v>
      </c>
      <c r="L73" s="7">
        <v>5804.14</v>
      </c>
      <c r="M73" s="7"/>
      <c r="N73" s="7">
        <f t="shared" si="406"/>
        <v>69649.680000000008</v>
      </c>
      <c r="O73" s="7">
        <f t="shared" si="408"/>
        <v>969291.22133333341</v>
      </c>
      <c r="P73" s="7">
        <f t="shared" si="409"/>
        <v>963487.08133333339</v>
      </c>
      <c r="Q73" s="7">
        <f t="shared" si="409"/>
        <v>957682.94133333338</v>
      </c>
      <c r="R73" s="7">
        <f t="shared" si="409"/>
        <v>951878.80133333337</v>
      </c>
      <c r="S73" s="7">
        <f t="shared" si="409"/>
        <v>946074.66133333335</v>
      </c>
      <c r="T73" s="7">
        <f t="shared" si="409"/>
        <v>940270.52133333334</v>
      </c>
      <c r="U73" s="7">
        <f t="shared" si="409"/>
        <v>934466.38133333332</v>
      </c>
      <c r="V73" s="7">
        <f t="shared" si="409"/>
        <v>928662.24133333331</v>
      </c>
      <c r="W73" s="7">
        <f t="shared" si="409"/>
        <v>922858.1013333333</v>
      </c>
      <c r="X73" s="7">
        <f t="shared" si="409"/>
        <v>917053.96133333328</v>
      </c>
      <c r="Y73" s="7">
        <f t="shared" si="409"/>
        <v>911249.82133333327</v>
      </c>
      <c r="Z73" s="7">
        <f t="shared" si="409"/>
        <v>905445.68133333325</v>
      </c>
      <c r="AA73" s="7">
        <f>SUM(O73:Z73,J73)/13*$AA$1</f>
        <v>20685.951469333329</v>
      </c>
      <c r="AB73" s="7"/>
      <c r="AC73" s="7">
        <f t="shared" si="410"/>
        <v>69649.680000000008</v>
      </c>
      <c r="AD73" s="7">
        <f t="shared" si="411"/>
        <v>899641.54133333324</v>
      </c>
      <c r="AE73" s="7">
        <f t="shared" si="366"/>
        <v>893837.40133333323</v>
      </c>
      <c r="AF73" s="7">
        <f t="shared" si="366"/>
        <v>888033.26133333321</v>
      </c>
      <c r="AG73" s="7">
        <f t="shared" si="366"/>
        <v>882229.1213333332</v>
      </c>
      <c r="AH73" s="7">
        <f t="shared" si="366"/>
        <v>876424.98133333318</v>
      </c>
      <c r="AI73" s="7">
        <f t="shared" si="366"/>
        <v>870620.84133333317</v>
      </c>
      <c r="AJ73" s="7">
        <f t="shared" si="366"/>
        <v>864816.70133333316</v>
      </c>
      <c r="AK73" s="7">
        <f t="shared" si="366"/>
        <v>859012.56133333314</v>
      </c>
      <c r="AL73" s="7">
        <f t="shared" si="366"/>
        <v>853208.42133333313</v>
      </c>
      <c r="AM73" s="7">
        <f t="shared" si="366"/>
        <v>847404.28133333311</v>
      </c>
      <c r="AN73" s="7">
        <f t="shared" si="366"/>
        <v>841600.1413333331</v>
      </c>
      <c r="AO73" s="7">
        <f t="shared" si="366"/>
        <v>835796.00133333309</v>
      </c>
      <c r="AP73" s="222">
        <f>IF(K73&lt;1,0,SUM(AD73:AO73,Z73)/13*$BG$1)</f>
        <v>19153.658509333331</v>
      </c>
      <c r="AQ73" s="7">
        <v>5804.14</v>
      </c>
      <c r="AR73" s="7">
        <f t="shared" si="412"/>
        <v>5804.140000000014</v>
      </c>
      <c r="AS73" s="7">
        <f t="shared" si="413"/>
        <v>1.3642420526593924E-11</v>
      </c>
      <c r="AT73" s="7">
        <f>L73*12</f>
        <v>69649.680000000008</v>
      </c>
      <c r="AU73" s="7">
        <f>AO73-$L73</f>
        <v>829991.86133333307</v>
      </c>
      <c r="AV73" s="7">
        <f>AU73-$L73</f>
        <v>824187.72133333306</v>
      </c>
      <c r="AW73" s="7">
        <f t="shared" ref="AW73:BF73" si="414">AV73-$L73</f>
        <v>818383.58133333304</v>
      </c>
      <c r="AX73" s="7">
        <f t="shared" si="414"/>
        <v>812579.44133333303</v>
      </c>
      <c r="AY73" s="7">
        <f t="shared" si="414"/>
        <v>806775.30133333302</v>
      </c>
      <c r="AZ73" s="7">
        <f t="shared" si="414"/>
        <v>800971.161333333</v>
      </c>
      <c r="BA73" s="7">
        <f t="shared" si="414"/>
        <v>795167.02133333299</v>
      </c>
      <c r="BB73" s="7">
        <f t="shared" si="414"/>
        <v>789362.88133333297</v>
      </c>
      <c r="BC73" s="7">
        <f t="shared" si="414"/>
        <v>783558.74133333296</v>
      </c>
      <c r="BD73" s="7">
        <f t="shared" si="414"/>
        <v>777754.60133333295</v>
      </c>
      <c r="BE73" s="7">
        <f t="shared" si="414"/>
        <v>771950.46133333293</v>
      </c>
      <c r="BF73" s="7">
        <f t="shared" si="414"/>
        <v>766146.32133333292</v>
      </c>
      <c r="BG73" s="236">
        <f t="shared" si="407"/>
        <v>17621.365549333328</v>
      </c>
      <c r="BH73" s="7">
        <v>5804.14</v>
      </c>
      <c r="BI73" s="39">
        <f>BH73*12</f>
        <v>69649.680000000008</v>
      </c>
      <c r="BJ73" s="7">
        <f>BF73-BH73</f>
        <v>760342.1813333329</v>
      </c>
      <c r="BK73" s="7">
        <f>BJ73-$L73</f>
        <v>754538.04133333289</v>
      </c>
      <c r="BL73" s="7">
        <f t="shared" ref="BL73" si="415">BK73-$L73</f>
        <v>748733.90133333288</v>
      </c>
      <c r="BM73" s="7">
        <f t="shared" ref="BM73" si="416">BL73-$L73</f>
        <v>742929.76133333286</v>
      </c>
      <c r="BN73" s="7">
        <f t="shared" ref="BN73" si="417">BM73-$L73</f>
        <v>737125.62133333285</v>
      </c>
      <c r="BO73" s="7">
        <f t="shared" ref="BO73" si="418">BN73-$L73</f>
        <v>731321.48133333283</v>
      </c>
      <c r="BP73" s="7">
        <f t="shared" ref="BP73" si="419">BO73-$L73</f>
        <v>725517.34133333282</v>
      </c>
      <c r="BQ73" s="7">
        <f t="shared" ref="BQ73" si="420">BP73-$L73</f>
        <v>719713.20133333281</v>
      </c>
      <c r="BR73" s="7">
        <f t="shared" ref="BR73" si="421">BQ73-$L73</f>
        <v>713909.06133333279</v>
      </c>
      <c r="BS73" s="7">
        <f t="shared" ref="BS73" si="422">BR73-$L73</f>
        <v>708104.92133333278</v>
      </c>
      <c r="BT73" s="7">
        <f t="shared" ref="BT73" si="423">BS73-$L73</f>
        <v>702300.78133333276</v>
      </c>
      <c r="BU73" s="7">
        <f t="shared" ref="BU73" si="424">BT73-$L73</f>
        <v>696496.64133333275</v>
      </c>
      <c r="BV73" s="236">
        <f t="shared" si="403"/>
        <v>16089.072589333322</v>
      </c>
      <c r="BW73" s="7">
        <v>5804.14</v>
      </c>
      <c r="BX73" s="39">
        <f>BW73*12</f>
        <v>69649.680000000008</v>
      </c>
      <c r="BY73" s="7">
        <f>BU73-BW73</f>
        <v>690692.50133333274</v>
      </c>
      <c r="BZ73" s="7">
        <f>BY73-$L73</f>
        <v>684888.36133333272</v>
      </c>
      <c r="CA73" s="7">
        <f t="shared" ref="CA73" si="425">BZ73-$L73</f>
        <v>679084.22133333271</v>
      </c>
      <c r="CB73" s="7">
        <f t="shared" ref="CB73" si="426">CA73-$L73</f>
        <v>673280.0813333327</v>
      </c>
      <c r="CC73" s="7">
        <f t="shared" ref="CC73" si="427">CB73-$L73</f>
        <v>667475.94133333268</v>
      </c>
      <c r="CD73" s="7">
        <f t="shared" ref="CD73" si="428">CC73-$L73</f>
        <v>661671.80133333267</v>
      </c>
      <c r="CE73" s="7">
        <f t="shared" ref="CE73" si="429">CD73-$L73</f>
        <v>655867.66133333265</v>
      </c>
      <c r="CF73" s="7">
        <f t="shared" ref="CF73" si="430">CE73-$L73</f>
        <v>650063.52133333264</v>
      </c>
      <c r="CG73" s="7">
        <f t="shared" ref="CG73" si="431">CF73-$L73</f>
        <v>644259.38133333263</v>
      </c>
      <c r="CH73" s="7">
        <f t="shared" ref="CH73" si="432">CG73-$L73</f>
        <v>638455.24133333261</v>
      </c>
      <c r="CI73" s="7">
        <f t="shared" ref="CI73" si="433">CH73-$L73</f>
        <v>632651.1013333326</v>
      </c>
      <c r="CJ73" s="7">
        <f t="shared" ref="CJ73" si="434">CI73-$L73</f>
        <v>626846.96133333258</v>
      </c>
      <c r="CK73" s="236">
        <f t="shared" si="404"/>
        <v>14556.779629333316</v>
      </c>
      <c r="CL73" s="7">
        <v>5804.14</v>
      </c>
      <c r="CM73" s="39">
        <f>CL73*12</f>
        <v>69649.680000000008</v>
      </c>
      <c r="CN73" s="7">
        <f>CJ73-CL73</f>
        <v>621042.82133333257</v>
      </c>
      <c r="CO73" s="7">
        <f>CN73-$L73</f>
        <v>615238.68133333256</v>
      </c>
      <c r="CP73" s="7">
        <f t="shared" ref="CP73" si="435">CO73-$L73</f>
        <v>609434.54133333254</v>
      </c>
      <c r="CQ73" s="7">
        <f t="shared" ref="CQ73" si="436">CP73-$L73</f>
        <v>603630.40133333253</v>
      </c>
      <c r="CR73" s="7">
        <f t="shared" ref="CR73" si="437">CQ73-$L73</f>
        <v>597826.26133333251</v>
      </c>
      <c r="CS73" s="7">
        <f t="shared" ref="CS73" si="438">CR73-$L73</f>
        <v>592022.1213333325</v>
      </c>
      <c r="CT73" s="7">
        <f t="shared" ref="CT73" si="439">CS73-$L73</f>
        <v>586217.98133333249</v>
      </c>
      <c r="CU73" s="7">
        <f t="shared" ref="CU73" si="440">CT73-$L73</f>
        <v>580413.84133333247</v>
      </c>
      <c r="CV73" s="7">
        <f t="shared" ref="CV73" si="441">CU73-$L73</f>
        <v>574609.70133333246</v>
      </c>
      <c r="CW73" s="7">
        <f t="shared" ref="CW73" si="442">CV73-$L73</f>
        <v>568805.56133333244</v>
      </c>
      <c r="CX73" s="7">
        <f t="shared" ref="CX73" si="443">CW73-$L73</f>
        <v>563001.42133333243</v>
      </c>
      <c r="CY73" s="7">
        <f t="shared" ref="CY73" si="444">CX73-$L73</f>
        <v>557197.28133333242</v>
      </c>
      <c r="CZ73" s="236">
        <f t="shared" si="405"/>
        <v>13024.486669333313</v>
      </c>
    </row>
    <row r="74" spans="1:104" ht="22.5" x14ac:dyDescent="0.2">
      <c r="A74" s="6" t="str">
        <f>'[1]2021 УГРЦТ'!A77</f>
        <v>Насосный агрегат НМШ 5-25-4,0/25Б-1У3 с дв.5,5/1500  №7р198</v>
      </c>
      <c r="B74" t="str">
        <f>'[1]2021 УГРЦТ'!B77</f>
        <v>000001639</v>
      </c>
      <c r="C74" t="str">
        <f>'[1]2021 УГРЦТ'!C77</f>
        <v>ПРОИЗВОДСТВО</v>
      </c>
      <c r="D74" t="str">
        <f>'[1]2021 УГРЦТ'!D77</f>
        <v>Машины и оборудование (кроме офисного)</v>
      </c>
      <c r="E74" t="str">
        <f>'[1]2021 УГРЦТ'!E77</f>
        <v>22.09.2014</v>
      </c>
      <c r="F74" t="str">
        <f>'[1]2021 УГРЦТ'!F77</f>
        <v>Газотурбинный цех</v>
      </c>
      <c r="G74">
        <f>'[1]2021 УГРЦТ'!AC77</f>
        <v>84</v>
      </c>
      <c r="H74" s="7">
        <f>'[1]2021 УГРЦТ'!X77</f>
        <v>57245.760000000002</v>
      </c>
      <c r="I74" s="7">
        <f>'[1]2021 УГРЦТ'!Y77</f>
        <v>57245.760000000002</v>
      </c>
      <c r="J74" s="7">
        <f>'[1]2021 УГРЦТ'!Z77</f>
        <v>0</v>
      </c>
      <c r="K74" s="8">
        <v>0</v>
      </c>
      <c r="L74" s="7">
        <v>0</v>
      </c>
      <c r="M74" s="7"/>
      <c r="N74" s="7">
        <f t="shared" si="406"/>
        <v>0</v>
      </c>
      <c r="O74" s="7">
        <f t="shared" si="408"/>
        <v>0</v>
      </c>
      <c r="P74" s="7">
        <f t="shared" si="409"/>
        <v>0</v>
      </c>
      <c r="Q74" s="7">
        <f t="shared" si="409"/>
        <v>0</v>
      </c>
      <c r="R74" s="7">
        <f t="shared" si="409"/>
        <v>0</v>
      </c>
      <c r="S74" s="7">
        <f t="shared" si="409"/>
        <v>0</v>
      </c>
      <c r="T74" s="7">
        <f t="shared" si="409"/>
        <v>0</v>
      </c>
      <c r="U74" s="7">
        <f t="shared" si="409"/>
        <v>0</v>
      </c>
      <c r="V74" s="7">
        <f t="shared" si="409"/>
        <v>0</v>
      </c>
      <c r="W74" s="7">
        <f t="shared" si="409"/>
        <v>0</v>
      </c>
      <c r="X74" s="7">
        <f t="shared" si="409"/>
        <v>0</v>
      </c>
      <c r="Y74" s="7">
        <f t="shared" si="409"/>
        <v>0</v>
      </c>
      <c r="Z74" s="7">
        <f t="shared" si="409"/>
        <v>0</v>
      </c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222"/>
      <c r="AQ74" s="7">
        <v>0</v>
      </c>
      <c r="AR74" s="7">
        <f t="shared" si="412"/>
        <v>0</v>
      </c>
      <c r="AS74" s="7">
        <f t="shared" si="413"/>
        <v>0</v>
      </c>
      <c r="BG74" s="236">
        <f t="shared" si="407"/>
        <v>0</v>
      </c>
      <c r="BH74" s="7">
        <v>0</v>
      </c>
      <c r="BV74" s="236">
        <f t="shared" si="403"/>
        <v>0</v>
      </c>
      <c r="BW74" s="7">
        <v>0</v>
      </c>
      <c r="CK74" s="236">
        <f t="shared" si="404"/>
        <v>0</v>
      </c>
      <c r="CL74" s="7">
        <v>0</v>
      </c>
      <c r="CZ74" s="236">
        <f t="shared" si="405"/>
        <v>0</v>
      </c>
    </row>
    <row r="75" spans="1:104" ht="22.5" x14ac:dyDescent="0.2">
      <c r="A75" s="6" t="str">
        <f>'[1]2021 УГРЦТ'!A78</f>
        <v>Новый технологический трубопровод для перекачки дизельного топлива</v>
      </c>
      <c r="B75" t="str">
        <f>'[1]2021 УГРЦТ'!B78</f>
        <v>000001666</v>
      </c>
      <c r="C75" t="str">
        <f>'[1]2021 УГРЦТ'!C78</f>
        <v>ПРОИЗВОДСТВО</v>
      </c>
      <c r="D75" t="str">
        <f>'[1]2021 УГРЦТ'!D78</f>
        <v>Сооружения</v>
      </c>
      <c r="E75" t="str">
        <f>'[1]2021 УГРЦТ'!E78</f>
        <v>31.12.2015</v>
      </c>
      <c r="F75" t="str">
        <f>'[1]2021 УГРЦТ'!F78</f>
        <v>Тепломеханический цех</v>
      </c>
      <c r="G75">
        <f>'[1]2021 УГРЦТ'!AC78</f>
        <v>180</v>
      </c>
      <c r="H75" s="7">
        <f>'[1]2021 УГРЦТ'!X78</f>
        <v>3443108.29</v>
      </c>
      <c r="I75" s="7">
        <f>'[1]2021 УГРЦТ'!Y78</f>
        <v>1377243.3526666667</v>
      </c>
      <c r="J75" s="7">
        <f>'[1]2021 УГРЦТ'!Z78</f>
        <v>2065864.9373333333</v>
      </c>
      <c r="K75" s="8">
        <v>1</v>
      </c>
      <c r="L75" s="7">
        <v>19128.38</v>
      </c>
      <c r="M75" s="7"/>
      <c r="N75" s="7">
        <f t="shared" si="406"/>
        <v>229540.56</v>
      </c>
      <c r="O75" s="7">
        <f t="shared" si="408"/>
        <v>2046736.5573333334</v>
      </c>
      <c r="P75" s="7">
        <f t="shared" si="409"/>
        <v>2027608.1773333335</v>
      </c>
      <c r="Q75" s="7">
        <f t="shared" si="409"/>
        <v>2008479.7973333336</v>
      </c>
      <c r="R75" s="7">
        <f t="shared" si="409"/>
        <v>1989351.4173333338</v>
      </c>
      <c r="S75" s="7">
        <f t="shared" si="409"/>
        <v>1970223.0373333339</v>
      </c>
      <c r="T75" s="7">
        <f t="shared" si="409"/>
        <v>1951094.657333334</v>
      </c>
      <c r="U75" s="7">
        <f t="shared" si="409"/>
        <v>1931966.2773333341</v>
      </c>
      <c r="V75" s="7">
        <f t="shared" si="409"/>
        <v>1912837.8973333342</v>
      </c>
      <c r="W75" s="7">
        <f t="shared" si="409"/>
        <v>1893709.5173333343</v>
      </c>
      <c r="X75" s="7">
        <f t="shared" si="409"/>
        <v>1874581.1373333344</v>
      </c>
      <c r="Y75" s="7">
        <f t="shared" si="409"/>
        <v>1855452.7573333345</v>
      </c>
      <c r="Z75" s="7">
        <f t="shared" si="409"/>
        <v>1836324.3773333346</v>
      </c>
      <c r="AA75" s="7">
        <f t="shared" ref="AA75:AA80" si="445">SUM(O75:Z75,J75)/13*$AA$1</f>
        <v>42924.082461333346</v>
      </c>
      <c r="AB75" s="7"/>
      <c r="AC75" s="7">
        <f t="shared" si="410"/>
        <v>229540.56</v>
      </c>
      <c r="AD75" s="7">
        <f t="shared" si="411"/>
        <v>1817195.9973333348</v>
      </c>
      <c r="AE75" s="7">
        <f t="shared" ref="AE75:AO89" si="446">AD75-$L75</f>
        <v>1798067.6173333349</v>
      </c>
      <c r="AF75" s="7">
        <f t="shared" si="446"/>
        <v>1778939.237333335</v>
      </c>
      <c r="AG75" s="7">
        <f t="shared" si="446"/>
        <v>1759810.8573333351</v>
      </c>
      <c r="AH75" s="7">
        <f t="shared" si="446"/>
        <v>1740682.4773333352</v>
      </c>
      <c r="AI75" s="7">
        <f t="shared" si="446"/>
        <v>1721554.0973333353</v>
      </c>
      <c r="AJ75" s="7">
        <f t="shared" si="446"/>
        <v>1702425.7173333354</v>
      </c>
      <c r="AK75" s="7">
        <f t="shared" si="446"/>
        <v>1683297.3373333355</v>
      </c>
      <c r="AL75" s="7">
        <f t="shared" si="446"/>
        <v>1664168.9573333357</v>
      </c>
      <c r="AM75" s="7">
        <f t="shared" si="446"/>
        <v>1645040.5773333358</v>
      </c>
      <c r="AN75" s="7">
        <f t="shared" si="446"/>
        <v>1625912.1973333359</v>
      </c>
      <c r="AO75" s="7">
        <f t="shared" si="446"/>
        <v>1606783.817333336</v>
      </c>
      <c r="AP75" s="222">
        <f t="shared" ref="AP75:AP80" si="447">IF(K75&lt;1,0,SUM(AD75:AO75,Z75)/13*$BG$1)</f>
        <v>37874.190141333384</v>
      </c>
      <c r="AQ75" s="7">
        <v>19128.38</v>
      </c>
      <c r="AR75" s="7">
        <f t="shared" si="412"/>
        <v>19128.379999999888</v>
      </c>
      <c r="AS75" s="7">
        <f t="shared" si="413"/>
        <v>-1.127773430198431E-10</v>
      </c>
      <c r="AT75" s="7">
        <f t="shared" ref="AT75:AT98" si="448">L75*12</f>
        <v>229540.56</v>
      </c>
      <c r="AU75" s="7">
        <f t="shared" ref="AU75:AU98" si="449">AO75-$L75</f>
        <v>1587655.4373333361</v>
      </c>
      <c r="AV75" s="7">
        <f t="shared" ref="AV75:BF90" si="450">AU75-$L75</f>
        <v>1568527.0573333362</v>
      </c>
      <c r="AW75" s="7">
        <f t="shared" si="450"/>
        <v>1549398.6773333363</v>
      </c>
      <c r="AX75" s="7">
        <f t="shared" si="450"/>
        <v>1530270.2973333364</v>
      </c>
      <c r="AY75" s="7">
        <f t="shared" si="450"/>
        <v>1511141.9173333365</v>
      </c>
      <c r="AZ75" s="7">
        <f t="shared" si="450"/>
        <v>1492013.5373333367</v>
      </c>
      <c r="BA75" s="7">
        <f t="shared" si="450"/>
        <v>1472885.1573333368</v>
      </c>
      <c r="BB75" s="7">
        <f t="shared" si="450"/>
        <v>1453756.7773333369</v>
      </c>
      <c r="BC75" s="7">
        <f t="shared" si="450"/>
        <v>1434628.397333337</v>
      </c>
      <c r="BD75" s="7">
        <f t="shared" si="450"/>
        <v>1415500.0173333371</v>
      </c>
      <c r="BE75" s="7">
        <f t="shared" si="450"/>
        <v>1396371.6373333372</v>
      </c>
      <c r="BF75" s="7">
        <f t="shared" si="450"/>
        <v>1377243.2573333373</v>
      </c>
      <c r="BG75" s="236">
        <f t="shared" si="407"/>
        <v>32824.297821333406</v>
      </c>
      <c r="BH75" s="7">
        <v>19128.38</v>
      </c>
      <c r="BI75" s="39">
        <f>BH75*12</f>
        <v>229540.56</v>
      </c>
      <c r="BJ75" s="7">
        <f t="shared" ref="BJ75:BJ98" si="451">BF75-BH75</f>
        <v>1358114.8773333374</v>
      </c>
      <c r="BK75" s="7">
        <f t="shared" ref="BK75:BK98" si="452">BJ75-$L75</f>
        <v>1338986.4973333376</v>
      </c>
      <c r="BL75" s="7">
        <f t="shared" ref="BL75:BL98" si="453">BK75-$L75</f>
        <v>1319858.1173333377</v>
      </c>
      <c r="BM75" s="7">
        <f t="shared" ref="BM75:BM98" si="454">BL75-$L75</f>
        <v>1300729.7373333378</v>
      </c>
      <c r="BN75" s="7">
        <f t="shared" ref="BN75:BN98" si="455">BM75-$L75</f>
        <v>1281601.3573333379</v>
      </c>
      <c r="BO75" s="7">
        <f t="shared" ref="BO75:BO98" si="456">BN75-$L75</f>
        <v>1262472.977333338</v>
      </c>
      <c r="BP75" s="7">
        <f t="shared" ref="BP75:BP98" si="457">BO75-$L75</f>
        <v>1243344.5973333381</v>
      </c>
      <c r="BQ75" s="7">
        <f t="shared" ref="BQ75:BQ98" si="458">BP75-$L75</f>
        <v>1224216.2173333382</v>
      </c>
      <c r="BR75" s="7">
        <f t="shared" ref="BR75:BR98" si="459">BQ75-$L75</f>
        <v>1205087.8373333383</v>
      </c>
      <c r="BS75" s="7">
        <f t="shared" ref="BS75:BS98" si="460">BR75-$L75</f>
        <v>1185959.4573333384</v>
      </c>
      <c r="BT75" s="7">
        <f t="shared" ref="BT75:BT98" si="461">BS75-$L75</f>
        <v>1166831.0773333386</v>
      </c>
      <c r="BU75" s="7">
        <f t="shared" ref="BU75:BU98" si="462">BT75-$L75</f>
        <v>1147702.6973333387</v>
      </c>
      <c r="BV75" s="236">
        <f t="shared" si="403"/>
        <v>27774.40550133344</v>
      </c>
      <c r="BW75" s="7">
        <v>19128.38</v>
      </c>
      <c r="BX75" s="39">
        <f>BW75*12</f>
        <v>229540.56</v>
      </c>
      <c r="BY75" s="7">
        <f>BU75-BW75</f>
        <v>1128574.3173333388</v>
      </c>
      <c r="BZ75" s="7">
        <f t="shared" ref="BZ75:BZ98" si="463">BY75-$L75</f>
        <v>1109445.9373333389</v>
      </c>
      <c r="CA75" s="7">
        <f t="shared" ref="CA75:CA92" si="464">BZ75-$L75</f>
        <v>1090317.557333339</v>
      </c>
      <c r="CB75" s="7">
        <f t="shared" ref="CB75:CB92" si="465">CA75-$L75</f>
        <v>1071189.1773333391</v>
      </c>
      <c r="CC75" s="7">
        <f t="shared" ref="CC75:CC92" si="466">CB75-$L75</f>
        <v>1052060.7973333392</v>
      </c>
      <c r="CD75" s="7">
        <f t="shared" ref="CD75:CD92" si="467">CC75-$L75</f>
        <v>1032932.4173333392</v>
      </c>
      <c r="CE75" s="7">
        <f t="shared" ref="CE75:CE92" si="468">CD75-$L75</f>
        <v>1013804.0373333392</v>
      </c>
      <c r="CF75" s="7">
        <f t="shared" ref="CF75:CF77" si="469">CE75-$L75</f>
        <v>994675.65733333922</v>
      </c>
      <c r="CG75" s="7">
        <f t="shared" ref="CG75:CG77" si="470">CF75-$L75</f>
        <v>975547.27733333921</v>
      </c>
      <c r="CH75" s="7">
        <f t="shared" ref="CH75:CH77" si="471">CG75-$L75</f>
        <v>956418.89733333921</v>
      </c>
      <c r="CI75" s="7">
        <f t="shared" ref="CI75:CI77" si="472">CH75-$L75</f>
        <v>937290.5173333392</v>
      </c>
      <c r="CJ75" s="7">
        <f t="shared" ref="CJ75:CJ77" si="473">CI75-$L75</f>
        <v>918162.1373333392</v>
      </c>
      <c r="CK75" s="236">
        <f t="shared" si="404"/>
        <v>22724.513181333463</v>
      </c>
      <c r="CL75" s="7">
        <v>19128.38</v>
      </c>
      <c r="CM75" s="39">
        <f>CL75*12</f>
        <v>229540.56</v>
      </c>
      <c r="CN75" s="7">
        <f>CJ75-CL75</f>
        <v>899033.75733333919</v>
      </c>
      <c r="CO75" s="7">
        <f t="shared" ref="CO75:CO77" si="474">CN75-$L75</f>
        <v>879905.37733333919</v>
      </c>
      <c r="CP75" s="7">
        <f t="shared" ref="CP75:CP77" si="475">CO75-$L75</f>
        <v>860776.99733333918</v>
      </c>
      <c r="CQ75" s="7">
        <f t="shared" ref="CQ75:CQ77" si="476">CP75-$L75</f>
        <v>841648.61733333918</v>
      </c>
      <c r="CR75" s="7">
        <f t="shared" ref="CR75:CR77" si="477">CQ75-$L75</f>
        <v>822520.23733333917</v>
      </c>
      <c r="CS75" s="7">
        <f t="shared" ref="CS75:CS77" si="478">CR75-$L75</f>
        <v>803391.85733333917</v>
      </c>
      <c r="CT75" s="7">
        <f t="shared" ref="CT75:CT77" si="479">CS75-$L75</f>
        <v>784263.47733333916</v>
      </c>
      <c r="CU75" s="7">
        <f t="shared" ref="CU75:CU77" si="480">CT75-$L75</f>
        <v>765135.09733333916</v>
      </c>
      <c r="CV75" s="7">
        <f t="shared" ref="CV75:CV77" si="481">CU75-$L75</f>
        <v>746006.71733333915</v>
      </c>
      <c r="CW75" s="7">
        <f t="shared" ref="CW75:CW77" si="482">CV75-$L75</f>
        <v>726878.33733333915</v>
      </c>
      <c r="CX75" s="7">
        <f t="shared" ref="CX75:CX77" si="483">CW75-$L75</f>
        <v>707749.95733333915</v>
      </c>
      <c r="CY75" s="7">
        <f t="shared" ref="CY75:CY77" si="484">CX75-$L75</f>
        <v>688621.57733333914</v>
      </c>
      <c r="CZ75" s="236">
        <f t="shared" si="405"/>
        <v>17674.620861333457</v>
      </c>
    </row>
    <row r="76" spans="1:104" x14ac:dyDescent="0.2">
      <c r="A76" s="6" t="str">
        <f>'[1]2021 УГРЦТ'!A79</f>
        <v>Пристройка к маслосепараторной 1997г</v>
      </c>
      <c r="B76" t="str">
        <f>'[1]2021 УГРЦТ'!B79</f>
        <v>00000091</v>
      </c>
      <c r="C76" t="str">
        <f>'[1]2021 УГРЦТ'!C79</f>
        <v>ПРОИЗВОДСТВО</v>
      </c>
      <c r="D76" t="str">
        <f>'[1]2021 УГРЦТ'!D79</f>
        <v>Здания</v>
      </c>
      <c r="E76" t="str">
        <f>'[1]2021 УГРЦТ'!E79</f>
        <v>01.07.1997</v>
      </c>
      <c r="F76" t="str">
        <f>'[1]2021 УГРЦТ'!F79</f>
        <v>Электрический цех</v>
      </c>
      <c r="G76">
        <f>'[1]2021 УГРЦТ'!AC79</f>
        <v>480</v>
      </c>
      <c r="H76" s="7">
        <f>'[1]2021 УГРЦТ'!X79</f>
        <v>126170</v>
      </c>
      <c r="I76" s="7">
        <f>'[1]2021 УГРЦТ'!Y79</f>
        <v>75704.62</v>
      </c>
      <c r="J76" s="7">
        <f>'[1]2021 УГРЦТ'!Z79</f>
        <v>50465.380000000005</v>
      </c>
      <c r="K76" s="8">
        <v>1</v>
      </c>
      <c r="L76" s="7">
        <v>262.86</v>
      </c>
      <c r="M76" s="7"/>
      <c r="N76" s="7">
        <f t="shared" si="406"/>
        <v>3154.32</v>
      </c>
      <c r="O76" s="7">
        <f t="shared" si="408"/>
        <v>50202.520000000004</v>
      </c>
      <c r="P76" s="7">
        <f t="shared" si="409"/>
        <v>49939.66</v>
      </c>
      <c r="Q76" s="7">
        <f t="shared" si="409"/>
        <v>49676.800000000003</v>
      </c>
      <c r="R76" s="7">
        <f t="shared" si="409"/>
        <v>49413.94</v>
      </c>
      <c r="S76" s="7">
        <f t="shared" si="409"/>
        <v>49151.08</v>
      </c>
      <c r="T76" s="7">
        <f t="shared" si="409"/>
        <v>48888.22</v>
      </c>
      <c r="U76" s="7">
        <f t="shared" si="409"/>
        <v>48625.36</v>
      </c>
      <c r="V76" s="7">
        <f t="shared" si="409"/>
        <v>48362.5</v>
      </c>
      <c r="W76" s="7">
        <f t="shared" si="409"/>
        <v>48099.64</v>
      </c>
      <c r="X76" s="7">
        <f t="shared" si="409"/>
        <v>47836.78</v>
      </c>
      <c r="Y76" s="7">
        <f t="shared" si="409"/>
        <v>47573.919999999998</v>
      </c>
      <c r="Z76" s="7">
        <f t="shared" si="409"/>
        <v>47311.06</v>
      </c>
      <c r="AA76" s="7">
        <f t="shared" si="445"/>
        <v>1075.5408399999999</v>
      </c>
      <c r="AB76" s="7"/>
      <c r="AC76" s="7">
        <f t="shared" si="410"/>
        <v>3154.32</v>
      </c>
      <c r="AD76" s="7">
        <f t="shared" si="411"/>
        <v>47048.2</v>
      </c>
      <c r="AE76" s="7">
        <f t="shared" si="446"/>
        <v>46785.34</v>
      </c>
      <c r="AF76" s="7">
        <f t="shared" si="446"/>
        <v>46522.479999999996</v>
      </c>
      <c r="AG76" s="7">
        <f t="shared" si="446"/>
        <v>46259.619999999995</v>
      </c>
      <c r="AH76" s="7">
        <f t="shared" si="446"/>
        <v>45996.759999999995</v>
      </c>
      <c r="AI76" s="7">
        <f t="shared" si="446"/>
        <v>45733.899999999994</v>
      </c>
      <c r="AJ76" s="7">
        <f t="shared" si="446"/>
        <v>45471.039999999994</v>
      </c>
      <c r="AK76" s="7">
        <f t="shared" si="446"/>
        <v>45208.179999999993</v>
      </c>
      <c r="AL76" s="7">
        <f t="shared" si="446"/>
        <v>44945.319999999992</v>
      </c>
      <c r="AM76" s="7">
        <f t="shared" si="446"/>
        <v>44682.459999999992</v>
      </c>
      <c r="AN76" s="7">
        <f t="shared" si="446"/>
        <v>44419.599999999991</v>
      </c>
      <c r="AO76" s="7">
        <f t="shared" si="446"/>
        <v>44156.739999999991</v>
      </c>
      <c r="AP76" s="222">
        <f t="shared" si="447"/>
        <v>1006.1457999999998</v>
      </c>
      <c r="AQ76" s="7">
        <v>262.86</v>
      </c>
      <c r="AR76" s="7">
        <f t="shared" si="412"/>
        <v>262.86000000000058</v>
      </c>
      <c r="AS76" s="7">
        <f t="shared" si="413"/>
        <v>5.6843418860808015E-13</v>
      </c>
      <c r="AT76" s="7">
        <f t="shared" si="448"/>
        <v>3154.32</v>
      </c>
      <c r="AU76" s="7">
        <f t="shared" si="449"/>
        <v>43893.87999999999</v>
      </c>
      <c r="AV76" s="7">
        <f t="shared" si="450"/>
        <v>43631.01999999999</v>
      </c>
      <c r="AW76" s="7">
        <f t="shared" si="450"/>
        <v>43368.159999999989</v>
      </c>
      <c r="AX76" s="7">
        <f t="shared" si="450"/>
        <v>43105.299999999988</v>
      </c>
      <c r="AY76" s="7">
        <f t="shared" si="450"/>
        <v>42842.439999999988</v>
      </c>
      <c r="AZ76" s="7">
        <f t="shared" si="450"/>
        <v>42579.579999999987</v>
      </c>
      <c r="BA76" s="7">
        <f t="shared" si="450"/>
        <v>42316.719999999987</v>
      </c>
      <c r="BB76" s="7">
        <f t="shared" si="450"/>
        <v>42053.859999999986</v>
      </c>
      <c r="BC76" s="7">
        <f t="shared" si="450"/>
        <v>41790.999999999985</v>
      </c>
      <c r="BD76" s="7">
        <f t="shared" si="450"/>
        <v>41528.139999999985</v>
      </c>
      <c r="BE76" s="7">
        <f t="shared" si="450"/>
        <v>41265.279999999984</v>
      </c>
      <c r="BF76" s="7">
        <f t="shared" si="450"/>
        <v>41002.419999999984</v>
      </c>
      <c r="BG76" s="236">
        <f t="shared" si="407"/>
        <v>936.75075999999967</v>
      </c>
      <c r="BH76" s="7">
        <v>262.86</v>
      </c>
      <c r="BI76" s="39">
        <f>BH76*12</f>
        <v>3154.32</v>
      </c>
      <c r="BJ76" s="7">
        <f t="shared" si="451"/>
        <v>40739.559999999983</v>
      </c>
      <c r="BK76" s="7">
        <f t="shared" si="452"/>
        <v>40476.699999999983</v>
      </c>
      <c r="BL76" s="7">
        <f t="shared" si="453"/>
        <v>40213.839999999982</v>
      </c>
      <c r="BM76" s="7">
        <f t="shared" si="454"/>
        <v>39950.979999999981</v>
      </c>
      <c r="BN76" s="7">
        <f t="shared" si="455"/>
        <v>39688.119999999981</v>
      </c>
      <c r="BO76" s="7">
        <f t="shared" si="456"/>
        <v>39425.25999999998</v>
      </c>
      <c r="BP76" s="7">
        <f t="shared" si="457"/>
        <v>39162.39999999998</v>
      </c>
      <c r="BQ76" s="7">
        <f t="shared" si="458"/>
        <v>38899.539999999979</v>
      </c>
      <c r="BR76" s="7">
        <f t="shared" si="459"/>
        <v>38636.679999999978</v>
      </c>
      <c r="BS76" s="7">
        <f t="shared" si="460"/>
        <v>38373.819999999978</v>
      </c>
      <c r="BT76" s="7">
        <f t="shared" si="461"/>
        <v>38110.959999999977</v>
      </c>
      <c r="BU76" s="7">
        <f t="shared" si="462"/>
        <v>37848.099999999977</v>
      </c>
      <c r="BV76" s="236">
        <f t="shared" si="403"/>
        <v>867.35571999999956</v>
      </c>
      <c r="BW76" s="7">
        <v>262.86</v>
      </c>
      <c r="BX76" s="39">
        <f>BW76*12</f>
        <v>3154.32</v>
      </c>
      <c r="BY76" s="7">
        <f>BU76-BW76</f>
        <v>37585.239999999976</v>
      </c>
      <c r="BZ76" s="7">
        <f t="shared" si="463"/>
        <v>37322.379999999976</v>
      </c>
      <c r="CA76" s="7">
        <f t="shared" si="464"/>
        <v>37059.519999999975</v>
      </c>
      <c r="CB76" s="7">
        <f t="shared" si="465"/>
        <v>36796.659999999974</v>
      </c>
      <c r="CC76" s="7">
        <f t="shared" si="466"/>
        <v>36533.799999999974</v>
      </c>
      <c r="CD76" s="7">
        <f t="shared" si="467"/>
        <v>36270.939999999973</v>
      </c>
      <c r="CE76" s="7">
        <f t="shared" si="468"/>
        <v>36008.079999999973</v>
      </c>
      <c r="CF76" s="7">
        <f t="shared" si="469"/>
        <v>35745.219999999972</v>
      </c>
      <c r="CG76" s="7">
        <f t="shared" si="470"/>
        <v>35482.359999999971</v>
      </c>
      <c r="CH76" s="7">
        <f t="shared" si="471"/>
        <v>35219.499999999971</v>
      </c>
      <c r="CI76" s="7">
        <f t="shared" si="472"/>
        <v>34956.63999999997</v>
      </c>
      <c r="CJ76" s="7">
        <f t="shared" si="473"/>
        <v>34693.77999999997</v>
      </c>
      <c r="CK76" s="236">
        <f t="shared" si="404"/>
        <v>797.96067999999934</v>
      </c>
      <c r="CL76" s="7">
        <v>262.86</v>
      </c>
      <c r="CM76" s="39">
        <f>CL76*12</f>
        <v>3154.32</v>
      </c>
      <c r="CN76" s="7">
        <f>CJ76-CL76</f>
        <v>34430.919999999969</v>
      </c>
      <c r="CO76" s="7">
        <f t="shared" si="474"/>
        <v>34168.059999999969</v>
      </c>
      <c r="CP76" s="7">
        <f t="shared" si="475"/>
        <v>33905.199999999968</v>
      </c>
      <c r="CQ76" s="7">
        <f t="shared" si="476"/>
        <v>33642.339999999967</v>
      </c>
      <c r="CR76" s="7">
        <f t="shared" si="477"/>
        <v>33379.479999999967</v>
      </c>
      <c r="CS76" s="7">
        <f t="shared" si="478"/>
        <v>33116.619999999966</v>
      </c>
      <c r="CT76" s="7">
        <f t="shared" si="479"/>
        <v>32853.759999999966</v>
      </c>
      <c r="CU76" s="7">
        <f t="shared" si="480"/>
        <v>32590.899999999965</v>
      </c>
      <c r="CV76" s="7">
        <f t="shared" si="481"/>
        <v>32328.039999999964</v>
      </c>
      <c r="CW76" s="7">
        <f t="shared" si="482"/>
        <v>32065.179999999964</v>
      </c>
      <c r="CX76" s="7">
        <f t="shared" si="483"/>
        <v>31802.319999999963</v>
      </c>
      <c r="CY76" s="7">
        <f t="shared" si="484"/>
        <v>31539.459999999963</v>
      </c>
      <c r="CZ76" s="236">
        <f t="shared" si="405"/>
        <v>728.56563999999923</v>
      </c>
    </row>
    <row r="77" spans="1:104" x14ac:dyDescent="0.2">
      <c r="A77" s="6" t="str">
        <f>'[1]2021 УГРЦТ'!A80</f>
        <v>Пристройка к РУ-6кВТ</v>
      </c>
      <c r="B77" t="str">
        <f>'[1]2021 УГРЦТ'!B80</f>
        <v>00001051</v>
      </c>
      <c r="C77" t="str">
        <f>'[1]2021 УГРЦТ'!C80</f>
        <v>ПРОИЗВОДСТВО</v>
      </c>
      <c r="D77" t="str">
        <f>'[1]2021 УГРЦТ'!D80</f>
        <v>Здания</v>
      </c>
      <c r="E77" t="str">
        <f>'[1]2021 УГРЦТ'!E80</f>
        <v>30.09.2007</v>
      </c>
      <c r="F77" t="str">
        <f>'[1]2021 УГРЦТ'!F80</f>
        <v>Электрический цех</v>
      </c>
      <c r="G77">
        <f>'[1]2021 УГРЦТ'!AC80</f>
        <v>300</v>
      </c>
      <c r="H77" s="7">
        <f>'[1]2021 УГРЦТ'!X80</f>
        <v>590228.09</v>
      </c>
      <c r="I77" s="7">
        <f>'[1]2021 УГРЦТ'!Y80</f>
        <v>336430.49359999999</v>
      </c>
      <c r="J77" s="7">
        <f>'[1]2021 УГРЦТ'!Z80</f>
        <v>253797.59639999998</v>
      </c>
      <c r="K77" s="8">
        <v>1</v>
      </c>
      <c r="L77" s="7">
        <v>1967.42</v>
      </c>
      <c r="M77" s="7"/>
      <c r="N77" s="7">
        <f t="shared" si="406"/>
        <v>23609.040000000001</v>
      </c>
      <c r="O77" s="7">
        <f t="shared" si="408"/>
        <v>251830.17639999997</v>
      </c>
      <c r="P77" s="7">
        <f t="shared" si="409"/>
        <v>249862.75639999995</v>
      </c>
      <c r="Q77" s="7">
        <f t="shared" si="409"/>
        <v>247895.33639999994</v>
      </c>
      <c r="R77" s="7">
        <f t="shared" si="409"/>
        <v>245927.91639999993</v>
      </c>
      <c r="S77" s="7">
        <f t="shared" si="409"/>
        <v>243960.49639999992</v>
      </c>
      <c r="T77" s="7">
        <f t="shared" si="409"/>
        <v>241993.0763999999</v>
      </c>
      <c r="U77" s="7">
        <f t="shared" si="409"/>
        <v>240025.65639999989</v>
      </c>
      <c r="V77" s="7">
        <f t="shared" si="409"/>
        <v>238058.23639999988</v>
      </c>
      <c r="W77" s="7">
        <f t="shared" si="409"/>
        <v>236090.81639999987</v>
      </c>
      <c r="X77" s="7">
        <f t="shared" si="409"/>
        <v>234123.39639999985</v>
      </c>
      <c r="Y77" s="7">
        <f t="shared" si="409"/>
        <v>232155.97639999984</v>
      </c>
      <c r="Z77" s="7">
        <f t="shared" si="409"/>
        <v>230188.55639999983</v>
      </c>
      <c r="AA77" s="7">
        <f t="shared" si="445"/>
        <v>5323.8476807999978</v>
      </c>
      <c r="AB77" s="7"/>
      <c r="AC77" s="7">
        <f t="shared" si="410"/>
        <v>23609.040000000001</v>
      </c>
      <c r="AD77" s="7">
        <f t="shared" si="411"/>
        <v>228221.13639999981</v>
      </c>
      <c r="AE77" s="7">
        <f t="shared" si="446"/>
        <v>226253.7163999998</v>
      </c>
      <c r="AF77" s="7">
        <f t="shared" si="446"/>
        <v>224286.29639999979</v>
      </c>
      <c r="AG77" s="7">
        <f t="shared" si="446"/>
        <v>222318.87639999978</v>
      </c>
      <c r="AH77" s="7">
        <f t="shared" si="446"/>
        <v>220351.45639999976</v>
      </c>
      <c r="AI77" s="7">
        <f t="shared" si="446"/>
        <v>218384.03639999975</v>
      </c>
      <c r="AJ77" s="7">
        <f t="shared" si="446"/>
        <v>216416.61639999974</v>
      </c>
      <c r="AK77" s="7">
        <f t="shared" si="446"/>
        <v>214449.19639999972</v>
      </c>
      <c r="AL77" s="7">
        <f t="shared" si="446"/>
        <v>212481.77639999971</v>
      </c>
      <c r="AM77" s="7">
        <f t="shared" si="446"/>
        <v>210514.3563999997</v>
      </c>
      <c r="AN77" s="7">
        <f t="shared" si="446"/>
        <v>208546.93639999969</v>
      </c>
      <c r="AO77" s="7">
        <f t="shared" si="446"/>
        <v>206579.51639999967</v>
      </c>
      <c r="AP77" s="222">
        <f t="shared" si="447"/>
        <v>4804.4488007999926</v>
      </c>
      <c r="AQ77" s="7">
        <v>1967.42</v>
      </c>
      <c r="AR77" s="7">
        <f t="shared" si="412"/>
        <v>1967.4200000000128</v>
      </c>
      <c r="AS77" s="7">
        <f t="shared" si="413"/>
        <v>1.2732925824820995E-11</v>
      </c>
      <c r="AT77" s="7">
        <f t="shared" si="448"/>
        <v>23609.040000000001</v>
      </c>
      <c r="AU77" s="7">
        <f t="shared" si="449"/>
        <v>204612.09639999966</v>
      </c>
      <c r="AV77" s="7">
        <f t="shared" si="450"/>
        <v>202644.67639999965</v>
      </c>
      <c r="AW77" s="7">
        <f t="shared" si="450"/>
        <v>200677.25639999963</v>
      </c>
      <c r="AX77" s="7">
        <f t="shared" si="450"/>
        <v>198709.83639999962</v>
      </c>
      <c r="AY77" s="7">
        <f t="shared" si="450"/>
        <v>196742.41639999961</v>
      </c>
      <c r="AZ77" s="7">
        <f t="shared" si="450"/>
        <v>194774.9963999996</v>
      </c>
      <c r="BA77" s="7">
        <f t="shared" si="450"/>
        <v>192807.57639999958</v>
      </c>
      <c r="BB77" s="7">
        <f t="shared" si="450"/>
        <v>190840.15639999957</v>
      </c>
      <c r="BC77" s="7">
        <f t="shared" si="450"/>
        <v>188872.73639999956</v>
      </c>
      <c r="BD77" s="7">
        <f t="shared" si="450"/>
        <v>186905.31639999954</v>
      </c>
      <c r="BE77" s="7">
        <f t="shared" si="450"/>
        <v>184937.89639999953</v>
      </c>
      <c r="BF77" s="7">
        <f t="shared" si="450"/>
        <v>182970.47639999952</v>
      </c>
      <c r="BG77" s="236">
        <f t="shared" si="407"/>
        <v>4285.049920799991</v>
      </c>
      <c r="BH77" s="7">
        <v>1967.42</v>
      </c>
      <c r="BI77" s="39">
        <f>BH77*12</f>
        <v>23609.040000000001</v>
      </c>
      <c r="BJ77" s="7">
        <f t="shared" si="451"/>
        <v>181003.05639999951</v>
      </c>
      <c r="BK77" s="7">
        <f t="shared" si="452"/>
        <v>179035.63639999949</v>
      </c>
      <c r="BL77" s="7">
        <f t="shared" si="453"/>
        <v>177068.21639999948</v>
      </c>
      <c r="BM77" s="7">
        <f t="shared" si="454"/>
        <v>175100.79639999947</v>
      </c>
      <c r="BN77" s="7">
        <f t="shared" si="455"/>
        <v>173133.37639999946</v>
      </c>
      <c r="BO77" s="7">
        <f t="shared" si="456"/>
        <v>171165.95639999944</v>
      </c>
      <c r="BP77" s="7">
        <f t="shared" si="457"/>
        <v>169198.53639999943</v>
      </c>
      <c r="BQ77" s="7">
        <f t="shared" si="458"/>
        <v>167231.11639999942</v>
      </c>
      <c r="BR77" s="7">
        <f t="shared" si="459"/>
        <v>165263.6963999994</v>
      </c>
      <c r="BS77" s="7">
        <f t="shared" si="460"/>
        <v>163296.27639999939</v>
      </c>
      <c r="BT77" s="7">
        <f t="shared" si="461"/>
        <v>161328.85639999938</v>
      </c>
      <c r="BU77" s="7">
        <f t="shared" si="462"/>
        <v>159361.43639999937</v>
      </c>
      <c r="BV77" s="236">
        <f t="shared" si="403"/>
        <v>3765.6510407999867</v>
      </c>
      <c r="BW77" s="7">
        <v>1967.42</v>
      </c>
      <c r="BX77" s="39">
        <f>BW77*12</f>
        <v>23609.040000000001</v>
      </c>
      <c r="BY77" s="7">
        <f>BU77-BW77</f>
        <v>157394.01639999935</v>
      </c>
      <c r="BZ77" s="7">
        <f t="shared" si="463"/>
        <v>155426.59639999934</v>
      </c>
      <c r="CA77" s="7">
        <f t="shared" si="464"/>
        <v>153459.17639999933</v>
      </c>
      <c r="CB77" s="7">
        <f t="shared" si="465"/>
        <v>151491.75639999931</v>
      </c>
      <c r="CC77" s="7">
        <f t="shared" si="466"/>
        <v>149524.3363999993</v>
      </c>
      <c r="CD77" s="7">
        <f t="shared" si="467"/>
        <v>147556.91639999929</v>
      </c>
      <c r="CE77" s="7">
        <f t="shared" si="468"/>
        <v>145589.49639999928</v>
      </c>
      <c r="CF77" s="7">
        <f t="shared" si="469"/>
        <v>143622.07639999926</v>
      </c>
      <c r="CG77" s="7">
        <f t="shared" si="470"/>
        <v>141654.65639999925</v>
      </c>
      <c r="CH77" s="7">
        <f t="shared" si="471"/>
        <v>139687.23639999924</v>
      </c>
      <c r="CI77" s="7">
        <f t="shared" si="472"/>
        <v>137719.81639999922</v>
      </c>
      <c r="CJ77" s="7">
        <f t="shared" si="473"/>
        <v>135752.39639999921</v>
      </c>
      <c r="CK77" s="236">
        <f t="shared" si="404"/>
        <v>3246.2521607999843</v>
      </c>
      <c r="CL77" s="7">
        <v>1967.42</v>
      </c>
      <c r="CM77" s="39">
        <f>CL77*12</f>
        <v>23609.040000000001</v>
      </c>
      <c r="CN77" s="7">
        <f>CJ77-CL77</f>
        <v>133784.9763999992</v>
      </c>
      <c r="CO77" s="7">
        <f t="shared" si="474"/>
        <v>131817.55639999919</v>
      </c>
      <c r="CP77" s="7">
        <f t="shared" si="475"/>
        <v>129850.13639999919</v>
      </c>
      <c r="CQ77" s="7">
        <f t="shared" si="476"/>
        <v>127882.71639999919</v>
      </c>
      <c r="CR77" s="7">
        <f t="shared" si="477"/>
        <v>125915.29639999919</v>
      </c>
      <c r="CS77" s="7">
        <f t="shared" si="478"/>
        <v>123947.87639999919</v>
      </c>
      <c r="CT77" s="7">
        <f t="shared" si="479"/>
        <v>121980.4563999992</v>
      </c>
      <c r="CU77" s="7">
        <f t="shared" si="480"/>
        <v>120013.0363999992</v>
      </c>
      <c r="CV77" s="7">
        <f t="shared" si="481"/>
        <v>118045.6163999992</v>
      </c>
      <c r="CW77" s="7">
        <f t="shared" si="482"/>
        <v>116078.1963999992</v>
      </c>
      <c r="CX77" s="7">
        <f t="shared" si="483"/>
        <v>114110.7763999992</v>
      </c>
      <c r="CY77" s="7">
        <f t="shared" si="484"/>
        <v>112143.3563999992</v>
      </c>
      <c r="CZ77" s="236">
        <f t="shared" si="405"/>
        <v>2726.8532807999818</v>
      </c>
    </row>
    <row r="78" spans="1:104" x14ac:dyDescent="0.2">
      <c r="A78" s="6" t="str">
        <f>'[1]2021 УГРЦТ'!A81</f>
        <v>Пристройка к цеху ГТУ</v>
      </c>
      <c r="B78" t="str">
        <f>'[1]2021 УГРЦТ'!B81</f>
        <v>00000376</v>
      </c>
      <c r="C78" t="str">
        <f>'[1]2021 УГРЦТ'!C81</f>
        <v>ПРОИЗВОДСТВО</v>
      </c>
      <c r="D78" t="str">
        <f>'[1]2021 УГРЦТ'!D81</f>
        <v>Здания</v>
      </c>
      <c r="E78" t="str">
        <f>'[1]2021 УГРЦТ'!E81</f>
        <v>29.12.2001</v>
      </c>
      <c r="F78" t="str">
        <f>'[1]2021 УГРЦТ'!F81</f>
        <v>Газотурбинный цех</v>
      </c>
      <c r="G78">
        <f>'[1]2021 УГРЦТ'!AC81</f>
        <v>240</v>
      </c>
      <c r="H78" s="7">
        <f>'[1]2021 УГРЦТ'!X81</f>
        <v>55891.5</v>
      </c>
      <c r="I78" s="7">
        <f>'[1]2021 УГРЦТ'!Y81</f>
        <v>45877.375</v>
      </c>
      <c r="J78" s="7">
        <f>'[1]2021 УГРЦТ'!Z81</f>
        <v>10014.125</v>
      </c>
      <c r="K78" s="8">
        <v>1</v>
      </c>
      <c r="L78" s="7">
        <v>232.88000000000008</v>
      </c>
      <c r="M78" s="7"/>
      <c r="N78" s="7">
        <f t="shared" si="406"/>
        <v>2794.5600000000009</v>
      </c>
      <c r="O78" s="7">
        <f t="shared" si="408"/>
        <v>9781.2450000000008</v>
      </c>
      <c r="P78" s="7">
        <f t="shared" si="409"/>
        <v>9548.3650000000016</v>
      </c>
      <c r="Q78" s="7">
        <f t="shared" si="409"/>
        <v>9315.4850000000024</v>
      </c>
      <c r="R78" s="7">
        <f t="shared" si="409"/>
        <v>9082.6050000000032</v>
      </c>
      <c r="S78" s="7">
        <f t="shared" si="409"/>
        <v>8849.725000000004</v>
      </c>
      <c r="T78" s="7">
        <f t="shared" si="409"/>
        <v>8616.8450000000048</v>
      </c>
      <c r="U78" s="7">
        <f t="shared" si="409"/>
        <v>8383.9650000000056</v>
      </c>
      <c r="V78" s="7">
        <f t="shared" si="409"/>
        <v>8151.0850000000055</v>
      </c>
      <c r="W78" s="7">
        <f t="shared" si="409"/>
        <v>7918.2050000000054</v>
      </c>
      <c r="X78" s="7">
        <f t="shared" si="409"/>
        <v>7685.3250000000053</v>
      </c>
      <c r="Y78" s="7">
        <f t="shared" si="409"/>
        <v>7452.4450000000052</v>
      </c>
      <c r="Z78" s="7">
        <f t="shared" si="409"/>
        <v>7219.5650000000051</v>
      </c>
      <c r="AA78" s="7">
        <f t="shared" si="445"/>
        <v>189.57059000000007</v>
      </c>
      <c r="AB78" s="7"/>
      <c r="AC78" s="7">
        <f t="shared" si="410"/>
        <v>2794.5600000000009</v>
      </c>
      <c r="AD78" s="7">
        <f t="shared" si="411"/>
        <v>6986.6850000000049</v>
      </c>
      <c r="AE78" s="7">
        <f t="shared" si="446"/>
        <v>6753.8050000000048</v>
      </c>
      <c r="AF78" s="7">
        <f t="shared" si="446"/>
        <v>6520.9250000000047</v>
      </c>
      <c r="AG78" s="7">
        <f t="shared" si="446"/>
        <v>6288.0450000000046</v>
      </c>
      <c r="AH78" s="7">
        <f t="shared" si="446"/>
        <v>6055.1650000000045</v>
      </c>
      <c r="AI78" s="7">
        <f t="shared" si="446"/>
        <v>5822.2850000000044</v>
      </c>
      <c r="AJ78" s="7">
        <f t="shared" si="446"/>
        <v>5589.4050000000043</v>
      </c>
      <c r="AK78" s="7">
        <f t="shared" si="446"/>
        <v>5356.5250000000042</v>
      </c>
      <c r="AL78" s="7">
        <f t="shared" si="446"/>
        <v>5123.6450000000041</v>
      </c>
      <c r="AM78" s="7">
        <f t="shared" si="446"/>
        <v>4890.765000000004</v>
      </c>
      <c r="AN78" s="7">
        <f t="shared" si="446"/>
        <v>4657.8850000000039</v>
      </c>
      <c r="AO78" s="7">
        <f t="shared" si="446"/>
        <v>4425.0050000000037</v>
      </c>
      <c r="AP78" s="222">
        <f t="shared" si="447"/>
        <v>128.09027000000009</v>
      </c>
      <c r="AQ78" s="7">
        <v>232.88000000000008</v>
      </c>
      <c r="AR78" s="7">
        <f t="shared" si="412"/>
        <v>232.88000000000011</v>
      </c>
      <c r="AS78" s="7">
        <f t="shared" si="413"/>
        <v>0</v>
      </c>
      <c r="AT78" s="7">
        <f t="shared" si="448"/>
        <v>2794.5600000000009</v>
      </c>
      <c r="AU78" s="7">
        <f t="shared" si="449"/>
        <v>4192.1250000000036</v>
      </c>
      <c r="AV78" s="7">
        <f t="shared" si="450"/>
        <v>3959.2450000000035</v>
      </c>
      <c r="AW78" s="7">
        <f t="shared" si="450"/>
        <v>3726.3650000000034</v>
      </c>
      <c r="AX78" s="7">
        <f t="shared" si="450"/>
        <v>3493.4850000000033</v>
      </c>
      <c r="AY78" s="7">
        <f t="shared" si="450"/>
        <v>3260.6050000000032</v>
      </c>
      <c r="AZ78" s="7">
        <f t="shared" si="450"/>
        <v>3027.7250000000031</v>
      </c>
      <c r="BA78" s="7">
        <f t="shared" si="450"/>
        <v>2794.845000000003</v>
      </c>
      <c r="BB78" s="7">
        <f t="shared" si="450"/>
        <v>2561.9650000000029</v>
      </c>
      <c r="BC78" s="7">
        <f t="shared" si="450"/>
        <v>2329.0850000000028</v>
      </c>
      <c r="BD78" s="7">
        <f t="shared" si="450"/>
        <v>2096.2050000000027</v>
      </c>
      <c r="BE78" s="7">
        <f t="shared" si="450"/>
        <v>1863.3250000000025</v>
      </c>
      <c r="BF78" s="7">
        <f t="shared" si="450"/>
        <v>1630.4450000000024</v>
      </c>
      <c r="BG78" s="236">
        <f t="shared" si="407"/>
        <v>66.609950000000069</v>
      </c>
      <c r="BH78" s="7">
        <v>232.88000000000008</v>
      </c>
      <c r="BI78" s="39">
        <v>1630.45</v>
      </c>
      <c r="BJ78" s="7">
        <f t="shared" si="451"/>
        <v>1397.5650000000023</v>
      </c>
      <c r="BK78" s="7">
        <f t="shared" si="452"/>
        <v>1164.6850000000022</v>
      </c>
      <c r="BL78" s="7">
        <f t="shared" si="453"/>
        <v>931.80500000000211</v>
      </c>
      <c r="BM78" s="7">
        <f t="shared" si="454"/>
        <v>698.925000000002</v>
      </c>
      <c r="BN78" s="7">
        <f t="shared" si="455"/>
        <v>466.04500000000189</v>
      </c>
      <c r="BO78" s="7">
        <f t="shared" si="456"/>
        <v>233.16500000000181</v>
      </c>
      <c r="BP78" s="7">
        <f t="shared" si="457"/>
        <v>0.28500000000173031</v>
      </c>
      <c r="BQ78" s="7"/>
      <c r="BR78" s="7"/>
      <c r="BS78" s="7"/>
      <c r="BT78" s="7"/>
      <c r="BU78" s="7"/>
      <c r="BV78" s="236">
        <f t="shared" si="403"/>
        <v>11.03878769230772</v>
      </c>
      <c r="BW78" s="7">
        <v>232.88000000000008</v>
      </c>
      <c r="BX78" s="39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236">
        <f t="shared" si="404"/>
        <v>0</v>
      </c>
      <c r="CL78" s="7">
        <v>232.88000000000008</v>
      </c>
      <c r="CM78" s="39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236">
        <f t="shared" si="405"/>
        <v>0</v>
      </c>
    </row>
    <row r="79" spans="1:104" x14ac:dyDescent="0.2">
      <c r="A79" s="6" t="str">
        <f>'[1]2021 УГРЦТ'!A82</f>
        <v>Пункт персонала энергокомплекса</v>
      </c>
      <c r="B79" t="str">
        <f>'[1]2021 УГРЦТ'!B82</f>
        <v>000001837</v>
      </c>
      <c r="C79" t="str">
        <f>'[1]2021 УГРЦТ'!C82</f>
        <v>ПРОИЗВОДСТВО</v>
      </c>
      <c r="D79" t="str">
        <f>'[1]2021 УГРЦТ'!D82</f>
        <v>Здания</v>
      </c>
      <c r="E79" t="str">
        <f>'[1]2021 УГРЦТ'!E82</f>
        <v>30.12.2020</v>
      </c>
      <c r="F79" t="str">
        <f>'[1]2021 УГРЦТ'!F82</f>
        <v>ДЭС п.Красное</v>
      </c>
      <c r="G79">
        <f>'[1]2021 УГРЦТ'!AC82</f>
        <v>240</v>
      </c>
      <c r="H79" s="7">
        <f>'[1]2021 УГРЦТ'!X82</f>
        <v>2322997.36</v>
      </c>
      <c r="I79" s="7">
        <f>'[1]2021 УГРЦТ'!Y82</f>
        <v>116149.86799999996</v>
      </c>
      <c r="J79" s="7">
        <f>'[1]2021 УГРЦТ'!Z82</f>
        <v>2206847.4920000001</v>
      </c>
      <c r="K79" s="8">
        <v>1</v>
      </c>
      <c r="L79" s="7">
        <v>9679.1600000000017</v>
      </c>
      <c r="M79" s="7"/>
      <c r="N79" s="7">
        <f t="shared" si="406"/>
        <v>116149.92000000001</v>
      </c>
      <c r="O79" s="7">
        <f t="shared" si="408"/>
        <v>2197168.3319999999</v>
      </c>
      <c r="P79" s="7">
        <f t="shared" si="409"/>
        <v>2187489.1719999998</v>
      </c>
      <c r="Q79" s="7">
        <f t="shared" si="409"/>
        <v>2177810.0119999996</v>
      </c>
      <c r="R79" s="7">
        <f t="shared" si="409"/>
        <v>2168130.8519999995</v>
      </c>
      <c r="S79" s="7">
        <f t="shared" si="409"/>
        <v>2158451.6919999993</v>
      </c>
      <c r="T79" s="7">
        <f t="shared" si="409"/>
        <v>2148772.5319999992</v>
      </c>
      <c r="U79" s="7">
        <f t="shared" si="409"/>
        <v>2139093.371999999</v>
      </c>
      <c r="V79" s="7">
        <f t="shared" si="409"/>
        <v>2129414.2119999989</v>
      </c>
      <c r="W79" s="7">
        <f t="shared" si="409"/>
        <v>2119735.0519999987</v>
      </c>
      <c r="X79" s="7">
        <f t="shared" si="409"/>
        <v>2110055.8919999986</v>
      </c>
      <c r="Y79" s="7">
        <f t="shared" si="409"/>
        <v>2100376.7319999984</v>
      </c>
      <c r="Z79" s="7">
        <f t="shared" si="409"/>
        <v>2090697.5719999985</v>
      </c>
      <c r="AA79" s="7">
        <f t="shared" si="445"/>
        <v>47272.995703999972</v>
      </c>
      <c r="AB79" s="7"/>
      <c r="AC79" s="7">
        <f t="shared" si="410"/>
        <v>116149.92000000001</v>
      </c>
      <c r="AD79" s="7">
        <f t="shared" si="411"/>
        <v>2081018.4119999986</v>
      </c>
      <c r="AE79" s="7">
        <f t="shared" si="446"/>
        <v>2071339.2519999987</v>
      </c>
      <c r="AF79" s="7">
        <f t="shared" si="446"/>
        <v>2061660.0919999988</v>
      </c>
      <c r="AG79" s="7">
        <f t="shared" si="446"/>
        <v>2051980.9319999989</v>
      </c>
      <c r="AH79" s="7">
        <f t="shared" si="446"/>
        <v>2042301.7719999989</v>
      </c>
      <c r="AI79" s="7">
        <f t="shared" si="446"/>
        <v>2032622.611999999</v>
      </c>
      <c r="AJ79" s="7">
        <f t="shared" si="446"/>
        <v>2022943.4519999991</v>
      </c>
      <c r="AK79" s="7">
        <f t="shared" si="446"/>
        <v>2013264.2919999992</v>
      </c>
      <c r="AL79" s="7">
        <f t="shared" si="446"/>
        <v>2003585.1319999993</v>
      </c>
      <c r="AM79" s="7">
        <f t="shared" si="446"/>
        <v>1993905.9719999994</v>
      </c>
      <c r="AN79" s="7">
        <f t="shared" si="446"/>
        <v>1984226.8119999995</v>
      </c>
      <c r="AO79" s="7">
        <f t="shared" si="446"/>
        <v>1974547.6519999995</v>
      </c>
      <c r="AP79" s="222">
        <f t="shared" si="447"/>
        <v>44717.697463999968</v>
      </c>
      <c r="AQ79" s="7">
        <v>9679.1600000000017</v>
      </c>
      <c r="AR79" s="7">
        <f t="shared" si="412"/>
        <v>9679.1599999999162</v>
      </c>
      <c r="AS79" s="7">
        <f t="shared" si="413"/>
        <v>-8.5492501966655254E-11</v>
      </c>
      <c r="AT79" s="7">
        <f t="shared" si="448"/>
        <v>116149.92000000001</v>
      </c>
      <c r="AU79" s="7">
        <f t="shared" si="449"/>
        <v>1964868.4919999996</v>
      </c>
      <c r="AV79" s="7">
        <f t="shared" si="450"/>
        <v>1955189.3319999997</v>
      </c>
      <c r="AW79" s="7">
        <f t="shared" si="450"/>
        <v>1945510.1719999998</v>
      </c>
      <c r="AX79" s="7">
        <f t="shared" si="450"/>
        <v>1935831.0119999999</v>
      </c>
      <c r="AY79" s="7">
        <f t="shared" si="450"/>
        <v>1926151.852</v>
      </c>
      <c r="AZ79" s="7">
        <f t="shared" si="450"/>
        <v>1916472.692</v>
      </c>
      <c r="BA79" s="7">
        <f t="shared" si="450"/>
        <v>1906793.5320000001</v>
      </c>
      <c r="BB79" s="7">
        <f t="shared" si="450"/>
        <v>1897114.3720000002</v>
      </c>
      <c r="BC79" s="7">
        <f t="shared" si="450"/>
        <v>1887435.2120000003</v>
      </c>
      <c r="BD79" s="7">
        <f t="shared" si="450"/>
        <v>1877756.0520000004</v>
      </c>
      <c r="BE79" s="7">
        <f t="shared" si="450"/>
        <v>1868076.8920000005</v>
      </c>
      <c r="BF79" s="7">
        <f t="shared" si="450"/>
        <v>1858397.7320000005</v>
      </c>
      <c r="BG79" s="236">
        <f t="shared" si="407"/>
        <v>42162.399224000001</v>
      </c>
      <c r="BH79" s="7">
        <v>9679.1600000000017</v>
      </c>
      <c r="BI79" s="39">
        <f t="shared" ref="BI79:BI92" si="485">BH79*12</f>
        <v>116149.92000000001</v>
      </c>
      <c r="BJ79" s="7">
        <f t="shared" si="451"/>
        <v>1848718.5720000006</v>
      </c>
      <c r="BK79" s="7">
        <f t="shared" si="452"/>
        <v>1839039.4120000007</v>
      </c>
      <c r="BL79" s="7">
        <f t="shared" si="453"/>
        <v>1829360.2520000008</v>
      </c>
      <c r="BM79" s="7">
        <f t="shared" si="454"/>
        <v>1819681.0920000009</v>
      </c>
      <c r="BN79" s="7">
        <f t="shared" si="455"/>
        <v>1810001.932000001</v>
      </c>
      <c r="BO79" s="7">
        <f t="shared" si="456"/>
        <v>1800322.772000001</v>
      </c>
      <c r="BP79" s="7">
        <f t="shared" si="457"/>
        <v>1790643.6120000011</v>
      </c>
      <c r="BQ79" s="7">
        <f t="shared" si="458"/>
        <v>1780964.4520000012</v>
      </c>
      <c r="BR79" s="7">
        <f t="shared" si="459"/>
        <v>1771285.2920000013</v>
      </c>
      <c r="BS79" s="7">
        <f t="shared" si="460"/>
        <v>1761606.1320000014</v>
      </c>
      <c r="BT79" s="7">
        <f t="shared" si="461"/>
        <v>1751926.9720000015</v>
      </c>
      <c r="BU79" s="7">
        <f t="shared" si="462"/>
        <v>1742247.8120000015</v>
      </c>
      <c r="BV79" s="236">
        <f t="shared" si="403"/>
        <v>39607.100984000026</v>
      </c>
      <c r="BW79" s="7">
        <v>9679.1600000000017</v>
      </c>
      <c r="BX79" s="39">
        <f t="shared" ref="BX79:BX92" si="486">BW79*12</f>
        <v>116149.92000000001</v>
      </c>
      <c r="BY79" s="7">
        <f t="shared" ref="BY79:BY92" si="487">BU79-BW79</f>
        <v>1732568.6520000016</v>
      </c>
      <c r="BZ79" s="7">
        <f t="shared" si="463"/>
        <v>1722889.4920000017</v>
      </c>
      <c r="CA79" s="7">
        <f t="shared" si="464"/>
        <v>1713210.3320000018</v>
      </c>
      <c r="CB79" s="7">
        <f t="shared" si="465"/>
        <v>1703531.1720000019</v>
      </c>
      <c r="CC79" s="7">
        <f t="shared" si="466"/>
        <v>1693852.012000002</v>
      </c>
      <c r="CD79" s="7">
        <f t="shared" si="467"/>
        <v>1684172.8520000021</v>
      </c>
      <c r="CE79" s="7">
        <f t="shared" si="468"/>
        <v>1674493.6920000021</v>
      </c>
      <c r="CF79" s="7">
        <f t="shared" ref="CF79:CF92" si="488">CE79-$L79</f>
        <v>1664814.5320000022</v>
      </c>
      <c r="CG79" s="7">
        <f t="shared" ref="CG79:CG92" si="489">CF79-$L79</f>
        <v>1655135.3720000023</v>
      </c>
      <c r="CH79" s="7">
        <f t="shared" ref="CH79:CH92" si="490">CG79-$L79</f>
        <v>1645456.2120000024</v>
      </c>
      <c r="CI79" s="7">
        <f t="shared" ref="CI79:CI92" si="491">CH79-$L79</f>
        <v>1635777.0520000025</v>
      </c>
      <c r="CJ79" s="7">
        <f t="shared" ref="CJ79:CJ92" si="492">CI79-$L79</f>
        <v>1626097.8920000026</v>
      </c>
      <c r="CK79" s="236">
        <f t="shared" si="404"/>
        <v>37051.802744000037</v>
      </c>
      <c r="CL79" s="7">
        <v>9679.1600000000017</v>
      </c>
      <c r="CM79" s="39">
        <f t="shared" ref="CM79:CM92" si="493">CL79*12</f>
        <v>116149.92000000001</v>
      </c>
      <c r="CN79" s="7">
        <f t="shared" ref="CN79:CN92" si="494">CJ79-CL79</f>
        <v>1616418.7320000026</v>
      </c>
      <c r="CO79" s="7">
        <f t="shared" ref="CO79:CO92" si="495">CN79-$L79</f>
        <v>1606739.5720000027</v>
      </c>
      <c r="CP79" s="7">
        <f t="shared" ref="CP79:CP92" si="496">CO79-$L79</f>
        <v>1597060.4120000028</v>
      </c>
      <c r="CQ79" s="7">
        <f t="shared" ref="CQ79:CQ92" si="497">CP79-$L79</f>
        <v>1587381.2520000029</v>
      </c>
      <c r="CR79" s="7">
        <f t="shared" ref="CR79:CR92" si="498">CQ79-$L79</f>
        <v>1577702.092000003</v>
      </c>
      <c r="CS79" s="7">
        <f t="shared" ref="CS79:CS92" si="499">CR79-$L79</f>
        <v>1568022.9320000031</v>
      </c>
      <c r="CT79" s="7">
        <f t="shared" ref="CT79:CT92" si="500">CS79-$L79</f>
        <v>1558343.7720000031</v>
      </c>
      <c r="CU79" s="7">
        <f t="shared" ref="CU79:CU92" si="501">CT79-$L79</f>
        <v>1548664.6120000032</v>
      </c>
      <c r="CV79" s="7">
        <f t="shared" ref="CV79:CV92" si="502">CU79-$L79</f>
        <v>1538985.4520000033</v>
      </c>
      <c r="CW79" s="7">
        <f t="shared" ref="CW79:CW92" si="503">CV79-$L79</f>
        <v>1529306.2920000034</v>
      </c>
      <c r="CX79" s="7">
        <f t="shared" ref="CX79:CX92" si="504">CW79-$L79</f>
        <v>1519627.1320000035</v>
      </c>
      <c r="CY79" s="7">
        <f t="shared" ref="CY79:CY92" si="505">CX79-$L79</f>
        <v>1509947.9720000036</v>
      </c>
      <c r="CZ79" s="236">
        <f t="shared" si="405"/>
        <v>34496.504504000062</v>
      </c>
    </row>
    <row r="80" spans="1:104" s="180" customFormat="1" x14ac:dyDescent="0.2">
      <c r="A80" s="179" t="str">
        <f>'[1]2021 УГРЦТ'!A83</f>
        <v>Пункт учета газа  1983г.</v>
      </c>
      <c r="B80" s="180" t="str">
        <f>'[1]2021 УГРЦТ'!B83</f>
        <v>00000075</v>
      </c>
      <c r="C80" s="180" t="str">
        <f>'[1]2021 УГРЦТ'!C83</f>
        <v>ПРОИЗВОДСТВО</v>
      </c>
      <c r="D80" s="180" t="str">
        <f>'[1]2021 УГРЦТ'!D83</f>
        <v>Здания</v>
      </c>
      <c r="E80" s="180" t="str">
        <f>'[1]2021 УГРЦТ'!E83</f>
        <v>01.01.1983</v>
      </c>
      <c r="F80" s="180" t="str">
        <f>'[1]2021 УГРЦТ'!F83</f>
        <v>Газотурбинный цех</v>
      </c>
      <c r="G80" s="180">
        <f>'[1]2021 УГРЦТ'!AC83</f>
        <v>708</v>
      </c>
      <c r="H80" s="181">
        <f>'[1]2021 УГРЦТ'!X83</f>
        <v>182797.25</v>
      </c>
      <c r="I80" s="181">
        <f>'[1]2021 УГРЦТ'!Y83</f>
        <v>50163.42689265537</v>
      </c>
      <c r="J80" s="181">
        <f>'[1]2021 УГРЦТ'!Z83</f>
        <v>132633.82310734462</v>
      </c>
      <c r="K80" s="182">
        <v>1</v>
      </c>
      <c r="L80" s="181">
        <v>550.35</v>
      </c>
      <c r="M80" s="181"/>
      <c r="N80" s="181">
        <f>L80*12</f>
        <v>6604.2000000000007</v>
      </c>
      <c r="O80" s="7">
        <f t="shared" si="408"/>
        <v>132083.47310734462</v>
      </c>
      <c r="P80" s="7">
        <f t="shared" si="409"/>
        <v>131533.12310734461</v>
      </c>
      <c r="Q80" s="7">
        <f t="shared" si="409"/>
        <v>130982.7731073446</v>
      </c>
      <c r="R80" s="7">
        <f t="shared" si="409"/>
        <v>130432.4231073446</v>
      </c>
      <c r="S80" s="7">
        <f t="shared" si="409"/>
        <v>129882.07310734459</v>
      </c>
      <c r="T80" s="7">
        <f t="shared" si="409"/>
        <v>129331.72310734459</v>
      </c>
      <c r="U80" s="7">
        <f t="shared" si="409"/>
        <v>128781.37310734458</v>
      </c>
      <c r="V80" s="7">
        <f t="shared" si="409"/>
        <v>128231.02310734458</v>
      </c>
      <c r="W80" s="7">
        <f t="shared" si="409"/>
        <v>127680.67310734457</v>
      </c>
      <c r="X80" s="7">
        <f t="shared" si="409"/>
        <v>127130.32310734456</v>
      </c>
      <c r="Y80" s="7">
        <f t="shared" si="409"/>
        <v>126579.97310734456</v>
      </c>
      <c r="Z80" s="7">
        <f t="shared" si="409"/>
        <v>126029.62310734455</v>
      </c>
      <c r="AA80" s="7">
        <f t="shared" si="445"/>
        <v>2845.297908361581</v>
      </c>
      <c r="AB80" s="7"/>
      <c r="AC80" s="7">
        <f t="shared" si="410"/>
        <v>6604.2000000000007</v>
      </c>
      <c r="AD80" s="7">
        <f t="shared" si="411"/>
        <v>125479.27310734455</v>
      </c>
      <c r="AE80" s="7">
        <f t="shared" si="446"/>
        <v>124928.92310734454</v>
      </c>
      <c r="AF80" s="7">
        <f t="shared" si="446"/>
        <v>124378.57310734453</v>
      </c>
      <c r="AG80" s="7">
        <f t="shared" si="446"/>
        <v>123828.22310734453</v>
      </c>
      <c r="AH80" s="7">
        <f t="shared" si="446"/>
        <v>123277.87310734452</v>
      </c>
      <c r="AI80" s="7">
        <f t="shared" si="446"/>
        <v>122727.52310734452</v>
      </c>
      <c r="AJ80" s="7">
        <f t="shared" si="446"/>
        <v>122177.17310734451</v>
      </c>
      <c r="AK80" s="7">
        <f t="shared" si="446"/>
        <v>121626.82310734451</v>
      </c>
      <c r="AL80" s="7">
        <f t="shared" si="446"/>
        <v>121076.4731073445</v>
      </c>
      <c r="AM80" s="7">
        <f t="shared" si="446"/>
        <v>120526.12310734449</v>
      </c>
      <c r="AN80" s="7">
        <f t="shared" si="446"/>
        <v>119975.77310734449</v>
      </c>
      <c r="AO80" s="7">
        <f t="shared" si="446"/>
        <v>119425.42310734448</v>
      </c>
      <c r="AP80" s="222">
        <f t="shared" si="447"/>
        <v>2700.0055083615794</v>
      </c>
      <c r="AQ80" s="7">
        <v>550.35</v>
      </c>
      <c r="AR80" s="7">
        <f t="shared" si="412"/>
        <v>550.35000000000582</v>
      </c>
      <c r="AS80" s="7">
        <f t="shared" si="413"/>
        <v>5.7980287238024175E-12</v>
      </c>
      <c r="AT80" s="7">
        <f t="shared" si="448"/>
        <v>6604.2000000000007</v>
      </c>
      <c r="AU80" s="7">
        <f t="shared" si="449"/>
        <v>118875.07310734448</v>
      </c>
      <c r="AV80" s="7">
        <f t="shared" si="450"/>
        <v>118324.72310734447</v>
      </c>
      <c r="AW80" s="7">
        <f t="shared" si="450"/>
        <v>117774.37310734447</v>
      </c>
      <c r="AX80" s="7">
        <f t="shared" si="450"/>
        <v>117224.02310734446</v>
      </c>
      <c r="AY80" s="7">
        <f t="shared" si="450"/>
        <v>116673.67310734445</v>
      </c>
      <c r="AZ80" s="7">
        <f t="shared" si="450"/>
        <v>116123.32310734445</v>
      </c>
      <c r="BA80" s="7">
        <f t="shared" si="450"/>
        <v>115572.97310734444</v>
      </c>
      <c r="BB80" s="7">
        <f t="shared" si="450"/>
        <v>115022.62310734444</v>
      </c>
      <c r="BC80" s="7">
        <f t="shared" si="450"/>
        <v>114472.27310734443</v>
      </c>
      <c r="BD80" s="7">
        <f t="shared" si="450"/>
        <v>113921.92310734442</v>
      </c>
      <c r="BE80" s="7">
        <f t="shared" si="450"/>
        <v>113371.57310734442</v>
      </c>
      <c r="BF80" s="7">
        <f t="shared" si="450"/>
        <v>112821.22310734441</v>
      </c>
      <c r="BG80" s="236">
        <f t="shared" si="407"/>
        <v>2554.7131083615782</v>
      </c>
      <c r="BH80" s="7">
        <v>550.35</v>
      </c>
      <c r="BI80" s="39">
        <f t="shared" si="485"/>
        <v>6604.2000000000007</v>
      </c>
      <c r="BJ80" s="7">
        <f t="shared" si="451"/>
        <v>112270.87310734441</v>
      </c>
      <c r="BK80" s="7">
        <f t="shared" si="452"/>
        <v>111720.5231073444</v>
      </c>
      <c r="BL80" s="7">
        <f t="shared" si="453"/>
        <v>111170.1731073444</v>
      </c>
      <c r="BM80" s="7">
        <f t="shared" si="454"/>
        <v>110619.82310734439</v>
      </c>
      <c r="BN80" s="7">
        <f t="shared" si="455"/>
        <v>110069.47310734438</v>
      </c>
      <c r="BO80" s="7">
        <f t="shared" si="456"/>
        <v>109519.12310734438</v>
      </c>
      <c r="BP80" s="7">
        <f t="shared" si="457"/>
        <v>108968.77310734437</v>
      </c>
      <c r="BQ80" s="7">
        <f t="shared" si="458"/>
        <v>108418.42310734437</v>
      </c>
      <c r="BR80" s="7">
        <f t="shared" si="459"/>
        <v>107868.07310734436</v>
      </c>
      <c r="BS80" s="7">
        <f t="shared" si="460"/>
        <v>107317.72310734435</v>
      </c>
      <c r="BT80" s="7">
        <f t="shared" si="461"/>
        <v>106767.37310734435</v>
      </c>
      <c r="BU80" s="7">
        <f t="shared" si="462"/>
        <v>106217.02310734434</v>
      </c>
      <c r="BV80" s="236">
        <f t="shared" si="403"/>
        <v>2409.4207083615761</v>
      </c>
      <c r="BW80" s="7">
        <v>550.35</v>
      </c>
      <c r="BX80" s="39">
        <f t="shared" si="486"/>
        <v>6604.2000000000007</v>
      </c>
      <c r="BY80" s="7">
        <f t="shared" si="487"/>
        <v>105666.67310734434</v>
      </c>
      <c r="BZ80" s="7">
        <f t="shared" si="463"/>
        <v>105116.32310734433</v>
      </c>
      <c r="CA80" s="7">
        <f t="shared" si="464"/>
        <v>104565.97310734433</v>
      </c>
      <c r="CB80" s="7">
        <f t="shared" si="465"/>
        <v>104015.62310734432</v>
      </c>
      <c r="CC80" s="7">
        <f t="shared" si="466"/>
        <v>103465.27310734431</v>
      </c>
      <c r="CD80" s="7">
        <f t="shared" si="467"/>
        <v>102914.92310734431</v>
      </c>
      <c r="CE80" s="7">
        <f t="shared" si="468"/>
        <v>102364.5731073443</v>
      </c>
      <c r="CF80" s="7">
        <f t="shared" si="488"/>
        <v>101814.2231073443</v>
      </c>
      <c r="CG80" s="7">
        <f t="shared" si="489"/>
        <v>101263.87310734429</v>
      </c>
      <c r="CH80" s="7">
        <f t="shared" si="490"/>
        <v>100713.52310734428</v>
      </c>
      <c r="CI80" s="7">
        <f t="shared" si="491"/>
        <v>100163.17310734428</v>
      </c>
      <c r="CJ80" s="7">
        <f t="shared" si="492"/>
        <v>99612.823107344273</v>
      </c>
      <c r="CK80" s="236">
        <f t="shared" si="404"/>
        <v>2264.1283083615749</v>
      </c>
      <c r="CL80" s="7">
        <v>550.35</v>
      </c>
      <c r="CM80" s="39">
        <f t="shared" si="493"/>
        <v>6604.2000000000007</v>
      </c>
      <c r="CN80" s="7">
        <f t="shared" si="494"/>
        <v>99062.473107344267</v>
      </c>
      <c r="CO80" s="7">
        <f t="shared" si="495"/>
        <v>98512.123107344261</v>
      </c>
      <c r="CP80" s="7">
        <f t="shared" si="496"/>
        <v>97961.773107344256</v>
      </c>
      <c r="CQ80" s="7">
        <f t="shared" si="497"/>
        <v>97411.42310734425</v>
      </c>
      <c r="CR80" s="7">
        <f t="shared" si="498"/>
        <v>96861.073107344244</v>
      </c>
      <c r="CS80" s="7">
        <f t="shared" si="499"/>
        <v>96310.723107344238</v>
      </c>
      <c r="CT80" s="7">
        <f t="shared" si="500"/>
        <v>95760.373107344232</v>
      </c>
      <c r="CU80" s="7">
        <f t="shared" si="501"/>
        <v>95210.023107344226</v>
      </c>
      <c r="CV80" s="7">
        <f t="shared" si="502"/>
        <v>94659.673107344221</v>
      </c>
      <c r="CW80" s="7">
        <f t="shared" si="503"/>
        <v>94109.323107344215</v>
      </c>
      <c r="CX80" s="7">
        <f t="shared" si="504"/>
        <v>93558.973107344209</v>
      </c>
      <c r="CY80" s="7">
        <f t="shared" si="505"/>
        <v>93008.623107344203</v>
      </c>
      <c r="CZ80" s="236">
        <f t="shared" si="405"/>
        <v>2118.8359083615733</v>
      </c>
    </row>
    <row r="81" spans="1:104" x14ac:dyDescent="0.2">
      <c r="A81" s="6" t="str">
        <f>'[1]2021 УГРЦТ'!A84</f>
        <v>Распределительный .шкаф РШ-1 (ДГ №1)</v>
      </c>
      <c r="B81" t="str">
        <f>'[1]2021 УГРЦТ'!B84</f>
        <v>000001600</v>
      </c>
      <c r="C81" t="str">
        <f>'[1]2021 УГРЦТ'!C84</f>
        <v>ПРОИЗВОДСТВО</v>
      </c>
      <c r="D81" t="str">
        <f>'[1]2021 УГРЦТ'!D84</f>
        <v>Машины и оборудование (кроме офисного)</v>
      </c>
      <c r="E81" t="str">
        <f>'[1]2021 УГРЦТ'!E84</f>
        <v>31.12.2013</v>
      </c>
      <c r="F81" t="str">
        <f>'[1]2021 УГРЦТ'!F84</f>
        <v>Электрический цех</v>
      </c>
      <c r="G81">
        <f>'[1]2021 УГРЦТ'!AC84</f>
        <v>180</v>
      </c>
      <c r="H81" s="7">
        <f>'[1]2021 УГРЦТ'!X84</f>
        <v>145652.98000000001</v>
      </c>
      <c r="I81" s="7">
        <f>'[1]2021 УГРЦТ'!Y84</f>
        <v>77681.318666666659</v>
      </c>
      <c r="J81" s="7">
        <f>'[1]2021 УГРЦТ'!Z84</f>
        <v>67971.661333333352</v>
      </c>
      <c r="K81" s="8">
        <v>0</v>
      </c>
      <c r="L81" s="7">
        <v>809.19</v>
      </c>
      <c r="M81" s="7"/>
      <c r="N81" s="7">
        <f t="shared" si="406"/>
        <v>9710.2800000000007</v>
      </c>
      <c r="O81" s="7">
        <f t="shared" si="408"/>
        <v>67162.471333333349</v>
      </c>
      <c r="P81" s="7">
        <f t="shared" si="409"/>
        <v>66353.281333333347</v>
      </c>
      <c r="Q81" s="7">
        <f t="shared" si="409"/>
        <v>65544.091333333345</v>
      </c>
      <c r="R81" s="7">
        <f t="shared" si="409"/>
        <v>64734.901333333342</v>
      </c>
      <c r="S81" s="7">
        <f t="shared" si="409"/>
        <v>63925.71133333334</v>
      </c>
      <c r="T81" s="7">
        <f t="shared" si="409"/>
        <v>63116.521333333338</v>
      </c>
      <c r="U81" s="7">
        <f t="shared" si="409"/>
        <v>62307.331333333335</v>
      </c>
      <c r="V81" s="7">
        <f t="shared" si="409"/>
        <v>61498.141333333333</v>
      </c>
      <c r="W81" s="7">
        <f t="shared" si="409"/>
        <v>60688.951333333331</v>
      </c>
      <c r="X81" s="7">
        <f t="shared" si="409"/>
        <v>59879.761333333328</v>
      </c>
      <c r="Y81" s="7">
        <f t="shared" si="409"/>
        <v>59070.571333333326</v>
      </c>
      <c r="Z81" s="7">
        <f t="shared" si="409"/>
        <v>58261.381333333324</v>
      </c>
      <c r="AA81" s="7"/>
      <c r="AB81" s="7"/>
      <c r="AC81" s="7">
        <f t="shared" si="410"/>
        <v>9710.2800000000007</v>
      </c>
      <c r="AD81" s="7">
        <f t="shared" si="411"/>
        <v>57452.191333333321</v>
      </c>
      <c r="AE81" s="7">
        <f t="shared" si="446"/>
        <v>56643.001333333319</v>
      </c>
      <c r="AF81" s="7">
        <f t="shared" si="446"/>
        <v>55833.811333333317</v>
      </c>
      <c r="AG81" s="7">
        <f t="shared" si="446"/>
        <v>55024.621333333314</v>
      </c>
      <c r="AH81" s="7">
        <f t="shared" si="446"/>
        <v>54215.431333333312</v>
      </c>
      <c r="AI81" s="7">
        <f t="shared" si="446"/>
        <v>53406.24133333331</v>
      </c>
      <c r="AJ81" s="7">
        <f t="shared" si="446"/>
        <v>52597.051333333307</v>
      </c>
      <c r="AK81" s="7">
        <f t="shared" si="446"/>
        <v>51787.861333333305</v>
      </c>
      <c r="AL81" s="7">
        <f t="shared" si="446"/>
        <v>50978.671333333303</v>
      </c>
      <c r="AM81" s="7">
        <f t="shared" si="446"/>
        <v>50169.4813333333</v>
      </c>
      <c r="AN81" s="7">
        <f t="shared" si="446"/>
        <v>49360.291333333298</v>
      </c>
      <c r="AO81" s="7">
        <f t="shared" si="446"/>
        <v>48551.101333333296</v>
      </c>
      <c r="AP81" s="222"/>
      <c r="AQ81" s="7">
        <v>809.19</v>
      </c>
      <c r="AR81" s="7">
        <f t="shared" si="412"/>
        <v>809.19000000000233</v>
      </c>
      <c r="AS81" s="7">
        <f t="shared" si="413"/>
        <v>2.2737367544323206E-12</v>
      </c>
      <c r="AT81" s="7">
        <f t="shared" si="448"/>
        <v>9710.2800000000007</v>
      </c>
      <c r="AU81" s="7">
        <f t="shared" si="449"/>
        <v>47741.911333333293</v>
      </c>
      <c r="AV81" s="7">
        <f t="shared" si="450"/>
        <v>46932.721333333291</v>
      </c>
      <c r="AW81" s="7">
        <f t="shared" si="450"/>
        <v>46123.531333333289</v>
      </c>
      <c r="AX81" s="7">
        <f t="shared" si="450"/>
        <v>45314.341333333286</v>
      </c>
      <c r="AY81" s="7">
        <f t="shared" si="450"/>
        <v>44505.151333333284</v>
      </c>
      <c r="AZ81" s="7">
        <f t="shared" si="450"/>
        <v>43695.961333333282</v>
      </c>
      <c r="BA81" s="7">
        <f t="shared" si="450"/>
        <v>42886.771333333279</v>
      </c>
      <c r="BB81" s="7">
        <f t="shared" si="450"/>
        <v>42077.581333333277</v>
      </c>
      <c r="BC81" s="7">
        <f t="shared" si="450"/>
        <v>41268.391333333275</v>
      </c>
      <c r="BD81" s="7">
        <f t="shared" si="450"/>
        <v>40459.201333333272</v>
      </c>
      <c r="BE81" s="7">
        <f t="shared" si="450"/>
        <v>39650.01133333327</v>
      </c>
      <c r="BF81" s="7">
        <f t="shared" si="450"/>
        <v>38840.821333333268</v>
      </c>
      <c r="BG81" s="236">
        <f t="shared" si="407"/>
        <v>0</v>
      </c>
      <c r="BH81" s="7">
        <v>809.19</v>
      </c>
      <c r="BI81" s="39">
        <f t="shared" si="485"/>
        <v>9710.2800000000007</v>
      </c>
      <c r="BJ81" s="7">
        <f t="shared" si="451"/>
        <v>38031.631333333266</v>
      </c>
      <c r="BK81" s="7">
        <f t="shared" si="452"/>
        <v>37222.441333333263</v>
      </c>
      <c r="BL81" s="7">
        <f t="shared" si="453"/>
        <v>36413.251333333261</v>
      </c>
      <c r="BM81" s="7">
        <f t="shared" si="454"/>
        <v>35604.061333333259</v>
      </c>
      <c r="BN81" s="7">
        <f t="shared" si="455"/>
        <v>34794.871333333256</v>
      </c>
      <c r="BO81" s="7">
        <f t="shared" si="456"/>
        <v>33985.681333333254</v>
      </c>
      <c r="BP81" s="7">
        <f t="shared" si="457"/>
        <v>33176.491333333252</v>
      </c>
      <c r="BQ81" s="7">
        <f t="shared" si="458"/>
        <v>32367.301333333253</v>
      </c>
      <c r="BR81" s="7">
        <f t="shared" si="459"/>
        <v>31558.111333333254</v>
      </c>
      <c r="BS81" s="7">
        <f t="shared" si="460"/>
        <v>30748.921333333255</v>
      </c>
      <c r="BT81" s="7">
        <f t="shared" si="461"/>
        <v>29939.731333333257</v>
      </c>
      <c r="BU81" s="7">
        <f t="shared" si="462"/>
        <v>29130.541333333258</v>
      </c>
      <c r="BV81" s="236">
        <v>0</v>
      </c>
      <c r="BW81" s="7">
        <v>809.19</v>
      </c>
      <c r="BX81" s="39">
        <f t="shared" si="486"/>
        <v>9710.2800000000007</v>
      </c>
      <c r="BY81" s="7">
        <f t="shared" si="487"/>
        <v>28321.351333333259</v>
      </c>
      <c r="BZ81" s="7">
        <f t="shared" si="463"/>
        <v>27512.161333333261</v>
      </c>
      <c r="CA81" s="7">
        <f t="shared" si="464"/>
        <v>26702.971333333262</v>
      </c>
      <c r="CB81" s="7">
        <f t="shared" si="465"/>
        <v>25893.781333333263</v>
      </c>
      <c r="CC81" s="7">
        <f t="shared" si="466"/>
        <v>25084.591333333265</v>
      </c>
      <c r="CD81" s="7">
        <f t="shared" si="467"/>
        <v>24275.401333333266</v>
      </c>
      <c r="CE81" s="7">
        <f t="shared" si="468"/>
        <v>23466.211333333267</v>
      </c>
      <c r="CF81" s="7">
        <f t="shared" si="488"/>
        <v>22657.021333333269</v>
      </c>
      <c r="CG81" s="7">
        <f t="shared" si="489"/>
        <v>21847.83133333327</v>
      </c>
      <c r="CH81" s="7">
        <f t="shared" si="490"/>
        <v>21038.641333333271</v>
      </c>
      <c r="CI81" s="7">
        <f t="shared" si="491"/>
        <v>20229.451333333272</v>
      </c>
      <c r="CJ81" s="7">
        <f t="shared" si="492"/>
        <v>19420.261333333274</v>
      </c>
      <c r="CK81" s="236">
        <v>0</v>
      </c>
      <c r="CL81" s="7">
        <v>809.19</v>
      </c>
      <c r="CM81" s="39">
        <f t="shared" si="493"/>
        <v>9710.2800000000007</v>
      </c>
      <c r="CN81" s="7">
        <f t="shared" si="494"/>
        <v>18611.071333333275</v>
      </c>
      <c r="CO81" s="7">
        <f t="shared" si="495"/>
        <v>17801.881333333276</v>
      </c>
      <c r="CP81" s="7">
        <f t="shared" si="496"/>
        <v>16992.691333333278</v>
      </c>
      <c r="CQ81" s="7">
        <f t="shared" si="497"/>
        <v>16183.501333333277</v>
      </c>
      <c r="CR81" s="7">
        <f t="shared" si="498"/>
        <v>15374.311333333277</v>
      </c>
      <c r="CS81" s="7">
        <f t="shared" si="499"/>
        <v>14565.121333333276</v>
      </c>
      <c r="CT81" s="7">
        <f t="shared" si="500"/>
        <v>13755.931333333276</v>
      </c>
      <c r="CU81" s="7">
        <f t="shared" si="501"/>
        <v>12946.741333333275</v>
      </c>
      <c r="CV81" s="7">
        <f t="shared" si="502"/>
        <v>12137.551333333275</v>
      </c>
      <c r="CW81" s="7">
        <f t="shared" si="503"/>
        <v>11328.361333333274</v>
      </c>
      <c r="CX81" s="7">
        <f t="shared" si="504"/>
        <v>10519.171333333274</v>
      </c>
      <c r="CY81" s="7">
        <f t="shared" si="505"/>
        <v>9709.9813333332731</v>
      </c>
      <c r="CZ81" s="236">
        <v>0</v>
      </c>
    </row>
    <row r="82" spans="1:104" x14ac:dyDescent="0.2">
      <c r="A82" s="6" t="str">
        <f>'[1]2021 УГРЦТ'!A85</f>
        <v>Распределительный шкаф (Токоприемники ДГ №4)</v>
      </c>
      <c r="B82" t="str">
        <f>'[1]2021 УГРЦТ'!B85</f>
        <v>000001605</v>
      </c>
      <c r="C82" t="str">
        <f>'[1]2021 УГРЦТ'!C85</f>
        <v>ПРОИЗВОДСТВО</v>
      </c>
      <c r="D82" t="str">
        <f>'[1]2021 УГРЦТ'!D85</f>
        <v>Машины и оборудование (кроме офисного)</v>
      </c>
      <c r="E82" t="str">
        <f>'[1]2021 УГРЦТ'!E85</f>
        <v>31.12.2013</v>
      </c>
      <c r="F82" t="str">
        <f>'[1]2021 УГРЦТ'!F85</f>
        <v>Электрический цех</v>
      </c>
      <c r="G82">
        <f>'[1]2021 УГРЦТ'!AC85</f>
        <v>180</v>
      </c>
      <c r="H82" s="7">
        <f>'[1]2021 УГРЦТ'!X85</f>
        <v>145652.98000000001</v>
      </c>
      <c r="I82" s="7">
        <f>'[1]2021 УГРЦТ'!Y85</f>
        <v>77681.318666666659</v>
      </c>
      <c r="J82" s="7">
        <f>'[1]2021 УГРЦТ'!Z85</f>
        <v>67971.661333333352</v>
      </c>
      <c r="K82" s="8">
        <v>0</v>
      </c>
      <c r="L82" s="7">
        <v>809.19</v>
      </c>
      <c r="M82" s="7"/>
      <c r="N82" s="7">
        <f t="shared" si="406"/>
        <v>9710.2800000000007</v>
      </c>
      <c r="O82" s="7">
        <f t="shared" si="408"/>
        <v>67162.471333333349</v>
      </c>
      <c r="P82" s="7">
        <f t="shared" si="409"/>
        <v>66353.281333333347</v>
      </c>
      <c r="Q82" s="7">
        <f t="shared" si="409"/>
        <v>65544.091333333345</v>
      </c>
      <c r="R82" s="7">
        <f t="shared" si="409"/>
        <v>64734.901333333342</v>
      </c>
      <c r="S82" s="7">
        <f t="shared" si="409"/>
        <v>63925.71133333334</v>
      </c>
      <c r="T82" s="7">
        <f t="shared" si="409"/>
        <v>63116.521333333338</v>
      </c>
      <c r="U82" s="7">
        <f t="shared" si="409"/>
        <v>62307.331333333335</v>
      </c>
      <c r="V82" s="7">
        <f t="shared" si="409"/>
        <v>61498.141333333333</v>
      </c>
      <c r="W82" s="7">
        <f t="shared" si="409"/>
        <v>60688.951333333331</v>
      </c>
      <c r="X82" s="7">
        <f t="shared" si="409"/>
        <v>59879.761333333328</v>
      </c>
      <c r="Y82" s="7">
        <f t="shared" si="409"/>
        <v>59070.571333333326</v>
      </c>
      <c r="Z82" s="7">
        <f t="shared" si="409"/>
        <v>58261.381333333324</v>
      </c>
      <c r="AA82" s="7"/>
      <c r="AB82" s="7"/>
      <c r="AC82" s="7">
        <f t="shared" si="410"/>
        <v>9710.2800000000007</v>
      </c>
      <c r="AD82" s="7">
        <f t="shared" si="411"/>
        <v>57452.191333333321</v>
      </c>
      <c r="AE82" s="7">
        <f t="shared" si="446"/>
        <v>56643.001333333319</v>
      </c>
      <c r="AF82" s="7">
        <f t="shared" si="446"/>
        <v>55833.811333333317</v>
      </c>
      <c r="AG82" s="7">
        <f t="shared" si="446"/>
        <v>55024.621333333314</v>
      </c>
      <c r="AH82" s="7">
        <f t="shared" si="446"/>
        <v>54215.431333333312</v>
      </c>
      <c r="AI82" s="7">
        <f t="shared" si="446"/>
        <v>53406.24133333331</v>
      </c>
      <c r="AJ82" s="7">
        <f t="shared" si="446"/>
        <v>52597.051333333307</v>
      </c>
      <c r="AK82" s="7">
        <f t="shared" si="446"/>
        <v>51787.861333333305</v>
      </c>
      <c r="AL82" s="7">
        <f t="shared" si="446"/>
        <v>50978.671333333303</v>
      </c>
      <c r="AM82" s="7">
        <f t="shared" si="446"/>
        <v>50169.4813333333</v>
      </c>
      <c r="AN82" s="7">
        <f t="shared" si="446"/>
        <v>49360.291333333298</v>
      </c>
      <c r="AO82" s="7">
        <f t="shared" si="446"/>
        <v>48551.101333333296</v>
      </c>
      <c r="AP82" s="222"/>
      <c r="AQ82" s="7">
        <v>809.19</v>
      </c>
      <c r="AR82" s="7">
        <f t="shared" si="412"/>
        <v>809.19000000000233</v>
      </c>
      <c r="AS82" s="7">
        <f t="shared" si="413"/>
        <v>2.2737367544323206E-12</v>
      </c>
      <c r="AT82" s="7">
        <f t="shared" si="448"/>
        <v>9710.2800000000007</v>
      </c>
      <c r="AU82" s="7">
        <f t="shared" si="449"/>
        <v>47741.911333333293</v>
      </c>
      <c r="AV82" s="7">
        <f t="shared" si="450"/>
        <v>46932.721333333291</v>
      </c>
      <c r="AW82" s="7">
        <f t="shared" si="450"/>
        <v>46123.531333333289</v>
      </c>
      <c r="AX82" s="7">
        <f t="shared" si="450"/>
        <v>45314.341333333286</v>
      </c>
      <c r="AY82" s="7">
        <f t="shared" si="450"/>
        <v>44505.151333333284</v>
      </c>
      <c r="AZ82" s="7">
        <f t="shared" si="450"/>
        <v>43695.961333333282</v>
      </c>
      <c r="BA82" s="7">
        <f t="shared" si="450"/>
        <v>42886.771333333279</v>
      </c>
      <c r="BB82" s="7">
        <f t="shared" si="450"/>
        <v>42077.581333333277</v>
      </c>
      <c r="BC82" s="7">
        <f t="shared" si="450"/>
        <v>41268.391333333275</v>
      </c>
      <c r="BD82" s="7">
        <f t="shared" si="450"/>
        <v>40459.201333333272</v>
      </c>
      <c r="BE82" s="7">
        <f t="shared" si="450"/>
        <v>39650.01133333327</v>
      </c>
      <c r="BF82" s="7">
        <f t="shared" si="450"/>
        <v>38840.821333333268</v>
      </c>
      <c r="BG82" s="236">
        <f t="shared" si="407"/>
        <v>0</v>
      </c>
      <c r="BH82" s="7">
        <v>809.19</v>
      </c>
      <c r="BI82" s="39">
        <f t="shared" si="485"/>
        <v>9710.2800000000007</v>
      </c>
      <c r="BJ82" s="7">
        <f t="shared" si="451"/>
        <v>38031.631333333266</v>
      </c>
      <c r="BK82" s="7">
        <f t="shared" si="452"/>
        <v>37222.441333333263</v>
      </c>
      <c r="BL82" s="7">
        <f t="shared" si="453"/>
        <v>36413.251333333261</v>
      </c>
      <c r="BM82" s="7">
        <f t="shared" si="454"/>
        <v>35604.061333333259</v>
      </c>
      <c r="BN82" s="7">
        <f t="shared" si="455"/>
        <v>34794.871333333256</v>
      </c>
      <c r="BO82" s="7">
        <f t="shared" si="456"/>
        <v>33985.681333333254</v>
      </c>
      <c r="BP82" s="7">
        <f t="shared" si="457"/>
        <v>33176.491333333252</v>
      </c>
      <c r="BQ82" s="7">
        <f t="shared" si="458"/>
        <v>32367.301333333253</v>
      </c>
      <c r="BR82" s="7">
        <f t="shared" si="459"/>
        <v>31558.111333333254</v>
      </c>
      <c r="BS82" s="7">
        <f t="shared" si="460"/>
        <v>30748.921333333255</v>
      </c>
      <c r="BT82" s="7">
        <f t="shared" si="461"/>
        <v>29939.731333333257</v>
      </c>
      <c r="BU82" s="7">
        <f t="shared" si="462"/>
        <v>29130.541333333258</v>
      </c>
      <c r="BV82" s="236">
        <v>0</v>
      </c>
      <c r="BW82" s="7">
        <v>809.19</v>
      </c>
      <c r="BX82" s="39">
        <f t="shared" si="486"/>
        <v>9710.2800000000007</v>
      </c>
      <c r="BY82" s="7">
        <f t="shared" si="487"/>
        <v>28321.351333333259</v>
      </c>
      <c r="BZ82" s="7">
        <f t="shared" si="463"/>
        <v>27512.161333333261</v>
      </c>
      <c r="CA82" s="7">
        <f t="shared" si="464"/>
        <v>26702.971333333262</v>
      </c>
      <c r="CB82" s="7">
        <f t="shared" si="465"/>
        <v>25893.781333333263</v>
      </c>
      <c r="CC82" s="7">
        <f t="shared" si="466"/>
        <v>25084.591333333265</v>
      </c>
      <c r="CD82" s="7">
        <f t="shared" si="467"/>
        <v>24275.401333333266</v>
      </c>
      <c r="CE82" s="7">
        <f t="shared" si="468"/>
        <v>23466.211333333267</v>
      </c>
      <c r="CF82" s="7">
        <f t="shared" si="488"/>
        <v>22657.021333333269</v>
      </c>
      <c r="CG82" s="7">
        <f t="shared" si="489"/>
        <v>21847.83133333327</v>
      </c>
      <c r="CH82" s="7">
        <f t="shared" si="490"/>
        <v>21038.641333333271</v>
      </c>
      <c r="CI82" s="7">
        <f t="shared" si="491"/>
        <v>20229.451333333272</v>
      </c>
      <c r="CJ82" s="7">
        <f t="shared" si="492"/>
        <v>19420.261333333274</v>
      </c>
      <c r="CK82" s="236">
        <v>0</v>
      </c>
      <c r="CL82" s="7">
        <v>809.19</v>
      </c>
      <c r="CM82" s="39">
        <f t="shared" si="493"/>
        <v>9710.2800000000007</v>
      </c>
      <c r="CN82" s="7">
        <f t="shared" si="494"/>
        <v>18611.071333333275</v>
      </c>
      <c r="CO82" s="7">
        <f t="shared" si="495"/>
        <v>17801.881333333276</v>
      </c>
      <c r="CP82" s="7">
        <f t="shared" si="496"/>
        <v>16992.691333333278</v>
      </c>
      <c r="CQ82" s="7">
        <f t="shared" si="497"/>
        <v>16183.501333333277</v>
      </c>
      <c r="CR82" s="7">
        <f t="shared" si="498"/>
        <v>15374.311333333277</v>
      </c>
      <c r="CS82" s="7">
        <f t="shared" si="499"/>
        <v>14565.121333333276</v>
      </c>
      <c r="CT82" s="7">
        <f t="shared" si="500"/>
        <v>13755.931333333276</v>
      </c>
      <c r="CU82" s="7">
        <f t="shared" si="501"/>
        <v>12946.741333333275</v>
      </c>
      <c r="CV82" s="7">
        <f t="shared" si="502"/>
        <v>12137.551333333275</v>
      </c>
      <c r="CW82" s="7">
        <f t="shared" si="503"/>
        <v>11328.361333333274</v>
      </c>
      <c r="CX82" s="7">
        <f t="shared" si="504"/>
        <v>10519.171333333274</v>
      </c>
      <c r="CY82" s="7">
        <f t="shared" si="505"/>
        <v>9709.9813333332731</v>
      </c>
      <c r="CZ82" s="236">
        <v>0</v>
      </c>
    </row>
    <row r="83" spans="1:104" ht="22.5" x14ac:dyDescent="0.2">
      <c r="A83" s="6" t="str">
        <f>'[1]2021 УГРЦТ'!A86</f>
        <v>Распределительный шкаф РШ-10 (Береговая водонасосная станция)</v>
      </c>
      <c r="B83" t="str">
        <f>'[1]2021 УГРЦТ'!B86</f>
        <v>000001661</v>
      </c>
      <c r="C83" t="str">
        <f>'[1]2021 УГРЦТ'!C86</f>
        <v>ПРОИЗВОДСТВО</v>
      </c>
      <c r="D83" t="str">
        <f>'[1]2021 УГРЦТ'!D86</f>
        <v>Машины и оборудование (кроме офисного)</v>
      </c>
      <c r="E83" t="str">
        <f>'[1]2021 УГРЦТ'!E86</f>
        <v>31.07.2015</v>
      </c>
      <c r="F83" t="str">
        <f>'[1]2021 УГРЦТ'!F86</f>
        <v>Электрический цех</v>
      </c>
      <c r="G83">
        <f>'[1]2021 УГРЦТ'!AC86</f>
        <v>180</v>
      </c>
      <c r="H83" s="7">
        <f>'[1]2021 УГРЦТ'!X86</f>
        <v>190397.71</v>
      </c>
      <c r="I83" s="7">
        <f>'[1]2021 УГРЦТ'!Y86</f>
        <v>81448.23066666667</v>
      </c>
      <c r="J83" s="7">
        <f>'[1]2021 УГРЦТ'!Z86</f>
        <v>108949.47933333332</v>
      </c>
      <c r="K83" s="8">
        <v>0</v>
      </c>
      <c r="L83" s="7">
        <v>1057.76</v>
      </c>
      <c r="M83" s="7"/>
      <c r="N83" s="7">
        <f t="shared" si="406"/>
        <v>12693.119999999999</v>
      </c>
      <c r="O83" s="7">
        <f t="shared" si="408"/>
        <v>107891.71933333333</v>
      </c>
      <c r="P83" s="7">
        <f t="shared" si="409"/>
        <v>106833.95933333333</v>
      </c>
      <c r="Q83" s="7">
        <f t="shared" si="409"/>
        <v>105776.19933333334</v>
      </c>
      <c r="R83" s="7">
        <f t="shared" si="409"/>
        <v>104718.43933333334</v>
      </c>
      <c r="S83" s="7">
        <f t="shared" si="409"/>
        <v>103660.67933333335</v>
      </c>
      <c r="T83" s="7">
        <f t="shared" si="409"/>
        <v>102602.91933333335</v>
      </c>
      <c r="U83" s="7">
        <f t="shared" si="409"/>
        <v>101545.15933333336</v>
      </c>
      <c r="V83" s="7">
        <f t="shared" si="409"/>
        <v>100487.39933333336</v>
      </c>
      <c r="W83" s="7">
        <f t="shared" si="409"/>
        <v>99429.639333333369</v>
      </c>
      <c r="X83" s="7">
        <f t="shared" si="409"/>
        <v>98371.879333333374</v>
      </c>
      <c r="Y83" s="7">
        <f t="shared" si="409"/>
        <v>97314.119333333379</v>
      </c>
      <c r="Z83" s="7">
        <f t="shared" si="409"/>
        <v>96256.359333333385</v>
      </c>
      <c r="AA83" s="7"/>
      <c r="AB83" s="7"/>
      <c r="AC83" s="7">
        <f t="shared" si="410"/>
        <v>12693.119999999999</v>
      </c>
      <c r="AD83" s="7">
        <f t="shared" si="411"/>
        <v>95198.59933333339</v>
      </c>
      <c r="AE83" s="7">
        <f t="shared" si="446"/>
        <v>94140.839333333395</v>
      </c>
      <c r="AF83" s="7">
        <f t="shared" si="446"/>
        <v>93083.0793333334</v>
      </c>
      <c r="AG83" s="7">
        <f t="shared" si="446"/>
        <v>92025.319333333406</v>
      </c>
      <c r="AH83" s="7">
        <f t="shared" si="446"/>
        <v>90967.559333333411</v>
      </c>
      <c r="AI83" s="7">
        <f t="shared" si="446"/>
        <v>89909.799333333416</v>
      </c>
      <c r="AJ83" s="7">
        <f t="shared" si="446"/>
        <v>88852.039333333421</v>
      </c>
      <c r="AK83" s="7">
        <f t="shared" si="446"/>
        <v>87794.279333333427</v>
      </c>
      <c r="AL83" s="7">
        <f t="shared" si="446"/>
        <v>86736.519333333432</v>
      </c>
      <c r="AM83" s="7">
        <f t="shared" si="446"/>
        <v>85678.759333333437</v>
      </c>
      <c r="AN83" s="7">
        <f t="shared" si="446"/>
        <v>84620.999333333442</v>
      </c>
      <c r="AO83" s="7">
        <f t="shared" si="446"/>
        <v>83563.239333333448</v>
      </c>
      <c r="AP83" s="222"/>
      <c r="AQ83" s="7">
        <v>1057.76</v>
      </c>
      <c r="AR83" s="7">
        <f t="shared" si="412"/>
        <v>1057.7599999999948</v>
      </c>
      <c r="AS83" s="7">
        <f t="shared" si="413"/>
        <v>-5.2295945351943374E-12</v>
      </c>
      <c r="AT83" s="7">
        <f t="shared" si="448"/>
        <v>12693.119999999999</v>
      </c>
      <c r="AU83" s="7">
        <f t="shared" si="449"/>
        <v>82505.479333333453</v>
      </c>
      <c r="AV83" s="7">
        <f t="shared" si="450"/>
        <v>81447.719333333458</v>
      </c>
      <c r="AW83" s="7">
        <f t="shared" si="450"/>
        <v>80389.959333333463</v>
      </c>
      <c r="AX83" s="7">
        <f t="shared" si="450"/>
        <v>79332.199333333469</v>
      </c>
      <c r="AY83" s="7">
        <f t="shared" si="450"/>
        <v>78274.439333333474</v>
      </c>
      <c r="AZ83" s="7">
        <f t="shared" si="450"/>
        <v>77216.679333333479</v>
      </c>
      <c r="BA83" s="7">
        <f t="shared" si="450"/>
        <v>76158.919333333484</v>
      </c>
      <c r="BB83" s="7">
        <f t="shared" si="450"/>
        <v>75101.159333333489</v>
      </c>
      <c r="BC83" s="7">
        <f t="shared" si="450"/>
        <v>74043.399333333495</v>
      </c>
      <c r="BD83" s="7">
        <f t="shared" si="450"/>
        <v>72985.6393333335</v>
      </c>
      <c r="BE83" s="7">
        <f t="shared" si="450"/>
        <v>71927.879333333505</v>
      </c>
      <c r="BF83" s="7">
        <f t="shared" si="450"/>
        <v>70870.11933333351</v>
      </c>
      <c r="BG83" s="236">
        <f t="shared" si="407"/>
        <v>0</v>
      </c>
      <c r="BH83" s="7">
        <v>1057.76</v>
      </c>
      <c r="BI83" s="39">
        <f t="shared" si="485"/>
        <v>12693.119999999999</v>
      </c>
      <c r="BJ83" s="7">
        <f t="shared" si="451"/>
        <v>69812.359333333516</v>
      </c>
      <c r="BK83" s="7">
        <f t="shared" si="452"/>
        <v>68754.599333333521</v>
      </c>
      <c r="BL83" s="7">
        <f t="shared" si="453"/>
        <v>67696.839333333526</v>
      </c>
      <c r="BM83" s="7">
        <f t="shared" si="454"/>
        <v>66639.079333333531</v>
      </c>
      <c r="BN83" s="7">
        <f t="shared" si="455"/>
        <v>65581.319333333537</v>
      </c>
      <c r="BO83" s="7">
        <f t="shared" si="456"/>
        <v>64523.559333333535</v>
      </c>
      <c r="BP83" s="7">
        <f t="shared" si="457"/>
        <v>63465.799333333533</v>
      </c>
      <c r="BQ83" s="7">
        <f t="shared" si="458"/>
        <v>62408.039333333531</v>
      </c>
      <c r="BR83" s="7">
        <f t="shared" si="459"/>
        <v>61350.279333333528</v>
      </c>
      <c r="BS83" s="7">
        <f t="shared" si="460"/>
        <v>60292.519333333526</v>
      </c>
      <c r="BT83" s="7">
        <f t="shared" si="461"/>
        <v>59234.759333333524</v>
      </c>
      <c r="BU83" s="7">
        <f t="shared" si="462"/>
        <v>58176.999333333522</v>
      </c>
      <c r="BV83" s="236">
        <v>0</v>
      </c>
      <c r="BW83" s="7">
        <v>1057.76</v>
      </c>
      <c r="BX83" s="39">
        <f t="shared" si="486"/>
        <v>12693.119999999999</v>
      </c>
      <c r="BY83" s="7">
        <f t="shared" si="487"/>
        <v>57119.23933333352</v>
      </c>
      <c r="BZ83" s="7">
        <f t="shared" si="463"/>
        <v>56061.479333333518</v>
      </c>
      <c r="CA83" s="7">
        <f t="shared" si="464"/>
        <v>55003.719333333516</v>
      </c>
      <c r="CB83" s="7">
        <f t="shared" si="465"/>
        <v>53945.959333333514</v>
      </c>
      <c r="CC83" s="7">
        <f t="shared" si="466"/>
        <v>52888.199333333512</v>
      </c>
      <c r="CD83" s="7">
        <f t="shared" si="467"/>
        <v>51830.43933333351</v>
      </c>
      <c r="CE83" s="7">
        <f t="shared" si="468"/>
        <v>50772.679333333508</v>
      </c>
      <c r="CF83" s="7">
        <f t="shared" si="488"/>
        <v>49714.919333333506</v>
      </c>
      <c r="CG83" s="7">
        <f t="shared" si="489"/>
        <v>48657.159333333504</v>
      </c>
      <c r="CH83" s="7">
        <f t="shared" si="490"/>
        <v>47599.399333333502</v>
      </c>
      <c r="CI83" s="7">
        <f t="shared" si="491"/>
        <v>46541.6393333335</v>
      </c>
      <c r="CJ83" s="7">
        <f t="shared" si="492"/>
        <v>45483.879333333498</v>
      </c>
      <c r="CK83" s="236">
        <v>0</v>
      </c>
      <c r="CL83" s="7">
        <v>1057.76</v>
      </c>
      <c r="CM83" s="39">
        <f t="shared" si="493"/>
        <v>12693.119999999999</v>
      </c>
      <c r="CN83" s="7">
        <f t="shared" si="494"/>
        <v>44426.119333333496</v>
      </c>
      <c r="CO83" s="7">
        <f t="shared" si="495"/>
        <v>43368.359333333494</v>
      </c>
      <c r="CP83" s="7">
        <f t="shared" si="496"/>
        <v>42310.599333333492</v>
      </c>
      <c r="CQ83" s="7">
        <f t="shared" si="497"/>
        <v>41252.83933333349</v>
      </c>
      <c r="CR83" s="7">
        <f t="shared" si="498"/>
        <v>40195.079333333488</v>
      </c>
      <c r="CS83" s="7">
        <f t="shared" si="499"/>
        <v>39137.319333333486</v>
      </c>
      <c r="CT83" s="7">
        <f t="shared" si="500"/>
        <v>38079.559333333484</v>
      </c>
      <c r="CU83" s="7">
        <f t="shared" si="501"/>
        <v>37021.799333333482</v>
      </c>
      <c r="CV83" s="7">
        <f t="shared" si="502"/>
        <v>35964.03933333348</v>
      </c>
      <c r="CW83" s="7">
        <f t="shared" si="503"/>
        <v>34906.279333333478</v>
      </c>
      <c r="CX83" s="7">
        <f t="shared" si="504"/>
        <v>33848.519333333476</v>
      </c>
      <c r="CY83" s="7">
        <f t="shared" si="505"/>
        <v>32790.759333333473</v>
      </c>
      <c r="CZ83" s="236">
        <v>0</v>
      </c>
    </row>
    <row r="84" spans="1:104" x14ac:dyDescent="0.2">
      <c r="A84" s="6" t="str">
        <f>'[1]2021 УГРЦТ'!A87</f>
        <v>Распределительный шкаф РШ-11 ( Водонасосная (новая)</v>
      </c>
      <c r="B84" t="str">
        <f>'[1]2021 УГРЦТ'!B87</f>
        <v>000001606</v>
      </c>
      <c r="C84" t="str">
        <f>'[1]2021 УГРЦТ'!C87</f>
        <v>ПРОИЗВОДСТВО</v>
      </c>
      <c r="D84" t="str">
        <f>'[1]2021 УГРЦТ'!D87</f>
        <v>Машины и оборудование (кроме офисного)</v>
      </c>
      <c r="E84" t="str">
        <f>'[1]2021 УГРЦТ'!E87</f>
        <v>31.12.2013</v>
      </c>
      <c r="F84" t="str">
        <f>'[1]2021 УГРЦТ'!F87</f>
        <v>Электрический цех</v>
      </c>
      <c r="G84">
        <f>'[1]2021 УГРЦТ'!AC87</f>
        <v>180</v>
      </c>
      <c r="H84" s="7">
        <f>'[1]2021 УГРЦТ'!X87</f>
        <v>145653.01999999999</v>
      </c>
      <c r="I84" s="7">
        <f>'[1]2021 УГРЦТ'!Y87</f>
        <v>77681.321333333326</v>
      </c>
      <c r="J84" s="7">
        <f>'[1]2021 УГРЦТ'!Z87</f>
        <v>67971.698666666663</v>
      </c>
      <c r="K84" s="8">
        <v>0</v>
      </c>
      <c r="L84" s="7">
        <v>809.19</v>
      </c>
      <c r="M84" s="7"/>
      <c r="N84" s="7">
        <f t="shared" si="406"/>
        <v>9710.2800000000007</v>
      </c>
      <c r="O84" s="7">
        <f t="shared" si="408"/>
        <v>67162.508666666661</v>
      </c>
      <c r="P84" s="7">
        <f t="shared" si="409"/>
        <v>66353.318666666659</v>
      </c>
      <c r="Q84" s="7">
        <f t="shared" si="409"/>
        <v>65544.128666666656</v>
      </c>
      <c r="R84" s="7">
        <f t="shared" si="409"/>
        <v>64734.938666666654</v>
      </c>
      <c r="S84" s="7">
        <f t="shared" si="409"/>
        <v>63925.748666666652</v>
      </c>
      <c r="T84" s="7">
        <f t="shared" si="409"/>
        <v>63116.55866666665</v>
      </c>
      <c r="U84" s="7">
        <f t="shared" si="409"/>
        <v>62307.368666666647</v>
      </c>
      <c r="V84" s="7">
        <f t="shared" si="409"/>
        <v>61498.178666666645</v>
      </c>
      <c r="W84" s="7">
        <f t="shared" si="409"/>
        <v>60688.988666666643</v>
      </c>
      <c r="X84" s="7">
        <f t="shared" si="409"/>
        <v>59879.79866666664</v>
      </c>
      <c r="Y84" s="7">
        <f t="shared" si="409"/>
        <v>59070.608666666638</v>
      </c>
      <c r="Z84" s="7">
        <f t="shared" si="409"/>
        <v>58261.418666666636</v>
      </c>
      <c r="AA84" s="7"/>
      <c r="AB84" s="7"/>
      <c r="AC84" s="7">
        <f t="shared" si="410"/>
        <v>9710.2800000000007</v>
      </c>
      <c r="AD84" s="7">
        <f t="shared" si="411"/>
        <v>57452.228666666633</v>
      </c>
      <c r="AE84" s="7">
        <f t="shared" si="446"/>
        <v>56643.038666666631</v>
      </c>
      <c r="AF84" s="7">
        <f t="shared" si="446"/>
        <v>55833.848666666629</v>
      </c>
      <c r="AG84" s="7">
        <f t="shared" si="446"/>
        <v>55024.658666666626</v>
      </c>
      <c r="AH84" s="7">
        <f t="shared" si="446"/>
        <v>54215.468666666624</v>
      </c>
      <c r="AI84" s="7">
        <f t="shared" si="446"/>
        <v>53406.278666666622</v>
      </c>
      <c r="AJ84" s="7">
        <f t="shared" si="446"/>
        <v>52597.088666666619</v>
      </c>
      <c r="AK84" s="7">
        <f t="shared" si="446"/>
        <v>51787.898666666617</v>
      </c>
      <c r="AL84" s="7">
        <f t="shared" si="446"/>
        <v>50978.708666666615</v>
      </c>
      <c r="AM84" s="7">
        <f t="shared" si="446"/>
        <v>50169.518666666612</v>
      </c>
      <c r="AN84" s="7">
        <f t="shared" si="446"/>
        <v>49360.32866666661</v>
      </c>
      <c r="AO84" s="7">
        <f t="shared" si="446"/>
        <v>48551.138666666608</v>
      </c>
      <c r="AP84" s="222"/>
      <c r="AQ84" s="7">
        <v>809.19</v>
      </c>
      <c r="AR84" s="7">
        <f t="shared" si="412"/>
        <v>809.19000000000233</v>
      </c>
      <c r="AS84" s="7">
        <f t="shared" si="413"/>
        <v>2.2737367544323206E-12</v>
      </c>
      <c r="AT84" s="7">
        <f t="shared" si="448"/>
        <v>9710.2800000000007</v>
      </c>
      <c r="AU84" s="7">
        <f t="shared" si="449"/>
        <v>47741.948666666605</v>
      </c>
      <c r="AV84" s="7">
        <f t="shared" si="450"/>
        <v>46932.758666666603</v>
      </c>
      <c r="AW84" s="7">
        <f t="shared" si="450"/>
        <v>46123.568666666601</v>
      </c>
      <c r="AX84" s="7">
        <f t="shared" si="450"/>
        <v>45314.378666666598</v>
      </c>
      <c r="AY84" s="7">
        <f t="shared" si="450"/>
        <v>44505.188666666596</v>
      </c>
      <c r="AZ84" s="7">
        <f t="shared" si="450"/>
        <v>43695.998666666594</v>
      </c>
      <c r="BA84" s="7">
        <f t="shared" si="450"/>
        <v>42886.808666666591</v>
      </c>
      <c r="BB84" s="7">
        <f t="shared" si="450"/>
        <v>42077.618666666589</v>
      </c>
      <c r="BC84" s="7">
        <f t="shared" si="450"/>
        <v>41268.428666666587</v>
      </c>
      <c r="BD84" s="7">
        <f t="shared" si="450"/>
        <v>40459.238666666584</v>
      </c>
      <c r="BE84" s="7">
        <f t="shared" si="450"/>
        <v>39650.048666666582</v>
      </c>
      <c r="BF84" s="7">
        <f t="shared" si="450"/>
        <v>38840.85866666658</v>
      </c>
      <c r="BG84" s="236">
        <f t="shared" si="407"/>
        <v>0</v>
      </c>
      <c r="BH84" s="7">
        <v>809.19</v>
      </c>
      <c r="BI84" s="39">
        <f t="shared" si="485"/>
        <v>9710.2800000000007</v>
      </c>
      <c r="BJ84" s="7">
        <f t="shared" si="451"/>
        <v>38031.668666666577</v>
      </c>
      <c r="BK84" s="7">
        <f t="shared" si="452"/>
        <v>37222.478666666575</v>
      </c>
      <c r="BL84" s="7">
        <f t="shared" si="453"/>
        <v>36413.288666666573</v>
      </c>
      <c r="BM84" s="7">
        <f t="shared" si="454"/>
        <v>35604.09866666657</v>
      </c>
      <c r="BN84" s="7">
        <f t="shared" si="455"/>
        <v>34794.908666666568</v>
      </c>
      <c r="BO84" s="7">
        <f t="shared" si="456"/>
        <v>33985.718666666566</v>
      </c>
      <c r="BP84" s="7">
        <f t="shared" si="457"/>
        <v>33176.528666666563</v>
      </c>
      <c r="BQ84" s="7">
        <f t="shared" si="458"/>
        <v>32367.338666666565</v>
      </c>
      <c r="BR84" s="7">
        <f t="shared" si="459"/>
        <v>31558.148666666566</v>
      </c>
      <c r="BS84" s="7">
        <f t="shared" si="460"/>
        <v>30748.958666666567</v>
      </c>
      <c r="BT84" s="7">
        <f t="shared" si="461"/>
        <v>29939.768666666569</v>
      </c>
      <c r="BU84" s="7">
        <f t="shared" si="462"/>
        <v>29130.57866666657</v>
      </c>
      <c r="BV84" s="236">
        <v>0</v>
      </c>
      <c r="BW84" s="7">
        <v>809.19</v>
      </c>
      <c r="BX84" s="39">
        <f t="shared" si="486"/>
        <v>9710.2800000000007</v>
      </c>
      <c r="BY84" s="7">
        <f t="shared" si="487"/>
        <v>28321.388666666571</v>
      </c>
      <c r="BZ84" s="7">
        <f t="shared" si="463"/>
        <v>27512.198666666573</v>
      </c>
      <c r="CA84" s="7">
        <f t="shared" si="464"/>
        <v>26703.008666666574</v>
      </c>
      <c r="CB84" s="7">
        <f t="shared" si="465"/>
        <v>25893.818666666575</v>
      </c>
      <c r="CC84" s="7">
        <f t="shared" si="466"/>
        <v>25084.628666666576</v>
      </c>
      <c r="CD84" s="7">
        <f t="shared" si="467"/>
        <v>24275.438666666578</v>
      </c>
      <c r="CE84" s="7">
        <f t="shared" si="468"/>
        <v>23466.248666666579</v>
      </c>
      <c r="CF84" s="7">
        <f t="shared" si="488"/>
        <v>22657.05866666658</v>
      </c>
      <c r="CG84" s="7">
        <f t="shared" si="489"/>
        <v>21847.868666666582</v>
      </c>
      <c r="CH84" s="7">
        <f t="shared" si="490"/>
        <v>21038.678666666583</v>
      </c>
      <c r="CI84" s="7">
        <f t="shared" si="491"/>
        <v>20229.488666666584</v>
      </c>
      <c r="CJ84" s="7">
        <f t="shared" si="492"/>
        <v>19420.298666666586</v>
      </c>
      <c r="CK84" s="236">
        <v>0</v>
      </c>
      <c r="CL84" s="7">
        <v>809.19</v>
      </c>
      <c r="CM84" s="39">
        <f t="shared" si="493"/>
        <v>9710.2800000000007</v>
      </c>
      <c r="CN84" s="7">
        <f t="shared" si="494"/>
        <v>18611.108666666587</v>
      </c>
      <c r="CO84" s="7">
        <f t="shared" si="495"/>
        <v>17801.918666666588</v>
      </c>
      <c r="CP84" s="7">
        <f t="shared" si="496"/>
        <v>16992.72866666659</v>
      </c>
      <c r="CQ84" s="7">
        <f t="shared" si="497"/>
        <v>16183.538666666589</v>
      </c>
      <c r="CR84" s="7">
        <f t="shared" si="498"/>
        <v>15374.348666666589</v>
      </c>
      <c r="CS84" s="7">
        <f t="shared" si="499"/>
        <v>14565.158666666588</v>
      </c>
      <c r="CT84" s="7">
        <f t="shared" si="500"/>
        <v>13755.968666666588</v>
      </c>
      <c r="CU84" s="7">
        <f t="shared" si="501"/>
        <v>12946.778666666587</v>
      </c>
      <c r="CV84" s="7">
        <f t="shared" si="502"/>
        <v>12137.588666666587</v>
      </c>
      <c r="CW84" s="7">
        <f t="shared" si="503"/>
        <v>11328.398666666586</v>
      </c>
      <c r="CX84" s="7">
        <f t="shared" si="504"/>
        <v>10519.208666666585</v>
      </c>
      <c r="CY84" s="7">
        <f t="shared" si="505"/>
        <v>9710.018666666585</v>
      </c>
      <c r="CZ84" s="236">
        <v>0</v>
      </c>
    </row>
    <row r="85" spans="1:104" x14ac:dyDescent="0.2">
      <c r="A85" s="6" t="str">
        <f>'[1]2021 УГРЦТ'!A88</f>
        <v>Распределительный шкаф РШ-2 ( ЭЦ)</v>
      </c>
      <c r="B85" t="str">
        <f>'[1]2021 УГРЦТ'!B88</f>
        <v>000001601</v>
      </c>
      <c r="C85" t="str">
        <f>'[1]2021 УГРЦТ'!C88</f>
        <v>ПРОИЗВОДСТВО</v>
      </c>
      <c r="D85" t="str">
        <f>'[1]2021 УГРЦТ'!D88</f>
        <v>Машины и оборудование (кроме офисного)</v>
      </c>
      <c r="E85" t="str">
        <f>'[1]2021 УГРЦТ'!E88</f>
        <v>31.12.2013</v>
      </c>
      <c r="F85" t="str">
        <f>'[1]2021 УГРЦТ'!F88</f>
        <v>Электрический цех</v>
      </c>
      <c r="G85">
        <f>'[1]2021 УГРЦТ'!AC88</f>
        <v>180</v>
      </c>
      <c r="H85" s="7">
        <f>'[1]2021 УГРЦТ'!X88</f>
        <v>145652.98000000001</v>
      </c>
      <c r="I85" s="7">
        <f>'[1]2021 УГРЦТ'!Y88</f>
        <v>77681.318666666659</v>
      </c>
      <c r="J85" s="7">
        <f>'[1]2021 УГРЦТ'!Z88</f>
        <v>67971.661333333352</v>
      </c>
      <c r="K85" s="8">
        <v>0</v>
      </c>
      <c r="L85" s="7">
        <v>809.19</v>
      </c>
      <c r="M85" s="7"/>
      <c r="N85" s="7">
        <f t="shared" si="406"/>
        <v>9710.2800000000007</v>
      </c>
      <c r="O85" s="7">
        <f t="shared" si="408"/>
        <v>67162.471333333349</v>
      </c>
      <c r="P85" s="7">
        <f t="shared" ref="P85:Z100" si="506">O85-$L85</f>
        <v>66353.281333333347</v>
      </c>
      <c r="Q85" s="7">
        <f t="shared" si="506"/>
        <v>65544.091333333345</v>
      </c>
      <c r="R85" s="7">
        <f t="shared" si="506"/>
        <v>64734.901333333342</v>
      </c>
      <c r="S85" s="7">
        <f t="shared" si="506"/>
        <v>63925.71133333334</v>
      </c>
      <c r="T85" s="7">
        <f t="shared" si="506"/>
        <v>63116.521333333338</v>
      </c>
      <c r="U85" s="7">
        <f t="shared" si="506"/>
        <v>62307.331333333335</v>
      </c>
      <c r="V85" s="7">
        <f t="shared" si="506"/>
        <v>61498.141333333333</v>
      </c>
      <c r="W85" s="7">
        <f t="shared" si="506"/>
        <v>60688.951333333331</v>
      </c>
      <c r="X85" s="7">
        <f t="shared" si="506"/>
        <v>59879.761333333328</v>
      </c>
      <c r="Y85" s="7">
        <f t="shared" si="506"/>
        <v>59070.571333333326</v>
      </c>
      <c r="Z85" s="7">
        <f t="shared" si="506"/>
        <v>58261.381333333324</v>
      </c>
      <c r="AA85" s="7"/>
      <c r="AB85" s="7"/>
      <c r="AC85" s="7">
        <f t="shared" si="410"/>
        <v>9710.2800000000007</v>
      </c>
      <c r="AD85" s="7">
        <f t="shared" si="411"/>
        <v>57452.191333333321</v>
      </c>
      <c r="AE85" s="7">
        <f t="shared" si="446"/>
        <v>56643.001333333319</v>
      </c>
      <c r="AF85" s="7">
        <f t="shared" si="446"/>
        <v>55833.811333333317</v>
      </c>
      <c r="AG85" s="7">
        <f t="shared" si="446"/>
        <v>55024.621333333314</v>
      </c>
      <c r="AH85" s="7">
        <f t="shared" si="446"/>
        <v>54215.431333333312</v>
      </c>
      <c r="AI85" s="7">
        <f t="shared" si="446"/>
        <v>53406.24133333331</v>
      </c>
      <c r="AJ85" s="7">
        <f t="shared" si="446"/>
        <v>52597.051333333307</v>
      </c>
      <c r="AK85" s="7">
        <f t="shared" si="446"/>
        <v>51787.861333333305</v>
      </c>
      <c r="AL85" s="7">
        <f t="shared" si="446"/>
        <v>50978.671333333303</v>
      </c>
      <c r="AM85" s="7">
        <f t="shared" si="446"/>
        <v>50169.4813333333</v>
      </c>
      <c r="AN85" s="7">
        <f t="shared" si="446"/>
        <v>49360.291333333298</v>
      </c>
      <c r="AO85" s="7">
        <f t="shared" si="446"/>
        <v>48551.101333333296</v>
      </c>
      <c r="AP85" s="222"/>
      <c r="AQ85" s="7">
        <v>809.19</v>
      </c>
      <c r="AR85" s="7">
        <f t="shared" si="412"/>
        <v>809.19000000000233</v>
      </c>
      <c r="AS85" s="7">
        <f t="shared" si="413"/>
        <v>2.2737367544323206E-12</v>
      </c>
      <c r="AT85" s="7">
        <f t="shared" si="448"/>
        <v>9710.2800000000007</v>
      </c>
      <c r="AU85" s="7">
        <f t="shared" si="449"/>
        <v>47741.911333333293</v>
      </c>
      <c r="AV85" s="7">
        <f t="shared" si="450"/>
        <v>46932.721333333291</v>
      </c>
      <c r="AW85" s="7">
        <f t="shared" si="450"/>
        <v>46123.531333333289</v>
      </c>
      <c r="AX85" s="7">
        <f t="shared" si="450"/>
        <v>45314.341333333286</v>
      </c>
      <c r="AY85" s="7">
        <f t="shared" si="450"/>
        <v>44505.151333333284</v>
      </c>
      <c r="AZ85" s="7">
        <f t="shared" si="450"/>
        <v>43695.961333333282</v>
      </c>
      <c r="BA85" s="7">
        <f t="shared" si="450"/>
        <v>42886.771333333279</v>
      </c>
      <c r="BB85" s="7">
        <f t="shared" si="450"/>
        <v>42077.581333333277</v>
      </c>
      <c r="BC85" s="7">
        <f t="shared" si="450"/>
        <v>41268.391333333275</v>
      </c>
      <c r="BD85" s="7">
        <f t="shared" si="450"/>
        <v>40459.201333333272</v>
      </c>
      <c r="BE85" s="7">
        <f t="shared" si="450"/>
        <v>39650.01133333327</v>
      </c>
      <c r="BF85" s="7">
        <f t="shared" si="450"/>
        <v>38840.821333333268</v>
      </c>
      <c r="BG85" s="236">
        <f t="shared" si="407"/>
        <v>0</v>
      </c>
      <c r="BH85" s="7">
        <v>809.19</v>
      </c>
      <c r="BI85" s="39">
        <f t="shared" si="485"/>
        <v>9710.2800000000007</v>
      </c>
      <c r="BJ85" s="7">
        <f t="shared" si="451"/>
        <v>38031.631333333266</v>
      </c>
      <c r="BK85" s="7">
        <f t="shared" si="452"/>
        <v>37222.441333333263</v>
      </c>
      <c r="BL85" s="7">
        <f t="shared" si="453"/>
        <v>36413.251333333261</v>
      </c>
      <c r="BM85" s="7">
        <f t="shared" si="454"/>
        <v>35604.061333333259</v>
      </c>
      <c r="BN85" s="7">
        <f t="shared" si="455"/>
        <v>34794.871333333256</v>
      </c>
      <c r="BO85" s="7">
        <f t="shared" si="456"/>
        <v>33985.681333333254</v>
      </c>
      <c r="BP85" s="7">
        <f t="shared" si="457"/>
        <v>33176.491333333252</v>
      </c>
      <c r="BQ85" s="7">
        <f t="shared" si="458"/>
        <v>32367.301333333253</v>
      </c>
      <c r="BR85" s="7">
        <f t="shared" si="459"/>
        <v>31558.111333333254</v>
      </c>
      <c r="BS85" s="7">
        <f t="shared" si="460"/>
        <v>30748.921333333255</v>
      </c>
      <c r="BT85" s="7">
        <f t="shared" si="461"/>
        <v>29939.731333333257</v>
      </c>
      <c r="BU85" s="7">
        <f t="shared" si="462"/>
        <v>29130.541333333258</v>
      </c>
      <c r="BV85" s="236">
        <v>0</v>
      </c>
      <c r="BW85" s="7">
        <v>809.19</v>
      </c>
      <c r="BX85" s="39">
        <f t="shared" si="486"/>
        <v>9710.2800000000007</v>
      </c>
      <c r="BY85" s="7">
        <f t="shared" si="487"/>
        <v>28321.351333333259</v>
      </c>
      <c r="BZ85" s="7">
        <f t="shared" si="463"/>
        <v>27512.161333333261</v>
      </c>
      <c r="CA85" s="7">
        <f t="shared" si="464"/>
        <v>26702.971333333262</v>
      </c>
      <c r="CB85" s="7">
        <f t="shared" si="465"/>
        <v>25893.781333333263</v>
      </c>
      <c r="CC85" s="7">
        <f t="shared" si="466"/>
        <v>25084.591333333265</v>
      </c>
      <c r="CD85" s="7">
        <f t="shared" si="467"/>
        <v>24275.401333333266</v>
      </c>
      <c r="CE85" s="7">
        <f t="shared" si="468"/>
        <v>23466.211333333267</v>
      </c>
      <c r="CF85" s="7">
        <f t="shared" si="488"/>
        <v>22657.021333333269</v>
      </c>
      <c r="CG85" s="7">
        <f t="shared" si="489"/>
        <v>21847.83133333327</v>
      </c>
      <c r="CH85" s="7">
        <f t="shared" si="490"/>
        <v>21038.641333333271</v>
      </c>
      <c r="CI85" s="7">
        <f t="shared" si="491"/>
        <v>20229.451333333272</v>
      </c>
      <c r="CJ85" s="7">
        <f t="shared" si="492"/>
        <v>19420.261333333274</v>
      </c>
      <c r="CK85" s="236">
        <v>0</v>
      </c>
      <c r="CL85" s="7">
        <v>809.19</v>
      </c>
      <c r="CM85" s="39">
        <f t="shared" si="493"/>
        <v>9710.2800000000007</v>
      </c>
      <c r="CN85" s="7">
        <f t="shared" si="494"/>
        <v>18611.071333333275</v>
      </c>
      <c r="CO85" s="7">
        <f t="shared" si="495"/>
        <v>17801.881333333276</v>
      </c>
      <c r="CP85" s="7">
        <f t="shared" si="496"/>
        <v>16992.691333333278</v>
      </c>
      <c r="CQ85" s="7">
        <f t="shared" si="497"/>
        <v>16183.501333333277</v>
      </c>
      <c r="CR85" s="7">
        <f t="shared" si="498"/>
        <v>15374.311333333277</v>
      </c>
      <c r="CS85" s="7">
        <f t="shared" si="499"/>
        <v>14565.121333333276</v>
      </c>
      <c r="CT85" s="7">
        <f t="shared" si="500"/>
        <v>13755.931333333276</v>
      </c>
      <c r="CU85" s="7">
        <f t="shared" si="501"/>
        <v>12946.741333333275</v>
      </c>
      <c r="CV85" s="7">
        <f t="shared" si="502"/>
        <v>12137.551333333275</v>
      </c>
      <c r="CW85" s="7">
        <f t="shared" si="503"/>
        <v>11328.361333333274</v>
      </c>
      <c r="CX85" s="7">
        <f t="shared" si="504"/>
        <v>10519.171333333274</v>
      </c>
      <c r="CY85" s="7">
        <f t="shared" si="505"/>
        <v>9709.9813333332731</v>
      </c>
      <c r="CZ85" s="236">
        <v>0</v>
      </c>
    </row>
    <row r="86" spans="1:104" x14ac:dyDescent="0.2">
      <c r="A86" s="6" t="str">
        <f>'[1]2021 УГРЦТ'!A89</f>
        <v>Распределительный шкаф РШ-3 ( ДГ № 3)</v>
      </c>
      <c r="B86" t="str">
        <f>'[1]2021 УГРЦТ'!B89</f>
        <v>000001602</v>
      </c>
      <c r="C86" t="str">
        <f>'[1]2021 УГРЦТ'!C89</f>
        <v>ПРОИЗВОДСТВО</v>
      </c>
      <c r="D86" t="str">
        <f>'[1]2021 УГРЦТ'!D89</f>
        <v>Машины и оборудование (кроме офисного)</v>
      </c>
      <c r="E86" t="str">
        <f>'[1]2021 УГРЦТ'!E89</f>
        <v>31.12.2013</v>
      </c>
      <c r="F86" t="str">
        <f>'[1]2021 УГРЦТ'!F89</f>
        <v>Электрический цех</v>
      </c>
      <c r="G86">
        <f>'[1]2021 УГРЦТ'!AC89</f>
        <v>180</v>
      </c>
      <c r="H86" s="7">
        <f>'[1]2021 УГРЦТ'!X89</f>
        <v>145652.98000000001</v>
      </c>
      <c r="I86" s="7">
        <f>'[1]2021 УГРЦТ'!Y89</f>
        <v>77681.318666666659</v>
      </c>
      <c r="J86" s="7">
        <f>'[1]2021 УГРЦТ'!Z89</f>
        <v>67971.661333333352</v>
      </c>
      <c r="K86" s="8">
        <v>0</v>
      </c>
      <c r="L86" s="7">
        <v>809.19</v>
      </c>
      <c r="M86" s="7"/>
      <c r="N86" s="7">
        <f t="shared" si="406"/>
        <v>9710.2800000000007</v>
      </c>
      <c r="O86" s="7">
        <f t="shared" si="408"/>
        <v>67162.471333333349</v>
      </c>
      <c r="P86" s="7">
        <f t="shared" si="506"/>
        <v>66353.281333333347</v>
      </c>
      <c r="Q86" s="7">
        <f t="shared" si="506"/>
        <v>65544.091333333345</v>
      </c>
      <c r="R86" s="7">
        <f t="shared" si="506"/>
        <v>64734.901333333342</v>
      </c>
      <c r="S86" s="7">
        <f t="shared" si="506"/>
        <v>63925.71133333334</v>
      </c>
      <c r="T86" s="7">
        <f t="shared" si="506"/>
        <v>63116.521333333338</v>
      </c>
      <c r="U86" s="7">
        <f t="shared" si="506"/>
        <v>62307.331333333335</v>
      </c>
      <c r="V86" s="7">
        <f t="shared" si="506"/>
        <v>61498.141333333333</v>
      </c>
      <c r="W86" s="7">
        <f t="shared" si="506"/>
        <v>60688.951333333331</v>
      </c>
      <c r="X86" s="7">
        <f t="shared" si="506"/>
        <v>59879.761333333328</v>
      </c>
      <c r="Y86" s="7">
        <f t="shared" si="506"/>
        <v>59070.571333333326</v>
      </c>
      <c r="Z86" s="7">
        <f t="shared" si="506"/>
        <v>58261.381333333324</v>
      </c>
      <c r="AA86" s="7"/>
      <c r="AB86" s="7"/>
      <c r="AC86" s="7">
        <f t="shared" si="410"/>
        <v>9710.2800000000007</v>
      </c>
      <c r="AD86" s="7">
        <f t="shared" si="411"/>
        <v>57452.191333333321</v>
      </c>
      <c r="AE86" s="7">
        <f t="shared" si="446"/>
        <v>56643.001333333319</v>
      </c>
      <c r="AF86" s="7">
        <f t="shared" si="446"/>
        <v>55833.811333333317</v>
      </c>
      <c r="AG86" s="7">
        <f t="shared" si="446"/>
        <v>55024.621333333314</v>
      </c>
      <c r="AH86" s="7">
        <f t="shared" si="446"/>
        <v>54215.431333333312</v>
      </c>
      <c r="AI86" s="7">
        <f t="shared" si="446"/>
        <v>53406.24133333331</v>
      </c>
      <c r="AJ86" s="7">
        <f t="shared" si="446"/>
        <v>52597.051333333307</v>
      </c>
      <c r="AK86" s="7">
        <f t="shared" si="446"/>
        <v>51787.861333333305</v>
      </c>
      <c r="AL86" s="7">
        <f t="shared" si="446"/>
        <v>50978.671333333303</v>
      </c>
      <c r="AM86" s="7">
        <f t="shared" si="446"/>
        <v>50169.4813333333</v>
      </c>
      <c r="AN86" s="7">
        <f t="shared" si="446"/>
        <v>49360.291333333298</v>
      </c>
      <c r="AO86" s="7">
        <f t="shared" si="446"/>
        <v>48551.101333333296</v>
      </c>
      <c r="AP86" s="222"/>
      <c r="AQ86" s="7">
        <v>809.19</v>
      </c>
      <c r="AR86" s="7">
        <f t="shared" si="412"/>
        <v>809.19000000000233</v>
      </c>
      <c r="AS86" s="7">
        <f t="shared" si="413"/>
        <v>2.2737367544323206E-12</v>
      </c>
      <c r="AT86" s="7">
        <f t="shared" si="448"/>
        <v>9710.2800000000007</v>
      </c>
      <c r="AU86" s="7">
        <f t="shared" si="449"/>
        <v>47741.911333333293</v>
      </c>
      <c r="AV86" s="7">
        <f t="shared" si="450"/>
        <v>46932.721333333291</v>
      </c>
      <c r="AW86" s="7">
        <f t="shared" si="450"/>
        <v>46123.531333333289</v>
      </c>
      <c r="AX86" s="7">
        <f t="shared" si="450"/>
        <v>45314.341333333286</v>
      </c>
      <c r="AY86" s="7">
        <f t="shared" si="450"/>
        <v>44505.151333333284</v>
      </c>
      <c r="AZ86" s="7">
        <f t="shared" si="450"/>
        <v>43695.961333333282</v>
      </c>
      <c r="BA86" s="7">
        <f t="shared" si="450"/>
        <v>42886.771333333279</v>
      </c>
      <c r="BB86" s="7">
        <f t="shared" si="450"/>
        <v>42077.581333333277</v>
      </c>
      <c r="BC86" s="7">
        <f t="shared" si="450"/>
        <v>41268.391333333275</v>
      </c>
      <c r="BD86" s="7">
        <f t="shared" si="450"/>
        <v>40459.201333333272</v>
      </c>
      <c r="BE86" s="7">
        <f t="shared" si="450"/>
        <v>39650.01133333327</v>
      </c>
      <c r="BF86" s="7">
        <f t="shared" si="450"/>
        <v>38840.821333333268</v>
      </c>
      <c r="BG86" s="236">
        <f t="shared" si="407"/>
        <v>0</v>
      </c>
      <c r="BH86" s="7">
        <v>809.19</v>
      </c>
      <c r="BI86" s="39">
        <f t="shared" si="485"/>
        <v>9710.2800000000007</v>
      </c>
      <c r="BJ86" s="7">
        <f t="shared" si="451"/>
        <v>38031.631333333266</v>
      </c>
      <c r="BK86" s="7">
        <f t="shared" si="452"/>
        <v>37222.441333333263</v>
      </c>
      <c r="BL86" s="7">
        <f t="shared" si="453"/>
        <v>36413.251333333261</v>
      </c>
      <c r="BM86" s="7">
        <f t="shared" si="454"/>
        <v>35604.061333333259</v>
      </c>
      <c r="BN86" s="7">
        <f t="shared" si="455"/>
        <v>34794.871333333256</v>
      </c>
      <c r="BO86" s="7">
        <f t="shared" si="456"/>
        <v>33985.681333333254</v>
      </c>
      <c r="BP86" s="7">
        <f t="shared" si="457"/>
        <v>33176.491333333252</v>
      </c>
      <c r="BQ86" s="7">
        <f t="shared" si="458"/>
        <v>32367.301333333253</v>
      </c>
      <c r="BR86" s="7">
        <f t="shared" si="459"/>
        <v>31558.111333333254</v>
      </c>
      <c r="BS86" s="7">
        <f t="shared" si="460"/>
        <v>30748.921333333255</v>
      </c>
      <c r="BT86" s="7">
        <f t="shared" si="461"/>
        <v>29939.731333333257</v>
      </c>
      <c r="BU86" s="7">
        <f t="shared" si="462"/>
        <v>29130.541333333258</v>
      </c>
      <c r="BV86" s="236">
        <v>0</v>
      </c>
      <c r="BW86" s="7">
        <v>809.19</v>
      </c>
      <c r="BX86" s="39">
        <f t="shared" si="486"/>
        <v>9710.2800000000007</v>
      </c>
      <c r="BY86" s="7">
        <f t="shared" si="487"/>
        <v>28321.351333333259</v>
      </c>
      <c r="BZ86" s="7">
        <f t="shared" si="463"/>
        <v>27512.161333333261</v>
      </c>
      <c r="CA86" s="7">
        <f t="shared" si="464"/>
        <v>26702.971333333262</v>
      </c>
      <c r="CB86" s="7">
        <f t="shared" si="465"/>
        <v>25893.781333333263</v>
      </c>
      <c r="CC86" s="7">
        <f t="shared" si="466"/>
        <v>25084.591333333265</v>
      </c>
      <c r="CD86" s="7">
        <f t="shared" si="467"/>
        <v>24275.401333333266</v>
      </c>
      <c r="CE86" s="7">
        <f t="shared" si="468"/>
        <v>23466.211333333267</v>
      </c>
      <c r="CF86" s="7">
        <f t="shared" si="488"/>
        <v>22657.021333333269</v>
      </c>
      <c r="CG86" s="7">
        <f t="shared" si="489"/>
        <v>21847.83133333327</v>
      </c>
      <c r="CH86" s="7">
        <f t="shared" si="490"/>
        <v>21038.641333333271</v>
      </c>
      <c r="CI86" s="7">
        <f t="shared" si="491"/>
        <v>20229.451333333272</v>
      </c>
      <c r="CJ86" s="7">
        <f t="shared" si="492"/>
        <v>19420.261333333274</v>
      </c>
      <c r="CK86" s="236">
        <v>0</v>
      </c>
      <c r="CL86" s="7">
        <v>809.19</v>
      </c>
      <c r="CM86" s="39">
        <f t="shared" si="493"/>
        <v>9710.2800000000007</v>
      </c>
      <c r="CN86" s="7">
        <f t="shared" si="494"/>
        <v>18611.071333333275</v>
      </c>
      <c r="CO86" s="7">
        <f t="shared" si="495"/>
        <v>17801.881333333276</v>
      </c>
      <c r="CP86" s="7">
        <f t="shared" si="496"/>
        <v>16992.691333333278</v>
      </c>
      <c r="CQ86" s="7">
        <f t="shared" si="497"/>
        <v>16183.501333333277</v>
      </c>
      <c r="CR86" s="7">
        <f t="shared" si="498"/>
        <v>15374.311333333277</v>
      </c>
      <c r="CS86" s="7">
        <f t="shared" si="499"/>
        <v>14565.121333333276</v>
      </c>
      <c r="CT86" s="7">
        <f t="shared" si="500"/>
        <v>13755.931333333276</v>
      </c>
      <c r="CU86" s="7">
        <f t="shared" si="501"/>
        <v>12946.741333333275</v>
      </c>
      <c r="CV86" s="7">
        <f t="shared" si="502"/>
        <v>12137.551333333275</v>
      </c>
      <c r="CW86" s="7">
        <f t="shared" si="503"/>
        <v>11328.361333333274</v>
      </c>
      <c r="CX86" s="7">
        <f t="shared" si="504"/>
        <v>10519.171333333274</v>
      </c>
      <c r="CY86" s="7">
        <f t="shared" si="505"/>
        <v>9709.9813333332731</v>
      </c>
      <c r="CZ86" s="236">
        <v>0</v>
      </c>
    </row>
    <row r="87" spans="1:104" x14ac:dyDescent="0.2">
      <c r="A87" s="6" t="str">
        <f>'[1]2021 УГРЦТ'!A90</f>
        <v>Распределительный шкаф РШ-4 ( Слесарка)</v>
      </c>
      <c r="B87" t="str">
        <f>'[1]2021 УГРЦТ'!B90</f>
        <v>000001603</v>
      </c>
      <c r="C87" t="str">
        <f>'[1]2021 УГРЦТ'!C90</f>
        <v>ПРОИЗВОДСТВО</v>
      </c>
      <c r="D87" t="str">
        <f>'[1]2021 УГРЦТ'!D90</f>
        <v>Машины и оборудование (кроме офисного)</v>
      </c>
      <c r="E87" t="str">
        <f>'[1]2021 УГРЦТ'!E90</f>
        <v>31.12.2013</v>
      </c>
      <c r="F87" t="str">
        <f>'[1]2021 УГРЦТ'!F90</f>
        <v>Электрический цех</v>
      </c>
      <c r="G87">
        <f>'[1]2021 УГРЦТ'!AC90</f>
        <v>180</v>
      </c>
      <c r="H87" s="7">
        <f>'[1]2021 УГРЦТ'!X90</f>
        <v>145652.98000000001</v>
      </c>
      <c r="I87" s="7">
        <f>'[1]2021 УГРЦТ'!Y90</f>
        <v>77681.318666666659</v>
      </c>
      <c r="J87" s="7">
        <f>'[1]2021 УГРЦТ'!Z90</f>
        <v>67971.661333333352</v>
      </c>
      <c r="K87" s="8">
        <v>0</v>
      </c>
      <c r="L87" s="7">
        <v>809.19</v>
      </c>
      <c r="M87" s="7"/>
      <c r="N87" s="7">
        <f t="shared" si="406"/>
        <v>9710.2800000000007</v>
      </c>
      <c r="O87" s="7">
        <f t="shared" si="408"/>
        <v>67162.471333333349</v>
      </c>
      <c r="P87" s="7">
        <f t="shared" si="506"/>
        <v>66353.281333333347</v>
      </c>
      <c r="Q87" s="7">
        <f t="shared" si="506"/>
        <v>65544.091333333345</v>
      </c>
      <c r="R87" s="7">
        <f t="shared" si="506"/>
        <v>64734.901333333342</v>
      </c>
      <c r="S87" s="7">
        <f t="shared" si="506"/>
        <v>63925.71133333334</v>
      </c>
      <c r="T87" s="7">
        <f t="shared" si="506"/>
        <v>63116.521333333338</v>
      </c>
      <c r="U87" s="7">
        <f t="shared" si="506"/>
        <v>62307.331333333335</v>
      </c>
      <c r="V87" s="7">
        <f t="shared" si="506"/>
        <v>61498.141333333333</v>
      </c>
      <c r="W87" s="7">
        <f t="shared" si="506"/>
        <v>60688.951333333331</v>
      </c>
      <c r="X87" s="7">
        <f t="shared" si="506"/>
        <v>59879.761333333328</v>
      </c>
      <c r="Y87" s="7">
        <f t="shared" si="506"/>
        <v>59070.571333333326</v>
      </c>
      <c r="Z87" s="7">
        <f t="shared" si="506"/>
        <v>58261.381333333324</v>
      </c>
      <c r="AA87" s="7"/>
      <c r="AB87" s="7"/>
      <c r="AC87" s="7">
        <f t="shared" si="410"/>
        <v>9710.2800000000007</v>
      </c>
      <c r="AD87" s="7">
        <f t="shared" si="411"/>
        <v>57452.191333333321</v>
      </c>
      <c r="AE87" s="7">
        <f t="shared" si="446"/>
        <v>56643.001333333319</v>
      </c>
      <c r="AF87" s="7">
        <f t="shared" si="446"/>
        <v>55833.811333333317</v>
      </c>
      <c r="AG87" s="7">
        <f t="shared" si="446"/>
        <v>55024.621333333314</v>
      </c>
      <c r="AH87" s="7">
        <f t="shared" si="446"/>
        <v>54215.431333333312</v>
      </c>
      <c r="AI87" s="7">
        <f t="shared" si="446"/>
        <v>53406.24133333331</v>
      </c>
      <c r="AJ87" s="7">
        <f t="shared" si="446"/>
        <v>52597.051333333307</v>
      </c>
      <c r="AK87" s="7">
        <f t="shared" si="446"/>
        <v>51787.861333333305</v>
      </c>
      <c r="AL87" s="7">
        <f t="shared" si="446"/>
        <v>50978.671333333303</v>
      </c>
      <c r="AM87" s="7">
        <f t="shared" si="446"/>
        <v>50169.4813333333</v>
      </c>
      <c r="AN87" s="7">
        <f t="shared" si="446"/>
        <v>49360.291333333298</v>
      </c>
      <c r="AO87" s="7">
        <f t="shared" si="446"/>
        <v>48551.101333333296</v>
      </c>
      <c r="AP87" s="222"/>
      <c r="AQ87" s="7">
        <v>809.19</v>
      </c>
      <c r="AR87" s="7">
        <f t="shared" si="412"/>
        <v>809.19000000000233</v>
      </c>
      <c r="AS87" s="7">
        <f t="shared" si="413"/>
        <v>2.2737367544323206E-12</v>
      </c>
      <c r="AT87" s="7">
        <f t="shared" si="448"/>
        <v>9710.2800000000007</v>
      </c>
      <c r="AU87" s="7">
        <f t="shared" si="449"/>
        <v>47741.911333333293</v>
      </c>
      <c r="AV87" s="7">
        <f t="shared" si="450"/>
        <v>46932.721333333291</v>
      </c>
      <c r="AW87" s="7">
        <f t="shared" si="450"/>
        <v>46123.531333333289</v>
      </c>
      <c r="AX87" s="7">
        <f t="shared" si="450"/>
        <v>45314.341333333286</v>
      </c>
      <c r="AY87" s="7">
        <f t="shared" si="450"/>
        <v>44505.151333333284</v>
      </c>
      <c r="AZ87" s="7">
        <f t="shared" si="450"/>
        <v>43695.961333333282</v>
      </c>
      <c r="BA87" s="7">
        <f t="shared" si="450"/>
        <v>42886.771333333279</v>
      </c>
      <c r="BB87" s="7">
        <f t="shared" si="450"/>
        <v>42077.581333333277</v>
      </c>
      <c r="BC87" s="7">
        <f t="shared" si="450"/>
        <v>41268.391333333275</v>
      </c>
      <c r="BD87" s="7">
        <f t="shared" si="450"/>
        <v>40459.201333333272</v>
      </c>
      <c r="BE87" s="7">
        <f t="shared" si="450"/>
        <v>39650.01133333327</v>
      </c>
      <c r="BF87" s="7">
        <f t="shared" si="450"/>
        <v>38840.821333333268</v>
      </c>
      <c r="BG87" s="236">
        <f t="shared" si="407"/>
        <v>0</v>
      </c>
      <c r="BH87" s="7">
        <v>809.19</v>
      </c>
      <c r="BI87" s="39">
        <f t="shared" si="485"/>
        <v>9710.2800000000007</v>
      </c>
      <c r="BJ87" s="7">
        <f t="shared" si="451"/>
        <v>38031.631333333266</v>
      </c>
      <c r="BK87" s="7">
        <f t="shared" si="452"/>
        <v>37222.441333333263</v>
      </c>
      <c r="BL87" s="7">
        <f t="shared" si="453"/>
        <v>36413.251333333261</v>
      </c>
      <c r="BM87" s="7">
        <f t="shared" si="454"/>
        <v>35604.061333333259</v>
      </c>
      <c r="BN87" s="7">
        <f t="shared" si="455"/>
        <v>34794.871333333256</v>
      </c>
      <c r="BO87" s="7">
        <f t="shared" si="456"/>
        <v>33985.681333333254</v>
      </c>
      <c r="BP87" s="7">
        <f t="shared" si="457"/>
        <v>33176.491333333252</v>
      </c>
      <c r="BQ87" s="7">
        <f t="shared" si="458"/>
        <v>32367.301333333253</v>
      </c>
      <c r="BR87" s="7">
        <f t="shared" si="459"/>
        <v>31558.111333333254</v>
      </c>
      <c r="BS87" s="7">
        <f t="shared" si="460"/>
        <v>30748.921333333255</v>
      </c>
      <c r="BT87" s="7">
        <f t="shared" si="461"/>
        <v>29939.731333333257</v>
      </c>
      <c r="BU87" s="7">
        <f t="shared" si="462"/>
        <v>29130.541333333258</v>
      </c>
      <c r="BV87" s="236">
        <v>0</v>
      </c>
      <c r="BW87" s="7">
        <v>809.19</v>
      </c>
      <c r="BX87" s="39">
        <f t="shared" si="486"/>
        <v>9710.2800000000007</v>
      </c>
      <c r="BY87" s="7">
        <f t="shared" si="487"/>
        <v>28321.351333333259</v>
      </c>
      <c r="BZ87" s="7">
        <f t="shared" si="463"/>
        <v>27512.161333333261</v>
      </c>
      <c r="CA87" s="7">
        <f t="shared" si="464"/>
        <v>26702.971333333262</v>
      </c>
      <c r="CB87" s="7">
        <f t="shared" si="465"/>
        <v>25893.781333333263</v>
      </c>
      <c r="CC87" s="7">
        <f t="shared" si="466"/>
        <v>25084.591333333265</v>
      </c>
      <c r="CD87" s="7">
        <f t="shared" si="467"/>
        <v>24275.401333333266</v>
      </c>
      <c r="CE87" s="7">
        <f t="shared" si="468"/>
        <v>23466.211333333267</v>
      </c>
      <c r="CF87" s="7">
        <f t="shared" si="488"/>
        <v>22657.021333333269</v>
      </c>
      <c r="CG87" s="7">
        <f t="shared" si="489"/>
        <v>21847.83133333327</v>
      </c>
      <c r="CH87" s="7">
        <f t="shared" si="490"/>
        <v>21038.641333333271</v>
      </c>
      <c r="CI87" s="7">
        <f t="shared" si="491"/>
        <v>20229.451333333272</v>
      </c>
      <c r="CJ87" s="7">
        <f t="shared" si="492"/>
        <v>19420.261333333274</v>
      </c>
      <c r="CK87" s="236">
        <v>0</v>
      </c>
      <c r="CL87" s="7">
        <v>809.19</v>
      </c>
      <c r="CM87" s="39">
        <f t="shared" si="493"/>
        <v>9710.2800000000007</v>
      </c>
      <c r="CN87" s="7">
        <f t="shared" si="494"/>
        <v>18611.071333333275</v>
      </c>
      <c r="CO87" s="7">
        <f t="shared" si="495"/>
        <v>17801.881333333276</v>
      </c>
      <c r="CP87" s="7">
        <f t="shared" si="496"/>
        <v>16992.691333333278</v>
      </c>
      <c r="CQ87" s="7">
        <f t="shared" si="497"/>
        <v>16183.501333333277</v>
      </c>
      <c r="CR87" s="7">
        <f t="shared" si="498"/>
        <v>15374.311333333277</v>
      </c>
      <c r="CS87" s="7">
        <f t="shared" si="499"/>
        <v>14565.121333333276</v>
      </c>
      <c r="CT87" s="7">
        <f t="shared" si="500"/>
        <v>13755.931333333276</v>
      </c>
      <c r="CU87" s="7">
        <f t="shared" si="501"/>
        <v>12946.741333333275</v>
      </c>
      <c r="CV87" s="7">
        <f t="shared" si="502"/>
        <v>12137.551333333275</v>
      </c>
      <c r="CW87" s="7">
        <f t="shared" si="503"/>
        <v>11328.361333333274</v>
      </c>
      <c r="CX87" s="7">
        <f t="shared" si="504"/>
        <v>10519.171333333274</v>
      </c>
      <c r="CY87" s="7">
        <f t="shared" si="505"/>
        <v>9709.9813333332731</v>
      </c>
      <c r="CZ87" s="236">
        <v>0</v>
      </c>
    </row>
    <row r="88" spans="1:104" x14ac:dyDescent="0.2">
      <c r="A88" s="6" t="str">
        <f>'[1]2021 УГРЦТ'!A91</f>
        <v>Распределительный шкаф РШ-5 ( ДГ №3)</v>
      </c>
      <c r="B88" t="str">
        <f>'[1]2021 УГРЦТ'!B91</f>
        <v>000001604</v>
      </c>
      <c r="C88" t="str">
        <f>'[1]2021 УГРЦТ'!C91</f>
        <v>ПРОИЗВОДСТВО</v>
      </c>
      <c r="D88" t="str">
        <f>'[1]2021 УГРЦТ'!D91</f>
        <v>Машины и оборудование (кроме офисного)</v>
      </c>
      <c r="E88" t="str">
        <f>'[1]2021 УГРЦТ'!E91</f>
        <v>31.12.2013</v>
      </c>
      <c r="F88" t="str">
        <f>'[1]2021 УГРЦТ'!F91</f>
        <v>Электрический цех</v>
      </c>
      <c r="G88">
        <f>'[1]2021 УГРЦТ'!AC91</f>
        <v>180</v>
      </c>
      <c r="H88" s="7">
        <f>'[1]2021 УГРЦТ'!X91</f>
        <v>145652.98000000001</v>
      </c>
      <c r="I88" s="7">
        <f>'[1]2021 УГРЦТ'!Y91</f>
        <v>77681.318666666659</v>
      </c>
      <c r="J88" s="7">
        <f>'[1]2021 УГРЦТ'!Z91</f>
        <v>67971.661333333352</v>
      </c>
      <c r="K88" s="8">
        <v>0</v>
      </c>
      <c r="L88" s="7">
        <v>809.18000000000018</v>
      </c>
      <c r="M88" s="7"/>
      <c r="N88" s="7">
        <f t="shared" si="406"/>
        <v>9710.1600000000017</v>
      </c>
      <c r="O88" s="7">
        <f t="shared" si="408"/>
        <v>67162.481333333359</v>
      </c>
      <c r="P88" s="7">
        <f t="shared" si="506"/>
        <v>66353.301333333366</v>
      </c>
      <c r="Q88" s="7">
        <f t="shared" si="506"/>
        <v>65544.121333333373</v>
      </c>
      <c r="R88" s="7">
        <f t="shared" si="506"/>
        <v>64734.941333333372</v>
      </c>
      <c r="S88" s="7">
        <f t="shared" si="506"/>
        <v>63925.761333333372</v>
      </c>
      <c r="T88" s="7">
        <f t="shared" si="506"/>
        <v>63116.581333333372</v>
      </c>
      <c r="U88" s="7">
        <f t="shared" si="506"/>
        <v>62307.401333333371</v>
      </c>
      <c r="V88" s="7">
        <f t="shared" si="506"/>
        <v>61498.221333333371</v>
      </c>
      <c r="W88" s="7">
        <f t="shared" si="506"/>
        <v>60689.041333333371</v>
      </c>
      <c r="X88" s="7">
        <f t="shared" si="506"/>
        <v>59879.861333333371</v>
      </c>
      <c r="Y88" s="7">
        <f t="shared" si="506"/>
        <v>59070.68133333337</v>
      </c>
      <c r="Z88" s="7">
        <f t="shared" si="506"/>
        <v>58261.50133333337</v>
      </c>
      <c r="AA88" s="7"/>
      <c r="AB88" s="7"/>
      <c r="AC88" s="7">
        <f t="shared" si="410"/>
        <v>9710.1600000000017</v>
      </c>
      <c r="AD88" s="7">
        <f t="shared" si="411"/>
        <v>57452.32133333337</v>
      </c>
      <c r="AE88" s="7">
        <f t="shared" si="446"/>
        <v>56643.141333333369</v>
      </c>
      <c r="AF88" s="7">
        <f t="shared" si="446"/>
        <v>55833.961333333369</v>
      </c>
      <c r="AG88" s="7">
        <f t="shared" si="446"/>
        <v>55024.781333333369</v>
      </c>
      <c r="AH88" s="7">
        <f t="shared" si="446"/>
        <v>54215.601333333369</v>
      </c>
      <c r="AI88" s="7">
        <f t="shared" si="446"/>
        <v>53406.421333333368</v>
      </c>
      <c r="AJ88" s="7">
        <f t="shared" si="446"/>
        <v>52597.241333333368</v>
      </c>
      <c r="AK88" s="7">
        <f t="shared" si="446"/>
        <v>51788.061333333368</v>
      </c>
      <c r="AL88" s="7">
        <f t="shared" si="446"/>
        <v>50978.881333333367</v>
      </c>
      <c r="AM88" s="7">
        <f t="shared" si="446"/>
        <v>50169.701333333367</v>
      </c>
      <c r="AN88" s="7">
        <f t="shared" si="446"/>
        <v>49360.521333333367</v>
      </c>
      <c r="AO88" s="7">
        <f t="shared" si="446"/>
        <v>48551.341333333366</v>
      </c>
      <c r="AP88" s="222"/>
      <c r="AQ88" s="7">
        <v>809.18000000000018</v>
      </c>
      <c r="AR88" s="7">
        <f t="shared" si="412"/>
        <v>809.18000000000029</v>
      </c>
      <c r="AS88" s="7">
        <f t="shared" si="413"/>
        <v>0</v>
      </c>
      <c r="AT88" s="7">
        <f t="shared" si="448"/>
        <v>9710.1600000000017</v>
      </c>
      <c r="AU88" s="7">
        <f t="shared" si="449"/>
        <v>47742.161333333366</v>
      </c>
      <c r="AV88" s="7">
        <f t="shared" si="450"/>
        <v>46932.981333333366</v>
      </c>
      <c r="AW88" s="7">
        <f t="shared" si="450"/>
        <v>46123.801333333366</v>
      </c>
      <c r="AX88" s="7">
        <f t="shared" si="450"/>
        <v>45314.621333333365</v>
      </c>
      <c r="AY88" s="7">
        <f t="shared" si="450"/>
        <v>44505.441333333365</v>
      </c>
      <c r="AZ88" s="7">
        <f t="shared" si="450"/>
        <v>43696.261333333365</v>
      </c>
      <c r="BA88" s="7">
        <f t="shared" si="450"/>
        <v>42887.081333333364</v>
      </c>
      <c r="BB88" s="7">
        <f t="shared" si="450"/>
        <v>42077.901333333364</v>
      </c>
      <c r="BC88" s="7">
        <f t="shared" si="450"/>
        <v>41268.721333333364</v>
      </c>
      <c r="BD88" s="7">
        <f t="shared" si="450"/>
        <v>40459.541333333364</v>
      </c>
      <c r="BE88" s="7">
        <f t="shared" si="450"/>
        <v>39650.361333333363</v>
      </c>
      <c r="BF88" s="7">
        <f t="shared" si="450"/>
        <v>38841.181333333363</v>
      </c>
      <c r="BG88" s="236">
        <f t="shared" si="407"/>
        <v>0</v>
      </c>
      <c r="BH88" s="7">
        <v>809.18000000000018</v>
      </c>
      <c r="BI88" s="39">
        <f t="shared" si="485"/>
        <v>9710.1600000000017</v>
      </c>
      <c r="BJ88" s="7">
        <f t="shared" si="451"/>
        <v>38032.001333333363</v>
      </c>
      <c r="BK88" s="7">
        <f t="shared" si="452"/>
        <v>37222.821333333362</v>
      </c>
      <c r="BL88" s="7">
        <f t="shared" si="453"/>
        <v>36413.641333333362</v>
      </c>
      <c r="BM88" s="7">
        <f t="shared" si="454"/>
        <v>35604.461333333362</v>
      </c>
      <c r="BN88" s="7">
        <f t="shared" si="455"/>
        <v>34795.281333333362</v>
      </c>
      <c r="BO88" s="7">
        <f t="shared" si="456"/>
        <v>33986.101333333361</v>
      </c>
      <c r="BP88" s="7">
        <f t="shared" si="457"/>
        <v>33176.921333333361</v>
      </c>
      <c r="BQ88" s="7">
        <f t="shared" si="458"/>
        <v>32367.741333333361</v>
      </c>
      <c r="BR88" s="7">
        <f t="shared" si="459"/>
        <v>31558.56133333336</v>
      </c>
      <c r="BS88" s="7">
        <f t="shared" si="460"/>
        <v>30749.38133333336</v>
      </c>
      <c r="BT88" s="7">
        <f t="shared" si="461"/>
        <v>29940.20133333336</v>
      </c>
      <c r="BU88" s="7">
        <f t="shared" si="462"/>
        <v>29131.02133333336</v>
      </c>
      <c r="BV88" s="236">
        <v>0</v>
      </c>
      <c r="BW88" s="7">
        <v>809.18000000000018</v>
      </c>
      <c r="BX88" s="39">
        <f t="shared" si="486"/>
        <v>9710.1600000000017</v>
      </c>
      <c r="BY88" s="7">
        <f t="shared" si="487"/>
        <v>28321.841333333359</v>
      </c>
      <c r="BZ88" s="7">
        <f t="shared" si="463"/>
        <v>27512.661333333359</v>
      </c>
      <c r="CA88" s="7">
        <f t="shared" si="464"/>
        <v>26703.481333333359</v>
      </c>
      <c r="CB88" s="7">
        <f t="shared" si="465"/>
        <v>25894.301333333358</v>
      </c>
      <c r="CC88" s="7">
        <f t="shared" si="466"/>
        <v>25085.121333333358</v>
      </c>
      <c r="CD88" s="7">
        <f t="shared" si="467"/>
        <v>24275.941333333358</v>
      </c>
      <c r="CE88" s="7">
        <f t="shared" si="468"/>
        <v>23466.761333333357</v>
      </c>
      <c r="CF88" s="7">
        <f t="shared" si="488"/>
        <v>22657.581333333357</v>
      </c>
      <c r="CG88" s="7">
        <f t="shared" si="489"/>
        <v>21848.401333333357</v>
      </c>
      <c r="CH88" s="7">
        <f t="shared" si="490"/>
        <v>21039.221333333357</v>
      </c>
      <c r="CI88" s="7">
        <f t="shared" si="491"/>
        <v>20230.041333333356</v>
      </c>
      <c r="CJ88" s="7">
        <f t="shared" si="492"/>
        <v>19420.861333333356</v>
      </c>
      <c r="CK88" s="236">
        <v>0</v>
      </c>
      <c r="CL88" s="7">
        <v>809.18000000000018</v>
      </c>
      <c r="CM88" s="39">
        <f t="shared" si="493"/>
        <v>9710.1600000000017</v>
      </c>
      <c r="CN88" s="7">
        <f t="shared" si="494"/>
        <v>18611.681333333356</v>
      </c>
      <c r="CO88" s="7">
        <f t="shared" si="495"/>
        <v>17802.501333333355</v>
      </c>
      <c r="CP88" s="7">
        <f t="shared" si="496"/>
        <v>16993.321333333355</v>
      </c>
      <c r="CQ88" s="7">
        <f t="shared" si="497"/>
        <v>16184.141333333355</v>
      </c>
      <c r="CR88" s="7">
        <f t="shared" si="498"/>
        <v>15374.961333333355</v>
      </c>
      <c r="CS88" s="7">
        <f t="shared" si="499"/>
        <v>14565.781333333354</v>
      </c>
      <c r="CT88" s="7">
        <f t="shared" si="500"/>
        <v>13756.601333333354</v>
      </c>
      <c r="CU88" s="7">
        <f t="shared" si="501"/>
        <v>12947.421333333354</v>
      </c>
      <c r="CV88" s="7">
        <f t="shared" si="502"/>
        <v>12138.241333333353</v>
      </c>
      <c r="CW88" s="7">
        <f t="shared" si="503"/>
        <v>11329.061333333353</v>
      </c>
      <c r="CX88" s="7">
        <f t="shared" si="504"/>
        <v>10519.881333333353</v>
      </c>
      <c r="CY88" s="7">
        <f t="shared" si="505"/>
        <v>9710.7013333333525</v>
      </c>
      <c r="CZ88" s="236">
        <v>0</v>
      </c>
    </row>
    <row r="89" spans="1:104" ht="22.5" x14ac:dyDescent="0.2">
      <c r="A89" s="6" t="str">
        <f>'[1]2021 УГРЦТ'!A92</f>
        <v>Распределительный шкаф РШ-8 (Маслосепараторная (старая))</v>
      </c>
      <c r="B89" t="str">
        <f>'[1]2021 УГРЦТ'!B92</f>
        <v>000001620</v>
      </c>
      <c r="C89" t="str">
        <f>'[1]2021 УГРЦТ'!C92</f>
        <v>ПРОИЗВОДСТВО</v>
      </c>
      <c r="D89" t="str">
        <f>'[1]2021 УГРЦТ'!D92</f>
        <v>Машины и оборудование (кроме офисного)</v>
      </c>
      <c r="E89" t="str">
        <f>'[1]2021 УГРЦТ'!E92</f>
        <v>31.05.2014</v>
      </c>
      <c r="F89" t="str">
        <f>'[1]2021 УГРЦТ'!F92</f>
        <v>Электрический цех</v>
      </c>
      <c r="G89">
        <f>'[1]2021 УГРЦТ'!AC92</f>
        <v>180</v>
      </c>
      <c r="H89" s="7">
        <f>'[1]2021 УГРЦТ'!X92</f>
        <v>217362.39</v>
      </c>
      <c r="I89" s="7">
        <f>'[1]2021 УГРЦТ'!Y92</f>
        <v>109888.856</v>
      </c>
      <c r="J89" s="7">
        <f>'[1]2021 УГРЦТ'!Z92</f>
        <v>107473.53400000001</v>
      </c>
      <c r="K89" s="8">
        <v>0</v>
      </c>
      <c r="L89" s="7">
        <v>1207.57</v>
      </c>
      <c r="M89" s="7"/>
      <c r="N89" s="7">
        <f t="shared" si="406"/>
        <v>14490.84</v>
      </c>
      <c r="O89" s="7">
        <f t="shared" si="408"/>
        <v>106265.96400000001</v>
      </c>
      <c r="P89" s="7">
        <f t="shared" si="506"/>
        <v>105058.394</v>
      </c>
      <c r="Q89" s="7">
        <f t="shared" si="506"/>
        <v>103850.82399999999</v>
      </c>
      <c r="R89" s="7">
        <f t="shared" si="506"/>
        <v>102643.25399999999</v>
      </c>
      <c r="S89" s="7">
        <f t="shared" si="506"/>
        <v>101435.68399999998</v>
      </c>
      <c r="T89" s="7">
        <f t="shared" si="506"/>
        <v>100228.11399999997</v>
      </c>
      <c r="U89" s="7">
        <f t="shared" si="506"/>
        <v>99020.543999999965</v>
      </c>
      <c r="V89" s="7">
        <f t="shared" si="506"/>
        <v>97812.973999999958</v>
      </c>
      <c r="W89" s="7">
        <f t="shared" si="506"/>
        <v>96605.403999999951</v>
      </c>
      <c r="X89" s="7">
        <f t="shared" si="506"/>
        <v>95397.833999999944</v>
      </c>
      <c r="Y89" s="7">
        <f t="shared" si="506"/>
        <v>94190.263999999937</v>
      </c>
      <c r="Z89" s="7">
        <f t="shared" si="506"/>
        <v>92982.69399999993</v>
      </c>
      <c r="AA89" s="7"/>
      <c r="AB89" s="7"/>
      <c r="AC89" s="7">
        <f t="shared" si="410"/>
        <v>14490.84</v>
      </c>
      <c r="AD89" s="7">
        <f t="shared" si="411"/>
        <v>91775.123999999923</v>
      </c>
      <c r="AE89" s="7">
        <f t="shared" si="446"/>
        <v>90567.553999999916</v>
      </c>
      <c r="AF89" s="7">
        <f t="shared" si="446"/>
        <v>89359.983999999909</v>
      </c>
      <c r="AG89" s="7">
        <f t="shared" si="446"/>
        <v>88152.413999999902</v>
      </c>
      <c r="AH89" s="7">
        <f t="shared" si="446"/>
        <v>86944.843999999895</v>
      </c>
      <c r="AI89" s="7">
        <f t="shared" si="446"/>
        <v>85737.273999999888</v>
      </c>
      <c r="AJ89" s="7">
        <f t="shared" si="446"/>
        <v>84529.703999999881</v>
      </c>
      <c r="AK89" s="7">
        <f t="shared" si="446"/>
        <v>83322.133999999875</v>
      </c>
      <c r="AL89" s="7">
        <f t="shared" si="446"/>
        <v>82114.563999999868</v>
      </c>
      <c r="AM89" s="7">
        <f t="shared" si="446"/>
        <v>80906.993999999861</v>
      </c>
      <c r="AN89" s="7">
        <f t="shared" si="446"/>
        <v>79699.423999999854</v>
      </c>
      <c r="AO89" s="7">
        <f t="shared" si="446"/>
        <v>78491.853999999847</v>
      </c>
      <c r="AP89" s="222"/>
      <c r="AQ89" s="7">
        <v>1207.57</v>
      </c>
      <c r="AR89" s="7">
        <f t="shared" si="412"/>
        <v>1207.570000000007</v>
      </c>
      <c r="AS89" s="7">
        <f t="shared" si="413"/>
        <v>7.0485839387401938E-12</v>
      </c>
      <c r="AT89" s="7">
        <f t="shared" si="448"/>
        <v>14490.84</v>
      </c>
      <c r="AU89" s="7">
        <f t="shared" si="449"/>
        <v>77284.28399999984</v>
      </c>
      <c r="AV89" s="7">
        <f t="shared" si="450"/>
        <v>76076.713999999833</v>
      </c>
      <c r="AW89" s="7">
        <f t="shared" si="450"/>
        <v>74869.143999999826</v>
      </c>
      <c r="AX89" s="7">
        <f t="shared" si="450"/>
        <v>73661.573999999819</v>
      </c>
      <c r="AY89" s="7">
        <f t="shared" si="450"/>
        <v>72454.003999999812</v>
      </c>
      <c r="AZ89" s="7">
        <f t="shared" si="450"/>
        <v>71246.433999999805</v>
      </c>
      <c r="BA89" s="7">
        <f t="shared" si="450"/>
        <v>70038.863999999798</v>
      </c>
      <c r="BB89" s="7">
        <f t="shared" si="450"/>
        <v>68831.293999999791</v>
      </c>
      <c r="BC89" s="7">
        <f t="shared" si="450"/>
        <v>67623.723999999784</v>
      </c>
      <c r="BD89" s="7">
        <f t="shared" si="450"/>
        <v>66416.153999999777</v>
      </c>
      <c r="BE89" s="7">
        <f t="shared" si="450"/>
        <v>65208.583999999777</v>
      </c>
      <c r="BF89" s="7">
        <f t="shared" si="450"/>
        <v>64001.013999999777</v>
      </c>
      <c r="BG89" s="236">
        <f t="shared" si="407"/>
        <v>0</v>
      </c>
      <c r="BH89" s="7">
        <v>1207.57</v>
      </c>
      <c r="BI89" s="39">
        <f t="shared" si="485"/>
        <v>14490.84</v>
      </c>
      <c r="BJ89" s="7">
        <f t="shared" si="451"/>
        <v>62793.443999999778</v>
      </c>
      <c r="BK89" s="7">
        <f t="shared" si="452"/>
        <v>61585.873999999778</v>
      </c>
      <c r="BL89" s="7">
        <f t="shared" si="453"/>
        <v>60378.303999999778</v>
      </c>
      <c r="BM89" s="7">
        <f t="shared" si="454"/>
        <v>59170.733999999778</v>
      </c>
      <c r="BN89" s="7">
        <f t="shared" si="455"/>
        <v>57963.163999999779</v>
      </c>
      <c r="BO89" s="7">
        <f t="shared" si="456"/>
        <v>56755.593999999779</v>
      </c>
      <c r="BP89" s="7">
        <f t="shared" si="457"/>
        <v>55548.023999999779</v>
      </c>
      <c r="BQ89" s="7">
        <f t="shared" si="458"/>
        <v>54340.45399999978</v>
      </c>
      <c r="BR89" s="7">
        <f t="shared" si="459"/>
        <v>53132.88399999978</v>
      </c>
      <c r="BS89" s="7">
        <f t="shared" si="460"/>
        <v>51925.31399999978</v>
      </c>
      <c r="BT89" s="7">
        <f t="shared" si="461"/>
        <v>50717.74399999978</v>
      </c>
      <c r="BU89" s="7">
        <f t="shared" si="462"/>
        <v>49510.173999999781</v>
      </c>
      <c r="BV89" s="236">
        <v>0</v>
      </c>
      <c r="BW89" s="7">
        <v>1207.57</v>
      </c>
      <c r="BX89" s="39">
        <f t="shared" si="486"/>
        <v>14490.84</v>
      </c>
      <c r="BY89" s="7">
        <f t="shared" si="487"/>
        <v>48302.603999999781</v>
      </c>
      <c r="BZ89" s="7">
        <f t="shared" si="463"/>
        <v>47095.033999999781</v>
      </c>
      <c r="CA89" s="7">
        <f t="shared" si="464"/>
        <v>45887.463999999782</v>
      </c>
      <c r="CB89" s="7">
        <f t="shared" si="465"/>
        <v>44679.893999999782</v>
      </c>
      <c r="CC89" s="7">
        <f t="shared" si="466"/>
        <v>43472.323999999782</v>
      </c>
      <c r="CD89" s="7">
        <f t="shared" si="467"/>
        <v>42264.753999999783</v>
      </c>
      <c r="CE89" s="7">
        <f t="shared" si="468"/>
        <v>41057.183999999783</v>
      </c>
      <c r="CF89" s="7">
        <f t="shared" si="488"/>
        <v>39849.613999999783</v>
      </c>
      <c r="CG89" s="7">
        <f t="shared" si="489"/>
        <v>38642.043999999783</v>
      </c>
      <c r="CH89" s="7">
        <f t="shared" si="490"/>
        <v>37434.473999999784</v>
      </c>
      <c r="CI89" s="7">
        <f t="shared" si="491"/>
        <v>36226.903999999784</v>
      </c>
      <c r="CJ89" s="7">
        <f t="shared" si="492"/>
        <v>35019.333999999784</v>
      </c>
      <c r="CK89" s="236">
        <v>0</v>
      </c>
      <c r="CL89" s="7">
        <v>1207.57</v>
      </c>
      <c r="CM89" s="39">
        <f t="shared" si="493"/>
        <v>14490.84</v>
      </c>
      <c r="CN89" s="7">
        <f t="shared" si="494"/>
        <v>33811.763999999785</v>
      </c>
      <c r="CO89" s="7">
        <f t="shared" si="495"/>
        <v>32604.193999999785</v>
      </c>
      <c r="CP89" s="7">
        <f t="shared" si="496"/>
        <v>31396.623999999785</v>
      </c>
      <c r="CQ89" s="7">
        <f t="shared" si="497"/>
        <v>30189.053999999785</v>
      </c>
      <c r="CR89" s="7">
        <f t="shared" si="498"/>
        <v>28981.483999999786</v>
      </c>
      <c r="CS89" s="7">
        <f t="shared" si="499"/>
        <v>27773.913999999786</v>
      </c>
      <c r="CT89" s="7">
        <f t="shared" si="500"/>
        <v>26566.343999999786</v>
      </c>
      <c r="CU89" s="7">
        <f t="shared" si="501"/>
        <v>25358.773999999787</v>
      </c>
      <c r="CV89" s="7">
        <f t="shared" si="502"/>
        <v>24151.203999999787</v>
      </c>
      <c r="CW89" s="7">
        <f t="shared" si="503"/>
        <v>22943.633999999787</v>
      </c>
      <c r="CX89" s="7">
        <f t="shared" si="504"/>
        <v>21736.063999999787</v>
      </c>
      <c r="CY89" s="7">
        <f t="shared" si="505"/>
        <v>20528.493999999788</v>
      </c>
      <c r="CZ89" s="236">
        <v>0</v>
      </c>
    </row>
    <row r="90" spans="1:104" x14ac:dyDescent="0.2">
      <c r="A90" s="6" t="str">
        <f>'[1]2021 УГРЦТ'!A93</f>
        <v>Распределительный шкаф РШ-9</v>
      </c>
      <c r="B90" t="str">
        <f>'[1]2021 УГРЦТ'!B93</f>
        <v>000001658</v>
      </c>
      <c r="C90" t="str">
        <f>'[1]2021 УГРЦТ'!C93</f>
        <v>ПРОИЗВОДСТВО</v>
      </c>
      <c r="D90" t="str">
        <f>'[1]2021 УГРЦТ'!D93</f>
        <v>Машины и оборудование (кроме офисного)</v>
      </c>
      <c r="E90" t="str">
        <f>'[1]2021 УГРЦТ'!E93</f>
        <v>30.06.2015</v>
      </c>
      <c r="F90" t="str">
        <f>'[1]2021 УГРЦТ'!F93</f>
        <v>Электрический цех</v>
      </c>
      <c r="G90">
        <f>'[1]2021 УГРЦТ'!AC93</f>
        <v>180</v>
      </c>
      <c r="H90" s="7">
        <f>'[1]2021 УГРЦТ'!X93</f>
        <v>135158.97</v>
      </c>
      <c r="I90" s="7">
        <f>'[1]2021 УГРЦТ'!Y93</f>
        <v>58568.678</v>
      </c>
      <c r="J90" s="7">
        <f>'[1]2021 УГРЦТ'!Z93</f>
        <v>76590.292000000001</v>
      </c>
      <c r="K90" s="8">
        <v>0</v>
      </c>
      <c r="L90" s="7">
        <v>750.89</v>
      </c>
      <c r="M90" s="7"/>
      <c r="N90" s="7">
        <f t="shared" si="406"/>
        <v>9010.68</v>
      </c>
      <c r="O90" s="7">
        <f t="shared" si="408"/>
        <v>75839.402000000002</v>
      </c>
      <c r="P90" s="7">
        <f t="shared" si="506"/>
        <v>75088.512000000002</v>
      </c>
      <c r="Q90" s="7">
        <f t="shared" si="506"/>
        <v>74337.622000000003</v>
      </c>
      <c r="R90" s="7">
        <f t="shared" si="506"/>
        <v>73586.732000000004</v>
      </c>
      <c r="S90" s="7">
        <f t="shared" si="506"/>
        <v>72835.842000000004</v>
      </c>
      <c r="T90" s="7">
        <f t="shared" si="506"/>
        <v>72084.952000000005</v>
      </c>
      <c r="U90" s="7">
        <f t="shared" si="506"/>
        <v>71334.062000000005</v>
      </c>
      <c r="V90" s="7">
        <f t="shared" si="506"/>
        <v>70583.172000000006</v>
      </c>
      <c r="W90" s="7">
        <f t="shared" si="506"/>
        <v>69832.282000000007</v>
      </c>
      <c r="X90" s="7">
        <f t="shared" si="506"/>
        <v>69081.392000000007</v>
      </c>
      <c r="Y90" s="7">
        <f t="shared" si="506"/>
        <v>68330.502000000008</v>
      </c>
      <c r="Z90" s="7">
        <f t="shared" si="506"/>
        <v>67579.612000000008</v>
      </c>
      <c r="AA90" s="7"/>
      <c r="AB90" s="7"/>
      <c r="AC90" s="7">
        <f t="shared" si="410"/>
        <v>9010.68</v>
      </c>
      <c r="AD90" s="7">
        <f t="shared" si="411"/>
        <v>66828.722000000009</v>
      </c>
      <c r="AE90" s="7">
        <f t="shared" ref="AE90:AO98" si="507">AD90-$L90</f>
        <v>66077.832000000009</v>
      </c>
      <c r="AF90" s="7">
        <f t="shared" si="507"/>
        <v>65326.94200000001</v>
      </c>
      <c r="AG90" s="7">
        <f t="shared" si="507"/>
        <v>64576.052000000011</v>
      </c>
      <c r="AH90" s="7">
        <f t="shared" si="507"/>
        <v>63825.162000000011</v>
      </c>
      <c r="AI90" s="7">
        <f t="shared" si="507"/>
        <v>63074.272000000012</v>
      </c>
      <c r="AJ90" s="7">
        <f t="shared" si="507"/>
        <v>62323.382000000012</v>
      </c>
      <c r="AK90" s="7">
        <f t="shared" si="507"/>
        <v>61572.492000000013</v>
      </c>
      <c r="AL90" s="7">
        <f t="shared" si="507"/>
        <v>60821.602000000014</v>
      </c>
      <c r="AM90" s="7">
        <f t="shared" si="507"/>
        <v>60070.712000000014</v>
      </c>
      <c r="AN90" s="7">
        <f t="shared" si="507"/>
        <v>59319.822000000015</v>
      </c>
      <c r="AO90" s="7">
        <f t="shared" si="507"/>
        <v>58568.932000000015</v>
      </c>
      <c r="AP90" s="222"/>
      <c r="AQ90" s="7">
        <v>750.89</v>
      </c>
      <c r="AR90" s="7">
        <f t="shared" si="412"/>
        <v>750.88999999999942</v>
      </c>
      <c r="AS90" s="7">
        <f t="shared" si="413"/>
        <v>0</v>
      </c>
      <c r="AT90" s="7">
        <f t="shared" si="448"/>
        <v>9010.68</v>
      </c>
      <c r="AU90" s="7">
        <f t="shared" si="449"/>
        <v>57818.042000000016</v>
      </c>
      <c r="AV90" s="7">
        <f t="shared" si="450"/>
        <v>57067.152000000016</v>
      </c>
      <c r="AW90" s="7">
        <f t="shared" si="450"/>
        <v>56316.262000000017</v>
      </c>
      <c r="AX90" s="7">
        <f t="shared" si="450"/>
        <v>55565.372000000018</v>
      </c>
      <c r="AY90" s="7">
        <f t="shared" si="450"/>
        <v>54814.482000000018</v>
      </c>
      <c r="AZ90" s="7">
        <f t="shared" si="450"/>
        <v>54063.592000000019</v>
      </c>
      <c r="BA90" s="7">
        <f t="shared" si="450"/>
        <v>53312.702000000019</v>
      </c>
      <c r="BB90" s="7">
        <f t="shared" si="450"/>
        <v>52561.81200000002</v>
      </c>
      <c r="BC90" s="7">
        <f t="shared" si="450"/>
        <v>51810.92200000002</v>
      </c>
      <c r="BD90" s="7">
        <f t="shared" si="450"/>
        <v>51060.032000000021</v>
      </c>
      <c r="BE90" s="7">
        <f t="shared" si="450"/>
        <v>50309.142000000022</v>
      </c>
      <c r="BF90" s="7">
        <f t="shared" si="450"/>
        <v>49558.252000000022</v>
      </c>
      <c r="BG90" s="236">
        <f t="shared" si="407"/>
        <v>0</v>
      </c>
      <c r="BH90" s="7">
        <v>750.89</v>
      </c>
      <c r="BI90" s="39">
        <f t="shared" si="485"/>
        <v>9010.68</v>
      </c>
      <c r="BJ90" s="7">
        <f t="shared" si="451"/>
        <v>48807.362000000023</v>
      </c>
      <c r="BK90" s="7">
        <f t="shared" si="452"/>
        <v>48056.472000000023</v>
      </c>
      <c r="BL90" s="7">
        <f t="shared" si="453"/>
        <v>47305.582000000024</v>
      </c>
      <c r="BM90" s="7">
        <f t="shared" si="454"/>
        <v>46554.692000000025</v>
      </c>
      <c r="BN90" s="7">
        <f t="shared" si="455"/>
        <v>45803.802000000025</v>
      </c>
      <c r="BO90" s="7">
        <f t="shared" si="456"/>
        <v>45052.912000000026</v>
      </c>
      <c r="BP90" s="7">
        <f t="shared" si="457"/>
        <v>44302.022000000026</v>
      </c>
      <c r="BQ90" s="7">
        <f t="shared" si="458"/>
        <v>43551.132000000027</v>
      </c>
      <c r="BR90" s="7">
        <f t="shared" si="459"/>
        <v>42800.242000000027</v>
      </c>
      <c r="BS90" s="7">
        <f t="shared" si="460"/>
        <v>42049.352000000028</v>
      </c>
      <c r="BT90" s="7">
        <f t="shared" si="461"/>
        <v>41298.462000000029</v>
      </c>
      <c r="BU90" s="7">
        <f t="shared" si="462"/>
        <v>40547.572000000029</v>
      </c>
      <c r="BV90" s="236">
        <v>0</v>
      </c>
      <c r="BW90" s="7">
        <v>750.89</v>
      </c>
      <c r="BX90" s="39">
        <f t="shared" si="486"/>
        <v>9010.68</v>
      </c>
      <c r="BY90" s="7">
        <f t="shared" si="487"/>
        <v>39796.68200000003</v>
      </c>
      <c r="BZ90" s="7">
        <f t="shared" si="463"/>
        <v>39045.79200000003</v>
      </c>
      <c r="CA90" s="7">
        <f t="shared" si="464"/>
        <v>38294.902000000031</v>
      </c>
      <c r="CB90" s="7">
        <f t="shared" si="465"/>
        <v>37544.012000000032</v>
      </c>
      <c r="CC90" s="7">
        <f t="shared" si="466"/>
        <v>36793.122000000032</v>
      </c>
      <c r="CD90" s="7">
        <f t="shared" si="467"/>
        <v>36042.232000000033</v>
      </c>
      <c r="CE90" s="7">
        <f t="shared" si="468"/>
        <v>35291.342000000033</v>
      </c>
      <c r="CF90" s="7">
        <f t="shared" si="488"/>
        <v>34540.452000000034</v>
      </c>
      <c r="CG90" s="7">
        <f t="shared" si="489"/>
        <v>33789.562000000034</v>
      </c>
      <c r="CH90" s="7">
        <f t="shared" si="490"/>
        <v>33038.672000000035</v>
      </c>
      <c r="CI90" s="7">
        <f t="shared" si="491"/>
        <v>32287.782000000036</v>
      </c>
      <c r="CJ90" s="7">
        <f t="shared" si="492"/>
        <v>31536.892000000036</v>
      </c>
      <c r="CK90" s="236">
        <v>0</v>
      </c>
      <c r="CL90" s="7">
        <v>750.89</v>
      </c>
      <c r="CM90" s="39">
        <f t="shared" si="493"/>
        <v>9010.68</v>
      </c>
      <c r="CN90" s="7">
        <f t="shared" si="494"/>
        <v>30786.002000000037</v>
      </c>
      <c r="CO90" s="7">
        <f t="shared" si="495"/>
        <v>30035.112000000037</v>
      </c>
      <c r="CP90" s="7">
        <f t="shared" si="496"/>
        <v>29284.222000000038</v>
      </c>
      <c r="CQ90" s="7">
        <f t="shared" si="497"/>
        <v>28533.332000000039</v>
      </c>
      <c r="CR90" s="7">
        <f t="shared" si="498"/>
        <v>27782.442000000039</v>
      </c>
      <c r="CS90" s="7">
        <f t="shared" si="499"/>
        <v>27031.55200000004</v>
      </c>
      <c r="CT90" s="7">
        <f t="shared" si="500"/>
        <v>26280.66200000004</v>
      </c>
      <c r="CU90" s="7">
        <f t="shared" si="501"/>
        <v>25529.772000000041</v>
      </c>
      <c r="CV90" s="7">
        <f t="shared" si="502"/>
        <v>24778.882000000041</v>
      </c>
      <c r="CW90" s="7">
        <f t="shared" si="503"/>
        <v>24027.992000000042</v>
      </c>
      <c r="CX90" s="7">
        <f t="shared" si="504"/>
        <v>23277.102000000043</v>
      </c>
      <c r="CY90" s="7">
        <f t="shared" si="505"/>
        <v>22526.212000000043</v>
      </c>
      <c r="CZ90" s="236">
        <v>0</v>
      </c>
    </row>
    <row r="91" spans="1:104" ht="22.5" x14ac:dyDescent="0.2">
      <c r="A91" s="6" t="str">
        <f>'[1]2021 УГРЦТ'!A94</f>
        <v>РВС-400 (резервуар вертикальный стальной объемом 400 м3)</v>
      </c>
      <c r="B91" t="str">
        <f>'[1]2021 УГРЦТ'!B94</f>
        <v>000001784</v>
      </c>
      <c r="C91" t="str">
        <f>'[1]2021 УГРЦТ'!C94</f>
        <v>ПРОИЗВОДСТВО</v>
      </c>
      <c r="D91" t="str">
        <f>'[1]2021 УГРЦТ'!D94</f>
        <v>Сооружения</v>
      </c>
      <c r="E91" t="str">
        <f>'[1]2021 УГРЦТ'!E94</f>
        <v>17.12.2019</v>
      </c>
      <c r="F91" t="str">
        <f>'[1]2021 УГРЦТ'!F94</f>
        <v>Тепломеханический цех</v>
      </c>
      <c r="G91">
        <f>'[1]2021 УГРЦТ'!AC94</f>
        <v>120</v>
      </c>
      <c r="H91" s="7">
        <f>'[1]2021 УГРЦТ'!X94</f>
        <v>16224413.98</v>
      </c>
      <c r="I91" s="7">
        <f>'[1]2021 УГРЦТ'!Y94</f>
        <v>3244882.7979999995</v>
      </c>
      <c r="J91" s="7">
        <f>'[1]2021 УГРЦТ'!Z94</f>
        <v>12979531.182</v>
      </c>
      <c r="K91" s="8">
        <v>1</v>
      </c>
      <c r="L91" s="7">
        <v>135203.44999999998</v>
      </c>
      <c r="M91" s="7"/>
      <c r="N91" s="7">
        <f t="shared" si="406"/>
        <v>1622441.4</v>
      </c>
      <c r="O91" s="7">
        <f t="shared" si="408"/>
        <v>12844327.732000001</v>
      </c>
      <c r="P91" s="7">
        <f t="shared" si="506"/>
        <v>12709124.282000002</v>
      </c>
      <c r="Q91" s="7">
        <f t="shared" si="506"/>
        <v>12573920.832000002</v>
      </c>
      <c r="R91" s="7">
        <f t="shared" si="506"/>
        <v>12438717.382000003</v>
      </c>
      <c r="S91" s="7">
        <f t="shared" si="506"/>
        <v>12303513.932000004</v>
      </c>
      <c r="T91" s="7">
        <f t="shared" si="506"/>
        <v>12168310.482000005</v>
      </c>
      <c r="U91" s="7">
        <f t="shared" si="506"/>
        <v>12033107.032000005</v>
      </c>
      <c r="V91" s="7">
        <f t="shared" si="506"/>
        <v>11897903.582000006</v>
      </c>
      <c r="W91" s="7">
        <f t="shared" si="506"/>
        <v>11762700.132000007</v>
      </c>
      <c r="X91" s="7">
        <f t="shared" si="506"/>
        <v>11627496.682000007</v>
      </c>
      <c r="Y91" s="7">
        <f t="shared" si="506"/>
        <v>11492293.232000008</v>
      </c>
      <c r="Z91" s="7">
        <f t="shared" si="506"/>
        <v>11357089.782000009</v>
      </c>
      <c r="AA91" s="7">
        <f t="shared" ref="AA91:AA92" si="508">SUM(O91:Z91,J91)/13*$AA$1</f>
        <v>267702.83060400008</v>
      </c>
      <c r="AB91" s="7"/>
      <c r="AC91" s="7">
        <f t="shared" si="410"/>
        <v>1622441.4</v>
      </c>
      <c r="AD91" s="7">
        <f t="shared" si="411"/>
        <v>11221886.33200001</v>
      </c>
      <c r="AE91" s="7">
        <f t="shared" si="507"/>
        <v>11086682.88200001</v>
      </c>
      <c r="AF91" s="7">
        <f t="shared" si="507"/>
        <v>10951479.432000011</v>
      </c>
      <c r="AG91" s="7">
        <f t="shared" si="507"/>
        <v>10816275.982000012</v>
      </c>
      <c r="AH91" s="7">
        <f t="shared" si="507"/>
        <v>10681072.532000013</v>
      </c>
      <c r="AI91" s="7">
        <f t="shared" si="507"/>
        <v>10545869.082000013</v>
      </c>
      <c r="AJ91" s="7">
        <f t="shared" si="507"/>
        <v>10410665.632000014</v>
      </c>
      <c r="AK91" s="7">
        <f t="shared" si="507"/>
        <v>10275462.182000015</v>
      </c>
      <c r="AL91" s="7">
        <f t="shared" si="507"/>
        <v>10140258.732000016</v>
      </c>
      <c r="AM91" s="7">
        <f t="shared" si="507"/>
        <v>10005055.282000016</v>
      </c>
      <c r="AN91" s="7">
        <f t="shared" si="507"/>
        <v>9869851.8320000172</v>
      </c>
      <c r="AO91" s="7">
        <f t="shared" si="507"/>
        <v>9734648.3820000179</v>
      </c>
      <c r="AP91" s="222">
        <f>IF(K91&lt;1,0,SUM(AD91:AO91,Z91)/13*$BG$1)</f>
        <v>232009.11980400028</v>
      </c>
      <c r="AQ91" s="7">
        <v>135203.44999999998</v>
      </c>
      <c r="AR91" s="7">
        <f t="shared" si="412"/>
        <v>135203.44999999925</v>
      </c>
      <c r="AS91" s="7">
        <f t="shared" si="413"/>
        <v>-7.2759576141834259E-10</v>
      </c>
      <c r="AT91" s="7">
        <f t="shared" si="448"/>
        <v>1622441.4</v>
      </c>
      <c r="AU91" s="7">
        <f t="shared" si="449"/>
        <v>9599444.9320000187</v>
      </c>
      <c r="AV91" s="7">
        <f t="shared" ref="AV91:BF98" si="509">AU91-$L91</f>
        <v>9464241.4820000194</v>
      </c>
      <c r="AW91" s="7">
        <f t="shared" si="509"/>
        <v>9329038.0320000201</v>
      </c>
      <c r="AX91" s="7">
        <f t="shared" si="509"/>
        <v>9193834.5820000209</v>
      </c>
      <c r="AY91" s="7">
        <f t="shared" si="509"/>
        <v>9058631.1320000216</v>
      </c>
      <c r="AZ91" s="7">
        <f t="shared" si="509"/>
        <v>8923427.6820000224</v>
      </c>
      <c r="BA91" s="7">
        <f t="shared" si="509"/>
        <v>8788224.2320000231</v>
      </c>
      <c r="BB91" s="7">
        <f t="shared" si="509"/>
        <v>8653020.7820000239</v>
      </c>
      <c r="BC91" s="7">
        <f t="shared" si="509"/>
        <v>8517817.3320000246</v>
      </c>
      <c r="BD91" s="7">
        <f t="shared" si="509"/>
        <v>8382613.8820000244</v>
      </c>
      <c r="BE91" s="7">
        <f t="shared" si="509"/>
        <v>8247410.4320000242</v>
      </c>
      <c r="BF91" s="7">
        <f t="shared" si="509"/>
        <v>8112206.9820000241</v>
      </c>
      <c r="BG91" s="236">
        <f t="shared" si="407"/>
        <v>196315.40900400048</v>
      </c>
      <c r="BH91" s="7">
        <v>135203.44999999998</v>
      </c>
      <c r="BI91" s="39">
        <f t="shared" si="485"/>
        <v>1622441.4</v>
      </c>
      <c r="BJ91" s="7">
        <f t="shared" si="451"/>
        <v>7977003.5320000239</v>
      </c>
      <c r="BK91" s="7">
        <f t="shared" si="452"/>
        <v>7841800.0820000237</v>
      </c>
      <c r="BL91" s="7">
        <f t="shared" si="453"/>
        <v>7706596.6320000235</v>
      </c>
      <c r="BM91" s="7">
        <f t="shared" si="454"/>
        <v>7571393.1820000233</v>
      </c>
      <c r="BN91" s="7">
        <f t="shared" si="455"/>
        <v>7436189.7320000231</v>
      </c>
      <c r="BO91" s="7">
        <f t="shared" si="456"/>
        <v>7300986.2820000229</v>
      </c>
      <c r="BP91" s="7">
        <f t="shared" si="457"/>
        <v>7165782.8320000228</v>
      </c>
      <c r="BQ91" s="7">
        <f t="shared" si="458"/>
        <v>7030579.3820000226</v>
      </c>
      <c r="BR91" s="7">
        <f t="shared" si="459"/>
        <v>6895375.9320000224</v>
      </c>
      <c r="BS91" s="7">
        <f t="shared" si="460"/>
        <v>6760172.4820000222</v>
      </c>
      <c r="BT91" s="7">
        <f t="shared" si="461"/>
        <v>6624969.032000022</v>
      </c>
      <c r="BU91" s="7">
        <f t="shared" si="462"/>
        <v>6489765.5820000218</v>
      </c>
      <c r="BV91" s="236">
        <f>IF(Z91&lt;1,0,SUM(BJ91:BU91,BF91)/13*$BG$1)</f>
        <v>160621.69820400048</v>
      </c>
      <c r="BW91" s="7">
        <v>135203.44999999998</v>
      </c>
      <c r="BX91" s="39">
        <f t="shared" si="486"/>
        <v>1622441.4</v>
      </c>
      <c r="BY91" s="7">
        <f t="shared" si="487"/>
        <v>6354562.1320000216</v>
      </c>
      <c r="BZ91" s="7">
        <f t="shared" si="463"/>
        <v>6219358.6820000215</v>
      </c>
      <c r="CA91" s="7">
        <f t="shared" si="464"/>
        <v>6084155.2320000213</v>
      </c>
      <c r="CB91" s="7">
        <f t="shared" si="465"/>
        <v>5948951.7820000211</v>
      </c>
      <c r="CC91" s="7">
        <f t="shared" si="466"/>
        <v>5813748.3320000209</v>
      </c>
      <c r="CD91" s="7">
        <f t="shared" si="467"/>
        <v>5678544.8820000207</v>
      </c>
      <c r="CE91" s="7">
        <f t="shared" si="468"/>
        <v>5543341.4320000205</v>
      </c>
      <c r="CF91" s="7">
        <f t="shared" si="488"/>
        <v>5408137.9820000203</v>
      </c>
      <c r="CG91" s="7">
        <f t="shared" si="489"/>
        <v>5272934.5320000201</v>
      </c>
      <c r="CH91" s="7">
        <f t="shared" si="490"/>
        <v>5137731.08200002</v>
      </c>
      <c r="CI91" s="7">
        <f t="shared" si="491"/>
        <v>5002527.6320000198</v>
      </c>
      <c r="CJ91" s="7">
        <f t="shared" si="492"/>
        <v>4867324.1820000196</v>
      </c>
      <c r="CK91" s="236">
        <f>IF(AO91&lt;1,0,SUM(BY91:CJ91,BU91)/13*$BG$1)</f>
        <v>124927.98740400042</v>
      </c>
      <c r="CL91" s="7">
        <v>135203.44999999998</v>
      </c>
      <c r="CM91" s="39">
        <f t="shared" si="493"/>
        <v>1622441.4</v>
      </c>
      <c r="CN91" s="7">
        <f t="shared" si="494"/>
        <v>4732120.7320000194</v>
      </c>
      <c r="CO91" s="7">
        <f t="shared" si="495"/>
        <v>4596917.2820000192</v>
      </c>
      <c r="CP91" s="7">
        <f t="shared" si="496"/>
        <v>4461713.832000019</v>
      </c>
      <c r="CQ91" s="7">
        <f t="shared" si="497"/>
        <v>4326510.3820000188</v>
      </c>
      <c r="CR91" s="7">
        <f t="shared" si="498"/>
        <v>4191306.9320000187</v>
      </c>
      <c r="CS91" s="7">
        <f t="shared" si="499"/>
        <v>4056103.4820000185</v>
      </c>
      <c r="CT91" s="7">
        <f t="shared" si="500"/>
        <v>3920900.0320000183</v>
      </c>
      <c r="CU91" s="7">
        <f t="shared" si="501"/>
        <v>3785696.5820000181</v>
      </c>
      <c r="CV91" s="7">
        <f t="shared" si="502"/>
        <v>3650493.1320000179</v>
      </c>
      <c r="CW91" s="7">
        <f t="shared" si="503"/>
        <v>3515289.6820000177</v>
      </c>
      <c r="CX91" s="7">
        <f t="shared" si="504"/>
        <v>3380086.2320000175</v>
      </c>
      <c r="CY91" s="7">
        <f t="shared" si="505"/>
        <v>3244882.7820000174</v>
      </c>
      <c r="CZ91" s="236">
        <f>IF(BF91&lt;1,0,SUM(CN91:CY91,CJ91)/13*$BG$1)</f>
        <v>89234.276604000406</v>
      </c>
    </row>
    <row r="92" spans="1:104" x14ac:dyDescent="0.2">
      <c r="A92" s="6" t="str">
        <f>'[1]2021 УГРЦТ'!A95</f>
        <v>Резервуар горизонтальный стальной, РГСН-10м3</v>
      </c>
      <c r="B92" t="str">
        <f>'[1]2021 УГРЦТ'!B95</f>
        <v>000001831</v>
      </c>
      <c r="C92" t="str">
        <f>'[1]2021 УГРЦТ'!C95</f>
        <v>ПРОИЗВОДСТВО</v>
      </c>
      <c r="D92" t="str">
        <f>'[1]2021 УГРЦТ'!D95</f>
        <v>Сооружения</v>
      </c>
      <c r="E92" t="str">
        <f>'[1]2021 УГРЦТ'!E95</f>
        <v>30.12.2020</v>
      </c>
      <c r="F92" t="str">
        <f>'[1]2021 УГРЦТ'!F95</f>
        <v>ДЭС п.Красное</v>
      </c>
      <c r="G92">
        <f>'[1]2021 УГРЦТ'!AC95</f>
        <v>180</v>
      </c>
      <c r="H92" s="7">
        <f>'[1]2021 УГРЦТ'!X95</f>
        <v>688417.26</v>
      </c>
      <c r="I92" s="7">
        <f>'[1]2021 УГРЦТ'!Y95</f>
        <v>45894.483999999997</v>
      </c>
      <c r="J92" s="7">
        <f>'[1]2021 УГРЦТ'!Z95</f>
        <v>642522.77600000007</v>
      </c>
      <c r="K92" s="8">
        <v>1</v>
      </c>
      <c r="L92" s="7">
        <v>3824.5400000000004</v>
      </c>
      <c r="M92" s="7"/>
      <c r="N92" s="7">
        <f t="shared" si="406"/>
        <v>45894.48</v>
      </c>
      <c r="O92" s="7">
        <f t="shared" si="408"/>
        <v>638698.23600000003</v>
      </c>
      <c r="P92" s="7">
        <f t="shared" si="506"/>
        <v>634873.696</v>
      </c>
      <c r="Q92" s="7">
        <f t="shared" si="506"/>
        <v>631049.15599999996</v>
      </c>
      <c r="R92" s="7">
        <f t="shared" si="506"/>
        <v>627224.61599999992</v>
      </c>
      <c r="S92" s="7">
        <f t="shared" si="506"/>
        <v>623400.07599999988</v>
      </c>
      <c r="T92" s="7">
        <f t="shared" si="506"/>
        <v>619575.53599999985</v>
      </c>
      <c r="U92" s="7">
        <f t="shared" si="506"/>
        <v>615750.99599999981</v>
      </c>
      <c r="V92" s="7">
        <f t="shared" si="506"/>
        <v>611926.45599999977</v>
      </c>
      <c r="W92" s="7">
        <f t="shared" si="506"/>
        <v>608101.91599999974</v>
      </c>
      <c r="X92" s="7">
        <f t="shared" si="506"/>
        <v>604277.3759999997</v>
      </c>
      <c r="Y92" s="7">
        <f t="shared" si="506"/>
        <v>600452.83599999966</v>
      </c>
      <c r="Z92" s="7">
        <f t="shared" si="506"/>
        <v>596628.29599999962</v>
      </c>
      <c r="AA92" s="7">
        <f t="shared" si="508"/>
        <v>13630.661791999995</v>
      </c>
      <c r="AB92" s="7"/>
      <c r="AC92" s="7">
        <f t="shared" si="410"/>
        <v>45894.48</v>
      </c>
      <c r="AD92" s="7">
        <f t="shared" si="411"/>
        <v>592803.75599999959</v>
      </c>
      <c r="AE92" s="7">
        <f t="shared" si="507"/>
        <v>588979.21599999955</v>
      </c>
      <c r="AF92" s="7">
        <f t="shared" si="507"/>
        <v>585154.67599999951</v>
      </c>
      <c r="AG92" s="7">
        <f t="shared" si="507"/>
        <v>581330.13599999947</v>
      </c>
      <c r="AH92" s="7">
        <f t="shared" si="507"/>
        <v>577505.59599999944</v>
      </c>
      <c r="AI92" s="7">
        <f t="shared" si="507"/>
        <v>573681.0559999994</v>
      </c>
      <c r="AJ92" s="7">
        <f t="shared" si="507"/>
        <v>569856.51599999936</v>
      </c>
      <c r="AK92" s="7">
        <f t="shared" si="507"/>
        <v>566031.97599999933</v>
      </c>
      <c r="AL92" s="7">
        <f t="shared" si="507"/>
        <v>562207.43599999929</v>
      </c>
      <c r="AM92" s="7">
        <f t="shared" si="507"/>
        <v>558382.89599999925</v>
      </c>
      <c r="AN92" s="7">
        <f t="shared" si="507"/>
        <v>554558.35599999921</v>
      </c>
      <c r="AO92" s="7">
        <f t="shared" si="507"/>
        <v>550733.81599999918</v>
      </c>
      <c r="AP92" s="222">
        <f>IF(K92&lt;1,0,SUM(AD92:AO92,Z92)/13*$BG$1)</f>
        <v>12620.983231999986</v>
      </c>
      <c r="AQ92" s="7">
        <v>3824.5400000000004</v>
      </c>
      <c r="AR92" s="7">
        <f t="shared" si="412"/>
        <v>3824.5400000000373</v>
      </c>
      <c r="AS92" s="7">
        <f t="shared" si="413"/>
        <v>3.6834535421803594E-11</v>
      </c>
      <c r="AT92" s="7">
        <f t="shared" si="448"/>
        <v>45894.48</v>
      </c>
      <c r="AU92" s="7">
        <f t="shared" si="449"/>
        <v>546909.27599999914</v>
      </c>
      <c r="AV92" s="7">
        <f t="shared" si="509"/>
        <v>543084.7359999991</v>
      </c>
      <c r="AW92" s="7">
        <f t="shared" si="509"/>
        <v>539260.19599999906</v>
      </c>
      <c r="AX92" s="7">
        <f t="shared" si="509"/>
        <v>535435.65599999903</v>
      </c>
      <c r="AY92" s="7">
        <f t="shared" si="509"/>
        <v>531611.11599999899</v>
      </c>
      <c r="AZ92" s="7">
        <f t="shared" si="509"/>
        <v>527786.57599999895</v>
      </c>
      <c r="BA92" s="7">
        <f t="shared" si="509"/>
        <v>523962.03599999897</v>
      </c>
      <c r="BB92" s="7">
        <f t="shared" si="509"/>
        <v>520137.495999999</v>
      </c>
      <c r="BC92" s="7">
        <f t="shared" si="509"/>
        <v>516312.95599999902</v>
      </c>
      <c r="BD92" s="7">
        <f t="shared" si="509"/>
        <v>512488.41599999904</v>
      </c>
      <c r="BE92" s="7">
        <f t="shared" si="509"/>
        <v>508663.87599999906</v>
      </c>
      <c r="BF92" s="7">
        <f t="shared" si="509"/>
        <v>504839.33599999908</v>
      </c>
      <c r="BG92" s="236">
        <f t="shared" si="407"/>
        <v>11611.304671999982</v>
      </c>
      <c r="BH92" s="7">
        <v>3824.5400000000004</v>
      </c>
      <c r="BI92" s="39">
        <f t="shared" si="485"/>
        <v>45894.48</v>
      </c>
      <c r="BJ92" s="7">
        <f t="shared" si="451"/>
        <v>501014.7959999991</v>
      </c>
      <c r="BK92" s="7">
        <f t="shared" si="452"/>
        <v>497190.25599999912</v>
      </c>
      <c r="BL92" s="7">
        <f t="shared" si="453"/>
        <v>493365.71599999914</v>
      </c>
      <c r="BM92" s="7">
        <f t="shared" si="454"/>
        <v>489541.17599999916</v>
      </c>
      <c r="BN92" s="7">
        <f t="shared" si="455"/>
        <v>485716.63599999918</v>
      </c>
      <c r="BO92" s="7">
        <f t="shared" si="456"/>
        <v>481892.0959999992</v>
      </c>
      <c r="BP92" s="7">
        <f t="shared" si="457"/>
        <v>478067.55599999923</v>
      </c>
      <c r="BQ92" s="7">
        <f t="shared" si="458"/>
        <v>474243.01599999925</v>
      </c>
      <c r="BR92" s="7">
        <f t="shared" si="459"/>
        <v>470418.47599999927</v>
      </c>
      <c r="BS92" s="7">
        <f t="shared" si="460"/>
        <v>466593.93599999929</v>
      </c>
      <c r="BT92" s="7">
        <f t="shared" si="461"/>
        <v>462769.39599999931</v>
      </c>
      <c r="BU92" s="7">
        <f t="shared" si="462"/>
        <v>458944.85599999933</v>
      </c>
      <c r="BV92" s="236">
        <f>IF(Z92&lt;1,0,SUM(BJ92:BU92,BF92)/13*$BG$1)</f>
        <v>10601.626111999982</v>
      </c>
      <c r="BW92" s="7">
        <v>3824.5400000000004</v>
      </c>
      <c r="BX92" s="39">
        <f t="shared" si="486"/>
        <v>45894.48</v>
      </c>
      <c r="BY92" s="7">
        <f t="shared" si="487"/>
        <v>455120.31599999935</v>
      </c>
      <c r="BZ92" s="7">
        <f t="shared" si="463"/>
        <v>451295.77599999937</v>
      </c>
      <c r="CA92" s="7">
        <f t="shared" si="464"/>
        <v>447471.23599999939</v>
      </c>
      <c r="CB92" s="7">
        <f t="shared" si="465"/>
        <v>443646.69599999941</v>
      </c>
      <c r="CC92" s="7">
        <f t="shared" si="466"/>
        <v>439822.15599999944</v>
      </c>
      <c r="CD92" s="7">
        <f t="shared" si="467"/>
        <v>435997.61599999946</v>
      </c>
      <c r="CE92" s="7">
        <f t="shared" si="468"/>
        <v>432173.07599999948</v>
      </c>
      <c r="CF92" s="7">
        <f t="shared" si="488"/>
        <v>428348.5359999995</v>
      </c>
      <c r="CG92" s="7">
        <f t="shared" si="489"/>
        <v>424523.99599999952</v>
      </c>
      <c r="CH92" s="7">
        <f t="shared" si="490"/>
        <v>420699.45599999954</v>
      </c>
      <c r="CI92" s="7">
        <f t="shared" si="491"/>
        <v>416874.91599999956</v>
      </c>
      <c r="CJ92" s="7">
        <f t="shared" si="492"/>
        <v>413050.37599999958</v>
      </c>
      <c r="CK92" s="236">
        <f>IF(AO92&lt;1,0,SUM(BY92:CJ92,BU92)/13*$BG$1)</f>
        <v>9591.9475519999869</v>
      </c>
      <c r="CL92" s="7">
        <v>3824.5400000000004</v>
      </c>
      <c r="CM92" s="39">
        <f t="shared" si="493"/>
        <v>45894.48</v>
      </c>
      <c r="CN92" s="7">
        <f t="shared" si="494"/>
        <v>409225.8359999996</v>
      </c>
      <c r="CO92" s="7">
        <f t="shared" si="495"/>
        <v>405401.29599999962</v>
      </c>
      <c r="CP92" s="7">
        <f t="shared" si="496"/>
        <v>401576.75599999964</v>
      </c>
      <c r="CQ92" s="7">
        <f t="shared" si="497"/>
        <v>397752.21599999967</v>
      </c>
      <c r="CR92" s="7">
        <f t="shared" si="498"/>
        <v>393927.67599999969</v>
      </c>
      <c r="CS92" s="7">
        <f t="shared" si="499"/>
        <v>390103.13599999971</v>
      </c>
      <c r="CT92" s="7">
        <f t="shared" si="500"/>
        <v>386278.59599999973</v>
      </c>
      <c r="CU92" s="7">
        <f t="shared" si="501"/>
        <v>382454.05599999975</v>
      </c>
      <c r="CV92" s="7">
        <f t="shared" si="502"/>
        <v>378629.51599999977</v>
      </c>
      <c r="CW92" s="7">
        <f t="shared" si="503"/>
        <v>374804.97599999979</v>
      </c>
      <c r="CX92" s="7">
        <f t="shared" si="504"/>
        <v>370980.43599999981</v>
      </c>
      <c r="CY92" s="7">
        <f t="shared" si="505"/>
        <v>367155.89599999983</v>
      </c>
      <c r="CZ92" s="236">
        <f>IF(BF92&lt;1,0,SUM(CN92:CY92,CJ92)/13*$BG$1)</f>
        <v>8582.2689919999939</v>
      </c>
    </row>
    <row r="93" spans="1:104" x14ac:dyDescent="0.2">
      <c r="A93" s="6" t="str">
        <f>'[1]2021 УГРЦТ'!A96</f>
        <v>Ресивер</v>
      </c>
      <c r="B93" t="str">
        <f>'[1]2021 УГРЦТ'!B96</f>
        <v>00001187</v>
      </c>
      <c r="C93" t="str">
        <f>'[1]2021 УГРЦТ'!C96</f>
        <v>ПРОИЗВОДСТВО</v>
      </c>
      <c r="D93" t="str">
        <f>'[1]2021 УГРЦТ'!D96</f>
        <v>Машины и оборудование (кроме офисного)</v>
      </c>
      <c r="E93" t="str">
        <f>'[1]2021 УГРЦТ'!E96</f>
        <v>31.03.2010</v>
      </c>
      <c r="F93" t="str">
        <f>'[1]2021 УГРЦТ'!F96</f>
        <v>Газотурбинный цех</v>
      </c>
      <c r="G93">
        <f>'[1]2021 УГРЦТ'!AC96</f>
        <v>180</v>
      </c>
      <c r="H93" s="7">
        <f>'[1]2021 УГРЦТ'!X96</f>
        <v>310000</v>
      </c>
      <c r="I93" s="7">
        <f>'[1]2021 УГРЦТ'!Y96</f>
        <v>242833.04666666666</v>
      </c>
      <c r="J93" s="7">
        <f>'[1]2021 УГРЦТ'!Z96</f>
        <v>67166.953333333338</v>
      </c>
      <c r="K93" s="8">
        <v>0</v>
      </c>
      <c r="L93" s="7">
        <v>1722.23</v>
      </c>
      <c r="M93" s="7"/>
      <c r="N93" s="7">
        <f t="shared" si="406"/>
        <v>20666.760000000002</v>
      </c>
      <c r="O93" s="7">
        <f t="shared" si="408"/>
        <v>65444.723333333335</v>
      </c>
      <c r="P93" s="7">
        <f t="shared" si="506"/>
        <v>63722.493333333332</v>
      </c>
      <c r="Q93" s="7">
        <f t="shared" si="506"/>
        <v>62000.263333333329</v>
      </c>
      <c r="R93" s="7">
        <f t="shared" si="506"/>
        <v>60278.033333333326</v>
      </c>
      <c r="S93" s="7">
        <f t="shared" si="506"/>
        <v>58555.803333333322</v>
      </c>
      <c r="T93" s="7">
        <f t="shared" si="506"/>
        <v>56833.573333333319</v>
      </c>
      <c r="U93" s="7">
        <f t="shared" si="506"/>
        <v>55111.343333333316</v>
      </c>
      <c r="V93" s="7">
        <f t="shared" si="506"/>
        <v>53389.113333333313</v>
      </c>
      <c r="W93" s="7">
        <f t="shared" si="506"/>
        <v>51666.88333333331</v>
      </c>
      <c r="X93" s="7">
        <f t="shared" si="506"/>
        <v>49944.653333333306</v>
      </c>
      <c r="Y93" s="7">
        <f t="shared" si="506"/>
        <v>48222.423333333303</v>
      </c>
      <c r="Z93" s="7">
        <f t="shared" si="506"/>
        <v>46500.1933333333</v>
      </c>
      <c r="AA93" s="7"/>
      <c r="AB93" s="7"/>
      <c r="AC93" s="7">
        <f t="shared" si="410"/>
        <v>20666.760000000002</v>
      </c>
      <c r="AD93" s="7">
        <f t="shared" si="411"/>
        <v>44777.963333333297</v>
      </c>
      <c r="AE93" s="7">
        <f t="shared" si="507"/>
        <v>43055.733333333294</v>
      </c>
      <c r="AF93" s="7">
        <f t="shared" si="507"/>
        <v>41333.50333333329</v>
      </c>
      <c r="AG93" s="7">
        <f t="shared" si="507"/>
        <v>39611.273333333287</v>
      </c>
      <c r="AH93" s="7">
        <f t="shared" si="507"/>
        <v>37889.043333333284</v>
      </c>
      <c r="AI93" s="7">
        <f t="shared" si="507"/>
        <v>36166.813333333281</v>
      </c>
      <c r="AJ93" s="7">
        <f t="shared" si="507"/>
        <v>34444.583333333278</v>
      </c>
      <c r="AK93" s="7">
        <f t="shared" si="507"/>
        <v>32722.353333333278</v>
      </c>
      <c r="AL93" s="7">
        <f t="shared" si="507"/>
        <v>31000.123333333278</v>
      </c>
      <c r="AM93" s="7">
        <f t="shared" si="507"/>
        <v>29277.893333333279</v>
      </c>
      <c r="AN93" s="7">
        <f t="shared" si="507"/>
        <v>27555.663333333279</v>
      </c>
      <c r="AO93" s="7">
        <f t="shared" si="507"/>
        <v>25833.43333333328</v>
      </c>
      <c r="AP93" s="222"/>
      <c r="AQ93" s="7">
        <v>1722.23</v>
      </c>
      <c r="AR93" s="7">
        <f t="shared" si="412"/>
        <v>1722.2299999999996</v>
      </c>
      <c r="AS93" s="7">
        <f t="shared" si="413"/>
        <v>0</v>
      </c>
      <c r="AT93" s="7">
        <f t="shared" si="448"/>
        <v>20666.760000000002</v>
      </c>
      <c r="AU93" s="7">
        <f t="shared" si="449"/>
        <v>24111.20333333328</v>
      </c>
      <c r="AV93" s="7">
        <f t="shared" si="509"/>
        <v>22388.973333333281</v>
      </c>
      <c r="AW93" s="7">
        <f t="shared" si="509"/>
        <v>20666.743333333281</v>
      </c>
      <c r="AX93" s="7">
        <f t="shared" si="509"/>
        <v>18944.513333333281</v>
      </c>
      <c r="AY93" s="7">
        <f t="shared" si="509"/>
        <v>17222.283333333282</v>
      </c>
      <c r="AZ93" s="7">
        <f t="shared" si="509"/>
        <v>15500.053333333282</v>
      </c>
      <c r="BA93" s="7">
        <f t="shared" si="509"/>
        <v>13777.823333333283</v>
      </c>
      <c r="BB93" s="7">
        <f t="shared" si="509"/>
        <v>12055.593333333283</v>
      </c>
      <c r="BC93" s="7">
        <f t="shared" si="509"/>
        <v>10333.363333333284</v>
      </c>
      <c r="BD93" s="7">
        <f t="shared" si="509"/>
        <v>8611.1333333332841</v>
      </c>
      <c r="BE93" s="7">
        <f t="shared" si="509"/>
        <v>6888.9033333332845</v>
      </c>
      <c r="BF93" s="7">
        <f t="shared" si="509"/>
        <v>5166.673333333285</v>
      </c>
      <c r="BG93" s="236">
        <f t="shared" si="407"/>
        <v>0</v>
      </c>
      <c r="BH93" s="7">
        <v>1722.23</v>
      </c>
      <c r="BI93" s="39">
        <v>5166.67</v>
      </c>
      <c r="BJ93" s="7">
        <f t="shared" si="451"/>
        <v>3444.443333333285</v>
      </c>
      <c r="BK93" s="7">
        <f t="shared" si="452"/>
        <v>1722.2133333332849</v>
      </c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236">
        <v>0</v>
      </c>
      <c r="BW93" s="7">
        <v>1722.23</v>
      </c>
      <c r="BX93" s="39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236">
        <v>0</v>
      </c>
      <c r="CL93" s="7">
        <v>1722.23</v>
      </c>
      <c r="CM93" s="39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236">
        <v>0</v>
      </c>
    </row>
    <row r="94" spans="1:104" ht="22.5" x14ac:dyDescent="0.2">
      <c r="A94" s="6" t="str">
        <f>'[1]2021 УГРЦТ'!A97</f>
        <v>Рефлектометр импульсный РИ-307 с программным обеспечением IRView 5,0</v>
      </c>
      <c r="B94" t="str">
        <f>'[1]2021 УГРЦТ'!B97</f>
        <v>000001663</v>
      </c>
      <c r="C94" t="str">
        <f>'[1]2021 УГРЦТ'!C97</f>
        <v>ПРОИЗВОДСТВО</v>
      </c>
      <c r="D94" t="str">
        <f>'[1]2021 УГРЦТ'!D97</f>
        <v>Машины и оборудование (кроме офисного)</v>
      </c>
      <c r="E94" t="str">
        <f>'[1]2021 УГРЦТ'!E97</f>
        <v>30.09.2015</v>
      </c>
      <c r="F94" t="str">
        <f>'[1]2021 УГРЦТ'!F97</f>
        <v>Электрический цех</v>
      </c>
      <c r="G94">
        <f>'[1]2021 УГРЦТ'!AC97</f>
        <v>120</v>
      </c>
      <c r="H94" s="7">
        <f>'[1]2021 УГРЦТ'!X97</f>
        <v>88799.57</v>
      </c>
      <c r="I94" s="7">
        <f>'[1]2021 УГРЦТ'!Y97</f>
        <v>55499.957000000002</v>
      </c>
      <c r="J94" s="7">
        <f>'[1]2021 УГРЦТ'!Z97</f>
        <v>33299.613000000005</v>
      </c>
      <c r="K94" s="8">
        <v>0</v>
      </c>
      <c r="L94" s="7">
        <v>739.99</v>
      </c>
      <c r="M94" s="7"/>
      <c r="N94" s="7">
        <f t="shared" si="406"/>
        <v>8879.880000000001</v>
      </c>
      <c r="O94" s="7">
        <f t="shared" si="408"/>
        <v>32559.623000000003</v>
      </c>
      <c r="P94" s="7">
        <f t="shared" si="506"/>
        <v>31819.633000000002</v>
      </c>
      <c r="Q94" s="7">
        <f t="shared" si="506"/>
        <v>31079.643</v>
      </c>
      <c r="R94" s="7">
        <f t="shared" si="506"/>
        <v>30339.652999999998</v>
      </c>
      <c r="S94" s="7">
        <f t="shared" si="506"/>
        <v>29599.662999999997</v>
      </c>
      <c r="T94" s="7">
        <f t="shared" si="506"/>
        <v>28859.672999999995</v>
      </c>
      <c r="U94" s="7">
        <f t="shared" si="506"/>
        <v>28119.682999999994</v>
      </c>
      <c r="V94" s="7">
        <f t="shared" si="506"/>
        <v>27379.692999999992</v>
      </c>
      <c r="W94" s="7">
        <f t="shared" si="506"/>
        <v>26639.70299999999</v>
      </c>
      <c r="X94" s="7">
        <f t="shared" si="506"/>
        <v>25899.712999999989</v>
      </c>
      <c r="Y94" s="7">
        <f t="shared" si="506"/>
        <v>25159.722999999987</v>
      </c>
      <c r="Z94" s="7">
        <f t="shared" si="506"/>
        <v>24419.732999999986</v>
      </c>
      <c r="AA94" s="7"/>
      <c r="AB94" s="7"/>
      <c r="AC94" s="7">
        <f t="shared" si="410"/>
        <v>8879.880000000001</v>
      </c>
      <c r="AD94" s="7">
        <f t="shared" si="411"/>
        <v>23679.742999999984</v>
      </c>
      <c r="AE94" s="7">
        <f t="shared" si="507"/>
        <v>22939.752999999982</v>
      </c>
      <c r="AF94" s="7">
        <f t="shared" si="507"/>
        <v>22199.762999999981</v>
      </c>
      <c r="AG94" s="7">
        <f t="shared" si="507"/>
        <v>21459.772999999979</v>
      </c>
      <c r="AH94" s="7">
        <f t="shared" si="507"/>
        <v>20719.782999999978</v>
      </c>
      <c r="AI94" s="7">
        <f t="shared" si="507"/>
        <v>19979.792999999976</v>
      </c>
      <c r="AJ94" s="7">
        <f t="shared" si="507"/>
        <v>19239.802999999974</v>
      </c>
      <c r="AK94" s="7">
        <f t="shared" si="507"/>
        <v>18499.812999999973</v>
      </c>
      <c r="AL94" s="7">
        <f t="shared" si="507"/>
        <v>17759.822999999971</v>
      </c>
      <c r="AM94" s="7">
        <f t="shared" si="507"/>
        <v>17019.83299999997</v>
      </c>
      <c r="AN94" s="7">
        <f t="shared" si="507"/>
        <v>16279.84299999997</v>
      </c>
      <c r="AO94" s="7">
        <f t="shared" si="507"/>
        <v>15539.85299999997</v>
      </c>
      <c r="AP94" s="222"/>
      <c r="AQ94" s="7">
        <v>739.99</v>
      </c>
      <c r="AR94" s="7">
        <f t="shared" si="412"/>
        <v>739.98999999999978</v>
      </c>
      <c r="AS94" s="7">
        <f t="shared" si="413"/>
        <v>0</v>
      </c>
      <c r="AT94" s="7">
        <f t="shared" si="448"/>
        <v>8879.880000000001</v>
      </c>
      <c r="AU94" s="7">
        <f t="shared" si="449"/>
        <v>14799.86299999997</v>
      </c>
      <c r="AV94" s="7">
        <f t="shared" si="509"/>
        <v>14059.87299999997</v>
      </c>
      <c r="AW94" s="7">
        <f t="shared" si="509"/>
        <v>13319.882999999971</v>
      </c>
      <c r="AX94" s="7">
        <f t="shared" si="509"/>
        <v>12579.892999999971</v>
      </c>
      <c r="AY94" s="7">
        <f t="shared" si="509"/>
        <v>11839.902999999971</v>
      </c>
      <c r="AZ94" s="7">
        <f t="shared" si="509"/>
        <v>11099.912999999971</v>
      </c>
      <c r="BA94" s="7">
        <f t="shared" si="509"/>
        <v>10359.922999999972</v>
      </c>
      <c r="BB94" s="7">
        <f t="shared" si="509"/>
        <v>9619.9329999999718</v>
      </c>
      <c r="BC94" s="7">
        <f t="shared" si="509"/>
        <v>8879.942999999972</v>
      </c>
      <c r="BD94" s="7">
        <f t="shared" si="509"/>
        <v>8139.9529999999722</v>
      </c>
      <c r="BE94" s="7">
        <f t="shared" si="509"/>
        <v>7399.9629999999725</v>
      </c>
      <c r="BF94" s="7">
        <f t="shared" si="509"/>
        <v>6659.9729999999727</v>
      </c>
      <c r="BG94" s="236">
        <f t="shared" si="407"/>
        <v>0</v>
      </c>
      <c r="BH94" s="7">
        <v>739.99</v>
      </c>
      <c r="BI94" s="39">
        <v>6659.97</v>
      </c>
      <c r="BJ94" s="7">
        <f t="shared" si="451"/>
        <v>5919.9829999999729</v>
      </c>
      <c r="BK94" s="7">
        <f t="shared" si="452"/>
        <v>5179.9929999999731</v>
      </c>
      <c r="BL94" s="7">
        <f t="shared" si="453"/>
        <v>4440.0029999999733</v>
      </c>
      <c r="BM94" s="7">
        <f t="shared" si="454"/>
        <v>3700.0129999999735</v>
      </c>
      <c r="BN94" s="7">
        <f t="shared" si="455"/>
        <v>2960.0229999999738</v>
      </c>
      <c r="BO94" s="7">
        <f t="shared" si="456"/>
        <v>2220.032999999974</v>
      </c>
      <c r="BP94" s="7">
        <f t="shared" si="457"/>
        <v>1480.042999999974</v>
      </c>
      <c r="BQ94" s="7">
        <f t="shared" si="458"/>
        <v>740.05299999997396</v>
      </c>
      <c r="BR94" s="7">
        <f t="shared" si="459"/>
        <v>6.2999999973953891E-2</v>
      </c>
      <c r="BS94" s="7"/>
      <c r="BT94" s="7"/>
      <c r="BU94" s="7"/>
      <c r="BV94" s="236">
        <v>0</v>
      </c>
      <c r="BW94" s="7">
        <v>739.99</v>
      </c>
      <c r="BX94" s="39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236">
        <v>0</v>
      </c>
      <c r="CL94" s="7">
        <v>739.99</v>
      </c>
      <c r="CM94" s="39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236">
        <v>0</v>
      </c>
    </row>
    <row r="95" spans="1:104" x14ac:dyDescent="0.2">
      <c r="A95" s="6" t="str">
        <f>'[1]2021 УГРЦТ'!A98</f>
        <v>Септик FloTenk STA 1,5</v>
      </c>
      <c r="B95" t="str">
        <f>'[1]2021 УГРЦТ'!B98</f>
        <v>000001832</v>
      </c>
      <c r="C95" t="str">
        <f>'[1]2021 УГРЦТ'!C98</f>
        <v>ПРОИЗВОДСТВО</v>
      </c>
      <c r="D95" t="str">
        <f>'[1]2021 УГРЦТ'!D98</f>
        <v>Сооружения</v>
      </c>
      <c r="E95" t="str">
        <f>'[1]2021 УГРЦТ'!E98</f>
        <v>30.12.2020</v>
      </c>
      <c r="F95" t="str">
        <f>'[1]2021 УГРЦТ'!F98</f>
        <v>ДЭС п.Красное</v>
      </c>
      <c r="G95">
        <f>'[1]2021 УГРЦТ'!AC98</f>
        <v>180</v>
      </c>
      <c r="H95" s="7">
        <f>'[1]2021 УГРЦТ'!X98</f>
        <v>561601.46</v>
      </c>
      <c r="I95" s="7">
        <f>'[1]2021 УГРЦТ'!Y98</f>
        <v>37440.097333333331</v>
      </c>
      <c r="J95" s="7">
        <f>'[1]2021 УГРЦТ'!Z98</f>
        <v>524161.36266666662</v>
      </c>
      <c r="K95" s="8">
        <v>1</v>
      </c>
      <c r="L95" s="7">
        <v>3120.0100000000007</v>
      </c>
      <c r="M95" s="7"/>
      <c r="N95" s="7">
        <f t="shared" si="406"/>
        <v>37440.12000000001</v>
      </c>
      <c r="O95" s="7">
        <f t="shared" si="408"/>
        <v>521041.35266666661</v>
      </c>
      <c r="P95" s="7">
        <f t="shared" si="506"/>
        <v>517921.34266666661</v>
      </c>
      <c r="Q95" s="7">
        <f t="shared" si="506"/>
        <v>514801.3326666666</v>
      </c>
      <c r="R95" s="7">
        <f t="shared" si="506"/>
        <v>511681.32266666659</v>
      </c>
      <c r="S95" s="7">
        <f t="shared" si="506"/>
        <v>508561.31266666658</v>
      </c>
      <c r="T95" s="7">
        <f t="shared" si="506"/>
        <v>505441.30266666657</v>
      </c>
      <c r="U95" s="7">
        <f t="shared" si="506"/>
        <v>502321.29266666656</v>
      </c>
      <c r="V95" s="7">
        <f t="shared" si="506"/>
        <v>499201.28266666655</v>
      </c>
      <c r="W95" s="7">
        <f t="shared" si="506"/>
        <v>496081.27266666654</v>
      </c>
      <c r="X95" s="7">
        <f t="shared" si="506"/>
        <v>492961.26266666653</v>
      </c>
      <c r="Y95" s="7">
        <f t="shared" si="506"/>
        <v>489841.25266666652</v>
      </c>
      <c r="Z95" s="7">
        <f t="shared" si="506"/>
        <v>486721.24266666651</v>
      </c>
      <c r="AA95" s="7">
        <f>SUM(O95:Z95,J95)/13*$AA$1</f>
        <v>11119.708658666665</v>
      </c>
      <c r="AB95" s="7"/>
      <c r="AC95" s="7">
        <f t="shared" si="410"/>
        <v>37440.12000000001</v>
      </c>
      <c r="AD95" s="7">
        <f t="shared" si="411"/>
        <v>483601.2326666665</v>
      </c>
      <c r="AE95" s="7">
        <f t="shared" si="507"/>
        <v>480481.22266666649</v>
      </c>
      <c r="AF95" s="7">
        <f t="shared" si="507"/>
        <v>477361.21266666648</v>
      </c>
      <c r="AG95" s="7">
        <f t="shared" si="507"/>
        <v>474241.20266666648</v>
      </c>
      <c r="AH95" s="7">
        <f t="shared" si="507"/>
        <v>471121.19266666647</v>
      </c>
      <c r="AI95" s="7">
        <f t="shared" si="507"/>
        <v>468001.18266666646</v>
      </c>
      <c r="AJ95" s="7">
        <f t="shared" si="507"/>
        <v>464881.17266666645</v>
      </c>
      <c r="AK95" s="7">
        <f t="shared" si="507"/>
        <v>461761.16266666644</v>
      </c>
      <c r="AL95" s="7">
        <f t="shared" si="507"/>
        <v>458641.15266666643</v>
      </c>
      <c r="AM95" s="7">
        <f t="shared" si="507"/>
        <v>455521.14266666642</v>
      </c>
      <c r="AN95" s="7">
        <f t="shared" si="507"/>
        <v>452401.13266666641</v>
      </c>
      <c r="AO95" s="7">
        <f t="shared" si="507"/>
        <v>449281.1226666664</v>
      </c>
      <c r="AP95" s="222">
        <f>IF(K95&lt;1,0,SUM(AD95:AO95,Z95)/13*$BG$1)</f>
        <v>10296.026018666662</v>
      </c>
      <c r="AQ95" s="7">
        <v>3120.0100000000007</v>
      </c>
      <c r="AR95" s="7">
        <f t="shared" si="412"/>
        <v>3120.0100000000093</v>
      </c>
      <c r="AS95" s="7">
        <f t="shared" si="413"/>
        <v>8.6401996668428183E-12</v>
      </c>
      <c r="AT95" s="7">
        <f t="shared" si="448"/>
        <v>37440.12000000001</v>
      </c>
      <c r="AU95" s="7">
        <f t="shared" si="449"/>
        <v>446161.11266666639</v>
      </c>
      <c r="AV95" s="7">
        <f t="shared" si="509"/>
        <v>443041.10266666638</v>
      </c>
      <c r="AW95" s="7">
        <f t="shared" si="509"/>
        <v>439921.09266666637</v>
      </c>
      <c r="AX95" s="7">
        <f t="shared" si="509"/>
        <v>436801.08266666636</v>
      </c>
      <c r="AY95" s="7">
        <f t="shared" si="509"/>
        <v>433681.07266666635</v>
      </c>
      <c r="AZ95" s="7">
        <f t="shared" si="509"/>
        <v>430561.06266666634</v>
      </c>
      <c r="BA95" s="7">
        <f t="shared" si="509"/>
        <v>427441.05266666634</v>
      </c>
      <c r="BB95" s="7">
        <f t="shared" si="509"/>
        <v>424321.04266666633</v>
      </c>
      <c r="BC95" s="7">
        <f t="shared" si="509"/>
        <v>421201.03266666632</v>
      </c>
      <c r="BD95" s="7">
        <f t="shared" si="509"/>
        <v>418081.02266666631</v>
      </c>
      <c r="BE95" s="7">
        <f t="shared" si="509"/>
        <v>414961.0126666663</v>
      </c>
      <c r="BF95" s="7">
        <f t="shared" si="509"/>
        <v>411841.00266666629</v>
      </c>
      <c r="BG95" s="236">
        <f t="shared" si="407"/>
        <v>9472.3433786666592</v>
      </c>
      <c r="BH95" s="7">
        <v>3120.0100000000007</v>
      </c>
      <c r="BI95" s="39">
        <f>BH95*12</f>
        <v>37440.12000000001</v>
      </c>
      <c r="BJ95" s="7">
        <f t="shared" si="451"/>
        <v>408720.99266666628</v>
      </c>
      <c r="BK95" s="7">
        <f t="shared" si="452"/>
        <v>405600.98266666627</v>
      </c>
      <c r="BL95" s="7">
        <f t="shared" si="453"/>
        <v>402480.97266666626</v>
      </c>
      <c r="BM95" s="7">
        <f t="shared" si="454"/>
        <v>399360.96266666625</v>
      </c>
      <c r="BN95" s="7">
        <f t="shared" si="455"/>
        <v>396240.95266666624</v>
      </c>
      <c r="BO95" s="7">
        <f t="shared" si="456"/>
        <v>393120.94266666623</v>
      </c>
      <c r="BP95" s="7">
        <f t="shared" si="457"/>
        <v>390000.93266666622</v>
      </c>
      <c r="BQ95" s="7">
        <f t="shared" si="458"/>
        <v>386880.92266666621</v>
      </c>
      <c r="BR95" s="7">
        <f t="shared" si="459"/>
        <v>383760.91266666621</v>
      </c>
      <c r="BS95" s="7">
        <f t="shared" si="460"/>
        <v>380640.9026666662</v>
      </c>
      <c r="BT95" s="7">
        <f t="shared" si="461"/>
        <v>377520.89266666619</v>
      </c>
      <c r="BU95" s="7">
        <f t="shared" si="462"/>
        <v>374400.88266666618</v>
      </c>
      <c r="BV95" s="236">
        <f>IF(Z95&lt;1,0,SUM(BJ95:BU95,BF95)/13*$BG$1)</f>
        <v>8648.6607386666565</v>
      </c>
      <c r="BW95" s="7">
        <v>3120.0100000000007</v>
      </c>
      <c r="BX95" s="39">
        <f>BW95*12</f>
        <v>37440.12000000001</v>
      </c>
      <c r="BY95" s="7">
        <f>BU95-BW95</f>
        <v>371280.87266666617</v>
      </c>
      <c r="BZ95" s="7">
        <f t="shared" si="463"/>
        <v>368160.86266666616</v>
      </c>
      <c r="CA95" s="7">
        <f t="shared" ref="CA95:CA98" si="510">BZ95-$L95</f>
        <v>365040.85266666615</v>
      </c>
      <c r="CB95" s="7">
        <f t="shared" ref="CB95:CB98" si="511">CA95-$L95</f>
        <v>361920.84266666614</v>
      </c>
      <c r="CC95" s="7">
        <f t="shared" ref="CC95:CC98" si="512">CB95-$L95</f>
        <v>358800.83266666613</v>
      </c>
      <c r="CD95" s="7">
        <f t="shared" ref="CD95:CD98" si="513">CC95-$L95</f>
        <v>355680.82266666612</v>
      </c>
      <c r="CE95" s="7">
        <f t="shared" ref="CE95:CE98" si="514">CD95-$L95</f>
        <v>352560.81266666611</v>
      </c>
      <c r="CF95" s="7">
        <f t="shared" ref="CF95:CF98" si="515">CE95-$L95</f>
        <v>349440.8026666661</v>
      </c>
      <c r="CG95" s="7">
        <f t="shared" ref="CG95:CG98" si="516">CF95-$L95</f>
        <v>346320.79266666609</v>
      </c>
      <c r="CH95" s="7">
        <f t="shared" ref="CH95:CH98" si="517">CG95-$L95</f>
        <v>343200.78266666608</v>
      </c>
      <c r="CI95" s="7">
        <f t="shared" ref="CI95:CI98" si="518">CH95-$L95</f>
        <v>340080.77266666607</v>
      </c>
      <c r="CJ95" s="7">
        <f t="shared" ref="CJ95:CJ98" si="519">CI95-$L95</f>
        <v>336960.76266666607</v>
      </c>
      <c r="CK95" s="236">
        <f>IF(AO95&lt;1,0,SUM(BY95:CJ95,BU95)/13*$BG$1)</f>
        <v>7824.9780986666547</v>
      </c>
      <c r="CL95" s="7">
        <v>3120.0100000000007</v>
      </c>
      <c r="CM95" s="39">
        <f>CL95*12</f>
        <v>37440.12000000001</v>
      </c>
      <c r="CN95" s="7">
        <f>CJ95-CL95</f>
        <v>333840.75266666606</v>
      </c>
      <c r="CO95" s="7">
        <f t="shared" ref="CO95:CO98" si="520">CN95-$L95</f>
        <v>330720.74266666605</v>
      </c>
      <c r="CP95" s="7">
        <f t="shared" ref="CP95:CP98" si="521">CO95-$L95</f>
        <v>327600.73266666604</v>
      </c>
      <c r="CQ95" s="7">
        <f t="shared" ref="CQ95:CQ98" si="522">CP95-$L95</f>
        <v>324480.72266666603</v>
      </c>
      <c r="CR95" s="7">
        <f t="shared" ref="CR95:CR98" si="523">CQ95-$L95</f>
        <v>321360.71266666602</v>
      </c>
      <c r="CS95" s="7">
        <f t="shared" ref="CS95:CS98" si="524">CR95-$L95</f>
        <v>318240.70266666601</v>
      </c>
      <c r="CT95" s="7">
        <f t="shared" ref="CT95:CT98" si="525">CS95-$L95</f>
        <v>315120.692666666</v>
      </c>
      <c r="CU95" s="7">
        <f t="shared" ref="CU95:CU98" si="526">CT95-$L95</f>
        <v>312000.68266666599</v>
      </c>
      <c r="CV95" s="7">
        <f t="shared" ref="CV95:CV98" si="527">CU95-$L95</f>
        <v>308880.67266666598</v>
      </c>
      <c r="CW95" s="7">
        <f t="shared" ref="CW95:CW98" si="528">CV95-$L95</f>
        <v>305760.66266666597</v>
      </c>
      <c r="CX95" s="7">
        <f t="shared" ref="CX95:CX98" si="529">CW95-$L95</f>
        <v>302640.65266666596</v>
      </c>
      <c r="CY95" s="7">
        <f t="shared" ref="CY95:CY98" si="530">CX95-$L95</f>
        <v>299520.64266666595</v>
      </c>
      <c r="CZ95" s="236">
        <f>IF(BF95&lt;1,0,SUM(CN95:CY95,CJ95)/13*$BG$1)</f>
        <v>7001.2954586666519</v>
      </c>
    </row>
    <row r="96" spans="1:104" ht="22.5" x14ac:dyDescent="0.2">
      <c r="A96" s="6" t="str">
        <f>'[1]2021 УГРЦТ'!A99</f>
        <v>Сигнализатор до взрывных концентраций в воздухе горючих газов СТМ30-12</v>
      </c>
      <c r="B96" t="str">
        <f>'[1]2021 УГРЦТ'!B99</f>
        <v>000001723</v>
      </c>
      <c r="C96" t="str">
        <f>'[1]2021 УГРЦТ'!C99</f>
        <v>ПРОИЗВОДСТВО</v>
      </c>
      <c r="D96" t="str">
        <f>'[1]2021 УГРЦТ'!D99</f>
        <v>Машины и оборудование (кроме офисного)</v>
      </c>
      <c r="E96" t="str">
        <f>'[1]2021 УГРЦТ'!E99</f>
        <v>14.05.2018</v>
      </c>
      <c r="F96" t="str">
        <f>'[1]2021 УГРЦТ'!F99</f>
        <v>Газотурбинный цех</v>
      </c>
      <c r="G96">
        <f>'[1]2021 УГРЦТ'!AC99</f>
        <v>120</v>
      </c>
      <c r="H96" s="7">
        <f>'[1]2021 УГРЦТ'!X99</f>
        <v>41333.14</v>
      </c>
      <c r="I96" s="7">
        <f>'[1]2021 УГРЦТ'!Y99</f>
        <v>14810.954000000002</v>
      </c>
      <c r="J96" s="7">
        <f>'[1]2021 УГРЦТ'!Z99</f>
        <v>26522.185999999998</v>
      </c>
      <c r="K96" s="8">
        <v>0</v>
      </c>
      <c r="L96" s="7">
        <v>344.44</v>
      </c>
      <c r="M96" s="7"/>
      <c r="N96" s="7">
        <f t="shared" si="406"/>
        <v>4133.28</v>
      </c>
      <c r="O96" s="7">
        <f t="shared" si="408"/>
        <v>26177.745999999999</v>
      </c>
      <c r="P96" s="7">
        <f t="shared" si="506"/>
        <v>25833.306</v>
      </c>
      <c r="Q96" s="7">
        <f t="shared" si="506"/>
        <v>25488.866000000002</v>
      </c>
      <c r="R96" s="7">
        <f t="shared" si="506"/>
        <v>25144.426000000003</v>
      </c>
      <c r="S96" s="7">
        <f t="shared" si="506"/>
        <v>24799.986000000004</v>
      </c>
      <c r="T96" s="7">
        <f t="shared" si="506"/>
        <v>24455.546000000006</v>
      </c>
      <c r="U96" s="7">
        <f t="shared" si="506"/>
        <v>24111.106000000007</v>
      </c>
      <c r="V96" s="7">
        <f t="shared" si="506"/>
        <v>23766.666000000008</v>
      </c>
      <c r="W96" s="7">
        <f t="shared" si="506"/>
        <v>23422.22600000001</v>
      </c>
      <c r="X96" s="7">
        <f t="shared" si="506"/>
        <v>23077.786000000011</v>
      </c>
      <c r="Y96" s="7">
        <f t="shared" si="506"/>
        <v>22733.346000000012</v>
      </c>
      <c r="Z96" s="7">
        <f t="shared" si="506"/>
        <v>22388.906000000014</v>
      </c>
      <c r="AA96" s="7"/>
      <c r="AB96" s="7"/>
      <c r="AC96" s="7">
        <f t="shared" si="410"/>
        <v>4133.28</v>
      </c>
      <c r="AD96" s="7">
        <f t="shared" si="411"/>
        <v>22044.466000000015</v>
      </c>
      <c r="AE96" s="7">
        <f t="shared" si="507"/>
        <v>21700.026000000016</v>
      </c>
      <c r="AF96" s="7">
        <f t="shared" si="507"/>
        <v>21355.586000000018</v>
      </c>
      <c r="AG96" s="7">
        <f t="shared" si="507"/>
        <v>21011.146000000019</v>
      </c>
      <c r="AH96" s="7">
        <f t="shared" si="507"/>
        <v>20666.70600000002</v>
      </c>
      <c r="AI96" s="7">
        <f t="shared" si="507"/>
        <v>20322.266000000021</v>
      </c>
      <c r="AJ96" s="7">
        <f t="shared" si="507"/>
        <v>19977.826000000023</v>
      </c>
      <c r="AK96" s="7">
        <f t="shared" si="507"/>
        <v>19633.386000000024</v>
      </c>
      <c r="AL96" s="7">
        <f t="shared" si="507"/>
        <v>19288.946000000025</v>
      </c>
      <c r="AM96" s="7">
        <f t="shared" si="507"/>
        <v>18944.506000000027</v>
      </c>
      <c r="AN96" s="7">
        <f t="shared" si="507"/>
        <v>18600.066000000028</v>
      </c>
      <c r="AO96" s="7">
        <f t="shared" si="507"/>
        <v>18255.626000000029</v>
      </c>
      <c r="AP96" s="222"/>
      <c r="AQ96" s="7">
        <v>344.44</v>
      </c>
      <c r="AR96" s="7">
        <f t="shared" si="412"/>
        <v>344.43999999999869</v>
      </c>
      <c r="AS96" s="7">
        <f t="shared" si="413"/>
        <v>-1.3073986337985843E-12</v>
      </c>
      <c r="AT96" s="7">
        <f t="shared" si="448"/>
        <v>4133.28</v>
      </c>
      <c r="AU96" s="7">
        <f t="shared" si="449"/>
        <v>17911.186000000031</v>
      </c>
      <c r="AV96" s="7">
        <f t="shared" si="509"/>
        <v>17566.746000000032</v>
      </c>
      <c r="AW96" s="7">
        <f t="shared" si="509"/>
        <v>17222.306000000033</v>
      </c>
      <c r="AX96" s="7">
        <f t="shared" si="509"/>
        <v>16877.866000000035</v>
      </c>
      <c r="AY96" s="7">
        <f t="shared" si="509"/>
        <v>16533.426000000036</v>
      </c>
      <c r="AZ96" s="7">
        <f t="shared" si="509"/>
        <v>16188.986000000035</v>
      </c>
      <c r="BA96" s="7">
        <f t="shared" si="509"/>
        <v>15844.546000000035</v>
      </c>
      <c r="BB96" s="7">
        <f t="shared" si="509"/>
        <v>15500.106000000034</v>
      </c>
      <c r="BC96" s="7">
        <f t="shared" si="509"/>
        <v>15155.666000000034</v>
      </c>
      <c r="BD96" s="7">
        <f t="shared" si="509"/>
        <v>14811.226000000033</v>
      </c>
      <c r="BE96" s="7">
        <f t="shared" si="509"/>
        <v>14466.786000000033</v>
      </c>
      <c r="BF96" s="7">
        <f t="shared" si="509"/>
        <v>14122.346000000032</v>
      </c>
      <c r="BG96" s="236">
        <f t="shared" si="407"/>
        <v>0</v>
      </c>
      <c r="BH96" s="7">
        <v>344.44</v>
      </c>
      <c r="BI96" s="39">
        <f>BH96*12</f>
        <v>4133.28</v>
      </c>
      <c r="BJ96" s="7">
        <f t="shared" si="451"/>
        <v>13777.906000000032</v>
      </c>
      <c r="BK96" s="7">
        <f t="shared" si="452"/>
        <v>13433.466000000031</v>
      </c>
      <c r="BL96" s="7">
        <f t="shared" si="453"/>
        <v>13089.026000000031</v>
      </c>
      <c r="BM96" s="7">
        <f t="shared" si="454"/>
        <v>12744.58600000003</v>
      </c>
      <c r="BN96" s="7">
        <f t="shared" si="455"/>
        <v>12400.14600000003</v>
      </c>
      <c r="BO96" s="7">
        <f t="shared" si="456"/>
        <v>12055.706000000029</v>
      </c>
      <c r="BP96" s="7">
        <f t="shared" si="457"/>
        <v>11711.266000000029</v>
      </c>
      <c r="BQ96" s="7">
        <f t="shared" si="458"/>
        <v>11366.826000000028</v>
      </c>
      <c r="BR96" s="7">
        <f t="shared" si="459"/>
        <v>11022.386000000028</v>
      </c>
      <c r="BS96" s="7">
        <f t="shared" si="460"/>
        <v>10677.946000000027</v>
      </c>
      <c r="BT96" s="7">
        <f t="shared" si="461"/>
        <v>10333.506000000027</v>
      </c>
      <c r="BU96" s="7">
        <f t="shared" si="462"/>
        <v>9989.0660000000262</v>
      </c>
      <c r="BV96" s="236">
        <v>0</v>
      </c>
      <c r="BW96" s="7">
        <v>344.44</v>
      </c>
      <c r="BX96" s="39">
        <f>BW96*12</f>
        <v>4133.28</v>
      </c>
      <c r="BY96" s="7">
        <f>BU96-BW96</f>
        <v>9644.6260000000257</v>
      </c>
      <c r="BZ96" s="7">
        <f t="shared" si="463"/>
        <v>9300.1860000000252</v>
      </c>
      <c r="CA96" s="7">
        <f t="shared" si="510"/>
        <v>8955.7460000000247</v>
      </c>
      <c r="CB96" s="7">
        <f t="shared" si="511"/>
        <v>8611.3060000000241</v>
      </c>
      <c r="CC96" s="7">
        <f t="shared" si="512"/>
        <v>8266.8660000000236</v>
      </c>
      <c r="CD96" s="7">
        <f t="shared" si="513"/>
        <v>7922.426000000024</v>
      </c>
      <c r="CE96" s="7">
        <f t="shared" si="514"/>
        <v>7577.9860000000244</v>
      </c>
      <c r="CF96" s="7">
        <f t="shared" si="515"/>
        <v>7233.5460000000248</v>
      </c>
      <c r="CG96" s="7">
        <f t="shared" si="516"/>
        <v>6889.1060000000252</v>
      </c>
      <c r="CH96" s="7">
        <f t="shared" si="517"/>
        <v>6544.6660000000256</v>
      </c>
      <c r="CI96" s="7">
        <f t="shared" si="518"/>
        <v>6200.226000000026</v>
      </c>
      <c r="CJ96" s="7">
        <f t="shared" si="519"/>
        <v>5855.7860000000264</v>
      </c>
      <c r="CK96" s="236">
        <v>0</v>
      </c>
      <c r="CL96" s="7">
        <v>344.44</v>
      </c>
      <c r="CM96" s="39">
        <f>CL96*12</f>
        <v>4133.28</v>
      </c>
      <c r="CN96" s="7">
        <f>CJ96-CL96</f>
        <v>5511.3460000000268</v>
      </c>
      <c r="CO96" s="7">
        <f t="shared" si="520"/>
        <v>5166.9060000000272</v>
      </c>
      <c r="CP96" s="7">
        <f t="shared" si="521"/>
        <v>4822.4660000000276</v>
      </c>
      <c r="CQ96" s="7">
        <f t="shared" si="522"/>
        <v>4478.026000000028</v>
      </c>
      <c r="CR96" s="7">
        <f t="shared" si="523"/>
        <v>4133.5860000000284</v>
      </c>
      <c r="CS96" s="7">
        <f t="shared" si="524"/>
        <v>3789.1460000000284</v>
      </c>
      <c r="CT96" s="7">
        <f t="shared" si="525"/>
        <v>3444.7060000000283</v>
      </c>
      <c r="CU96" s="7">
        <f t="shared" si="526"/>
        <v>3100.2660000000283</v>
      </c>
      <c r="CV96" s="7">
        <f t="shared" si="527"/>
        <v>2755.8260000000282</v>
      </c>
      <c r="CW96" s="7">
        <f t="shared" si="528"/>
        <v>2411.3860000000282</v>
      </c>
      <c r="CX96" s="7">
        <f t="shared" si="529"/>
        <v>2066.9460000000281</v>
      </c>
      <c r="CY96" s="7">
        <f t="shared" si="530"/>
        <v>1722.5060000000281</v>
      </c>
      <c r="CZ96" s="236">
        <v>0</v>
      </c>
    </row>
    <row r="97" spans="1:104" s="180" customFormat="1" x14ac:dyDescent="0.2">
      <c r="A97" s="179" t="str">
        <f>'[1]2021 УГРЦТ'!A100</f>
        <v>Силовое эл. оборудование (РУ-6 кв) 2003г</v>
      </c>
      <c r="B97" s="180" t="str">
        <f>'[1]2021 УГРЦТ'!B100</f>
        <v>00000557</v>
      </c>
      <c r="C97" s="180" t="str">
        <f>'[1]2021 УГРЦТ'!C100</f>
        <v>ПРОИЗВОДСТВО</v>
      </c>
      <c r="D97" s="180" t="str">
        <f>'[1]2021 УГРЦТ'!D100</f>
        <v>Машины и оборудование (кроме офисного)</v>
      </c>
      <c r="E97" s="180" t="str">
        <f>'[1]2021 УГРЦТ'!E100</f>
        <v>01.10.2003</v>
      </c>
      <c r="F97" s="180" t="str">
        <f>'[1]2021 УГРЦТ'!F100</f>
        <v>Газотурбинный цех</v>
      </c>
      <c r="G97" s="180">
        <f>'[1]2021 УГРЦТ'!AC100</f>
        <v>303</v>
      </c>
      <c r="H97" s="181">
        <f>'[1]2021 УГРЦТ'!X100</f>
        <v>13444250.890000001</v>
      </c>
      <c r="I97" s="181">
        <f>'[1]2021 УГРЦТ'!Y100</f>
        <v>12551237</v>
      </c>
      <c r="J97" s="181">
        <f>'[1]2021 УГРЦТ'!Z100</f>
        <v>893013.8900000006</v>
      </c>
      <c r="K97" s="182">
        <v>0</v>
      </c>
      <c r="L97" s="181">
        <v>10506.040000000003</v>
      </c>
      <c r="M97" s="181"/>
      <c r="N97" s="181">
        <f t="shared" si="406"/>
        <v>126072.48000000004</v>
      </c>
      <c r="O97" s="7">
        <f t="shared" si="408"/>
        <v>882507.85000000056</v>
      </c>
      <c r="P97" s="7">
        <f t="shared" si="506"/>
        <v>872001.81000000052</v>
      </c>
      <c r="Q97" s="7">
        <f t="shared" si="506"/>
        <v>861495.77000000048</v>
      </c>
      <c r="R97" s="7">
        <f t="shared" si="506"/>
        <v>850989.73000000045</v>
      </c>
      <c r="S97" s="7">
        <f t="shared" si="506"/>
        <v>840483.69000000041</v>
      </c>
      <c r="T97" s="7">
        <f t="shared" si="506"/>
        <v>829977.65000000037</v>
      </c>
      <c r="U97" s="7">
        <f t="shared" si="506"/>
        <v>819471.61000000034</v>
      </c>
      <c r="V97" s="7">
        <f t="shared" si="506"/>
        <v>808965.5700000003</v>
      </c>
      <c r="W97" s="7">
        <f t="shared" si="506"/>
        <v>798459.53000000026</v>
      </c>
      <c r="X97" s="7">
        <f t="shared" si="506"/>
        <v>787953.49000000022</v>
      </c>
      <c r="Y97" s="7">
        <f t="shared" si="506"/>
        <v>777447.45000000019</v>
      </c>
      <c r="Z97" s="7">
        <f t="shared" si="506"/>
        <v>766941.41000000015</v>
      </c>
      <c r="AA97" s="7"/>
      <c r="AB97" s="7"/>
      <c r="AC97" s="7">
        <f t="shared" si="410"/>
        <v>126072.48000000004</v>
      </c>
      <c r="AD97" s="7">
        <f t="shared" si="411"/>
        <v>756435.37000000011</v>
      </c>
      <c r="AE97" s="7">
        <f t="shared" si="507"/>
        <v>745929.33000000007</v>
      </c>
      <c r="AF97" s="7">
        <f t="shared" si="507"/>
        <v>735423.29</v>
      </c>
      <c r="AG97" s="7">
        <f t="shared" si="507"/>
        <v>724917.25</v>
      </c>
      <c r="AH97" s="7">
        <f t="shared" si="507"/>
        <v>714411.21</v>
      </c>
      <c r="AI97" s="7">
        <f t="shared" si="507"/>
        <v>703905.16999999993</v>
      </c>
      <c r="AJ97" s="7">
        <f t="shared" si="507"/>
        <v>693399.12999999989</v>
      </c>
      <c r="AK97" s="7">
        <f t="shared" si="507"/>
        <v>682893.08999999985</v>
      </c>
      <c r="AL97" s="7">
        <f t="shared" si="507"/>
        <v>672387.04999999981</v>
      </c>
      <c r="AM97" s="7">
        <f t="shared" si="507"/>
        <v>661881.00999999978</v>
      </c>
      <c r="AN97" s="7">
        <f t="shared" si="507"/>
        <v>651374.96999999974</v>
      </c>
      <c r="AO97" s="7">
        <f t="shared" si="507"/>
        <v>640868.9299999997</v>
      </c>
      <c r="AP97" s="222"/>
      <c r="AQ97" s="7">
        <v>10506.040000000003</v>
      </c>
      <c r="AR97" s="7">
        <f t="shared" si="412"/>
        <v>10506.040000000037</v>
      </c>
      <c r="AS97" s="7">
        <f t="shared" si="413"/>
        <v>3.4560798667371273E-11</v>
      </c>
      <c r="AT97" s="7">
        <f t="shared" si="448"/>
        <v>126072.48000000004</v>
      </c>
      <c r="AU97" s="7">
        <f t="shared" si="449"/>
        <v>630362.88999999966</v>
      </c>
      <c r="AV97" s="7">
        <f t="shared" si="509"/>
        <v>619856.84999999963</v>
      </c>
      <c r="AW97" s="7">
        <f t="shared" si="509"/>
        <v>609350.80999999959</v>
      </c>
      <c r="AX97" s="7">
        <f t="shared" si="509"/>
        <v>598844.76999999955</v>
      </c>
      <c r="AY97" s="7">
        <f t="shared" si="509"/>
        <v>588338.72999999952</v>
      </c>
      <c r="AZ97" s="7">
        <f t="shared" si="509"/>
        <v>577832.68999999948</v>
      </c>
      <c r="BA97" s="7">
        <f t="shared" si="509"/>
        <v>567326.64999999944</v>
      </c>
      <c r="BB97" s="7">
        <f t="shared" si="509"/>
        <v>556820.6099999994</v>
      </c>
      <c r="BC97" s="7">
        <f t="shared" si="509"/>
        <v>546314.56999999937</v>
      </c>
      <c r="BD97" s="7">
        <f t="shared" si="509"/>
        <v>535808.52999999933</v>
      </c>
      <c r="BE97" s="7">
        <f t="shared" si="509"/>
        <v>525302.48999999929</v>
      </c>
      <c r="BF97" s="7">
        <f t="shared" si="509"/>
        <v>514796.44999999931</v>
      </c>
      <c r="BG97" s="236">
        <f t="shared" si="407"/>
        <v>0</v>
      </c>
      <c r="BH97" s="7">
        <v>10506.040000000003</v>
      </c>
      <c r="BI97" s="39">
        <f>BH97*12</f>
        <v>126072.48000000004</v>
      </c>
      <c r="BJ97" s="7">
        <f t="shared" si="451"/>
        <v>504290.40999999933</v>
      </c>
      <c r="BK97" s="7">
        <f t="shared" si="452"/>
        <v>493784.36999999936</v>
      </c>
      <c r="BL97" s="7">
        <f t="shared" si="453"/>
        <v>483278.32999999938</v>
      </c>
      <c r="BM97" s="7">
        <f t="shared" si="454"/>
        <v>472772.2899999994</v>
      </c>
      <c r="BN97" s="7">
        <f t="shared" si="455"/>
        <v>462266.24999999942</v>
      </c>
      <c r="BO97" s="7">
        <f t="shared" si="456"/>
        <v>451760.20999999944</v>
      </c>
      <c r="BP97" s="7">
        <f t="shared" si="457"/>
        <v>441254.16999999946</v>
      </c>
      <c r="BQ97" s="7">
        <f t="shared" si="458"/>
        <v>430748.12999999948</v>
      </c>
      <c r="BR97" s="7">
        <f t="shared" si="459"/>
        <v>420242.0899999995</v>
      </c>
      <c r="BS97" s="7">
        <f t="shared" si="460"/>
        <v>409736.04999999952</v>
      </c>
      <c r="BT97" s="7">
        <f t="shared" si="461"/>
        <v>399230.00999999954</v>
      </c>
      <c r="BU97" s="7">
        <f t="shared" si="462"/>
        <v>388723.96999999956</v>
      </c>
      <c r="BV97" s="236">
        <v>0</v>
      </c>
      <c r="BW97" s="7">
        <v>10506.040000000003</v>
      </c>
      <c r="BX97" s="39">
        <f>BW97*12</f>
        <v>126072.48000000004</v>
      </c>
      <c r="BY97" s="7">
        <f>BU97-BW97</f>
        <v>378217.92999999959</v>
      </c>
      <c r="BZ97" s="7">
        <f t="shared" si="463"/>
        <v>367711.88999999961</v>
      </c>
      <c r="CA97" s="7">
        <f t="shared" si="510"/>
        <v>357205.84999999963</v>
      </c>
      <c r="CB97" s="7">
        <f t="shared" si="511"/>
        <v>346699.80999999965</v>
      </c>
      <c r="CC97" s="7">
        <f t="shared" si="512"/>
        <v>336193.76999999967</v>
      </c>
      <c r="CD97" s="7">
        <f t="shared" si="513"/>
        <v>325687.72999999969</v>
      </c>
      <c r="CE97" s="7">
        <f t="shared" si="514"/>
        <v>315181.68999999971</v>
      </c>
      <c r="CF97" s="7">
        <f t="shared" si="515"/>
        <v>304675.64999999973</v>
      </c>
      <c r="CG97" s="7">
        <f t="shared" si="516"/>
        <v>294169.60999999975</v>
      </c>
      <c r="CH97" s="7">
        <f t="shared" si="517"/>
        <v>283663.56999999977</v>
      </c>
      <c r="CI97" s="7">
        <f t="shared" si="518"/>
        <v>273157.5299999998</v>
      </c>
      <c r="CJ97" s="7">
        <f t="shared" si="519"/>
        <v>262651.48999999982</v>
      </c>
      <c r="CK97" s="236">
        <v>0</v>
      </c>
      <c r="CL97" s="7">
        <v>10506.040000000003</v>
      </c>
      <c r="CM97" s="39">
        <f>CL97*12</f>
        <v>126072.48000000004</v>
      </c>
      <c r="CN97" s="7">
        <f>CJ97-CL97</f>
        <v>252145.44999999981</v>
      </c>
      <c r="CO97" s="7">
        <f t="shared" si="520"/>
        <v>241639.4099999998</v>
      </c>
      <c r="CP97" s="7">
        <f t="shared" si="521"/>
        <v>231133.36999999979</v>
      </c>
      <c r="CQ97" s="7">
        <f t="shared" si="522"/>
        <v>220627.32999999978</v>
      </c>
      <c r="CR97" s="7">
        <f t="shared" si="523"/>
        <v>210121.28999999978</v>
      </c>
      <c r="CS97" s="7">
        <f t="shared" si="524"/>
        <v>199615.24999999977</v>
      </c>
      <c r="CT97" s="7">
        <f t="shared" si="525"/>
        <v>189109.20999999976</v>
      </c>
      <c r="CU97" s="7">
        <f t="shared" si="526"/>
        <v>178603.16999999975</v>
      </c>
      <c r="CV97" s="7">
        <f t="shared" si="527"/>
        <v>168097.12999999974</v>
      </c>
      <c r="CW97" s="7">
        <f t="shared" si="528"/>
        <v>157591.08999999973</v>
      </c>
      <c r="CX97" s="7">
        <f t="shared" si="529"/>
        <v>147085.04999999973</v>
      </c>
      <c r="CY97" s="7">
        <f t="shared" si="530"/>
        <v>136579.00999999972</v>
      </c>
      <c r="CZ97" s="236">
        <v>0</v>
      </c>
    </row>
    <row r="98" spans="1:104" x14ac:dyDescent="0.2">
      <c r="A98" s="6" t="str">
        <f>'[1]2021 УГРЦТ'!A101</f>
        <v>Система видеонаблюдения в машинном зале ТМЦ</v>
      </c>
      <c r="B98" t="str">
        <f>'[1]2021 УГРЦТ'!B101</f>
        <v>000001869</v>
      </c>
      <c r="C98" t="str">
        <f>'[1]2021 УГРЦТ'!C101</f>
        <v>ПРОИЗВОДСТВО</v>
      </c>
      <c r="D98" t="str">
        <f>'[1]2021 УГРЦТ'!D101</f>
        <v>Машины и оборудование (кроме офисного)</v>
      </c>
      <c r="E98" s="4">
        <f>'[1]2021 УГРЦТ'!E101</f>
        <v>44529</v>
      </c>
      <c r="F98" t="str">
        <f>'[1]2021 УГРЦТ'!F101</f>
        <v>Тепломеханический цех</v>
      </c>
      <c r="G98">
        <f>'[1]2021 УГРЦТ'!AC101</f>
        <v>96</v>
      </c>
      <c r="H98" s="7">
        <f>'[1]2021 УГРЦТ'!X101</f>
        <v>535420.01</v>
      </c>
      <c r="I98" s="7">
        <f>'[1]2021 УГРЦТ'!Y101</f>
        <v>5577.2917708333334</v>
      </c>
      <c r="J98" s="7">
        <f>'[1]2021 УГРЦТ'!Z101</f>
        <v>529842.7182291667</v>
      </c>
      <c r="K98" s="8">
        <v>0</v>
      </c>
      <c r="L98" s="7">
        <v>5577.29</v>
      </c>
      <c r="M98" s="7"/>
      <c r="N98" s="7">
        <f t="shared" si="406"/>
        <v>66927.48</v>
      </c>
      <c r="O98" s="7">
        <f t="shared" si="408"/>
        <v>524265.42822916672</v>
      </c>
      <c r="P98" s="7">
        <f t="shared" si="506"/>
        <v>518688.13822916674</v>
      </c>
      <c r="Q98" s="7">
        <f t="shared" si="506"/>
        <v>513110.84822916676</v>
      </c>
      <c r="R98" s="7">
        <f t="shared" si="506"/>
        <v>507533.55822916678</v>
      </c>
      <c r="S98" s="7">
        <f t="shared" si="506"/>
        <v>501956.2682291668</v>
      </c>
      <c r="T98" s="7">
        <f t="shared" si="506"/>
        <v>496378.97822916682</v>
      </c>
      <c r="U98" s="7">
        <f t="shared" si="506"/>
        <v>490801.68822916684</v>
      </c>
      <c r="V98" s="7">
        <f t="shared" si="506"/>
        <v>485224.39822916687</v>
      </c>
      <c r="W98" s="7">
        <f t="shared" si="506"/>
        <v>479647.10822916689</v>
      </c>
      <c r="X98" s="7">
        <f t="shared" si="506"/>
        <v>474069.81822916691</v>
      </c>
      <c r="Y98" s="7">
        <f t="shared" si="506"/>
        <v>468492.52822916693</v>
      </c>
      <c r="Z98" s="7">
        <f t="shared" si="506"/>
        <v>462915.23822916695</v>
      </c>
      <c r="AA98" s="7"/>
      <c r="AB98" s="7"/>
      <c r="AC98" s="7">
        <f t="shared" si="410"/>
        <v>66927.48</v>
      </c>
      <c r="AD98" s="7">
        <f t="shared" si="411"/>
        <v>457337.94822916697</v>
      </c>
      <c r="AE98" s="7">
        <f t="shared" si="507"/>
        <v>451760.65822916699</v>
      </c>
      <c r="AF98" s="7">
        <f t="shared" si="507"/>
        <v>446183.36822916701</v>
      </c>
      <c r="AG98" s="7">
        <f t="shared" si="507"/>
        <v>440606.07822916703</v>
      </c>
      <c r="AH98" s="7">
        <f t="shared" si="507"/>
        <v>435028.78822916705</v>
      </c>
      <c r="AI98" s="7">
        <f t="shared" si="507"/>
        <v>429451.49822916707</v>
      </c>
      <c r="AJ98" s="7">
        <f t="shared" si="507"/>
        <v>423874.2082291671</v>
      </c>
      <c r="AK98" s="7">
        <f t="shared" si="507"/>
        <v>418296.91822916712</v>
      </c>
      <c r="AL98" s="7">
        <f t="shared" si="507"/>
        <v>412719.62822916714</v>
      </c>
      <c r="AM98" s="7">
        <f t="shared" si="507"/>
        <v>407142.33822916716</v>
      </c>
      <c r="AN98" s="7">
        <f t="shared" si="507"/>
        <v>401565.04822916718</v>
      </c>
      <c r="AO98" s="7">
        <f t="shared" si="507"/>
        <v>395987.7582291672</v>
      </c>
      <c r="AP98" s="222"/>
      <c r="AQ98" s="7">
        <v>5577.29</v>
      </c>
      <c r="AR98" s="7">
        <f t="shared" si="412"/>
        <v>5577.289999999979</v>
      </c>
      <c r="AS98" s="7">
        <f t="shared" si="413"/>
        <v>-2.0918378140777349E-11</v>
      </c>
      <c r="AT98" s="7">
        <f t="shared" si="448"/>
        <v>66927.48</v>
      </c>
      <c r="AU98" s="7">
        <f t="shared" si="449"/>
        <v>390410.46822916722</v>
      </c>
      <c r="AV98" s="7">
        <f t="shared" si="509"/>
        <v>384833.17822916724</v>
      </c>
      <c r="AW98" s="7">
        <f t="shared" si="509"/>
        <v>379255.88822916726</v>
      </c>
      <c r="AX98" s="7">
        <f t="shared" si="509"/>
        <v>373678.59822916728</v>
      </c>
      <c r="AY98" s="7">
        <f t="shared" si="509"/>
        <v>368101.30822916731</v>
      </c>
      <c r="AZ98" s="7">
        <f t="shared" si="509"/>
        <v>362524.01822916733</v>
      </c>
      <c r="BA98" s="7">
        <f t="shared" si="509"/>
        <v>356946.72822916735</v>
      </c>
      <c r="BB98" s="7">
        <f t="shared" si="509"/>
        <v>351369.43822916737</v>
      </c>
      <c r="BC98" s="7">
        <f t="shared" si="509"/>
        <v>345792.14822916739</v>
      </c>
      <c r="BD98" s="7">
        <f t="shared" si="509"/>
        <v>340214.85822916741</v>
      </c>
      <c r="BE98" s="7">
        <f t="shared" si="509"/>
        <v>334637.56822916743</v>
      </c>
      <c r="BF98" s="7">
        <f t="shared" si="509"/>
        <v>329060.27822916745</v>
      </c>
      <c r="BG98" s="236">
        <f t="shared" si="407"/>
        <v>0</v>
      </c>
      <c r="BH98" s="7">
        <v>5577.29</v>
      </c>
      <c r="BI98" s="39">
        <f>BH98*12</f>
        <v>66927.48</v>
      </c>
      <c r="BJ98" s="7">
        <f t="shared" si="451"/>
        <v>323482.98822916747</v>
      </c>
      <c r="BK98" s="7">
        <f t="shared" si="452"/>
        <v>317905.69822916749</v>
      </c>
      <c r="BL98" s="7">
        <f t="shared" si="453"/>
        <v>312328.40822916751</v>
      </c>
      <c r="BM98" s="7">
        <f t="shared" si="454"/>
        <v>306751.11822916754</v>
      </c>
      <c r="BN98" s="7">
        <f t="shared" si="455"/>
        <v>301173.82822916756</v>
      </c>
      <c r="BO98" s="7">
        <f t="shared" si="456"/>
        <v>295596.53822916758</v>
      </c>
      <c r="BP98" s="7">
        <f t="shared" si="457"/>
        <v>290019.2482291676</v>
      </c>
      <c r="BQ98" s="7">
        <f t="shared" si="458"/>
        <v>284441.95822916762</v>
      </c>
      <c r="BR98" s="7">
        <f t="shared" si="459"/>
        <v>278864.66822916764</v>
      </c>
      <c r="BS98" s="7">
        <f t="shared" si="460"/>
        <v>273287.37822916766</v>
      </c>
      <c r="BT98" s="7">
        <f t="shared" si="461"/>
        <v>267710.08822916768</v>
      </c>
      <c r="BU98" s="7">
        <f t="shared" si="462"/>
        <v>262132.79822916767</v>
      </c>
      <c r="BV98" s="236">
        <v>0</v>
      </c>
      <c r="BW98" s="7">
        <v>5577.29</v>
      </c>
      <c r="BX98" s="39">
        <f>BW98*12</f>
        <v>66927.48</v>
      </c>
      <c r="BY98" s="7">
        <f>BU98-BW98</f>
        <v>256555.50822916767</v>
      </c>
      <c r="BZ98" s="7">
        <f t="shared" si="463"/>
        <v>250978.21822916766</v>
      </c>
      <c r="CA98" s="7">
        <f t="shared" si="510"/>
        <v>245400.92822916765</v>
      </c>
      <c r="CB98" s="7">
        <f t="shared" si="511"/>
        <v>239823.63822916764</v>
      </c>
      <c r="CC98" s="7">
        <f t="shared" si="512"/>
        <v>234246.34822916763</v>
      </c>
      <c r="CD98" s="7">
        <f t="shared" si="513"/>
        <v>228669.05822916763</v>
      </c>
      <c r="CE98" s="7">
        <f t="shared" si="514"/>
        <v>223091.76822916762</v>
      </c>
      <c r="CF98" s="7">
        <f t="shared" si="515"/>
        <v>217514.47822916761</v>
      </c>
      <c r="CG98" s="7">
        <f t="shared" si="516"/>
        <v>211937.1882291676</v>
      </c>
      <c r="CH98" s="7">
        <f t="shared" si="517"/>
        <v>206359.89822916759</v>
      </c>
      <c r="CI98" s="7">
        <f t="shared" si="518"/>
        <v>200782.60822916758</v>
      </c>
      <c r="CJ98" s="7">
        <f t="shared" si="519"/>
        <v>195205.31822916758</v>
      </c>
      <c r="CK98" s="236">
        <v>0</v>
      </c>
      <c r="CL98" s="7">
        <v>5577.29</v>
      </c>
      <c r="CM98" s="39">
        <f>CL98*12</f>
        <v>66927.48</v>
      </c>
      <c r="CN98" s="7">
        <f>CJ98-CL98</f>
        <v>189628.02822916757</v>
      </c>
      <c r="CO98" s="7">
        <f t="shared" si="520"/>
        <v>184050.73822916756</v>
      </c>
      <c r="CP98" s="7">
        <f t="shared" si="521"/>
        <v>178473.44822916755</v>
      </c>
      <c r="CQ98" s="7">
        <f t="shared" si="522"/>
        <v>172896.15822916754</v>
      </c>
      <c r="CR98" s="7">
        <f t="shared" si="523"/>
        <v>167318.86822916754</v>
      </c>
      <c r="CS98" s="7">
        <f t="shared" si="524"/>
        <v>161741.57822916753</v>
      </c>
      <c r="CT98" s="7">
        <f t="shared" si="525"/>
        <v>156164.28822916752</v>
      </c>
      <c r="CU98" s="7">
        <f t="shared" si="526"/>
        <v>150586.99822916751</v>
      </c>
      <c r="CV98" s="7">
        <f t="shared" si="527"/>
        <v>145009.7082291675</v>
      </c>
      <c r="CW98" s="7">
        <f t="shared" si="528"/>
        <v>139432.4182291675</v>
      </c>
      <c r="CX98" s="7">
        <f t="shared" si="529"/>
        <v>133855.12822916749</v>
      </c>
      <c r="CY98" s="7">
        <f t="shared" si="530"/>
        <v>128277.83822916749</v>
      </c>
      <c r="CZ98" s="236">
        <v>0</v>
      </c>
    </row>
    <row r="99" spans="1:104" s="180" customFormat="1" x14ac:dyDescent="0.2">
      <c r="A99" s="179" t="str">
        <f>'[1]2021 УГРЦТ'!A102</f>
        <v>Система видеонаблюдения в РУ-6кВ, 0,4кВ ГТЭС-12,18</v>
      </c>
      <c r="B99" s="180" t="str">
        <f>'[1]2021 УГРЦТ'!B102</f>
        <v>000001664</v>
      </c>
      <c r="C99" s="180" t="str">
        <f>'[1]2021 УГРЦТ'!C102</f>
        <v>ПРОИЗВОДСТВО</v>
      </c>
      <c r="D99" s="180" t="str">
        <f>'[1]2021 УГРЦТ'!D102</f>
        <v>Машины и оборудование (кроме офисного)</v>
      </c>
      <c r="E99" s="180" t="str">
        <f>'[1]2021 УГРЦТ'!E102</f>
        <v>30.09.2015</v>
      </c>
      <c r="F99" s="180" t="str">
        <f>'[1]2021 УГРЦТ'!F102</f>
        <v>Газотурбинный цех</v>
      </c>
      <c r="G99" s="180">
        <f>'[1]2021 УГРЦТ'!AC102</f>
        <v>84</v>
      </c>
      <c r="H99" s="181">
        <f>'[1]2021 УГРЦТ'!X102</f>
        <v>171157</v>
      </c>
      <c r="I99" s="181">
        <f>'[1]2021 УГРЦТ'!Y102</f>
        <v>152818.53999999998</v>
      </c>
      <c r="J99" s="181">
        <f>'[1]2021 УГРЦТ'!Z102</f>
        <v>18338.460000000021</v>
      </c>
      <c r="K99" s="182">
        <v>0</v>
      </c>
      <c r="L99" s="181">
        <v>2037.5800000000006</v>
      </c>
      <c r="M99" s="181"/>
      <c r="N99" s="181">
        <f>L99*9+0.24</f>
        <v>18338.460000000006</v>
      </c>
      <c r="O99" s="7">
        <f t="shared" si="408"/>
        <v>16300.880000000021</v>
      </c>
      <c r="P99" s="7">
        <f t="shared" si="506"/>
        <v>14263.300000000021</v>
      </c>
      <c r="Q99" s="7">
        <f t="shared" si="506"/>
        <v>12225.720000000021</v>
      </c>
      <c r="R99" s="7">
        <f t="shared" si="506"/>
        <v>10188.140000000021</v>
      </c>
      <c r="S99" s="7">
        <f t="shared" si="506"/>
        <v>8150.5600000000204</v>
      </c>
      <c r="T99" s="7">
        <f t="shared" si="506"/>
        <v>6112.9800000000196</v>
      </c>
      <c r="U99" s="7">
        <f t="shared" si="506"/>
        <v>4075.4000000000187</v>
      </c>
      <c r="V99" s="7">
        <f t="shared" si="506"/>
        <v>2037.8200000000181</v>
      </c>
      <c r="W99" s="7">
        <f t="shared" si="506"/>
        <v>0.24000000001751687</v>
      </c>
      <c r="X99" s="7">
        <f>W99-0.24</f>
        <v>1.7516876837930795E-11</v>
      </c>
      <c r="Y99" s="7">
        <f>X99-$L99*0</f>
        <v>1.7516876837930795E-11</v>
      </c>
      <c r="Z99" s="7">
        <f>Y99-$L99*0</f>
        <v>1.7516876837930795E-11</v>
      </c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222"/>
      <c r="AQ99" s="7">
        <v>2037.5800000000006</v>
      </c>
      <c r="AR99" s="7"/>
      <c r="AS99" s="7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 s="236">
        <f t="shared" si="407"/>
        <v>0</v>
      </c>
      <c r="BH99" s="7">
        <v>2037.5800000000006</v>
      </c>
      <c r="BI99"/>
      <c r="BJ99"/>
      <c r="BK99"/>
      <c r="BL99"/>
      <c r="BM99"/>
      <c r="BN99"/>
      <c r="BO99"/>
      <c r="BP99"/>
      <c r="BQ99"/>
      <c r="BR99"/>
      <c r="BS99"/>
      <c r="BT99"/>
      <c r="BU99"/>
      <c r="BV99" s="236">
        <f>IF(Z99&lt;1,0,SUM(BJ99:BU99,BF99)/13*$BG$1)</f>
        <v>0</v>
      </c>
      <c r="BW99" s="7">
        <v>2037.5800000000006</v>
      </c>
      <c r="BX99"/>
      <c r="BY99"/>
      <c r="BZ99"/>
      <c r="CA99"/>
      <c r="CB99"/>
      <c r="CC99"/>
      <c r="CD99"/>
      <c r="CE99"/>
      <c r="CF99"/>
      <c r="CG99"/>
      <c r="CH99"/>
      <c r="CI99"/>
      <c r="CJ99"/>
      <c r="CK99" s="236">
        <f>IF(AO99&lt;1,0,SUM(BY99:CJ99,BU99)/13*$BG$1)</f>
        <v>0</v>
      </c>
      <c r="CL99" s="7">
        <v>2037.5800000000006</v>
      </c>
      <c r="CM99"/>
      <c r="CN99"/>
      <c r="CO99"/>
      <c r="CP99"/>
      <c r="CQ99"/>
      <c r="CR99"/>
      <c r="CS99"/>
      <c r="CT99"/>
      <c r="CU99"/>
      <c r="CV99"/>
      <c r="CW99"/>
      <c r="CX99"/>
      <c r="CY99"/>
      <c r="CZ99" s="236">
        <f>IF(BF99&lt;1,0,SUM(CN99:CY99,CJ99)/13*$BG$1)</f>
        <v>0</v>
      </c>
    </row>
    <row r="100" spans="1:104" x14ac:dyDescent="0.2">
      <c r="A100" s="6" t="str">
        <f>'[1]2021 УГРЦТ'!A103</f>
        <v>Система видеонаблюдения на ДККС</v>
      </c>
      <c r="B100" t="str">
        <f>'[1]2021 УГРЦТ'!B103</f>
        <v>000001885</v>
      </c>
      <c r="C100" t="str">
        <f>'[1]2021 УГРЦТ'!C103</f>
        <v>ПРОИЗВОДСТВО</v>
      </c>
      <c r="D100" t="str">
        <f>'[1]2021 УГРЦТ'!D103</f>
        <v>Машины и оборудование (кроме офисного)</v>
      </c>
      <c r="E100" s="4">
        <f>'[1]2021 УГРЦТ'!E103</f>
        <v>44561</v>
      </c>
      <c r="F100" t="str">
        <f>'[1]2021 УГРЦТ'!F103</f>
        <v>Газотурбинный цех</v>
      </c>
      <c r="G100">
        <f>'[1]2021 УГРЦТ'!AC103</f>
        <v>120</v>
      </c>
      <c r="H100" s="7">
        <f>'[1]2021 УГРЦТ'!X103</f>
        <v>500000</v>
      </c>
      <c r="I100" s="7" t="e">
        <f>'[1]2021 УГРЦТ'!Y103</f>
        <v>#REF!</v>
      </c>
      <c r="J100" s="7">
        <f>'[1]2021 УГРЦТ'!Z103</f>
        <v>500000</v>
      </c>
      <c r="K100" s="8">
        <v>0</v>
      </c>
      <c r="L100" s="7">
        <v>4166.666666666667</v>
      </c>
      <c r="M100" s="7"/>
      <c r="N100" s="7">
        <f t="shared" si="406"/>
        <v>50000</v>
      </c>
      <c r="O100" s="7">
        <f t="shared" si="408"/>
        <v>495833.33333333331</v>
      </c>
      <c r="P100" s="7">
        <f t="shared" si="506"/>
        <v>491666.66666666663</v>
      </c>
      <c r="Q100" s="7">
        <f t="shared" si="506"/>
        <v>487499.99999999994</v>
      </c>
      <c r="R100" s="7">
        <f t="shared" si="506"/>
        <v>483333.33333333326</v>
      </c>
      <c r="S100" s="7">
        <f t="shared" si="506"/>
        <v>479166.66666666657</v>
      </c>
      <c r="T100" s="7">
        <f t="shared" si="506"/>
        <v>474999.99999999988</v>
      </c>
      <c r="U100" s="7">
        <f t="shared" si="506"/>
        <v>470833.3333333332</v>
      </c>
      <c r="V100" s="7">
        <f t="shared" si="506"/>
        <v>466666.66666666651</v>
      </c>
      <c r="W100" s="7">
        <f t="shared" si="506"/>
        <v>462499.99999999983</v>
      </c>
      <c r="X100" s="7">
        <f t="shared" si="506"/>
        <v>458333.33333333314</v>
      </c>
      <c r="Y100" s="7">
        <f t="shared" si="506"/>
        <v>454166.66666666645</v>
      </c>
      <c r="Z100" s="7">
        <f t="shared" si="506"/>
        <v>449999.99999999977</v>
      </c>
      <c r="AA100" s="7"/>
      <c r="AB100" s="7"/>
      <c r="AC100" s="7">
        <f t="shared" si="410"/>
        <v>50000</v>
      </c>
      <c r="AD100" s="7">
        <f t="shared" si="411"/>
        <v>445833.33333333308</v>
      </c>
      <c r="AE100" s="7">
        <f t="shared" ref="AE100:AO100" si="531">AD100-$L100</f>
        <v>441666.6666666664</v>
      </c>
      <c r="AF100" s="7">
        <f t="shared" si="531"/>
        <v>437499.99999999971</v>
      </c>
      <c r="AG100" s="7">
        <f t="shared" si="531"/>
        <v>433333.33333333302</v>
      </c>
      <c r="AH100" s="7">
        <f t="shared" si="531"/>
        <v>429166.66666666634</v>
      </c>
      <c r="AI100" s="7">
        <f t="shared" si="531"/>
        <v>424999.99999999965</v>
      </c>
      <c r="AJ100" s="7">
        <f t="shared" si="531"/>
        <v>420833.33333333296</v>
      </c>
      <c r="AK100" s="7">
        <f t="shared" si="531"/>
        <v>416666.66666666628</v>
      </c>
      <c r="AL100" s="7">
        <f t="shared" si="531"/>
        <v>412499.99999999959</v>
      </c>
      <c r="AM100" s="7">
        <f t="shared" si="531"/>
        <v>408333.33333333291</v>
      </c>
      <c r="AN100" s="7">
        <f t="shared" si="531"/>
        <v>404166.66666666622</v>
      </c>
      <c r="AO100" s="7">
        <f t="shared" si="531"/>
        <v>399999.99999999953</v>
      </c>
      <c r="AP100" s="222"/>
      <c r="AQ100" s="7">
        <v>4166.666666666667</v>
      </c>
      <c r="AR100" s="7">
        <f t="shared" si="412"/>
        <v>4166.6666666666861</v>
      </c>
      <c r="AS100" s="7">
        <f t="shared" si="413"/>
        <v>1.9099388737231493E-11</v>
      </c>
      <c r="AT100" s="7">
        <f>L100*12</f>
        <v>50000</v>
      </c>
      <c r="AU100" s="7">
        <f>AO100-$L100</f>
        <v>395833.33333333285</v>
      </c>
      <c r="AV100" s="7">
        <f>AU100-$L100</f>
        <v>391666.66666666616</v>
      </c>
      <c r="AW100" s="7">
        <f t="shared" ref="AW100:BF100" si="532">AV100-$L100</f>
        <v>387499.99999999948</v>
      </c>
      <c r="AX100" s="7">
        <f t="shared" si="532"/>
        <v>383333.33333333279</v>
      </c>
      <c r="AY100" s="7">
        <f t="shared" si="532"/>
        <v>379166.6666666661</v>
      </c>
      <c r="AZ100" s="7">
        <f t="shared" si="532"/>
        <v>374999.99999999942</v>
      </c>
      <c r="BA100" s="7">
        <f t="shared" si="532"/>
        <v>370833.33333333273</v>
      </c>
      <c r="BB100" s="7">
        <f t="shared" si="532"/>
        <v>366666.66666666605</v>
      </c>
      <c r="BC100" s="7">
        <f t="shared" si="532"/>
        <v>362499.99999999936</v>
      </c>
      <c r="BD100" s="7">
        <f t="shared" si="532"/>
        <v>358333.33333333267</v>
      </c>
      <c r="BE100" s="7">
        <f t="shared" si="532"/>
        <v>354166.66666666599</v>
      </c>
      <c r="BF100" s="7">
        <f t="shared" si="532"/>
        <v>349999.9999999993</v>
      </c>
      <c r="BG100" s="236">
        <f t="shared" si="407"/>
        <v>0</v>
      </c>
      <c r="BH100" s="7">
        <v>4166.666666666667</v>
      </c>
      <c r="BI100" s="39">
        <f>BH100*12</f>
        <v>50000</v>
      </c>
      <c r="BJ100" s="7">
        <f>BF100-BH100</f>
        <v>345833.33333333262</v>
      </c>
      <c r="BK100" s="7">
        <f>BJ100-$L100</f>
        <v>341666.66666666593</v>
      </c>
      <c r="BL100" s="7">
        <f t="shared" ref="BL100" si="533">BK100-$L100</f>
        <v>337499.99999999924</v>
      </c>
      <c r="BM100" s="7">
        <f t="shared" ref="BM100" si="534">BL100-$L100</f>
        <v>333333.33333333256</v>
      </c>
      <c r="BN100" s="7">
        <f t="shared" ref="BN100" si="535">BM100-$L100</f>
        <v>329166.66666666587</v>
      </c>
      <c r="BO100" s="7">
        <f t="shared" ref="BO100" si="536">BN100-$L100</f>
        <v>324999.99999999919</v>
      </c>
      <c r="BP100" s="7">
        <f t="shared" ref="BP100" si="537">BO100-$L100</f>
        <v>320833.3333333325</v>
      </c>
      <c r="BQ100" s="7">
        <f t="shared" ref="BQ100" si="538">BP100-$L100</f>
        <v>316666.66666666581</v>
      </c>
      <c r="BR100" s="7">
        <f t="shared" ref="BR100" si="539">BQ100-$L100</f>
        <v>312499.99999999913</v>
      </c>
      <c r="BS100" s="7">
        <f t="shared" ref="BS100" si="540">BR100-$L100</f>
        <v>308333.33333333244</v>
      </c>
      <c r="BT100" s="7">
        <f t="shared" ref="BT100" si="541">BS100-$L100</f>
        <v>304166.66666666575</v>
      </c>
      <c r="BU100" s="7">
        <f t="shared" ref="BU100" si="542">BT100-$L100</f>
        <v>299999.99999999907</v>
      </c>
      <c r="BV100" s="236">
        <v>0</v>
      </c>
      <c r="BW100" s="7">
        <v>4166.666666666667</v>
      </c>
      <c r="BX100" s="39">
        <f>BW100*12</f>
        <v>50000</v>
      </c>
      <c r="BY100" s="7">
        <f>BU100-BW100</f>
        <v>295833.33333333238</v>
      </c>
      <c r="BZ100" s="7">
        <f>BY100-$L100</f>
        <v>291666.6666666657</v>
      </c>
      <c r="CA100" s="7">
        <f t="shared" ref="CA100" si="543">BZ100-$L100</f>
        <v>287499.99999999901</v>
      </c>
      <c r="CB100" s="7">
        <f t="shared" ref="CB100" si="544">CA100-$L100</f>
        <v>283333.33333333232</v>
      </c>
      <c r="CC100" s="7">
        <f t="shared" ref="CC100" si="545">CB100-$L100</f>
        <v>279166.66666666564</v>
      </c>
      <c r="CD100" s="7">
        <f t="shared" ref="CD100" si="546">CC100-$L100</f>
        <v>274999.99999999895</v>
      </c>
      <c r="CE100" s="7">
        <f t="shared" ref="CE100" si="547">CD100-$L100</f>
        <v>270833.33333333227</v>
      </c>
      <c r="CF100" s="7">
        <f t="shared" ref="CF100" si="548">CE100-$L100</f>
        <v>266666.66666666558</v>
      </c>
      <c r="CG100" s="7">
        <f t="shared" ref="CG100" si="549">CF100-$L100</f>
        <v>262499.99999999889</v>
      </c>
      <c r="CH100" s="7">
        <f t="shared" ref="CH100" si="550">CG100-$L100</f>
        <v>258333.33333333224</v>
      </c>
      <c r="CI100" s="7">
        <f t="shared" ref="CI100" si="551">CH100-$L100</f>
        <v>254166.66666666558</v>
      </c>
      <c r="CJ100" s="7">
        <f t="shared" ref="CJ100" si="552">CI100-$L100</f>
        <v>249999.99999999892</v>
      </c>
      <c r="CK100" s="236">
        <v>0</v>
      </c>
      <c r="CL100" s="7">
        <v>4166.666666666667</v>
      </c>
      <c r="CM100" s="39">
        <f>CL100*12</f>
        <v>50000</v>
      </c>
      <c r="CN100" s="7">
        <f>CJ100-CL100</f>
        <v>245833.33333333227</v>
      </c>
      <c r="CO100" s="7">
        <f>CN100-$L100</f>
        <v>241666.66666666561</v>
      </c>
      <c r="CP100" s="7">
        <f t="shared" ref="CP100" si="553">CO100-$L100</f>
        <v>237499.99999999895</v>
      </c>
      <c r="CQ100" s="7">
        <f t="shared" ref="CQ100" si="554">CP100-$L100</f>
        <v>233333.3333333323</v>
      </c>
      <c r="CR100" s="7">
        <f t="shared" ref="CR100" si="555">CQ100-$L100</f>
        <v>229166.66666666564</v>
      </c>
      <c r="CS100" s="7">
        <f t="shared" ref="CS100" si="556">CR100-$L100</f>
        <v>224999.99999999898</v>
      </c>
      <c r="CT100" s="7">
        <f t="shared" ref="CT100" si="557">CS100-$L100</f>
        <v>220833.33333333232</v>
      </c>
      <c r="CU100" s="7">
        <f t="shared" ref="CU100" si="558">CT100-$L100</f>
        <v>216666.66666666567</v>
      </c>
      <c r="CV100" s="7">
        <f t="shared" ref="CV100" si="559">CU100-$L100</f>
        <v>212499.99999999901</v>
      </c>
      <c r="CW100" s="7">
        <f t="shared" ref="CW100" si="560">CV100-$L100</f>
        <v>208333.33333333235</v>
      </c>
      <c r="CX100" s="7">
        <f t="shared" ref="CX100" si="561">CW100-$L100</f>
        <v>204166.6666666657</v>
      </c>
      <c r="CY100" s="7">
        <f t="shared" ref="CY100" si="562">CX100-$L100</f>
        <v>199999.99999999904</v>
      </c>
      <c r="CZ100" s="236">
        <v>0</v>
      </c>
    </row>
    <row r="101" spans="1:104" s="180" customFormat="1" x14ac:dyDescent="0.2">
      <c r="A101" s="179" t="str">
        <f>'[1]2021 УГРЦТ'!A104</f>
        <v>Система газового анализа с сигнализацией</v>
      </c>
      <c r="B101" s="180" t="str">
        <f>'[1]2021 УГРЦТ'!B104</f>
        <v>00001486</v>
      </c>
      <c r="C101" s="180" t="str">
        <f>'[1]2021 УГРЦТ'!C104</f>
        <v>ПРОИЗВОДСТВО</v>
      </c>
      <c r="D101" s="180" t="str">
        <f>'[1]2021 УГРЦТ'!D104</f>
        <v>Другие виды основных средств</v>
      </c>
      <c r="E101" s="180" t="str">
        <f>'[1]2021 УГРЦТ'!E104</f>
        <v>31.12.2011</v>
      </c>
      <c r="F101" s="180" t="str">
        <f>'[1]2021 УГРЦТ'!F104</f>
        <v>Тепломеханический цех</v>
      </c>
      <c r="G101" s="180">
        <f>'[1]2021 УГРЦТ'!AC104</f>
        <v>84</v>
      </c>
      <c r="H101" s="181">
        <f>'[1]2021 УГРЦТ'!X104</f>
        <v>601793.94999999995</v>
      </c>
      <c r="I101" s="181">
        <f>'[1]2021 УГРЦТ'!Y104</f>
        <v>579527.52</v>
      </c>
      <c r="J101" s="181">
        <f>'[1]2021 УГРЦТ'!Z104</f>
        <v>22266.429999999935</v>
      </c>
      <c r="K101" s="182">
        <v>0</v>
      </c>
      <c r="L101" s="181">
        <v>2226.64</v>
      </c>
      <c r="M101" s="181"/>
      <c r="N101" s="181">
        <f>L101*10+0.03</f>
        <v>22266.429999999997</v>
      </c>
      <c r="O101" s="7">
        <f t="shared" si="408"/>
        <v>20039.789999999935</v>
      </c>
      <c r="P101" s="7">
        <f t="shared" ref="P101:Z112" si="563">O101-$L101</f>
        <v>17813.149999999936</v>
      </c>
      <c r="Q101" s="7">
        <f t="shared" si="563"/>
        <v>15586.509999999937</v>
      </c>
      <c r="R101" s="7">
        <f t="shared" si="563"/>
        <v>13359.869999999937</v>
      </c>
      <c r="S101" s="7">
        <f t="shared" si="563"/>
        <v>11133.229999999938</v>
      </c>
      <c r="T101" s="7">
        <f t="shared" si="563"/>
        <v>8906.5899999999383</v>
      </c>
      <c r="U101" s="7">
        <f t="shared" si="563"/>
        <v>6679.9499999999389</v>
      </c>
      <c r="V101" s="7">
        <f t="shared" si="563"/>
        <v>4453.3099999999395</v>
      </c>
      <c r="W101" s="7">
        <f t="shared" si="563"/>
        <v>2226.6699999999396</v>
      </c>
      <c r="X101" s="7">
        <f t="shared" si="563"/>
        <v>2.9999999939718691E-2</v>
      </c>
      <c r="Y101" s="7">
        <f>X101-0.03</f>
        <v>-6.0281307723286659E-11</v>
      </c>
      <c r="Z101" s="7">
        <f>Y101-$L101*0</f>
        <v>-6.0281307723286659E-11</v>
      </c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222"/>
      <c r="AQ101" s="7">
        <v>0</v>
      </c>
      <c r="AR101" s="7">
        <f t="shared" si="412"/>
        <v>0</v>
      </c>
      <c r="AS101" s="7">
        <f t="shared" si="413"/>
        <v>0</v>
      </c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 s="236">
        <f t="shared" si="407"/>
        <v>0</v>
      </c>
      <c r="BH101" s="7">
        <v>0</v>
      </c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 s="236">
        <f>IF(Z101&lt;1,0,SUM(BJ101:BU101,BF101)/13*$BG$1)</f>
        <v>0</v>
      </c>
      <c r="BW101" s="7">
        <v>0</v>
      </c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 s="236">
        <f>IF(AO101&lt;1,0,SUM(BY101:CJ101,BU101)/13*$BG$1)</f>
        <v>0</v>
      </c>
      <c r="CL101" s="7">
        <v>0</v>
      </c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 s="236">
        <f>IF(BF101&lt;1,0,SUM(CN101:CY101,CJ101)/13*$BG$1)</f>
        <v>0</v>
      </c>
    </row>
    <row r="102" spans="1:104" x14ac:dyDescent="0.2">
      <c r="A102" s="6" t="str">
        <f>'[1]2021 УГРЦТ'!A105</f>
        <v>Система для высоковольтных испытаний "ВОЛНА-СВИ53В"</v>
      </c>
      <c r="B102" t="str">
        <f>'[1]2021 УГРЦТ'!B105</f>
        <v>000001706</v>
      </c>
      <c r="C102" t="str">
        <f>'[1]2021 УГРЦТ'!C105</f>
        <v>ПРОИЗВОДСТВО</v>
      </c>
      <c r="D102" t="str">
        <f>'[1]2021 УГРЦТ'!D105</f>
        <v>Машины и оборудование (кроме офисного)</v>
      </c>
      <c r="E102" t="str">
        <f>'[1]2021 УГРЦТ'!E105</f>
        <v>18.07.2017</v>
      </c>
      <c r="F102" t="str">
        <f>'[1]2021 УГРЦТ'!F105</f>
        <v>Электрический цех</v>
      </c>
      <c r="G102">
        <f>'[1]2021 УГРЦТ'!AC105</f>
        <v>120</v>
      </c>
      <c r="H102" s="7">
        <f>'[1]2021 УГРЦТ'!X105</f>
        <v>338050.85</v>
      </c>
      <c r="I102" s="7">
        <f>'[1]2021 УГРЦТ'!Y105</f>
        <v>149305.77499999999</v>
      </c>
      <c r="J102" s="7">
        <f>'[1]2021 УГРЦТ'!Z105</f>
        <v>188745.07499999998</v>
      </c>
      <c r="K102" s="8">
        <v>0</v>
      </c>
      <c r="L102" s="7">
        <v>2817.09</v>
      </c>
      <c r="M102" s="7"/>
      <c r="N102" s="7">
        <f t="shared" si="406"/>
        <v>33805.08</v>
      </c>
      <c r="O102" s="7">
        <f t="shared" si="408"/>
        <v>185927.98499999999</v>
      </c>
      <c r="P102" s="7">
        <f t="shared" si="563"/>
        <v>183110.89499999999</v>
      </c>
      <c r="Q102" s="7">
        <f t="shared" si="563"/>
        <v>180293.80499999999</v>
      </c>
      <c r="R102" s="7">
        <f t="shared" si="563"/>
        <v>177476.715</v>
      </c>
      <c r="S102" s="7">
        <f t="shared" si="563"/>
        <v>174659.625</v>
      </c>
      <c r="T102" s="7">
        <f t="shared" si="563"/>
        <v>171842.535</v>
      </c>
      <c r="U102" s="7">
        <f t="shared" si="563"/>
        <v>169025.44500000001</v>
      </c>
      <c r="V102" s="7">
        <f t="shared" si="563"/>
        <v>166208.35500000001</v>
      </c>
      <c r="W102" s="7">
        <f t="shared" si="563"/>
        <v>163391.26500000001</v>
      </c>
      <c r="X102" s="7">
        <f t="shared" si="563"/>
        <v>160574.17500000002</v>
      </c>
      <c r="Y102" s="7">
        <f t="shared" si="563"/>
        <v>157757.08500000002</v>
      </c>
      <c r="Z102" s="7">
        <f t="shared" si="563"/>
        <v>154939.99500000002</v>
      </c>
      <c r="AA102" s="7"/>
      <c r="AB102" s="7"/>
      <c r="AC102" s="7">
        <f t="shared" si="410"/>
        <v>33805.08</v>
      </c>
      <c r="AD102" s="7">
        <f t="shared" si="411"/>
        <v>152122.90500000003</v>
      </c>
      <c r="AE102" s="7">
        <f t="shared" ref="AE102:AO112" si="564">AD102-$L102</f>
        <v>149305.81500000003</v>
      </c>
      <c r="AF102" s="7">
        <f t="shared" si="564"/>
        <v>146488.72500000003</v>
      </c>
      <c r="AG102" s="7">
        <f t="shared" si="564"/>
        <v>143671.63500000004</v>
      </c>
      <c r="AH102" s="7">
        <f t="shared" si="564"/>
        <v>140854.54500000004</v>
      </c>
      <c r="AI102" s="7">
        <f t="shared" si="564"/>
        <v>138037.45500000005</v>
      </c>
      <c r="AJ102" s="7">
        <f t="shared" si="564"/>
        <v>135220.36500000005</v>
      </c>
      <c r="AK102" s="7">
        <f t="shared" si="564"/>
        <v>132403.27500000005</v>
      </c>
      <c r="AL102" s="7">
        <f t="shared" si="564"/>
        <v>129586.18500000006</v>
      </c>
      <c r="AM102" s="7">
        <f t="shared" si="564"/>
        <v>126769.09500000006</v>
      </c>
      <c r="AN102" s="7">
        <f t="shared" si="564"/>
        <v>123952.00500000006</v>
      </c>
      <c r="AO102" s="7">
        <f t="shared" si="564"/>
        <v>121134.91500000007</v>
      </c>
      <c r="AP102" s="222"/>
      <c r="AQ102" s="7">
        <v>2817.09</v>
      </c>
      <c r="AR102" s="7">
        <f t="shared" si="412"/>
        <v>2817.0899999999965</v>
      </c>
      <c r="AS102" s="7">
        <f t="shared" si="413"/>
        <v>-3.637978807091713E-12</v>
      </c>
      <c r="AT102" s="7">
        <f t="shared" ref="AT102:AT103" si="565">L102*12</f>
        <v>33805.08</v>
      </c>
      <c r="AU102" s="7">
        <f>AO102-$L102</f>
        <v>118317.82500000007</v>
      </c>
      <c r="AV102" s="7">
        <f t="shared" ref="AV102:BF103" si="566">AU102-$L102</f>
        <v>115500.73500000007</v>
      </c>
      <c r="AW102" s="7">
        <f t="shared" si="566"/>
        <v>112683.64500000008</v>
      </c>
      <c r="AX102" s="7">
        <f t="shared" si="566"/>
        <v>109866.55500000008</v>
      </c>
      <c r="AY102" s="7">
        <f t="shared" si="566"/>
        <v>107049.46500000008</v>
      </c>
      <c r="AZ102" s="7">
        <f t="shared" si="566"/>
        <v>104232.37500000009</v>
      </c>
      <c r="BA102" s="7">
        <f t="shared" si="566"/>
        <v>101415.28500000009</v>
      </c>
      <c r="BB102" s="7">
        <f t="shared" si="566"/>
        <v>98598.195000000094</v>
      </c>
      <c r="BC102" s="7">
        <f t="shared" si="566"/>
        <v>95781.105000000098</v>
      </c>
      <c r="BD102" s="7">
        <f t="shared" si="566"/>
        <v>92964.015000000101</v>
      </c>
      <c r="BE102" s="7">
        <f t="shared" si="566"/>
        <v>90146.925000000105</v>
      </c>
      <c r="BF102" s="7">
        <f t="shared" si="566"/>
        <v>87329.835000000108</v>
      </c>
      <c r="BG102" s="236">
        <f t="shared" si="407"/>
        <v>0</v>
      </c>
      <c r="BH102" s="7">
        <v>2817.09</v>
      </c>
      <c r="BI102" s="39">
        <f>BH102*12</f>
        <v>33805.08</v>
      </c>
      <c r="BJ102" s="7">
        <f>BF102-BH102</f>
        <v>84512.745000000112</v>
      </c>
      <c r="BK102" s="7">
        <f t="shared" ref="BK102:BK103" si="567">BJ102-$L102</f>
        <v>81695.655000000115</v>
      </c>
      <c r="BL102" s="7">
        <f t="shared" ref="BL102:BL103" si="568">BK102-$L102</f>
        <v>78878.565000000119</v>
      </c>
      <c r="BM102" s="7">
        <f t="shared" ref="BM102:BM103" si="569">BL102-$L102</f>
        <v>76061.475000000122</v>
      </c>
      <c r="BN102" s="7">
        <f t="shared" ref="BN102:BN103" si="570">BM102-$L102</f>
        <v>73244.385000000126</v>
      </c>
      <c r="BO102" s="7">
        <f t="shared" ref="BO102:BO103" si="571">BN102-$L102</f>
        <v>70427.295000000129</v>
      </c>
      <c r="BP102" s="7">
        <f t="shared" ref="BP102:BP103" si="572">BO102-$L102</f>
        <v>67610.205000000133</v>
      </c>
      <c r="BQ102" s="7">
        <f t="shared" ref="BQ102:BQ103" si="573">BP102-$L102</f>
        <v>64793.115000000136</v>
      </c>
      <c r="BR102" s="7">
        <f t="shared" ref="BR102:BR103" si="574">BQ102-$L102</f>
        <v>61976.02500000014</v>
      </c>
      <c r="BS102" s="7">
        <f t="shared" ref="BS102:BS103" si="575">BR102-$L102</f>
        <v>59158.935000000143</v>
      </c>
      <c r="BT102" s="7">
        <f t="shared" ref="BT102:BT103" si="576">BS102-$L102</f>
        <v>56341.845000000147</v>
      </c>
      <c r="BU102" s="7">
        <f t="shared" ref="BU102:BU103" si="577">BT102-$L102</f>
        <v>53524.75500000015</v>
      </c>
      <c r="BV102" s="236">
        <v>0</v>
      </c>
      <c r="BW102" s="7">
        <v>2817.09</v>
      </c>
      <c r="BX102" s="39">
        <f>BW102*12</f>
        <v>33805.08</v>
      </c>
      <c r="BY102" s="7">
        <f>BU102-BW102</f>
        <v>50707.665000000154</v>
      </c>
      <c r="BZ102" s="7">
        <f t="shared" ref="BZ102:BZ103" si="578">BY102-$L102</f>
        <v>47890.575000000157</v>
      </c>
      <c r="CA102" s="7">
        <f t="shared" ref="CA102:CA103" si="579">BZ102-$L102</f>
        <v>45073.485000000161</v>
      </c>
      <c r="CB102" s="7">
        <f t="shared" ref="CB102:CB103" si="580">CA102-$L102</f>
        <v>42256.395000000164</v>
      </c>
      <c r="CC102" s="7">
        <f t="shared" ref="CC102:CC103" si="581">CB102-$L102</f>
        <v>39439.305000000168</v>
      </c>
      <c r="CD102" s="7">
        <f t="shared" ref="CD102:CD103" si="582">CC102-$L102</f>
        <v>36622.215000000171</v>
      </c>
      <c r="CE102" s="7">
        <f t="shared" ref="CE102:CE103" si="583">CD102-$L102</f>
        <v>33805.125000000175</v>
      </c>
      <c r="CF102" s="7">
        <f t="shared" ref="CF102:CF103" si="584">CE102-$L102</f>
        <v>30988.035000000174</v>
      </c>
      <c r="CG102" s="7">
        <f t="shared" ref="CG102:CG103" si="585">CF102-$L102</f>
        <v>28170.945000000174</v>
      </c>
      <c r="CH102" s="7">
        <f t="shared" ref="CH102:CH103" si="586">CG102-$L102</f>
        <v>25353.855000000174</v>
      </c>
      <c r="CI102" s="7">
        <f t="shared" ref="CI102:CI103" si="587">CH102-$L102</f>
        <v>22536.765000000174</v>
      </c>
      <c r="CJ102" s="7">
        <f t="shared" ref="CJ102:CJ103" si="588">CI102-$L102</f>
        <v>19719.675000000174</v>
      </c>
      <c r="CK102" s="236">
        <v>0</v>
      </c>
      <c r="CL102" s="7">
        <v>2817.09</v>
      </c>
      <c r="CM102" s="39">
        <f>CL102*12</f>
        <v>33805.08</v>
      </c>
      <c r="CN102" s="7">
        <f>CJ102-CL102</f>
        <v>16902.585000000174</v>
      </c>
      <c r="CO102" s="7">
        <f t="shared" ref="CO102:CO103" si="589">CN102-$L102</f>
        <v>14085.495000000174</v>
      </c>
      <c r="CP102" s="7">
        <f t="shared" ref="CP102:CP103" si="590">CO102-$L102</f>
        <v>11268.405000000173</v>
      </c>
      <c r="CQ102" s="7">
        <f t="shared" ref="CQ102:CQ103" si="591">CP102-$L102</f>
        <v>8451.3150000001733</v>
      </c>
      <c r="CR102" s="7">
        <f t="shared" ref="CR102:CR103" si="592">CQ102-$L102</f>
        <v>5634.2250000001732</v>
      </c>
      <c r="CS102" s="7">
        <f t="shared" ref="CS102:CS103" si="593">CR102-$L102</f>
        <v>2817.135000000173</v>
      </c>
      <c r="CT102" s="7">
        <f t="shared" ref="CT102:CT103" si="594">CS102-$L102</f>
        <v>4.5000000172876753E-2</v>
      </c>
      <c r="CU102" s="7"/>
      <c r="CV102" s="7"/>
      <c r="CW102" s="7"/>
      <c r="CX102" s="7"/>
      <c r="CY102" s="7"/>
      <c r="CZ102" s="236">
        <v>0</v>
      </c>
    </row>
    <row r="103" spans="1:104" ht="22.5" x14ac:dyDescent="0.2">
      <c r="A103" s="6" t="str">
        <f>'[1]2021 УГРЦТ'!A106</f>
        <v>Система оперативно-диспетчерской связи Каскад-14 (Р) мод. Б-1</v>
      </c>
      <c r="B103" t="str">
        <f>'[1]2021 УГРЦТ'!B106</f>
        <v>000001735</v>
      </c>
      <c r="C103" t="str">
        <f>'[1]2021 УГРЦТ'!C106</f>
        <v>ПРОИЗВОДСТВО</v>
      </c>
      <c r="D103" t="str">
        <f>'[1]2021 УГРЦТ'!D106</f>
        <v>Машины и оборудование (кроме офисного)</v>
      </c>
      <c r="E103" t="str">
        <f>'[1]2021 УГРЦТ'!E106</f>
        <v>11.07.2018</v>
      </c>
      <c r="F103" t="str">
        <f>'[1]2021 УГРЦТ'!F106</f>
        <v>Электрический цех</v>
      </c>
      <c r="G103">
        <f>'[1]2021 УГРЦТ'!AC106</f>
        <v>120</v>
      </c>
      <c r="H103" s="7">
        <f>'[1]2021 УГРЦТ'!X106</f>
        <v>130271.88</v>
      </c>
      <c r="I103" s="7">
        <f>'[1]2021 УГРЦТ'!Y106</f>
        <v>44509.588000000003</v>
      </c>
      <c r="J103" s="7">
        <f>'[1]2021 УГРЦТ'!Z106</f>
        <v>85762.292000000001</v>
      </c>
      <c r="K103" s="8">
        <v>0</v>
      </c>
      <c r="L103" s="7">
        <v>1085.6000000000001</v>
      </c>
      <c r="M103" s="7"/>
      <c r="N103" s="7">
        <f t="shared" si="406"/>
        <v>13027.2</v>
      </c>
      <c r="O103" s="7">
        <f t="shared" si="408"/>
        <v>84676.691999999995</v>
      </c>
      <c r="P103" s="7">
        <f t="shared" si="563"/>
        <v>83591.09199999999</v>
      </c>
      <c r="Q103" s="7">
        <f t="shared" si="563"/>
        <v>82505.491999999984</v>
      </c>
      <c r="R103" s="7">
        <f t="shared" si="563"/>
        <v>81419.891999999978</v>
      </c>
      <c r="S103" s="7">
        <f t="shared" si="563"/>
        <v>80334.291999999972</v>
      </c>
      <c r="T103" s="7">
        <f t="shared" si="563"/>
        <v>79248.691999999966</v>
      </c>
      <c r="U103" s="7">
        <f t="shared" si="563"/>
        <v>78163.091999999961</v>
      </c>
      <c r="V103" s="7">
        <f t="shared" si="563"/>
        <v>77077.491999999955</v>
      </c>
      <c r="W103" s="7">
        <f t="shared" si="563"/>
        <v>75991.891999999949</v>
      </c>
      <c r="X103" s="7">
        <f t="shared" si="563"/>
        <v>74906.291999999943</v>
      </c>
      <c r="Y103" s="7">
        <f t="shared" si="563"/>
        <v>73820.691999999937</v>
      </c>
      <c r="Z103" s="7">
        <f t="shared" si="563"/>
        <v>72735.091999999931</v>
      </c>
      <c r="AA103" s="7"/>
      <c r="AB103" s="7"/>
      <c r="AC103" s="7">
        <f t="shared" si="410"/>
        <v>13027.2</v>
      </c>
      <c r="AD103" s="7">
        <f t="shared" si="411"/>
        <v>71649.491999999926</v>
      </c>
      <c r="AE103" s="7">
        <f t="shared" si="564"/>
        <v>70563.89199999992</v>
      </c>
      <c r="AF103" s="7">
        <f t="shared" si="564"/>
        <v>69478.291999999914</v>
      </c>
      <c r="AG103" s="7">
        <f t="shared" si="564"/>
        <v>68392.691999999908</v>
      </c>
      <c r="AH103" s="7">
        <f t="shared" si="564"/>
        <v>67307.091999999902</v>
      </c>
      <c r="AI103" s="7">
        <f t="shared" si="564"/>
        <v>66221.491999999897</v>
      </c>
      <c r="AJ103" s="7">
        <f t="shared" si="564"/>
        <v>65135.891999999898</v>
      </c>
      <c r="AK103" s="7">
        <f t="shared" si="564"/>
        <v>64050.291999999899</v>
      </c>
      <c r="AL103" s="7">
        <f t="shared" si="564"/>
        <v>62964.691999999901</v>
      </c>
      <c r="AM103" s="7">
        <f t="shared" si="564"/>
        <v>61879.091999999902</v>
      </c>
      <c r="AN103" s="7">
        <f t="shared" si="564"/>
        <v>60793.491999999904</v>
      </c>
      <c r="AO103" s="7">
        <f t="shared" si="564"/>
        <v>59707.891999999905</v>
      </c>
      <c r="AP103" s="222"/>
      <c r="AQ103" s="7">
        <v>1085.6000000000001</v>
      </c>
      <c r="AR103" s="7">
        <f t="shared" si="412"/>
        <v>1085.5999999999985</v>
      </c>
      <c r="AS103" s="7">
        <f t="shared" si="413"/>
        <v>0</v>
      </c>
      <c r="AT103" s="7">
        <f t="shared" si="565"/>
        <v>13027.2</v>
      </c>
      <c r="AU103" s="7">
        <f>AO103-$L103</f>
        <v>58622.291999999907</v>
      </c>
      <c r="AV103" s="7">
        <f t="shared" si="566"/>
        <v>57536.691999999908</v>
      </c>
      <c r="AW103" s="7">
        <f t="shared" si="566"/>
        <v>56451.09199999991</v>
      </c>
      <c r="AX103" s="7">
        <f t="shared" si="566"/>
        <v>55365.491999999911</v>
      </c>
      <c r="AY103" s="7">
        <f t="shared" si="566"/>
        <v>54279.891999999913</v>
      </c>
      <c r="AZ103" s="7">
        <f t="shared" si="566"/>
        <v>53194.291999999914</v>
      </c>
      <c r="BA103" s="7">
        <f t="shared" si="566"/>
        <v>52108.691999999915</v>
      </c>
      <c r="BB103" s="7">
        <f t="shared" si="566"/>
        <v>51023.091999999917</v>
      </c>
      <c r="BC103" s="7">
        <f t="shared" si="566"/>
        <v>49937.491999999918</v>
      </c>
      <c r="BD103" s="7">
        <f t="shared" si="566"/>
        <v>48851.89199999992</v>
      </c>
      <c r="BE103" s="7">
        <f t="shared" si="566"/>
        <v>47766.291999999921</v>
      </c>
      <c r="BF103" s="7">
        <f t="shared" si="566"/>
        <v>46680.691999999923</v>
      </c>
      <c r="BG103" s="236">
        <f t="shared" si="407"/>
        <v>0</v>
      </c>
      <c r="BH103" s="7">
        <v>1085.6000000000001</v>
      </c>
      <c r="BI103" s="39">
        <f>BH103*12</f>
        <v>13027.2</v>
      </c>
      <c r="BJ103" s="7">
        <f>BF103-BH103</f>
        <v>45595.091999999924</v>
      </c>
      <c r="BK103" s="7">
        <f t="shared" si="567"/>
        <v>44509.491999999926</v>
      </c>
      <c r="BL103" s="7">
        <f t="shared" si="568"/>
        <v>43423.891999999927</v>
      </c>
      <c r="BM103" s="7">
        <f t="shared" si="569"/>
        <v>42338.291999999929</v>
      </c>
      <c r="BN103" s="7">
        <f t="shared" si="570"/>
        <v>41252.69199999993</v>
      </c>
      <c r="BO103" s="7">
        <f t="shared" si="571"/>
        <v>40167.091999999931</v>
      </c>
      <c r="BP103" s="7">
        <f t="shared" si="572"/>
        <v>39081.491999999933</v>
      </c>
      <c r="BQ103" s="7">
        <f t="shared" si="573"/>
        <v>37995.891999999934</v>
      </c>
      <c r="BR103" s="7">
        <f t="shared" si="574"/>
        <v>36910.291999999936</v>
      </c>
      <c r="BS103" s="7">
        <f t="shared" si="575"/>
        <v>35824.691999999937</v>
      </c>
      <c r="BT103" s="7">
        <f t="shared" si="576"/>
        <v>34739.091999999939</v>
      </c>
      <c r="BU103" s="7">
        <f t="shared" si="577"/>
        <v>33653.49199999994</v>
      </c>
      <c r="BV103" s="236">
        <v>0</v>
      </c>
      <c r="BW103" s="7">
        <v>1085.6000000000001</v>
      </c>
      <c r="BX103" s="39">
        <f>BW103*12</f>
        <v>13027.2</v>
      </c>
      <c r="BY103" s="7">
        <f>BU103-BW103</f>
        <v>32567.891999999942</v>
      </c>
      <c r="BZ103" s="7">
        <f t="shared" si="578"/>
        <v>31482.291999999943</v>
      </c>
      <c r="CA103" s="7">
        <f t="shared" si="579"/>
        <v>30396.691999999945</v>
      </c>
      <c r="CB103" s="7">
        <f t="shared" si="580"/>
        <v>29311.091999999946</v>
      </c>
      <c r="CC103" s="7">
        <f t="shared" si="581"/>
        <v>28225.491999999947</v>
      </c>
      <c r="CD103" s="7">
        <f t="shared" si="582"/>
        <v>27139.891999999949</v>
      </c>
      <c r="CE103" s="7">
        <f t="shared" si="583"/>
        <v>26054.29199999995</v>
      </c>
      <c r="CF103" s="7">
        <f t="shared" si="584"/>
        <v>24968.691999999952</v>
      </c>
      <c r="CG103" s="7">
        <f t="shared" si="585"/>
        <v>23883.091999999953</v>
      </c>
      <c r="CH103" s="7">
        <f t="shared" si="586"/>
        <v>22797.491999999955</v>
      </c>
      <c r="CI103" s="7">
        <f t="shared" si="587"/>
        <v>21711.891999999956</v>
      </c>
      <c r="CJ103" s="7">
        <f t="shared" si="588"/>
        <v>20626.291999999958</v>
      </c>
      <c r="CK103" s="236">
        <v>0</v>
      </c>
      <c r="CL103" s="7">
        <v>1085.6000000000001</v>
      </c>
      <c r="CM103" s="39">
        <f>CL103*12</f>
        <v>13027.2</v>
      </c>
      <c r="CN103" s="7">
        <f>CJ103-CL103</f>
        <v>19540.691999999959</v>
      </c>
      <c r="CO103" s="7">
        <f t="shared" si="589"/>
        <v>18455.091999999961</v>
      </c>
      <c r="CP103" s="7">
        <f t="shared" si="590"/>
        <v>17369.491999999962</v>
      </c>
      <c r="CQ103" s="7">
        <f t="shared" si="591"/>
        <v>16283.891999999962</v>
      </c>
      <c r="CR103" s="7">
        <f t="shared" si="592"/>
        <v>15198.291999999961</v>
      </c>
      <c r="CS103" s="7">
        <f t="shared" si="593"/>
        <v>14112.691999999961</v>
      </c>
      <c r="CT103" s="7">
        <f t="shared" si="594"/>
        <v>13027.091999999961</v>
      </c>
      <c r="CU103" s="7">
        <f t="shared" ref="CU103" si="595">CT103-$L103</f>
        <v>11941.49199999996</v>
      </c>
      <c r="CV103" s="7">
        <f t="shared" ref="CV103" si="596">CU103-$L103</f>
        <v>10855.89199999996</v>
      </c>
      <c r="CW103" s="7">
        <f t="shared" ref="CW103" si="597">CV103-$L103</f>
        <v>9770.2919999999594</v>
      </c>
      <c r="CX103" s="7">
        <f t="shared" ref="CX103" si="598">CW103-$L103</f>
        <v>8684.6919999999591</v>
      </c>
      <c r="CY103" s="7">
        <f t="shared" ref="CY103" si="599">CX103-$L103</f>
        <v>7599.0919999999587</v>
      </c>
      <c r="CZ103" s="236">
        <v>0</v>
      </c>
    </row>
    <row r="104" spans="1:104" x14ac:dyDescent="0.2">
      <c r="A104" s="6" t="str">
        <f>'[1]2021 УГРЦТ'!A107</f>
        <v>Система оперативной радиосвязи</v>
      </c>
      <c r="B104" t="str">
        <f>'[1]2021 УГРЦТ'!B107</f>
        <v>000001715</v>
      </c>
      <c r="C104" t="str">
        <f>'[1]2021 УГРЦТ'!C107</f>
        <v>ПРОИЗВОДСТВО</v>
      </c>
      <c r="D104" t="str">
        <f>'[1]2021 УГРЦТ'!D107</f>
        <v>Машины и оборудование (кроме офисного)</v>
      </c>
      <c r="E104" t="str">
        <f>'[1]2021 УГРЦТ'!E107</f>
        <v>05.02.2018</v>
      </c>
      <c r="F104" t="str">
        <f>'[1]2021 УГРЦТ'!F107</f>
        <v>Электрический цех</v>
      </c>
      <c r="G104">
        <f>'[1]2021 УГРЦТ'!AC107</f>
        <v>60</v>
      </c>
      <c r="H104" s="7">
        <f>'[1]2021 УГРЦТ'!X107</f>
        <v>92585.46</v>
      </c>
      <c r="I104" s="7">
        <f>'[1]2021 УГРЦТ'!Y107</f>
        <v>70982.152000000002</v>
      </c>
      <c r="J104" s="7">
        <f>'[1]2021 УГРЦТ'!Z107</f>
        <v>21603.308000000005</v>
      </c>
      <c r="K104" s="8">
        <v>0</v>
      </c>
      <c r="L104" s="7">
        <v>1543.09</v>
      </c>
      <c r="M104" s="7"/>
      <c r="N104" s="7">
        <f t="shared" si="406"/>
        <v>18517.079999999998</v>
      </c>
      <c r="O104" s="7">
        <f t="shared" si="408"/>
        <v>20060.218000000004</v>
      </c>
      <c r="P104" s="7">
        <f t="shared" si="563"/>
        <v>18517.128000000004</v>
      </c>
      <c r="Q104" s="7">
        <f t="shared" si="563"/>
        <v>16974.038000000004</v>
      </c>
      <c r="R104" s="7">
        <f t="shared" si="563"/>
        <v>15430.948000000004</v>
      </c>
      <c r="S104" s="7">
        <f t="shared" si="563"/>
        <v>13887.858000000004</v>
      </c>
      <c r="T104" s="7">
        <f t="shared" si="563"/>
        <v>12344.768000000004</v>
      </c>
      <c r="U104" s="7">
        <f t="shared" si="563"/>
        <v>10801.678000000004</v>
      </c>
      <c r="V104" s="7">
        <f t="shared" si="563"/>
        <v>9258.5880000000034</v>
      </c>
      <c r="W104" s="7">
        <f t="shared" si="563"/>
        <v>7715.4980000000032</v>
      </c>
      <c r="X104" s="7">
        <f t="shared" si="563"/>
        <v>6172.4080000000031</v>
      </c>
      <c r="Y104" s="7">
        <f t="shared" si="563"/>
        <v>4629.3180000000029</v>
      </c>
      <c r="Z104" s="7">
        <f t="shared" si="563"/>
        <v>3086.2280000000028</v>
      </c>
      <c r="AA104" s="7"/>
      <c r="AB104" s="7"/>
      <c r="AC104" s="7">
        <f>L104*2+0.05</f>
        <v>3086.23</v>
      </c>
      <c r="AD104" s="7">
        <f t="shared" si="411"/>
        <v>1543.1380000000029</v>
      </c>
      <c r="AE104" s="7">
        <f t="shared" si="564"/>
        <v>4.8000000002957677E-2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222"/>
      <c r="AQ104" s="7">
        <v>0</v>
      </c>
      <c r="AR104" s="7">
        <f t="shared" si="412"/>
        <v>0</v>
      </c>
      <c r="AS104" s="7">
        <f t="shared" si="413"/>
        <v>0</v>
      </c>
      <c r="BG104" s="236">
        <f t="shared" si="407"/>
        <v>0</v>
      </c>
      <c r="BH104" s="7">
        <v>0</v>
      </c>
      <c r="BV104" s="236">
        <f>IF(Z104&lt;1,0,SUM(BJ104:BU104,BF104)/13*$BG$1)</f>
        <v>0</v>
      </c>
      <c r="BW104" s="7">
        <v>0</v>
      </c>
      <c r="CK104" s="236">
        <f>IF(AO104&lt;1,0,SUM(BY104:CJ104,BU104)/13*$BG$1)</f>
        <v>0</v>
      </c>
      <c r="CL104" s="7">
        <v>0</v>
      </c>
      <c r="CZ104" s="236">
        <f>IF(BF104&lt;1,0,SUM(CN104:CY104,CJ104)/13*$BG$1)</f>
        <v>0</v>
      </c>
    </row>
    <row r="105" spans="1:104" x14ac:dyDescent="0.2">
      <c r="A105" s="6" t="str">
        <f>'[1]2021 УГРЦТ'!A108</f>
        <v>Система освещения ГТЭС-12, ГТЭС-18</v>
      </c>
      <c r="B105" t="str">
        <f>'[1]2021 УГРЦТ'!B108</f>
        <v>000001665</v>
      </c>
      <c r="C105" t="str">
        <f>'[1]2021 УГРЦТ'!C108</f>
        <v>ПРОИЗВОДСТВО</v>
      </c>
      <c r="D105" t="str">
        <f>'[1]2021 УГРЦТ'!D108</f>
        <v>Сооружения</v>
      </c>
      <c r="E105" t="str">
        <f>'[1]2021 УГРЦТ'!E108</f>
        <v>30.10.2015</v>
      </c>
      <c r="F105" t="str">
        <f>'[1]2021 УГРЦТ'!F108</f>
        <v>Газотурбинный цех</v>
      </c>
      <c r="G105">
        <f>'[1]2021 УГРЦТ'!AC108</f>
        <v>180</v>
      </c>
      <c r="H105" s="7">
        <f>'[1]2021 УГРЦТ'!X108</f>
        <v>1972995.34</v>
      </c>
      <c r="I105" s="7">
        <f>'[1]2021 УГРЦТ'!Y108</f>
        <v>811120.60266666661</v>
      </c>
      <c r="J105" s="7">
        <f>'[1]2021 УГРЦТ'!Z108</f>
        <v>1161874.7373333336</v>
      </c>
      <c r="K105" s="8">
        <v>1</v>
      </c>
      <c r="L105" s="7">
        <v>10961.08</v>
      </c>
      <c r="M105" s="7"/>
      <c r="N105" s="7">
        <f t="shared" si="406"/>
        <v>131532.96</v>
      </c>
      <c r="O105" s="7">
        <f t="shared" si="408"/>
        <v>1150913.6573333335</v>
      </c>
      <c r="P105" s="7">
        <f t="shared" si="563"/>
        <v>1139952.5773333334</v>
      </c>
      <c r="Q105" s="7">
        <f t="shared" si="563"/>
        <v>1128991.4973333334</v>
      </c>
      <c r="R105" s="7">
        <f t="shared" si="563"/>
        <v>1118030.4173333333</v>
      </c>
      <c r="S105" s="7">
        <f t="shared" si="563"/>
        <v>1107069.3373333332</v>
      </c>
      <c r="T105" s="7">
        <f t="shared" si="563"/>
        <v>1096108.2573333331</v>
      </c>
      <c r="U105" s="7">
        <f t="shared" si="563"/>
        <v>1085147.1773333331</v>
      </c>
      <c r="V105" s="7">
        <f t="shared" si="563"/>
        <v>1074186.097333333</v>
      </c>
      <c r="W105" s="7">
        <f t="shared" si="563"/>
        <v>1063225.0173333329</v>
      </c>
      <c r="X105" s="7">
        <f t="shared" si="563"/>
        <v>1052263.9373333328</v>
      </c>
      <c r="Y105" s="7">
        <f t="shared" si="563"/>
        <v>1041302.8573333329</v>
      </c>
      <c r="Z105" s="7">
        <f t="shared" si="563"/>
        <v>1030341.7773333329</v>
      </c>
      <c r="AA105" s="7">
        <f>SUM(O105:Z105,J105)/13*$AA$1</f>
        <v>24114.381661333322</v>
      </c>
      <c r="AB105" s="7"/>
      <c r="AC105" s="7">
        <f t="shared" si="410"/>
        <v>131532.96</v>
      </c>
      <c r="AD105" s="7">
        <f t="shared" si="411"/>
        <v>1019380.697333333</v>
      </c>
      <c r="AE105" s="7">
        <f t="shared" si="564"/>
        <v>1008419.617333333</v>
      </c>
      <c r="AF105" s="7">
        <f t="shared" si="564"/>
        <v>997458.53733333305</v>
      </c>
      <c r="AG105" s="7">
        <f t="shared" si="564"/>
        <v>986497.45733333309</v>
      </c>
      <c r="AH105" s="7">
        <f t="shared" si="564"/>
        <v>975536.37733333313</v>
      </c>
      <c r="AI105" s="7">
        <f t="shared" si="564"/>
        <v>964575.29733333318</v>
      </c>
      <c r="AJ105" s="7">
        <f t="shared" si="564"/>
        <v>953614.21733333322</v>
      </c>
      <c r="AK105" s="7">
        <f t="shared" si="564"/>
        <v>942653.13733333326</v>
      </c>
      <c r="AL105" s="7">
        <f t="shared" si="564"/>
        <v>931692.0573333333</v>
      </c>
      <c r="AM105" s="7">
        <f t="shared" si="564"/>
        <v>920730.97733333334</v>
      </c>
      <c r="AN105" s="7">
        <f t="shared" si="564"/>
        <v>909769.89733333339</v>
      </c>
      <c r="AO105" s="7">
        <f t="shared" si="564"/>
        <v>898808.81733333343</v>
      </c>
      <c r="AP105" s="222">
        <f>IF(K105&lt;1,0,SUM(AD105:AO105,Z105)/13*$BG$1)</f>
        <v>21220.656541333326</v>
      </c>
      <c r="AQ105" s="7">
        <v>10961.08</v>
      </c>
      <c r="AR105" s="7">
        <f t="shared" si="412"/>
        <v>10961.079999999958</v>
      </c>
      <c r="AS105" s="7">
        <f t="shared" si="413"/>
        <v>-4.1836756281554699E-11</v>
      </c>
      <c r="AT105" s="7">
        <f t="shared" ref="AT105:AT108" si="600">L105*12</f>
        <v>131532.96</v>
      </c>
      <c r="AU105" s="7">
        <f>AO105-$L105</f>
        <v>887847.73733333347</v>
      </c>
      <c r="AV105" s="7">
        <f t="shared" ref="AV105:BF108" si="601">AU105-$L105</f>
        <v>876886.65733333351</v>
      </c>
      <c r="AW105" s="7">
        <f t="shared" si="601"/>
        <v>865925.57733333355</v>
      </c>
      <c r="AX105" s="7">
        <f t="shared" si="601"/>
        <v>854964.49733333359</v>
      </c>
      <c r="AY105" s="7">
        <f t="shared" si="601"/>
        <v>844003.41733333364</v>
      </c>
      <c r="AZ105" s="7">
        <f t="shared" si="601"/>
        <v>833042.33733333368</v>
      </c>
      <c r="BA105" s="7">
        <f t="shared" si="601"/>
        <v>822081.25733333372</v>
      </c>
      <c r="BB105" s="7">
        <f t="shared" si="601"/>
        <v>811120.17733333376</v>
      </c>
      <c r="BC105" s="7">
        <f t="shared" si="601"/>
        <v>800159.0973333338</v>
      </c>
      <c r="BD105" s="7">
        <f t="shared" si="601"/>
        <v>789198.01733333385</v>
      </c>
      <c r="BE105" s="7">
        <f t="shared" si="601"/>
        <v>778236.93733333389</v>
      </c>
      <c r="BF105" s="7">
        <f t="shared" si="601"/>
        <v>767275.85733333393</v>
      </c>
      <c r="BG105" s="236">
        <f t="shared" si="407"/>
        <v>18326.931421333338</v>
      </c>
      <c r="BH105" s="7">
        <v>10961.08</v>
      </c>
      <c r="BI105" s="39">
        <f>BH105*12</f>
        <v>131532.96</v>
      </c>
      <c r="BJ105" s="7">
        <f>BF105-BH105</f>
        <v>756314.77733333397</v>
      </c>
      <c r="BK105" s="7">
        <f t="shared" ref="BK105:BK108" si="602">BJ105-$L105</f>
        <v>745353.69733333401</v>
      </c>
      <c r="BL105" s="7">
        <f t="shared" ref="BL105:BL108" si="603">BK105-$L105</f>
        <v>734392.61733333406</v>
      </c>
      <c r="BM105" s="7">
        <f t="shared" ref="BM105:BM108" si="604">BL105-$L105</f>
        <v>723431.5373333341</v>
      </c>
      <c r="BN105" s="7">
        <f t="shared" ref="BN105:BN108" si="605">BM105-$L105</f>
        <v>712470.45733333414</v>
      </c>
      <c r="BO105" s="7">
        <f t="shared" ref="BO105:BO108" si="606">BN105-$L105</f>
        <v>701509.37733333418</v>
      </c>
      <c r="BP105" s="7">
        <f t="shared" ref="BP105:BP108" si="607">BO105-$L105</f>
        <v>690548.29733333422</v>
      </c>
      <c r="BQ105" s="7">
        <f t="shared" ref="BQ105:BQ108" si="608">BP105-$L105</f>
        <v>679587.21733333427</v>
      </c>
      <c r="BR105" s="7">
        <f t="shared" ref="BR105:BR108" si="609">BQ105-$L105</f>
        <v>668626.13733333431</v>
      </c>
      <c r="BS105" s="7">
        <f t="shared" ref="BS105:BS108" si="610">BR105-$L105</f>
        <v>657665.05733333435</v>
      </c>
      <c r="BT105" s="7">
        <f t="shared" ref="BT105:BT108" si="611">BS105-$L105</f>
        <v>646703.97733333439</v>
      </c>
      <c r="BU105" s="7">
        <f t="shared" ref="BU105:BU108" si="612">BT105-$L105</f>
        <v>635742.89733333443</v>
      </c>
      <c r="BV105" s="236">
        <f>IF(Z105&lt;1,0,SUM(BJ105:BU105,BF105)/13*$BG$1)</f>
        <v>15433.206301333352</v>
      </c>
      <c r="BW105" s="7">
        <v>10961.08</v>
      </c>
      <c r="BX105" s="39">
        <f>BW105*12</f>
        <v>131532.96</v>
      </c>
      <c r="BY105" s="7">
        <f>BU105-BW105</f>
        <v>624781.81733333447</v>
      </c>
      <c r="BZ105" s="7">
        <f t="shared" ref="BZ105:BZ108" si="613">BY105-$L105</f>
        <v>613820.73733333452</v>
      </c>
      <c r="CA105" s="7">
        <f t="shared" ref="CA105:CA108" si="614">BZ105-$L105</f>
        <v>602859.65733333456</v>
      </c>
      <c r="CB105" s="7">
        <f t="shared" ref="CB105:CB108" si="615">CA105-$L105</f>
        <v>591898.5773333346</v>
      </c>
      <c r="CC105" s="7">
        <f t="shared" ref="CC105:CC108" si="616">CB105-$L105</f>
        <v>580937.49733333464</v>
      </c>
      <c r="CD105" s="7">
        <f t="shared" ref="CD105:CD108" si="617">CC105-$L105</f>
        <v>569976.41733333468</v>
      </c>
      <c r="CE105" s="7">
        <f t="shared" ref="CE105:CE108" si="618">CD105-$L105</f>
        <v>559015.33733333473</v>
      </c>
      <c r="CF105" s="7">
        <f t="shared" ref="CF105:CF108" si="619">CE105-$L105</f>
        <v>548054.25733333477</v>
      </c>
      <c r="CG105" s="7">
        <f t="shared" ref="CG105:CG108" si="620">CF105-$L105</f>
        <v>537093.17733333481</v>
      </c>
      <c r="CH105" s="7">
        <f t="shared" ref="CH105:CH108" si="621">CG105-$L105</f>
        <v>526132.09733333485</v>
      </c>
      <c r="CI105" s="7">
        <f t="shared" ref="CI105:CI108" si="622">CH105-$L105</f>
        <v>515171.01733333484</v>
      </c>
      <c r="CJ105" s="7">
        <f t="shared" ref="CJ105:CJ108" si="623">CI105-$L105</f>
        <v>504209.93733333482</v>
      </c>
      <c r="CK105" s="236">
        <f>IF(AO105&lt;1,0,SUM(BY105:CJ105,BU105)/13*$BG$1)</f>
        <v>12539.48118133336</v>
      </c>
      <c r="CL105" s="7">
        <v>10961.08</v>
      </c>
      <c r="CM105" s="39">
        <f>CL105*12</f>
        <v>131532.96</v>
      </c>
      <c r="CN105" s="7">
        <f>CJ105-CL105</f>
        <v>493248.8573333348</v>
      </c>
      <c r="CO105" s="7">
        <f t="shared" ref="CO105:CO108" si="624">CN105-$L105</f>
        <v>482287.77733333479</v>
      </c>
      <c r="CP105" s="7">
        <f t="shared" ref="CP105:CP108" si="625">CO105-$L105</f>
        <v>471326.69733333477</v>
      </c>
      <c r="CQ105" s="7">
        <f t="shared" ref="CQ105:CQ108" si="626">CP105-$L105</f>
        <v>460365.61733333475</v>
      </c>
      <c r="CR105" s="7">
        <f t="shared" ref="CR105:CR108" si="627">CQ105-$L105</f>
        <v>449404.53733333474</v>
      </c>
      <c r="CS105" s="7">
        <f t="shared" ref="CS105:CS108" si="628">CR105-$L105</f>
        <v>438443.45733333472</v>
      </c>
      <c r="CT105" s="7">
        <f t="shared" ref="CT105:CT108" si="629">CS105-$L105</f>
        <v>427482.37733333471</v>
      </c>
      <c r="CU105" s="7">
        <f t="shared" ref="CU105:CU108" si="630">CT105-$L105</f>
        <v>416521.29733333469</v>
      </c>
      <c r="CV105" s="7">
        <f t="shared" ref="CV105:CV108" si="631">CU105-$L105</f>
        <v>405560.21733333467</v>
      </c>
      <c r="CW105" s="7">
        <f t="shared" ref="CW105:CW108" si="632">CV105-$L105</f>
        <v>394599.13733333466</v>
      </c>
      <c r="CX105" s="7">
        <f t="shared" ref="CX105:CX108" si="633">CW105-$L105</f>
        <v>383638.05733333464</v>
      </c>
      <c r="CY105" s="7">
        <f t="shared" ref="CY105:CY108" si="634">CX105-$L105</f>
        <v>372676.97733333462</v>
      </c>
      <c r="CZ105" s="236">
        <f>IF(BF105&lt;1,0,SUM(CN105:CY105,CJ105)/13*$BG$1)</f>
        <v>9645.7560613333626</v>
      </c>
    </row>
    <row r="106" spans="1:104" ht="33.75" x14ac:dyDescent="0.2">
      <c r="A106" s="6" t="str">
        <f>'[1]2021 УГРЦТ'!A109</f>
        <v>Система охранно-пожарной сигнализации в производственных помещениях ТМЦ ГУП НАО "Нарьян-Марская электростанция"</v>
      </c>
      <c r="B106" t="str">
        <f>'[1]2021 УГРЦТ'!B109</f>
        <v>000001732</v>
      </c>
      <c r="C106" t="str">
        <f>'[1]2021 УГРЦТ'!C109</f>
        <v>ПРОИЗВОДСТВО</v>
      </c>
      <c r="D106" t="str">
        <f>'[1]2021 УГРЦТ'!D109</f>
        <v>Машины и оборудование (кроме офисного)</v>
      </c>
      <c r="E106" t="str">
        <f>'[1]2021 УГРЦТ'!E109</f>
        <v>31.05.2018</v>
      </c>
      <c r="F106" t="str">
        <f>'[1]2021 УГРЦТ'!F109</f>
        <v>Тепломеханический цех</v>
      </c>
      <c r="G106">
        <f>'[1]2021 УГРЦТ'!AC109</f>
        <v>180</v>
      </c>
      <c r="H106" s="7">
        <f>'[1]2021 УГРЦТ'!X109</f>
        <v>235520.27</v>
      </c>
      <c r="I106" s="7">
        <f>'[1]2021 УГРЦТ'!Y109</f>
        <v>56263.301333333329</v>
      </c>
      <c r="J106" s="7">
        <f>'[1]2021 УГРЦТ'!Z109</f>
        <v>179256.96866666665</v>
      </c>
      <c r="K106" s="8">
        <v>0</v>
      </c>
      <c r="L106" s="7">
        <v>1308.4416670000001</v>
      </c>
      <c r="M106" s="7"/>
      <c r="N106" s="7">
        <f t="shared" si="406"/>
        <v>15701.300004000001</v>
      </c>
      <c r="O106" s="7">
        <f t="shared" si="408"/>
        <v>177948.52699966665</v>
      </c>
      <c r="P106" s="7">
        <f t="shared" si="563"/>
        <v>176640.08533266664</v>
      </c>
      <c r="Q106" s="7">
        <f t="shared" si="563"/>
        <v>175331.64366566663</v>
      </c>
      <c r="R106" s="7">
        <f t="shared" si="563"/>
        <v>174023.20199866663</v>
      </c>
      <c r="S106" s="7">
        <f t="shared" si="563"/>
        <v>172714.76033166662</v>
      </c>
      <c r="T106" s="7">
        <f t="shared" si="563"/>
        <v>171406.31866466661</v>
      </c>
      <c r="U106" s="7">
        <f t="shared" si="563"/>
        <v>170097.87699766661</v>
      </c>
      <c r="V106" s="7">
        <f t="shared" si="563"/>
        <v>168789.4353306666</v>
      </c>
      <c r="W106" s="7">
        <f t="shared" si="563"/>
        <v>167480.9936636666</v>
      </c>
      <c r="X106" s="7">
        <f t="shared" si="563"/>
        <v>166172.55199666659</v>
      </c>
      <c r="Y106" s="7">
        <f t="shared" si="563"/>
        <v>164864.11032966658</v>
      </c>
      <c r="Z106" s="7">
        <f t="shared" si="563"/>
        <v>163555.66866266658</v>
      </c>
      <c r="AA106" s="7"/>
      <c r="AB106" s="7"/>
      <c r="AC106" s="7">
        <f t="shared" si="410"/>
        <v>15701.300004000001</v>
      </c>
      <c r="AD106" s="7">
        <f t="shared" si="411"/>
        <v>162247.22699566657</v>
      </c>
      <c r="AE106" s="7">
        <f t="shared" si="564"/>
        <v>160938.78532866656</v>
      </c>
      <c r="AF106" s="7">
        <f t="shared" si="564"/>
        <v>159630.34366166656</v>
      </c>
      <c r="AG106" s="7">
        <f t="shared" si="564"/>
        <v>158321.90199466655</v>
      </c>
      <c r="AH106" s="7">
        <f t="shared" si="564"/>
        <v>157013.46032766654</v>
      </c>
      <c r="AI106" s="7">
        <f t="shared" si="564"/>
        <v>155705.01866066654</v>
      </c>
      <c r="AJ106" s="7">
        <f t="shared" si="564"/>
        <v>154396.57699366653</v>
      </c>
      <c r="AK106" s="7">
        <f t="shared" si="564"/>
        <v>153088.13532666652</v>
      </c>
      <c r="AL106" s="7">
        <f t="shared" si="564"/>
        <v>151779.69365966652</v>
      </c>
      <c r="AM106" s="7">
        <f t="shared" si="564"/>
        <v>150471.25199266651</v>
      </c>
      <c r="AN106" s="7">
        <f t="shared" si="564"/>
        <v>149162.81032566651</v>
      </c>
      <c r="AO106" s="7">
        <f t="shared" si="564"/>
        <v>147854.3686586665</v>
      </c>
      <c r="AP106" s="222"/>
      <c r="AQ106" s="7">
        <v>1308.4416670000001</v>
      </c>
      <c r="AR106" s="7">
        <f t="shared" si="412"/>
        <v>1308.4416670000064</v>
      </c>
      <c r="AS106" s="7">
        <f t="shared" si="413"/>
        <v>6.3664629124104977E-12</v>
      </c>
      <c r="AT106" s="7">
        <f t="shared" si="600"/>
        <v>15701.300004000001</v>
      </c>
      <c r="AU106" s="7">
        <f>AO106-$L106</f>
        <v>146545.92699166649</v>
      </c>
      <c r="AV106" s="7">
        <f t="shared" si="601"/>
        <v>145237.48532466649</v>
      </c>
      <c r="AW106" s="7">
        <f t="shared" si="601"/>
        <v>143929.04365766648</v>
      </c>
      <c r="AX106" s="7">
        <f t="shared" si="601"/>
        <v>142620.60199066647</v>
      </c>
      <c r="AY106" s="7">
        <f t="shared" si="601"/>
        <v>141312.16032366647</v>
      </c>
      <c r="AZ106" s="7">
        <f t="shared" si="601"/>
        <v>140003.71865666646</v>
      </c>
      <c r="BA106" s="7">
        <f t="shared" si="601"/>
        <v>138695.27698966645</v>
      </c>
      <c r="BB106" s="7">
        <f t="shared" si="601"/>
        <v>137386.83532266645</v>
      </c>
      <c r="BC106" s="7">
        <f t="shared" si="601"/>
        <v>136078.39365566644</v>
      </c>
      <c r="BD106" s="7">
        <f t="shared" si="601"/>
        <v>134769.95198866643</v>
      </c>
      <c r="BE106" s="7">
        <f t="shared" si="601"/>
        <v>133461.51032166643</v>
      </c>
      <c r="BF106" s="7">
        <f t="shared" si="601"/>
        <v>132153.06865466642</v>
      </c>
      <c r="BG106" s="236">
        <f t="shared" si="407"/>
        <v>0</v>
      </c>
      <c r="BH106" s="7">
        <v>1308.4416670000001</v>
      </c>
      <c r="BI106" s="39">
        <f>BH106*12</f>
        <v>15701.300004000001</v>
      </c>
      <c r="BJ106" s="7">
        <f>BF106-BH106</f>
        <v>130844.62698766642</v>
      </c>
      <c r="BK106" s="7">
        <f t="shared" si="602"/>
        <v>129536.18532066641</v>
      </c>
      <c r="BL106" s="7">
        <f t="shared" si="603"/>
        <v>128227.7436536664</v>
      </c>
      <c r="BM106" s="7">
        <f t="shared" si="604"/>
        <v>126919.3019866664</v>
      </c>
      <c r="BN106" s="7">
        <f t="shared" si="605"/>
        <v>125610.86031966639</v>
      </c>
      <c r="BO106" s="7">
        <f t="shared" si="606"/>
        <v>124302.41865266638</v>
      </c>
      <c r="BP106" s="7">
        <f t="shared" si="607"/>
        <v>122993.97698566638</v>
      </c>
      <c r="BQ106" s="7">
        <f t="shared" si="608"/>
        <v>121685.53531866637</v>
      </c>
      <c r="BR106" s="7">
        <f t="shared" si="609"/>
        <v>120377.09365166636</v>
      </c>
      <c r="BS106" s="7">
        <f t="shared" si="610"/>
        <v>119068.65198466636</v>
      </c>
      <c r="BT106" s="7">
        <f t="shared" si="611"/>
        <v>117760.21031766635</v>
      </c>
      <c r="BU106" s="7">
        <f t="shared" si="612"/>
        <v>116451.76865066634</v>
      </c>
      <c r="BV106" s="236">
        <v>0</v>
      </c>
      <c r="BW106" s="7">
        <v>1308.4416670000001</v>
      </c>
      <c r="BX106" s="39">
        <f>BW106*12</f>
        <v>15701.300004000001</v>
      </c>
      <c r="BY106" s="7">
        <f>BU106-BW106</f>
        <v>115143.32698366634</v>
      </c>
      <c r="BZ106" s="7">
        <f t="shared" si="613"/>
        <v>113834.88531666633</v>
      </c>
      <c r="CA106" s="7">
        <f t="shared" si="614"/>
        <v>112526.44364966633</v>
      </c>
      <c r="CB106" s="7">
        <f t="shared" si="615"/>
        <v>111218.00198266632</v>
      </c>
      <c r="CC106" s="7">
        <f t="shared" si="616"/>
        <v>109909.56031566631</v>
      </c>
      <c r="CD106" s="7">
        <f t="shared" si="617"/>
        <v>108601.11864866631</v>
      </c>
      <c r="CE106" s="7">
        <f t="shared" si="618"/>
        <v>107292.6769816663</v>
      </c>
      <c r="CF106" s="7">
        <f t="shared" si="619"/>
        <v>105984.23531466629</v>
      </c>
      <c r="CG106" s="7">
        <f t="shared" si="620"/>
        <v>104675.79364766629</v>
      </c>
      <c r="CH106" s="7">
        <f t="shared" si="621"/>
        <v>103367.35198066628</v>
      </c>
      <c r="CI106" s="7">
        <f t="shared" si="622"/>
        <v>102058.91031366627</v>
      </c>
      <c r="CJ106" s="7">
        <f t="shared" si="623"/>
        <v>100750.46864666627</v>
      </c>
      <c r="CK106" s="236">
        <v>0</v>
      </c>
      <c r="CL106" s="7">
        <v>1308.4416670000001</v>
      </c>
      <c r="CM106" s="39">
        <f>CL106*12</f>
        <v>15701.300004000001</v>
      </c>
      <c r="CN106" s="7">
        <f>CJ106-CL106</f>
        <v>99442.026979666261</v>
      </c>
      <c r="CO106" s="7">
        <f t="shared" si="624"/>
        <v>98133.585312666255</v>
      </c>
      <c r="CP106" s="7">
        <f t="shared" si="625"/>
        <v>96825.143645666249</v>
      </c>
      <c r="CQ106" s="7">
        <f t="shared" si="626"/>
        <v>95516.701978666242</v>
      </c>
      <c r="CR106" s="7">
        <f t="shared" si="627"/>
        <v>94208.260311666236</v>
      </c>
      <c r="CS106" s="7">
        <f t="shared" si="628"/>
        <v>92899.818644666229</v>
      </c>
      <c r="CT106" s="7">
        <f t="shared" si="629"/>
        <v>91591.376977666223</v>
      </c>
      <c r="CU106" s="7">
        <f t="shared" si="630"/>
        <v>90282.935310666217</v>
      </c>
      <c r="CV106" s="7">
        <f t="shared" si="631"/>
        <v>88974.49364366621</v>
      </c>
      <c r="CW106" s="7">
        <f t="shared" si="632"/>
        <v>87666.051976666204</v>
      </c>
      <c r="CX106" s="7">
        <f t="shared" si="633"/>
        <v>86357.610309666197</v>
      </c>
      <c r="CY106" s="7">
        <f t="shared" si="634"/>
        <v>85049.168642666191</v>
      </c>
      <c r="CZ106" s="236">
        <v>0</v>
      </c>
    </row>
    <row r="107" spans="1:104" ht="33.75" x14ac:dyDescent="0.2">
      <c r="A107" s="6" t="str">
        <f>'[1]2021 УГРЦТ'!A110</f>
        <v>Система охранно-пожарной сигнализации в производственных помещениях ЭЦ ГУП НАО "Нарьян-Марская электростанция"</v>
      </c>
      <c r="B107" t="str">
        <f>'[1]2021 УГРЦТ'!B110</f>
        <v>000001729</v>
      </c>
      <c r="C107" t="str">
        <f>'[1]2021 УГРЦТ'!C110</f>
        <v>ПРОИЗВОДСТВО</v>
      </c>
      <c r="D107" t="str">
        <f>'[1]2021 УГРЦТ'!D110</f>
        <v>Машины и оборудование (кроме офисного)</v>
      </c>
      <c r="E107" t="str">
        <f>'[1]2021 УГРЦТ'!E110</f>
        <v>31.05.2018</v>
      </c>
      <c r="F107" t="str">
        <f>'[1]2021 УГРЦТ'!F110</f>
        <v>Электрический цех</v>
      </c>
      <c r="G107">
        <f>'[1]2021 УГРЦТ'!AC110</f>
        <v>180</v>
      </c>
      <c r="H107" s="7">
        <f>'[1]2021 УГРЦТ'!X110</f>
        <v>41824.660000000003</v>
      </c>
      <c r="I107" s="7">
        <f>'[1]2021 УГРЦТ'!Y110</f>
        <v>9991.470666666668</v>
      </c>
      <c r="J107" s="7">
        <f>'[1]2021 УГРЦТ'!Z110</f>
        <v>31833.189333333336</v>
      </c>
      <c r="K107" s="8">
        <v>0</v>
      </c>
      <c r="L107" s="7">
        <v>232.3600000000001</v>
      </c>
      <c r="M107" s="7"/>
      <c r="N107" s="7">
        <f t="shared" si="406"/>
        <v>2788.3200000000011</v>
      </c>
      <c r="O107" s="7">
        <f t="shared" si="408"/>
        <v>31600.829333333335</v>
      </c>
      <c r="P107" s="7">
        <f t="shared" si="563"/>
        <v>31368.469333333334</v>
      </c>
      <c r="Q107" s="7">
        <f t="shared" si="563"/>
        <v>31136.109333333334</v>
      </c>
      <c r="R107" s="7">
        <f t="shared" si="563"/>
        <v>30903.749333333333</v>
      </c>
      <c r="S107" s="7">
        <f t="shared" si="563"/>
        <v>30671.389333333333</v>
      </c>
      <c r="T107" s="7">
        <f t="shared" si="563"/>
        <v>30439.029333333332</v>
      </c>
      <c r="U107" s="7">
        <f t="shared" si="563"/>
        <v>30206.669333333331</v>
      </c>
      <c r="V107" s="7">
        <f t="shared" si="563"/>
        <v>29974.309333333331</v>
      </c>
      <c r="W107" s="7">
        <f t="shared" si="563"/>
        <v>29741.94933333333</v>
      </c>
      <c r="X107" s="7">
        <f t="shared" si="563"/>
        <v>29509.58933333333</v>
      </c>
      <c r="Y107" s="7">
        <f t="shared" si="563"/>
        <v>29277.229333333329</v>
      </c>
      <c r="Z107" s="7">
        <f t="shared" si="563"/>
        <v>29044.869333333329</v>
      </c>
      <c r="AA107" s="7"/>
      <c r="AB107" s="7"/>
      <c r="AC107" s="7">
        <f t="shared" si="410"/>
        <v>2788.3200000000011</v>
      </c>
      <c r="AD107" s="7">
        <f t="shared" si="411"/>
        <v>28812.509333333328</v>
      </c>
      <c r="AE107" s="7">
        <f t="shared" si="564"/>
        <v>28580.149333333327</v>
      </c>
      <c r="AF107" s="7">
        <f t="shared" si="564"/>
        <v>28347.789333333327</v>
      </c>
      <c r="AG107" s="7">
        <f t="shared" si="564"/>
        <v>28115.429333333326</v>
      </c>
      <c r="AH107" s="7">
        <f t="shared" si="564"/>
        <v>27883.069333333326</v>
      </c>
      <c r="AI107" s="7">
        <f t="shared" si="564"/>
        <v>27650.709333333325</v>
      </c>
      <c r="AJ107" s="7">
        <f t="shared" si="564"/>
        <v>27418.349333333324</v>
      </c>
      <c r="AK107" s="7">
        <f t="shared" si="564"/>
        <v>27185.989333333324</v>
      </c>
      <c r="AL107" s="7">
        <f t="shared" si="564"/>
        <v>26953.629333333323</v>
      </c>
      <c r="AM107" s="7">
        <f t="shared" si="564"/>
        <v>26721.269333333323</v>
      </c>
      <c r="AN107" s="7">
        <f t="shared" si="564"/>
        <v>26488.909333333322</v>
      </c>
      <c r="AO107" s="7">
        <f t="shared" si="564"/>
        <v>26256.549333333322</v>
      </c>
      <c r="AP107" s="222"/>
      <c r="AQ107" s="7">
        <v>232.3600000000001</v>
      </c>
      <c r="AR107" s="7">
        <f t="shared" si="412"/>
        <v>232.36000000000058</v>
      </c>
      <c r="AS107" s="7">
        <f t="shared" si="413"/>
        <v>4.8316906031686813E-13</v>
      </c>
      <c r="AT107" s="7">
        <f t="shared" si="600"/>
        <v>2788.3200000000011</v>
      </c>
      <c r="AU107" s="7">
        <f>AO107-$L107</f>
        <v>26024.189333333321</v>
      </c>
      <c r="AV107" s="7">
        <f t="shared" si="601"/>
        <v>25791.82933333332</v>
      </c>
      <c r="AW107" s="7">
        <f t="shared" si="601"/>
        <v>25559.46933333332</v>
      </c>
      <c r="AX107" s="7">
        <f t="shared" si="601"/>
        <v>25327.109333333319</v>
      </c>
      <c r="AY107" s="7">
        <f t="shared" si="601"/>
        <v>25094.749333333319</v>
      </c>
      <c r="AZ107" s="7">
        <f t="shared" si="601"/>
        <v>24862.389333333318</v>
      </c>
      <c r="BA107" s="7">
        <f t="shared" si="601"/>
        <v>24630.029333333317</v>
      </c>
      <c r="BB107" s="7">
        <f t="shared" si="601"/>
        <v>24397.669333333317</v>
      </c>
      <c r="BC107" s="7">
        <f t="shared" si="601"/>
        <v>24165.309333333316</v>
      </c>
      <c r="BD107" s="7">
        <f t="shared" si="601"/>
        <v>23932.949333333316</v>
      </c>
      <c r="BE107" s="7">
        <f t="shared" si="601"/>
        <v>23700.589333333315</v>
      </c>
      <c r="BF107" s="7">
        <f t="shared" si="601"/>
        <v>23468.229333333315</v>
      </c>
      <c r="BG107" s="236">
        <f t="shared" si="407"/>
        <v>0</v>
      </c>
      <c r="BH107" s="7">
        <v>232.3600000000001</v>
      </c>
      <c r="BI107" s="39">
        <f>BH107*12</f>
        <v>2788.3200000000011</v>
      </c>
      <c r="BJ107" s="7">
        <f>BF107-BH107</f>
        <v>23235.869333333314</v>
      </c>
      <c r="BK107" s="7">
        <f t="shared" si="602"/>
        <v>23003.509333333313</v>
      </c>
      <c r="BL107" s="7">
        <f t="shared" si="603"/>
        <v>22771.149333333313</v>
      </c>
      <c r="BM107" s="7">
        <f t="shared" si="604"/>
        <v>22538.789333333312</v>
      </c>
      <c r="BN107" s="7">
        <f t="shared" si="605"/>
        <v>22306.429333333312</v>
      </c>
      <c r="BO107" s="7">
        <f t="shared" si="606"/>
        <v>22074.069333333311</v>
      </c>
      <c r="BP107" s="7">
        <f t="shared" si="607"/>
        <v>21841.70933333331</v>
      </c>
      <c r="BQ107" s="7">
        <f t="shared" si="608"/>
        <v>21609.34933333331</v>
      </c>
      <c r="BR107" s="7">
        <f t="shared" si="609"/>
        <v>21376.989333333309</v>
      </c>
      <c r="BS107" s="7">
        <f t="shared" si="610"/>
        <v>21144.629333333309</v>
      </c>
      <c r="BT107" s="7">
        <f t="shared" si="611"/>
        <v>20912.269333333308</v>
      </c>
      <c r="BU107" s="7">
        <f t="shared" si="612"/>
        <v>20679.909333333308</v>
      </c>
      <c r="BV107" s="236">
        <v>0</v>
      </c>
      <c r="BW107" s="7">
        <v>232.3600000000001</v>
      </c>
      <c r="BX107" s="39">
        <f>BW107*12</f>
        <v>2788.3200000000011</v>
      </c>
      <c r="BY107" s="7">
        <f>BU107-BW107</f>
        <v>20447.549333333307</v>
      </c>
      <c r="BZ107" s="7">
        <f t="shared" si="613"/>
        <v>20215.189333333306</v>
      </c>
      <c r="CA107" s="7">
        <f t="shared" si="614"/>
        <v>19982.829333333306</v>
      </c>
      <c r="CB107" s="7">
        <f t="shared" si="615"/>
        <v>19750.469333333305</v>
      </c>
      <c r="CC107" s="7">
        <f t="shared" si="616"/>
        <v>19518.109333333305</v>
      </c>
      <c r="CD107" s="7">
        <f t="shared" si="617"/>
        <v>19285.749333333304</v>
      </c>
      <c r="CE107" s="7">
        <f t="shared" si="618"/>
        <v>19053.389333333304</v>
      </c>
      <c r="CF107" s="7">
        <f t="shared" si="619"/>
        <v>18821.029333333303</v>
      </c>
      <c r="CG107" s="7">
        <f t="shared" si="620"/>
        <v>18588.669333333302</v>
      </c>
      <c r="CH107" s="7">
        <f t="shared" si="621"/>
        <v>18356.309333333302</v>
      </c>
      <c r="CI107" s="7">
        <f t="shared" si="622"/>
        <v>18123.949333333301</v>
      </c>
      <c r="CJ107" s="7">
        <f t="shared" si="623"/>
        <v>17891.589333333301</v>
      </c>
      <c r="CK107" s="236">
        <v>0</v>
      </c>
      <c r="CL107" s="7">
        <v>232.3600000000001</v>
      </c>
      <c r="CM107" s="39">
        <f>CL107*12</f>
        <v>2788.3200000000011</v>
      </c>
      <c r="CN107" s="7">
        <f>CJ107-CL107</f>
        <v>17659.2293333333</v>
      </c>
      <c r="CO107" s="7">
        <f t="shared" si="624"/>
        <v>17426.869333333299</v>
      </c>
      <c r="CP107" s="7">
        <f t="shared" si="625"/>
        <v>17194.509333333299</v>
      </c>
      <c r="CQ107" s="7">
        <f t="shared" si="626"/>
        <v>16962.149333333298</v>
      </c>
      <c r="CR107" s="7">
        <f t="shared" si="627"/>
        <v>16729.789333333298</v>
      </c>
      <c r="CS107" s="7">
        <f t="shared" si="628"/>
        <v>16497.429333333297</v>
      </c>
      <c r="CT107" s="7">
        <f t="shared" si="629"/>
        <v>16265.069333333297</v>
      </c>
      <c r="CU107" s="7">
        <f t="shared" si="630"/>
        <v>16032.709333333296</v>
      </c>
      <c r="CV107" s="7">
        <f t="shared" si="631"/>
        <v>15800.349333333295</v>
      </c>
      <c r="CW107" s="7">
        <f t="shared" si="632"/>
        <v>15567.989333333295</v>
      </c>
      <c r="CX107" s="7">
        <f t="shared" si="633"/>
        <v>15335.629333333294</v>
      </c>
      <c r="CY107" s="7">
        <f t="shared" si="634"/>
        <v>15103.269333333294</v>
      </c>
      <c r="CZ107" s="236">
        <v>0</v>
      </c>
    </row>
    <row r="108" spans="1:104" x14ac:dyDescent="0.2">
      <c r="A108" s="6" t="str">
        <f>'[1]2021 УГРЦТ'!A111</f>
        <v>Смотровой колодец Копосов ВП</v>
      </c>
      <c r="B108" t="str">
        <f>'[1]2021 УГРЦТ'!B111</f>
        <v>00001233</v>
      </c>
      <c r="C108" t="str">
        <f>'[1]2021 УГРЦТ'!C111</f>
        <v>ПРОИЗВОДСТВО</v>
      </c>
      <c r="D108" t="str">
        <f>'[1]2021 УГРЦТ'!D111</f>
        <v>Сооружения</v>
      </c>
      <c r="E108" t="str">
        <f>'[1]2021 УГРЦТ'!E111</f>
        <v>31.08.2010</v>
      </c>
      <c r="F108" t="str">
        <f>'[1]2021 УГРЦТ'!F111</f>
        <v>Тепломеханический цех</v>
      </c>
      <c r="G108">
        <f>'[1]2021 УГРЦТ'!AC111</f>
        <v>300</v>
      </c>
      <c r="H108" s="7">
        <f>'[1]2021 УГРЦТ'!X111</f>
        <v>56080</v>
      </c>
      <c r="I108" s="7">
        <f>'[1]2021 УГРЦТ'!Y111</f>
        <v>25422.52</v>
      </c>
      <c r="J108" s="7">
        <f>'[1]2021 УГРЦТ'!Z111</f>
        <v>30657.48</v>
      </c>
      <c r="K108" s="8">
        <v>1</v>
      </c>
      <c r="L108" s="7">
        <v>186.94</v>
      </c>
      <c r="M108" s="7"/>
      <c r="N108" s="7">
        <f t="shared" si="406"/>
        <v>2243.2799999999997</v>
      </c>
      <c r="O108" s="7">
        <f t="shared" si="408"/>
        <v>30470.54</v>
      </c>
      <c r="P108" s="7">
        <f t="shared" si="563"/>
        <v>30283.600000000002</v>
      </c>
      <c r="Q108" s="7">
        <f t="shared" si="563"/>
        <v>30096.660000000003</v>
      </c>
      <c r="R108" s="7">
        <f t="shared" si="563"/>
        <v>29909.720000000005</v>
      </c>
      <c r="S108" s="7">
        <f t="shared" si="563"/>
        <v>29722.780000000006</v>
      </c>
      <c r="T108" s="7">
        <f t="shared" si="563"/>
        <v>29535.840000000007</v>
      </c>
      <c r="U108" s="7">
        <f t="shared" si="563"/>
        <v>29348.900000000009</v>
      </c>
      <c r="V108" s="7">
        <f t="shared" si="563"/>
        <v>29161.96000000001</v>
      </c>
      <c r="W108" s="7">
        <f t="shared" si="563"/>
        <v>28975.020000000011</v>
      </c>
      <c r="X108" s="7">
        <f t="shared" si="563"/>
        <v>28788.080000000013</v>
      </c>
      <c r="Y108" s="7">
        <f t="shared" si="563"/>
        <v>28601.140000000014</v>
      </c>
      <c r="Z108" s="7">
        <f t="shared" si="563"/>
        <v>28414.200000000015</v>
      </c>
      <c r="AA108" s="7">
        <f>SUM(O108:Z108,J108)/13*$AA$1</f>
        <v>649.78848000000016</v>
      </c>
      <c r="AB108" s="7"/>
      <c r="AC108" s="7">
        <f t="shared" si="410"/>
        <v>2243.2799999999997</v>
      </c>
      <c r="AD108" s="7">
        <f t="shared" si="411"/>
        <v>28227.260000000017</v>
      </c>
      <c r="AE108" s="7">
        <f t="shared" si="564"/>
        <v>28040.320000000018</v>
      </c>
      <c r="AF108" s="7">
        <f t="shared" si="564"/>
        <v>27853.380000000019</v>
      </c>
      <c r="AG108" s="7">
        <f t="shared" si="564"/>
        <v>27666.440000000021</v>
      </c>
      <c r="AH108" s="7">
        <f t="shared" si="564"/>
        <v>27479.500000000022</v>
      </c>
      <c r="AI108" s="7">
        <f t="shared" si="564"/>
        <v>27292.560000000023</v>
      </c>
      <c r="AJ108" s="7">
        <f t="shared" si="564"/>
        <v>27105.620000000024</v>
      </c>
      <c r="AK108" s="7">
        <f t="shared" si="564"/>
        <v>26918.680000000026</v>
      </c>
      <c r="AL108" s="7">
        <f t="shared" si="564"/>
        <v>26731.740000000027</v>
      </c>
      <c r="AM108" s="7">
        <f t="shared" si="564"/>
        <v>26544.800000000028</v>
      </c>
      <c r="AN108" s="7">
        <f t="shared" si="564"/>
        <v>26357.86000000003</v>
      </c>
      <c r="AO108" s="7">
        <f t="shared" si="564"/>
        <v>26170.920000000031</v>
      </c>
      <c r="AP108" s="222">
        <f>IF(K108&lt;1,0,SUM(AD108:AO108,Z108)/13*$BG$1)</f>
        <v>600.43632000000048</v>
      </c>
      <c r="AQ108" s="7">
        <v>186.94</v>
      </c>
      <c r="AR108" s="7">
        <f t="shared" si="412"/>
        <v>186.93999999999869</v>
      </c>
      <c r="AS108" s="7">
        <f t="shared" si="413"/>
        <v>-1.3073986337985843E-12</v>
      </c>
      <c r="AT108" s="7">
        <f t="shared" si="600"/>
        <v>2243.2799999999997</v>
      </c>
      <c r="AU108" s="7">
        <f>AO108-$L108</f>
        <v>25983.980000000032</v>
      </c>
      <c r="AV108" s="7">
        <f t="shared" si="601"/>
        <v>25797.040000000034</v>
      </c>
      <c r="AW108" s="7">
        <f t="shared" si="601"/>
        <v>25610.100000000035</v>
      </c>
      <c r="AX108" s="7">
        <f t="shared" si="601"/>
        <v>25423.160000000036</v>
      </c>
      <c r="AY108" s="7">
        <f t="shared" si="601"/>
        <v>25236.220000000038</v>
      </c>
      <c r="AZ108" s="7">
        <f t="shared" si="601"/>
        <v>25049.280000000039</v>
      </c>
      <c r="BA108" s="7">
        <f t="shared" si="601"/>
        <v>24862.34000000004</v>
      </c>
      <c r="BB108" s="7">
        <f t="shared" si="601"/>
        <v>24675.400000000041</v>
      </c>
      <c r="BC108" s="7">
        <f t="shared" si="601"/>
        <v>24488.460000000043</v>
      </c>
      <c r="BD108" s="7">
        <f t="shared" si="601"/>
        <v>24301.520000000044</v>
      </c>
      <c r="BE108" s="7">
        <f t="shared" si="601"/>
        <v>24114.580000000045</v>
      </c>
      <c r="BF108" s="7">
        <f t="shared" si="601"/>
        <v>23927.640000000047</v>
      </c>
      <c r="BG108" s="236">
        <f t="shared" si="407"/>
        <v>551.08416000000091</v>
      </c>
      <c r="BH108" s="7">
        <v>186.94</v>
      </c>
      <c r="BI108" s="39">
        <f>BH108*12</f>
        <v>2243.2799999999997</v>
      </c>
      <c r="BJ108" s="7">
        <f>BF108-BH108</f>
        <v>23740.700000000048</v>
      </c>
      <c r="BK108" s="7">
        <f t="shared" si="602"/>
        <v>23553.760000000049</v>
      </c>
      <c r="BL108" s="7">
        <f t="shared" si="603"/>
        <v>23366.820000000051</v>
      </c>
      <c r="BM108" s="7">
        <f t="shared" si="604"/>
        <v>23179.880000000052</v>
      </c>
      <c r="BN108" s="7">
        <f t="shared" si="605"/>
        <v>22992.940000000053</v>
      </c>
      <c r="BO108" s="7">
        <f t="shared" si="606"/>
        <v>22806.000000000055</v>
      </c>
      <c r="BP108" s="7">
        <f t="shared" si="607"/>
        <v>22619.060000000056</v>
      </c>
      <c r="BQ108" s="7">
        <f t="shared" si="608"/>
        <v>22432.120000000057</v>
      </c>
      <c r="BR108" s="7">
        <f t="shared" si="609"/>
        <v>22245.180000000058</v>
      </c>
      <c r="BS108" s="7">
        <f t="shared" si="610"/>
        <v>22058.24000000006</v>
      </c>
      <c r="BT108" s="7">
        <f t="shared" si="611"/>
        <v>21871.300000000061</v>
      </c>
      <c r="BU108" s="7">
        <f t="shared" si="612"/>
        <v>21684.360000000062</v>
      </c>
      <c r="BV108" s="236">
        <f t="shared" ref="BV108:BV115" si="635">IF(Z108&lt;1,0,SUM(BJ108:BU108,BF108)/13*$BG$1)</f>
        <v>501.73200000000116</v>
      </c>
      <c r="BW108" s="7">
        <v>186.94</v>
      </c>
      <c r="BX108" s="39">
        <f>BW108*12</f>
        <v>2243.2799999999997</v>
      </c>
      <c r="BY108" s="7">
        <f>BU108-BW108</f>
        <v>21497.420000000064</v>
      </c>
      <c r="BZ108" s="7">
        <f t="shared" si="613"/>
        <v>21310.480000000065</v>
      </c>
      <c r="CA108" s="7">
        <f t="shared" si="614"/>
        <v>21123.540000000066</v>
      </c>
      <c r="CB108" s="7">
        <f t="shared" si="615"/>
        <v>20936.600000000068</v>
      </c>
      <c r="CC108" s="7">
        <f t="shared" si="616"/>
        <v>20749.660000000069</v>
      </c>
      <c r="CD108" s="7">
        <f t="shared" si="617"/>
        <v>20562.72000000007</v>
      </c>
      <c r="CE108" s="7">
        <f t="shared" si="618"/>
        <v>20375.780000000072</v>
      </c>
      <c r="CF108" s="7">
        <f t="shared" si="619"/>
        <v>20188.840000000073</v>
      </c>
      <c r="CG108" s="7">
        <f t="shared" si="620"/>
        <v>20001.900000000074</v>
      </c>
      <c r="CH108" s="7">
        <f t="shared" si="621"/>
        <v>19814.960000000076</v>
      </c>
      <c r="CI108" s="7">
        <f t="shared" si="622"/>
        <v>19628.020000000077</v>
      </c>
      <c r="CJ108" s="7">
        <f t="shared" si="623"/>
        <v>19441.080000000078</v>
      </c>
      <c r="CK108" s="236">
        <f t="shared" ref="CK108:CK115" si="636">IF(AO108&lt;1,0,SUM(BY108:CJ108,BU108)/13*$BG$1)</f>
        <v>452.37984000000154</v>
      </c>
      <c r="CL108" s="7">
        <v>186.94</v>
      </c>
      <c r="CM108" s="39">
        <f>CL108*12</f>
        <v>2243.2799999999997</v>
      </c>
      <c r="CN108" s="7">
        <f>CJ108-CL108</f>
        <v>19254.140000000079</v>
      </c>
      <c r="CO108" s="7">
        <f t="shared" si="624"/>
        <v>19067.200000000081</v>
      </c>
      <c r="CP108" s="7">
        <f t="shared" si="625"/>
        <v>18880.260000000082</v>
      </c>
      <c r="CQ108" s="7">
        <f t="shared" si="626"/>
        <v>18693.320000000083</v>
      </c>
      <c r="CR108" s="7">
        <f t="shared" si="627"/>
        <v>18506.380000000085</v>
      </c>
      <c r="CS108" s="7">
        <f t="shared" si="628"/>
        <v>18319.440000000086</v>
      </c>
      <c r="CT108" s="7">
        <f t="shared" si="629"/>
        <v>18132.500000000087</v>
      </c>
      <c r="CU108" s="7">
        <f t="shared" si="630"/>
        <v>17945.560000000089</v>
      </c>
      <c r="CV108" s="7">
        <f t="shared" si="631"/>
        <v>17758.62000000009</v>
      </c>
      <c r="CW108" s="7">
        <f t="shared" si="632"/>
        <v>17571.680000000091</v>
      </c>
      <c r="CX108" s="7">
        <f t="shared" si="633"/>
        <v>17384.740000000093</v>
      </c>
      <c r="CY108" s="7">
        <f t="shared" si="634"/>
        <v>17197.800000000094</v>
      </c>
      <c r="CZ108" s="236">
        <f t="shared" ref="CZ108:CZ115" si="637">IF(BF108&lt;1,0,SUM(CN108:CY108,CJ108)/13*$BG$1)</f>
        <v>403.02768000000179</v>
      </c>
    </row>
    <row r="109" spans="1:104" x14ac:dyDescent="0.2">
      <c r="A109" s="6" t="str">
        <f>'[1]2021 УГРЦТ'!A112</f>
        <v>Станок сверлильный 2С125-04</v>
      </c>
      <c r="B109" t="str">
        <f>'[1]2021 УГРЦТ'!B112</f>
        <v>000001517</v>
      </c>
      <c r="C109" t="str">
        <f>'[1]2021 УГРЦТ'!C112</f>
        <v>ПРОИЗВОДСТВО</v>
      </c>
      <c r="D109" t="str">
        <f>'[1]2021 УГРЦТ'!D112</f>
        <v>Машины и оборудование (кроме офисного)</v>
      </c>
      <c r="E109" t="str">
        <f>'[1]2021 УГРЦТ'!E112</f>
        <v>22.03.2013</v>
      </c>
      <c r="F109" t="str">
        <f>'[1]2021 УГРЦТ'!F112</f>
        <v>Тепломеханический цех</v>
      </c>
      <c r="G109">
        <f>'[1]2021 УГРЦТ'!AC112</f>
        <v>120</v>
      </c>
      <c r="H109" s="7">
        <f>'[1]2021 УГРЦТ'!X112</f>
        <v>163516.95000000001</v>
      </c>
      <c r="I109" s="7">
        <f>'[1]2021 УГРЦТ'!Y112</f>
        <v>143077.215</v>
      </c>
      <c r="J109" s="7">
        <f>'[1]2021 УГРЦТ'!Z112</f>
        <v>20439.735000000015</v>
      </c>
      <c r="K109" s="8">
        <v>0</v>
      </c>
      <c r="L109" s="7">
        <v>1362.6399999999999</v>
      </c>
      <c r="M109" s="7"/>
      <c r="N109" s="7">
        <f t="shared" si="406"/>
        <v>16351.679999999998</v>
      </c>
      <c r="O109" s="7">
        <f t="shared" si="408"/>
        <v>19077.095000000016</v>
      </c>
      <c r="P109" s="7">
        <f t="shared" si="563"/>
        <v>17714.455000000016</v>
      </c>
      <c r="Q109" s="7">
        <f t="shared" si="563"/>
        <v>16351.815000000017</v>
      </c>
      <c r="R109" s="7">
        <f t="shared" si="563"/>
        <v>14989.175000000017</v>
      </c>
      <c r="S109" s="7">
        <f t="shared" si="563"/>
        <v>13626.535000000018</v>
      </c>
      <c r="T109" s="7">
        <f t="shared" si="563"/>
        <v>12263.895000000019</v>
      </c>
      <c r="U109" s="7">
        <f t="shared" si="563"/>
        <v>10901.255000000019</v>
      </c>
      <c r="V109" s="7">
        <f t="shared" si="563"/>
        <v>9538.6150000000198</v>
      </c>
      <c r="W109" s="7">
        <f t="shared" si="563"/>
        <v>8175.9750000000204</v>
      </c>
      <c r="X109" s="7">
        <f t="shared" si="563"/>
        <v>6813.335000000021</v>
      </c>
      <c r="Y109" s="7">
        <f t="shared" si="563"/>
        <v>5450.6950000000215</v>
      </c>
      <c r="Z109" s="7">
        <f t="shared" si="563"/>
        <v>4088.0550000000217</v>
      </c>
      <c r="AA109" s="7"/>
      <c r="AB109" s="7"/>
      <c r="AC109" s="7">
        <f>L109*3+0.14</f>
        <v>4088.0599999999995</v>
      </c>
      <c r="AD109" s="7">
        <f t="shared" si="411"/>
        <v>2725.4150000000218</v>
      </c>
      <c r="AE109" s="7">
        <f t="shared" si="564"/>
        <v>1362.7750000000219</v>
      </c>
      <c r="AF109" s="7">
        <f t="shared" si="564"/>
        <v>0.13500000002204615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222"/>
      <c r="AQ109" s="7">
        <v>0</v>
      </c>
      <c r="AR109" s="7">
        <f t="shared" si="412"/>
        <v>0</v>
      </c>
      <c r="AS109" s="7">
        <f t="shared" si="413"/>
        <v>0</v>
      </c>
      <c r="BG109" s="236">
        <f t="shared" si="407"/>
        <v>0</v>
      </c>
      <c r="BH109" s="7">
        <v>0</v>
      </c>
      <c r="BV109" s="236">
        <f t="shared" si="635"/>
        <v>0</v>
      </c>
      <c r="BW109" s="7">
        <v>0</v>
      </c>
      <c r="CK109" s="236">
        <f t="shared" si="636"/>
        <v>0</v>
      </c>
      <c r="CL109" s="7">
        <v>0</v>
      </c>
      <c r="CZ109" s="236">
        <f t="shared" si="637"/>
        <v>0</v>
      </c>
    </row>
    <row r="110" spans="1:104" x14ac:dyDescent="0.2">
      <c r="A110" s="6" t="str">
        <f>'[1]2021 УГРЦТ'!A113</f>
        <v>Стенд из белого пластика ПВХ 6мм. Размер -2050x2400 мм</v>
      </c>
      <c r="B110" t="str">
        <f>'[1]2021 УГРЦТ'!B113</f>
        <v>000001734</v>
      </c>
      <c r="C110" t="str">
        <f>'[1]2021 УГРЦТ'!C113</f>
        <v>ПРОИЗВОДСТВО</v>
      </c>
      <c r="D110" t="str">
        <f>'[1]2021 УГРЦТ'!D113</f>
        <v>Производственный и хозяйственный инвентарь</v>
      </c>
      <c r="E110" t="str">
        <f>'[1]2021 УГРЦТ'!E113</f>
        <v>28.06.2018</v>
      </c>
      <c r="F110" t="str">
        <f>'[1]2021 УГРЦТ'!F113</f>
        <v>Электрический цех</v>
      </c>
      <c r="G110">
        <f>'[1]2021 УГРЦТ'!AC113</f>
        <v>60</v>
      </c>
      <c r="H110" s="7">
        <f>'[1]2021 УГРЦТ'!X113</f>
        <v>49704</v>
      </c>
      <c r="I110" s="7">
        <f>'[1]2021 УГРЦТ'!Y113</f>
        <v>34792.799999999996</v>
      </c>
      <c r="J110" s="7">
        <f>'[1]2021 УГРЦТ'!Z113</f>
        <v>14911.200000000004</v>
      </c>
      <c r="K110" s="8">
        <v>0</v>
      </c>
      <c r="L110" s="7">
        <v>828.39999999999975</v>
      </c>
      <c r="M110" s="7"/>
      <c r="N110" s="7">
        <f t="shared" si="406"/>
        <v>9940.7999999999975</v>
      </c>
      <c r="O110" s="7">
        <f t="shared" si="408"/>
        <v>14082.800000000005</v>
      </c>
      <c r="P110" s="7">
        <f t="shared" si="563"/>
        <v>13254.400000000005</v>
      </c>
      <c r="Q110" s="7">
        <f t="shared" si="563"/>
        <v>12426.000000000005</v>
      </c>
      <c r="R110" s="7">
        <f t="shared" si="563"/>
        <v>11597.600000000006</v>
      </c>
      <c r="S110" s="7">
        <f t="shared" si="563"/>
        <v>10769.200000000006</v>
      </c>
      <c r="T110" s="7">
        <f t="shared" si="563"/>
        <v>9940.8000000000065</v>
      </c>
      <c r="U110" s="7">
        <f t="shared" si="563"/>
        <v>9112.4000000000069</v>
      </c>
      <c r="V110" s="7">
        <f t="shared" si="563"/>
        <v>8284.0000000000073</v>
      </c>
      <c r="W110" s="7">
        <f t="shared" si="563"/>
        <v>7455.6000000000076</v>
      </c>
      <c r="X110" s="7">
        <f t="shared" si="563"/>
        <v>6627.200000000008</v>
      </c>
      <c r="Y110" s="7">
        <f t="shared" si="563"/>
        <v>5798.8000000000084</v>
      </c>
      <c r="Z110" s="7">
        <f t="shared" si="563"/>
        <v>4970.4000000000087</v>
      </c>
      <c r="AA110" s="7"/>
      <c r="AB110" s="7"/>
      <c r="AC110" s="7">
        <f>L110*6</f>
        <v>4970.3999999999987</v>
      </c>
      <c r="AD110" s="7">
        <f t="shared" si="411"/>
        <v>4142.0000000000091</v>
      </c>
      <c r="AE110" s="7">
        <f t="shared" si="564"/>
        <v>3313.6000000000095</v>
      </c>
      <c r="AF110" s="7">
        <f t="shared" si="564"/>
        <v>2485.2000000000098</v>
      </c>
      <c r="AG110" s="7">
        <f t="shared" si="564"/>
        <v>1656.8000000000102</v>
      </c>
      <c r="AH110" s="7">
        <f t="shared" si="564"/>
        <v>828.40000000001044</v>
      </c>
      <c r="AI110" s="7"/>
      <c r="AJ110" s="7"/>
      <c r="AK110" s="7"/>
      <c r="AL110" s="7"/>
      <c r="AM110" s="7"/>
      <c r="AN110" s="7"/>
      <c r="AO110" s="7"/>
      <c r="AP110" s="222"/>
      <c r="AQ110" s="7">
        <v>828.39999999999975</v>
      </c>
      <c r="AR110" s="7"/>
      <c r="AS110" s="7"/>
      <c r="BG110" s="236">
        <f t="shared" si="407"/>
        <v>0</v>
      </c>
      <c r="BH110" s="7">
        <v>828.39999999999975</v>
      </c>
      <c r="BV110" s="236">
        <f t="shared" si="635"/>
        <v>0</v>
      </c>
      <c r="BW110" s="7">
        <v>828.39999999999975</v>
      </c>
      <c r="CK110" s="236">
        <f t="shared" si="636"/>
        <v>0</v>
      </c>
      <c r="CL110" s="7">
        <v>828.39999999999975</v>
      </c>
      <c r="CZ110" s="236">
        <f t="shared" si="637"/>
        <v>0</v>
      </c>
    </row>
    <row r="111" spans="1:104" x14ac:dyDescent="0.2">
      <c r="A111" s="6" t="str">
        <f>'[1]2021 УГРЦТ'!A114</f>
        <v>Технолог-кие трубопроводы(маслоподача, КВОУ) 2003г</v>
      </c>
      <c r="B111" t="str">
        <f>'[1]2021 УГРЦТ'!B114</f>
        <v>00000497</v>
      </c>
      <c r="C111" t="str">
        <f>'[1]2021 УГРЦТ'!C114</f>
        <v>ПРОИЗВОДСТВО</v>
      </c>
      <c r="D111" t="str">
        <f>'[1]2021 УГРЦТ'!D114</f>
        <v>Сооружения</v>
      </c>
      <c r="E111" t="str">
        <f>'[1]2021 УГРЦТ'!E114</f>
        <v>01.10.2003</v>
      </c>
      <c r="F111" t="str">
        <f>'[1]2021 УГРЦТ'!F114</f>
        <v>Газотурбинный цех</v>
      </c>
      <c r="G111">
        <f>'[1]2021 УГРЦТ'!AC114</f>
        <v>240</v>
      </c>
      <c r="H111" s="7">
        <f>'[1]2021 УГРЦТ'!X114</f>
        <v>157899.6</v>
      </c>
      <c r="I111" s="7">
        <f>'[1]2021 УГРЦТ'!Y114</f>
        <v>143426.5</v>
      </c>
      <c r="J111" s="7">
        <f>'[1]2021 УГРЦТ'!Z114</f>
        <v>14473.100000000006</v>
      </c>
      <c r="K111" s="8">
        <v>1</v>
      </c>
      <c r="L111" s="7">
        <v>657.92</v>
      </c>
      <c r="M111" s="7"/>
      <c r="N111" s="7">
        <f t="shared" si="406"/>
        <v>7895.0399999999991</v>
      </c>
      <c r="O111" s="7">
        <f t="shared" si="408"/>
        <v>13815.180000000006</v>
      </c>
      <c r="P111" s="7">
        <f t="shared" si="563"/>
        <v>13157.260000000006</v>
      </c>
      <c r="Q111" s="7">
        <f t="shared" si="563"/>
        <v>12499.340000000006</v>
      </c>
      <c r="R111" s="7">
        <f t="shared" si="563"/>
        <v>11841.420000000006</v>
      </c>
      <c r="S111" s="7">
        <f t="shared" si="563"/>
        <v>11183.500000000005</v>
      </c>
      <c r="T111" s="7">
        <f t="shared" si="563"/>
        <v>10525.580000000005</v>
      </c>
      <c r="U111" s="7">
        <f t="shared" si="563"/>
        <v>9867.6600000000053</v>
      </c>
      <c r="V111" s="7">
        <f t="shared" si="563"/>
        <v>9209.7400000000052</v>
      </c>
      <c r="W111" s="7">
        <f t="shared" si="563"/>
        <v>8551.8200000000052</v>
      </c>
      <c r="X111" s="7">
        <f t="shared" si="563"/>
        <v>7893.9000000000051</v>
      </c>
      <c r="Y111" s="7">
        <f t="shared" si="563"/>
        <v>7235.980000000005</v>
      </c>
      <c r="Z111" s="7">
        <f t="shared" si="563"/>
        <v>6578.0600000000049</v>
      </c>
      <c r="AA111" s="7">
        <f t="shared" ref="AA111:AA112" si="638">SUM(O111:Z111,J111)/13*$AA$1</f>
        <v>231.56276000000011</v>
      </c>
      <c r="AB111" s="7"/>
      <c r="AC111" s="7">
        <f>L111*10-1.14</f>
        <v>6578.0599999999995</v>
      </c>
      <c r="AD111" s="7">
        <f t="shared" si="411"/>
        <v>5920.1400000000049</v>
      </c>
      <c r="AE111" s="7">
        <f t="shared" si="564"/>
        <v>5262.2200000000048</v>
      </c>
      <c r="AF111" s="7">
        <f t="shared" si="564"/>
        <v>4604.3000000000047</v>
      </c>
      <c r="AG111" s="7">
        <f t="shared" si="564"/>
        <v>3946.3800000000047</v>
      </c>
      <c r="AH111" s="7">
        <f t="shared" si="564"/>
        <v>3288.4600000000046</v>
      </c>
      <c r="AI111" s="7">
        <f t="shared" si="564"/>
        <v>2630.5400000000045</v>
      </c>
      <c r="AJ111" s="7">
        <f t="shared" si="564"/>
        <v>1972.6200000000044</v>
      </c>
      <c r="AK111" s="7">
        <f t="shared" si="564"/>
        <v>1314.7000000000044</v>
      </c>
      <c r="AL111" s="7">
        <f t="shared" si="564"/>
        <v>656.78000000000441</v>
      </c>
      <c r="AM111" s="7"/>
      <c r="AN111" s="7"/>
      <c r="AO111" s="7"/>
      <c r="AP111" s="222">
        <f>IF(K111&lt;1,0,SUM(AD111:AO111,Z111)/13*$BG$1)</f>
        <v>61.217876923077</v>
      </c>
      <c r="AQ111" s="7">
        <v>657.92</v>
      </c>
      <c r="AR111" s="7"/>
      <c r="AS111" s="7"/>
      <c r="BG111" s="236">
        <f t="shared" si="407"/>
        <v>0</v>
      </c>
      <c r="BH111" s="7">
        <v>657.92</v>
      </c>
      <c r="BV111" s="236">
        <f t="shared" si="635"/>
        <v>0</v>
      </c>
      <c r="BW111" s="7">
        <v>657.92</v>
      </c>
      <c r="CK111" s="236">
        <f t="shared" si="636"/>
        <v>0</v>
      </c>
      <c r="CL111" s="7">
        <v>657.92</v>
      </c>
      <c r="CZ111" s="236">
        <f t="shared" si="637"/>
        <v>0</v>
      </c>
    </row>
    <row r="112" spans="1:104" x14ac:dyDescent="0.2">
      <c r="A112" s="6" t="str">
        <f>'[1]2021 УГРЦТ'!A115</f>
        <v>Топливопровод</v>
      </c>
      <c r="B112" t="str">
        <f>'[1]2021 УГРЦТ'!B115</f>
        <v>000001834</v>
      </c>
      <c r="C112" t="str">
        <f>'[1]2021 УГРЦТ'!C115</f>
        <v>ПРОИЗВОДСТВО</v>
      </c>
      <c r="D112" t="str">
        <f>'[1]2021 УГРЦТ'!D115</f>
        <v>Сооружения</v>
      </c>
      <c r="E112" t="str">
        <f>'[1]2021 УГРЦТ'!E115</f>
        <v>30.12.2020</v>
      </c>
      <c r="F112" t="str">
        <f>'[1]2021 УГРЦТ'!F115</f>
        <v>ДЭС п.Красное</v>
      </c>
      <c r="G112">
        <f>'[1]2021 УГРЦТ'!AC115</f>
        <v>180</v>
      </c>
      <c r="H112" s="7">
        <f>'[1]2021 УГРЦТ'!X115</f>
        <v>570753.76</v>
      </c>
      <c r="I112" s="7">
        <f>'[1]2021 УГРЦТ'!Y115</f>
        <v>38050.250666666674</v>
      </c>
      <c r="J112" s="7">
        <f>'[1]2021 УГРЦТ'!Z115</f>
        <v>532703.50933333335</v>
      </c>
      <c r="K112" s="8">
        <v>1</v>
      </c>
      <c r="L112" s="7">
        <v>3170.849999999999</v>
      </c>
      <c r="M112" s="7"/>
      <c r="N112" s="7">
        <f t="shared" si="406"/>
        <v>38050.19999999999</v>
      </c>
      <c r="O112" s="7">
        <f t="shared" si="408"/>
        <v>529532.65933333337</v>
      </c>
      <c r="P112" s="7">
        <f t="shared" si="563"/>
        <v>526361.8093333334</v>
      </c>
      <c r="Q112" s="7">
        <f t="shared" si="563"/>
        <v>523190.95933333342</v>
      </c>
      <c r="R112" s="7">
        <f t="shared" si="563"/>
        <v>520020.10933333344</v>
      </c>
      <c r="S112" s="7">
        <f t="shared" si="563"/>
        <v>516849.25933333347</v>
      </c>
      <c r="T112" s="7">
        <f t="shared" si="563"/>
        <v>513678.40933333349</v>
      </c>
      <c r="U112" s="7">
        <f t="shared" si="563"/>
        <v>510507.55933333351</v>
      </c>
      <c r="V112" s="7">
        <f t="shared" si="563"/>
        <v>507336.70933333354</v>
      </c>
      <c r="W112" s="7">
        <f t="shared" si="563"/>
        <v>504165.85933333356</v>
      </c>
      <c r="X112" s="7">
        <f t="shared" si="563"/>
        <v>500995.00933333358</v>
      </c>
      <c r="Y112" s="7">
        <f t="shared" si="563"/>
        <v>497824.15933333361</v>
      </c>
      <c r="Z112" s="7">
        <f t="shared" si="563"/>
        <v>494653.30933333363</v>
      </c>
      <c r="AA112" s="7">
        <f t="shared" si="638"/>
        <v>11300.925005333334</v>
      </c>
      <c r="AB112" s="7"/>
      <c r="AC112" s="7">
        <f t="shared" si="410"/>
        <v>38050.19999999999</v>
      </c>
      <c r="AD112" s="7">
        <f t="shared" si="411"/>
        <v>491482.45933333365</v>
      </c>
      <c r="AE112" s="7">
        <f t="shared" si="564"/>
        <v>488311.60933333368</v>
      </c>
      <c r="AF112" s="7">
        <f t="shared" si="564"/>
        <v>485140.7593333337</v>
      </c>
      <c r="AG112" s="7">
        <f t="shared" si="564"/>
        <v>481969.90933333372</v>
      </c>
      <c r="AH112" s="7">
        <f t="shared" si="564"/>
        <v>478799.05933333375</v>
      </c>
      <c r="AI112" s="7">
        <f t="shared" si="564"/>
        <v>475628.20933333377</v>
      </c>
      <c r="AJ112" s="7">
        <f t="shared" si="564"/>
        <v>472457.35933333379</v>
      </c>
      <c r="AK112" s="7">
        <f t="shared" si="564"/>
        <v>469286.50933333382</v>
      </c>
      <c r="AL112" s="7">
        <f t="shared" si="564"/>
        <v>466115.65933333384</v>
      </c>
      <c r="AM112" s="7">
        <f t="shared" si="564"/>
        <v>462944.80933333386</v>
      </c>
      <c r="AN112" s="7">
        <f t="shared" si="564"/>
        <v>459773.95933333389</v>
      </c>
      <c r="AO112" s="7">
        <f t="shared" si="564"/>
        <v>456603.10933333391</v>
      </c>
      <c r="AP112" s="222">
        <f>IF(K112&lt;1,0,SUM(AD112:AO112,Z112)/13*$BG$1)</f>
        <v>10463.820605333342</v>
      </c>
      <c r="AQ112" s="7">
        <v>3170.849999999999</v>
      </c>
      <c r="AR112" s="7">
        <f t="shared" si="412"/>
        <v>3170.8499999999767</v>
      </c>
      <c r="AS112" s="7">
        <f t="shared" si="413"/>
        <v>-2.2282620193436742E-11</v>
      </c>
      <c r="AT112" s="7">
        <f>L112*12</f>
        <v>38050.19999999999</v>
      </c>
      <c r="AU112" s="7">
        <f>AO112-$L112</f>
        <v>453432.25933333393</v>
      </c>
      <c r="AV112" s="7">
        <f>AU112-$L112</f>
        <v>450261.40933333396</v>
      </c>
      <c r="AW112" s="7">
        <f t="shared" ref="AW112:BF112" si="639">AV112-$L112</f>
        <v>447090.55933333398</v>
      </c>
      <c r="AX112" s="7">
        <f t="shared" si="639"/>
        <v>443919.709333334</v>
      </c>
      <c r="AY112" s="7">
        <f t="shared" si="639"/>
        <v>440748.85933333402</v>
      </c>
      <c r="AZ112" s="7">
        <f t="shared" si="639"/>
        <v>437578.00933333405</v>
      </c>
      <c r="BA112" s="7">
        <f t="shared" si="639"/>
        <v>434407.15933333407</v>
      </c>
      <c r="BB112" s="7">
        <f t="shared" si="639"/>
        <v>431236.30933333409</v>
      </c>
      <c r="BC112" s="7">
        <f t="shared" si="639"/>
        <v>428065.45933333412</v>
      </c>
      <c r="BD112" s="7">
        <f t="shared" si="639"/>
        <v>424894.60933333414</v>
      </c>
      <c r="BE112" s="7">
        <f t="shared" si="639"/>
        <v>421723.75933333416</v>
      </c>
      <c r="BF112" s="7">
        <f t="shared" si="639"/>
        <v>418552.90933333419</v>
      </c>
      <c r="BG112" s="236">
        <f t="shared" si="407"/>
        <v>9626.7162053333468</v>
      </c>
      <c r="BH112" s="7">
        <v>3170.849999999999</v>
      </c>
      <c r="BI112" s="39">
        <f>BH112*12</f>
        <v>38050.19999999999</v>
      </c>
      <c r="BJ112" s="7">
        <f>BF112-BH112</f>
        <v>415382.05933333421</v>
      </c>
      <c r="BK112" s="7">
        <f>BJ112-$L112</f>
        <v>412211.20933333423</v>
      </c>
      <c r="BL112" s="7">
        <f t="shared" ref="BL112" si="640">BK112-$L112</f>
        <v>409040.35933333426</v>
      </c>
      <c r="BM112" s="7">
        <f t="shared" ref="BM112" si="641">BL112-$L112</f>
        <v>405869.50933333428</v>
      </c>
      <c r="BN112" s="7">
        <f t="shared" ref="BN112" si="642">BM112-$L112</f>
        <v>402698.6593333343</v>
      </c>
      <c r="BO112" s="7">
        <f t="shared" ref="BO112" si="643">BN112-$L112</f>
        <v>399527.80933333433</v>
      </c>
      <c r="BP112" s="7">
        <f t="shared" ref="BP112" si="644">BO112-$L112</f>
        <v>396356.95933333435</v>
      </c>
      <c r="BQ112" s="7">
        <f t="shared" ref="BQ112" si="645">BP112-$L112</f>
        <v>393186.10933333437</v>
      </c>
      <c r="BR112" s="7">
        <f t="shared" ref="BR112" si="646">BQ112-$L112</f>
        <v>390015.2593333344</v>
      </c>
      <c r="BS112" s="7">
        <f t="shared" ref="BS112" si="647">BR112-$L112</f>
        <v>386844.40933333442</v>
      </c>
      <c r="BT112" s="7">
        <f t="shared" ref="BT112" si="648">BS112-$L112</f>
        <v>383673.55933333444</v>
      </c>
      <c r="BU112" s="7">
        <f t="shared" ref="BU112" si="649">BT112-$L112</f>
        <v>380502.70933333447</v>
      </c>
      <c r="BV112" s="236">
        <f t="shared" si="635"/>
        <v>8789.6118053333539</v>
      </c>
      <c r="BW112" s="7">
        <v>3170.849999999999</v>
      </c>
      <c r="BX112" s="39">
        <f>BW112*12</f>
        <v>38050.19999999999</v>
      </c>
      <c r="BY112" s="7">
        <f>BU112-BW112</f>
        <v>377331.85933333449</v>
      </c>
      <c r="BZ112" s="7">
        <f>BY112-$L112</f>
        <v>374161.00933333451</v>
      </c>
      <c r="CA112" s="7">
        <f t="shared" ref="CA112" si="650">BZ112-$L112</f>
        <v>370990.15933333454</v>
      </c>
      <c r="CB112" s="7">
        <f t="shared" ref="CB112" si="651">CA112-$L112</f>
        <v>367819.30933333456</v>
      </c>
      <c r="CC112" s="7">
        <f t="shared" ref="CC112" si="652">CB112-$L112</f>
        <v>364648.45933333458</v>
      </c>
      <c r="CD112" s="7">
        <f t="shared" ref="CD112" si="653">CC112-$L112</f>
        <v>361477.60933333461</v>
      </c>
      <c r="CE112" s="7">
        <f t="shared" ref="CE112" si="654">CD112-$L112</f>
        <v>358306.75933333463</v>
      </c>
      <c r="CF112" s="7">
        <f t="shared" ref="CF112" si="655">CE112-$L112</f>
        <v>355135.90933333465</v>
      </c>
      <c r="CG112" s="7">
        <f t="shared" ref="CG112" si="656">CF112-$L112</f>
        <v>351965.05933333468</v>
      </c>
      <c r="CH112" s="7">
        <f t="shared" ref="CH112" si="657">CG112-$L112</f>
        <v>348794.2093333347</v>
      </c>
      <c r="CI112" s="7">
        <f t="shared" ref="CI112" si="658">CH112-$L112</f>
        <v>345623.35933333472</v>
      </c>
      <c r="CJ112" s="7">
        <f t="shared" ref="CJ112" si="659">CI112-$L112</f>
        <v>342452.50933333475</v>
      </c>
      <c r="CK112" s="236">
        <f t="shared" si="636"/>
        <v>7952.5074053333592</v>
      </c>
      <c r="CL112" s="7">
        <v>3170.849999999999</v>
      </c>
      <c r="CM112" s="39">
        <f>CL112*12</f>
        <v>38050.19999999999</v>
      </c>
      <c r="CN112" s="7">
        <f>CJ112-CL112</f>
        <v>339281.65933333477</v>
      </c>
      <c r="CO112" s="7">
        <f>CN112-$L112</f>
        <v>336110.80933333479</v>
      </c>
      <c r="CP112" s="7">
        <f t="shared" ref="CP112" si="660">CO112-$L112</f>
        <v>332939.95933333482</v>
      </c>
      <c r="CQ112" s="7">
        <f t="shared" ref="CQ112" si="661">CP112-$L112</f>
        <v>329769.10933333484</v>
      </c>
      <c r="CR112" s="7">
        <f t="shared" ref="CR112" si="662">CQ112-$L112</f>
        <v>326598.25933333486</v>
      </c>
      <c r="CS112" s="7">
        <f t="shared" ref="CS112" si="663">CR112-$L112</f>
        <v>323427.40933333489</v>
      </c>
      <c r="CT112" s="7">
        <f t="shared" ref="CT112" si="664">CS112-$L112</f>
        <v>320256.55933333491</v>
      </c>
      <c r="CU112" s="7">
        <f t="shared" ref="CU112" si="665">CT112-$L112</f>
        <v>317085.70933333493</v>
      </c>
      <c r="CV112" s="7">
        <f t="shared" ref="CV112" si="666">CU112-$L112</f>
        <v>313914.85933333496</v>
      </c>
      <c r="CW112" s="7">
        <f t="shared" ref="CW112" si="667">CV112-$L112</f>
        <v>310744.00933333498</v>
      </c>
      <c r="CX112" s="7">
        <f t="shared" ref="CX112" si="668">CW112-$L112</f>
        <v>307573.159333335</v>
      </c>
      <c r="CY112" s="7">
        <f t="shared" ref="CY112" si="669">CX112-$L112</f>
        <v>304402.30933333503</v>
      </c>
      <c r="CZ112" s="236">
        <f t="shared" si="637"/>
        <v>7115.4030053333672</v>
      </c>
    </row>
    <row r="113" spans="1:104" x14ac:dyDescent="0.2">
      <c r="A113" s="6" t="str">
        <f>'[1]2021 УГРЦТ'!A116</f>
        <v>Топливоразд колонка Ливенка-4110</v>
      </c>
      <c r="B113" t="str">
        <f>'[1]2021 УГРЦТ'!B116</f>
        <v>00001121</v>
      </c>
      <c r="C113" t="str">
        <f>'[1]2021 УГРЦТ'!C116</f>
        <v>ПРОИЗВОДСТВО</v>
      </c>
      <c r="D113" t="str">
        <f>'[1]2021 УГРЦТ'!D116</f>
        <v>Машины и оборудование (кроме офисного)</v>
      </c>
      <c r="E113" t="str">
        <f>'[1]2021 УГРЦТ'!E116</f>
        <v>30.06.2009</v>
      </c>
      <c r="F113" t="str">
        <f>'[1]2021 УГРЦТ'!F116</f>
        <v>Тепломеханический цех</v>
      </c>
      <c r="G113">
        <f>'[1]2021 УГРЦТ'!AC116</f>
        <v>84</v>
      </c>
      <c r="H113" s="7">
        <v>0</v>
      </c>
      <c r="I113" s="7">
        <v>0</v>
      </c>
      <c r="J113" s="7">
        <v>0</v>
      </c>
      <c r="K113" s="8">
        <v>0</v>
      </c>
      <c r="L113" s="14" t="s">
        <v>18</v>
      </c>
      <c r="M113" s="14"/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222"/>
      <c r="AQ113" s="7">
        <v>0</v>
      </c>
      <c r="AR113" s="7">
        <f t="shared" si="412"/>
        <v>0</v>
      </c>
      <c r="AS113" s="7">
        <f t="shared" si="413"/>
        <v>0</v>
      </c>
      <c r="BG113" s="236">
        <f t="shared" si="407"/>
        <v>0</v>
      </c>
      <c r="BH113" s="7">
        <v>0</v>
      </c>
      <c r="BV113" s="236">
        <f t="shared" si="635"/>
        <v>0</v>
      </c>
      <c r="BW113" s="7">
        <v>0</v>
      </c>
      <c r="CK113" s="236">
        <f t="shared" si="636"/>
        <v>0</v>
      </c>
      <c r="CL113" s="7">
        <v>0</v>
      </c>
      <c r="CZ113" s="236">
        <f t="shared" si="637"/>
        <v>0</v>
      </c>
    </row>
    <row r="114" spans="1:104" x14ac:dyDescent="0.2">
      <c r="A114" s="6" t="str">
        <f>'[1]2021 УГРЦТ'!A117</f>
        <v>ТП "Амбулатория" п.Красное</v>
      </c>
      <c r="B114" t="str">
        <f>'[1]2021 УГРЦТ'!B117</f>
        <v>000001615</v>
      </c>
      <c r="C114" t="str">
        <f>'[1]2021 УГРЦТ'!C117</f>
        <v>ПРОИЗВОДСТВО</v>
      </c>
      <c r="D114" t="str">
        <f>'[1]2021 УГРЦТ'!D117</f>
        <v>Сооружения</v>
      </c>
      <c r="E114" t="str">
        <f>'[1]2021 УГРЦТ'!E117</f>
        <v>30.04.2014</v>
      </c>
      <c r="F114" t="str">
        <f>'[1]2021 УГРЦТ'!F117</f>
        <v>ДЭС п.Красное</v>
      </c>
      <c r="G114">
        <f>'[1]2021 УГРЦТ'!AC117</f>
        <v>240</v>
      </c>
      <c r="H114" s="7">
        <f>'[1]2021 УГРЦТ'!X117</f>
        <v>2007810.99</v>
      </c>
      <c r="I114" s="7">
        <f>'[1]2021 УГРЦТ'!Y117</f>
        <v>769660.9495000001</v>
      </c>
      <c r="J114" s="7">
        <f>'[1]2021 УГРЦТ'!Z117</f>
        <v>1238150.0404999999</v>
      </c>
      <c r="K114" s="8">
        <v>1</v>
      </c>
      <c r="L114" s="7">
        <v>8365.880000000001</v>
      </c>
      <c r="M114" s="7"/>
      <c r="N114" s="7">
        <f t="shared" si="406"/>
        <v>100390.56000000001</v>
      </c>
      <c r="O114" s="7">
        <f t="shared" si="408"/>
        <v>1229784.1605</v>
      </c>
      <c r="P114" s="7">
        <f t="shared" ref="P114:Z129" si="670">O114-$L114</f>
        <v>1221418.2805000001</v>
      </c>
      <c r="Q114" s="7">
        <f t="shared" si="670"/>
        <v>1213052.4005000002</v>
      </c>
      <c r="R114" s="7">
        <f t="shared" si="670"/>
        <v>1204686.5205000003</v>
      </c>
      <c r="S114" s="7">
        <f t="shared" si="670"/>
        <v>1196320.6405000004</v>
      </c>
      <c r="T114" s="7">
        <f t="shared" si="670"/>
        <v>1187954.7605000006</v>
      </c>
      <c r="U114" s="7">
        <f t="shared" si="670"/>
        <v>1179588.8805000007</v>
      </c>
      <c r="V114" s="7">
        <f t="shared" si="670"/>
        <v>1171223.0005000008</v>
      </c>
      <c r="W114" s="7">
        <f t="shared" si="670"/>
        <v>1162857.1205000009</v>
      </c>
      <c r="X114" s="7">
        <f t="shared" si="670"/>
        <v>1154491.240500001</v>
      </c>
      <c r="Y114" s="7">
        <f t="shared" si="670"/>
        <v>1146125.3605000011</v>
      </c>
      <c r="Z114" s="7">
        <f t="shared" si="670"/>
        <v>1137759.4805000012</v>
      </c>
      <c r="AA114" s="7">
        <f>SUM(O114:Z114,J114)/13*$AA$1</f>
        <v>26135.004731000012</v>
      </c>
      <c r="AB114" s="7"/>
      <c r="AC114" s="7">
        <f t="shared" si="410"/>
        <v>100390.56000000001</v>
      </c>
      <c r="AD114" s="7">
        <f t="shared" si="411"/>
        <v>1129393.6005000013</v>
      </c>
      <c r="AE114" s="7">
        <f t="shared" ref="AE114:AO129" si="671">AD114-$L114</f>
        <v>1121027.7205000015</v>
      </c>
      <c r="AF114" s="7">
        <f t="shared" si="671"/>
        <v>1112661.8405000016</v>
      </c>
      <c r="AG114" s="7">
        <f t="shared" si="671"/>
        <v>1104295.9605000017</v>
      </c>
      <c r="AH114" s="7">
        <f t="shared" si="671"/>
        <v>1095930.0805000018</v>
      </c>
      <c r="AI114" s="7">
        <f t="shared" si="671"/>
        <v>1087564.2005000019</v>
      </c>
      <c r="AJ114" s="7">
        <f t="shared" si="671"/>
        <v>1079198.320500002</v>
      </c>
      <c r="AK114" s="7">
        <f t="shared" si="671"/>
        <v>1070832.4405000021</v>
      </c>
      <c r="AL114" s="7">
        <f t="shared" si="671"/>
        <v>1062466.5605000022</v>
      </c>
      <c r="AM114" s="7">
        <f t="shared" si="671"/>
        <v>1054100.6805000023</v>
      </c>
      <c r="AN114" s="7">
        <f t="shared" si="671"/>
        <v>1045734.8005000023</v>
      </c>
      <c r="AO114" s="7">
        <f t="shared" si="671"/>
        <v>1037368.9205000023</v>
      </c>
      <c r="AP114" s="222">
        <f>IF(K114&lt;1,0,SUM(AD114:AO114,Z114)/13*$BG$1)</f>
        <v>23926.412411000041</v>
      </c>
      <c r="AQ114" s="7">
        <v>8365.880000000001</v>
      </c>
      <c r="AR114" s="7">
        <f t="shared" si="412"/>
        <v>8365.8800000000047</v>
      </c>
      <c r="AS114" s="7">
        <f t="shared" si="413"/>
        <v>0</v>
      </c>
      <c r="AT114" s="7">
        <f>L114*12</f>
        <v>100390.56000000001</v>
      </c>
      <c r="AU114" s="7">
        <f>AO114-$L114</f>
        <v>1029003.0405000023</v>
      </c>
      <c r="AV114" s="7">
        <f>AU114-$L114</f>
        <v>1020637.1605000023</v>
      </c>
      <c r="AW114" s="7">
        <f t="shared" ref="AW114:BF114" si="672">AV114-$L114</f>
        <v>1012271.2805000023</v>
      </c>
      <c r="AX114" s="7">
        <f t="shared" si="672"/>
        <v>1003905.4005000023</v>
      </c>
      <c r="AY114" s="7">
        <f t="shared" si="672"/>
        <v>995539.52050000231</v>
      </c>
      <c r="AZ114" s="7">
        <f t="shared" si="672"/>
        <v>987173.64050000231</v>
      </c>
      <c r="BA114" s="7">
        <f t="shared" si="672"/>
        <v>978807.7605000023</v>
      </c>
      <c r="BB114" s="7">
        <f t="shared" si="672"/>
        <v>970441.8805000023</v>
      </c>
      <c r="BC114" s="7">
        <f t="shared" si="672"/>
        <v>962076.00050000229</v>
      </c>
      <c r="BD114" s="7">
        <f t="shared" si="672"/>
        <v>953710.12050000229</v>
      </c>
      <c r="BE114" s="7">
        <f t="shared" si="672"/>
        <v>945344.24050000228</v>
      </c>
      <c r="BF114" s="7">
        <f t="shared" si="672"/>
        <v>936978.36050000228</v>
      </c>
      <c r="BG114" s="236">
        <f t="shared" si="407"/>
        <v>21717.820091000052</v>
      </c>
      <c r="BH114" s="7">
        <v>8365.880000000001</v>
      </c>
      <c r="BI114" s="39">
        <f>BH114*12</f>
        <v>100390.56000000001</v>
      </c>
      <c r="BJ114" s="7">
        <f>BF114-BH114</f>
        <v>928612.48050000228</v>
      </c>
      <c r="BK114" s="7">
        <f>BJ114-$L114</f>
        <v>920246.60050000227</v>
      </c>
      <c r="BL114" s="7">
        <f t="shared" ref="BL114" si="673">BK114-$L114</f>
        <v>911880.72050000227</v>
      </c>
      <c r="BM114" s="7">
        <f t="shared" ref="BM114" si="674">BL114-$L114</f>
        <v>903514.84050000226</v>
      </c>
      <c r="BN114" s="7">
        <f t="shared" ref="BN114" si="675">BM114-$L114</f>
        <v>895148.96050000226</v>
      </c>
      <c r="BO114" s="7">
        <f t="shared" ref="BO114" si="676">BN114-$L114</f>
        <v>886783.08050000225</v>
      </c>
      <c r="BP114" s="7">
        <f t="shared" ref="BP114" si="677">BO114-$L114</f>
        <v>878417.20050000225</v>
      </c>
      <c r="BQ114" s="7">
        <f t="shared" ref="BQ114" si="678">BP114-$L114</f>
        <v>870051.32050000224</v>
      </c>
      <c r="BR114" s="7">
        <f t="shared" ref="BR114" si="679">BQ114-$L114</f>
        <v>861685.44050000224</v>
      </c>
      <c r="BS114" s="7">
        <f t="shared" ref="BS114" si="680">BR114-$L114</f>
        <v>853319.56050000223</v>
      </c>
      <c r="BT114" s="7">
        <f t="shared" ref="BT114" si="681">BS114-$L114</f>
        <v>844953.68050000223</v>
      </c>
      <c r="BU114" s="7">
        <f t="shared" ref="BU114" si="682">BT114-$L114</f>
        <v>836587.80050000222</v>
      </c>
      <c r="BV114" s="236">
        <f t="shared" si="635"/>
        <v>19509.227771000049</v>
      </c>
      <c r="BW114" s="7">
        <v>8365.880000000001</v>
      </c>
      <c r="BX114" s="39">
        <f>BW114*12</f>
        <v>100390.56000000001</v>
      </c>
      <c r="BY114" s="7">
        <f>BU114-BW114</f>
        <v>828221.92050000222</v>
      </c>
      <c r="BZ114" s="7">
        <f>BY114-$L114</f>
        <v>819856.04050000221</v>
      </c>
      <c r="CA114" s="7">
        <f t="shared" ref="CA114" si="683">BZ114-$L114</f>
        <v>811490.16050000221</v>
      </c>
      <c r="CB114" s="7">
        <f t="shared" ref="CB114" si="684">CA114-$L114</f>
        <v>803124.28050000221</v>
      </c>
      <c r="CC114" s="7">
        <f t="shared" ref="CC114" si="685">CB114-$L114</f>
        <v>794758.4005000022</v>
      </c>
      <c r="CD114" s="7">
        <f t="shared" ref="CD114" si="686">CC114-$L114</f>
        <v>786392.5205000022</v>
      </c>
      <c r="CE114" s="7">
        <f t="shared" ref="CE114" si="687">CD114-$L114</f>
        <v>778026.64050000219</v>
      </c>
      <c r="CF114" s="7">
        <f t="shared" ref="CF114" si="688">CE114-$L114</f>
        <v>769660.76050000219</v>
      </c>
      <c r="CG114" s="7">
        <f t="shared" ref="CG114" si="689">CF114-$L114</f>
        <v>761294.88050000218</v>
      </c>
      <c r="CH114" s="7">
        <f t="shared" ref="CH114" si="690">CG114-$L114</f>
        <v>752929.00050000218</v>
      </c>
      <c r="CI114" s="7">
        <f t="shared" ref="CI114" si="691">CH114-$L114</f>
        <v>744563.12050000217</v>
      </c>
      <c r="CJ114" s="7">
        <f t="shared" ref="CJ114" si="692">CI114-$L114</f>
        <v>736197.24050000217</v>
      </c>
      <c r="CK114" s="236">
        <f t="shared" si="636"/>
        <v>17300.635451000049</v>
      </c>
      <c r="CL114" s="7">
        <v>8365.880000000001</v>
      </c>
      <c r="CM114" s="39">
        <f>CL114*12</f>
        <v>100390.56000000001</v>
      </c>
      <c r="CN114" s="7">
        <f>CJ114-CL114</f>
        <v>727831.36050000216</v>
      </c>
      <c r="CO114" s="7">
        <f>CN114-$L114</f>
        <v>719465.48050000216</v>
      </c>
      <c r="CP114" s="7">
        <f t="shared" ref="CP114" si="693">CO114-$L114</f>
        <v>711099.60050000215</v>
      </c>
      <c r="CQ114" s="7">
        <f t="shared" ref="CQ114" si="694">CP114-$L114</f>
        <v>702733.72050000215</v>
      </c>
      <c r="CR114" s="7">
        <f t="shared" ref="CR114" si="695">CQ114-$L114</f>
        <v>694367.84050000214</v>
      </c>
      <c r="CS114" s="7">
        <f t="shared" ref="CS114" si="696">CR114-$L114</f>
        <v>686001.96050000214</v>
      </c>
      <c r="CT114" s="7">
        <f t="shared" ref="CT114" si="697">CS114-$L114</f>
        <v>677636.08050000214</v>
      </c>
      <c r="CU114" s="7">
        <f t="shared" ref="CU114" si="698">CT114-$L114</f>
        <v>669270.20050000213</v>
      </c>
      <c r="CV114" s="7">
        <f t="shared" ref="CV114" si="699">CU114-$L114</f>
        <v>660904.32050000213</v>
      </c>
      <c r="CW114" s="7">
        <f t="shared" ref="CW114" si="700">CV114-$L114</f>
        <v>652538.44050000212</v>
      </c>
      <c r="CX114" s="7">
        <f t="shared" ref="CX114" si="701">CW114-$L114</f>
        <v>644172.56050000212</v>
      </c>
      <c r="CY114" s="7">
        <f t="shared" ref="CY114" si="702">CX114-$L114</f>
        <v>635806.68050000211</v>
      </c>
      <c r="CZ114" s="236">
        <f t="shared" si="637"/>
        <v>15092.043131000046</v>
      </c>
    </row>
    <row r="115" spans="1:104" ht="22.5" x14ac:dyDescent="0.2">
      <c r="A115" s="6" t="str">
        <f>'[1]2021 УГРЦТ'!A118</f>
        <v>Трансформатор напряжения НАЛИ-СЭЩ-6-16-0.5/0.5/3Р-75/75/75 У2</v>
      </c>
      <c r="B115" t="str">
        <f>'[1]2021 УГРЦТ'!B118</f>
        <v>000001550</v>
      </c>
      <c r="C115" t="str">
        <f>'[1]2021 УГРЦТ'!C118</f>
        <v>ПРОИЗВОДСТВО</v>
      </c>
      <c r="D115" t="str">
        <f>'[1]2021 УГРЦТ'!D118</f>
        <v>Машины и оборудование (кроме офисного)</v>
      </c>
      <c r="E115" t="str">
        <f>'[1]2021 УГРЦТ'!E118</f>
        <v>30.09.2013</v>
      </c>
      <c r="F115" t="str">
        <f>'[1]2021 УГРЦТ'!F118</f>
        <v>Электрический цех</v>
      </c>
      <c r="G115">
        <f>'[1]2021 УГРЦТ'!AC118</f>
        <v>120</v>
      </c>
      <c r="H115" s="7">
        <f>'[1]2021 УГРЦТ'!X118</f>
        <v>55250</v>
      </c>
      <c r="I115" s="7">
        <f>'[1]2021 УГРЦТ'!Y118</f>
        <v>45581.54</v>
      </c>
      <c r="J115" s="7">
        <f>'[1]2021 УГРЦТ'!Z118</f>
        <v>9668.4599999999991</v>
      </c>
      <c r="K115" s="8">
        <v>0</v>
      </c>
      <c r="L115" s="7">
        <v>460.42</v>
      </c>
      <c r="M115" s="7"/>
      <c r="N115" s="7">
        <f t="shared" si="406"/>
        <v>5525.04</v>
      </c>
      <c r="O115" s="7">
        <f t="shared" si="408"/>
        <v>9208.0399999999991</v>
      </c>
      <c r="P115" s="7">
        <f t="shared" si="670"/>
        <v>8747.619999999999</v>
      </c>
      <c r="Q115" s="7">
        <f t="shared" si="670"/>
        <v>8287.1999999999989</v>
      </c>
      <c r="R115" s="7">
        <f t="shared" si="670"/>
        <v>7826.7799999999988</v>
      </c>
      <c r="S115" s="7">
        <f t="shared" si="670"/>
        <v>7366.3599999999988</v>
      </c>
      <c r="T115" s="7">
        <f t="shared" si="670"/>
        <v>6905.9399999999987</v>
      </c>
      <c r="U115" s="7">
        <f t="shared" si="670"/>
        <v>6445.5199999999986</v>
      </c>
      <c r="V115" s="7">
        <f t="shared" si="670"/>
        <v>5985.0999999999985</v>
      </c>
      <c r="W115" s="7">
        <f t="shared" si="670"/>
        <v>5524.6799999999985</v>
      </c>
      <c r="X115" s="7">
        <f t="shared" si="670"/>
        <v>5064.2599999999984</v>
      </c>
      <c r="Y115" s="7">
        <f t="shared" si="670"/>
        <v>4603.8399999999983</v>
      </c>
      <c r="Z115" s="7">
        <f t="shared" si="670"/>
        <v>4143.4199999999983</v>
      </c>
      <c r="AA115" s="7"/>
      <c r="AB115" s="7"/>
      <c r="AC115" s="7">
        <f>L115*9-0.36</f>
        <v>4143.42</v>
      </c>
      <c r="AD115" s="7">
        <f t="shared" si="411"/>
        <v>3682.9999999999982</v>
      </c>
      <c r="AE115" s="7">
        <f t="shared" si="671"/>
        <v>3222.5799999999981</v>
      </c>
      <c r="AF115" s="7">
        <f t="shared" si="671"/>
        <v>2762.159999999998</v>
      </c>
      <c r="AG115" s="7">
        <f t="shared" si="671"/>
        <v>2301.739999999998</v>
      </c>
      <c r="AH115" s="7">
        <f t="shared" si="671"/>
        <v>1841.3199999999979</v>
      </c>
      <c r="AI115" s="7">
        <f t="shared" si="671"/>
        <v>1380.8999999999978</v>
      </c>
      <c r="AJ115" s="7">
        <f t="shared" si="671"/>
        <v>920.47999999999774</v>
      </c>
      <c r="AK115" s="7">
        <f t="shared" si="671"/>
        <v>460.05999999999773</v>
      </c>
      <c r="AL115" s="7"/>
      <c r="AM115" s="7"/>
      <c r="AN115" s="7"/>
      <c r="AO115" s="7"/>
      <c r="AP115" s="222"/>
      <c r="AQ115" s="7">
        <v>0</v>
      </c>
      <c r="AR115" s="7">
        <f t="shared" si="412"/>
        <v>0</v>
      </c>
      <c r="AS115" s="7">
        <f t="shared" si="413"/>
        <v>0</v>
      </c>
      <c r="BG115" s="236">
        <f t="shared" si="407"/>
        <v>0</v>
      </c>
      <c r="BH115" s="7">
        <v>0</v>
      </c>
      <c r="BV115" s="236">
        <f t="shared" si="635"/>
        <v>0</v>
      </c>
      <c r="BW115" s="7">
        <v>0</v>
      </c>
      <c r="CK115" s="236">
        <f t="shared" si="636"/>
        <v>0</v>
      </c>
      <c r="CL115" s="7">
        <v>0</v>
      </c>
      <c r="CZ115" s="236">
        <f t="shared" si="637"/>
        <v>0</v>
      </c>
    </row>
    <row r="116" spans="1:104" x14ac:dyDescent="0.2">
      <c r="A116" s="6" t="str">
        <f>'[1]2021 УГРЦТ'!A119</f>
        <v>Трансформатор Силовой зх-фазный</v>
      </c>
      <c r="B116" t="str">
        <f>'[1]2021 УГРЦТ'!B119</f>
        <v>00001192</v>
      </c>
      <c r="C116" t="str">
        <f>'[1]2021 УГРЦТ'!C119</f>
        <v>ПРОИЗВОДСТВО</v>
      </c>
      <c r="D116" t="str">
        <f>'[1]2021 УГРЦТ'!D119</f>
        <v>Машины и оборудование (кроме офисного)</v>
      </c>
      <c r="E116" t="str">
        <f>'[1]2021 УГРЦТ'!E119</f>
        <v>31.03.2010</v>
      </c>
      <c r="F116" t="str">
        <f>'[1]2021 УГРЦТ'!F119</f>
        <v>Газотурбинный цех</v>
      </c>
      <c r="G116">
        <f>'[1]2021 УГРЦТ'!AC119</f>
        <v>240</v>
      </c>
      <c r="H116" s="7">
        <f>'[1]2021 УГРЦТ'!X119</f>
        <v>957000</v>
      </c>
      <c r="I116" s="7">
        <f>'[1]2021 УГРЦТ'!Y119</f>
        <v>562237.5</v>
      </c>
      <c r="J116" s="7">
        <f>'[1]2021 УГРЦТ'!Z119</f>
        <v>394762.5</v>
      </c>
      <c r="K116" s="8">
        <v>0</v>
      </c>
      <c r="L116" s="7">
        <v>3987.5</v>
      </c>
      <c r="M116" s="7"/>
      <c r="N116" s="7">
        <f t="shared" si="406"/>
        <v>47850</v>
      </c>
      <c r="O116" s="7">
        <f t="shared" si="408"/>
        <v>390775</v>
      </c>
      <c r="P116" s="7">
        <f t="shared" si="670"/>
        <v>386787.5</v>
      </c>
      <c r="Q116" s="7">
        <f t="shared" si="670"/>
        <v>382800</v>
      </c>
      <c r="R116" s="7">
        <f t="shared" si="670"/>
        <v>378812.5</v>
      </c>
      <c r="S116" s="7">
        <f t="shared" si="670"/>
        <v>374825</v>
      </c>
      <c r="T116" s="7">
        <f t="shared" si="670"/>
        <v>370837.5</v>
      </c>
      <c r="U116" s="7">
        <f t="shared" si="670"/>
        <v>366850</v>
      </c>
      <c r="V116" s="7">
        <f t="shared" si="670"/>
        <v>362862.5</v>
      </c>
      <c r="W116" s="7">
        <f t="shared" si="670"/>
        <v>358875</v>
      </c>
      <c r="X116" s="7">
        <f t="shared" si="670"/>
        <v>354887.5</v>
      </c>
      <c r="Y116" s="7">
        <f t="shared" si="670"/>
        <v>350900</v>
      </c>
      <c r="Z116" s="7">
        <f t="shared" si="670"/>
        <v>346912.5</v>
      </c>
      <c r="AA116" s="7"/>
      <c r="AB116" s="7"/>
      <c r="AC116" s="7">
        <f t="shared" si="410"/>
        <v>47850</v>
      </c>
      <c r="AD116" s="7">
        <f t="shared" si="411"/>
        <v>342925</v>
      </c>
      <c r="AE116" s="7">
        <f t="shared" si="671"/>
        <v>338937.5</v>
      </c>
      <c r="AF116" s="7">
        <f t="shared" si="671"/>
        <v>334950</v>
      </c>
      <c r="AG116" s="7">
        <f t="shared" si="671"/>
        <v>330962.5</v>
      </c>
      <c r="AH116" s="7">
        <f t="shared" si="671"/>
        <v>326975</v>
      </c>
      <c r="AI116" s="7">
        <f t="shared" si="671"/>
        <v>322987.5</v>
      </c>
      <c r="AJ116" s="7">
        <f t="shared" si="671"/>
        <v>319000</v>
      </c>
      <c r="AK116" s="7">
        <f t="shared" si="671"/>
        <v>315012.5</v>
      </c>
      <c r="AL116" s="7">
        <f t="shared" si="671"/>
        <v>311025</v>
      </c>
      <c r="AM116" s="7">
        <f t="shared" si="671"/>
        <v>307037.5</v>
      </c>
      <c r="AN116" s="7">
        <f t="shared" si="671"/>
        <v>303050</v>
      </c>
      <c r="AO116" s="7">
        <f t="shared" si="671"/>
        <v>299062.5</v>
      </c>
      <c r="AP116" s="222"/>
      <c r="AQ116" s="7">
        <v>3987.5</v>
      </c>
      <c r="AR116" s="7">
        <f t="shared" si="412"/>
        <v>3987.5</v>
      </c>
      <c r="AS116" s="7">
        <f t="shared" si="413"/>
        <v>0</v>
      </c>
      <c r="AT116" s="7">
        <f t="shared" ref="AT116:AT143" si="703">L116*12</f>
        <v>47850</v>
      </c>
      <c r="AU116" s="7">
        <f>AO116-$L116</f>
        <v>295075</v>
      </c>
      <c r="AV116" s="7">
        <f t="shared" ref="AV116:BF131" si="704">AU116-$L116</f>
        <v>291087.5</v>
      </c>
      <c r="AW116" s="7">
        <f t="shared" si="704"/>
        <v>287100</v>
      </c>
      <c r="AX116" s="7">
        <f t="shared" si="704"/>
        <v>283112.5</v>
      </c>
      <c r="AY116" s="7">
        <f t="shared" si="704"/>
        <v>279125</v>
      </c>
      <c r="AZ116" s="7">
        <f t="shared" si="704"/>
        <v>275137.5</v>
      </c>
      <c r="BA116" s="7">
        <f t="shared" si="704"/>
        <v>271150</v>
      </c>
      <c r="BB116" s="7">
        <f t="shared" si="704"/>
        <v>267162.5</v>
      </c>
      <c r="BC116" s="7">
        <f t="shared" si="704"/>
        <v>263175</v>
      </c>
      <c r="BD116" s="7">
        <f t="shared" si="704"/>
        <v>259187.5</v>
      </c>
      <c r="BE116" s="7">
        <f t="shared" si="704"/>
        <v>255200</v>
      </c>
      <c r="BF116" s="7">
        <f t="shared" si="704"/>
        <v>251212.5</v>
      </c>
      <c r="BG116" s="236">
        <f t="shared" si="407"/>
        <v>0</v>
      </c>
      <c r="BH116" s="7">
        <v>3987.5</v>
      </c>
      <c r="BI116" s="39">
        <f>BH116*12</f>
        <v>47850</v>
      </c>
      <c r="BJ116" s="7">
        <f t="shared" ref="BJ116:BJ143" si="705">BF116-BH116</f>
        <v>247225</v>
      </c>
      <c r="BK116" s="7">
        <f t="shared" ref="BK116:BK117" si="706">BJ116-$L116</f>
        <v>243237.5</v>
      </c>
      <c r="BL116" s="7">
        <f t="shared" ref="BL116:BL117" si="707">BK116-$L116</f>
        <v>239250</v>
      </c>
      <c r="BM116" s="7">
        <f t="shared" ref="BM116:BM117" si="708">BL116-$L116</f>
        <v>235262.5</v>
      </c>
      <c r="BN116" s="7">
        <f t="shared" ref="BN116:BN117" si="709">BM116-$L116</f>
        <v>231275</v>
      </c>
      <c r="BO116" s="7">
        <f t="shared" ref="BO116:BO117" si="710">BN116-$L116</f>
        <v>227287.5</v>
      </c>
      <c r="BP116" s="7">
        <f t="shared" ref="BP116:BP117" si="711">BO116-$L116</f>
        <v>223300</v>
      </c>
      <c r="BQ116" s="7">
        <f t="shared" ref="BQ116:BQ117" si="712">BP116-$L116</f>
        <v>219312.5</v>
      </c>
      <c r="BR116" s="7">
        <f t="shared" ref="BR116:BR117" si="713">BQ116-$L116</f>
        <v>215325</v>
      </c>
      <c r="BS116" s="7">
        <f t="shared" ref="BS116:BS117" si="714">BR116-$L116</f>
        <v>211337.5</v>
      </c>
      <c r="BT116" s="7">
        <f t="shared" ref="BT116:BT117" si="715">BS116-$L116</f>
        <v>207350</v>
      </c>
      <c r="BU116" s="7">
        <f t="shared" ref="BU116:BU117" si="716">BT116-$L116</f>
        <v>203362.5</v>
      </c>
      <c r="BV116" s="236">
        <v>0</v>
      </c>
      <c r="BW116" s="7">
        <v>3987.5</v>
      </c>
      <c r="BX116" s="39">
        <f>BW116*12</f>
        <v>47850</v>
      </c>
      <c r="BY116" s="7">
        <f>BU116-BW116</f>
        <v>199375</v>
      </c>
      <c r="BZ116" s="7">
        <f t="shared" ref="BZ116:BZ117" si="717">BY116-$L116</f>
        <v>195387.5</v>
      </c>
      <c r="CA116" s="7">
        <f t="shared" ref="CA116:CA117" si="718">BZ116-$L116</f>
        <v>191400</v>
      </c>
      <c r="CB116" s="7">
        <f t="shared" ref="CB116:CB117" si="719">CA116-$L116</f>
        <v>187412.5</v>
      </c>
      <c r="CC116" s="7">
        <f t="shared" ref="CC116:CC117" si="720">CB116-$L116</f>
        <v>183425</v>
      </c>
      <c r="CD116" s="7">
        <f t="shared" ref="CD116:CD117" si="721">CC116-$L116</f>
        <v>179437.5</v>
      </c>
      <c r="CE116" s="7">
        <f t="shared" ref="CE116:CE117" si="722">CD116-$L116</f>
        <v>175450</v>
      </c>
      <c r="CF116" s="7">
        <f t="shared" ref="CF116:CF117" si="723">CE116-$L116</f>
        <v>171462.5</v>
      </c>
      <c r="CG116" s="7">
        <f t="shared" ref="CG116:CG117" si="724">CF116-$L116</f>
        <v>167475</v>
      </c>
      <c r="CH116" s="7">
        <f t="shared" ref="CH116:CH117" si="725">CG116-$L116</f>
        <v>163487.5</v>
      </c>
      <c r="CI116" s="7">
        <f t="shared" ref="CI116:CI117" si="726">CH116-$L116</f>
        <v>159500</v>
      </c>
      <c r="CJ116" s="7">
        <f t="shared" ref="CJ116:CJ117" si="727">CI116-$L116</f>
        <v>155512.5</v>
      </c>
      <c r="CK116" s="236">
        <v>0</v>
      </c>
      <c r="CL116" s="7">
        <v>3987.5</v>
      </c>
      <c r="CM116" s="39">
        <f>CL116*12</f>
        <v>47850</v>
      </c>
      <c r="CN116" s="7">
        <f>CJ116-CL116</f>
        <v>151525</v>
      </c>
      <c r="CO116" s="7">
        <f t="shared" ref="CO116:CO117" si="728">CN116-$L116</f>
        <v>147537.5</v>
      </c>
      <c r="CP116" s="7">
        <f t="shared" ref="CP116:CP117" si="729">CO116-$L116</f>
        <v>143550</v>
      </c>
      <c r="CQ116" s="7">
        <f t="shared" ref="CQ116:CQ117" si="730">CP116-$L116</f>
        <v>139562.5</v>
      </c>
      <c r="CR116" s="7">
        <f t="shared" ref="CR116:CR117" si="731">CQ116-$L116</f>
        <v>135575</v>
      </c>
      <c r="CS116" s="7">
        <f t="shared" ref="CS116:CS117" si="732">CR116-$L116</f>
        <v>131587.5</v>
      </c>
      <c r="CT116" s="7">
        <f t="shared" ref="CT116:CT117" si="733">CS116-$L116</f>
        <v>127600</v>
      </c>
      <c r="CU116" s="7">
        <f t="shared" ref="CU116:CU117" si="734">CT116-$L116</f>
        <v>123612.5</v>
      </c>
      <c r="CV116" s="7">
        <f t="shared" ref="CV116:CV117" si="735">CU116-$L116</f>
        <v>119625</v>
      </c>
      <c r="CW116" s="7">
        <f t="shared" ref="CW116:CW117" si="736">CV116-$L116</f>
        <v>115637.5</v>
      </c>
      <c r="CX116" s="7">
        <f t="shared" ref="CX116:CX117" si="737">CW116-$L116</f>
        <v>111650</v>
      </c>
      <c r="CY116" s="7">
        <f t="shared" ref="CY116:CY117" si="738">CX116-$L116</f>
        <v>107662.5</v>
      </c>
      <c r="CZ116" s="236">
        <v>0</v>
      </c>
    </row>
    <row r="117" spans="1:104" ht="22.5" x14ac:dyDescent="0.2">
      <c r="A117" s="6" t="str">
        <f>'[1]2021 УГРЦТ'!A120</f>
        <v>Трансформаторная подстанция, адрес: Ненецкий АО, Заполярный р-н, Красное п, Мира ул</v>
      </c>
      <c r="B117" t="str">
        <f>'[1]2021 УГРЦТ'!B120</f>
        <v>000001721</v>
      </c>
      <c r="C117" t="str">
        <f>'[1]2021 УГРЦТ'!C120</f>
        <v>ПРОИЗВОДСТВО</v>
      </c>
      <c r="D117" t="str">
        <f>'[1]2021 УГРЦТ'!D120</f>
        <v>Здания</v>
      </c>
      <c r="E117" t="str">
        <f>'[1]2021 УГРЦТ'!E120</f>
        <v>03.05.2018</v>
      </c>
      <c r="F117" t="str">
        <f>'[1]2021 УГРЦТ'!F120</f>
        <v>ДЭС п.Красное</v>
      </c>
      <c r="G117">
        <f>'[1]2021 УГРЦТ'!AC120</f>
        <v>300</v>
      </c>
      <c r="H117" s="7">
        <f>'[1]2021 УГРЦТ'!X120</f>
        <v>6691539</v>
      </c>
      <c r="I117" s="7">
        <f>'[1]2021 УГРЦТ'!Y120</f>
        <v>959120.59000000008</v>
      </c>
      <c r="J117" s="7">
        <f>'[1]2021 УГРЦТ'!Z120</f>
        <v>5732418.4100000001</v>
      </c>
      <c r="K117" s="8">
        <v>1</v>
      </c>
      <c r="L117" s="7">
        <v>22305.13</v>
      </c>
      <c r="M117" s="7"/>
      <c r="N117" s="7">
        <f t="shared" si="406"/>
        <v>267661.56</v>
      </c>
      <c r="O117" s="7">
        <f t="shared" si="408"/>
        <v>5710113.2800000003</v>
      </c>
      <c r="P117" s="7">
        <f t="shared" si="670"/>
        <v>5687808.1500000004</v>
      </c>
      <c r="Q117" s="7">
        <f t="shared" si="670"/>
        <v>5665503.0200000005</v>
      </c>
      <c r="R117" s="7">
        <f t="shared" si="670"/>
        <v>5643197.8900000006</v>
      </c>
      <c r="S117" s="7">
        <f t="shared" si="670"/>
        <v>5620892.7600000007</v>
      </c>
      <c r="T117" s="7">
        <f t="shared" si="670"/>
        <v>5598587.6300000008</v>
      </c>
      <c r="U117" s="7">
        <f t="shared" si="670"/>
        <v>5576282.5000000009</v>
      </c>
      <c r="V117" s="7">
        <f t="shared" si="670"/>
        <v>5553977.370000001</v>
      </c>
      <c r="W117" s="7">
        <f t="shared" si="670"/>
        <v>5531672.2400000012</v>
      </c>
      <c r="X117" s="7">
        <f t="shared" si="670"/>
        <v>5509367.1100000013</v>
      </c>
      <c r="Y117" s="7">
        <f t="shared" si="670"/>
        <v>5487061.9800000014</v>
      </c>
      <c r="Z117" s="7">
        <f t="shared" si="670"/>
        <v>5464756.8500000015</v>
      </c>
      <c r="AA117" s="7">
        <f t="shared" ref="AA117:AA121" si="739">SUM(O117:Z117,J117)/13*$AA$1</f>
        <v>123168.92786000001</v>
      </c>
      <c r="AB117" s="7"/>
      <c r="AC117" s="7">
        <f t="shared" si="410"/>
        <v>267661.56</v>
      </c>
      <c r="AD117" s="7">
        <f t="shared" si="411"/>
        <v>5442451.7200000016</v>
      </c>
      <c r="AE117" s="7">
        <f t="shared" si="671"/>
        <v>5420146.5900000017</v>
      </c>
      <c r="AF117" s="7">
        <f t="shared" si="671"/>
        <v>5397841.4600000018</v>
      </c>
      <c r="AG117" s="7">
        <f t="shared" si="671"/>
        <v>5375536.3300000019</v>
      </c>
      <c r="AH117" s="7">
        <f t="shared" si="671"/>
        <v>5353231.200000002</v>
      </c>
      <c r="AI117" s="7">
        <f t="shared" si="671"/>
        <v>5330926.0700000022</v>
      </c>
      <c r="AJ117" s="7">
        <f t="shared" si="671"/>
        <v>5308620.9400000023</v>
      </c>
      <c r="AK117" s="7">
        <f t="shared" si="671"/>
        <v>5286315.8100000024</v>
      </c>
      <c r="AL117" s="7">
        <f t="shared" si="671"/>
        <v>5264010.6800000025</v>
      </c>
      <c r="AM117" s="7">
        <f t="shared" si="671"/>
        <v>5241705.5500000026</v>
      </c>
      <c r="AN117" s="7">
        <f t="shared" si="671"/>
        <v>5219400.4200000027</v>
      </c>
      <c r="AO117" s="7">
        <f t="shared" si="671"/>
        <v>5197095.2900000028</v>
      </c>
      <c r="AP117" s="222">
        <f>IF(K117&lt;1,0,SUM(AD117:AO117,Z117)/13*$BG$1)</f>
        <v>117280.37354000004</v>
      </c>
      <c r="AQ117" s="7">
        <v>22305.13</v>
      </c>
      <c r="AR117" s="7">
        <f t="shared" si="412"/>
        <v>22305.129999999888</v>
      </c>
      <c r="AS117" s="7">
        <f t="shared" si="413"/>
        <v>-1.127773430198431E-10</v>
      </c>
      <c r="AT117" s="7">
        <f t="shared" si="703"/>
        <v>267661.56</v>
      </c>
      <c r="AU117" s="7">
        <f>AO117-$L117</f>
        <v>5174790.1600000029</v>
      </c>
      <c r="AV117" s="7">
        <f t="shared" si="704"/>
        <v>5152485.0300000031</v>
      </c>
      <c r="AW117" s="7">
        <f t="shared" si="704"/>
        <v>5130179.9000000032</v>
      </c>
      <c r="AX117" s="7">
        <f t="shared" si="704"/>
        <v>5107874.7700000033</v>
      </c>
      <c r="AY117" s="7">
        <f t="shared" si="704"/>
        <v>5085569.6400000034</v>
      </c>
      <c r="AZ117" s="7">
        <f t="shared" si="704"/>
        <v>5063264.5100000035</v>
      </c>
      <c r="BA117" s="7">
        <f t="shared" si="704"/>
        <v>5040959.3800000036</v>
      </c>
      <c r="BB117" s="7">
        <f t="shared" si="704"/>
        <v>5018654.2500000037</v>
      </c>
      <c r="BC117" s="7">
        <f t="shared" si="704"/>
        <v>4996349.1200000038</v>
      </c>
      <c r="BD117" s="7">
        <f t="shared" si="704"/>
        <v>4974043.9900000039</v>
      </c>
      <c r="BE117" s="7">
        <f t="shared" si="704"/>
        <v>4951738.8600000041</v>
      </c>
      <c r="BF117" s="7">
        <f t="shared" si="704"/>
        <v>4929433.7300000042</v>
      </c>
      <c r="BG117" s="236">
        <f t="shared" si="407"/>
        <v>111391.81922000009</v>
      </c>
      <c r="BH117" s="7">
        <v>22305.13</v>
      </c>
      <c r="BI117" s="39">
        <f>BH117*12</f>
        <v>267661.56</v>
      </c>
      <c r="BJ117" s="7">
        <f t="shared" si="705"/>
        <v>4907128.6000000043</v>
      </c>
      <c r="BK117" s="7">
        <f t="shared" si="706"/>
        <v>4884823.4700000044</v>
      </c>
      <c r="BL117" s="7">
        <f t="shared" si="707"/>
        <v>4862518.3400000045</v>
      </c>
      <c r="BM117" s="7">
        <f t="shared" si="708"/>
        <v>4840213.2100000046</v>
      </c>
      <c r="BN117" s="7">
        <f t="shared" si="709"/>
        <v>4817908.0800000047</v>
      </c>
      <c r="BO117" s="7">
        <f t="shared" si="710"/>
        <v>4795602.9500000048</v>
      </c>
      <c r="BP117" s="7">
        <f t="shared" si="711"/>
        <v>4773297.820000005</v>
      </c>
      <c r="BQ117" s="7">
        <f t="shared" si="712"/>
        <v>4750992.6900000051</v>
      </c>
      <c r="BR117" s="7">
        <f t="shared" si="713"/>
        <v>4728687.5600000052</v>
      </c>
      <c r="BS117" s="7">
        <f t="shared" si="714"/>
        <v>4706382.4300000053</v>
      </c>
      <c r="BT117" s="7">
        <f t="shared" si="715"/>
        <v>4684077.3000000054</v>
      </c>
      <c r="BU117" s="7">
        <f t="shared" si="716"/>
        <v>4661772.1700000055</v>
      </c>
      <c r="BV117" s="236">
        <f>IF(Z117&lt;1,0,SUM(BJ117:BU117,BF117)/13*$BG$1)</f>
        <v>105503.2649000001</v>
      </c>
      <c r="BW117" s="7">
        <v>22305.13</v>
      </c>
      <c r="BX117" s="39">
        <f>BW117*12</f>
        <v>267661.56</v>
      </c>
      <c r="BY117" s="7">
        <f>BU117-BW117</f>
        <v>4639467.0400000056</v>
      </c>
      <c r="BZ117" s="7">
        <f t="shared" si="717"/>
        <v>4617161.9100000057</v>
      </c>
      <c r="CA117" s="7">
        <f t="shared" si="718"/>
        <v>4594856.7800000058</v>
      </c>
      <c r="CB117" s="7">
        <f t="shared" si="719"/>
        <v>4572551.650000006</v>
      </c>
      <c r="CC117" s="7">
        <f t="shared" si="720"/>
        <v>4550246.5200000061</v>
      </c>
      <c r="CD117" s="7">
        <f t="shared" si="721"/>
        <v>4527941.3900000062</v>
      </c>
      <c r="CE117" s="7">
        <f t="shared" si="722"/>
        <v>4505636.2600000063</v>
      </c>
      <c r="CF117" s="7">
        <f t="shared" si="723"/>
        <v>4483331.1300000064</v>
      </c>
      <c r="CG117" s="7">
        <f t="shared" si="724"/>
        <v>4461026.0000000065</v>
      </c>
      <c r="CH117" s="7">
        <f t="shared" si="725"/>
        <v>4438720.8700000066</v>
      </c>
      <c r="CI117" s="7">
        <f t="shared" si="726"/>
        <v>4416415.7400000067</v>
      </c>
      <c r="CJ117" s="7">
        <f t="shared" si="727"/>
        <v>4394110.6100000069</v>
      </c>
      <c r="CK117" s="236">
        <f>IF(AO117&lt;1,0,SUM(BY117:CJ117,BU117)/13*$BG$1)</f>
        <v>99614.71058000013</v>
      </c>
      <c r="CL117" s="7">
        <v>22305.13</v>
      </c>
      <c r="CM117" s="39">
        <f>CL117*12</f>
        <v>267661.56</v>
      </c>
      <c r="CN117" s="7">
        <f>CJ117-CL117</f>
        <v>4371805.480000007</v>
      </c>
      <c r="CO117" s="7">
        <f t="shared" si="728"/>
        <v>4349500.3500000071</v>
      </c>
      <c r="CP117" s="7">
        <f t="shared" si="729"/>
        <v>4327195.2200000072</v>
      </c>
      <c r="CQ117" s="7">
        <f t="shared" si="730"/>
        <v>4304890.0900000073</v>
      </c>
      <c r="CR117" s="7">
        <f t="shared" si="731"/>
        <v>4282584.9600000074</v>
      </c>
      <c r="CS117" s="7">
        <f t="shared" si="732"/>
        <v>4260279.8300000075</v>
      </c>
      <c r="CT117" s="7">
        <f t="shared" si="733"/>
        <v>4237974.7000000076</v>
      </c>
      <c r="CU117" s="7">
        <f t="shared" si="734"/>
        <v>4215669.5700000077</v>
      </c>
      <c r="CV117" s="7">
        <f t="shared" si="735"/>
        <v>4193364.4400000079</v>
      </c>
      <c r="CW117" s="7">
        <f t="shared" si="736"/>
        <v>4171059.310000008</v>
      </c>
      <c r="CX117" s="7">
        <f t="shared" si="737"/>
        <v>4148754.1800000081</v>
      </c>
      <c r="CY117" s="7">
        <f t="shared" si="738"/>
        <v>4126449.0500000082</v>
      </c>
      <c r="CZ117" s="236">
        <f>IF(BF117&lt;1,0,SUM(CN117:CY117,CJ117)/13*$BG$1)</f>
        <v>93726.156260000163</v>
      </c>
    </row>
    <row r="118" spans="1:104" s="26" customFormat="1" ht="22.5" x14ac:dyDescent="0.2">
      <c r="A118" s="104" t="str">
        <f>'[1]2021 УГРЦТ'!A121</f>
        <v>Третья очередь реконструкции Нарьян-Марской электростанции с разработкой ПСД в г. Нарьян-Маре</v>
      </c>
      <c r="B118" s="26" t="str">
        <f>'[1]2021 УГРЦТ'!B121</f>
        <v>000001520</v>
      </c>
      <c r="C118" s="26" t="str">
        <f>'[1]2021 УГРЦТ'!C121</f>
        <v>ПРОИЗВОДСТВО</v>
      </c>
      <c r="D118" s="26" t="str">
        <f>'[1]2021 УГРЦТ'!D121</f>
        <v>Сооружения</v>
      </c>
      <c r="E118" s="26" t="str">
        <f>'[1]2021 УГРЦТ'!E121</f>
        <v>13.03.2013</v>
      </c>
      <c r="F118" s="26" t="str">
        <f>'[1]2021 УГРЦТ'!F121</f>
        <v>Электрический цех</v>
      </c>
      <c r="G118" s="26">
        <f>'[1]2021 УГРЦТ'!AC121</f>
        <v>180</v>
      </c>
      <c r="H118" s="39">
        <v>184257838.78</v>
      </c>
      <c r="I118" s="39">
        <f>'[1]2021 УГРЦТ'!Y121</f>
        <v>106954325.58</v>
      </c>
      <c r="J118" s="39">
        <f>'[1]2021 УГРЦТ'!Z121</f>
        <v>76782520.760000005</v>
      </c>
      <c r="K118" s="40">
        <v>1</v>
      </c>
      <c r="L118" s="39">
        <v>1023766.9399999996</v>
      </c>
      <c r="M118" s="39">
        <f>Лист1!V4</f>
        <v>1028965.733056834</v>
      </c>
      <c r="N118" s="39">
        <f t="shared" si="406"/>
        <v>12285203.279999996</v>
      </c>
      <c r="O118" s="39">
        <f t="shared" si="408"/>
        <v>75758753.820000008</v>
      </c>
      <c r="P118" s="39">
        <f t="shared" si="670"/>
        <v>74734986.88000001</v>
      </c>
      <c r="Q118" s="39">
        <f t="shared" si="670"/>
        <v>73711219.940000013</v>
      </c>
      <c r="R118" s="39">
        <f t="shared" si="670"/>
        <v>72687453.000000015</v>
      </c>
      <c r="S118" s="39">
        <f t="shared" si="670"/>
        <v>71663686.060000017</v>
      </c>
      <c r="T118" s="39">
        <f t="shared" si="670"/>
        <v>70639919.12000002</v>
      </c>
      <c r="U118" s="39">
        <f t="shared" si="670"/>
        <v>69616152.180000022</v>
      </c>
      <c r="V118" s="39">
        <f>U118-$M$118</f>
        <v>68587186.446943194</v>
      </c>
      <c r="W118" s="39">
        <f t="shared" ref="W118:Z118" si="740">V118-$M$118</f>
        <v>67558220.713886365</v>
      </c>
      <c r="X118" s="39">
        <f t="shared" si="740"/>
        <v>66529254.980829529</v>
      </c>
      <c r="Y118" s="39">
        <f t="shared" si="740"/>
        <v>65500289.247772694</v>
      </c>
      <c r="Z118" s="39">
        <f t="shared" si="740"/>
        <v>64471323.514715858</v>
      </c>
      <c r="AA118" s="39">
        <f t="shared" si="739"/>
        <v>1553946.2512777885</v>
      </c>
      <c r="AB118" s="39"/>
      <c r="AC118" s="39">
        <f>M118*12</f>
        <v>12347588.796682008</v>
      </c>
      <c r="AD118" s="39">
        <f>Z118-$M118</f>
        <v>63442357.781659022</v>
      </c>
      <c r="AE118" s="39">
        <f>AD118-$M118</f>
        <v>62413392.048602186</v>
      </c>
      <c r="AF118" s="39">
        <f t="shared" ref="AF118:AN118" si="741">AE118-$M118</f>
        <v>61384426.31554535</v>
      </c>
      <c r="AG118" s="39">
        <f t="shared" si="741"/>
        <v>60355460.582488514</v>
      </c>
      <c r="AH118" s="39">
        <f t="shared" si="741"/>
        <v>59326494.849431679</v>
      </c>
      <c r="AI118" s="39">
        <f t="shared" si="741"/>
        <v>58297529.116374843</v>
      </c>
      <c r="AJ118" s="39">
        <f t="shared" si="741"/>
        <v>57268563.383318007</v>
      </c>
      <c r="AK118" s="39">
        <f t="shared" si="741"/>
        <v>56239597.650261171</v>
      </c>
      <c r="AL118" s="39">
        <f t="shared" si="741"/>
        <v>55210631.917204335</v>
      </c>
      <c r="AM118" s="39">
        <f t="shared" si="741"/>
        <v>54181666.1841475</v>
      </c>
      <c r="AN118" s="39">
        <f t="shared" si="741"/>
        <v>53152700.451090664</v>
      </c>
      <c r="AO118" s="39">
        <f>AN118-$M118</f>
        <v>52123734.718033828</v>
      </c>
      <c r="AP118" s="222">
        <f>IF(K118&lt;1,0,SUM(AD118:AO118,Z118)/13*$BG$1)</f>
        <v>1282545.6405602465</v>
      </c>
      <c r="AQ118" s="39">
        <v>1028965.733056834</v>
      </c>
      <c r="AR118" s="7">
        <f t="shared" si="412"/>
        <v>1028965.7330568358</v>
      </c>
      <c r="AS118" s="7">
        <f t="shared" si="413"/>
        <v>1.862645149230957E-9</v>
      </c>
      <c r="AT118" s="39">
        <f>AQ118*12</f>
        <v>12347588.796682008</v>
      </c>
      <c r="AU118" s="39">
        <f>AO118-$M118</f>
        <v>51094768.984976992</v>
      </c>
      <c r="AV118" s="39">
        <f>AU118-$M118</f>
        <v>50065803.251920156</v>
      </c>
      <c r="AW118" s="39">
        <f t="shared" ref="AW118:BF118" si="742">AV118-$M118</f>
        <v>49036837.51886332</v>
      </c>
      <c r="AX118" s="39">
        <f t="shared" si="742"/>
        <v>48007871.785806485</v>
      </c>
      <c r="AY118" s="39">
        <f t="shared" si="742"/>
        <v>46978906.052749649</v>
      </c>
      <c r="AZ118" s="39">
        <f t="shared" si="742"/>
        <v>45949940.319692813</v>
      </c>
      <c r="BA118" s="39">
        <f t="shared" si="742"/>
        <v>44920974.586635977</v>
      </c>
      <c r="BB118" s="39">
        <f t="shared" si="742"/>
        <v>43892008.853579141</v>
      </c>
      <c r="BC118" s="39">
        <f t="shared" si="742"/>
        <v>42863043.120522305</v>
      </c>
      <c r="BD118" s="39">
        <f t="shared" si="742"/>
        <v>41834077.38746547</v>
      </c>
      <c r="BE118" s="39">
        <f t="shared" si="742"/>
        <v>40805111.654408634</v>
      </c>
      <c r="BF118" s="39">
        <f t="shared" si="742"/>
        <v>39776145.921351798</v>
      </c>
      <c r="BG118" s="236">
        <f t="shared" si="407"/>
        <v>1010898.6870332418</v>
      </c>
      <c r="BH118" s="39">
        <v>1028965.733056834</v>
      </c>
      <c r="BI118" s="39">
        <f>BH118*12</f>
        <v>12347588.796682008</v>
      </c>
      <c r="BJ118" s="7">
        <f t="shared" si="705"/>
        <v>38747180.188294962</v>
      </c>
      <c r="BK118" s="39">
        <f>BJ118-$M118</f>
        <v>37718214.455238126</v>
      </c>
      <c r="BL118" s="39">
        <f t="shared" ref="BL118" si="743">BK118-$M118</f>
        <v>36689248.72218129</v>
      </c>
      <c r="BM118" s="39">
        <f t="shared" ref="BM118" si="744">BL118-$M118</f>
        <v>35660282.989124455</v>
      </c>
      <c r="BN118" s="39">
        <f t="shared" ref="BN118" si="745">BM118-$M118</f>
        <v>34631317.256067619</v>
      </c>
      <c r="BO118" s="39">
        <f t="shared" ref="BO118" si="746">BN118-$M118</f>
        <v>33602351.523010783</v>
      </c>
      <c r="BP118" s="39">
        <f t="shared" ref="BP118" si="747">BO118-$M118</f>
        <v>32573385.789953947</v>
      </c>
      <c r="BQ118" s="39">
        <f t="shared" ref="BQ118" si="748">BP118-$M118</f>
        <v>31544420.056897111</v>
      </c>
      <c r="BR118" s="39">
        <f t="shared" ref="BR118" si="749">BQ118-$M118</f>
        <v>30515454.323840275</v>
      </c>
      <c r="BS118" s="39">
        <f t="shared" ref="BS118" si="750">BR118-$M118</f>
        <v>29486488.59078344</v>
      </c>
      <c r="BT118" s="39">
        <f t="shared" ref="BT118" si="751">BS118-$M118</f>
        <v>28457522.857726604</v>
      </c>
      <c r="BU118" s="39">
        <f t="shared" ref="BU118" si="752">BT118-$M118</f>
        <v>27428557.124669768</v>
      </c>
      <c r="BV118" s="236">
        <f>IF(Z118&lt;1,0,SUM(BJ118:BU118,BF118)/13*$BG$1)</f>
        <v>739251.73350623704</v>
      </c>
      <c r="BW118" s="39">
        <v>1028965.733056834</v>
      </c>
      <c r="BX118" s="39">
        <f>BW118*12</f>
        <v>12347588.796682008</v>
      </c>
      <c r="BY118" s="7">
        <f>BU118-BW118</f>
        <v>26399591.391612932</v>
      </c>
      <c r="BZ118" s="39">
        <f>BY118-$M118</f>
        <v>25370625.658556096</v>
      </c>
      <c r="CA118" s="39">
        <f t="shared" ref="CA118" si="753">BZ118-$M118</f>
        <v>24341659.92549926</v>
      </c>
      <c r="CB118" s="39">
        <f t="shared" ref="CB118" si="754">CA118-$M118</f>
        <v>23312694.192442425</v>
      </c>
      <c r="CC118" s="39">
        <f t="shared" ref="CC118" si="755">CB118-$M118</f>
        <v>22283728.459385589</v>
      </c>
      <c r="CD118" s="39">
        <f t="shared" ref="CD118" si="756">CC118-$M118</f>
        <v>21254762.726328753</v>
      </c>
      <c r="CE118" s="39">
        <f t="shared" ref="CE118" si="757">CD118-$M118</f>
        <v>20225796.993271917</v>
      </c>
      <c r="CF118" s="39">
        <f t="shared" ref="CF118" si="758">CE118-$M118</f>
        <v>19196831.260215081</v>
      </c>
      <c r="CG118" s="39">
        <f t="shared" ref="CG118" si="759">CF118-$M118</f>
        <v>18167865.527158245</v>
      </c>
      <c r="CH118" s="39">
        <f t="shared" ref="CH118" si="760">CG118-$M118</f>
        <v>17138899.79410141</v>
      </c>
      <c r="CI118" s="39">
        <f t="shared" ref="CI118" si="761">CH118-$M118</f>
        <v>16109934.061044576</v>
      </c>
      <c r="CJ118" s="39">
        <f t="shared" ref="CJ118" si="762">CI118-$M118</f>
        <v>15080968.327987742</v>
      </c>
      <c r="CK118" s="236">
        <f>IF(AO118&lt;1,0,SUM(BY118:CJ118,BU118)/13*$BG$1)</f>
        <v>467604.77997923252</v>
      </c>
      <c r="CL118" s="39">
        <v>1028965.733056834</v>
      </c>
      <c r="CM118" s="39">
        <f>CL118*12</f>
        <v>12347588.796682008</v>
      </c>
      <c r="CN118" s="7">
        <f>CJ118-CL118</f>
        <v>14052002.594930908</v>
      </c>
      <c r="CO118" s="39">
        <f>CN118-$M118</f>
        <v>13023036.861874074</v>
      </c>
      <c r="CP118" s="39">
        <f t="shared" ref="CP118" si="763">CO118-$M118</f>
        <v>11994071.12881724</v>
      </c>
      <c r="CQ118" s="39">
        <f t="shared" ref="CQ118" si="764">CP118-$M118</f>
        <v>10965105.395760406</v>
      </c>
      <c r="CR118" s="39">
        <f t="shared" ref="CR118" si="765">CQ118-$M118</f>
        <v>9936139.6627035718</v>
      </c>
      <c r="CS118" s="39">
        <f t="shared" ref="CS118" si="766">CR118-$M118</f>
        <v>8907173.9296467379</v>
      </c>
      <c r="CT118" s="39">
        <f t="shared" ref="CT118" si="767">CS118-$M118</f>
        <v>7878208.1965899039</v>
      </c>
      <c r="CU118" s="39">
        <f t="shared" ref="CU118" si="768">CT118-$M118</f>
        <v>6849242.4635330699</v>
      </c>
      <c r="CV118" s="39">
        <f t="shared" ref="CV118" si="769">CU118-$M118</f>
        <v>5820276.730476236</v>
      </c>
      <c r="CW118" s="39">
        <f t="shared" ref="CW118" si="770">CV118-$M118</f>
        <v>4791310.997419402</v>
      </c>
      <c r="CX118" s="39">
        <f t="shared" ref="CX118" si="771">CW118-$M118</f>
        <v>3762345.264362568</v>
      </c>
      <c r="CY118" s="39">
        <f t="shared" ref="CY118" si="772">CX118-$M118</f>
        <v>2733379.5313057341</v>
      </c>
      <c r="CZ118" s="236">
        <f>IF(BF118&lt;1,0,SUM(CN118:CY118,CJ118)/13*$BG$1)</f>
        <v>195957.82645222821</v>
      </c>
    </row>
    <row r="119" spans="1:104" x14ac:dyDescent="0.2">
      <c r="A119" s="6" t="str">
        <f>'[1]2021 УГРЦТ'!A122</f>
        <v>Устройство ограждения 2007г 120м</v>
      </c>
      <c r="B119" t="str">
        <f>'[1]2021 УГРЦТ'!B122</f>
        <v>00001038</v>
      </c>
      <c r="C119" t="str">
        <f>'[1]2021 УГРЦТ'!C122</f>
        <v>ПРОИЗВОДСТВО</v>
      </c>
      <c r="D119" t="str">
        <f>'[1]2021 УГРЦТ'!D122</f>
        <v>Сооружения</v>
      </c>
      <c r="E119" t="str">
        <f>'[1]2021 УГРЦТ'!E122</f>
        <v>31.07.2007</v>
      </c>
      <c r="F119" t="str">
        <f>'[1]2021 УГРЦТ'!F122</f>
        <v>Тепломеханический цех</v>
      </c>
      <c r="G119">
        <f>'[1]2021 УГРЦТ'!AC122</f>
        <v>300</v>
      </c>
      <c r="H119" s="7">
        <f>'[1]2021 УГРЦТ'!X122</f>
        <v>655887.52</v>
      </c>
      <c r="I119" s="7">
        <f>'[1]2021 УГРЦТ'!Y122</f>
        <v>378228.19079999998</v>
      </c>
      <c r="J119" s="7">
        <f>'[1]2021 УГРЦТ'!Z122</f>
        <v>277659.32920000004</v>
      </c>
      <c r="K119" s="8">
        <v>1</v>
      </c>
      <c r="L119" s="7">
        <v>2186.2900000000004</v>
      </c>
      <c r="M119" s="7"/>
      <c r="N119" s="7">
        <f t="shared" si="406"/>
        <v>26235.480000000003</v>
      </c>
      <c r="O119" s="7">
        <f t="shared" si="408"/>
        <v>275473.03920000006</v>
      </c>
      <c r="P119" s="7">
        <f t="shared" si="670"/>
        <v>273286.74920000008</v>
      </c>
      <c r="Q119" s="7">
        <f t="shared" si="670"/>
        <v>271100.4592000001</v>
      </c>
      <c r="R119" s="7">
        <f t="shared" si="670"/>
        <v>268914.16920000012</v>
      </c>
      <c r="S119" s="7">
        <f t="shared" si="670"/>
        <v>266727.87920000014</v>
      </c>
      <c r="T119" s="7">
        <f t="shared" si="670"/>
        <v>264541.58920000016</v>
      </c>
      <c r="U119" s="7">
        <f t="shared" si="670"/>
        <v>262355.29920000018</v>
      </c>
      <c r="V119" s="7">
        <f t="shared" si="670"/>
        <v>260169.00920000018</v>
      </c>
      <c r="W119" s="7">
        <f t="shared" si="670"/>
        <v>257982.71920000017</v>
      </c>
      <c r="X119" s="7">
        <f t="shared" si="670"/>
        <v>255796.42920000016</v>
      </c>
      <c r="Y119" s="7">
        <f t="shared" si="670"/>
        <v>253610.13920000015</v>
      </c>
      <c r="Z119" s="7">
        <f t="shared" si="670"/>
        <v>251423.84920000014</v>
      </c>
      <c r="AA119" s="7">
        <f t="shared" si="739"/>
        <v>5819.9149624000029</v>
      </c>
      <c r="AB119" s="7"/>
      <c r="AC119" s="7">
        <f t="shared" si="410"/>
        <v>26235.480000000003</v>
      </c>
      <c r="AD119" s="7">
        <f t="shared" si="411"/>
        <v>249237.55920000013</v>
      </c>
      <c r="AE119" s="7">
        <f t="shared" si="671"/>
        <v>247051.26920000013</v>
      </c>
      <c r="AF119" s="7">
        <f t="shared" si="671"/>
        <v>244864.97920000012</v>
      </c>
      <c r="AG119" s="7">
        <f t="shared" si="671"/>
        <v>242678.68920000011</v>
      </c>
      <c r="AH119" s="7">
        <f t="shared" si="671"/>
        <v>240492.3992000001</v>
      </c>
      <c r="AI119" s="7">
        <f t="shared" si="671"/>
        <v>238306.10920000009</v>
      </c>
      <c r="AJ119" s="7">
        <f t="shared" si="671"/>
        <v>236119.81920000009</v>
      </c>
      <c r="AK119" s="7">
        <f t="shared" si="671"/>
        <v>233933.52920000008</v>
      </c>
      <c r="AL119" s="7">
        <f t="shared" si="671"/>
        <v>231747.23920000007</v>
      </c>
      <c r="AM119" s="7">
        <f t="shared" si="671"/>
        <v>229560.94920000006</v>
      </c>
      <c r="AN119" s="7">
        <f t="shared" si="671"/>
        <v>227374.65920000005</v>
      </c>
      <c r="AO119" s="7">
        <f t="shared" si="671"/>
        <v>225188.36920000004</v>
      </c>
      <c r="AP119" s="222">
        <f>IF(K119&lt;1,0,SUM(AD119:AO119,Z119)/13*$BG$1)</f>
        <v>5242.7344024000022</v>
      </c>
      <c r="AQ119" s="7">
        <v>2186.2900000000004</v>
      </c>
      <c r="AR119" s="7">
        <f t="shared" si="412"/>
        <v>2186.2900000000081</v>
      </c>
      <c r="AS119" s="7">
        <f t="shared" si="413"/>
        <v>7.73070496506989E-12</v>
      </c>
      <c r="AT119" s="7">
        <f t="shared" si="703"/>
        <v>26235.480000000003</v>
      </c>
      <c r="AU119" s="7">
        <f t="shared" ref="AU119:AU143" si="773">AO119-$L119</f>
        <v>223002.07920000004</v>
      </c>
      <c r="AV119" s="7">
        <f t="shared" si="704"/>
        <v>220815.78920000003</v>
      </c>
      <c r="AW119" s="7">
        <f t="shared" si="704"/>
        <v>218629.49920000002</v>
      </c>
      <c r="AX119" s="7">
        <f t="shared" si="704"/>
        <v>216443.20920000001</v>
      </c>
      <c r="AY119" s="7">
        <f t="shared" si="704"/>
        <v>214256.9192</v>
      </c>
      <c r="AZ119" s="7">
        <f t="shared" si="704"/>
        <v>212070.6292</v>
      </c>
      <c r="BA119" s="7">
        <f t="shared" si="704"/>
        <v>209884.33919999999</v>
      </c>
      <c r="BB119" s="7">
        <f t="shared" si="704"/>
        <v>207698.04919999998</v>
      </c>
      <c r="BC119" s="7">
        <f t="shared" si="704"/>
        <v>205511.75919999997</v>
      </c>
      <c r="BD119" s="7">
        <f t="shared" si="704"/>
        <v>203325.46919999996</v>
      </c>
      <c r="BE119" s="7">
        <f t="shared" si="704"/>
        <v>201139.17919999996</v>
      </c>
      <c r="BF119" s="7">
        <f t="shared" si="704"/>
        <v>198952.88919999995</v>
      </c>
      <c r="BG119" s="236">
        <f t="shared" si="407"/>
        <v>4665.5538424000006</v>
      </c>
      <c r="BH119" s="7">
        <v>2186.2900000000004</v>
      </c>
      <c r="BI119" s="39">
        <f>BH119*12</f>
        <v>26235.480000000003</v>
      </c>
      <c r="BJ119" s="7">
        <f t="shared" si="705"/>
        <v>196766.59919999994</v>
      </c>
      <c r="BK119" s="7">
        <f t="shared" ref="BK119:BK143" si="774">BJ119-$L119</f>
        <v>194580.30919999993</v>
      </c>
      <c r="BL119" s="7">
        <f t="shared" ref="BL119:BL122" si="775">BK119-$L119</f>
        <v>192394.01919999992</v>
      </c>
      <c r="BM119" s="7">
        <f t="shared" ref="BM119:BM122" si="776">BL119-$L119</f>
        <v>190207.72919999991</v>
      </c>
      <c r="BN119" s="7">
        <f t="shared" ref="BN119:BN122" si="777">BM119-$L119</f>
        <v>188021.43919999991</v>
      </c>
      <c r="BO119" s="7">
        <f t="shared" ref="BO119:BO122" si="778">BN119-$L119</f>
        <v>185835.1491999999</v>
      </c>
      <c r="BP119" s="7">
        <f t="shared" ref="BP119:BP122" si="779">BO119-$L119</f>
        <v>183648.85919999989</v>
      </c>
      <c r="BQ119" s="7">
        <f t="shared" ref="BQ119:BQ122" si="780">BP119-$L119</f>
        <v>181462.56919999988</v>
      </c>
      <c r="BR119" s="7">
        <f t="shared" ref="BR119:BR122" si="781">BQ119-$L119</f>
        <v>179276.27919999987</v>
      </c>
      <c r="BS119" s="7">
        <f t="shared" ref="BS119:BS122" si="782">BR119-$L119</f>
        <v>177089.98919999987</v>
      </c>
      <c r="BT119" s="7">
        <f t="shared" ref="BT119:BT122" si="783">BS119-$L119</f>
        <v>174903.69919999986</v>
      </c>
      <c r="BU119" s="7">
        <f t="shared" ref="BU119:BU122" si="784">BT119-$L119</f>
        <v>172717.40919999985</v>
      </c>
      <c r="BV119" s="236">
        <f>IF(Z119&lt;1,0,SUM(BJ119:BU119,BF119)/13*$BG$1)</f>
        <v>4088.3732823999976</v>
      </c>
      <c r="BW119" s="7">
        <v>2186.2900000000004</v>
      </c>
      <c r="BX119" s="39">
        <f>BW119*12</f>
        <v>26235.480000000003</v>
      </c>
      <c r="BY119" s="7">
        <f>BU119-BW119</f>
        <v>170531.11919999984</v>
      </c>
      <c r="BZ119" s="7">
        <f t="shared" ref="BZ119:BZ122" si="785">BY119-$L119</f>
        <v>168344.82919999983</v>
      </c>
      <c r="CA119" s="7">
        <f t="shared" ref="CA119:CA122" si="786">BZ119-$L119</f>
        <v>166158.53919999982</v>
      </c>
      <c r="CB119" s="7">
        <f t="shared" ref="CB119:CB122" si="787">CA119-$L119</f>
        <v>163972.24919999982</v>
      </c>
      <c r="CC119" s="7">
        <f t="shared" ref="CC119:CC122" si="788">CB119-$L119</f>
        <v>161785.95919999981</v>
      </c>
      <c r="CD119" s="7">
        <f t="shared" ref="CD119:CD122" si="789">CC119-$L119</f>
        <v>159599.6691999998</v>
      </c>
      <c r="CE119" s="7">
        <f t="shared" ref="CE119:CE122" si="790">CD119-$L119</f>
        <v>157413.37919999979</v>
      </c>
      <c r="CF119" s="7">
        <f t="shared" ref="CF119:CF120" si="791">CE119-$L119</f>
        <v>155227.08919999978</v>
      </c>
      <c r="CG119" s="7">
        <f t="shared" ref="CG119:CG120" si="792">CF119-$L119</f>
        <v>153040.79919999978</v>
      </c>
      <c r="CH119" s="7">
        <f t="shared" ref="CH119:CH120" si="793">CG119-$L119</f>
        <v>150854.50919999977</v>
      </c>
      <c r="CI119" s="7">
        <f t="shared" ref="CI119:CI120" si="794">CH119-$L119</f>
        <v>148668.21919999976</v>
      </c>
      <c r="CJ119" s="7">
        <f t="shared" ref="CJ119:CJ120" si="795">CI119-$L119</f>
        <v>146481.92919999975</v>
      </c>
      <c r="CK119" s="236">
        <f>IF(AO119&lt;1,0,SUM(BY119:CJ119,BU119)/13*$BG$1)</f>
        <v>3511.1927223999946</v>
      </c>
      <c r="CL119" s="7">
        <v>2186.2900000000004</v>
      </c>
      <c r="CM119" s="39">
        <f>CL119*12</f>
        <v>26235.480000000003</v>
      </c>
      <c r="CN119" s="7">
        <f>CJ119-CL119</f>
        <v>144295.63919999974</v>
      </c>
      <c r="CO119" s="7">
        <f t="shared" ref="CO119:CO120" si="796">CN119-$L119</f>
        <v>142109.34919999973</v>
      </c>
      <c r="CP119" s="7">
        <f t="shared" ref="CP119:CP120" si="797">CO119-$L119</f>
        <v>139923.05919999973</v>
      </c>
      <c r="CQ119" s="7">
        <f t="shared" ref="CQ119:CQ120" si="798">CP119-$L119</f>
        <v>137736.76919999972</v>
      </c>
      <c r="CR119" s="7">
        <f t="shared" ref="CR119:CR120" si="799">CQ119-$L119</f>
        <v>135550.47919999971</v>
      </c>
      <c r="CS119" s="7">
        <f t="shared" ref="CS119:CS120" si="800">CR119-$L119</f>
        <v>133364.1891999997</v>
      </c>
      <c r="CT119" s="7">
        <f t="shared" ref="CT119:CT120" si="801">CS119-$L119</f>
        <v>131177.89919999969</v>
      </c>
      <c r="CU119" s="7">
        <f t="shared" ref="CU119:CU120" si="802">CT119-$L119</f>
        <v>128991.6091999997</v>
      </c>
      <c r="CV119" s="7">
        <f t="shared" ref="CV119:CV120" si="803">CU119-$L119</f>
        <v>126805.31919999971</v>
      </c>
      <c r="CW119" s="7">
        <f t="shared" ref="CW119:CW120" si="804">CV119-$L119</f>
        <v>124619.02919999971</v>
      </c>
      <c r="CX119" s="7">
        <f t="shared" ref="CX119:CX120" si="805">CW119-$L119</f>
        <v>122432.73919999972</v>
      </c>
      <c r="CY119" s="7">
        <f t="shared" ref="CY119:CY120" si="806">CX119-$L119</f>
        <v>120246.44919999973</v>
      </c>
      <c r="CZ119" s="236">
        <f>IF(BF119&lt;1,0,SUM(CN119:CY119,CJ119)/13*$BG$1)</f>
        <v>2934.0121623999935</v>
      </c>
    </row>
    <row r="120" spans="1:104" x14ac:dyDescent="0.2">
      <c r="A120" s="6" t="str">
        <f>'[1]2021 УГРЦТ'!A123</f>
        <v>Устройство ограждения 2008г</v>
      </c>
      <c r="B120" t="str">
        <f>'[1]2021 УГРЦТ'!B123</f>
        <v>00001094</v>
      </c>
      <c r="C120" t="str">
        <f>'[1]2021 УГРЦТ'!C123</f>
        <v>ПРОИЗВОДСТВО</v>
      </c>
      <c r="D120" t="str">
        <f>'[1]2021 УГРЦТ'!D123</f>
        <v>Сооружения</v>
      </c>
      <c r="E120" t="str">
        <f>'[1]2021 УГРЦТ'!E123</f>
        <v>30.09.2008</v>
      </c>
      <c r="F120" t="str">
        <f>'[1]2021 УГРЦТ'!F123</f>
        <v>Тепломеханический цех</v>
      </c>
      <c r="G120">
        <f>'[1]2021 УГРЦТ'!AC123</f>
        <v>300</v>
      </c>
      <c r="H120" s="7">
        <f>'[1]2021 УГРЦТ'!X123</f>
        <v>1101177.48</v>
      </c>
      <c r="I120" s="7">
        <f>'[1]2021 УГРЦТ'!Y123</f>
        <v>583623.82920000004</v>
      </c>
      <c r="J120" s="7">
        <f>'[1]2021 УГРЦТ'!Z123</f>
        <v>517553.65079999994</v>
      </c>
      <c r="K120" s="8">
        <v>1</v>
      </c>
      <c r="L120" s="7">
        <v>3670.5899999999988</v>
      </c>
      <c r="M120" s="7"/>
      <c r="N120" s="7">
        <f t="shared" si="406"/>
        <v>44047.079999999987</v>
      </c>
      <c r="O120" s="7">
        <f t="shared" si="408"/>
        <v>513883.06079999992</v>
      </c>
      <c r="P120" s="7">
        <f t="shared" si="670"/>
        <v>510212.47079999989</v>
      </c>
      <c r="Q120" s="7">
        <f t="shared" si="670"/>
        <v>506541.88079999987</v>
      </c>
      <c r="R120" s="7">
        <f t="shared" si="670"/>
        <v>502871.29079999984</v>
      </c>
      <c r="S120" s="7">
        <f t="shared" si="670"/>
        <v>499200.70079999982</v>
      </c>
      <c r="T120" s="7">
        <f t="shared" si="670"/>
        <v>495530.11079999979</v>
      </c>
      <c r="U120" s="7">
        <f t="shared" si="670"/>
        <v>491859.52079999977</v>
      </c>
      <c r="V120" s="7">
        <f t="shared" si="670"/>
        <v>488188.93079999974</v>
      </c>
      <c r="W120" s="7">
        <f t="shared" si="670"/>
        <v>484518.34079999971</v>
      </c>
      <c r="X120" s="7">
        <f t="shared" si="670"/>
        <v>480847.75079999969</v>
      </c>
      <c r="Y120" s="7">
        <f t="shared" si="670"/>
        <v>477177.16079999966</v>
      </c>
      <c r="Z120" s="7">
        <f t="shared" si="670"/>
        <v>473506.57079999964</v>
      </c>
      <c r="AA120" s="7">
        <f t="shared" si="739"/>
        <v>10901.662437599996</v>
      </c>
      <c r="AB120" s="7"/>
      <c r="AC120" s="7">
        <f t="shared" si="410"/>
        <v>44047.079999999987</v>
      </c>
      <c r="AD120" s="7">
        <f t="shared" si="411"/>
        <v>469835.98079999961</v>
      </c>
      <c r="AE120" s="7">
        <f t="shared" si="671"/>
        <v>466165.39079999959</v>
      </c>
      <c r="AF120" s="7">
        <f t="shared" si="671"/>
        <v>462494.80079999956</v>
      </c>
      <c r="AG120" s="7">
        <f t="shared" si="671"/>
        <v>458824.21079999954</v>
      </c>
      <c r="AH120" s="7">
        <f t="shared" si="671"/>
        <v>455153.62079999951</v>
      </c>
      <c r="AI120" s="7">
        <f t="shared" si="671"/>
        <v>451483.03079999948</v>
      </c>
      <c r="AJ120" s="7">
        <f t="shared" si="671"/>
        <v>447812.44079999946</v>
      </c>
      <c r="AK120" s="7">
        <f t="shared" si="671"/>
        <v>444141.85079999943</v>
      </c>
      <c r="AL120" s="7">
        <f t="shared" si="671"/>
        <v>440471.26079999941</v>
      </c>
      <c r="AM120" s="7">
        <f t="shared" si="671"/>
        <v>436800.67079999938</v>
      </c>
      <c r="AN120" s="7">
        <f t="shared" si="671"/>
        <v>433130.08079999936</v>
      </c>
      <c r="AO120" s="7">
        <f t="shared" si="671"/>
        <v>429459.49079999933</v>
      </c>
      <c r="AP120" s="222">
        <f>IF(K120&lt;1,0,SUM(AD120:AO120,Z120)/13*$BG$1)</f>
        <v>9932.6266775999884</v>
      </c>
      <c r="AQ120" s="7">
        <v>3670.5899999999988</v>
      </c>
      <c r="AR120" s="7">
        <f t="shared" si="412"/>
        <v>3670.5900000000256</v>
      </c>
      <c r="AS120" s="7">
        <f t="shared" si="413"/>
        <v>2.6830093702301383E-11</v>
      </c>
      <c r="AT120" s="7">
        <f t="shared" si="703"/>
        <v>44047.079999999987</v>
      </c>
      <c r="AU120" s="7">
        <f t="shared" si="773"/>
        <v>425788.9007999993</v>
      </c>
      <c r="AV120" s="7">
        <f t="shared" si="704"/>
        <v>422118.31079999928</v>
      </c>
      <c r="AW120" s="7">
        <f t="shared" si="704"/>
        <v>418447.72079999925</v>
      </c>
      <c r="AX120" s="7">
        <f t="shared" si="704"/>
        <v>414777.13079999923</v>
      </c>
      <c r="AY120" s="7">
        <f t="shared" si="704"/>
        <v>411106.5407999992</v>
      </c>
      <c r="AZ120" s="7">
        <f t="shared" si="704"/>
        <v>407435.95079999918</v>
      </c>
      <c r="BA120" s="7">
        <f t="shared" si="704"/>
        <v>403765.36079999915</v>
      </c>
      <c r="BB120" s="7">
        <f t="shared" si="704"/>
        <v>400094.77079999913</v>
      </c>
      <c r="BC120" s="7">
        <f t="shared" si="704"/>
        <v>396424.1807999991</v>
      </c>
      <c r="BD120" s="7">
        <f t="shared" si="704"/>
        <v>392753.59079999907</v>
      </c>
      <c r="BE120" s="7">
        <f t="shared" si="704"/>
        <v>389083.00079999905</v>
      </c>
      <c r="BF120" s="7">
        <f t="shared" si="704"/>
        <v>385412.41079999902</v>
      </c>
      <c r="BG120" s="236">
        <f t="shared" si="407"/>
        <v>8963.5909175999805</v>
      </c>
      <c r="BH120" s="7">
        <v>3670.5899999999988</v>
      </c>
      <c r="BI120" s="39">
        <f>BH120*12</f>
        <v>44047.079999999987</v>
      </c>
      <c r="BJ120" s="7">
        <f t="shared" si="705"/>
        <v>381741.820799999</v>
      </c>
      <c r="BK120" s="7">
        <f t="shared" si="774"/>
        <v>378071.23079999897</v>
      </c>
      <c r="BL120" s="7">
        <f t="shared" si="775"/>
        <v>374400.64079999895</v>
      </c>
      <c r="BM120" s="7">
        <f t="shared" si="776"/>
        <v>370730.05079999892</v>
      </c>
      <c r="BN120" s="7">
        <f t="shared" si="777"/>
        <v>367059.46079999889</v>
      </c>
      <c r="BO120" s="7">
        <f t="shared" si="778"/>
        <v>363388.87079999887</v>
      </c>
      <c r="BP120" s="7">
        <f t="shared" si="779"/>
        <v>359718.28079999884</v>
      </c>
      <c r="BQ120" s="7">
        <f t="shared" si="780"/>
        <v>356047.69079999882</v>
      </c>
      <c r="BR120" s="7">
        <f t="shared" si="781"/>
        <v>352377.10079999879</v>
      </c>
      <c r="BS120" s="7">
        <f t="shared" si="782"/>
        <v>348706.51079999877</v>
      </c>
      <c r="BT120" s="7">
        <f t="shared" si="783"/>
        <v>345035.92079999874</v>
      </c>
      <c r="BU120" s="7">
        <f t="shared" si="784"/>
        <v>341365.33079999872</v>
      </c>
      <c r="BV120" s="236">
        <f>IF(Z120&lt;1,0,SUM(BJ120:BU120,BF120)/13*$BG$1)</f>
        <v>7994.5551575999734</v>
      </c>
      <c r="BW120" s="7">
        <v>3670.5899999999988</v>
      </c>
      <c r="BX120" s="39">
        <f>BW120*12</f>
        <v>44047.079999999987</v>
      </c>
      <c r="BY120" s="7">
        <f>BU120-BW120</f>
        <v>337694.74079999869</v>
      </c>
      <c r="BZ120" s="7">
        <f t="shared" si="785"/>
        <v>334024.15079999866</v>
      </c>
      <c r="CA120" s="7">
        <f t="shared" si="786"/>
        <v>330353.56079999864</v>
      </c>
      <c r="CB120" s="7">
        <f t="shared" si="787"/>
        <v>326682.97079999861</v>
      </c>
      <c r="CC120" s="7">
        <f t="shared" si="788"/>
        <v>323012.38079999859</v>
      </c>
      <c r="CD120" s="7">
        <f t="shared" si="789"/>
        <v>319341.79079999856</v>
      </c>
      <c r="CE120" s="7">
        <f t="shared" si="790"/>
        <v>315671.20079999854</v>
      </c>
      <c r="CF120" s="7">
        <f t="shared" si="791"/>
        <v>312000.61079999851</v>
      </c>
      <c r="CG120" s="7">
        <f t="shared" si="792"/>
        <v>308330.02079999849</v>
      </c>
      <c r="CH120" s="7">
        <f t="shared" si="793"/>
        <v>304659.43079999846</v>
      </c>
      <c r="CI120" s="7">
        <f t="shared" si="794"/>
        <v>300988.84079999843</v>
      </c>
      <c r="CJ120" s="7">
        <f t="shared" si="795"/>
        <v>297318.25079999841</v>
      </c>
      <c r="CK120" s="236">
        <f>IF(AO120&lt;1,0,SUM(BY120:CJ120,BU120)/13*$BG$1)</f>
        <v>7025.5193975999682</v>
      </c>
      <c r="CL120" s="7">
        <v>3670.5899999999988</v>
      </c>
      <c r="CM120" s="39">
        <f>CL120*12</f>
        <v>44047.079999999987</v>
      </c>
      <c r="CN120" s="7">
        <f>CJ120-CL120</f>
        <v>293647.66079999838</v>
      </c>
      <c r="CO120" s="7">
        <f t="shared" si="796"/>
        <v>289977.07079999836</v>
      </c>
      <c r="CP120" s="7">
        <f t="shared" si="797"/>
        <v>286306.48079999833</v>
      </c>
      <c r="CQ120" s="7">
        <f t="shared" si="798"/>
        <v>282635.89079999831</v>
      </c>
      <c r="CR120" s="7">
        <f t="shared" si="799"/>
        <v>278965.30079999828</v>
      </c>
      <c r="CS120" s="7">
        <f t="shared" si="800"/>
        <v>275294.71079999825</v>
      </c>
      <c r="CT120" s="7">
        <f t="shared" si="801"/>
        <v>271624.12079999823</v>
      </c>
      <c r="CU120" s="7">
        <f t="shared" si="802"/>
        <v>267953.5307999982</v>
      </c>
      <c r="CV120" s="7">
        <f t="shared" si="803"/>
        <v>264282.94079999818</v>
      </c>
      <c r="CW120" s="7">
        <f t="shared" si="804"/>
        <v>260612.35079999818</v>
      </c>
      <c r="CX120" s="7">
        <f t="shared" si="805"/>
        <v>256941.76079999818</v>
      </c>
      <c r="CY120" s="7">
        <f t="shared" si="806"/>
        <v>253271.17079999819</v>
      </c>
      <c r="CZ120" s="236">
        <f>IF(BF120&lt;1,0,SUM(CN120:CY120,CJ120)/13*$BG$1)</f>
        <v>6056.4836375999612</v>
      </c>
    </row>
    <row r="121" spans="1:104" s="180" customFormat="1" x14ac:dyDescent="0.2">
      <c r="A121" s="179" t="str">
        <f>'[1]2021 УГРЦТ'!A124</f>
        <v>Устройство ограждения 2010г</v>
      </c>
      <c r="B121" s="180" t="str">
        <f>'[1]2021 УГРЦТ'!B124</f>
        <v>00001228</v>
      </c>
      <c r="C121" s="180" t="str">
        <f>'[1]2021 УГРЦТ'!C124</f>
        <v>ПРОИЗВОДСТВО</v>
      </c>
      <c r="D121" s="180" t="str">
        <f>'[1]2021 УГРЦТ'!D124</f>
        <v>Сооружения</v>
      </c>
      <c r="E121" s="180" t="str">
        <f>'[1]2021 УГРЦТ'!E124</f>
        <v>24.08.2010</v>
      </c>
      <c r="F121" s="180" t="str">
        <f>'[1]2021 УГРЦТ'!F124</f>
        <v>Тепломеханический цех</v>
      </c>
      <c r="G121" s="180">
        <f>'[1]2021 УГРЦТ'!AC124</f>
        <v>300</v>
      </c>
      <c r="H121" s="181">
        <f>'[1]2021 УГРЦТ'!X124</f>
        <v>2343174</v>
      </c>
      <c r="I121" s="181">
        <f>'[1]2021 УГРЦТ'!Y124</f>
        <v>1690539.04</v>
      </c>
      <c r="J121" s="181">
        <f>'[1]2021 УГРЦТ'!Z124</f>
        <v>652634.96</v>
      </c>
      <c r="K121" s="182">
        <v>1</v>
      </c>
      <c r="L121" s="181">
        <v>14832.619999999997</v>
      </c>
      <c r="M121" s="181"/>
      <c r="N121" s="181">
        <f t="shared" si="406"/>
        <v>177991.43999999997</v>
      </c>
      <c r="O121" s="7">
        <f t="shared" si="408"/>
        <v>637802.34</v>
      </c>
      <c r="P121" s="7">
        <f t="shared" si="670"/>
        <v>622969.72</v>
      </c>
      <c r="Q121" s="7">
        <f t="shared" si="670"/>
        <v>608137.1</v>
      </c>
      <c r="R121" s="7">
        <f t="shared" si="670"/>
        <v>593304.48</v>
      </c>
      <c r="S121" s="7">
        <f t="shared" si="670"/>
        <v>578471.86</v>
      </c>
      <c r="T121" s="7">
        <f t="shared" si="670"/>
        <v>563639.24</v>
      </c>
      <c r="U121" s="7">
        <f t="shared" si="670"/>
        <v>548806.62</v>
      </c>
      <c r="V121" s="7">
        <f t="shared" si="670"/>
        <v>533974</v>
      </c>
      <c r="W121" s="7">
        <f t="shared" si="670"/>
        <v>519141.38</v>
      </c>
      <c r="X121" s="7">
        <f t="shared" si="670"/>
        <v>504308.76</v>
      </c>
      <c r="Y121" s="7">
        <f t="shared" si="670"/>
        <v>489476.14</v>
      </c>
      <c r="Z121" s="7">
        <f t="shared" si="670"/>
        <v>474643.52</v>
      </c>
      <c r="AA121" s="7">
        <f t="shared" si="739"/>
        <v>12400.063279999998</v>
      </c>
      <c r="AB121" s="7"/>
      <c r="AC121" s="7">
        <f t="shared" si="410"/>
        <v>177991.43999999997</v>
      </c>
      <c r="AD121" s="7">
        <f t="shared" si="411"/>
        <v>459810.9</v>
      </c>
      <c r="AE121" s="7">
        <f t="shared" si="671"/>
        <v>444978.28</v>
      </c>
      <c r="AF121" s="7">
        <f t="shared" si="671"/>
        <v>430145.66000000003</v>
      </c>
      <c r="AG121" s="7">
        <f t="shared" si="671"/>
        <v>415313.04000000004</v>
      </c>
      <c r="AH121" s="7">
        <f t="shared" si="671"/>
        <v>400480.42000000004</v>
      </c>
      <c r="AI121" s="7">
        <f t="shared" si="671"/>
        <v>385647.80000000005</v>
      </c>
      <c r="AJ121" s="7">
        <f t="shared" si="671"/>
        <v>370815.18000000005</v>
      </c>
      <c r="AK121" s="7">
        <f t="shared" si="671"/>
        <v>355982.56000000006</v>
      </c>
      <c r="AL121" s="7">
        <f t="shared" si="671"/>
        <v>341149.94000000006</v>
      </c>
      <c r="AM121" s="7">
        <f t="shared" si="671"/>
        <v>326317.32000000007</v>
      </c>
      <c r="AN121" s="7">
        <f t="shared" si="671"/>
        <v>311484.70000000007</v>
      </c>
      <c r="AO121" s="7">
        <f t="shared" si="671"/>
        <v>296652.08000000007</v>
      </c>
      <c r="AP121" s="222">
        <f>IF(K121&lt;1,0,SUM(AD121:AO121,Z121)/13*$BG$1)</f>
        <v>8484.2516000000014</v>
      </c>
      <c r="AQ121" s="7">
        <v>14832.619999999997</v>
      </c>
      <c r="AR121" s="7">
        <f t="shared" si="412"/>
        <v>14832.619999999995</v>
      </c>
      <c r="AS121" s="7">
        <f t="shared" si="413"/>
        <v>0</v>
      </c>
      <c r="AT121" s="7">
        <f t="shared" si="703"/>
        <v>177991.43999999997</v>
      </c>
      <c r="AU121" s="7">
        <f t="shared" si="773"/>
        <v>281819.46000000008</v>
      </c>
      <c r="AV121" s="7">
        <f t="shared" si="704"/>
        <v>266986.84000000008</v>
      </c>
      <c r="AW121" s="7">
        <f t="shared" si="704"/>
        <v>252154.22000000009</v>
      </c>
      <c r="AX121" s="7">
        <f t="shared" si="704"/>
        <v>237321.60000000009</v>
      </c>
      <c r="AY121" s="7">
        <f t="shared" si="704"/>
        <v>222488.9800000001</v>
      </c>
      <c r="AZ121" s="7">
        <f t="shared" si="704"/>
        <v>207656.3600000001</v>
      </c>
      <c r="BA121" s="7">
        <f t="shared" si="704"/>
        <v>192823.74000000011</v>
      </c>
      <c r="BB121" s="7">
        <f t="shared" si="704"/>
        <v>177991.12000000011</v>
      </c>
      <c r="BC121" s="7">
        <f t="shared" si="704"/>
        <v>163158.50000000012</v>
      </c>
      <c r="BD121" s="7">
        <f t="shared" si="704"/>
        <v>148325.88000000012</v>
      </c>
      <c r="BE121" s="7">
        <f t="shared" si="704"/>
        <v>133493.26000000013</v>
      </c>
      <c r="BF121" s="7">
        <f t="shared" si="704"/>
        <v>118660.64000000013</v>
      </c>
      <c r="BG121" s="236">
        <f t="shared" si="407"/>
        <v>4568.4399200000025</v>
      </c>
      <c r="BH121" s="7">
        <v>14832.619999999997</v>
      </c>
      <c r="BI121" s="39">
        <v>118660.64</v>
      </c>
      <c r="BJ121" s="7">
        <f t="shared" si="705"/>
        <v>103828.02000000014</v>
      </c>
      <c r="BK121" s="7">
        <f t="shared" si="774"/>
        <v>88995.40000000014</v>
      </c>
      <c r="BL121" s="7">
        <f t="shared" si="775"/>
        <v>74162.780000000144</v>
      </c>
      <c r="BM121" s="7">
        <f t="shared" si="776"/>
        <v>59330.160000000149</v>
      </c>
      <c r="BN121" s="7">
        <f t="shared" si="777"/>
        <v>44497.540000000154</v>
      </c>
      <c r="BO121" s="7">
        <f t="shared" si="778"/>
        <v>29664.920000000158</v>
      </c>
      <c r="BP121" s="7">
        <f t="shared" si="779"/>
        <v>14832.300000000161</v>
      </c>
      <c r="BQ121" s="7"/>
      <c r="BR121" s="7"/>
      <c r="BS121" s="7"/>
      <c r="BT121" s="7"/>
      <c r="BU121" s="7"/>
      <c r="BV121" s="236">
        <f>IF(Z121&lt;1,0,SUM(BJ121:BU121,BF121)/13*$BG$1)</f>
        <v>903.64451692307875</v>
      </c>
      <c r="BW121" s="7">
        <v>14832.619999999997</v>
      </c>
      <c r="BX121" s="39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236">
        <f>IF(AO121&lt;1,0,SUM(BY121:CJ121,BU121)/13*$BG$1)</f>
        <v>0</v>
      </c>
      <c r="CL121" s="7">
        <v>14832.619999999997</v>
      </c>
      <c r="CM121" s="39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236">
        <f>IF(BF121&lt;1,0,SUM(CN121:CY121,CJ121)/13*$BG$1)</f>
        <v>0</v>
      </c>
    </row>
    <row r="122" spans="1:104" x14ac:dyDescent="0.2">
      <c r="A122" s="6" t="str">
        <f>'[1]2021 УГРЦТ'!A125</f>
        <v>Шкаф для инструмента металлический KronVuzBox 1140</v>
      </c>
      <c r="B122" t="str">
        <f>'[1]2021 УГРЦТ'!B125</f>
        <v>000001839</v>
      </c>
      <c r="C122" t="str">
        <f>'[1]2021 УГРЦТ'!C125</f>
        <v>ПРОИЗВОДСТВО</v>
      </c>
      <c r="D122" t="str">
        <f>'[1]2021 УГРЦТ'!D125</f>
        <v>Производственный и хозяйственный инвентарь</v>
      </c>
      <c r="E122" t="str">
        <f>'[1]2021 УГРЦТ'!E125</f>
        <v>15.03.2021</v>
      </c>
      <c r="F122" t="str">
        <f>'[1]2021 УГРЦТ'!F125</f>
        <v>Газотурбинный цех</v>
      </c>
      <c r="G122">
        <f>'[1]2021 УГРЦТ'!AC125</f>
        <v>180</v>
      </c>
      <c r="H122" s="7">
        <f>'[1]2021 УГРЦТ'!X125</f>
        <v>81666.67</v>
      </c>
      <c r="I122" s="7">
        <f>'[1]2021 УГРЦТ'!Y125</f>
        <v>4083.3334999999993</v>
      </c>
      <c r="J122" s="7">
        <f>'[1]2021 УГРЦТ'!Z125</f>
        <v>77583.336500000005</v>
      </c>
      <c r="K122" s="8">
        <v>0</v>
      </c>
      <c r="L122" s="7">
        <v>453.69999999999993</v>
      </c>
      <c r="M122" s="7"/>
      <c r="N122" s="7">
        <f t="shared" si="406"/>
        <v>5444.4</v>
      </c>
      <c r="O122" s="7">
        <f t="shared" si="408"/>
        <v>77129.636500000008</v>
      </c>
      <c r="P122" s="7">
        <f t="shared" si="670"/>
        <v>76675.936500000011</v>
      </c>
      <c r="Q122" s="7">
        <f t="shared" si="670"/>
        <v>76222.236500000014</v>
      </c>
      <c r="R122" s="7">
        <f t="shared" si="670"/>
        <v>75768.536500000017</v>
      </c>
      <c r="S122" s="7">
        <f t="shared" si="670"/>
        <v>75314.836500000019</v>
      </c>
      <c r="T122" s="7">
        <f t="shared" si="670"/>
        <v>74861.136500000022</v>
      </c>
      <c r="U122" s="7">
        <f t="shared" si="670"/>
        <v>74407.436500000025</v>
      </c>
      <c r="V122" s="7">
        <f t="shared" si="670"/>
        <v>73953.736500000028</v>
      </c>
      <c r="W122" s="7">
        <f t="shared" si="670"/>
        <v>73500.036500000031</v>
      </c>
      <c r="X122" s="7">
        <f t="shared" si="670"/>
        <v>73046.336500000034</v>
      </c>
      <c r="Y122" s="7">
        <f t="shared" si="670"/>
        <v>72592.636500000037</v>
      </c>
      <c r="Z122" s="7">
        <f t="shared" si="670"/>
        <v>72138.93650000004</v>
      </c>
      <c r="AA122" s="7"/>
      <c r="AB122" s="7"/>
      <c r="AC122" s="7">
        <f t="shared" si="410"/>
        <v>5444.4</v>
      </c>
      <c r="AD122" s="7">
        <f t="shared" si="411"/>
        <v>71685.236500000043</v>
      </c>
      <c r="AE122" s="7">
        <f t="shared" si="671"/>
        <v>71231.536500000046</v>
      </c>
      <c r="AF122" s="7">
        <f t="shared" si="671"/>
        <v>70777.836500000049</v>
      </c>
      <c r="AG122" s="7">
        <f t="shared" si="671"/>
        <v>70324.136500000051</v>
      </c>
      <c r="AH122" s="7">
        <f t="shared" si="671"/>
        <v>69870.436500000054</v>
      </c>
      <c r="AI122" s="7">
        <f t="shared" si="671"/>
        <v>69416.736500000057</v>
      </c>
      <c r="AJ122" s="7">
        <f t="shared" si="671"/>
        <v>68963.03650000006</v>
      </c>
      <c r="AK122" s="7">
        <f t="shared" si="671"/>
        <v>68509.336500000063</v>
      </c>
      <c r="AL122" s="7">
        <f t="shared" si="671"/>
        <v>68055.636500000066</v>
      </c>
      <c r="AM122" s="7">
        <f t="shared" si="671"/>
        <v>67601.936500000069</v>
      </c>
      <c r="AN122" s="7">
        <f t="shared" si="671"/>
        <v>67148.236500000072</v>
      </c>
      <c r="AO122" s="7">
        <f t="shared" si="671"/>
        <v>66694.536500000075</v>
      </c>
      <c r="AP122" s="222"/>
      <c r="AQ122" s="7">
        <v>453.69999999999993</v>
      </c>
      <c r="AR122" s="7">
        <f t="shared" si="412"/>
        <v>453.69999999999709</v>
      </c>
      <c r="AS122" s="7">
        <f t="shared" si="413"/>
        <v>-2.8421709430404007E-12</v>
      </c>
      <c r="AT122" s="7">
        <f t="shared" si="703"/>
        <v>5444.4</v>
      </c>
      <c r="AU122" s="7">
        <f t="shared" si="773"/>
        <v>66240.836500000078</v>
      </c>
      <c r="AV122" s="7">
        <f t="shared" si="704"/>
        <v>65787.136500000081</v>
      </c>
      <c r="AW122" s="7">
        <f t="shared" si="704"/>
        <v>65333.436500000083</v>
      </c>
      <c r="AX122" s="7">
        <f t="shared" si="704"/>
        <v>64879.736500000086</v>
      </c>
      <c r="AY122" s="7">
        <f t="shared" si="704"/>
        <v>64426.036500000089</v>
      </c>
      <c r="AZ122" s="7">
        <f t="shared" si="704"/>
        <v>63972.336500000092</v>
      </c>
      <c r="BA122" s="7">
        <f t="shared" si="704"/>
        <v>63518.636500000095</v>
      </c>
      <c r="BB122" s="7">
        <f t="shared" si="704"/>
        <v>63064.936500000098</v>
      </c>
      <c r="BC122" s="7">
        <f t="shared" si="704"/>
        <v>62611.236500000101</v>
      </c>
      <c r="BD122" s="7">
        <f t="shared" si="704"/>
        <v>62157.536500000104</v>
      </c>
      <c r="BE122" s="7">
        <f t="shared" si="704"/>
        <v>61703.836500000107</v>
      </c>
      <c r="BF122" s="7">
        <f t="shared" si="704"/>
        <v>61250.13650000011</v>
      </c>
      <c r="BG122" s="236">
        <f t="shared" si="407"/>
        <v>0</v>
      </c>
      <c r="BH122" s="7">
        <v>453.69999999999993</v>
      </c>
      <c r="BI122" s="39">
        <f>BH122*12</f>
        <v>5444.4</v>
      </c>
      <c r="BJ122" s="7">
        <f t="shared" si="705"/>
        <v>60796.436500000113</v>
      </c>
      <c r="BK122" s="7">
        <f t="shared" si="774"/>
        <v>60342.736500000115</v>
      </c>
      <c r="BL122" s="7">
        <f t="shared" si="775"/>
        <v>59889.036500000118</v>
      </c>
      <c r="BM122" s="7">
        <f t="shared" si="776"/>
        <v>59435.336500000121</v>
      </c>
      <c r="BN122" s="7">
        <f t="shared" si="777"/>
        <v>58981.636500000124</v>
      </c>
      <c r="BO122" s="7">
        <f t="shared" si="778"/>
        <v>58527.936500000127</v>
      </c>
      <c r="BP122" s="7">
        <f t="shared" si="779"/>
        <v>58074.23650000013</v>
      </c>
      <c r="BQ122" s="7">
        <f t="shared" si="780"/>
        <v>57620.536500000133</v>
      </c>
      <c r="BR122" s="7">
        <f t="shared" si="781"/>
        <v>57166.836500000136</v>
      </c>
      <c r="BS122" s="7">
        <f t="shared" si="782"/>
        <v>56713.136500000139</v>
      </c>
      <c r="BT122" s="7">
        <f t="shared" si="783"/>
        <v>56259.436500000142</v>
      </c>
      <c r="BU122" s="7">
        <f t="shared" si="784"/>
        <v>55805.736500000145</v>
      </c>
      <c r="BV122" s="236">
        <v>0</v>
      </c>
      <c r="BW122" s="7">
        <v>453.69999999999993</v>
      </c>
      <c r="BX122" s="39">
        <f>BW122*12</f>
        <v>5444.4</v>
      </c>
      <c r="BY122" s="7">
        <f>BU122-BW122</f>
        <v>55352.036500000147</v>
      </c>
      <c r="BZ122" s="7">
        <f t="shared" si="785"/>
        <v>54898.33650000015</v>
      </c>
      <c r="CA122" s="7">
        <f t="shared" si="786"/>
        <v>54444.636500000153</v>
      </c>
      <c r="CB122" s="7">
        <f t="shared" si="787"/>
        <v>53990.936500000156</v>
      </c>
      <c r="CC122" s="7">
        <f t="shared" si="788"/>
        <v>53537.236500000159</v>
      </c>
      <c r="CD122" s="7">
        <f t="shared" si="789"/>
        <v>53083.536500000162</v>
      </c>
      <c r="CE122" s="7">
        <f t="shared" si="790"/>
        <v>52629.836500000165</v>
      </c>
      <c r="CF122" s="7">
        <f t="shared" ref="CF122" si="807">CE122-$L122</f>
        <v>52176.136500000168</v>
      </c>
      <c r="CG122" s="7">
        <f t="shared" ref="CG122" si="808">CF122-$L122</f>
        <v>51722.436500000171</v>
      </c>
      <c r="CH122" s="7">
        <f t="shared" ref="CH122" si="809">CG122-$L122</f>
        <v>51268.736500000174</v>
      </c>
      <c r="CI122" s="7">
        <f t="shared" ref="CI122" si="810">CH122-$L122</f>
        <v>50815.036500000177</v>
      </c>
      <c r="CJ122" s="7">
        <f t="shared" ref="CJ122" si="811">CI122-$L122</f>
        <v>50361.33650000018</v>
      </c>
      <c r="CK122" s="236">
        <v>0</v>
      </c>
      <c r="CL122" s="7">
        <v>453.69999999999993</v>
      </c>
      <c r="CM122" s="39">
        <f>CL122*12</f>
        <v>5444.4</v>
      </c>
      <c r="CN122" s="7">
        <f>CJ122-CL122</f>
        <v>49907.636500000182</v>
      </c>
      <c r="CO122" s="7">
        <f t="shared" ref="CO122" si="812">CN122-$L122</f>
        <v>49453.936500000185</v>
      </c>
      <c r="CP122" s="7">
        <f t="shared" ref="CP122" si="813">CO122-$L122</f>
        <v>49000.236500000188</v>
      </c>
      <c r="CQ122" s="7">
        <f t="shared" ref="CQ122" si="814">CP122-$L122</f>
        <v>48546.536500000191</v>
      </c>
      <c r="CR122" s="7">
        <f t="shared" ref="CR122" si="815">CQ122-$L122</f>
        <v>48092.836500000194</v>
      </c>
      <c r="CS122" s="7">
        <f t="shared" ref="CS122" si="816">CR122-$L122</f>
        <v>47639.136500000197</v>
      </c>
      <c r="CT122" s="7">
        <f t="shared" ref="CT122" si="817">CS122-$L122</f>
        <v>47185.4365000002</v>
      </c>
      <c r="CU122" s="7">
        <f t="shared" ref="CU122" si="818">CT122-$L122</f>
        <v>46731.736500000203</v>
      </c>
      <c r="CV122" s="7">
        <f t="shared" ref="CV122" si="819">CU122-$L122</f>
        <v>46278.036500000206</v>
      </c>
      <c r="CW122" s="7">
        <f t="shared" ref="CW122" si="820">CV122-$L122</f>
        <v>45824.336500000209</v>
      </c>
      <c r="CX122" s="7">
        <f t="shared" ref="CX122" si="821">CW122-$L122</f>
        <v>45370.636500000212</v>
      </c>
      <c r="CY122" s="7">
        <f t="shared" ref="CY122" si="822">CX122-$L122</f>
        <v>44916.936500000214</v>
      </c>
      <c r="CZ122" s="236">
        <v>0</v>
      </c>
    </row>
    <row r="123" spans="1:104" x14ac:dyDescent="0.2">
      <c r="A123" s="6" t="str">
        <f>'[1]2021 УГРЦТ'!A126</f>
        <v>Шкаф распред устройств  с ячейками КРУ №7</v>
      </c>
      <c r="B123" t="str">
        <f>'[1]2021 УГРЦТ'!B126</f>
        <v>00001202</v>
      </c>
      <c r="C123" t="str">
        <f>'[1]2021 УГРЦТ'!C126</f>
        <v>ПРОИЗВОДСТВО</v>
      </c>
      <c r="D123" t="str">
        <f>'[1]2021 УГРЦТ'!D126</f>
        <v>Машины и оборудование (кроме офисного)</v>
      </c>
      <c r="E123" t="str">
        <f>'[1]2021 УГРЦТ'!E126</f>
        <v>31.03.2010</v>
      </c>
      <c r="F123" t="str">
        <f>'[1]2021 УГРЦТ'!F126</f>
        <v>Газотурбинный цех</v>
      </c>
      <c r="G123">
        <f>'[1]2021 УГРЦТ'!AC126</f>
        <v>180</v>
      </c>
      <c r="H123" s="7">
        <f>'[1]2021 УГРЦТ'!X126</f>
        <v>784644.95</v>
      </c>
      <c r="I123" s="7">
        <f>'[1]2021 УГРЦТ'!Y126</f>
        <v>614638.72333333339</v>
      </c>
      <c r="J123" s="7">
        <f>'[1]2021 УГРЦТ'!Z126</f>
        <v>170006.22666666657</v>
      </c>
      <c r="K123" s="8">
        <v>0</v>
      </c>
      <c r="L123" s="7">
        <v>4359.1400000000003</v>
      </c>
      <c r="M123" s="7"/>
      <c r="N123" s="7">
        <f t="shared" si="406"/>
        <v>52309.680000000008</v>
      </c>
      <c r="O123" s="7">
        <f t="shared" si="408"/>
        <v>165647.08666666655</v>
      </c>
      <c r="P123" s="7">
        <f t="shared" si="670"/>
        <v>161287.94666666654</v>
      </c>
      <c r="Q123" s="7">
        <f t="shared" si="670"/>
        <v>156928.80666666653</v>
      </c>
      <c r="R123" s="7">
        <f t="shared" si="670"/>
        <v>152569.66666666651</v>
      </c>
      <c r="S123" s="7">
        <f t="shared" si="670"/>
        <v>148210.5266666665</v>
      </c>
      <c r="T123" s="7">
        <f t="shared" si="670"/>
        <v>143851.38666666648</v>
      </c>
      <c r="U123" s="7">
        <f t="shared" si="670"/>
        <v>139492.24666666647</v>
      </c>
      <c r="V123" s="7">
        <f t="shared" si="670"/>
        <v>135133.10666666646</v>
      </c>
      <c r="W123" s="7">
        <f t="shared" si="670"/>
        <v>130773.96666666646</v>
      </c>
      <c r="X123" s="7">
        <f t="shared" si="670"/>
        <v>126414.82666666646</v>
      </c>
      <c r="Y123" s="7">
        <f t="shared" si="670"/>
        <v>122055.68666666646</v>
      </c>
      <c r="Z123" s="7">
        <f t="shared" si="670"/>
        <v>117696.54666666646</v>
      </c>
      <c r="AA123" s="7"/>
      <c r="AB123" s="7"/>
      <c r="AC123" s="7">
        <f t="shared" si="410"/>
        <v>52309.680000000008</v>
      </c>
      <c r="AD123" s="7">
        <f t="shared" si="411"/>
        <v>113337.40666666646</v>
      </c>
      <c r="AE123" s="7">
        <f t="shared" si="671"/>
        <v>108978.26666666646</v>
      </c>
      <c r="AF123" s="7">
        <f t="shared" si="671"/>
        <v>104619.12666666646</v>
      </c>
      <c r="AG123" s="7">
        <f t="shared" si="671"/>
        <v>100259.98666666646</v>
      </c>
      <c r="AH123" s="7">
        <f t="shared" si="671"/>
        <v>95900.846666666461</v>
      </c>
      <c r="AI123" s="7">
        <f t="shared" si="671"/>
        <v>91541.706666666461</v>
      </c>
      <c r="AJ123" s="7">
        <f t="shared" si="671"/>
        <v>87182.566666666462</v>
      </c>
      <c r="AK123" s="7">
        <f t="shared" si="671"/>
        <v>82823.426666666463</v>
      </c>
      <c r="AL123" s="7">
        <f t="shared" si="671"/>
        <v>78464.286666666463</v>
      </c>
      <c r="AM123" s="7">
        <f t="shared" si="671"/>
        <v>74105.146666666464</v>
      </c>
      <c r="AN123" s="7">
        <f t="shared" si="671"/>
        <v>69746.006666666464</v>
      </c>
      <c r="AO123" s="7">
        <f t="shared" si="671"/>
        <v>65386.866666666465</v>
      </c>
      <c r="AP123" s="222"/>
      <c r="AQ123" s="7">
        <v>4359.1400000000003</v>
      </c>
      <c r="AR123" s="7">
        <f t="shared" si="412"/>
        <v>4359.1399999999994</v>
      </c>
      <c r="AS123" s="7">
        <f t="shared" si="413"/>
        <v>0</v>
      </c>
      <c r="AT123" s="7">
        <f t="shared" si="703"/>
        <v>52309.680000000008</v>
      </c>
      <c r="AU123" s="7">
        <f t="shared" si="773"/>
        <v>61027.726666666465</v>
      </c>
      <c r="AV123" s="7">
        <f t="shared" si="704"/>
        <v>56668.586666666466</v>
      </c>
      <c r="AW123" s="7">
        <f t="shared" si="704"/>
        <v>52309.446666666467</v>
      </c>
      <c r="AX123" s="7">
        <f t="shared" si="704"/>
        <v>47950.306666666467</v>
      </c>
      <c r="AY123" s="7">
        <f t="shared" si="704"/>
        <v>43591.166666666468</v>
      </c>
      <c r="AZ123" s="7">
        <f t="shared" si="704"/>
        <v>39232.026666666468</v>
      </c>
      <c r="BA123" s="7">
        <f t="shared" si="704"/>
        <v>34872.886666666469</v>
      </c>
      <c r="BB123" s="7">
        <f t="shared" si="704"/>
        <v>30513.74666666647</v>
      </c>
      <c r="BC123" s="7">
        <f t="shared" si="704"/>
        <v>26154.60666666647</v>
      </c>
      <c r="BD123" s="7">
        <f t="shared" si="704"/>
        <v>21795.466666666471</v>
      </c>
      <c r="BE123" s="7">
        <f t="shared" si="704"/>
        <v>17436.326666666471</v>
      </c>
      <c r="BF123" s="7">
        <f t="shared" si="704"/>
        <v>13077.186666666472</v>
      </c>
      <c r="BG123" s="236">
        <f t="shared" si="407"/>
        <v>0</v>
      </c>
      <c r="BH123" s="7">
        <v>4359.1400000000003</v>
      </c>
      <c r="BI123" s="39">
        <v>13077.19</v>
      </c>
      <c r="BJ123" s="7">
        <f t="shared" si="705"/>
        <v>8718.0466666664724</v>
      </c>
      <c r="BK123" s="7">
        <f t="shared" si="774"/>
        <v>4358.9066666664721</v>
      </c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236">
        <v>0</v>
      </c>
      <c r="BW123" s="7">
        <v>4359.1400000000003</v>
      </c>
      <c r="BX123" s="39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236">
        <v>0</v>
      </c>
      <c r="CL123" s="7">
        <v>4359.1400000000003</v>
      </c>
      <c r="CM123" s="39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236">
        <v>0</v>
      </c>
    </row>
    <row r="124" spans="1:104" x14ac:dyDescent="0.2">
      <c r="A124" s="6" t="str">
        <f>'[1]2021 УГРЦТ'!A127</f>
        <v>Шкаф распред устройств с ячейками КРУ  №8</v>
      </c>
      <c r="B124" t="str">
        <f>'[1]2021 УГРЦТ'!B127</f>
        <v>00001203</v>
      </c>
      <c r="C124" t="str">
        <f>'[1]2021 УГРЦТ'!C127</f>
        <v>ПРОИЗВОДСТВО</v>
      </c>
      <c r="D124" t="str">
        <f>'[1]2021 УГРЦТ'!D127</f>
        <v>Машины и оборудование (кроме офисного)</v>
      </c>
      <c r="E124" t="str">
        <f>'[1]2021 УГРЦТ'!E127</f>
        <v>31.03.2010</v>
      </c>
      <c r="F124" t="str">
        <f>'[1]2021 УГРЦТ'!F127</f>
        <v>Газотурбинный цех</v>
      </c>
      <c r="G124">
        <f>'[1]2021 УГРЦТ'!AC127</f>
        <v>180</v>
      </c>
      <c r="H124" s="7">
        <f>'[1]2021 УГРЦТ'!X127</f>
        <v>784644.95</v>
      </c>
      <c r="I124" s="7">
        <f>'[1]2021 УГРЦТ'!Y127</f>
        <v>614638.72333333339</v>
      </c>
      <c r="J124" s="7">
        <f>'[1]2021 УГРЦТ'!Z127</f>
        <v>170006.22666666657</v>
      </c>
      <c r="K124" s="8">
        <v>0</v>
      </c>
      <c r="L124" s="7">
        <v>4359.1400000000003</v>
      </c>
      <c r="M124" s="7"/>
      <c r="N124" s="7">
        <f t="shared" si="406"/>
        <v>52309.680000000008</v>
      </c>
      <c r="O124" s="7">
        <f t="shared" si="408"/>
        <v>165647.08666666655</v>
      </c>
      <c r="P124" s="7">
        <f t="shared" si="670"/>
        <v>161287.94666666654</v>
      </c>
      <c r="Q124" s="7">
        <f t="shared" si="670"/>
        <v>156928.80666666653</v>
      </c>
      <c r="R124" s="7">
        <f t="shared" si="670"/>
        <v>152569.66666666651</v>
      </c>
      <c r="S124" s="7">
        <f t="shared" si="670"/>
        <v>148210.5266666665</v>
      </c>
      <c r="T124" s="7">
        <f t="shared" si="670"/>
        <v>143851.38666666648</v>
      </c>
      <c r="U124" s="7">
        <f t="shared" si="670"/>
        <v>139492.24666666647</v>
      </c>
      <c r="V124" s="7">
        <f t="shared" si="670"/>
        <v>135133.10666666646</v>
      </c>
      <c r="W124" s="7">
        <f t="shared" si="670"/>
        <v>130773.96666666646</v>
      </c>
      <c r="X124" s="7">
        <f t="shared" si="670"/>
        <v>126414.82666666646</v>
      </c>
      <c r="Y124" s="7">
        <f t="shared" si="670"/>
        <v>122055.68666666646</v>
      </c>
      <c r="Z124" s="7">
        <f t="shared" si="670"/>
        <v>117696.54666666646</v>
      </c>
      <c r="AA124" s="7"/>
      <c r="AB124" s="7"/>
      <c r="AC124" s="7">
        <f t="shared" si="410"/>
        <v>52309.680000000008</v>
      </c>
      <c r="AD124" s="7">
        <f t="shared" si="411"/>
        <v>113337.40666666646</v>
      </c>
      <c r="AE124" s="7">
        <f t="shared" si="671"/>
        <v>108978.26666666646</v>
      </c>
      <c r="AF124" s="7">
        <f t="shared" si="671"/>
        <v>104619.12666666646</v>
      </c>
      <c r="AG124" s="7">
        <f t="shared" si="671"/>
        <v>100259.98666666646</v>
      </c>
      <c r="AH124" s="7">
        <f t="shared" si="671"/>
        <v>95900.846666666461</v>
      </c>
      <c r="AI124" s="7">
        <f t="shared" si="671"/>
        <v>91541.706666666461</v>
      </c>
      <c r="AJ124" s="7">
        <f t="shared" si="671"/>
        <v>87182.566666666462</v>
      </c>
      <c r="AK124" s="7">
        <f t="shared" si="671"/>
        <v>82823.426666666463</v>
      </c>
      <c r="AL124" s="7">
        <f t="shared" si="671"/>
        <v>78464.286666666463</v>
      </c>
      <c r="AM124" s="7">
        <f t="shared" si="671"/>
        <v>74105.146666666464</v>
      </c>
      <c r="AN124" s="7">
        <f t="shared" si="671"/>
        <v>69746.006666666464</v>
      </c>
      <c r="AO124" s="7">
        <f t="shared" si="671"/>
        <v>65386.866666666465</v>
      </c>
      <c r="AP124" s="222"/>
      <c r="AQ124" s="7">
        <v>4359.1400000000003</v>
      </c>
      <c r="AR124" s="7">
        <f t="shared" si="412"/>
        <v>4359.1399999999994</v>
      </c>
      <c r="AS124" s="7">
        <f t="shared" si="413"/>
        <v>0</v>
      </c>
      <c r="AT124" s="7">
        <f t="shared" si="703"/>
        <v>52309.680000000008</v>
      </c>
      <c r="AU124" s="7">
        <f t="shared" si="773"/>
        <v>61027.726666666465</v>
      </c>
      <c r="AV124" s="7">
        <f t="shared" si="704"/>
        <v>56668.586666666466</v>
      </c>
      <c r="AW124" s="7">
        <f t="shared" si="704"/>
        <v>52309.446666666467</v>
      </c>
      <c r="AX124" s="7">
        <f t="shared" si="704"/>
        <v>47950.306666666467</v>
      </c>
      <c r="AY124" s="7">
        <f t="shared" si="704"/>
        <v>43591.166666666468</v>
      </c>
      <c r="AZ124" s="7">
        <f t="shared" si="704"/>
        <v>39232.026666666468</v>
      </c>
      <c r="BA124" s="7">
        <f t="shared" si="704"/>
        <v>34872.886666666469</v>
      </c>
      <c r="BB124" s="7">
        <f t="shared" si="704"/>
        <v>30513.74666666647</v>
      </c>
      <c r="BC124" s="7">
        <f t="shared" si="704"/>
        <v>26154.60666666647</v>
      </c>
      <c r="BD124" s="7">
        <f t="shared" si="704"/>
        <v>21795.466666666471</v>
      </c>
      <c r="BE124" s="7">
        <f t="shared" si="704"/>
        <v>17436.326666666471</v>
      </c>
      <c r="BF124" s="7">
        <f t="shared" si="704"/>
        <v>13077.186666666472</v>
      </c>
      <c r="BG124" s="236">
        <f t="shared" si="407"/>
        <v>0</v>
      </c>
      <c r="BH124" s="7">
        <v>4359.1400000000003</v>
      </c>
      <c r="BI124" s="39">
        <v>13077.19</v>
      </c>
      <c r="BJ124" s="7">
        <f t="shared" si="705"/>
        <v>8718.0466666664724</v>
      </c>
      <c r="BK124" s="7">
        <f t="shared" si="774"/>
        <v>4358.9066666664721</v>
      </c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236">
        <v>0</v>
      </c>
      <c r="BW124" s="7">
        <v>4359.1400000000003</v>
      </c>
      <c r="BX124" s="39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236">
        <v>0</v>
      </c>
      <c r="CL124" s="7">
        <v>4359.1400000000003</v>
      </c>
      <c r="CM124" s="39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236">
        <v>0</v>
      </c>
    </row>
    <row r="125" spans="1:104" x14ac:dyDescent="0.2">
      <c r="A125" s="6" t="str">
        <f>'[1]2021 УГРЦТ'!A128</f>
        <v>Шкаф распред устройств с ячейками КРУ №10</v>
      </c>
      <c r="B125" t="str">
        <f>'[1]2021 УГРЦТ'!B128</f>
        <v>00001207</v>
      </c>
      <c r="C125" t="str">
        <f>'[1]2021 УГРЦТ'!C128</f>
        <v>ПРОИЗВОДСТВО</v>
      </c>
      <c r="D125" t="str">
        <f>'[1]2021 УГРЦТ'!D128</f>
        <v>Машины и оборудование (кроме офисного)</v>
      </c>
      <c r="E125" t="str">
        <f>'[1]2021 УГРЦТ'!E128</f>
        <v>31.03.2010</v>
      </c>
      <c r="F125" t="str">
        <f>'[1]2021 УГРЦТ'!F128</f>
        <v>Газотурбинный цех</v>
      </c>
      <c r="G125">
        <f>'[1]2021 УГРЦТ'!AC128</f>
        <v>180</v>
      </c>
      <c r="H125" s="7">
        <f>'[1]2021 УГРЦТ'!X128</f>
        <v>784644.95</v>
      </c>
      <c r="I125" s="7">
        <f>'[1]2021 УГРЦТ'!Y128</f>
        <v>614638.72333333339</v>
      </c>
      <c r="J125" s="7">
        <f>'[1]2021 УГРЦТ'!Z128</f>
        <v>170006.22666666657</v>
      </c>
      <c r="K125" s="8">
        <v>0</v>
      </c>
      <c r="L125" s="7">
        <v>4359.1400000000003</v>
      </c>
      <c r="M125" s="7"/>
      <c r="N125" s="7">
        <f t="shared" si="406"/>
        <v>52309.680000000008</v>
      </c>
      <c r="O125" s="7">
        <f t="shared" si="408"/>
        <v>165647.08666666655</v>
      </c>
      <c r="P125" s="7">
        <f t="shared" si="670"/>
        <v>161287.94666666654</v>
      </c>
      <c r="Q125" s="7">
        <f t="shared" si="670"/>
        <v>156928.80666666653</v>
      </c>
      <c r="R125" s="7">
        <f t="shared" si="670"/>
        <v>152569.66666666651</v>
      </c>
      <c r="S125" s="7">
        <f t="shared" si="670"/>
        <v>148210.5266666665</v>
      </c>
      <c r="T125" s="7">
        <f t="shared" si="670"/>
        <v>143851.38666666648</v>
      </c>
      <c r="U125" s="7">
        <f t="shared" si="670"/>
        <v>139492.24666666647</v>
      </c>
      <c r="V125" s="7">
        <f t="shared" si="670"/>
        <v>135133.10666666646</v>
      </c>
      <c r="W125" s="7">
        <f t="shared" si="670"/>
        <v>130773.96666666646</v>
      </c>
      <c r="X125" s="7">
        <f t="shared" si="670"/>
        <v>126414.82666666646</v>
      </c>
      <c r="Y125" s="7">
        <f t="shared" si="670"/>
        <v>122055.68666666646</v>
      </c>
      <c r="Z125" s="7">
        <f t="shared" si="670"/>
        <v>117696.54666666646</v>
      </c>
      <c r="AA125" s="7"/>
      <c r="AB125" s="7"/>
      <c r="AC125" s="7">
        <f t="shared" si="410"/>
        <v>52309.680000000008</v>
      </c>
      <c r="AD125" s="7">
        <f t="shared" si="411"/>
        <v>113337.40666666646</v>
      </c>
      <c r="AE125" s="7">
        <f t="shared" si="671"/>
        <v>108978.26666666646</v>
      </c>
      <c r="AF125" s="7">
        <f t="shared" si="671"/>
        <v>104619.12666666646</v>
      </c>
      <c r="AG125" s="7">
        <f t="shared" si="671"/>
        <v>100259.98666666646</v>
      </c>
      <c r="AH125" s="7">
        <f t="shared" si="671"/>
        <v>95900.846666666461</v>
      </c>
      <c r="AI125" s="7">
        <f t="shared" si="671"/>
        <v>91541.706666666461</v>
      </c>
      <c r="AJ125" s="7">
        <f t="shared" si="671"/>
        <v>87182.566666666462</v>
      </c>
      <c r="AK125" s="7">
        <f t="shared" si="671"/>
        <v>82823.426666666463</v>
      </c>
      <c r="AL125" s="7">
        <f t="shared" si="671"/>
        <v>78464.286666666463</v>
      </c>
      <c r="AM125" s="7">
        <f t="shared" si="671"/>
        <v>74105.146666666464</v>
      </c>
      <c r="AN125" s="7">
        <f t="shared" si="671"/>
        <v>69746.006666666464</v>
      </c>
      <c r="AO125" s="7">
        <f t="shared" si="671"/>
        <v>65386.866666666465</v>
      </c>
      <c r="AP125" s="222"/>
      <c r="AQ125" s="7">
        <v>4359.1400000000003</v>
      </c>
      <c r="AR125" s="7">
        <f t="shared" si="412"/>
        <v>4359.1399999999994</v>
      </c>
      <c r="AS125" s="7">
        <f t="shared" si="413"/>
        <v>0</v>
      </c>
      <c r="AT125" s="7">
        <f t="shared" si="703"/>
        <v>52309.680000000008</v>
      </c>
      <c r="AU125" s="7">
        <f t="shared" si="773"/>
        <v>61027.726666666465</v>
      </c>
      <c r="AV125" s="7">
        <f t="shared" si="704"/>
        <v>56668.586666666466</v>
      </c>
      <c r="AW125" s="7">
        <f t="shared" si="704"/>
        <v>52309.446666666467</v>
      </c>
      <c r="AX125" s="7">
        <f t="shared" si="704"/>
        <v>47950.306666666467</v>
      </c>
      <c r="AY125" s="7">
        <f t="shared" si="704"/>
        <v>43591.166666666468</v>
      </c>
      <c r="AZ125" s="7">
        <f t="shared" si="704"/>
        <v>39232.026666666468</v>
      </c>
      <c r="BA125" s="7">
        <f t="shared" si="704"/>
        <v>34872.886666666469</v>
      </c>
      <c r="BB125" s="7">
        <f t="shared" si="704"/>
        <v>30513.74666666647</v>
      </c>
      <c r="BC125" s="7">
        <f t="shared" si="704"/>
        <v>26154.60666666647</v>
      </c>
      <c r="BD125" s="7">
        <f t="shared" si="704"/>
        <v>21795.466666666471</v>
      </c>
      <c r="BE125" s="7">
        <f t="shared" si="704"/>
        <v>17436.326666666471</v>
      </c>
      <c r="BF125" s="7">
        <f t="shared" si="704"/>
        <v>13077.186666666472</v>
      </c>
      <c r="BG125" s="236">
        <f t="shared" si="407"/>
        <v>0</v>
      </c>
      <c r="BH125" s="7">
        <v>4359.1400000000003</v>
      </c>
      <c r="BI125" s="39">
        <v>13077.19</v>
      </c>
      <c r="BJ125" s="7">
        <f t="shared" si="705"/>
        <v>8718.0466666664724</v>
      </c>
      <c r="BK125" s="7">
        <f t="shared" si="774"/>
        <v>4358.9066666664721</v>
      </c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236">
        <v>0</v>
      </c>
      <c r="BW125" s="7">
        <v>4359.1400000000003</v>
      </c>
      <c r="BX125" s="39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236">
        <v>0</v>
      </c>
      <c r="CL125" s="7">
        <v>4359.1400000000003</v>
      </c>
      <c r="CM125" s="39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236">
        <v>0</v>
      </c>
    </row>
    <row r="126" spans="1:104" x14ac:dyDescent="0.2">
      <c r="A126" s="6" t="str">
        <f>'[1]2021 УГРЦТ'!A129</f>
        <v>Шкаф распред устройств с ячейками КРУ №11</v>
      </c>
      <c r="B126" t="str">
        <f>'[1]2021 УГРЦТ'!B129</f>
        <v>00001208</v>
      </c>
      <c r="C126" t="str">
        <f>'[1]2021 УГРЦТ'!C129</f>
        <v>ПРОИЗВОДСТВО</v>
      </c>
      <c r="D126" t="str">
        <f>'[1]2021 УГРЦТ'!D129</f>
        <v>Машины и оборудование (кроме офисного)</v>
      </c>
      <c r="E126" t="str">
        <f>'[1]2021 УГРЦТ'!E129</f>
        <v>31.03.2010</v>
      </c>
      <c r="F126" t="str">
        <f>'[1]2021 УГРЦТ'!F129</f>
        <v>Газотурбинный цех</v>
      </c>
      <c r="G126">
        <f>'[1]2021 УГРЦТ'!AC129</f>
        <v>180</v>
      </c>
      <c r="H126" s="7">
        <f>'[1]2021 УГРЦТ'!X129</f>
        <v>784644.95</v>
      </c>
      <c r="I126" s="7">
        <f>'[1]2021 УГРЦТ'!Y129</f>
        <v>614638.72333333339</v>
      </c>
      <c r="J126" s="7">
        <f>'[1]2021 УГРЦТ'!Z129</f>
        <v>170006.22666666657</v>
      </c>
      <c r="K126" s="8">
        <v>0</v>
      </c>
      <c r="L126" s="7">
        <v>4359.1400000000003</v>
      </c>
      <c r="M126" s="7"/>
      <c r="N126" s="7">
        <f t="shared" si="406"/>
        <v>52309.680000000008</v>
      </c>
      <c r="O126" s="7">
        <f t="shared" si="408"/>
        <v>165647.08666666655</v>
      </c>
      <c r="P126" s="7">
        <f t="shared" si="670"/>
        <v>161287.94666666654</v>
      </c>
      <c r="Q126" s="7">
        <f t="shared" si="670"/>
        <v>156928.80666666653</v>
      </c>
      <c r="R126" s="7">
        <f t="shared" si="670"/>
        <v>152569.66666666651</v>
      </c>
      <c r="S126" s="7">
        <f t="shared" si="670"/>
        <v>148210.5266666665</v>
      </c>
      <c r="T126" s="7">
        <f t="shared" si="670"/>
        <v>143851.38666666648</v>
      </c>
      <c r="U126" s="7">
        <f t="shared" si="670"/>
        <v>139492.24666666647</v>
      </c>
      <c r="V126" s="7">
        <f t="shared" si="670"/>
        <v>135133.10666666646</v>
      </c>
      <c r="W126" s="7">
        <f t="shared" si="670"/>
        <v>130773.96666666646</v>
      </c>
      <c r="X126" s="7">
        <f t="shared" si="670"/>
        <v>126414.82666666646</v>
      </c>
      <c r="Y126" s="7">
        <f t="shared" si="670"/>
        <v>122055.68666666646</v>
      </c>
      <c r="Z126" s="7">
        <f t="shared" si="670"/>
        <v>117696.54666666646</v>
      </c>
      <c r="AA126" s="7"/>
      <c r="AB126" s="7"/>
      <c r="AC126" s="7">
        <f t="shared" si="410"/>
        <v>52309.680000000008</v>
      </c>
      <c r="AD126" s="7">
        <f t="shared" si="411"/>
        <v>113337.40666666646</v>
      </c>
      <c r="AE126" s="7">
        <f t="shared" si="671"/>
        <v>108978.26666666646</v>
      </c>
      <c r="AF126" s="7">
        <f t="shared" si="671"/>
        <v>104619.12666666646</v>
      </c>
      <c r="AG126" s="7">
        <f t="shared" si="671"/>
        <v>100259.98666666646</v>
      </c>
      <c r="AH126" s="7">
        <f t="shared" si="671"/>
        <v>95900.846666666461</v>
      </c>
      <c r="AI126" s="7">
        <f t="shared" si="671"/>
        <v>91541.706666666461</v>
      </c>
      <c r="AJ126" s="7">
        <f t="shared" si="671"/>
        <v>87182.566666666462</v>
      </c>
      <c r="AK126" s="7">
        <f t="shared" si="671"/>
        <v>82823.426666666463</v>
      </c>
      <c r="AL126" s="7">
        <f t="shared" si="671"/>
        <v>78464.286666666463</v>
      </c>
      <c r="AM126" s="7">
        <f t="shared" si="671"/>
        <v>74105.146666666464</v>
      </c>
      <c r="AN126" s="7">
        <f t="shared" si="671"/>
        <v>69746.006666666464</v>
      </c>
      <c r="AO126" s="7">
        <f t="shared" si="671"/>
        <v>65386.866666666465</v>
      </c>
      <c r="AP126" s="222"/>
      <c r="AQ126" s="7">
        <v>4359.1400000000003</v>
      </c>
      <c r="AR126" s="7">
        <f t="shared" si="412"/>
        <v>4359.1399999999994</v>
      </c>
      <c r="AS126" s="7">
        <f t="shared" si="413"/>
        <v>0</v>
      </c>
      <c r="AT126" s="7">
        <f t="shared" si="703"/>
        <v>52309.680000000008</v>
      </c>
      <c r="AU126" s="7">
        <f t="shared" si="773"/>
        <v>61027.726666666465</v>
      </c>
      <c r="AV126" s="7">
        <f t="shared" si="704"/>
        <v>56668.586666666466</v>
      </c>
      <c r="AW126" s="7">
        <f t="shared" si="704"/>
        <v>52309.446666666467</v>
      </c>
      <c r="AX126" s="7">
        <f t="shared" si="704"/>
        <v>47950.306666666467</v>
      </c>
      <c r="AY126" s="7">
        <f t="shared" si="704"/>
        <v>43591.166666666468</v>
      </c>
      <c r="AZ126" s="7">
        <f t="shared" si="704"/>
        <v>39232.026666666468</v>
      </c>
      <c r="BA126" s="7">
        <f t="shared" si="704"/>
        <v>34872.886666666469</v>
      </c>
      <c r="BB126" s="7">
        <f t="shared" si="704"/>
        <v>30513.74666666647</v>
      </c>
      <c r="BC126" s="7">
        <f t="shared" si="704"/>
        <v>26154.60666666647</v>
      </c>
      <c r="BD126" s="7">
        <f t="shared" si="704"/>
        <v>21795.466666666471</v>
      </c>
      <c r="BE126" s="7">
        <f t="shared" si="704"/>
        <v>17436.326666666471</v>
      </c>
      <c r="BF126" s="7">
        <f t="shared" si="704"/>
        <v>13077.186666666472</v>
      </c>
      <c r="BG126" s="236">
        <f t="shared" si="407"/>
        <v>0</v>
      </c>
      <c r="BH126" s="7">
        <v>4359.1400000000003</v>
      </c>
      <c r="BI126" s="39">
        <v>13077.19</v>
      </c>
      <c r="BJ126" s="7">
        <f t="shared" si="705"/>
        <v>8718.0466666664724</v>
      </c>
      <c r="BK126" s="7">
        <f t="shared" si="774"/>
        <v>4358.9066666664721</v>
      </c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236">
        <v>0</v>
      </c>
      <c r="BW126" s="7">
        <v>4359.1400000000003</v>
      </c>
      <c r="BX126" s="39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236">
        <v>0</v>
      </c>
      <c r="CL126" s="7">
        <v>4359.1400000000003</v>
      </c>
      <c r="CM126" s="39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236">
        <v>0</v>
      </c>
    </row>
    <row r="127" spans="1:104" x14ac:dyDescent="0.2">
      <c r="A127" s="6" t="str">
        <f>'[1]2021 УГРЦТ'!A130</f>
        <v>Шкаф распред устройств с ячейками КРУ №12</v>
      </c>
      <c r="B127" t="str">
        <f>'[1]2021 УГРЦТ'!B130</f>
        <v>00001209</v>
      </c>
      <c r="C127" t="str">
        <f>'[1]2021 УГРЦТ'!C130</f>
        <v>ПРОИЗВОДСТВО</v>
      </c>
      <c r="D127" t="str">
        <f>'[1]2021 УГРЦТ'!D130</f>
        <v>Машины и оборудование (кроме офисного)</v>
      </c>
      <c r="E127" t="str">
        <f>'[1]2021 УГРЦТ'!E130</f>
        <v>31.03.2010</v>
      </c>
      <c r="F127" t="str">
        <f>'[1]2021 УГРЦТ'!F130</f>
        <v>Газотурбинный цех</v>
      </c>
      <c r="G127">
        <f>'[1]2021 УГРЦТ'!AC130</f>
        <v>180</v>
      </c>
      <c r="H127" s="7">
        <f>'[1]2021 УГРЦТ'!X130</f>
        <v>784644.95</v>
      </c>
      <c r="I127" s="7">
        <f>'[1]2021 УГРЦТ'!Y130</f>
        <v>614638.72333333339</v>
      </c>
      <c r="J127" s="7">
        <f>'[1]2021 УГРЦТ'!Z130</f>
        <v>170006.22666666657</v>
      </c>
      <c r="K127" s="8">
        <v>0</v>
      </c>
      <c r="L127" s="7">
        <v>4359.1400000000003</v>
      </c>
      <c r="M127" s="7"/>
      <c r="N127" s="7">
        <f t="shared" si="406"/>
        <v>52309.680000000008</v>
      </c>
      <c r="O127" s="7">
        <f t="shared" si="408"/>
        <v>165647.08666666655</v>
      </c>
      <c r="P127" s="7">
        <f t="shared" si="670"/>
        <v>161287.94666666654</v>
      </c>
      <c r="Q127" s="7">
        <f t="shared" si="670"/>
        <v>156928.80666666653</v>
      </c>
      <c r="R127" s="7">
        <f t="shared" si="670"/>
        <v>152569.66666666651</v>
      </c>
      <c r="S127" s="7">
        <f t="shared" si="670"/>
        <v>148210.5266666665</v>
      </c>
      <c r="T127" s="7">
        <f t="shared" si="670"/>
        <v>143851.38666666648</v>
      </c>
      <c r="U127" s="7">
        <f t="shared" si="670"/>
        <v>139492.24666666647</v>
      </c>
      <c r="V127" s="7">
        <f t="shared" si="670"/>
        <v>135133.10666666646</v>
      </c>
      <c r="W127" s="7">
        <f t="shared" si="670"/>
        <v>130773.96666666646</v>
      </c>
      <c r="X127" s="7">
        <f t="shared" si="670"/>
        <v>126414.82666666646</v>
      </c>
      <c r="Y127" s="7">
        <f t="shared" si="670"/>
        <v>122055.68666666646</v>
      </c>
      <c r="Z127" s="7">
        <f t="shared" si="670"/>
        <v>117696.54666666646</v>
      </c>
      <c r="AA127" s="7"/>
      <c r="AB127" s="7"/>
      <c r="AC127" s="7">
        <f t="shared" si="410"/>
        <v>52309.680000000008</v>
      </c>
      <c r="AD127" s="7">
        <f t="shared" si="411"/>
        <v>113337.40666666646</v>
      </c>
      <c r="AE127" s="7">
        <f t="shared" si="671"/>
        <v>108978.26666666646</v>
      </c>
      <c r="AF127" s="7">
        <f t="shared" si="671"/>
        <v>104619.12666666646</v>
      </c>
      <c r="AG127" s="7">
        <f t="shared" si="671"/>
        <v>100259.98666666646</v>
      </c>
      <c r="AH127" s="7">
        <f t="shared" si="671"/>
        <v>95900.846666666461</v>
      </c>
      <c r="AI127" s="7">
        <f t="shared" si="671"/>
        <v>91541.706666666461</v>
      </c>
      <c r="AJ127" s="7">
        <f t="shared" si="671"/>
        <v>87182.566666666462</v>
      </c>
      <c r="AK127" s="7">
        <f t="shared" si="671"/>
        <v>82823.426666666463</v>
      </c>
      <c r="AL127" s="7">
        <f t="shared" si="671"/>
        <v>78464.286666666463</v>
      </c>
      <c r="AM127" s="7">
        <f t="shared" si="671"/>
        <v>74105.146666666464</v>
      </c>
      <c r="AN127" s="7">
        <f t="shared" si="671"/>
        <v>69746.006666666464</v>
      </c>
      <c r="AO127" s="7">
        <f t="shared" si="671"/>
        <v>65386.866666666465</v>
      </c>
      <c r="AP127" s="222"/>
      <c r="AQ127" s="7">
        <v>4359.1400000000003</v>
      </c>
      <c r="AR127" s="7">
        <f t="shared" si="412"/>
        <v>4359.1399999999994</v>
      </c>
      <c r="AS127" s="7">
        <f t="shared" si="413"/>
        <v>0</v>
      </c>
      <c r="AT127" s="7">
        <f t="shared" si="703"/>
        <v>52309.680000000008</v>
      </c>
      <c r="AU127" s="7">
        <f t="shared" si="773"/>
        <v>61027.726666666465</v>
      </c>
      <c r="AV127" s="7">
        <f t="shared" si="704"/>
        <v>56668.586666666466</v>
      </c>
      <c r="AW127" s="7">
        <f t="shared" si="704"/>
        <v>52309.446666666467</v>
      </c>
      <c r="AX127" s="7">
        <f t="shared" si="704"/>
        <v>47950.306666666467</v>
      </c>
      <c r="AY127" s="7">
        <f t="shared" si="704"/>
        <v>43591.166666666468</v>
      </c>
      <c r="AZ127" s="7">
        <f t="shared" si="704"/>
        <v>39232.026666666468</v>
      </c>
      <c r="BA127" s="7">
        <f t="shared" si="704"/>
        <v>34872.886666666469</v>
      </c>
      <c r="BB127" s="7">
        <f t="shared" si="704"/>
        <v>30513.74666666647</v>
      </c>
      <c r="BC127" s="7">
        <f t="shared" si="704"/>
        <v>26154.60666666647</v>
      </c>
      <c r="BD127" s="7">
        <f t="shared" si="704"/>
        <v>21795.466666666471</v>
      </c>
      <c r="BE127" s="7">
        <f t="shared" si="704"/>
        <v>17436.326666666471</v>
      </c>
      <c r="BF127" s="7">
        <f t="shared" si="704"/>
        <v>13077.186666666472</v>
      </c>
      <c r="BG127" s="236">
        <f t="shared" si="407"/>
        <v>0</v>
      </c>
      <c r="BH127" s="7">
        <v>4359.1400000000003</v>
      </c>
      <c r="BI127" s="39">
        <v>13077.19</v>
      </c>
      <c r="BJ127" s="7">
        <f t="shared" si="705"/>
        <v>8718.0466666664724</v>
      </c>
      <c r="BK127" s="7">
        <f t="shared" si="774"/>
        <v>4358.9066666664721</v>
      </c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236">
        <v>0</v>
      </c>
      <c r="BW127" s="7">
        <v>4359.1400000000003</v>
      </c>
      <c r="BX127" s="39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236">
        <v>0</v>
      </c>
      <c r="CL127" s="7">
        <v>4359.1400000000003</v>
      </c>
      <c r="CM127" s="39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236">
        <v>0</v>
      </c>
    </row>
    <row r="128" spans="1:104" x14ac:dyDescent="0.2">
      <c r="A128" s="6" t="str">
        <f>'[1]2021 УГРЦТ'!A131</f>
        <v>Шкаф распред устройств с ячейками КРУ №13</v>
      </c>
      <c r="B128" t="str">
        <f>'[1]2021 УГРЦТ'!B131</f>
        <v>00001210</v>
      </c>
      <c r="C128" t="str">
        <f>'[1]2021 УГРЦТ'!C131</f>
        <v>ПРОИЗВОДСТВО</v>
      </c>
      <c r="D128" t="str">
        <f>'[1]2021 УГРЦТ'!D131</f>
        <v>Машины и оборудование (кроме офисного)</v>
      </c>
      <c r="E128" t="str">
        <f>'[1]2021 УГРЦТ'!E131</f>
        <v>31.03.2010</v>
      </c>
      <c r="F128" t="str">
        <f>'[1]2021 УГРЦТ'!F131</f>
        <v>Газотурбинный цех</v>
      </c>
      <c r="G128">
        <f>'[1]2021 УГРЦТ'!AC131</f>
        <v>180</v>
      </c>
      <c r="H128" s="7">
        <f>'[1]2021 УГРЦТ'!X131</f>
        <v>784644.95</v>
      </c>
      <c r="I128" s="7">
        <f>'[1]2021 УГРЦТ'!Y131</f>
        <v>614638.72333333339</v>
      </c>
      <c r="J128" s="7">
        <f>'[1]2021 УГРЦТ'!Z131</f>
        <v>170006.22666666657</v>
      </c>
      <c r="K128" s="8">
        <v>0</v>
      </c>
      <c r="L128" s="7">
        <v>4359.1400000000003</v>
      </c>
      <c r="M128" s="7"/>
      <c r="N128" s="7">
        <f t="shared" si="406"/>
        <v>52309.680000000008</v>
      </c>
      <c r="O128" s="7">
        <f t="shared" si="408"/>
        <v>165647.08666666655</v>
      </c>
      <c r="P128" s="7">
        <f t="shared" si="670"/>
        <v>161287.94666666654</v>
      </c>
      <c r="Q128" s="7">
        <f t="shared" si="670"/>
        <v>156928.80666666653</v>
      </c>
      <c r="R128" s="7">
        <f t="shared" si="670"/>
        <v>152569.66666666651</v>
      </c>
      <c r="S128" s="7">
        <f t="shared" si="670"/>
        <v>148210.5266666665</v>
      </c>
      <c r="T128" s="7">
        <f t="shared" si="670"/>
        <v>143851.38666666648</v>
      </c>
      <c r="U128" s="7">
        <f t="shared" si="670"/>
        <v>139492.24666666647</v>
      </c>
      <c r="V128" s="7">
        <f t="shared" si="670"/>
        <v>135133.10666666646</v>
      </c>
      <c r="W128" s="7">
        <f t="shared" si="670"/>
        <v>130773.96666666646</v>
      </c>
      <c r="X128" s="7">
        <f t="shared" si="670"/>
        <v>126414.82666666646</v>
      </c>
      <c r="Y128" s="7">
        <f t="shared" si="670"/>
        <v>122055.68666666646</v>
      </c>
      <c r="Z128" s="7">
        <f t="shared" si="670"/>
        <v>117696.54666666646</v>
      </c>
      <c r="AA128" s="7"/>
      <c r="AB128" s="7"/>
      <c r="AC128" s="7">
        <f t="shared" si="410"/>
        <v>52309.680000000008</v>
      </c>
      <c r="AD128" s="7">
        <f t="shared" si="411"/>
        <v>113337.40666666646</v>
      </c>
      <c r="AE128" s="7">
        <f t="shared" si="671"/>
        <v>108978.26666666646</v>
      </c>
      <c r="AF128" s="7">
        <f t="shared" si="671"/>
        <v>104619.12666666646</v>
      </c>
      <c r="AG128" s="7">
        <f t="shared" si="671"/>
        <v>100259.98666666646</v>
      </c>
      <c r="AH128" s="7">
        <f t="shared" si="671"/>
        <v>95900.846666666461</v>
      </c>
      <c r="AI128" s="7">
        <f t="shared" si="671"/>
        <v>91541.706666666461</v>
      </c>
      <c r="AJ128" s="7">
        <f t="shared" si="671"/>
        <v>87182.566666666462</v>
      </c>
      <c r="AK128" s="7">
        <f t="shared" si="671"/>
        <v>82823.426666666463</v>
      </c>
      <c r="AL128" s="7">
        <f t="shared" si="671"/>
        <v>78464.286666666463</v>
      </c>
      <c r="AM128" s="7">
        <f t="shared" si="671"/>
        <v>74105.146666666464</v>
      </c>
      <c r="AN128" s="7">
        <f t="shared" si="671"/>
        <v>69746.006666666464</v>
      </c>
      <c r="AO128" s="7">
        <f t="shared" si="671"/>
        <v>65386.866666666465</v>
      </c>
      <c r="AP128" s="222"/>
      <c r="AQ128" s="7">
        <v>4359.1400000000003</v>
      </c>
      <c r="AR128" s="7">
        <f t="shared" si="412"/>
        <v>4359.1399999999994</v>
      </c>
      <c r="AS128" s="7">
        <f t="shared" si="413"/>
        <v>0</v>
      </c>
      <c r="AT128" s="7">
        <f t="shared" si="703"/>
        <v>52309.680000000008</v>
      </c>
      <c r="AU128" s="7">
        <f t="shared" si="773"/>
        <v>61027.726666666465</v>
      </c>
      <c r="AV128" s="7">
        <f t="shared" si="704"/>
        <v>56668.586666666466</v>
      </c>
      <c r="AW128" s="7">
        <f t="shared" si="704"/>
        <v>52309.446666666467</v>
      </c>
      <c r="AX128" s="7">
        <f t="shared" si="704"/>
        <v>47950.306666666467</v>
      </c>
      <c r="AY128" s="7">
        <f t="shared" si="704"/>
        <v>43591.166666666468</v>
      </c>
      <c r="AZ128" s="7">
        <f t="shared" si="704"/>
        <v>39232.026666666468</v>
      </c>
      <c r="BA128" s="7">
        <f t="shared" si="704"/>
        <v>34872.886666666469</v>
      </c>
      <c r="BB128" s="7">
        <f t="shared" si="704"/>
        <v>30513.74666666647</v>
      </c>
      <c r="BC128" s="7">
        <f t="shared" si="704"/>
        <v>26154.60666666647</v>
      </c>
      <c r="BD128" s="7">
        <f t="shared" si="704"/>
        <v>21795.466666666471</v>
      </c>
      <c r="BE128" s="7">
        <f t="shared" si="704"/>
        <v>17436.326666666471</v>
      </c>
      <c r="BF128" s="7">
        <f t="shared" si="704"/>
        <v>13077.186666666472</v>
      </c>
      <c r="BG128" s="236">
        <f t="shared" si="407"/>
        <v>0</v>
      </c>
      <c r="BH128" s="7">
        <v>4359.1400000000003</v>
      </c>
      <c r="BI128" s="39">
        <v>13077.19</v>
      </c>
      <c r="BJ128" s="7">
        <f t="shared" si="705"/>
        <v>8718.0466666664724</v>
      </c>
      <c r="BK128" s="7">
        <f t="shared" si="774"/>
        <v>4358.9066666664721</v>
      </c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236">
        <v>0</v>
      </c>
      <c r="BW128" s="7">
        <v>4359.1400000000003</v>
      </c>
      <c r="BX128" s="39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236">
        <v>0</v>
      </c>
      <c r="CL128" s="7">
        <v>4359.1400000000003</v>
      </c>
      <c r="CM128" s="39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236">
        <v>0</v>
      </c>
    </row>
    <row r="129" spans="1:104" x14ac:dyDescent="0.2">
      <c r="A129" s="6" t="str">
        <f>'[1]2021 УГРЦТ'!A132</f>
        <v>Шкаф распред устройств с ячейками КРУ №14</v>
      </c>
      <c r="B129" t="str">
        <f>'[1]2021 УГРЦТ'!B132</f>
        <v>00001211</v>
      </c>
      <c r="C129" t="str">
        <f>'[1]2021 УГРЦТ'!C132</f>
        <v>ПРОИЗВОДСТВО</v>
      </c>
      <c r="D129" t="str">
        <f>'[1]2021 УГРЦТ'!D132</f>
        <v>Машины и оборудование (кроме офисного)</v>
      </c>
      <c r="E129" t="str">
        <f>'[1]2021 УГРЦТ'!E132</f>
        <v>31.03.2010</v>
      </c>
      <c r="F129" t="str">
        <f>'[1]2021 УГРЦТ'!F132</f>
        <v>Газотурбинный цех</v>
      </c>
      <c r="G129">
        <f>'[1]2021 УГРЦТ'!AC132</f>
        <v>180</v>
      </c>
      <c r="H129" s="7">
        <f>'[1]2021 УГРЦТ'!X132</f>
        <v>784644.95</v>
      </c>
      <c r="I129" s="7">
        <f>'[1]2021 УГРЦТ'!Y132</f>
        <v>614638.72333333339</v>
      </c>
      <c r="J129" s="7">
        <f>'[1]2021 УГРЦТ'!Z132</f>
        <v>170006.22666666657</v>
      </c>
      <c r="K129" s="8">
        <v>0</v>
      </c>
      <c r="L129" s="7">
        <v>4359.1400000000003</v>
      </c>
      <c r="M129" s="7"/>
      <c r="N129" s="7">
        <f t="shared" si="406"/>
        <v>52309.680000000008</v>
      </c>
      <c r="O129" s="7">
        <f t="shared" si="408"/>
        <v>165647.08666666655</v>
      </c>
      <c r="P129" s="7">
        <f t="shared" si="670"/>
        <v>161287.94666666654</v>
      </c>
      <c r="Q129" s="7">
        <f t="shared" si="670"/>
        <v>156928.80666666653</v>
      </c>
      <c r="R129" s="7">
        <f t="shared" si="670"/>
        <v>152569.66666666651</v>
      </c>
      <c r="S129" s="7">
        <f t="shared" si="670"/>
        <v>148210.5266666665</v>
      </c>
      <c r="T129" s="7">
        <f t="shared" si="670"/>
        <v>143851.38666666648</v>
      </c>
      <c r="U129" s="7">
        <f t="shared" si="670"/>
        <v>139492.24666666647</v>
      </c>
      <c r="V129" s="7">
        <f t="shared" si="670"/>
        <v>135133.10666666646</v>
      </c>
      <c r="W129" s="7">
        <f t="shared" si="670"/>
        <v>130773.96666666646</v>
      </c>
      <c r="X129" s="7">
        <f t="shared" si="670"/>
        <v>126414.82666666646</v>
      </c>
      <c r="Y129" s="7">
        <f t="shared" si="670"/>
        <v>122055.68666666646</v>
      </c>
      <c r="Z129" s="7">
        <f t="shared" si="670"/>
        <v>117696.54666666646</v>
      </c>
      <c r="AA129" s="7"/>
      <c r="AB129" s="7"/>
      <c r="AC129" s="7">
        <f t="shared" si="410"/>
        <v>52309.680000000008</v>
      </c>
      <c r="AD129" s="7">
        <f t="shared" si="411"/>
        <v>113337.40666666646</v>
      </c>
      <c r="AE129" s="7">
        <f t="shared" si="671"/>
        <v>108978.26666666646</v>
      </c>
      <c r="AF129" s="7">
        <f t="shared" si="671"/>
        <v>104619.12666666646</v>
      </c>
      <c r="AG129" s="7">
        <f t="shared" si="671"/>
        <v>100259.98666666646</v>
      </c>
      <c r="AH129" s="7">
        <f t="shared" si="671"/>
        <v>95900.846666666461</v>
      </c>
      <c r="AI129" s="7">
        <f t="shared" si="671"/>
        <v>91541.706666666461</v>
      </c>
      <c r="AJ129" s="7">
        <f t="shared" si="671"/>
        <v>87182.566666666462</v>
      </c>
      <c r="AK129" s="7">
        <f t="shared" si="671"/>
        <v>82823.426666666463</v>
      </c>
      <c r="AL129" s="7">
        <f t="shared" si="671"/>
        <v>78464.286666666463</v>
      </c>
      <c r="AM129" s="7">
        <f t="shared" si="671"/>
        <v>74105.146666666464</v>
      </c>
      <c r="AN129" s="7">
        <f t="shared" si="671"/>
        <v>69746.006666666464</v>
      </c>
      <c r="AO129" s="7">
        <f t="shared" si="671"/>
        <v>65386.866666666465</v>
      </c>
      <c r="AP129" s="222"/>
      <c r="AQ129" s="7">
        <v>4359.1400000000003</v>
      </c>
      <c r="AR129" s="7">
        <f t="shared" si="412"/>
        <v>4359.1399999999994</v>
      </c>
      <c r="AS129" s="7">
        <f t="shared" si="413"/>
        <v>0</v>
      </c>
      <c r="AT129" s="7">
        <f t="shared" si="703"/>
        <v>52309.680000000008</v>
      </c>
      <c r="AU129" s="7">
        <f t="shared" si="773"/>
        <v>61027.726666666465</v>
      </c>
      <c r="AV129" s="7">
        <f t="shared" si="704"/>
        <v>56668.586666666466</v>
      </c>
      <c r="AW129" s="7">
        <f t="shared" si="704"/>
        <v>52309.446666666467</v>
      </c>
      <c r="AX129" s="7">
        <f t="shared" si="704"/>
        <v>47950.306666666467</v>
      </c>
      <c r="AY129" s="7">
        <f t="shared" si="704"/>
        <v>43591.166666666468</v>
      </c>
      <c r="AZ129" s="7">
        <f t="shared" si="704"/>
        <v>39232.026666666468</v>
      </c>
      <c r="BA129" s="7">
        <f t="shared" si="704"/>
        <v>34872.886666666469</v>
      </c>
      <c r="BB129" s="7">
        <f t="shared" si="704"/>
        <v>30513.74666666647</v>
      </c>
      <c r="BC129" s="7">
        <f t="shared" si="704"/>
        <v>26154.60666666647</v>
      </c>
      <c r="BD129" s="7">
        <f t="shared" si="704"/>
        <v>21795.466666666471</v>
      </c>
      <c r="BE129" s="7">
        <f t="shared" si="704"/>
        <v>17436.326666666471</v>
      </c>
      <c r="BF129" s="7">
        <f t="shared" si="704"/>
        <v>13077.186666666472</v>
      </c>
      <c r="BG129" s="236">
        <f t="shared" si="407"/>
        <v>0</v>
      </c>
      <c r="BH129" s="7">
        <v>4359.1400000000003</v>
      </c>
      <c r="BI129" s="39">
        <v>13077.19</v>
      </c>
      <c r="BJ129" s="7">
        <f t="shared" si="705"/>
        <v>8718.0466666664724</v>
      </c>
      <c r="BK129" s="7">
        <f t="shared" si="774"/>
        <v>4358.9066666664721</v>
      </c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236">
        <v>0</v>
      </c>
      <c r="BW129" s="7">
        <v>4359.1400000000003</v>
      </c>
      <c r="BX129" s="39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236">
        <v>0</v>
      </c>
      <c r="CL129" s="7">
        <v>4359.1400000000003</v>
      </c>
      <c r="CM129" s="39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236">
        <v>0</v>
      </c>
    </row>
    <row r="130" spans="1:104" x14ac:dyDescent="0.2">
      <c r="A130" s="6" t="str">
        <f>'[1]2021 УГРЦТ'!A133</f>
        <v>Шкаф распред устройств с ячейками КРУ №15</v>
      </c>
      <c r="B130" t="str">
        <f>'[1]2021 УГРЦТ'!B133</f>
        <v>00001212</v>
      </c>
      <c r="C130" t="str">
        <f>'[1]2021 УГРЦТ'!C133</f>
        <v>ПРОИЗВОДСТВО</v>
      </c>
      <c r="D130" t="str">
        <f>'[1]2021 УГРЦТ'!D133</f>
        <v>Машины и оборудование (кроме офисного)</v>
      </c>
      <c r="E130" t="str">
        <f>'[1]2021 УГРЦТ'!E133</f>
        <v>31.03.2010</v>
      </c>
      <c r="F130" t="str">
        <f>'[1]2021 УГРЦТ'!F133</f>
        <v>Газотурбинный цех</v>
      </c>
      <c r="G130">
        <f>'[1]2021 УГРЦТ'!AC133</f>
        <v>180</v>
      </c>
      <c r="H130" s="7">
        <f>'[1]2021 УГРЦТ'!X133</f>
        <v>784644.95</v>
      </c>
      <c r="I130" s="7">
        <f>'[1]2021 УГРЦТ'!Y133</f>
        <v>614638.72333333339</v>
      </c>
      <c r="J130" s="7">
        <f>'[1]2021 УГРЦТ'!Z133</f>
        <v>170006.22666666657</v>
      </c>
      <c r="K130" s="8">
        <v>0</v>
      </c>
      <c r="L130" s="7">
        <v>4359.1400000000003</v>
      </c>
      <c r="M130" s="7"/>
      <c r="N130" s="7">
        <f t="shared" si="406"/>
        <v>52309.680000000008</v>
      </c>
      <c r="O130" s="7">
        <f t="shared" si="408"/>
        <v>165647.08666666655</v>
      </c>
      <c r="P130" s="7">
        <f t="shared" ref="P130:Z145" si="823">O130-$L130</f>
        <v>161287.94666666654</v>
      </c>
      <c r="Q130" s="7">
        <f t="shared" si="823"/>
        <v>156928.80666666653</v>
      </c>
      <c r="R130" s="7">
        <f t="shared" si="823"/>
        <v>152569.66666666651</v>
      </c>
      <c r="S130" s="7">
        <f t="shared" si="823"/>
        <v>148210.5266666665</v>
      </c>
      <c r="T130" s="7">
        <f t="shared" si="823"/>
        <v>143851.38666666648</v>
      </c>
      <c r="U130" s="7">
        <f t="shared" si="823"/>
        <v>139492.24666666647</v>
      </c>
      <c r="V130" s="7">
        <f t="shared" si="823"/>
        <v>135133.10666666646</v>
      </c>
      <c r="W130" s="7">
        <f t="shared" si="823"/>
        <v>130773.96666666646</v>
      </c>
      <c r="X130" s="7">
        <f t="shared" si="823"/>
        <v>126414.82666666646</v>
      </c>
      <c r="Y130" s="7">
        <f t="shared" si="823"/>
        <v>122055.68666666646</v>
      </c>
      <c r="Z130" s="7">
        <f t="shared" si="823"/>
        <v>117696.54666666646</v>
      </c>
      <c r="AA130" s="7"/>
      <c r="AB130" s="7"/>
      <c r="AC130" s="7">
        <f t="shared" si="410"/>
        <v>52309.680000000008</v>
      </c>
      <c r="AD130" s="7">
        <f t="shared" si="411"/>
        <v>113337.40666666646</v>
      </c>
      <c r="AE130" s="7">
        <f t="shared" ref="AE130:AO143" si="824">AD130-$L130</f>
        <v>108978.26666666646</v>
      </c>
      <c r="AF130" s="7">
        <f t="shared" si="824"/>
        <v>104619.12666666646</v>
      </c>
      <c r="AG130" s="7">
        <f t="shared" si="824"/>
        <v>100259.98666666646</v>
      </c>
      <c r="AH130" s="7">
        <f t="shared" si="824"/>
        <v>95900.846666666461</v>
      </c>
      <c r="AI130" s="7">
        <f t="shared" si="824"/>
        <v>91541.706666666461</v>
      </c>
      <c r="AJ130" s="7">
        <f t="shared" si="824"/>
        <v>87182.566666666462</v>
      </c>
      <c r="AK130" s="7">
        <f t="shared" si="824"/>
        <v>82823.426666666463</v>
      </c>
      <c r="AL130" s="7">
        <f t="shared" si="824"/>
        <v>78464.286666666463</v>
      </c>
      <c r="AM130" s="7">
        <f t="shared" si="824"/>
        <v>74105.146666666464</v>
      </c>
      <c r="AN130" s="7">
        <f t="shared" si="824"/>
        <v>69746.006666666464</v>
      </c>
      <c r="AO130" s="7">
        <f t="shared" si="824"/>
        <v>65386.866666666465</v>
      </c>
      <c r="AP130" s="222"/>
      <c r="AQ130" s="7">
        <v>4359.1400000000003</v>
      </c>
      <c r="AR130" s="7">
        <f t="shared" si="412"/>
        <v>4359.1399999999994</v>
      </c>
      <c r="AS130" s="7">
        <f t="shared" si="413"/>
        <v>0</v>
      </c>
      <c r="AT130" s="7">
        <f t="shared" si="703"/>
        <v>52309.680000000008</v>
      </c>
      <c r="AU130" s="7">
        <f t="shared" si="773"/>
        <v>61027.726666666465</v>
      </c>
      <c r="AV130" s="7">
        <f t="shared" si="704"/>
        <v>56668.586666666466</v>
      </c>
      <c r="AW130" s="7">
        <f t="shared" si="704"/>
        <v>52309.446666666467</v>
      </c>
      <c r="AX130" s="7">
        <f t="shared" si="704"/>
        <v>47950.306666666467</v>
      </c>
      <c r="AY130" s="7">
        <f t="shared" si="704"/>
        <v>43591.166666666468</v>
      </c>
      <c r="AZ130" s="7">
        <f t="shared" si="704"/>
        <v>39232.026666666468</v>
      </c>
      <c r="BA130" s="7">
        <f t="shared" si="704"/>
        <v>34872.886666666469</v>
      </c>
      <c r="BB130" s="7">
        <f t="shared" si="704"/>
        <v>30513.74666666647</v>
      </c>
      <c r="BC130" s="7">
        <f t="shared" si="704"/>
        <v>26154.60666666647</v>
      </c>
      <c r="BD130" s="7">
        <f t="shared" si="704"/>
        <v>21795.466666666471</v>
      </c>
      <c r="BE130" s="7">
        <f t="shared" si="704"/>
        <v>17436.326666666471</v>
      </c>
      <c r="BF130" s="7">
        <f t="shared" si="704"/>
        <v>13077.186666666472</v>
      </c>
      <c r="BG130" s="236">
        <f t="shared" si="407"/>
        <v>0</v>
      </c>
      <c r="BH130" s="7">
        <v>4359.1400000000003</v>
      </c>
      <c r="BI130" s="39">
        <v>13077.19</v>
      </c>
      <c r="BJ130" s="7">
        <f t="shared" si="705"/>
        <v>8718.0466666664724</v>
      </c>
      <c r="BK130" s="7">
        <f t="shared" si="774"/>
        <v>4358.9066666664721</v>
      </c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236">
        <v>0</v>
      </c>
      <c r="BW130" s="7">
        <v>4359.1400000000003</v>
      </c>
      <c r="BX130" s="39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236">
        <v>0</v>
      </c>
      <c r="CL130" s="7">
        <v>4359.1400000000003</v>
      </c>
      <c r="CM130" s="39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236">
        <v>0</v>
      </c>
    </row>
    <row r="131" spans="1:104" x14ac:dyDescent="0.2">
      <c r="A131" s="6" t="str">
        <f>'[1]2021 УГРЦТ'!A134</f>
        <v>Шкаф распред устройств с ячейками КРУ №16</v>
      </c>
      <c r="B131" t="str">
        <f>'[1]2021 УГРЦТ'!B134</f>
        <v>00001204</v>
      </c>
      <c r="C131" t="str">
        <f>'[1]2021 УГРЦТ'!C134</f>
        <v>ПРОИЗВОДСТВО</v>
      </c>
      <c r="D131" t="str">
        <f>'[1]2021 УГРЦТ'!D134</f>
        <v>Машины и оборудование (кроме офисного)</v>
      </c>
      <c r="E131" t="str">
        <f>'[1]2021 УГРЦТ'!E134</f>
        <v>31.03.2010</v>
      </c>
      <c r="F131" t="str">
        <f>'[1]2021 УГРЦТ'!F134</f>
        <v>Газотурбинный цех</v>
      </c>
      <c r="G131">
        <f>'[1]2021 УГРЦТ'!AC134</f>
        <v>180</v>
      </c>
      <c r="H131" s="7">
        <f>'[1]2021 УГРЦТ'!X134</f>
        <v>784644.95</v>
      </c>
      <c r="I131" s="7">
        <f>'[1]2021 УГРЦТ'!Y134</f>
        <v>614638.72333333339</v>
      </c>
      <c r="J131" s="7">
        <f>'[1]2021 УГРЦТ'!Z134</f>
        <v>170006.22666666657</v>
      </c>
      <c r="K131" s="8">
        <v>0</v>
      </c>
      <c r="L131" s="7">
        <v>4359.1400000000003</v>
      </c>
      <c r="M131" s="7"/>
      <c r="N131" s="7">
        <f t="shared" si="406"/>
        <v>52309.680000000008</v>
      </c>
      <c r="O131" s="7">
        <f t="shared" si="408"/>
        <v>165647.08666666655</v>
      </c>
      <c r="P131" s="7">
        <f t="shared" si="823"/>
        <v>161287.94666666654</v>
      </c>
      <c r="Q131" s="7">
        <f t="shared" si="823"/>
        <v>156928.80666666653</v>
      </c>
      <c r="R131" s="7">
        <f t="shared" si="823"/>
        <v>152569.66666666651</v>
      </c>
      <c r="S131" s="7">
        <f t="shared" si="823"/>
        <v>148210.5266666665</v>
      </c>
      <c r="T131" s="7">
        <f t="shared" si="823"/>
        <v>143851.38666666648</v>
      </c>
      <c r="U131" s="7">
        <f t="shared" si="823"/>
        <v>139492.24666666647</v>
      </c>
      <c r="V131" s="7">
        <f t="shared" si="823"/>
        <v>135133.10666666646</v>
      </c>
      <c r="W131" s="7">
        <f t="shared" si="823"/>
        <v>130773.96666666646</v>
      </c>
      <c r="X131" s="7">
        <f t="shared" si="823"/>
        <v>126414.82666666646</v>
      </c>
      <c r="Y131" s="7">
        <f t="shared" si="823"/>
        <v>122055.68666666646</v>
      </c>
      <c r="Z131" s="7">
        <f t="shared" si="823"/>
        <v>117696.54666666646</v>
      </c>
      <c r="AA131" s="7"/>
      <c r="AB131" s="7"/>
      <c r="AC131" s="7">
        <f t="shared" si="410"/>
        <v>52309.680000000008</v>
      </c>
      <c r="AD131" s="7">
        <f t="shared" si="411"/>
        <v>113337.40666666646</v>
      </c>
      <c r="AE131" s="7">
        <f t="shared" si="824"/>
        <v>108978.26666666646</v>
      </c>
      <c r="AF131" s="7">
        <f t="shared" si="824"/>
        <v>104619.12666666646</v>
      </c>
      <c r="AG131" s="7">
        <f t="shared" si="824"/>
        <v>100259.98666666646</v>
      </c>
      <c r="AH131" s="7">
        <f t="shared" si="824"/>
        <v>95900.846666666461</v>
      </c>
      <c r="AI131" s="7">
        <f t="shared" si="824"/>
        <v>91541.706666666461</v>
      </c>
      <c r="AJ131" s="7">
        <f t="shared" si="824"/>
        <v>87182.566666666462</v>
      </c>
      <c r="AK131" s="7">
        <f t="shared" si="824"/>
        <v>82823.426666666463</v>
      </c>
      <c r="AL131" s="7">
        <f t="shared" si="824"/>
        <v>78464.286666666463</v>
      </c>
      <c r="AM131" s="7">
        <f t="shared" si="824"/>
        <v>74105.146666666464</v>
      </c>
      <c r="AN131" s="7">
        <f t="shared" si="824"/>
        <v>69746.006666666464</v>
      </c>
      <c r="AO131" s="7">
        <f t="shared" si="824"/>
        <v>65386.866666666465</v>
      </c>
      <c r="AP131" s="222"/>
      <c r="AQ131" s="7">
        <v>4359.1400000000003</v>
      </c>
      <c r="AR131" s="7">
        <f t="shared" si="412"/>
        <v>4359.1399999999994</v>
      </c>
      <c r="AS131" s="7">
        <f t="shared" si="413"/>
        <v>0</v>
      </c>
      <c r="AT131" s="7">
        <f t="shared" si="703"/>
        <v>52309.680000000008</v>
      </c>
      <c r="AU131" s="7">
        <f t="shared" si="773"/>
        <v>61027.726666666465</v>
      </c>
      <c r="AV131" s="7">
        <f t="shared" si="704"/>
        <v>56668.586666666466</v>
      </c>
      <c r="AW131" s="7">
        <f t="shared" si="704"/>
        <v>52309.446666666467</v>
      </c>
      <c r="AX131" s="7">
        <f t="shared" si="704"/>
        <v>47950.306666666467</v>
      </c>
      <c r="AY131" s="7">
        <f t="shared" si="704"/>
        <v>43591.166666666468</v>
      </c>
      <c r="AZ131" s="7">
        <f t="shared" si="704"/>
        <v>39232.026666666468</v>
      </c>
      <c r="BA131" s="7">
        <f t="shared" si="704"/>
        <v>34872.886666666469</v>
      </c>
      <c r="BB131" s="7">
        <f t="shared" si="704"/>
        <v>30513.74666666647</v>
      </c>
      <c r="BC131" s="7">
        <f t="shared" si="704"/>
        <v>26154.60666666647</v>
      </c>
      <c r="BD131" s="7">
        <f t="shared" si="704"/>
        <v>21795.466666666471</v>
      </c>
      <c r="BE131" s="7">
        <f t="shared" si="704"/>
        <v>17436.326666666471</v>
      </c>
      <c r="BF131" s="7">
        <f t="shared" si="704"/>
        <v>13077.186666666472</v>
      </c>
      <c r="BG131" s="236">
        <f t="shared" si="407"/>
        <v>0</v>
      </c>
      <c r="BH131" s="7">
        <v>4359.1400000000003</v>
      </c>
      <c r="BI131" s="39">
        <v>13077.19</v>
      </c>
      <c r="BJ131" s="7">
        <f t="shared" si="705"/>
        <v>8718.0466666664724</v>
      </c>
      <c r="BK131" s="7">
        <f t="shared" si="774"/>
        <v>4358.9066666664721</v>
      </c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236">
        <v>0</v>
      </c>
      <c r="BW131" s="7">
        <v>4359.1400000000003</v>
      </c>
      <c r="BX131" s="39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236">
        <v>0</v>
      </c>
      <c r="CL131" s="7">
        <v>4359.1400000000003</v>
      </c>
      <c r="CM131" s="39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236">
        <v>0</v>
      </c>
    </row>
    <row r="132" spans="1:104" x14ac:dyDescent="0.2">
      <c r="A132" s="6" t="str">
        <f>'[1]2021 УГРЦТ'!A135</f>
        <v>Шкаф распред устройств с ячейками КРУ №17</v>
      </c>
      <c r="B132" t="str">
        <f>'[1]2021 УГРЦТ'!B135</f>
        <v>00001200</v>
      </c>
      <c r="C132" t="str">
        <f>'[1]2021 УГРЦТ'!C135</f>
        <v>ПРОИЗВОДСТВО</v>
      </c>
      <c r="D132" t="str">
        <f>'[1]2021 УГРЦТ'!D135</f>
        <v>Машины и оборудование (кроме офисного)</v>
      </c>
      <c r="E132" t="str">
        <f>'[1]2021 УГРЦТ'!E135</f>
        <v>31.03.2010</v>
      </c>
      <c r="F132" t="str">
        <f>'[1]2021 УГРЦТ'!F135</f>
        <v>Газотурбинный цех</v>
      </c>
      <c r="G132">
        <f>'[1]2021 УГРЦТ'!AC135</f>
        <v>180</v>
      </c>
      <c r="H132" s="7">
        <f>'[1]2021 УГРЦТ'!X135</f>
        <v>784644.95</v>
      </c>
      <c r="I132" s="7">
        <f>'[1]2021 УГРЦТ'!Y135</f>
        <v>614638.72333333339</v>
      </c>
      <c r="J132" s="7">
        <f>'[1]2021 УГРЦТ'!Z135</f>
        <v>170006.22666666657</v>
      </c>
      <c r="K132" s="8">
        <v>0</v>
      </c>
      <c r="L132" s="7">
        <v>4359.1400000000003</v>
      </c>
      <c r="M132" s="7"/>
      <c r="N132" s="7">
        <f t="shared" ref="N132:N164" si="825">L132*12</f>
        <v>52309.680000000008</v>
      </c>
      <c r="O132" s="7">
        <f t="shared" si="408"/>
        <v>165647.08666666655</v>
      </c>
      <c r="P132" s="7">
        <f t="shared" si="823"/>
        <v>161287.94666666654</v>
      </c>
      <c r="Q132" s="7">
        <f t="shared" si="823"/>
        <v>156928.80666666653</v>
      </c>
      <c r="R132" s="7">
        <f t="shared" si="823"/>
        <v>152569.66666666651</v>
      </c>
      <c r="S132" s="7">
        <f t="shared" si="823"/>
        <v>148210.5266666665</v>
      </c>
      <c r="T132" s="7">
        <f t="shared" si="823"/>
        <v>143851.38666666648</v>
      </c>
      <c r="U132" s="7">
        <f t="shared" si="823"/>
        <v>139492.24666666647</v>
      </c>
      <c r="V132" s="7">
        <f t="shared" si="823"/>
        <v>135133.10666666646</v>
      </c>
      <c r="W132" s="7">
        <f t="shared" si="823"/>
        <v>130773.96666666646</v>
      </c>
      <c r="X132" s="7">
        <f t="shared" si="823"/>
        <v>126414.82666666646</v>
      </c>
      <c r="Y132" s="7">
        <f t="shared" si="823"/>
        <v>122055.68666666646</v>
      </c>
      <c r="Z132" s="7">
        <f t="shared" si="823"/>
        <v>117696.54666666646</v>
      </c>
      <c r="AA132" s="7"/>
      <c r="AB132" s="7"/>
      <c r="AC132" s="7">
        <f t="shared" si="410"/>
        <v>52309.680000000008</v>
      </c>
      <c r="AD132" s="7">
        <f t="shared" si="411"/>
        <v>113337.40666666646</v>
      </c>
      <c r="AE132" s="7">
        <f t="shared" si="824"/>
        <v>108978.26666666646</v>
      </c>
      <c r="AF132" s="7">
        <f t="shared" si="824"/>
        <v>104619.12666666646</v>
      </c>
      <c r="AG132" s="7">
        <f t="shared" si="824"/>
        <v>100259.98666666646</v>
      </c>
      <c r="AH132" s="7">
        <f t="shared" si="824"/>
        <v>95900.846666666461</v>
      </c>
      <c r="AI132" s="7">
        <f t="shared" si="824"/>
        <v>91541.706666666461</v>
      </c>
      <c r="AJ132" s="7">
        <f t="shared" si="824"/>
        <v>87182.566666666462</v>
      </c>
      <c r="AK132" s="7">
        <f t="shared" si="824"/>
        <v>82823.426666666463</v>
      </c>
      <c r="AL132" s="7">
        <f t="shared" si="824"/>
        <v>78464.286666666463</v>
      </c>
      <c r="AM132" s="7">
        <f t="shared" si="824"/>
        <v>74105.146666666464</v>
      </c>
      <c r="AN132" s="7">
        <f t="shared" si="824"/>
        <v>69746.006666666464</v>
      </c>
      <c r="AO132" s="7">
        <f t="shared" si="824"/>
        <v>65386.866666666465</v>
      </c>
      <c r="AP132" s="222"/>
      <c r="AQ132" s="7">
        <v>4359.1400000000003</v>
      </c>
      <c r="AR132" s="7">
        <f t="shared" si="412"/>
        <v>4359.1399999999994</v>
      </c>
      <c r="AS132" s="7">
        <f t="shared" si="413"/>
        <v>0</v>
      </c>
      <c r="AT132" s="7">
        <f t="shared" si="703"/>
        <v>52309.680000000008</v>
      </c>
      <c r="AU132" s="7">
        <f t="shared" si="773"/>
        <v>61027.726666666465</v>
      </c>
      <c r="AV132" s="7">
        <f t="shared" ref="AV132:BF143" si="826">AU132-$L132</f>
        <v>56668.586666666466</v>
      </c>
      <c r="AW132" s="7">
        <f t="shared" si="826"/>
        <v>52309.446666666467</v>
      </c>
      <c r="AX132" s="7">
        <f t="shared" si="826"/>
        <v>47950.306666666467</v>
      </c>
      <c r="AY132" s="7">
        <f t="shared" si="826"/>
        <v>43591.166666666468</v>
      </c>
      <c r="AZ132" s="7">
        <f t="shared" si="826"/>
        <v>39232.026666666468</v>
      </c>
      <c r="BA132" s="7">
        <f t="shared" si="826"/>
        <v>34872.886666666469</v>
      </c>
      <c r="BB132" s="7">
        <f t="shared" si="826"/>
        <v>30513.74666666647</v>
      </c>
      <c r="BC132" s="7">
        <f t="shared" si="826"/>
        <v>26154.60666666647</v>
      </c>
      <c r="BD132" s="7">
        <f t="shared" si="826"/>
        <v>21795.466666666471</v>
      </c>
      <c r="BE132" s="7">
        <f t="shared" si="826"/>
        <v>17436.326666666471</v>
      </c>
      <c r="BF132" s="7">
        <f t="shared" si="826"/>
        <v>13077.186666666472</v>
      </c>
      <c r="BG132" s="236">
        <f t="shared" ref="BG132:BG195" si="827">IF(K132&lt;1,0,SUM(AU132:BF132,AO132)/13*$BG$1)</f>
        <v>0</v>
      </c>
      <c r="BH132" s="7">
        <v>4359.1400000000003</v>
      </c>
      <c r="BI132" s="39">
        <v>13077.19</v>
      </c>
      <c r="BJ132" s="7">
        <f t="shared" si="705"/>
        <v>8718.0466666664724</v>
      </c>
      <c r="BK132" s="7">
        <f t="shared" si="774"/>
        <v>4358.9066666664721</v>
      </c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236">
        <v>0</v>
      </c>
      <c r="BW132" s="7">
        <v>4359.1400000000003</v>
      </c>
      <c r="BX132" s="39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236">
        <v>0</v>
      </c>
      <c r="CL132" s="7">
        <v>4359.1400000000003</v>
      </c>
      <c r="CM132" s="39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236">
        <v>0</v>
      </c>
    </row>
    <row r="133" spans="1:104" x14ac:dyDescent="0.2">
      <c r="A133" s="6" t="str">
        <f>'[1]2021 УГРЦТ'!A136</f>
        <v>Шкаф распред устройств с ячейками КРУ №18</v>
      </c>
      <c r="B133" t="str">
        <f>'[1]2021 УГРЦТ'!B136</f>
        <v>00001213</v>
      </c>
      <c r="C133" t="str">
        <f>'[1]2021 УГРЦТ'!C136</f>
        <v>ПРОИЗВОДСТВО</v>
      </c>
      <c r="D133" t="str">
        <f>'[1]2021 УГРЦТ'!D136</f>
        <v>Машины и оборудование (кроме офисного)</v>
      </c>
      <c r="E133" t="str">
        <f>'[1]2021 УГРЦТ'!E136</f>
        <v>31.03.2010</v>
      </c>
      <c r="F133" t="str">
        <f>'[1]2021 УГРЦТ'!F136</f>
        <v>Газотурбинный цех</v>
      </c>
      <c r="G133">
        <f>'[1]2021 УГРЦТ'!AC136</f>
        <v>180</v>
      </c>
      <c r="H133" s="7">
        <f>'[1]2021 УГРЦТ'!X136</f>
        <v>784644.95</v>
      </c>
      <c r="I133" s="7">
        <f>'[1]2021 УГРЦТ'!Y136</f>
        <v>614638.72333333339</v>
      </c>
      <c r="J133" s="7">
        <f>'[1]2021 УГРЦТ'!Z136</f>
        <v>170006.22666666657</v>
      </c>
      <c r="K133" s="8">
        <v>0</v>
      </c>
      <c r="L133" s="7">
        <v>4359.1400000000003</v>
      </c>
      <c r="M133" s="7"/>
      <c r="N133" s="7">
        <f t="shared" si="825"/>
        <v>52309.680000000008</v>
      </c>
      <c r="O133" s="7">
        <f t="shared" ref="O133:O196" si="828">J133-$L133</f>
        <v>165647.08666666655</v>
      </c>
      <c r="P133" s="7">
        <f t="shared" si="823"/>
        <v>161287.94666666654</v>
      </c>
      <c r="Q133" s="7">
        <f t="shared" si="823"/>
        <v>156928.80666666653</v>
      </c>
      <c r="R133" s="7">
        <f t="shared" si="823"/>
        <v>152569.66666666651</v>
      </c>
      <c r="S133" s="7">
        <f t="shared" si="823"/>
        <v>148210.5266666665</v>
      </c>
      <c r="T133" s="7">
        <f t="shared" si="823"/>
        <v>143851.38666666648</v>
      </c>
      <c r="U133" s="7">
        <f t="shared" si="823"/>
        <v>139492.24666666647</v>
      </c>
      <c r="V133" s="7">
        <f t="shared" si="823"/>
        <v>135133.10666666646</v>
      </c>
      <c r="W133" s="7">
        <f t="shared" si="823"/>
        <v>130773.96666666646</v>
      </c>
      <c r="X133" s="7">
        <f t="shared" si="823"/>
        <v>126414.82666666646</v>
      </c>
      <c r="Y133" s="7">
        <f t="shared" si="823"/>
        <v>122055.68666666646</v>
      </c>
      <c r="Z133" s="7">
        <f t="shared" si="823"/>
        <v>117696.54666666646</v>
      </c>
      <c r="AA133" s="7"/>
      <c r="AB133" s="7"/>
      <c r="AC133" s="7">
        <f t="shared" ref="AC133:AC196" si="829">L133*12</f>
        <v>52309.680000000008</v>
      </c>
      <c r="AD133" s="7">
        <f t="shared" ref="AD133:AD196" si="830">Z133-$L133</f>
        <v>113337.40666666646</v>
      </c>
      <c r="AE133" s="7">
        <f t="shared" si="824"/>
        <v>108978.26666666646</v>
      </c>
      <c r="AF133" s="7">
        <f t="shared" si="824"/>
        <v>104619.12666666646</v>
      </c>
      <c r="AG133" s="7">
        <f t="shared" si="824"/>
        <v>100259.98666666646</v>
      </c>
      <c r="AH133" s="7">
        <f t="shared" si="824"/>
        <v>95900.846666666461</v>
      </c>
      <c r="AI133" s="7">
        <f t="shared" si="824"/>
        <v>91541.706666666461</v>
      </c>
      <c r="AJ133" s="7">
        <f t="shared" si="824"/>
        <v>87182.566666666462</v>
      </c>
      <c r="AK133" s="7">
        <f t="shared" si="824"/>
        <v>82823.426666666463</v>
      </c>
      <c r="AL133" s="7">
        <f t="shared" si="824"/>
        <v>78464.286666666463</v>
      </c>
      <c r="AM133" s="7">
        <f t="shared" si="824"/>
        <v>74105.146666666464</v>
      </c>
      <c r="AN133" s="7">
        <f t="shared" si="824"/>
        <v>69746.006666666464</v>
      </c>
      <c r="AO133" s="7">
        <f t="shared" si="824"/>
        <v>65386.866666666465</v>
      </c>
      <c r="AP133" s="222"/>
      <c r="AQ133" s="7">
        <v>4359.1400000000003</v>
      </c>
      <c r="AR133" s="7">
        <f t="shared" ref="AR133:AR196" si="831">AN133-AO133</f>
        <v>4359.1399999999994</v>
      </c>
      <c r="AS133" s="7">
        <f t="shared" ref="AS133:AS196" si="832">AR133-AQ133</f>
        <v>0</v>
      </c>
      <c r="AT133" s="7">
        <f t="shared" si="703"/>
        <v>52309.680000000008</v>
      </c>
      <c r="AU133" s="7">
        <f t="shared" si="773"/>
        <v>61027.726666666465</v>
      </c>
      <c r="AV133" s="7">
        <f t="shared" si="826"/>
        <v>56668.586666666466</v>
      </c>
      <c r="AW133" s="7">
        <f t="shared" si="826"/>
        <v>52309.446666666467</v>
      </c>
      <c r="AX133" s="7">
        <f t="shared" si="826"/>
        <v>47950.306666666467</v>
      </c>
      <c r="AY133" s="7">
        <f t="shared" si="826"/>
        <v>43591.166666666468</v>
      </c>
      <c r="AZ133" s="7">
        <f t="shared" si="826"/>
        <v>39232.026666666468</v>
      </c>
      <c r="BA133" s="7">
        <f t="shared" si="826"/>
        <v>34872.886666666469</v>
      </c>
      <c r="BB133" s="7">
        <f t="shared" si="826"/>
        <v>30513.74666666647</v>
      </c>
      <c r="BC133" s="7">
        <f t="shared" si="826"/>
        <v>26154.60666666647</v>
      </c>
      <c r="BD133" s="7">
        <f t="shared" si="826"/>
        <v>21795.466666666471</v>
      </c>
      <c r="BE133" s="7">
        <f t="shared" si="826"/>
        <v>17436.326666666471</v>
      </c>
      <c r="BF133" s="7">
        <f t="shared" si="826"/>
        <v>13077.186666666472</v>
      </c>
      <c r="BG133" s="236">
        <f t="shared" si="827"/>
        <v>0</v>
      </c>
      <c r="BH133" s="7">
        <v>4359.1400000000003</v>
      </c>
      <c r="BI133" s="39">
        <v>13077.19</v>
      </c>
      <c r="BJ133" s="7">
        <f t="shared" si="705"/>
        <v>8718.0466666664724</v>
      </c>
      <c r="BK133" s="7">
        <f t="shared" si="774"/>
        <v>4358.9066666664721</v>
      </c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236">
        <v>0</v>
      </c>
      <c r="BW133" s="7">
        <v>4359.1400000000003</v>
      </c>
      <c r="BX133" s="39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236">
        <v>0</v>
      </c>
      <c r="CL133" s="7">
        <v>4359.1400000000003</v>
      </c>
      <c r="CM133" s="39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236">
        <v>0</v>
      </c>
    </row>
    <row r="134" spans="1:104" x14ac:dyDescent="0.2">
      <c r="A134" s="6" t="str">
        <f>'[1]2021 УГРЦТ'!A137</f>
        <v>Шкаф распред устройств с ячейками КРУ №19</v>
      </c>
      <c r="B134" t="str">
        <f>'[1]2021 УГРЦТ'!B137</f>
        <v>00001214</v>
      </c>
      <c r="C134" t="str">
        <f>'[1]2021 УГРЦТ'!C137</f>
        <v>ПРОИЗВОДСТВО</v>
      </c>
      <c r="D134" t="str">
        <f>'[1]2021 УГРЦТ'!D137</f>
        <v>Машины и оборудование (кроме офисного)</v>
      </c>
      <c r="E134" t="str">
        <f>'[1]2021 УГРЦТ'!E137</f>
        <v>31.03.2010</v>
      </c>
      <c r="F134" t="str">
        <f>'[1]2021 УГРЦТ'!F137</f>
        <v>Газотурбинный цех</v>
      </c>
      <c r="G134">
        <f>'[1]2021 УГРЦТ'!AC137</f>
        <v>180</v>
      </c>
      <c r="H134" s="7">
        <f>'[1]2021 УГРЦТ'!X137</f>
        <v>784644.95</v>
      </c>
      <c r="I134" s="7">
        <f>'[1]2021 УГРЦТ'!Y137</f>
        <v>614638.72333333339</v>
      </c>
      <c r="J134" s="7">
        <f>'[1]2021 УГРЦТ'!Z137</f>
        <v>170006.22666666657</v>
      </c>
      <c r="K134" s="8">
        <v>0</v>
      </c>
      <c r="L134" s="7">
        <v>4359.1400000000003</v>
      </c>
      <c r="M134" s="7"/>
      <c r="N134" s="7">
        <f t="shared" si="825"/>
        <v>52309.680000000008</v>
      </c>
      <c r="O134" s="7">
        <f t="shared" si="828"/>
        <v>165647.08666666655</v>
      </c>
      <c r="P134" s="7">
        <f t="shared" si="823"/>
        <v>161287.94666666654</v>
      </c>
      <c r="Q134" s="7">
        <f t="shared" si="823"/>
        <v>156928.80666666653</v>
      </c>
      <c r="R134" s="7">
        <f t="shared" si="823"/>
        <v>152569.66666666651</v>
      </c>
      <c r="S134" s="7">
        <f t="shared" si="823"/>
        <v>148210.5266666665</v>
      </c>
      <c r="T134" s="7">
        <f t="shared" si="823"/>
        <v>143851.38666666648</v>
      </c>
      <c r="U134" s="7">
        <f t="shared" si="823"/>
        <v>139492.24666666647</v>
      </c>
      <c r="V134" s="7">
        <f t="shared" si="823"/>
        <v>135133.10666666646</v>
      </c>
      <c r="W134" s="7">
        <f t="shared" si="823"/>
        <v>130773.96666666646</v>
      </c>
      <c r="X134" s="7">
        <f t="shared" si="823"/>
        <v>126414.82666666646</v>
      </c>
      <c r="Y134" s="7">
        <f t="shared" si="823"/>
        <v>122055.68666666646</v>
      </c>
      <c r="Z134" s="7">
        <f t="shared" si="823"/>
        <v>117696.54666666646</v>
      </c>
      <c r="AA134" s="7"/>
      <c r="AB134" s="7"/>
      <c r="AC134" s="7">
        <f t="shared" si="829"/>
        <v>52309.680000000008</v>
      </c>
      <c r="AD134" s="7">
        <f t="shared" si="830"/>
        <v>113337.40666666646</v>
      </c>
      <c r="AE134" s="7">
        <f t="shared" si="824"/>
        <v>108978.26666666646</v>
      </c>
      <c r="AF134" s="7">
        <f t="shared" si="824"/>
        <v>104619.12666666646</v>
      </c>
      <c r="AG134" s="7">
        <f t="shared" si="824"/>
        <v>100259.98666666646</v>
      </c>
      <c r="AH134" s="7">
        <f t="shared" si="824"/>
        <v>95900.846666666461</v>
      </c>
      <c r="AI134" s="7">
        <f t="shared" si="824"/>
        <v>91541.706666666461</v>
      </c>
      <c r="AJ134" s="7">
        <f t="shared" si="824"/>
        <v>87182.566666666462</v>
      </c>
      <c r="AK134" s="7">
        <f t="shared" si="824"/>
        <v>82823.426666666463</v>
      </c>
      <c r="AL134" s="7">
        <f t="shared" si="824"/>
        <v>78464.286666666463</v>
      </c>
      <c r="AM134" s="7">
        <f t="shared" si="824"/>
        <v>74105.146666666464</v>
      </c>
      <c r="AN134" s="7">
        <f t="shared" si="824"/>
        <v>69746.006666666464</v>
      </c>
      <c r="AO134" s="7">
        <f t="shared" si="824"/>
        <v>65386.866666666465</v>
      </c>
      <c r="AP134" s="222"/>
      <c r="AQ134" s="7">
        <v>4359.1400000000003</v>
      </c>
      <c r="AR134" s="7">
        <f t="shared" si="831"/>
        <v>4359.1399999999994</v>
      </c>
      <c r="AS134" s="7">
        <f t="shared" si="832"/>
        <v>0</v>
      </c>
      <c r="AT134" s="7">
        <f t="shared" si="703"/>
        <v>52309.680000000008</v>
      </c>
      <c r="AU134" s="7">
        <f t="shared" si="773"/>
        <v>61027.726666666465</v>
      </c>
      <c r="AV134" s="7">
        <f t="shared" si="826"/>
        <v>56668.586666666466</v>
      </c>
      <c r="AW134" s="7">
        <f t="shared" si="826"/>
        <v>52309.446666666467</v>
      </c>
      <c r="AX134" s="7">
        <f t="shared" si="826"/>
        <v>47950.306666666467</v>
      </c>
      <c r="AY134" s="7">
        <f t="shared" si="826"/>
        <v>43591.166666666468</v>
      </c>
      <c r="AZ134" s="7">
        <f t="shared" si="826"/>
        <v>39232.026666666468</v>
      </c>
      <c r="BA134" s="7">
        <f t="shared" si="826"/>
        <v>34872.886666666469</v>
      </c>
      <c r="BB134" s="7">
        <f t="shared" si="826"/>
        <v>30513.74666666647</v>
      </c>
      <c r="BC134" s="7">
        <f t="shared" si="826"/>
        <v>26154.60666666647</v>
      </c>
      <c r="BD134" s="7">
        <f t="shared" si="826"/>
        <v>21795.466666666471</v>
      </c>
      <c r="BE134" s="7">
        <f t="shared" si="826"/>
        <v>17436.326666666471</v>
      </c>
      <c r="BF134" s="7">
        <f t="shared" si="826"/>
        <v>13077.186666666472</v>
      </c>
      <c r="BG134" s="236">
        <f t="shared" si="827"/>
        <v>0</v>
      </c>
      <c r="BH134" s="7">
        <v>4359.1400000000003</v>
      </c>
      <c r="BI134" s="39">
        <v>13077.19</v>
      </c>
      <c r="BJ134" s="7">
        <f t="shared" si="705"/>
        <v>8718.0466666664724</v>
      </c>
      <c r="BK134" s="7">
        <f t="shared" si="774"/>
        <v>4358.9066666664721</v>
      </c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236">
        <v>0</v>
      </c>
      <c r="BW134" s="7">
        <v>4359.1400000000003</v>
      </c>
      <c r="BX134" s="39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236">
        <v>0</v>
      </c>
      <c r="CL134" s="7">
        <v>4359.1400000000003</v>
      </c>
      <c r="CM134" s="39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236">
        <v>0</v>
      </c>
    </row>
    <row r="135" spans="1:104" x14ac:dyDescent="0.2">
      <c r="A135" s="6" t="str">
        <f>'[1]2021 УГРЦТ'!A138</f>
        <v>Шкаф распред устройств с ячейками КРУ №20</v>
      </c>
      <c r="B135" t="str">
        <f>'[1]2021 УГРЦТ'!B138</f>
        <v>00001189</v>
      </c>
      <c r="C135" t="str">
        <f>'[1]2021 УГРЦТ'!C138</f>
        <v>ПРОИЗВОДСТВО</v>
      </c>
      <c r="D135" t="str">
        <f>'[1]2021 УГРЦТ'!D138</f>
        <v>Машины и оборудование (кроме офисного)</v>
      </c>
      <c r="E135" t="str">
        <f>'[1]2021 УГРЦТ'!E138</f>
        <v>31.03.2010</v>
      </c>
      <c r="F135" t="str">
        <f>'[1]2021 УГРЦТ'!F138</f>
        <v>Газотурбинный цех</v>
      </c>
      <c r="G135">
        <f>'[1]2021 УГРЦТ'!AC138</f>
        <v>180</v>
      </c>
      <c r="H135" s="7">
        <f>'[1]2021 УГРЦТ'!X138</f>
        <v>784644.95</v>
      </c>
      <c r="I135" s="7">
        <f>'[1]2021 УГРЦТ'!Y138</f>
        <v>614638.72333333339</v>
      </c>
      <c r="J135" s="7">
        <f>'[1]2021 УГРЦТ'!Z138</f>
        <v>170006.22666666657</v>
      </c>
      <c r="K135" s="8">
        <v>0</v>
      </c>
      <c r="L135" s="7">
        <v>4359.1400000000003</v>
      </c>
      <c r="M135" s="7"/>
      <c r="N135" s="7">
        <f t="shared" si="825"/>
        <v>52309.680000000008</v>
      </c>
      <c r="O135" s="7">
        <f t="shared" si="828"/>
        <v>165647.08666666655</v>
      </c>
      <c r="P135" s="7">
        <f t="shared" si="823"/>
        <v>161287.94666666654</v>
      </c>
      <c r="Q135" s="7">
        <f t="shared" si="823"/>
        <v>156928.80666666653</v>
      </c>
      <c r="R135" s="7">
        <f t="shared" si="823"/>
        <v>152569.66666666651</v>
      </c>
      <c r="S135" s="7">
        <f t="shared" si="823"/>
        <v>148210.5266666665</v>
      </c>
      <c r="T135" s="7">
        <f t="shared" si="823"/>
        <v>143851.38666666648</v>
      </c>
      <c r="U135" s="7">
        <f t="shared" si="823"/>
        <v>139492.24666666647</v>
      </c>
      <c r="V135" s="7">
        <f t="shared" si="823"/>
        <v>135133.10666666646</v>
      </c>
      <c r="W135" s="7">
        <f t="shared" si="823"/>
        <v>130773.96666666646</v>
      </c>
      <c r="X135" s="7">
        <f t="shared" si="823"/>
        <v>126414.82666666646</v>
      </c>
      <c r="Y135" s="7">
        <f t="shared" si="823"/>
        <v>122055.68666666646</v>
      </c>
      <c r="Z135" s="7">
        <f t="shared" si="823"/>
        <v>117696.54666666646</v>
      </c>
      <c r="AA135" s="7"/>
      <c r="AB135" s="7"/>
      <c r="AC135" s="7">
        <f t="shared" si="829"/>
        <v>52309.680000000008</v>
      </c>
      <c r="AD135" s="7">
        <f t="shared" si="830"/>
        <v>113337.40666666646</v>
      </c>
      <c r="AE135" s="7">
        <f t="shared" si="824"/>
        <v>108978.26666666646</v>
      </c>
      <c r="AF135" s="7">
        <f t="shared" si="824"/>
        <v>104619.12666666646</v>
      </c>
      <c r="AG135" s="7">
        <f t="shared" si="824"/>
        <v>100259.98666666646</v>
      </c>
      <c r="AH135" s="7">
        <f t="shared" si="824"/>
        <v>95900.846666666461</v>
      </c>
      <c r="AI135" s="7">
        <f t="shared" si="824"/>
        <v>91541.706666666461</v>
      </c>
      <c r="AJ135" s="7">
        <f t="shared" si="824"/>
        <v>87182.566666666462</v>
      </c>
      <c r="AK135" s="7">
        <f t="shared" si="824"/>
        <v>82823.426666666463</v>
      </c>
      <c r="AL135" s="7">
        <f t="shared" si="824"/>
        <v>78464.286666666463</v>
      </c>
      <c r="AM135" s="7">
        <f t="shared" si="824"/>
        <v>74105.146666666464</v>
      </c>
      <c r="AN135" s="7">
        <f t="shared" si="824"/>
        <v>69746.006666666464</v>
      </c>
      <c r="AO135" s="7">
        <f t="shared" si="824"/>
        <v>65386.866666666465</v>
      </c>
      <c r="AP135" s="222"/>
      <c r="AQ135" s="7">
        <v>4359.1400000000003</v>
      </c>
      <c r="AR135" s="7">
        <f t="shared" si="831"/>
        <v>4359.1399999999994</v>
      </c>
      <c r="AS135" s="7">
        <f t="shared" si="832"/>
        <v>0</v>
      </c>
      <c r="AT135" s="7">
        <f t="shared" si="703"/>
        <v>52309.680000000008</v>
      </c>
      <c r="AU135" s="7">
        <f t="shared" si="773"/>
        <v>61027.726666666465</v>
      </c>
      <c r="AV135" s="7">
        <f t="shared" si="826"/>
        <v>56668.586666666466</v>
      </c>
      <c r="AW135" s="7">
        <f t="shared" si="826"/>
        <v>52309.446666666467</v>
      </c>
      <c r="AX135" s="7">
        <f t="shared" si="826"/>
        <v>47950.306666666467</v>
      </c>
      <c r="AY135" s="7">
        <f t="shared" si="826"/>
        <v>43591.166666666468</v>
      </c>
      <c r="AZ135" s="7">
        <f t="shared" si="826"/>
        <v>39232.026666666468</v>
      </c>
      <c r="BA135" s="7">
        <f t="shared" si="826"/>
        <v>34872.886666666469</v>
      </c>
      <c r="BB135" s="7">
        <f t="shared" si="826"/>
        <v>30513.74666666647</v>
      </c>
      <c r="BC135" s="7">
        <f t="shared" si="826"/>
        <v>26154.60666666647</v>
      </c>
      <c r="BD135" s="7">
        <f t="shared" si="826"/>
        <v>21795.466666666471</v>
      </c>
      <c r="BE135" s="7">
        <f t="shared" si="826"/>
        <v>17436.326666666471</v>
      </c>
      <c r="BF135" s="7">
        <f t="shared" si="826"/>
        <v>13077.186666666472</v>
      </c>
      <c r="BG135" s="236">
        <f t="shared" si="827"/>
        <v>0</v>
      </c>
      <c r="BH135" s="7">
        <v>4359.1400000000003</v>
      </c>
      <c r="BI135" s="39">
        <v>13077.19</v>
      </c>
      <c r="BJ135" s="7">
        <f t="shared" si="705"/>
        <v>8718.0466666664724</v>
      </c>
      <c r="BK135" s="7">
        <f t="shared" si="774"/>
        <v>4358.9066666664721</v>
      </c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236">
        <v>0</v>
      </c>
      <c r="BW135" s="7">
        <v>4359.1400000000003</v>
      </c>
      <c r="BX135" s="39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236">
        <v>0</v>
      </c>
      <c r="CL135" s="7">
        <v>4359.1400000000003</v>
      </c>
      <c r="CM135" s="39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236">
        <v>0</v>
      </c>
    </row>
    <row r="136" spans="1:104" x14ac:dyDescent="0.2">
      <c r="A136" s="6" t="str">
        <f>'[1]2021 УГРЦТ'!A139</f>
        <v>Шкаф распред устройств с ячейками КРУ №21</v>
      </c>
      <c r="B136" t="str">
        <f>'[1]2021 УГРЦТ'!B139</f>
        <v>00001215</v>
      </c>
      <c r="C136" t="str">
        <f>'[1]2021 УГРЦТ'!C139</f>
        <v>ПРОИЗВОДСТВО</v>
      </c>
      <c r="D136" t="str">
        <f>'[1]2021 УГРЦТ'!D139</f>
        <v>Машины и оборудование (кроме офисного)</v>
      </c>
      <c r="E136" t="str">
        <f>'[1]2021 УГРЦТ'!E139</f>
        <v>31.03.2010</v>
      </c>
      <c r="F136" t="str">
        <f>'[1]2021 УГРЦТ'!F139</f>
        <v>Газотурбинный цех</v>
      </c>
      <c r="G136">
        <f>'[1]2021 УГРЦТ'!AC139</f>
        <v>180</v>
      </c>
      <c r="H136" s="7">
        <f>'[1]2021 УГРЦТ'!X139</f>
        <v>784644.95</v>
      </c>
      <c r="I136" s="7">
        <f>'[1]2021 УГРЦТ'!Y139</f>
        <v>614638.72333333339</v>
      </c>
      <c r="J136" s="7">
        <f>'[1]2021 УГРЦТ'!Z139</f>
        <v>170006.22666666657</v>
      </c>
      <c r="K136" s="8">
        <v>0</v>
      </c>
      <c r="L136" s="7">
        <v>4359.1400000000003</v>
      </c>
      <c r="M136" s="7"/>
      <c r="N136" s="7">
        <f t="shared" si="825"/>
        <v>52309.680000000008</v>
      </c>
      <c r="O136" s="7">
        <f t="shared" si="828"/>
        <v>165647.08666666655</v>
      </c>
      <c r="P136" s="7">
        <f t="shared" si="823"/>
        <v>161287.94666666654</v>
      </c>
      <c r="Q136" s="7">
        <f t="shared" si="823"/>
        <v>156928.80666666653</v>
      </c>
      <c r="R136" s="7">
        <f t="shared" si="823"/>
        <v>152569.66666666651</v>
      </c>
      <c r="S136" s="7">
        <f t="shared" si="823"/>
        <v>148210.5266666665</v>
      </c>
      <c r="T136" s="7">
        <f t="shared" si="823"/>
        <v>143851.38666666648</v>
      </c>
      <c r="U136" s="7">
        <f t="shared" si="823"/>
        <v>139492.24666666647</v>
      </c>
      <c r="V136" s="7">
        <f t="shared" si="823"/>
        <v>135133.10666666646</v>
      </c>
      <c r="W136" s="7">
        <f t="shared" si="823"/>
        <v>130773.96666666646</v>
      </c>
      <c r="X136" s="7">
        <f t="shared" si="823"/>
        <v>126414.82666666646</v>
      </c>
      <c r="Y136" s="7">
        <f t="shared" si="823"/>
        <v>122055.68666666646</v>
      </c>
      <c r="Z136" s="7">
        <f t="shared" si="823"/>
        <v>117696.54666666646</v>
      </c>
      <c r="AA136" s="7"/>
      <c r="AB136" s="7"/>
      <c r="AC136" s="7">
        <f t="shared" si="829"/>
        <v>52309.680000000008</v>
      </c>
      <c r="AD136" s="7">
        <f t="shared" si="830"/>
        <v>113337.40666666646</v>
      </c>
      <c r="AE136" s="7">
        <f t="shared" si="824"/>
        <v>108978.26666666646</v>
      </c>
      <c r="AF136" s="7">
        <f t="shared" si="824"/>
        <v>104619.12666666646</v>
      </c>
      <c r="AG136" s="7">
        <f t="shared" si="824"/>
        <v>100259.98666666646</v>
      </c>
      <c r="AH136" s="7">
        <f t="shared" si="824"/>
        <v>95900.846666666461</v>
      </c>
      <c r="AI136" s="7">
        <f t="shared" si="824"/>
        <v>91541.706666666461</v>
      </c>
      <c r="AJ136" s="7">
        <f t="shared" si="824"/>
        <v>87182.566666666462</v>
      </c>
      <c r="AK136" s="7">
        <f t="shared" si="824"/>
        <v>82823.426666666463</v>
      </c>
      <c r="AL136" s="7">
        <f t="shared" si="824"/>
        <v>78464.286666666463</v>
      </c>
      <c r="AM136" s="7">
        <f t="shared" si="824"/>
        <v>74105.146666666464</v>
      </c>
      <c r="AN136" s="7">
        <f t="shared" si="824"/>
        <v>69746.006666666464</v>
      </c>
      <c r="AO136" s="7">
        <f t="shared" si="824"/>
        <v>65386.866666666465</v>
      </c>
      <c r="AP136" s="222"/>
      <c r="AQ136" s="7">
        <v>4359.1400000000003</v>
      </c>
      <c r="AR136" s="7">
        <f t="shared" si="831"/>
        <v>4359.1399999999994</v>
      </c>
      <c r="AS136" s="7">
        <f t="shared" si="832"/>
        <v>0</v>
      </c>
      <c r="AT136" s="7">
        <f t="shared" si="703"/>
        <v>52309.680000000008</v>
      </c>
      <c r="AU136" s="7">
        <f t="shared" si="773"/>
        <v>61027.726666666465</v>
      </c>
      <c r="AV136" s="7">
        <f t="shared" si="826"/>
        <v>56668.586666666466</v>
      </c>
      <c r="AW136" s="7">
        <f t="shared" si="826"/>
        <v>52309.446666666467</v>
      </c>
      <c r="AX136" s="7">
        <f t="shared" si="826"/>
        <v>47950.306666666467</v>
      </c>
      <c r="AY136" s="7">
        <f t="shared" si="826"/>
        <v>43591.166666666468</v>
      </c>
      <c r="AZ136" s="7">
        <f t="shared" si="826"/>
        <v>39232.026666666468</v>
      </c>
      <c r="BA136" s="7">
        <f t="shared" si="826"/>
        <v>34872.886666666469</v>
      </c>
      <c r="BB136" s="7">
        <f t="shared" si="826"/>
        <v>30513.74666666647</v>
      </c>
      <c r="BC136" s="7">
        <f t="shared" si="826"/>
        <v>26154.60666666647</v>
      </c>
      <c r="BD136" s="7">
        <f t="shared" si="826"/>
        <v>21795.466666666471</v>
      </c>
      <c r="BE136" s="7">
        <f t="shared" si="826"/>
        <v>17436.326666666471</v>
      </c>
      <c r="BF136" s="7">
        <f t="shared" si="826"/>
        <v>13077.186666666472</v>
      </c>
      <c r="BG136" s="236">
        <f t="shared" si="827"/>
        <v>0</v>
      </c>
      <c r="BH136" s="7">
        <v>4359.1400000000003</v>
      </c>
      <c r="BI136" s="39">
        <v>13077.19</v>
      </c>
      <c r="BJ136" s="7">
        <f t="shared" si="705"/>
        <v>8718.0466666664724</v>
      </c>
      <c r="BK136" s="7">
        <f t="shared" si="774"/>
        <v>4358.9066666664721</v>
      </c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236">
        <v>0</v>
      </c>
      <c r="BW136" s="7">
        <v>4359.1400000000003</v>
      </c>
      <c r="BX136" s="39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236">
        <v>0</v>
      </c>
      <c r="CL136" s="7">
        <v>4359.1400000000003</v>
      </c>
      <c r="CM136" s="39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236">
        <v>0</v>
      </c>
    </row>
    <row r="137" spans="1:104" x14ac:dyDescent="0.2">
      <c r="A137" s="6" t="str">
        <f>'[1]2021 УГРЦТ'!A140</f>
        <v>Шкаф распред устройств с ячейками КРУ №22</v>
      </c>
      <c r="B137" t="str">
        <f>'[1]2021 УГРЦТ'!B140</f>
        <v>00001216</v>
      </c>
      <c r="C137" t="str">
        <f>'[1]2021 УГРЦТ'!C140</f>
        <v>ПРОИЗВОДСТВО</v>
      </c>
      <c r="D137" t="str">
        <f>'[1]2021 УГРЦТ'!D140</f>
        <v>Машины и оборудование (кроме офисного)</v>
      </c>
      <c r="E137" t="str">
        <f>'[1]2021 УГРЦТ'!E140</f>
        <v>31.03.2010</v>
      </c>
      <c r="F137" t="str">
        <f>'[1]2021 УГРЦТ'!F140</f>
        <v>Газотурбинный цех</v>
      </c>
      <c r="G137">
        <f>'[1]2021 УГРЦТ'!AC140</f>
        <v>180</v>
      </c>
      <c r="H137" s="7">
        <f>'[1]2021 УГРЦТ'!X140</f>
        <v>784644.95</v>
      </c>
      <c r="I137" s="7">
        <f>'[1]2021 УГРЦТ'!Y140</f>
        <v>614638.72333333339</v>
      </c>
      <c r="J137" s="7">
        <f>'[1]2021 УГРЦТ'!Z140</f>
        <v>170006.22666666657</v>
      </c>
      <c r="K137" s="8">
        <v>0</v>
      </c>
      <c r="L137" s="7">
        <v>4359.1400000000003</v>
      </c>
      <c r="M137" s="7"/>
      <c r="N137" s="7">
        <f t="shared" si="825"/>
        <v>52309.680000000008</v>
      </c>
      <c r="O137" s="7">
        <f t="shared" si="828"/>
        <v>165647.08666666655</v>
      </c>
      <c r="P137" s="7">
        <f t="shared" si="823"/>
        <v>161287.94666666654</v>
      </c>
      <c r="Q137" s="7">
        <f t="shared" si="823"/>
        <v>156928.80666666653</v>
      </c>
      <c r="R137" s="7">
        <f t="shared" si="823"/>
        <v>152569.66666666651</v>
      </c>
      <c r="S137" s="7">
        <f t="shared" si="823"/>
        <v>148210.5266666665</v>
      </c>
      <c r="T137" s="7">
        <f t="shared" si="823"/>
        <v>143851.38666666648</v>
      </c>
      <c r="U137" s="7">
        <f t="shared" si="823"/>
        <v>139492.24666666647</v>
      </c>
      <c r="V137" s="7">
        <f t="shared" si="823"/>
        <v>135133.10666666646</v>
      </c>
      <c r="W137" s="7">
        <f t="shared" si="823"/>
        <v>130773.96666666646</v>
      </c>
      <c r="X137" s="7">
        <f t="shared" si="823"/>
        <v>126414.82666666646</v>
      </c>
      <c r="Y137" s="7">
        <f t="shared" si="823"/>
        <v>122055.68666666646</v>
      </c>
      <c r="Z137" s="7">
        <f t="shared" si="823"/>
        <v>117696.54666666646</v>
      </c>
      <c r="AA137" s="7"/>
      <c r="AB137" s="7"/>
      <c r="AC137" s="7">
        <f t="shared" si="829"/>
        <v>52309.680000000008</v>
      </c>
      <c r="AD137" s="7">
        <f t="shared" si="830"/>
        <v>113337.40666666646</v>
      </c>
      <c r="AE137" s="7">
        <f t="shared" si="824"/>
        <v>108978.26666666646</v>
      </c>
      <c r="AF137" s="7">
        <f t="shared" si="824"/>
        <v>104619.12666666646</v>
      </c>
      <c r="AG137" s="7">
        <f t="shared" si="824"/>
        <v>100259.98666666646</v>
      </c>
      <c r="AH137" s="7">
        <f t="shared" si="824"/>
        <v>95900.846666666461</v>
      </c>
      <c r="AI137" s="7">
        <f t="shared" si="824"/>
        <v>91541.706666666461</v>
      </c>
      <c r="AJ137" s="7">
        <f t="shared" si="824"/>
        <v>87182.566666666462</v>
      </c>
      <c r="AK137" s="7">
        <f t="shared" si="824"/>
        <v>82823.426666666463</v>
      </c>
      <c r="AL137" s="7">
        <f t="shared" si="824"/>
        <v>78464.286666666463</v>
      </c>
      <c r="AM137" s="7">
        <f t="shared" si="824"/>
        <v>74105.146666666464</v>
      </c>
      <c r="AN137" s="7">
        <f t="shared" si="824"/>
        <v>69746.006666666464</v>
      </c>
      <c r="AO137" s="7">
        <f t="shared" si="824"/>
        <v>65386.866666666465</v>
      </c>
      <c r="AP137" s="222"/>
      <c r="AQ137" s="7">
        <v>4359.1400000000003</v>
      </c>
      <c r="AR137" s="7">
        <f t="shared" si="831"/>
        <v>4359.1399999999994</v>
      </c>
      <c r="AS137" s="7">
        <f t="shared" si="832"/>
        <v>0</v>
      </c>
      <c r="AT137" s="7">
        <f t="shared" si="703"/>
        <v>52309.680000000008</v>
      </c>
      <c r="AU137" s="7">
        <f t="shared" si="773"/>
        <v>61027.726666666465</v>
      </c>
      <c r="AV137" s="7">
        <f t="shared" si="826"/>
        <v>56668.586666666466</v>
      </c>
      <c r="AW137" s="7">
        <f t="shared" si="826"/>
        <v>52309.446666666467</v>
      </c>
      <c r="AX137" s="7">
        <f t="shared" si="826"/>
        <v>47950.306666666467</v>
      </c>
      <c r="AY137" s="7">
        <f t="shared" si="826"/>
        <v>43591.166666666468</v>
      </c>
      <c r="AZ137" s="7">
        <f t="shared" si="826"/>
        <v>39232.026666666468</v>
      </c>
      <c r="BA137" s="7">
        <f t="shared" si="826"/>
        <v>34872.886666666469</v>
      </c>
      <c r="BB137" s="7">
        <f t="shared" si="826"/>
        <v>30513.74666666647</v>
      </c>
      <c r="BC137" s="7">
        <f t="shared" si="826"/>
        <v>26154.60666666647</v>
      </c>
      <c r="BD137" s="7">
        <f t="shared" si="826"/>
        <v>21795.466666666471</v>
      </c>
      <c r="BE137" s="7">
        <f t="shared" si="826"/>
        <v>17436.326666666471</v>
      </c>
      <c r="BF137" s="7">
        <f t="shared" si="826"/>
        <v>13077.186666666472</v>
      </c>
      <c r="BG137" s="236">
        <f t="shared" si="827"/>
        <v>0</v>
      </c>
      <c r="BH137" s="7">
        <v>4359.1400000000003</v>
      </c>
      <c r="BI137" s="39">
        <v>13077.19</v>
      </c>
      <c r="BJ137" s="7">
        <f t="shared" si="705"/>
        <v>8718.0466666664724</v>
      </c>
      <c r="BK137" s="7">
        <f t="shared" si="774"/>
        <v>4358.9066666664721</v>
      </c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236">
        <v>0</v>
      </c>
      <c r="BW137" s="7">
        <v>4359.1400000000003</v>
      </c>
      <c r="BX137" s="39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236">
        <v>0</v>
      </c>
      <c r="CL137" s="7">
        <v>4359.1400000000003</v>
      </c>
      <c r="CM137" s="39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236">
        <v>0</v>
      </c>
    </row>
    <row r="138" spans="1:104" x14ac:dyDescent="0.2">
      <c r="A138" s="6" t="str">
        <f>'[1]2021 УГРЦТ'!A141</f>
        <v>Шкаф распред устройств с ячейками КРУ №23</v>
      </c>
      <c r="B138" t="str">
        <f>'[1]2021 УГРЦТ'!B141</f>
        <v>00001217</v>
      </c>
      <c r="C138" t="str">
        <f>'[1]2021 УГРЦТ'!C141</f>
        <v>ПРОИЗВОДСТВО</v>
      </c>
      <c r="D138" t="str">
        <f>'[1]2021 УГРЦТ'!D141</f>
        <v>Машины и оборудование (кроме офисного)</v>
      </c>
      <c r="E138" t="str">
        <f>'[1]2021 УГРЦТ'!E141</f>
        <v>31.03.2010</v>
      </c>
      <c r="F138" t="str">
        <f>'[1]2021 УГРЦТ'!F141</f>
        <v>Газотурбинный цех</v>
      </c>
      <c r="G138">
        <f>'[1]2021 УГРЦТ'!AC141</f>
        <v>180</v>
      </c>
      <c r="H138" s="7">
        <f>'[1]2021 УГРЦТ'!X141</f>
        <v>784644.95</v>
      </c>
      <c r="I138" s="7">
        <f>'[1]2021 УГРЦТ'!Y141</f>
        <v>614638.72333333339</v>
      </c>
      <c r="J138" s="7">
        <f>'[1]2021 УГРЦТ'!Z141</f>
        <v>170006.22666666657</v>
      </c>
      <c r="K138" s="8">
        <v>0</v>
      </c>
      <c r="L138" s="7">
        <v>4359.1400000000003</v>
      </c>
      <c r="M138" s="7"/>
      <c r="N138" s="7">
        <f t="shared" si="825"/>
        <v>52309.680000000008</v>
      </c>
      <c r="O138" s="7">
        <f t="shared" si="828"/>
        <v>165647.08666666655</v>
      </c>
      <c r="P138" s="7">
        <f t="shared" si="823"/>
        <v>161287.94666666654</v>
      </c>
      <c r="Q138" s="7">
        <f t="shared" si="823"/>
        <v>156928.80666666653</v>
      </c>
      <c r="R138" s="7">
        <f t="shared" si="823"/>
        <v>152569.66666666651</v>
      </c>
      <c r="S138" s="7">
        <f t="shared" si="823"/>
        <v>148210.5266666665</v>
      </c>
      <c r="T138" s="7">
        <f t="shared" si="823"/>
        <v>143851.38666666648</v>
      </c>
      <c r="U138" s="7">
        <f t="shared" si="823"/>
        <v>139492.24666666647</v>
      </c>
      <c r="V138" s="7">
        <f t="shared" si="823"/>
        <v>135133.10666666646</v>
      </c>
      <c r="W138" s="7">
        <f t="shared" si="823"/>
        <v>130773.96666666646</v>
      </c>
      <c r="X138" s="7">
        <f t="shared" si="823"/>
        <v>126414.82666666646</v>
      </c>
      <c r="Y138" s="7">
        <f t="shared" si="823"/>
        <v>122055.68666666646</v>
      </c>
      <c r="Z138" s="7">
        <f t="shared" si="823"/>
        <v>117696.54666666646</v>
      </c>
      <c r="AA138" s="7"/>
      <c r="AB138" s="7"/>
      <c r="AC138" s="7">
        <f t="shared" si="829"/>
        <v>52309.680000000008</v>
      </c>
      <c r="AD138" s="7">
        <f t="shared" si="830"/>
        <v>113337.40666666646</v>
      </c>
      <c r="AE138" s="7">
        <f t="shared" si="824"/>
        <v>108978.26666666646</v>
      </c>
      <c r="AF138" s="7">
        <f t="shared" si="824"/>
        <v>104619.12666666646</v>
      </c>
      <c r="AG138" s="7">
        <f t="shared" si="824"/>
        <v>100259.98666666646</v>
      </c>
      <c r="AH138" s="7">
        <f t="shared" si="824"/>
        <v>95900.846666666461</v>
      </c>
      <c r="AI138" s="7">
        <f t="shared" si="824"/>
        <v>91541.706666666461</v>
      </c>
      <c r="AJ138" s="7">
        <f t="shared" si="824"/>
        <v>87182.566666666462</v>
      </c>
      <c r="AK138" s="7">
        <f t="shared" si="824"/>
        <v>82823.426666666463</v>
      </c>
      <c r="AL138" s="7">
        <f t="shared" si="824"/>
        <v>78464.286666666463</v>
      </c>
      <c r="AM138" s="7">
        <f t="shared" si="824"/>
        <v>74105.146666666464</v>
      </c>
      <c r="AN138" s="7">
        <f t="shared" si="824"/>
        <v>69746.006666666464</v>
      </c>
      <c r="AO138" s="7">
        <f t="shared" si="824"/>
        <v>65386.866666666465</v>
      </c>
      <c r="AP138" s="222"/>
      <c r="AQ138" s="7">
        <v>4359.1400000000003</v>
      </c>
      <c r="AR138" s="7">
        <f t="shared" si="831"/>
        <v>4359.1399999999994</v>
      </c>
      <c r="AS138" s="7">
        <f t="shared" si="832"/>
        <v>0</v>
      </c>
      <c r="AT138" s="7">
        <f t="shared" si="703"/>
        <v>52309.680000000008</v>
      </c>
      <c r="AU138" s="7">
        <f t="shared" si="773"/>
        <v>61027.726666666465</v>
      </c>
      <c r="AV138" s="7">
        <f t="shared" si="826"/>
        <v>56668.586666666466</v>
      </c>
      <c r="AW138" s="7">
        <f t="shared" si="826"/>
        <v>52309.446666666467</v>
      </c>
      <c r="AX138" s="7">
        <f t="shared" si="826"/>
        <v>47950.306666666467</v>
      </c>
      <c r="AY138" s="7">
        <f t="shared" si="826"/>
        <v>43591.166666666468</v>
      </c>
      <c r="AZ138" s="7">
        <f t="shared" si="826"/>
        <v>39232.026666666468</v>
      </c>
      <c r="BA138" s="7">
        <f t="shared" si="826"/>
        <v>34872.886666666469</v>
      </c>
      <c r="BB138" s="7">
        <f t="shared" si="826"/>
        <v>30513.74666666647</v>
      </c>
      <c r="BC138" s="7">
        <f t="shared" si="826"/>
        <v>26154.60666666647</v>
      </c>
      <c r="BD138" s="7">
        <f t="shared" si="826"/>
        <v>21795.466666666471</v>
      </c>
      <c r="BE138" s="7">
        <f t="shared" si="826"/>
        <v>17436.326666666471</v>
      </c>
      <c r="BF138" s="7">
        <f t="shared" si="826"/>
        <v>13077.186666666472</v>
      </c>
      <c r="BG138" s="236">
        <f t="shared" si="827"/>
        <v>0</v>
      </c>
      <c r="BH138" s="7">
        <v>4359.1400000000003</v>
      </c>
      <c r="BI138" s="39">
        <v>13077.19</v>
      </c>
      <c r="BJ138" s="7">
        <f t="shared" si="705"/>
        <v>8718.0466666664724</v>
      </c>
      <c r="BK138" s="7">
        <f t="shared" si="774"/>
        <v>4358.9066666664721</v>
      </c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236">
        <v>0</v>
      </c>
      <c r="BW138" s="7">
        <v>4359.1400000000003</v>
      </c>
      <c r="BX138" s="39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236">
        <v>0</v>
      </c>
      <c r="CL138" s="7">
        <v>4359.1400000000003</v>
      </c>
      <c r="CM138" s="39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236">
        <v>0</v>
      </c>
    </row>
    <row r="139" spans="1:104" x14ac:dyDescent="0.2">
      <c r="A139" s="6" t="str">
        <f>'[1]2021 УГРЦТ'!A142</f>
        <v>Шкаф распред устройств с ячейками КРУ №24</v>
      </c>
      <c r="B139" t="str">
        <f>'[1]2021 УГРЦТ'!B142</f>
        <v>00001218</v>
      </c>
      <c r="C139" t="str">
        <f>'[1]2021 УГРЦТ'!C142</f>
        <v>ПРОИЗВОДСТВО</v>
      </c>
      <c r="D139" t="str">
        <f>'[1]2021 УГРЦТ'!D142</f>
        <v>Машины и оборудование (кроме офисного)</v>
      </c>
      <c r="E139" t="str">
        <f>'[1]2021 УГРЦТ'!E142</f>
        <v>31.03.2010</v>
      </c>
      <c r="F139" t="str">
        <f>'[1]2021 УГРЦТ'!F142</f>
        <v>Газотурбинный цех</v>
      </c>
      <c r="G139">
        <f>'[1]2021 УГРЦТ'!AC142</f>
        <v>180</v>
      </c>
      <c r="H139" s="7">
        <f>'[1]2021 УГРЦТ'!X142</f>
        <v>784644.95</v>
      </c>
      <c r="I139" s="7">
        <f>'[1]2021 УГРЦТ'!Y142</f>
        <v>614638.72333333339</v>
      </c>
      <c r="J139" s="7">
        <f>'[1]2021 УГРЦТ'!Z142</f>
        <v>170006.22666666657</v>
      </c>
      <c r="K139" s="8">
        <v>0</v>
      </c>
      <c r="L139" s="7">
        <v>4359.1400000000003</v>
      </c>
      <c r="M139" s="7"/>
      <c r="N139" s="7">
        <f t="shared" si="825"/>
        <v>52309.680000000008</v>
      </c>
      <c r="O139" s="7">
        <f t="shared" si="828"/>
        <v>165647.08666666655</v>
      </c>
      <c r="P139" s="7">
        <f t="shared" si="823"/>
        <v>161287.94666666654</v>
      </c>
      <c r="Q139" s="7">
        <f t="shared" si="823"/>
        <v>156928.80666666653</v>
      </c>
      <c r="R139" s="7">
        <f t="shared" si="823"/>
        <v>152569.66666666651</v>
      </c>
      <c r="S139" s="7">
        <f t="shared" si="823"/>
        <v>148210.5266666665</v>
      </c>
      <c r="T139" s="7">
        <f t="shared" si="823"/>
        <v>143851.38666666648</v>
      </c>
      <c r="U139" s="7">
        <f t="shared" si="823"/>
        <v>139492.24666666647</v>
      </c>
      <c r="V139" s="7">
        <f t="shared" si="823"/>
        <v>135133.10666666646</v>
      </c>
      <c r="W139" s="7">
        <f t="shared" si="823"/>
        <v>130773.96666666646</v>
      </c>
      <c r="X139" s="7">
        <f t="shared" si="823"/>
        <v>126414.82666666646</v>
      </c>
      <c r="Y139" s="7">
        <f t="shared" si="823"/>
        <v>122055.68666666646</v>
      </c>
      <c r="Z139" s="7">
        <f t="shared" si="823"/>
        <v>117696.54666666646</v>
      </c>
      <c r="AA139" s="7"/>
      <c r="AB139" s="7"/>
      <c r="AC139" s="7">
        <f t="shared" si="829"/>
        <v>52309.680000000008</v>
      </c>
      <c r="AD139" s="7">
        <f t="shared" si="830"/>
        <v>113337.40666666646</v>
      </c>
      <c r="AE139" s="7">
        <f t="shared" si="824"/>
        <v>108978.26666666646</v>
      </c>
      <c r="AF139" s="7">
        <f t="shared" si="824"/>
        <v>104619.12666666646</v>
      </c>
      <c r="AG139" s="7">
        <f t="shared" si="824"/>
        <v>100259.98666666646</v>
      </c>
      <c r="AH139" s="7">
        <f t="shared" si="824"/>
        <v>95900.846666666461</v>
      </c>
      <c r="AI139" s="7">
        <f t="shared" si="824"/>
        <v>91541.706666666461</v>
      </c>
      <c r="AJ139" s="7">
        <f t="shared" si="824"/>
        <v>87182.566666666462</v>
      </c>
      <c r="AK139" s="7">
        <f t="shared" si="824"/>
        <v>82823.426666666463</v>
      </c>
      <c r="AL139" s="7">
        <f t="shared" si="824"/>
        <v>78464.286666666463</v>
      </c>
      <c r="AM139" s="7">
        <f t="shared" si="824"/>
        <v>74105.146666666464</v>
      </c>
      <c r="AN139" s="7">
        <f t="shared" si="824"/>
        <v>69746.006666666464</v>
      </c>
      <c r="AO139" s="7">
        <f t="shared" si="824"/>
        <v>65386.866666666465</v>
      </c>
      <c r="AP139" s="222"/>
      <c r="AQ139" s="7">
        <v>4359.1400000000003</v>
      </c>
      <c r="AR139" s="7">
        <f t="shared" si="831"/>
        <v>4359.1399999999994</v>
      </c>
      <c r="AS139" s="7">
        <f t="shared" si="832"/>
        <v>0</v>
      </c>
      <c r="AT139" s="7">
        <f t="shared" si="703"/>
        <v>52309.680000000008</v>
      </c>
      <c r="AU139" s="7">
        <f t="shared" si="773"/>
        <v>61027.726666666465</v>
      </c>
      <c r="AV139" s="7">
        <f t="shared" si="826"/>
        <v>56668.586666666466</v>
      </c>
      <c r="AW139" s="7">
        <f t="shared" si="826"/>
        <v>52309.446666666467</v>
      </c>
      <c r="AX139" s="7">
        <f t="shared" si="826"/>
        <v>47950.306666666467</v>
      </c>
      <c r="AY139" s="7">
        <f t="shared" si="826"/>
        <v>43591.166666666468</v>
      </c>
      <c r="AZ139" s="7">
        <f t="shared" si="826"/>
        <v>39232.026666666468</v>
      </c>
      <c r="BA139" s="7">
        <f t="shared" si="826"/>
        <v>34872.886666666469</v>
      </c>
      <c r="BB139" s="7">
        <f t="shared" si="826"/>
        <v>30513.74666666647</v>
      </c>
      <c r="BC139" s="7">
        <f t="shared" si="826"/>
        <v>26154.60666666647</v>
      </c>
      <c r="BD139" s="7">
        <f t="shared" si="826"/>
        <v>21795.466666666471</v>
      </c>
      <c r="BE139" s="7">
        <f t="shared" si="826"/>
        <v>17436.326666666471</v>
      </c>
      <c r="BF139" s="7">
        <f t="shared" si="826"/>
        <v>13077.186666666472</v>
      </c>
      <c r="BG139" s="236">
        <f t="shared" si="827"/>
        <v>0</v>
      </c>
      <c r="BH139" s="7">
        <v>4359.1400000000003</v>
      </c>
      <c r="BI139" s="39">
        <v>13077.19</v>
      </c>
      <c r="BJ139" s="7">
        <f t="shared" si="705"/>
        <v>8718.0466666664724</v>
      </c>
      <c r="BK139" s="7">
        <f t="shared" si="774"/>
        <v>4358.9066666664721</v>
      </c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236">
        <v>0</v>
      </c>
      <c r="BW139" s="7">
        <v>4359.1400000000003</v>
      </c>
      <c r="BX139" s="39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236">
        <v>0</v>
      </c>
      <c r="CL139" s="7">
        <v>4359.1400000000003</v>
      </c>
      <c r="CM139" s="39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236">
        <v>0</v>
      </c>
    </row>
    <row r="140" spans="1:104" x14ac:dyDescent="0.2">
      <c r="A140" s="6" t="str">
        <f>'[1]2021 УГРЦТ'!A143</f>
        <v>Шкаф распред устройств с ячейками КРУ №25</v>
      </c>
      <c r="B140" t="str">
        <f>'[1]2021 УГРЦТ'!B143</f>
        <v>00001219</v>
      </c>
      <c r="C140" t="str">
        <f>'[1]2021 УГРЦТ'!C143</f>
        <v>ПРОИЗВОДСТВО</v>
      </c>
      <c r="D140" t="str">
        <f>'[1]2021 УГРЦТ'!D143</f>
        <v>Машины и оборудование (кроме офисного)</v>
      </c>
      <c r="E140" t="str">
        <f>'[1]2021 УГРЦТ'!E143</f>
        <v>31.03.2010</v>
      </c>
      <c r="F140" t="str">
        <f>'[1]2021 УГРЦТ'!F143</f>
        <v>Газотурбинный цех</v>
      </c>
      <c r="G140">
        <f>'[1]2021 УГРЦТ'!AC143</f>
        <v>180</v>
      </c>
      <c r="H140" s="7">
        <f>'[1]2021 УГРЦТ'!X143</f>
        <v>784644.95</v>
      </c>
      <c r="I140" s="7">
        <f>'[1]2021 УГРЦТ'!Y143</f>
        <v>614638.72333333339</v>
      </c>
      <c r="J140" s="7">
        <f>'[1]2021 УГРЦТ'!Z143</f>
        <v>170006.22666666657</v>
      </c>
      <c r="K140" s="8">
        <v>0</v>
      </c>
      <c r="L140" s="7">
        <v>4359.1400000000003</v>
      </c>
      <c r="M140" s="7"/>
      <c r="N140" s="7">
        <f t="shared" si="825"/>
        <v>52309.680000000008</v>
      </c>
      <c r="O140" s="7">
        <f t="shared" si="828"/>
        <v>165647.08666666655</v>
      </c>
      <c r="P140" s="7">
        <f t="shared" si="823"/>
        <v>161287.94666666654</v>
      </c>
      <c r="Q140" s="7">
        <f t="shared" si="823"/>
        <v>156928.80666666653</v>
      </c>
      <c r="R140" s="7">
        <f t="shared" si="823"/>
        <v>152569.66666666651</v>
      </c>
      <c r="S140" s="7">
        <f t="shared" si="823"/>
        <v>148210.5266666665</v>
      </c>
      <c r="T140" s="7">
        <f t="shared" si="823"/>
        <v>143851.38666666648</v>
      </c>
      <c r="U140" s="7">
        <f t="shared" si="823"/>
        <v>139492.24666666647</v>
      </c>
      <c r="V140" s="7">
        <f t="shared" si="823"/>
        <v>135133.10666666646</v>
      </c>
      <c r="W140" s="7">
        <f t="shared" si="823"/>
        <v>130773.96666666646</v>
      </c>
      <c r="X140" s="7">
        <f t="shared" si="823"/>
        <v>126414.82666666646</v>
      </c>
      <c r="Y140" s="7">
        <f t="shared" si="823"/>
        <v>122055.68666666646</v>
      </c>
      <c r="Z140" s="7">
        <f t="shared" si="823"/>
        <v>117696.54666666646</v>
      </c>
      <c r="AA140" s="7"/>
      <c r="AB140" s="7"/>
      <c r="AC140" s="7">
        <f t="shared" si="829"/>
        <v>52309.680000000008</v>
      </c>
      <c r="AD140" s="7">
        <f t="shared" si="830"/>
        <v>113337.40666666646</v>
      </c>
      <c r="AE140" s="7">
        <f t="shared" si="824"/>
        <v>108978.26666666646</v>
      </c>
      <c r="AF140" s="7">
        <f t="shared" si="824"/>
        <v>104619.12666666646</v>
      </c>
      <c r="AG140" s="7">
        <f t="shared" si="824"/>
        <v>100259.98666666646</v>
      </c>
      <c r="AH140" s="7">
        <f t="shared" si="824"/>
        <v>95900.846666666461</v>
      </c>
      <c r="AI140" s="7">
        <f t="shared" si="824"/>
        <v>91541.706666666461</v>
      </c>
      <c r="AJ140" s="7">
        <f t="shared" si="824"/>
        <v>87182.566666666462</v>
      </c>
      <c r="AK140" s="7">
        <f t="shared" si="824"/>
        <v>82823.426666666463</v>
      </c>
      <c r="AL140" s="7">
        <f t="shared" si="824"/>
        <v>78464.286666666463</v>
      </c>
      <c r="AM140" s="7">
        <f t="shared" si="824"/>
        <v>74105.146666666464</v>
      </c>
      <c r="AN140" s="7">
        <f t="shared" si="824"/>
        <v>69746.006666666464</v>
      </c>
      <c r="AO140" s="7">
        <f t="shared" si="824"/>
        <v>65386.866666666465</v>
      </c>
      <c r="AP140" s="222"/>
      <c r="AQ140" s="7">
        <v>4359.1400000000003</v>
      </c>
      <c r="AR140" s="7">
        <f t="shared" si="831"/>
        <v>4359.1399999999994</v>
      </c>
      <c r="AS140" s="7">
        <f t="shared" si="832"/>
        <v>0</v>
      </c>
      <c r="AT140" s="7">
        <f t="shared" si="703"/>
        <v>52309.680000000008</v>
      </c>
      <c r="AU140" s="7">
        <f t="shared" si="773"/>
        <v>61027.726666666465</v>
      </c>
      <c r="AV140" s="7">
        <f t="shared" si="826"/>
        <v>56668.586666666466</v>
      </c>
      <c r="AW140" s="7">
        <f t="shared" si="826"/>
        <v>52309.446666666467</v>
      </c>
      <c r="AX140" s="7">
        <f t="shared" si="826"/>
        <v>47950.306666666467</v>
      </c>
      <c r="AY140" s="7">
        <f t="shared" si="826"/>
        <v>43591.166666666468</v>
      </c>
      <c r="AZ140" s="7">
        <f t="shared" si="826"/>
        <v>39232.026666666468</v>
      </c>
      <c r="BA140" s="7">
        <f t="shared" si="826"/>
        <v>34872.886666666469</v>
      </c>
      <c r="BB140" s="7">
        <f t="shared" si="826"/>
        <v>30513.74666666647</v>
      </c>
      <c r="BC140" s="7">
        <f t="shared" si="826"/>
        <v>26154.60666666647</v>
      </c>
      <c r="BD140" s="7">
        <f t="shared" si="826"/>
        <v>21795.466666666471</v>
      </c>
      <c r="BE140" s="7">
        <f t="shared" si="826"/>
        <v>17436.326666666471</v>
      </c>
      <c r="BF140" s="7">
        <f t="shared" si="826"/>
        <v>13077.186666666472</v>
      </c>
      <c r="BG140" s="236">
        <f t="shared" si="827"/>
        <v>0</v>
      </c>
      <c r="BH140" s="7">
        <v>4359.1400000000003</v>
      </c>
      <c r="BI140" s="39">
        <v>13077.19</v>
      </c>
      <c r="BJ140" s="7">
        <f t="shared" si="705"/>
        <v>8718.0466666664724</v>
      </c>
      <c r="BK140" s="7">
        <f t="shared" si="774"/>
        <v>4358.9066666664721</v>
      </c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236">
        <v>0</v>
      </c>
      <c r="BW140" s="7">
        <v>4359.1400000000003</v>
      </c>
      <c r="BX140" s="39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236">
        <v>0</v>
      </c>
      <c r="CL140" s="7">
        <v>4359.1400000000003</v>
      </c>
      <c r="CM140" s="39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236">
        <v>0</v>
      </c>
    </row>
    <row r="141" spans="1:104" x14ac:dyDescent="0.2">
      <c r="A141" s="6" t="str">
        <f>'[1]2021 УГРЦТ'!A144</f>
        <v>Шкаф распред устройств с ячейками КРУ №5</v>
      </c>
      <c r="B141" t="str">
        <f>'[1]2021 УГРЦТ'!B144</f>
        <v>00001199</v>
      </c>
      <c r="C141" t="str">
        <f>'[1]2021 УГРЦТ'!C144</f>
        <v>ПРОИЗВОДСТВО</v>
      </c>
      <c r="D141" t="str">
        <f>'[1]2021 УГРЦТ'!D144</f>
        <v>Машины и оборудование (кроме офисного)</v>
      </c>
      <c r="E141" t="str">
        <f>'[1]2021 УГРЦТ'!E144</f>
        <v>31.03.2010</v>
      </c>
      <c r="F141" t="str">
        <f>'[1]2021 УГРЦТ'!F144</f>
        <v>Газотурбинный цех</v>
      </c>
      <c r="G141">
        <f>'[1]2021 УГРЦТ'!AC144</f>
        <v>180</v>
      </c>
      <c r="H141" s="7">
        <f>'[1]2021 УГРЦТ'!X144</f>
        <v>784644.95</v>
      </c>
      <c r="I141" s="7">
        <f>'[1]2021 УГРЦТ'!Y144</f>
        <v>614638.72333333339</v>
      </c>
      <c r="J141" s="7">
        <f>'[1]2021 УГРЦТ'!Z144</f>
        <v>170006.22666666657</v>
      </c>
      <c r="K141" s="8">
        <v>0</v>
      </c>
      <c r="L141" s="7">
        <v>4359.1400000000003</v>
      </c>
      <c r="M141" s="7"/>
      <c r="N141" s="7">
        <f t="shared" si="825"/>
        <v>52309.680000000008</v>
      </c>
      <c r="O141" s="7">
        <f t="shared" si="828"/>
        <v>165647.08666666655</v>
      </c>
      <c r="P141" s="7">
        <f t="shared" si="823"/>
        <v>161287.94666666654</v>
      </c>
      <c r="Q141" s="7">
        <f t="shared" si="823"/>
        <v>156928.80666666653</v>
      </c>
      <c r="R141" s="7">
        <f t="shared" si="823"/>
        <v>152569.66666666651</v>
      </c>
      <c r="S141" s="7">
        <f t="shared" si="823"/>
        <v>148210.5266666665</v>
      </c>
      <c r="T141" s="7">
        <f t="shared" si="823"/>
        <v>143851.38666666648</v>
      </c>
      <c r="U141" s="7">
        <f t="shared" si="823"/>
        <v>139492.24666666647</v>
      </c>
      <c r="V141" s="7">
        <f t="shared" si="823"/>
        <v>135133.10666666646</v>
      </c>
      <c r="W141" s="7">
        <f t="shared" si="823"/>
        <v>130773.96666666646</v>
      </c>
      <c r="X141" s="7">
        <f t="shared" si="823"/>
        <v>126414.82666666646</v>
      </c>
      <c r="Y141" s="7">
        <f t="shared" si="823"/>
        <v>122055.68666666646</v>
      </c>
      <c r="Z141" s="7">
        <f t="shared" si="823"/>
        <v>117696.54666666646</v>
      </c>
      <c r="AA141" s="7"/>
      <c r="AB141" s="7"/>
      <c r="AC141" s="7">
        <f t="shared" si="829"/>
        <v>52309.680000000008</v>
      </c>
      <c r="AD141" s="7">
        <f t="shared" si="830"/>
        <v>113337.40666666646</v>
      </c>
      <c r="AE141" s="7">
        <f t="shared" si="824"/>
        <v>108978.26666666646</v>
      </c>
      <c r="AF141" s="7">
        <f t="shared" si="824"/>
        <v>104619.12666666646</v>
      </c>
      <c r="AG141" s="7">
        <f t="shared" si="824"/>
        <v>100259.98666666646</v>
      </c>
      <c r="AH141" s="7">
        <f t="shared" si="824"/>
        <v>95900.846666666461</v>
      </c>
      <c r="AI141" s="7">
        <f t="shared" si="824"/>
        <v>91541.706666666461</v>
      </c>
      <c r="AJ141" s="7">
        <f t="shared" si="824"/>
        <v>87182.566666666462</v>
      </c>
      <c r="AK141" s="7">
        <f t="shared" si="824"/>
        <v>82823.426666666463</v>
      </c>
      <c r="AL141" s="7">
        <f t="shared" si="824"/>
        <v>78464.286666666463</v>
      </c>
      <c r="AM141" s="7">
        <f t="shared" si="824"/>
        <v>74105.146666666464</v>
      </c>
      <c r="AN141" s="7">
        <f t="shared" si="824"/>
        <v>69746.006666666464</v>
      </c>
      <c r="AO141" s="7">
        <f t="shared" si="824"/>
        <v>65386.866666666465</v>
      </c>
      <c r="AP141" s="222"/>
      <c r="AQ141" s="7">
        <v>4359.1400000000003</v>
      </c>
      <c r="AR141" s="7">
        <f t="shared" si="831"/>
        <v>4359.1399999999994</v>
      </c>
      <c r="AS141" s="7">
        <f t="shared" si="832"/>
        <v>0</v>
      </c>
      <c r="AT141" s="7">
        <f t="shared" si="703"/>
        <v>52309.680000000008</v>
      </c>
      <c r="AU141" s="7">
        <f t="shared" si="773"/>
        <v>61027.726666666465</v>
      </c>
      <c r="AV141" s="7">
        <f t="shared" si="826"/>
        <v>56668.586666666466</v>
      </c>
      <c r="AW141" s="7">
        <f t="shared" si="826"/>
        <v>52309.446666666467</v>
      </c>
      <c r="AX141" s="7">
        <f t="shared" si="826"/>
        <v>47950.306666666467</v>
      </c>
      <c r="AY141" s="7">
        <f t="shared" si="826"/>
        <v>43591.166666666468</v>
      </c>
      <c r="AZ141" s="7">
        <f t="shared" si="826"/>
        <v>39232.026666666468</v>
      </c>
      <c r="BA141" s="7">
        <f t="shared" si="826"/>
        <v>34872.886666666469</v>
      </c>
      <c r="BB141" s="7">
        <f t="shared" si="826"/>
        <v>30513.74666666647</v>
      </c>
      <c r="BC141" s="7">
        <f t="shared" si="826"/>
        <v>26154.60666666647</v>
      </c>
      <c r="BD141" s="7">
        <f t="shared" si="826"/>
        <v>21795.466666666471</v>
      </c>
      <c r="BE141" s="7">
        <f t="shared" si="826"/>
        <v>17436.326666666471</v>
      </c>
      <c r="BF141" s="7">
        <f t="shared" si="826"/>
        <v>13077.186666666472</v>
      </c>
      <c r="BG141" s="236">
        <f t="shared" si="827"/>
        <v>0</v>
      </c>
      <c r="BH141" s="7">
        <v>4359.1400000000003</v>
      </c>
      <c r="BI141" s="39">
        <v>13077.19</v>
      </c>
      <c r="BJ141" s="7">
        <f t="shared" si="705"/>
        <v>8718.0466666664724</v>
      </c>
      <c r="BK141" s="7">
        <f t="shared" si="774"/>
        <v>4358.9066666664721</v>
      </c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236">
        <v>0</v>
      </c>
      <c r="BW141" s="7">
        <v>4359.1400000000003</v>
      </c>
      <c r="BX141" s="39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236">
        <v>0</v>
      </c>
      <c r="CL141" s="7">
        <v>4359.1400000000003</v>
      </c>
      <c r="CM141" s="39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236">
        <v>0</v>
      </c>
    </row>
    <row r="142" spans="1:104" x14ac:dyDescent="0.2">
      <c r="A142" s="6" t="str">
        <f>'[1]2021 УГРЦТ'!A145</f>
        <v>Шкаф распред устройств с ячейками КРУ №6</v>
      </c>
      <c r="B142" t="str">
        <f>'[1]2021 УГРЦТ'!B145</f>
        <v>00001201</v>
      </c>
      <c r="C142" t="str">
        <f>'[1]2021 УГРЦТ'!C145</f>
        <v>ПРОИЗВОДСТВО</v>
      </c>
      <c r="D142" t="str">
        <f>'[1]2021 УГРЦТ'!D145</f>
        <v>Машины и оборудование (кроме офисного)</v>
      </c>
      <c r="E142" t="str">
        <f>'[1]2021 УГРЦТ'!E145</f>
        <v>31.03.2010</v>
      </c>
      <c r="F142" t="str">
        <f>'[1]2021 УГРЦТ'!F145</f>
        <v>Газотурбинный цех</v>
      </c>
      <c r="G142">
        <f>'[1]2021 УГРЦТ'!AC145</f>
        <v>180</v>
      </c>
      <c r="H142" s="7">
        <f>'[1]2021 УГРЦТ'!X145</f>
        <v>784644.95</v>
      </c>
      <c r="I142" s="7">
        <f>'[1]2021 УГРЦТ'!Y145</f>
        <v>614638.72333333339</v>
      </c>
      <c r="J142" s="7">
        <f>'[1]2021 УГРЦТ'!Z145</f>
        <v>170006.22666666657</v>
      </c>
      <c r="K142" s="8">
        <v>0</v>
      </c>
      <c r="L142" s="7">
        <v>4359.1400000000003</v>
      </c>
      <c r="M142" s="7"/>
      <c r="N142" s="7">
        <f t="shared" si="825"/>
        <v>52309.680000000008</v>
      </c>
      <c r="O142" s="7">
        <f t="shared" si="828"/>
        <v>165647.08666666655</v>
      </c>
      <c r="P142" s="7">
        <f t="shared" si="823"/>
        <v>161287.94666666654</v>
      </c>
      <c r="Q142" s="7">
        <f t="shared" si="823"/>
        <v>156928.80666666653</v>
      </c>
      <c r="R142" s="7">
        <f t="shared" si="823"/>
        <v>152569.66666666651</v>
      </c>
      <c r="S142" s="7">
        <f t="shared" si="823"/>
        <v>148210.5266666665</v>
      </c>
      <c r="T142" s="7">
        <f t="shared" si="823"/>
        <v>143851.38666666648</v>
      </c>
      <c r="U142" s="7">
        <f t="shared" si="823"/>
        <v>139492.24666666647</v>
      </c>
      <c r="V142" s="7">
        <f t="shared" si="823"/>
        <v>135133.10666666646</v>
      </c>
      <c r="W142" s="7">
        <f t="shared" si="823"/>
        <v>130773.96666666646</v>
      </c>
      <c r="X142" s="7">
        <f t="shared" si="823"/>
        <v>126414.82666666646</v>
      </c>
      <c r="Y142" s="7">
        <f t="shared" si="823"/>
        <v>122055.68666666646</v>
      </c>
      <c r="Z142" s="7">
        <f t="shared" si="823"/>
        <v>117696.54666666646</v>
      </c>
      <c r="AA142" s="7"/>
      <c r="AB142" s="7"/>
      <c r="AC142" s="7">
        <f t="shared" si="829"/>
        <v>52309.680000000008</v>
      </c>
      <c r="AD142" s="7">
        <f t="shared" si="830"/>
        <v>113337.40666666646</v>
      </c>
      <c r="AE142" s="7">
        <f t="shared" si="824"/>
        <v>108978.26666666646</v>
      </c>
      <c r="AF142" s="7">
        <f t="shared" si="824"/>
        <v>104619.12666666646</v>
      </c>
      <c r="AG142" s="7">
        <f t="shared" si="824"/>
        <v>100259.98666666646</v>
      </c>
      <c r="AH142" s="7">
        <f t="shared" si="824"/>
        <v>95900.846666666461</v>
      </c>
      <c r="AI142" s="7">
        <f t="shared" si="824"/>
        <v>91541.706666666461</v>
      </c>
      <c r="AJ142" s="7">
        <f t="shared" si="824"/>
        <v>87182.566666666462</v>
      </c>
      <c r="AK142" s="7">
        <f t="shared" si="824"/>
        <v>82823.426666666463</v>
      </c>
      <c r="AL142" s="7">
        <f t="shared" si="824"/>
        <v>78464.286666666463</v>
      </c>
      <c r="AM142" s="7">
        <f t="shared" si="824"/>
        <v>74105.146666666464</v>
      </c>
      <c r="AN142" s="7">
        <f t="shared" si="824"/>
        <v>69746.006666666464</v>
      </c>
      <c r="AO142" s="7">
        <f t="shared" si="824"/>
        <v>65386.866666666465</v>
      </c>
      <c r="AP142" s="222"/>
      <c r="AQ142" s="7">
        <v>4359.1400000000003</v>
      </c>
      <c r="AR142" s="7">
        <f t="shared" si="831"/>
        <v>4359.1399999999994</v>
      </c>
      <c r="AS142" s="7">
        <f t="shared" si="832"/>
        <v>0</v>
      </c>
      <c r="AT142" s="7">
        <f t="shared" si="703"/>
        <v>52309.680000000008</v>
      </c>
      <c r="AU142" s="7">
        <f t="shared" si="773"/>
        <v>61027.726666666465</v>
      </c>
      <c r="AV142" s="7">
        <f t="shared" si="826"/>
        <v>56668.586666666466</v>
      </c>
      <c r="AW142" s="7">
        <f t="shared" si="826"/>
        <v>52309.446666666467</v>
      </c>
      <c r="AX142" s="7">
        <f t="shared" si="826"/>
        <v>47950.306666666467</v>
      </c>
      <c r="AY142" s="7">
        <f t="shared" si="826"/>
        <v>43591.166666666468</v>
      </c>
      <c r="AZ142" s="7">
        <f t="shared" si="826"/>
        <v>39232.026666666468</v>
      </c>
      <c r="BA142" s="7">
        <f t="shared" si="826"/>
        <v>34872.886666666469</v>
      </c>
      <c r="BB142" s="7">
        <f t="shared" si="826"/>
        <v>30513.74666666647</v>
      </c>
      <c r="BC142" s="7">
        <f t="shared" si="826"/>
        <v>26154.60666666647</v>
      </c>
      <c r="BD142" s="7">
        <f t="shared" si="826"/>
        <v>21795.466666666471</v>
      </c>
      <c r="BE142" s="7">
        <f t="shared" si="826"/>
        <v>17436.326666666471</v>
      </c>
      <c r="BF142" s="7">
        <f t="shared" si="826"/>
        <v>13077.186666666472</v>
      </c>
      <c r="BG142" s="236">
        <f t="shared" si="827"/>
        <v>0</v>
      </c>
      <c r="BH142" s="7">
        <v>4359.1400000000003</v>
      </c>
      <c r="BI142" s="39">
        <v>13077.19</v>
      </c>
      <c r="BJ142" s="7">
        <f t="shared" si="705"/>
        <v>8718.0466666664724</v>
      </c>
      <c r="BK142" s="7">
        <f t="shared" si="774"/>
        <v>4358.9066666664721</v>
      </c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236">
        <v>0</v>
      </c>
      <c r="BW142" s="7">
        <v>4359.1400000000003</v>
      </c>
      <c r="BX142" s="39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236">
        <v>0</v>
      </c>
      <c r="CL142" s="7">
        <v>4359.1400000000003</v>
      </c>
      <c r="CM142" s="39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236">
        <v>0</v>
      </c>
    </row>
    <row r="143" spans="1:104" x14ac:dyDescent="0.2">
      <c r="A143" s="6" t="str">
        <f>'[1]2021 УГРЦТ'!A146</f>
        <v>Шкаф распред устройств с ячейками КРУ №9</v>
      </c>
      <c r="B143" t="str">
        <f>'[1]2021 УГРЦТ'!B146</f>
        <v>00001206</v>
      </c>
      <c r="C143" t="str">
        <f>'[1]2021 УГРЦТ'!C146</f>
        <v>ПРОИЗВОДСТВО</v>
      </c>
      <c r="D143" t="str">
        <f>'[1]2021 УГРЦТ'!D146</f>
        <v>Машины и оборудование (кроме офисного)</v>
      </c>
      <c r="E143" t="str">
        <f>'[1]2021 УГРЦТ'!E146</f>
        <v>31.03.2010</v>
      </c>
      <c r="F143" t="str">
        <f>'[1]2021 УГРЦТ'!F146</f>
        <v>Газотурбинный цех</v>
      </c>
      <c r="G143">
        <f>'[1]2021 УГРЦТ'!AC146</f>
        <v>180</v>
      </c>
      <c r="H143" s="7">
        <f>'[1]2021 УГРЦТ'!X146</f>
        <v>784644.95</v>
      </c>
      <c r="I143" s="7">
        <f>'[1]2021 УГРЦТ'!Y146</f>
        <v>614638.72333333339</v>
      </c>
      <c r="J143" s="7">
        <f>'[1]2021 УГРЦТ'!Z146</f>
        <v>170006.22666666657</v>
      </c>
      <c r="K143" s="8">
        <v>0</v>
      </c>
      <c r="L143" s="7">
        <v>4359.1400000000003</v>
      </c>
      <c r="M143" s="7"/>
      <c r="N143" s="7">
        <f t="shared" si="825"/>
        <v>52309.680000000008</v>
      </c>
      <c r="O143" s="7">
        <f t="shared" si="828"/>
        <v>165647.08666666655</v>
      </c>
      <c r="P143" s="7">
        <f t="shared" si="823"/>
        <v>161287.94666666654</v>
      </c>
      <c r="Q143" s="7">
        <f t="shared" si="823"/>
        <v>156928.80666666653</v>
      </c>
      <c r="R143" s="7">
        <f t="shared" si="823"/>
        <v>152569.66666666651</v>
      </c>
      <c r="S143" s="7">
        <f t="shared" si="823"/>
        <v>148210.5266666665</v>
      </c>
      <c r="T143" s="7">
        <f t="shared" si="823"/>
        <v>143851.38666666648</v>
      </c>
      <c r="U143" s="7">
        <f t="shared" si="823"/>
        <v>139492.24666666647</v>
      </c>
      <c r="V143" s="7">
        <f t="shared" si="823"/>
        <v>135133.10666666646</v>
      </c>
      <c r="W143" s="7">
        <f t="shared" si="823"/>
        <v>130773.96666666646</v>
      </c>
      <c r="X143" s="7">
        <f t="shared" si="823"/>
        <v>126414.82666666646</v>
      </c>
      <c r="Y143" s="7">
        <f t="shared" si="823"/>
        <v>122055.68666666646</v>
      </c>
      <c r="Z143" s="7">
        <f t="shared" si="823"/>
        <v>117696.54666666646</v>
      </c>
      <c r="AA143" s="7"/>
      <c r="AB143" s="7"/>
      <c r="AC143" s="7">
        <f t="shared" si="829"/>
        <v>52309.680000000008</v>
      </c>
      <c r="AD143" s="7">
        <f t="shared" si="830"/>
        <v>113337.40666666646</v>
      </c>
      <c r="AE143" s="7">
        <f t="shared" si="824"/>
        <v>108978.26666666646</v>
      </c>
      <c r="AF143" s="7">
        <f t="shared" si="824"/>
        <v>104619.12666666646</v>
      </c>
      <c r="AG143" s="7">
        <f t="shared" si="824"/>
        <v>100259.98666666646</v>
      </c>
      <c r="AH143" s="7">
        <f t="shared" si="824"/>
        <v>95900.846666666461</v>
      </c>
      <c r="AI143" s="7">
        <f t="shared" si="824"/>
        <v>91541.706666666461</v>
      </c>
      <c r="AJ143" s="7">
        <f t="shared" si="824"/>
        <v>87182.566666666462</v>
      </c>
      <c r="AK143" s="7">
        <f t="shared" si="824"/>
        <v>82823.426666666463</v>
      </c>
      <c r="AL143" s="7">
        <f t="shared" si="824"/>
        <v>78464.286666666463</v>
      </c>
      <c r="AM143" s="7">
        <f t="shared" si="824"/>
        <v>74105.146666666464</v>
      </c>
      <c r="AN143" s="7">
        <f t="shared" si="824"/>
        <v>69746.006666666464</v>
      </c>
      <c r="AO143" s="7">
        <f t="shared" si="824"/>
        <v>65386.866666666465</v>
      </c>
      <c r="AP143" s="222"/>
      <c r="AQ143" s="7">
        <v>4359.1400000000003</v>
      </c>
      <c r="AR143" s="7">
        <f t="shared" si="831"/>
        <v>4359.1399999999994</v>
      </c>
      <c r="AS143" s="7">
        <f t="shared" si="832"/>
        <v>0</v>
      </c>
      <c r="AT143" s="7">
        <f t="shared" si="703"/>
        <v>52309.680000000008</v>
      </c>
      <c r="AU143" s="7">
        <f t="shared" si="773"/>
        <v>61027.726666666465</v>
      </c>
      <c r="AV143" s="7">
        <f t="shared" si="826"/>
        <v>56668.586666666466</v>
      </c>
      <c r="AW143" s="7">
        <f t="shared" si="826"/>
        <v>52309.446666666467</v>
      </c>
      <c r="AX143" s="7">
        <f t="shared" si="826"/>
        <v>47950.306666666467</v>
      </c>
      <c r="AY143" s="7">
        <f t="shared" si="826"/>
        <v>43591.166666666468</v>
      </c>
      <c r="AZ143" s="7">
        <f t="shared" si="826"/>
        <v>39232.026666666468</v>
      </c>
      <c r="BA143" s="7">
        <f t="shared" si="826"/>
        <v>34872.886666666469</v>
      </c>
      <c r="BB143" s="7">
        <f t="shared" si="826"/>
        <v>30513.74666666647</v>
      </c>
      <c r="BC143" s="7">
        <f t="shared" si="826"/>
        <v>26154.60666666647</v>
      </c>
      <c r="BD143" s="7">
        <f t="shared" si="826"/>
        <v>21795.466666666471</v>
      </c>
      <c r="BE143" s="7">
        <f t="shared" si="826"/>
        <v>17436.326666666471</v>
      </c>
      <c r="BF143" s="7">
        <f t="shared" si="826"/>
        <v>13077.186666666472</v>
      </c>
      <c r="BG143" s="236">
        <f t="shared" si="827"/>
        <v>0</v>
      </c>
      <c r="BH143" s="7">
        <v>4359.1400000000003</v>
      </c>
      <c r="BI143" s="39">
        <v>13077.19</v>
      </c>
      <c r="BJ143" s="7">
        <f t="shared" si="705"/>
        <v>8718.0466666664724</v>
      </c>
      <c r="BK143" s="7">
        <f t="shared" si="774"/>
        <v>4358.9066666664721</v>
      </c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236">
        <v>0</v>
      </c>
      <c r="BW143" s="7">
        <v>4359.1400000000003</v>
      </c>
      <c r="BX143" s="39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236">
        <v>0</v>
      </c>
      <c r="CL143" s="7">
        <v>4359.1400000000003</v>
      </c>
      <c r="CM143" s="39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236">
        <v>0</v>
      </c>
    </row>
    <row r="144" spans="1:104" s="180" customFormat="1" ht="22.5" x14ac:dyDescent="0.2">
      <c r="A144" s="179" t="str">
        <f>'[1]2021 УГРЦТ'!A147</f>
        <v>Электродвигатель ВА200LB4FБУ2.5 380 зв.6в IM1001po IP55V Ч КР146-05 К/247сл</v>
      </c>
      <c r="B144" s="180" t="str">
        <f>'[1]2021 УГРЦТ'!B147</f>
        <v>000001420</v>
      </c>
      <c r="C144" s="180" t="str">
        <f>'[1]2021 УГРЦТ'!C147</f>
        <v>ПРОИЗВОДСТВО</v>
      </c>
      <c r="D144" s="180" t="str">
        <f>'[1]2021 УГРЦТ'!D147</f>
        <v>Машины и оборудование (кроме офисного)</v>
      </c>
      <c r="E144" s="180" t="str">
        <f>'[1]2021 УГРЦТ'!E147</f>
        <v>30.06.2012</v>
      </c>
      <c r="F144" s="180" t="str">
        <f>'[1]2021 УГРЦТ'!F147</f>
        <v>Газотурбинный цех</v>
      </c>
      <c r="G144" s="180">
        <f>'[1]2021 УГРЦТ'!AC147</f>
        <v>120</v>
      </c>
      <c r="H144" s="181">
        <f>'[1]2021 УГРЦТ'!X147</f>
        <v>137811.01</v>
      </c>
      <c r="I144" s="181">
        <f>'[1]2021 УГРЦТ'!Y147</f>
        <v>130920.961</v>
      </c>
      <c r="J144" s="181">
        <f>'[1]2021 УГРЦТ'!Z147</f>
        <v>6890.0490000000136</v>
      </c>
      <c r="K144" s="182">
        <v>0</v>
      </c>
      <c r="L144" s="181">
        <v>1148.43</v>
      </c>
      <c r="M144" s="181"/>
      <c r="N144" s="181">
        <f>L144*6-0.53</f>
        <v>6890.05</v>
      </c>
      <c r="O144" s="7">
        <f t="shared" si="828"/>
        <v>5741.6190000000133</v>
      </c>
      <c r="P144" s="7">
        <f t="shared" si="823"/>
        <v>4593.189000000013</v>
      </c>
      <c r="Q144" s="7">
        <f t="shared" si="823"/>
        <v>3444.7590000000127</v>
      </c>
      <c r="R144" s="7">
        <f t="shared" si="823"/>
        <v>2296.3290000000125</v>
      </c>
      <c r="S144" s="7">
        <f t="shared" si="823"/>
        <v>1147.8990000000124</v>
      </c>
      <c r="T144" s="7">
        <f>S144-$L144+0.53</f>
        <v>-9.9999998767086318E-4</v>
      </c>
      <c r="U144" s="7">
        <f>T144-$L144*0</f>
        <v>-9.9999998767086318E-4</v>
      </c>
      <c r="V144" s="7">
        <f t="shared" ref="V144:Z144" si="833">U144-$L144*0</f>
        <v>-9.9999998767086318E-4</v>
      </c>
      <c r="W144" s="7">
        <f t="shared" si="833"/>
        <v>-9.9999998767086318E-4</v>
      </c>
      <c r="X144" s="7">
        <f t="shared" si="833"/>
        <v>-9.9999998767086318E-4</v>
      </c>
      <c r="Y144" s="7">
        <f t="shared" si="833"/>
        <v>-9.9999998767086318E-4</v>
      </c>
      <c r="Z144" s="7">
        <f t="shared" si="833"/>
        <v>-9.9999998767086318E-4</v>
      </c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222"/>
      <c r="AQ144" s="7">
        <v>0</v>
      </c>
      <c r="AR144" s="7">
        <f t="shared" si="831"/>
        <v>0</v>
      </c>
      <c r="AS144" s="7">
        <f t="shared" si="832"/>
        <v>0</v>
      </c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 s="236">
        <f t="shared" si="827"/>
        <v>0</v>
      </c>
      <c r="BH144" s="7">
        <v>0</v>
      </c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 s="236">
        <v>0</v>
      </c>
      <c r="BW144" s="7">
        <v>0</v>
      </c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 s="236">
        <v>0</v>
      </c>
      <c r="CL144" s="7">
        <v>0</v>
      </c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 s="236">
        <v>0</v>
      </c>
    </row>
    <row r="145" spans="1:104" ht="22.5" x14ac:dyDescent="0.2">
      <c r="A145" s="6" t="str">
        <f>'[1]2021 УГРЦТ'!A148</f>
        <v>Электродвигатель ВАО2-315М-2, У2,5, 1ExdIBT4, 250 кВт, 3000 об/мин, 380/660В, IM1001</v>
      </c>
      <c r="B145" t="str">
        <f>'[1]2021 УГРЦТ'!B148</f>
        <v>000001539</v>
      </c>
      <c r="C145" t="str">
        <f>'[1]2021 УГРЦТ'!C148</f>
        <v>ПРОИЗВОДСТВО</v>
      </c>
      <c r="D145" t="str">
        <f>'[1]2021 УГРЦТ'!D148</f>
        <v>Машины и оборудование (кроме офисного)</v>
      </c>
      <c r="E145" t="str">
        <f>'[1]2021 УГРЦТ'!E148</f>
        <v>31.08.2013</v>
      </c>
      <c r="F145" t="str">
        <f>'[1]2021 УГРЦТ'!F148</f>
        <v>Газотурбинный цех</v>
      </c>
      <c r="G145">
        <f>'[1]2021 УГРЦТ'!AC148</f>
        <v>120</v>
      </c>
      <c r="H145" s="7">
        <f>'[1]2021 УГРЦТ'!X148</f>
        <v>410338.98</v>
      </c>
      <c r="I145" s="7">
        <f>'[1]2021 УГРЦТ'!Y148</f>
        <v>37614.40649999999</v>
      </c>
      <c r="J145" s="7">
        <f>'[1]2021 УГРЦТ'!Z148</f>
        <v>68389.962</v>
      </c>
      <c r="K145" s="8">
        <v>0</v>
      </c>
      <c r="L145" s="7">
        <v>3419.49</v>
      </c>
      <c r="M145" s="7"/>
      <c r="N145" s="7">
        <f t="shared" si="825"/>
        <v>41033.879999999997</v>
      </c>
      <c r="O145" s="7">
        <f t="shared" si="828"/>
        <v>64970.472000000002</v>
      </c>
      <c r="P145" s="7">
        <f t="shared" si="823"/>
        <v>61550.982000000004</v>
      </c>
      <c r="Q145" s="7">
        <f t="shared" si="823"/>
        <v>58131.492000000006</v>
      </c>
      <c r="R145" s="7">
        <f t="shared" si="823"/>
        <v>54712.002000000008</v>
      </c>
      <c r="S145" s="7">
        <f t="shared" si="823"/>
        <v>51292.51200000001</v>
      </c>
      <c r="T145" s="7">
        <f t="shared" si="823"/>
        <v>47873.022000000012</v>
      </c>
      <c r="U145" s="7">
        <f t="shared" si="823"/>
        <v>44453.532000000014</v>
      </c>
      <c r="V145" s="7">
        <f t="shared" si="823"/>
        <v>41034.042000000016</v>
      </c>
      <c r="W145" s="7">
        <f t="shared" si="823"/>
        <v>37614.552000000018</v>
      </c>
      <c r="X145" s="7">
        <f t="shared" si="823"/>
        <v>34195.06200000002</v>
      </c>
      <c r="Y145" s="7">
        <f t="shared" si="823"/>
        <v>30775.572000000022</v>
      </c>
      <c r="Z145" s="7">
        <f t="shared" si="823"/>
        <v>27356.082000000024</v>
      </c>
      <c r="AA145" s="7"/>
      <c r="AB145" s="7"/>
      <c r="AC145" s="7">
        <f>L145*8+0.16</f>
        <v>27356.079999999998</v>
      </c>
      <c r="AD145" s="7">
        <f t="shared" si="830"/>
        <v>23936.592000000026</v>
      </c>
      <c r="AE145" s="7">
        <f t="shared" ref="AE145:AO148" si="834">AD145-$L145</f>
        <v>20517.102000000028</v>
      </c>
      <c r="AF145" s="7">
        <f t="shared" si="834"/>
        <v>17097.61200000003</v>
      </c>
      <c r="AG145" s="7">
        <f t="shared" si="834"/>
        <v>13678.12200000003</v>
      </c>
      <c r="AH145" s="7">
        <f t="shared" si="834"/>
        <v>10258.632000000031</v>
      </c>
      <c r="AI145" s="7">
        <f t="shared" si="834"/>
        <v>6839.1420000000307</v>
      </c>
      <c r="AJ145" s="7">
        <f t="shared" si="834"/>
        <v>3419.652000000031</v>
      </c>
      <c r="AK145" s="7">
        <f t="shared" si="834"/>
        <v>0.16200000003118475</v>
      </c>
      <c r="AL145" s="7"/>
      <c r="AM145" s="7"/>
      <c r="AN145" s="7"/>
      <c r="AO145" s="7"/>
      <c r="AP145" s="222"/>
      <c r="AQ145" s="7">
        <v>3419.49</v>
      </c>
      <c r="AR145" s="7"/>
      <c r="AS145" s="7"/>
      <c r="BG145" s="236">
        <f t="shared" si="827"/>
        <v>0</v>
      </c>
      <c r="BH145" s="7">
        <v>3419.49</v>
      </c>
      <c r="BV145" s="236">
        <f>IF(Z145&lt;1,0,SUM(BJ145:BU145,BF145)/13*$BG$1)</f>
        <v>0</v>
      </c>
      <c r="BW145" s="7">
        <v>3419.49</v>
      </c>
      <c r="CK145" s="236">
        <f>IF(AO145&lt;1,0,SUM(BY145:CJ145,BU145)/13*$BG$1)</f>
        <v>0</v>
      </c>
      <c r="CL145" s="7">
        <v>3419.49</v>
      </c>
      <c r="CZ145" s="236">
        <f>IF(BF145&lt;1,0,SUM(CN145:CY145,CJ145)/13*$BG$1)</f>
        <v>0</v>
      </c>
    </row>
    <row r="146" spans="1:104" x14ac:dyDescent="0.2">
      <c r="A146" s="6" t="str">
        <f>'[1]2021 УГРЦТ'!A149</f>
        <v>Электронасос типа КМ 100-80-160-5 15кВт</v>
      </c>
      <c r="B146" t="str">
        <f>'[1]2021 УГРЦТ'!B149</f>
        <v>000001809</v>
      </c>
      <c r="C146" t="str">
        <f>'[1]2021 УГРЦТ'!C149</f>
        <v>ПРОИЗВОДСТВО</v>
      </c>
      <c r="D146" t="str">
        <f>'[1]2021 УГРЦТ'!D149</f>
        <v>Машины и оборудование (кроме офисного)</v>
      </c>
      <c r="E146" t="str">
        <f>'[1]2021 УГРЦТ'!E149</f>
        <v>04.06.2020</v>
      </c>
      <c r="F146" t="str">
        <f>'[1]2021 УГРЦТ'!F149</f>
        <v>Тепломеханический цех</v>
      </c>
      <c r="G146">
        <f>'[1]2021 УГРЦТ'!AC149</f>
        <v>120</v>
      </c>
      <c r="H146" s="7">
        <f>'[1]2021 УГРЦТ'!X149</f>
        <v>81458.27</v>
      </c>
      <c r="I146" s="7">
        <f>'[1]2021 УГРЦТ'!Y149</f>
        <v>12218.747000000003</v>
      </c>
      <c r="J146" s="7">
        <f>'[1]2021 УГРЦТ'!Z149</f>
        <v>69239.523000000001</v>
      </c>
      <c r="K146" s="8">
        <v>0</v>
      </c>
      <c r="L146" s="7">
        <v>678.82</v>
      </c>
      <c r="M146" s="7"/>
      <c r="N146" s="7">
        <f t="shared" si="825"/>
        <v>8145.84</v>
      </c>
      <c r="O146" s="7">
        <f t="shared" si="828"/>
        <v>68560.702999999994</v>
      </c>
      <c r="P146" s="7">
        <f t="shared" ref="P146:Z159" si="835">O146-$L146</f>
        <v>67881.882999999987</v>
      </c>
      <c r="Q146" s="7">
        <f t="shared" si="835"/>
        <v>67203.06299999998</v>
      </c>
      <c r="R146" s="7">
        <f t="shared" si="835"/>
        <v>66524.242999999973</v>
      </c>
      <c r="S146" s="7">
        <f t="shared" si="835"/>
        <v>65845.422999999966</v>
      </c>
      <c r="T146" s="7">
        <f t="shared" si="835"/>
        <v>65166.602999999966</v>
      </c>
      <c r="U146" s="7">
        <f t="shared" si="835"/>
        <v>64487.782999999967</v>
      </c>
      <c r="V146" s="7">
        <f t="shared" si="835"/>
        <v>63808.962999999967</v>
      </c>
      <c r="W146" s="7">
        <f t="shared" si="835"/>
        <v>63130.142999999967</v>
      </c>
      <c r="X146" s="7">
        <f t="shared" si="835"/>
        <v>62451.322999999968</v>
      </c>
      <c r="Y146" s="7">
        <f t="shared" si="835"/>
        <v>61772.502999999968</v>
      </c>
      <c r="Z146" s="7">
        <f t="shared" si="835"/>
        <v>61093.682999999968</v>
      </c>
      <c r="AA146" s="7"/>
      <c r="AB146" s="7"/>
      <c r="AC146" s="7">
        <f t="shared" si="829"/>
        <v>8145.84</v>
      </c>
      <c r="AD146" s="7">
        <f t="shared" si="830"/>
        <v>60414.862999999968</v>
      </c>
      <c r="AE146" s="7">
        <f t="shared" si="834"/>
        <v>59736.042999999969</v>
      </c>
      <c r="AF146" s="7">
        <f t="shared" si="834"/>
        <v>59057.222999999969</v>
      </c>
      <c r="AG146" s="7">
        <f t="shared" si="834"/>
        <v>58378.402999999969</v>
      </c>
      <c r="AH146" s="7">
        <f t="shared" si="834"/>
        <v>57699.58299999997</v>
      </c>
      <c r="AI146" s="7">
        <f t="shared" si="834"/>
        <v>57020.76299999997</v>
      </c>
      <c r="AJ146" s="7">
        <f t="shared" si="834"/>
        <v>56341.94299999997</v>
      </c>
      <c r="AK146" s="7">
        <f t="shared" si="834"/>
        <v>55663.12299999997</v>
      </c>
      <c r="AL146" s="7">
        <f t="shared" si="834"/>
        <v>54984.302999999971</v>
      </c>
      <c r="AM146" s="7">
        <f t="shared" si="834"/>
        <v>54305.482999999971</v>
      </c>
      <c r="AN146" s="7">
        <f t="shared" si="834"/>
        <v>53626.662999999971</v>
      </c>
      <c r="AO146" s="7">
        <f t="shared" si="834"/>
        <v>52947.842999999972</v>
      </c>
      <c r="AP146" s="222"/>
      <c r="AQ146" s="7">
        <v>678.82</v>
      </c>
      <c r="AR146" s="7">
        <f t="shared" si="831"/>
        <v>678.81999999999971</v>
      </c>
      <c r="AS146" s="7">
        <f t="shared" si="832"/>
        <v>0</v>
      </c>
      <c r="AT146" s="7">
        <f t="shared" ref="AT146:AT148" si="836">L146*12</f>
        <v>8145.84</v>
      </c>
      <c r="AU146" s="7">
        <f>AO146-$L146</f>
        <v>52269.022999999972</v>
      </c>
      <c r="AV146" s="7">
        <f t="shared" ref="AV146:BF148" si="837">AU146-$L146</f>
        <v>51590.202999999972</v>
      </c>
      <c r="AW146" s="7">
        <f t="shared" si="837"/>
        <v>50911.382999999973</v>
      </c>
      <c r="AX146" s="7">
        <f t="shared" si="837"/>
        <v>50232.562999999973</v>
      </c>
      <c r="AY146" s="7">
        <f t="shared" si="837"/>
        <v>49553.742999999973</v>
      </c>
      <c r="AZ146" s="7">
        <f t="shared" si="837"/>
        <v>48874.922999999973</v>
      </c>
      <c r="BA146" s="7">
        <f t="shared" si="837"/>
        <v>48196.102999999974</v>
      </c>
      <c r="BB146" s="7">
        <f t="shared" si="837"/>
        <v>47517.282999999974</v>
      </c>
      <c r="BC146" s="7">
        <f t="shared" si="837"/>
        <v>46838.462999999974</v>
      </c>
      <c r="BD146" s="7">
        <f t="shared" si="837"/>
        <v>46159.642999999975</v>
      </c>
      <c r="BE146" s="7">
        <f t="shared" si="837"/>
        <v>45480.822999999975</v>
      </c>
      <c r="BF146" s="7">
        <f t="shared" si="837"/>
        <v>44802.002999999975</v>
      </c>
      <c r="BG146" s="236">
        <f t="shared" si="827"/>
        <v>0</v>
      </c>
      <c r="BH146" s="7">
        <v>678.82</v>
      </c>
      <c r="BI146" s="39">
        <f>BH146*12</f>
        <v>8145.84</v>
      </c>
      <c r="BJ146" s="7">
        <f>BF146-BH146</f>
        <v>44123.182999999975</v>
      </c>
      <c r="BK146" s="7">
        <f t="shared" ref="BK146:BK148" si="838">BJ146-$L146</f>
        <v>43444.362999999976</v>
      </c>
      <c r="BL146" s="7">
        <f t="shared" ref="BL146" si="839">BK146-$L146</f>
        <v>42765.542999999976</v>
      </c>
      <c r="BM146" s="7">
        <f t="shared" ref="BM146" si="840">BL146-$L146</f>
        <v>42086.722999999976</v>
      </c>
      <c r="BN146" s="7">
        <f t="shared" ref="BN146" si="841">BM146-$L146</f>
        <v>41407.902999999977</v>
      </c>
      <c r="BO146" s="7">
        <f t="shared" ref="BO146" si="842">BN146-$L146</f>
        <v>40729.082999999977</v>
      </c>
      <c r="BP146" s="7">
        <f t="shared" ref="BP146" si="843">BO146-$L146</f>
        <v>40050.262999999977</v>
      </c>
      <c r="BQ146" s="7">
        <f t="shared" ref="BQ146" si="844">BP146-$L146</f>
        <v>39371.442999999977</v>
      </c>
      <c r="BR146" s="7">
        <f t="shared" ref="BR146" si="845">BQ146-$L146</f>
        <v>38692.622999999978</v>
      </c>
      <c r="BS146" s="7">
        <f t="shared" ref="BS146" si="846">BR146-$L146</f>
        <v>38013.802999999978</v>
      </c>
      <c r="BT146" s="7">
        <f t="shared" ref="BT146" si="847">BS146-$L146</f>
        <v>37334.982999999978</v>
      </c>
      <c r="BU146" s="7">
        <f t="shared" ref="BU146" si="848">BT146-$L146</f>
        <v>36656.162999999979</v>
      </c>
      <c r="BV146" s="236">
        <v>0</v>
      </c>
      <c r="BW146" s="7">
        <v>678.82</v>
      </c>
      <c r="BX146" s="39">
        <f>BW146*12</f>
        <v>8145.84</v>
      </c>
      <c r="BY146" s="7">
        <f>BU146-BW146</f>
        <v>35977.342999999979</v>
      </c>
      <c r="BZ146" s="7">
        <f t="shared" ref="BZ146:BZ148" si="849">BY146-$L146</f>
        <v>35298.522999999979</v>
      </c>
      <c r="CA146" s="7">
        <f t="shared" ref="CA146" si="850">BZ146-$L146</f>
        <v>34619.70299999998</v>
      </c>
      <c r="CB146" s="7">
        <f t="shared" ref="CB146" si="851">CA146-$L146</f>
        <v>33940.88299999998</v>
      </c>
      <c r="CC146" s="7">
        <f t="shared" ref="CC146" si="852">CB146-$L146</f>
        <v>33262.06299999998</v>
      </c>
      <c r="CD146" s="7">
        <f t="shared" ref="CD146" si="853">CC146-$L146</f>
        <v>32583.24299999998</v>
      </c>
      <c r="CE146" s="7">
        <f t="shared" ref="CE146" si="854">CD146-$L146</f>
        <v>31904.422999999981</v>
      </c>
      <c r="CF146" s="7">
        <f t="shared" ref="CF146" si="855">CE146-$L146</f>
        <v>31225.602999999981</v>
      </c>
      <c r="CG146" s="7">
        <f t="shared" ref="CG146" si="856">CF146-$L146</f>
        <v>30546.782999999981</v>
      </c>
      <c r="CH146" s="7">
        <f t="shared" ref="CH146" si="857">CG146-$L146</f>
        <v>29867.962999999982</v>
      </c>
      <c r="CI146" s="7">
        <f t="shared" ref="CI146" si="858">CH146-$L146</f>
        <v>29189.142999999982</v>
      </c>
      <c r="CJ146" s="7">
        <f t="shared" ref="CJ146" si="859">CI146-$L146</f>
        <v>28510.322999999982</v>
      </c>
      <c r="CK146" s="236">
        <v>0</v>
      </c>
      <c r="CL146" s="7">
        <v>678.82</v>
      </c>
      <c r="CM146" s="39">
        <f>CL146*12</f>
        <v>8145.84</v>
      </c>
      <c r="CN146" s="7">
        <f>CJ146-CL146</f>
        <v>27831.502999999982</v>
      </c>
      <c r="CO146" s="7">
        <f t="shared" ref="CO146:CO148" si="860">CN146-$L146</f>
        <v>27152.682999999983</v>
      </c>
      <c r="CP146" s="7">
        <f t="shared" ref="CP146" si="861">CO146-$L146</f>
        <v>26473.862999999983</v>
      </c>
      <c r="CQ146" s="7">
        <f t="shared" ref="CQ146" si="862">CP146-$L146</f>
        <v>25795.042999999983</v>
      </c>
      <c r="CR146" s="7">
        <f t="shared" ref="CR146" si="863">CQ146-$L146</f>
        <v>25116.222999999984</v>
      </c>
      <c r="CS146" s="7">
        <f t="shared" ref="CS146" si="864">CR146-$L146</f>
        <v>24437.402999999984</v>
      </c>
      <c r="CT146" s="7">
        <f t="shared" ref="CT146" si="865">CS146-$L146</f>
        <v>23758.582999999984</v>
      </c>
      <c r="CU146" s="7">
        <f t="shared" ref="CU146" si="866">CT146-$L146</f>
        <v>23079.762999999984</v>
      </c>
      <c r="CV146" s="7">
        <f t="shared" ref="CV146" si="867">CU146-$L146</f>
        <v>22400.942999999985</v>
      </c>
      <c r="CW146" s="7">
        <f t="shared" ref="CW146" si="868">CV146-$L146</f>
        <v>21722.122999999985</v>
      </c>
      <c r="CX146" s="7">
        <f t="shared" ref="CX146" si="869">CW146-$L146</f>
        <v>21043.302999999985</v>
      </c>
      <c r="CY146" s="7">
        <f t="shared" ref="CY146" si="870">CX146-$L146</f>
        <v>20364.482999999986</v>
      </c>
      <c r="CZ146" s="236">
        <v>0</v>
      </c>
    </row>
    <row r="147" spans="1:104" s="26" customFormat="1" x14ac:dyDescent="0.2">
      <c r="A147" s="104" t="str">
        <f>'[1]2021 УГРЦТ'!A150</f>
        <v>Электростанция  1955г.</v>
      </c>
      <c r="B147" s="26" t="str">
        <f>'[1]2021 УГРЦТ'!B150</f>
        <v>00000275</v>
      </c>
      <c r="C147" s="26" t="str">
        <f>'[1]2021 УГРЦТ'!C150</f>
        <v>ПРОИЗВОДСТВО</v>
      </c>
      <c r="D147" s="26" t="str">
        <f>'[1]2021 УГРЦТ'!D150</f>
        <v>Здания</v>
      </c>
      <c r="E147" s="26" t="str">
        <f>'[1]2021 УГРЦТ'!E150</f>
        <v>31.01.1955</v>
      </c>
      <c r="F147" s="26" t="str">
        <f>'[1]2021 УГРЦТ'!F150</f>
        <v>Тепломеханический цех</v>
      </c>
      <c r="G147" s="26">
        <f>'[1]2021 УГРЦТ'!AC150</f>
        <v>996</v>
      </c>
      <c r="H147" s="39">
        <f>'[1]2021 УГРЦТ'!X150</f>
        <v>10070046.470000001</v>
      </c>
      <c r="I147" s="39">
        <v>4305862.41</v>
      </c>
      <c r="J147" s="39">
        <f>H147-I147</f>
        <v>5764184.0600000005</v>
      </c>
      <c r="K147" s="40">
        <v>1</v>
      </c>
      <c r="L147" s="39">
        <v>30333.691605421103</v>
      </c>
      <c r="M147" s="39"/>
      <c r="N147" s="39">
        <f>L147*12</f>
        <v>364004.29926505324</v>
      </c>
      <c r="O147" s="39">
        <f>J147-$L$147</f>
        <v>5733850.3683945797</v>
      </c>
      <c r="P147" s="39">
        <f>O147-$L$147</f>
        <v>5703516.676789159</v>
      </c>
      <c r="Q147" s="39">
        <f>P147-$L$147</f>
        <v>5673182.9851837382</v>
      </c>
      <c r="R147" s="39">
        <f t="shared" ref="R147:Y147" si="871">Q147-$L$147</f>
        <v>5642849.2935783174</v>
      </c>
      <c r="S147" s="39">
        <f t="shared" si="871"/>
        <v>5612515.6019728966</v>
      </c>
      <c r="T147" s="39">
        <f t="shared" si="871"/>
        <v>5582181.9103674758</v>
      </c>
      <c r="U147" s="39">
        <f t="shared" si="871"/>
        <v>5551848.218762055</v>
      </c>
      <c r="V147" s="39">
        <f t="shared" si="871"/>
        <v>5521514.5271566343</v>
      </c>
      <c r="W147" s="39">
        <f t="shared" si="871"/>
        <v>5491180.8355512135</v>
      </c>
      <c r="X147" s="39">
        <f t="shared" si="871"/>
        <v>5460847.1439457927</v>
      </c>
      <c r="Y147" s="39">
        <f t="shared" si="871"/>
        <v>5430513.4523403719</v>
      </c>
      <c r="Z147" s="39">
        <f>Y147-$L$147</f>
        <v>5400179.7607349511</v>
      </c>
      <c r="AA147" s="39">
        <f>SUM(O147:Z147,J147)/13*$AA$1</f>
        <v>122808.00202808446</v>
      </c>
      <c r="AB147" s="39"/>
      <c r="AC147" s="7">
        <f>IF(AB147&gt;0,AB147*12,L147*12)</f>
        <v>364004.29926505324</v>
      </c>
      <c r="AD147" s="39">
        <f>Z147-$L$147</f>
        <v>5369846.0691295303</v>
      </c>
      <c r="AE147" s="39">
        <f>AD147+$L$147</f>
        <v>5400179.7607349511</v>
      </c>
      <c r="AF147" s="39">
        <f t="shared" ref="AF147:AO147" si="872">AE147+$L$147</f>
        <v>5430513.4523403719</v>
      </c>
      <c r="AG147" s="39">
        <f t="shared" si="872"/>
        <v>5460847.1439457927</v>
      </c>
      <c r="AH147" s="39">
        <f t="shared" si="872"/>
        <v>5491180.8355512135</v>
      </c>
      <c r="AI147" s="39">
        <f t="shared" si="872"/>
        <v>5521514.5271566343</v>
      </c>
      <c r="AJ147" s="39">
        <f t="shared" si="872"/>
        <v>5551848.218762055</v>
      </c>
      <c r="AK147" s="39">
        <f t="shared" si="872"/>
        <v>5582181.9103674758</v>
      </c>
      <c r="AL147" s="39">
        <f t="shared" si="872"/>
        <v>5612515.6019728966</v>
      </c>
      <c r="AM147" s="39">
        <f t="shared" si="872"/>
        <v>5642849.2935783174</v>
      </c>
      <c r="AN147" s="39">
        <f t="shared" si="872"/>
        <v>5673182.9851837382</v>
      </c>
      <c r="AO147" s="39">
        <f t="shared" si="872"/>
        <v>5703516.676789159</v>
      </c>
      <c r="AP147" s="222">
        <f>IF(K147&lt;1,0,SUM(AD147:AO147,Z147)/13*$BG$1)</f>
        <v>121575.98747672583</v>
      </c>
      <c r="AQ147" s="275">
        <v>30333.691605421103</v>
      </c>
      <c r="AR147" s="276">
        <f t="shared" si="831"/>
        <v>-30333.691605420783</v>
      </c>
      <c r="AS147" s="276">
        <f t="shared" si="832"/>
        <v>-60667.383210841886</v>
      </c>
      <c r="AT147" s="39">
        <f>AQ147*12</f>
        <v>364004.29926505324</v>
      </c>
      <c r="AU147" s="39">
        <f>AO147-AQ147</f>
        <v>5673182.9851837382</v>
      </c>
      <c r="AV147" s="39">
        <f>AU147-$AQ$147</f>
        <v>5642849.2935783174</v>
      </c>
      <c r="AW147" s="39">
        <f>AV147-$AQ$147</f>
        <v>5612515.6019728966</v>
      </c>
      <c r="AX147" s="39">
        <f t="shared" ref="AX147:BF147" si="873">AW147-$AQ$147</f>
        <v>5582181.9103674758</v>
      </c>
      <c r="AY147" s="39">
        <f t="shared" si="873"/>
        <v>5551848.218762055</v>
      </c>
      <c r="AZ147" s="39">
        <f t="shared" si="873"/>
        <v>5521514.5271566343</v>
      </c>
      <c r="BA147" s="39">
        <f t="shared" si="873"/>
        <v>5491180.8355512135</v>
      </c>
      <c r="BB147" s="39">
        <f t="shared" si="873"/>
        <v>5460847.1439457927</v>
      </c>
      <c r="BC147" s="39">
        <f t="shared" si="873"/>
        <v>5430513.4523403719</v>
      </c>
      <c r="BD147" s="39">
        <f t="shared" si="873"/>
        <v>5400179.7607349511</v>
      </c>
      <c r="BE147" s="39">
        <f t="shared" si="873"/>
        <v>5369846.0691295303</v>
      </c>
      <c r="BF147" s="39">
        <f t="shared" si="873"/>
        <v>5339512.3775241096</v>
      </c>
      <c r="BG147" s="236">
        <f t="shared" si="827"/>
        <v>121473.31959744597</v>
      </c>
      <c r="BH147" s="39">
        <v>30333.691605421103</v>
      </c>
      <c r="BI147" s="39">
        <f>BH147*12</f>
        <v>364004.29926505324</v>
      </c>
      <c r="BJ147" s="7">
        <f>BF147-BH147</f>
        <v>5309178.6859186888</v>
      </c>
      <c r="BK147" s="7">
        <f t="shared" si="838"/>
        <v>5278844.994313268</v>
      </c>
      <c r="BL147" s="39">
        <f>BK147-$AQ$147</f>
        <v>5248511.3027078472</v>
      </c>
      <c r="BM147" s="39">
        <f t="shared" ref="BM147" si="874">BL147-$AQ$147</f>
        <v>5218177.6111024264</v>
      </c>
      <c r="BN147" s="39">
        <f t="shared" ref="BN147" si="875">BM147-$AQ$147</f>
        <v>5187843.9194970056</v>
      </c>
      <c r="BO147" s="39">
        <f t="shared" ref="BO147" si="876">BN147-$AQ$147</f>
        <v>5157510.2278915849</v>
      </c>
      <c r="BP147" s="39">
        <f t="shared" ref="BP147" si="877">BO147-$AQ$147</f>
        <v>5127176.5362861641</v>
      </c>
      <c r="BQ147" s="39">
        <f t="shared" ref="BQ147" si="878">BP147-$AQ$147</f>
        <v>5096842.8446807433</v>
      </c>
      <c r="BR147" s="39">
        <f t="shared" ref="BR147" si="879">BQ147-$AQ$147</f>
        <v>5066509.1530753225</v>
      </c>
      <c r="BS147" s="39">
        <f t="shared" ref="BS147" si="880">BR147-$AQ$147</f>
        <v>5036175.4614699017</v>
      </c>
      <c r="BT147" s="39">
        <f t="shared" ref="BT147" si="881">BS147-$AQ$147</f>
        <v>5005841.7698644809</v>
      </c>
      <c r="BU147" s="39">
        <f t="shared" ref="BU147" si="882">BT147-$AQ$147</f>
        <v>4975508.0782590602</v>
      </c>
      <c r="BV147" s="236">
        <f>IF(Z147&lt;1,0,SUM(BJ147:BU147,BF147)/13*$BG$1)</f>
        <v>113465.22501361487</v>
      </c>
      <c r="BW147" s="39">
        <v>30333.691605421103</v>
      </c>
      <c r="BX147" s="39">
        <f>BW147*12</f>
        <v>364004.29926505324</v>
      </c>
      <c r="BY147" s="7">
        <f>BU147-BW147</f>
        <v>4945174.3866536394</v>
      </c>
      <c r="BZ147" s="7">
        <f t="shared" si="849"/>
        <v>4914840.6950482186</v>
      </c>
      <c r="CA147" s="39">
        <f>BZ147-$AQ$147</f>
        <v>4884507.0034427978</v>
      </c>
      <c r="CB147" s="39">
        <f t="shared" ref="CB147" si="883">CA147-$AQ$147</f>
        <v>4854173.311837377</v>
      </c>
      <c r="CC147" s="39">
        <f t="shared" ref="CC147" si="884">CB147-$AQ$147</f>
        <v>4823839.6202319562</v>
      </c>
      <c r="CD147" s="39">
        <f t="shared" ref="CD147" si="885">CC147-$AQ$147</f>
        <v>4793505.9286265355</v>
      </c>
      <c r="CE147" s="39">
        <f t="shared" ref="CE147" si="886">CD147-$AQ$147</f>
        <v>4763172.2370211147</v>
      </c>
      <c r="CF147" s="39">
        <f t="shared" ref="CF147" si="887">CE147-$AQ$147</f>
        <v>4732838.5454156939</v>
      </c>
      <c r="CG147" s="39">
        <f t="shared" ref="CG147" si="888">CF147-$AQ$147</f>
        <v>4702504.8538102731</v>
      </c>
      <c r="CH147" s="39">
        <f t="shared" ref="CH147" si="889">CG147-$AQ$147</f>
        <v>4672171.1622048523</v>
      </c>
      <c r="CI147" s="39">
        <f t="shared" ref="CI147" si="890">CH147-$AQ$147</f>
        <v>4641837.4705994315</v>
      </c>
      <c r="CJ147" s="39">
        <f t="shared" ref="CJ147" si="891">CI147-$AQ$147</f>
        <v>4611503.7789940108</v>
      </c>
      <c r="CK147" s="236">
        <f>IF(AO147&lt;1,0,SUM(BY147:CJ147,BU147)/13*$BG$1)</f>
        <v>105457.13042978378</v>
      </c>
      <c r="CL147" s="39">
        <v>30333.691605421103</v>
      </c>
      <c r="CM147" s="39">
        <f>CL147*12</f>
        <v>364004.29926505324</v>
      </c>
      <c r="CN147" s="7">
        <f>CJ147-CL147</f>
        <v>4581170.08738859</v>
      </c>
      <c r="CO147" s="7">
        <f t="shared" si="860"/>
        <v>4550836.3957831692</v>
      </c>
      <c r="CP147" s="39">
        <f>CO147-$AQ$147</f>
        <v>4520502.7041777484</v>
      </c>
      <c r="CQ147" s="39">
        <f t="shared" ref="CQ147" si="892">CP147-$AQ$147</f>
        <v>4490169.0125723276</v>
      </c>
      <c r="CR147" s="39">
        <f t="shared" ref="CR147" si="893">CQ147-$AQ$147</f>
        <v>4459835.3209669068</v>
      </c>
      <c r="CS147" s="39">
        <f t="shared" ref="CS147" si="894">CR147-$AQ$147</f>
        <v>4429501.6293614861</v>
      </c>
      <c r="CT147" s="39">
        <f t="shared" ref="CT147" si="895">CS147-$AQ$147</f>
        <v>4399167.9377560653</v>
      </c>
      <c r="CU147" s="39">
        <f t="shared" ref="CU147" si="896">CT147-$AQ$147</f>
        <v>4368834.2461506445</v>
      </c>
      <c r="CV147" s="39">
        <f t="shared" ref="CV147" si="897">CU147-$AQ$147</f>
        <v>4338500.5545452237</v>
      </c>
      <c r="CW147" s="39">
        <f t="shared" ref="CW147" si="898">CV147-$AQ$147</f>
        <v>4308166.8629398029</v>
      </c>
      <c r="CX147" s="39">
        <f t="shared" ref="CX147" si="899">CW147-$AQ$147</f>
        <v>4277833.1713343821</v>
      </c>
      <c r="CY147" s="39">
        <f t="shared" ref="CY147" si="900">CX147-$AQ$147</f>
        <v>4247499.4797289614</v>
      </c>
      <c r="CZ147" s="236">
        <f>IF(BF147&lt;1,0,SUM(CN147:CY147,CJ147)/13*$BG$1)</f>
        <v>97449.035845952691</v>
      </c>
    </row>
    <row r="148" spans="1:104" x14ac:dyDescent="0.2">
      <c r="A148" s="6" t="str">
        <f>'[1]2021 УГРЦТ'!A151</f>
        <v>Ячейка генераторного выключателя КРУ СЭЩ-70</v>
      </c>
      <c r="B148" t="str">
        <f>'[1]2021 УГРЦТ'!B151</f>
        <v>000001652</v>
      </c>
      <c r="C148" t="str">
        <f>'[1]2021 УГРЦТ'!C151</f>
        <v>ПРОИЗВОДСТВО</v>
      </c>
      <c r="D148" t="str">
        <f>'[1]2021 УГРЦТ'!D151</f>
        <v>Машины и оборудование (кроме офисного)</v>
      </c>
      <c r="E148" t="str">
        <f>'[1]2021 УГРЦТ'!E151</f>
        <v>31.01.2015</v>
      </c>
      <c r="F148" t="str">
        <f>'[1]2021 УГРЦТ'!F151</f>
        <v>Газотурбинный цех</v>
      </c>
      <c r="G148">
        <f>'[1]2021 УГРЦТ'!AC151</f>
        <v>180</v>
      </c>
      <c r="H148" s="7">
        <f>'[1]2021 УГРЦТ'!X151</f>
        <v>2852111.23</v>
      </c>
      <c r="I148" s="7">
        <f>'[1]2021 УГРЦТ'!Y151</f>
        <v>1315140.0086666667</v>
      </c>
      <c r="J148" s="7">
        <f>'[1]2021 УГРЦТ'!Z151</f>
        <v>1536971.2213333333</v>
      </c>
      <c r="K148" s="8">
        <v>0</v>
      </c>
      <c r="L148" s="7">
        <v>15845.06</v>
      </c>
      <c r="M148" s="7"/>
      <c r="N148" s="7">
        <f t="shared" si="825"/>
        <v>190140.72</v>
      </c>
      <c r="O148" s="7">
        <f t="shared" si="828"/>
        <v>1521126.1613333332</v>
      </c>
      <c r="P148" s="7">
        <f t="shared" si="835"/>
        <v>1505281.1013333332</v>
      </c>
      <c r="Q148" s="7">
        <f t="shared" si="835"/>
        <v>1489436.0413333331</v>
      </c>
      <c r="R148" s="7">
        <f t="shared" si="835"/>
        <v>1473590.9813333331</v>
      </c>
      <c r="S148" s="7">
        <f t="shared" si="835"/>
        <v>1457745.921333333</v>
      </c>
      <c r="T148" s="7">
        <f t="shared" si="835"/>
        <v>1441900.861333333</v>
      </c>
      <c r="U148" s="7">
        <f t="shared" si="835"/>
        <v>1426055.8013333329</v>
      </c>
      <c r="V148" s="7">
        <f t="shared" si="835"/>
        <v>1410210.7413333328</v>
      </c>
      <c r="W148" s="7">
        <f t="shared" si="835"/>
        <v>1394365.6813333328</v>
      </c>
      <c r="X148" s="7">
        <f t="shared" si="835"/>
        <v>1378520.6213333327</v>
      </c>
      <c r="Y148" s="7">
        <f t="shared" si="835"/>
        <v>1362675.5613333327</v>
      </c>
      <c r="Z148" s="7">
        <f t="shared" si="835"/>
        <v>1346830.5013333326</v>
      </c>
      <c r="AA148" s="7"/>
      <c r="AB148" s="7"/>
      <c r="AC148" s="7">
        <f t="shared" si="829"/>
        <v>190140.72</v>
      </c>
      <c r="AD148" s="7">
        <f t="shared" si="830"/>
        <v>1330985.4413333326</v>
      </c>
      <c r="AE148" s="7">
        <f t="shared" si="834"/>
        <v>1315140.3813333325</v>
      </c>
      <c r="AF148" s="7">
        <f t="shared" si="834"/>
        <v>1299295.3213333325</v>
      </c>
      <c r="AG148" s="7">
        <f t="shared" si="834"/>
        <v>1283450.2613333324</v>
      </c>
      <c r="AH148" s="7">
        <f t="shared" si="834"/>
        <v>1267605.2013333323</v>
      </c>
      <c r="AI148" s="7">
        <f t="shared" si="834"/>
        <v>1251760.1413333323</v>
      </c>
      <c r="AJ148" s="7">
        <f t="shared" si="834"/>
        <v>1235915.0813333322</v>
      </c>
      <c r="AK148" s="7">
        <f t="shared" si="834"/>
        <v>1220070.0213333322</v>
      </c>
      <c r="AL148" s="7">
        <f t="shared" si="834"/>
        <v>1204224.9613333321</v>
      </c>
      <c r="AM148" s="7">
        <f t="shared" si="834"/>
        <v>1188379.9013333321</v>
      </c>
      <c r="AN148" s="7">
        <f t="shared" si="834"/>
        <v>1172534.841333332</v>
      </c>
      <c r="AO148" s="7">
        <f t="shared" si="834"/>
        <v>1156689.781333332</v>
      </c>
      <c r="AP148" s="222"/>
      <c r="AQ148" s="7">
        <v>15845.06</v>
      </c>
      <c r="AR148" s="7">
        <f t="shared" si="831"/>
        <v>15845.060000000056</v>
      </c>
      <c r="AS148" s="7">
        <f t="shared" si="832"/>
        <v>5.6388671509921551E-11</v>
      </c>
      <c r="AT148" s="7">
        <f t="shared" si="836"/>
        <v>190140.72</v>
      </c>
      <c r="AU148" s="7">
        <f>AO148-$L148</f>
        <v>1140844.7213333319</v>
      </c>
      <c r="AV148" s="7">
        <f t="shared" si="837"/>
        <v>1124999.6613333318</v>
      </c>
      <c r="AW148" s="7">
        <f t="shared" si="837"/>
        <v>1109154.6013333318</v>
      </c>
      <c r="AX148" s="7">
        <f t="shared" si="837"/>
        <v>1093309.5413333317</v>
      </c>
      <c r="AY148" s="7">
        <f t="shared" si="837"/>
        <v>1077464.4813333317</v>
      </c>
      <c r="AZ148" s="7">
        <f t="shared" si="837"/>
        <v>1061619.4213333316</v>
      </c>
      <c r="BA148" s="7">
        <f t="shared" si="837"/>
        <v>1045774.3613333316</v>
      </c>
      <c r="BB148" s="7">
        <f t="shared" si="837"/>
        <v>1029929.3013333315</v>
      </c>
      <c r="BC148" s="7">
        <f t="shared" si="837"/>
        <v>1014084.2413333314</v>
      </c>
      <c r="BD148" s="7">
        <f t="shared" si="837"/>
        <v>998239.18133333139</v>
      </c>
      <c r="BE148" s="7">
        <f t="shared" si="837"/>
        <v>982394.12133333134</v>
      </c>
      <c r="BF148" s="7">
        <f t="shared" si="837"/>
        <v>966549.06133333128</v>
      </c>
      <c r="BG148" s="236">
        <f t="shared" si="827"/>
        <v>0</v>
      </c>
      <c r="BH148" s="7">
        <v>15845.06</v>
      </c>
      <c r="BI148" s="39">
        <f>BH148*12</f>
        <v>190140.72</v>
      </c>
      <c r="BJ148" s="7">
        <f>BF148-BH148</f>
        <v>950704.00133333122</v>
      </c>
      <c r="BK148" s="7">
        <f t="shared" si="838"/>
        <v>934858.94133333117</v>
      </c>
      <c r="BL148" s="7">
        <f t="shared" ref="BL148" si="901">BK148-$L148</f>
        <v>919013.88133333111</v>
      </c>
      <c r="BM148" s="7">
        <f t="shared" ref="BM148" si="902">BL148-$L148</f>
        <v>903168.82133333106</v>
      </c>
      <c r="BN148" s="7">
        <f t="shared" ref="BN148" si="903">BM148-$L148</f>
        <v>887323.761333331</v>
      </c>
      <c r="BO148" s="7">
        <f t="shared" ref="BO148" si="904">BN148-$L148</f>
        <v>871478.70133333094</v>
      </c>
      <c r="BP148" s="7">
        <f t="shared" ref="BP148" si="905">BO148-$L148</f>
        <v>855633.64133333089</v>
      </c>
      <c r="BQ148" s="7">
        <f t="shared" ref="BQ148" si="906">BP148-$L148</f>
        <v>839788.58133333083</v>
      </c>
      <c r="BR148" s="7">
        <f t="shared" ref="BR148" si="907">BQ148-$L148</f>
        <v>823943.52133333078</v>
      </c>
      <c r="BS148" s="7">
        <f t="shared" ref="BS148" si="908">BR148-$L148</f>
        <v>808098.46133333072</v>
      </c>
      <c r="BT148" s="7">
        <f t="shared" ref="BT148" si="909">BS148-$L148</f>
        <v>792253.40133333066</v>
      </c>
      <c r="BU148" s="7">
        <f t="shared" ref="BU148" si="910">BT148-$L148</f>
        <v>776408.34133333061</v>
      </c>
      <c r="BV148" s="236">
        <v>0</v>
      </c>
      <c r="BW148" s="7">
        <v>15845.06</v>
      </c>
      <c r="BX148" s="39">
        <f>BW148*12</f>
        <v>190140.72</v>
      </c>
      <c r="BY148" s="7">
        <f>BU148-BW148</f>
        <v>760563.28133333055</v>
      </c>
      <c r="BZ148" s="7">
        <f t="shared" si="849"/>
        <v>744718.2213333305</v>
      </c>
      <c r="CA148" s="7">
        <f t="shared" ref="CA148" si="911">BZ148-$L148</f>
        <v>728873.16133333044</v>
      </c>
      <c r="CB148" s="7">
        <f t="shared" ref="CB148" si="912">CA148-$L148</f>
        <v>713028.10133333039</v>
      </c>
      <c r="CC148" s="7">
        <f t="shared" ref="CC148" si="913">CB148-$L148</f>
        <v>697183.04133333033</v>
      </c>
      <c r="CD148" s="7">
        <f t="shared" ref="CD148" si="914">CC148-$L148</f>
        <v>681337.98133333027</v>
      </c>
      <c r="CE148" s="7">
        <f t="shared" ref="CE148" si="915">CD148-$L148</f>
        <v>665492.92133333022</v>
      </c>
      <c r="CF148" s="7">
        <f t="shared" ref="CF148" si="916">CE148-$L148</f>
        <v>649647.86133333016</v>
      </c>
      <c r="CG148" s="7">
        <f t="shared" ref="CG148" si="917">CF148-$L148</f>
        <v>633802.80133333011</v>
      </c>
      <c r="CH148" s="7">
        <f t="shared" ref="CH148" si="918">CG148-$L148</f>
        <v>617957.74133333005</v>
      </c>
      <c r="CI148" s="7">
        <f t="shared" ref="CI148" si="919">CH148-$L148</f>
        <v>602112.68133332999</v>
      </c>
      <c r="CJ148" s="7">
        <f t="shared" ref="CJ148" si="920">CI148-$L148</f>
        <v>586267.62133332994</v>
      </c>
      <c r="CK148" s="236">
        <v>0</v>
      </c>
      <c r="CL148" s="7">
        <v>15845.06</v>
      </c>
      <c r="CM148" s="39">
        <f>CL148*12</f>
        <v>190140.72</v>
      </c>
      <c r="CN148" s="7">
        <f>CJ148-CL148</f>
        <v>570422.56133332988</v>
      </c>
      <c r="CO148" s="7">
        <f t="shared" si="860"/>
        <v>554577.50133332983</v>
      </c>
      <c r="CP148" s="7">
        <f t="shared" ref="CP148" si="921">CO148-$L148</f>
        <v>538732.44133332977</v>
      </c>
      <c r="CQ148" s="7">
        <f t="shared" ref="CQ148" si="922">CP148-$L148</f>
        <v>522887.38133332977</v>
      </c>
      <c r="CR148" s="7">
        <f t="shared" ref="CR148" si="923">CQ148-$L148</f>
        <v>507042.32133332978</v>
      </c>
      <c r="CS148" s="7">
        <f t="shared" ref="CS148" si="924">CR148-$L148</f>
        <v>491197.26133332978</v>
      </c>
      <c r="CT148" s="7">
        <f t="shared" ref="CT148" si="925">CS148-$L148</f>
        <v>475352.20133332978</v>
      </c>
      <c r="CU148" s="7">
        <f t="shared" ref="CU148" si="926">CT148-$L148</f>
        <v>459507.14133332978</v>
      </c>
      <c r="CV148" s="7">
        <f t="shared" ref="CV148" si="927">CU148-$L148</f>
        <v>443662.08133332978</v>
      </c>
      <c r="CW148" s="7">
        <f t="shared" ref="CW148" si="928">CV148-$L148</f>
        <v>427817.02133332979</v>
      </c>
      <c r="CX148" s="7">
        <f t="shared" ref="CX148" si="929">CW148-$L148</f>
        <v>411971.96133332979</v>
      </c>
      <c r="CY148" s="7">
        <f t="shared" ref="CY148" si="930">CX148-$L148</f>
        <v>396126.90133332979</v>
      </c>
      <c r="CZ148" s="236">
        <v>0</v>
      </c>
    </row>
    <row r="149" spans="1:104" x14ac:dyDescent="0.2">
      <c r="A149" s="6" t="str">
        <f>'[1]2021 УГРЦТ'!A152</f>
        <v>Ячейка КСО-СЭЩ №1</v>
      </c>
      <c r="B149" t="str">
        <f>'[1]2021 УГРЦТ'!B152</f>
        <v>00001058</v>
      </c>
      <c r="C149" t="str">
        <f>'[1]2021 УГРЦТ'!C152</f>
        <v>ПРОИЗВОДСТВО</v>
      </c>
      <c r="D149" t="str">
        <f>'[1]2021 УГРЦТ'!D152</f>
        <v>Машины и оборудование (кроме офисного)</v>
      </c>
      <c r="E149" t="str">
        <f>'[1]2021 УГРЦТ'!E152</f>
        <v>30.11.2007</v>
      </c>
      <c r="F149" t="str">
        <f>'[1]2021 УГРЦТ'!F152</f>
        <v>Электрический цех</v>
      </c>
      <c r="G149">
        <f>'[1]2021 УГРЦТ'!AC152</f>
        <v>180</v>
      </c>
      <c r="H149" s="7">
        <f>'[1]2021 УГРЦТ'!X152</f>
        <v>294426.43</v>
      </c>
      <c r="I149" s="7">
        <f>'[1]2021 УГРЦТ'!Y152</f>
        <v>276433.32866666664</v>
      </c>
      <c r="J149" s="7">
        <f>'[1]2021 УГРЦТ'!Z152</f>
        <v>17993.101333333354</v>
      </c>
      <c r="K149" s="8">
        <v>0</v>
      </c>
      <c r="L149" s="7">
        <v>1635.7000000000005</v>
      </c>
      <c r="M149" s="7"/>
      <c r="N149" s="7">
        <f>L149*11+0.4</f>
        <v>17993.100000000006</v>
      </c>
      <c r="O149" s="7">
        <f t="shared" si="828"/>
        <v>16357.401333333353</v>
      </c>
      <c r="P149" s="7">
        <f t="shared" si="835"/>
        <v>14721.701333333353</v>
      </c>
      <c r="Q149" s="7">
        <f t="shared" si="835"/>
        <v>13086.001333333352</v>
      </c>
      <c r="R149" s="7">
        <f t="shared" si="835"/>
        <v>11450.301333333351</v>
      </c>
      <c r="S149" s="7">
        <f t="shared" si="835"/>
        <v>9814.6013333333503</v>
      </c>
      <c r="T149" s="7">
        <f t="shared" si="835"/>
        <v>8178.9013333333496</v>
      </c>
      <c r="U149" s="7">
        <f t="shared" si="835"/>
        <v>6543.2013333333489</v>
      </c>
      <c r="V149" s="7">
        <f t="shared" si="835"/>
        <v>4907.5013333333482</v>
      </c>
      <c r="W149" s="7">
        <f t="shared" si="835"/>
        <v>3271.8013333333474</v>
      </c>
      <c r="X149" s="7">
        <f t="shared" si="835"/>
        <v>1636.1013333333469</v>
      </c>
      <c r="Y149" s="7">
        <f t="shared" si="835"/>
        <v>0.40133333334642884</v>
      </c>
      <c r="Z149" s="7">
        <f>Y149-0.4</f>
        <v>1.3333333464288222E-3</v>
      </c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222"/>
      <c r="AQ149" s="7">
        <v>1635.7000000000005</v>
      </c>
      <c r="AR149" s="7"/>
      <c r="AS149" s="7"/>
      <c r="BG149" s="236">
        <f t="shared" si="827"/>
        <v>0</v>
      </c>
      <c r="BH149" s="7">
        <v>1635.7000000000005</v>
      </c>
      <c r="BV149" s="236">
        <f>IF(Z149&lt;1,0,SUM(BJ149:BU149,BF149)/13*$BG$1)</f>
        <v>0</v>
      </c>
      <c r="BW149" s="7">
        <v>1635.7000000000005</v>
      </c>
      <c r="CK149" s="236">
        <f>IF(AO149&lt;1,0,SUM(BY149:CJ149,BU149)/13*$BG$1)</f>
        <v>0</v>
      </c>
      <c r="CL149" s="7">
        <v>1635.7000000000005</v>
      </c>
      <c r="CZ149" s="236">
        <f>IF(BF149&lt;1,0,SUM(CN149:CY149,CJ149)/13*$BG$1)</f>
        <v>0</v>
      </c>
    </row>
    <row r="150" spans="1:104" x14ac:dyDescent="0.2">
      <c r="A150" s="6" t="str">
        <f>'[1]2021 УГРЦТ'!A153</f>
        <v>Ячейка КСО-СЭЩ №2</v>
      </c>
      <c r="B150" t="str">
        <f>'[1]2021 УГРЦТ'!B153</f>
        <v>00001059</v>
      </c>
      <c r="C150" t="str">
        <f>'[1]2021 УГРЦТ'!C153</f>
        <v>ПРОИЗВОДСТВО</v>
      </c>
      <c r="D150" t="str">
        <f>'[1]2021 УГРЦТ'!D153</f>
        <v>Машины и оборудование (кроме офисного)</v>
      </c>
      <c r="E150" t="str">
        <f>'[1]2021 УГРЦТ'!E153</f>
        <v>30.11.2007</v>
      </c>
      <c r="F150" t="str">
        <f>'[1]2021 УГРЦТ'!F153</f>
        <v>Электрический цех</v>
      </c>
      <c r="G150">
        <f>'[1]2021 УГРЦТ'!AC153</f>
        <v>180</v>
      </c>
      <c r="H150" s="7">
        <f>'[1]2021 УГРЦТ'!X153</f>
        <v>294426.43</v>
      </c>
      <c r="I150" s="7">
        <f>'[1]2021 УГРЦТ'!Y153</f>
        <v>276433.32866666664</v>
      </c>
      <c r="J150" s="7">
        <f>'[1]2021 УГРЦТ'!Z153</f>
        <v>17993.101333333354</v>
      </c>
      <c r="K150" s="8">
        <v>0</v>
      </c>
      <c r="L150" s="7">
        <v>1635.7000000000005</v>
      </c>
      <c r="M150" s="7"/>
      <c r="N150" s="7">
        <f t="shared" ref="N150:N152" si="931">L150*11+0.4</f>
        <v>17993.100000000006</v>
      </c>
      <c r="O150" s="7">
        <f t="shared" si="828"/>
        <v>16357.401333333353</v>
      </c>
      <c r="P150" s="7">
        <f t="shared" si="835"/>
        <v>14721.701333333353</v>
      </c>
      <c r="Q150" s="7">
        <f t="shared" si="835"/>
        <v>13086.001333333352</v>
      </c>
      <c r="R150" s="7">
        <f t="shared" si="835"/>
        <v>11450.301333333351</v>
      </c>
      <c r="S150" s="7">
        <f t="shared" si="835"/>
        <v>9814.6013333333503</v>
      </c>
      <c r="T150" s="7">
        <f t="shared" si="835"/>
        <v>8178.9013333333496</v>
      </c>
      <c r="U150" s="7">
        <f t="shared" si="835"/>
        <v>6543.2013333333489</v>
      </c>
      <c r="V150" s="7">
        <f t="shared" si="835"/>
        <v>4907.5013333333482</v>
      </c>
      <c r="W150" s="7">
        <f t="shared" si="835"/>
        <v>3271.8013333333474</v>
      </c>
      <c r="X150" s="7">
        <f t="shared" si="835"/>
        <v>1636.1013333333469</v>
      </c>
      <c r="Y150" s="7">
        <f t="shared" si="835"/>
        <v>0.40133333334642884</v>
      </c>
      <c r="Z150" s="7">
        <f t="shared" ref="Z150:Z152" si="932">Y150-0.4</f>
        <v>1.3333333464288222E-3</v>
      </c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222"/>
      <c r="AQ150" s="7">
        <v>1635.7000000000005</v>
      </c>
      <c r="AR150" s="7"/>
      <c r="AS150" s="7"/>
      <c r="BG150" s="236">
        <f t="shared" si="827"/>
        <v>0</v>
      </c>
      <c r="BH150" s="7">
        <v>1635.7000000000005</v>
      </c>
      <c r="BV150" s="236">
        <f>IF(Z150&lt;1,0,SUM(BJ150:BU150,BF150)/13*$BG$1)</f>
        <v>0</v>
      </c>
      <c r="BW150" s="7">
        <v>1635.7000000000005</v>
      </c>
      <c r="CK150" s="236">
        <f>IF(AO150&lt;1,0,SUM(BY150:CJ150,BU150)/13*$BG$1)</f>
        <v>0</v>
      </c>
      <c r="CL150" s="7">
        <v>1635.7000000000005</v>
      </c>
      <c r="CZ150" s="236">
        <f>IF(BF150&lt;1,0,SUM(CN150:CY150,CJ150)/13*$BG$1)</f>
        <v>0</v>
      </c>
    </row>
    <row r="151" spans="1:104" x14ac:dyDescent="0.2">
      <c r="A151" s="6" t="str">
        <f>'[1]2021 УГРЦТ'!A154</f>
        <v>Ячейка КСО-СЭЩ №3</v>
      </c>
      <c r="B151" t="str">
        <f>'[1]2021 УГРЦТ'!B154</f>
        <v>00001060</v>
      </c>
      <c r="C151" t="str">
        <f>'[1]2021 УГРЦТ'!C154</f>
        <v>ПРОИЗВОДСТВО</v>
      </c>
      <c r="D151" t="str">
        <f>'[1]2021 УГРЦТ'!D154</f>
        <v>Машины и оборудование (кроме офисного)</v>
      </c>
      <c r="E151" t="str">
        <f>'[1]2021 УГРЦТ'!E154</f>
        <v>30.11.2007</v>
      </c>
      <c r="F151" t="str">
        <f>'[1]2021 УГРЦТ'!F154</f>
        <v>Электрический цех</v>
      </c>
      <c r="G151">
        <f>'[1]2021 УГРЦТ'!AC154</f>
        <v>180</v>
      </c>
      <c r="H151" s="7">
        <f>'[1]2021 УГРЦТ'!X154</f>
        <v>294426.40999999997</v>
      </c>
      <c r="I151" s="7">
        <f>'[1]2021 УГРЦТ'!Y154</f>
        <v>276433.32733333332</v>
      </c>
      <c r="J151" s="7">
        <f>'[1]2021 УГРЦТ'!Z154</f>
        <v>17993.082666666654</v>
      </c>
      <c r="K151" s="8">
        <v>0</v>
      </c>
      <c r="L151" s="7">
        <v>1635.7000000000005</v>
      </c>
      <c r="M151" s="7"/>
      <c r="N151" s="7">
        <f>L151*11+0.38</f>
        <v>17993.080000000005</v>
      </c>
      <c r="O151" s="7">
        <f t="shared" si="828"/>
        <v>16357.382666666654</v>
      </c>
      <c r="P151" s="7">
        <f t="shared" si="835"/>
        <v>14721.682666666653</v>
      </c>
      <c r="Q151" s="7">
        <f t="shared" si="835"/>
        <v>13085.982666666652</v>
      </c>
      <c r="R151" s="7">
        <f t="shared" si="835"/>
        <v>11450.282666666651</v>
      </c>
      <c r="S151" s="7">
        <f t="shared" si="835"/>
        <v>9814.5826666666508</v>
      </c>
      <c r="T151" s="7">
        <f t="shared" si="835"/>
        <v>8178.88266666665</v>
      </c>
      <c r="U151" s="7">
        <f t="shared" si="835"/>
        <v>6543.1826666666493</v>
      </c>
      <c r="V151" s="7">
        <f t="shared" si="835"/>
        <v>4907.4826666666486</v>
      </c>
      <c r="W151" s="7">
        <f t="shared" si="835"/>
        <v>3271.7826666666479</v>
      </c>
      <c r="X151" s="7">
        <f t="shared" si="835"/>
        <v>1636.0826666666474</v>
      </c>
      <c r="Y151" s="7">
        <f t="shared" si="835"/>
        <v>0.38266666664685545</v>
      </c>
      <c r="Z151" s="7">
        <f>Y151-0.38</f>
        <v>2.6666666468554423E-3</v>
      </c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222"/>
      <c r="AQ151" s="7">
        <v>1635.7000000000005</v>
      </c>
      <c r="AR151" s="7"/>
      <c r="AS151" s="7"/>
      <c r="BG151" s="236">
        <f t="shared" si="827"/>
        <v>0</v>
      </c>
      <c r="BH151" s="7">
        <v>1635.7000000000005</v>
      </c>
      <c r="BV151" s="236">
        <f>IF(Z151&lt;1,0,SUM(BJ151:BU151,BF151)/13*$BG$1)</f>
        <v>0</v>
      </c>
      <c r="BW151" s="7">
        <v>1635.7000000000005</v>
      </c>
      <c r="CK151" s="236">
        <f>IF(AO151&lt;1,0,SUM(BY151:CJ151,BU151)/13*$BG$1)</f>
        <v>0</v>
      </c>
      <c r="CL151" s="7">
        <v>1635.7000000000005</v>
      </c>
      <c r="CZ151" s="236">
        <f>IF(BF151&lt;1,0,SUM(CN151:CY151,CJ151)/13*$BG$1)</f>
        <v>0</v>
      </c>
    </row>
    <row r="152" spans="1:104" x14ac:dyDescent="0.2">
      <c r="A152" s="6" t="str">
        <f>'[1]2021 УГРЦТ'!A155</f>
        <v>Ячейка КСО-СЭЩ №4</v>
      </c>
      <c r="B152" t="str">
        <f>'[1]2021 УГРЦТ'!B155</f>
        <v>00001061</v>
      </c>
      <c r="C152" t="str">
        <f>'[1]2021 УГРЦТ'!C155</f>
        <v>ПРОИЗВОДСТВО</v>
      </c>
      <c r="D152" t="str">
        <f>'[1]2021 УГРЦТ'!D155</f>
        <v>Машины и оборудование (кроме офисного)</v>
      </c>
      <c r="E152" t="str">
        <f>'[1]2021 УГРЦТ'!E155</f>
        <v>30.11.2007</v>
      </c>
      <c r="F152" t="str">
        <f>'[1]2021 УГРЦТ'!F155</f>
        <v>Электрический цех</v>
      </c>
      <c r="G152">
        <f>'[1]2021 УГРЦТ'!AC155</f>
        <v>180</v>
      </c>
      <c r="H152" s="7">
        <f>'[1]2021 УГРЦТ'!X155</f>
        <v>294426.43</v>
      </c>
      <c r="I152" s="7">
        <f>'[1]2021 УГРЦТ'!Y155</f>
        <v>276433.32866666664</v>
      </c>
      <c r="J152" s="7">
        <f>'[1]2021 УГРЦТ'!Z155</f>
        <v>17993.101333333354</v>
      </c>
      <c r="K152" s="8">
        <v>0</v>
      </c>
      <c r="L152" s="7">
        <v>1635.7000000000005</v>
      </c>
      <c r="M152" s="7"/>
      <c r="N152" s="7">
        <f t="shared" si="931"/>
        <v>17993.100000000006</v>
      </c>
      <c r="O152" s="7">
        <f t="shared" si="828"/>
        <v>16357.401333333353</v>
      </c>
      <c r="P152" s="7">
        <f t="shared" si="835"/>
        <v>14721.701333333353</v>
      </c>
      <c r="Q152" s="7">
        <f t="shared" si="835"/>
        <v>13086.001333333352</v>
      </c>
      <c r="R152" s="7">
        <f t="shared" si="835"/>
        <v>11450.301333333351</v>
      </c>
      <c r="S152" s="7">
        <f t="shared" si="835"/>
        <v>9814.6013333333503</v>
      </c>
      <c r="T152" s="7">
        <f t="shared" si="835"/>
        <v>8178.9013333333496</v>
      </c>
      <c r="U152" s="7">
        <f t="shared" si="835"/>
        <v>6543.2013333333489</v>
      </c>
      <c r="V152" s="7">
        <f t="shared" si="835"/>
        <v>4907.5013333333482</v>
      </c>
      <c r="W152" s="7">
        <f t="shared" si="835"/>
        <v>3271.8013333333474</v>
      </c>
      <c r="X152" s="7">
        <f t="shared" si="835"/>
        <v>1636.1013333333469</v>
      </c>
      <c r="Y152" s="7">
        <f t="shared" si="835"/>
        <v>0.40133333334642884</v>
      </c>
      <c r="Z152" s="7">
        <f t="shared" si="932"/>
        <v>1.3333333464288222E-3</v>
      </c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222"/>
      <c r="AQ152" s="7">
        <v>1635.7000000000005</v>
      </c>
      <c r="AR152" s="7"/>
      <c r="AS152" s="7"/>
      <c r="BG152" s="236">
        <f t="shared" si="827"/>
        <v>0</v>
      </c>
      <c r="BH152" s="7">
        <v>1635.7000000000005</v>
      </c>
      <c r="BV152" s="236">
        <f>IF(Z152&lt;1,0,SUM(BJ152:BU152,BF152)/13*$BG$1)</f>
        <v>0</v>
      </c>
      <c r="BW152" s="7">
        <v>1635.7000000000005</v>
      </c>
      <c r="CK152" s="236">
        <f>IF(AO152&lt;1,0,SUM(BY152:CJ152,BU152)/13*$BG$1)</f>
        <v>0</v>
      </c>
      <c r="CL152" s="7">
        <v>1635.7000000000005</v>
      </c>
      <c r="CZ152" s="236">
        <f>IF(BF152&lt;1,0,SUM(CN152:CY152,CJ152)/13*$BG$1)</f>
        <v>0</v>
      </c>
    </row>
    <row r="153" spans="1:104" x14ac:dyDescent="0.2">
      <c r="A153" s="6" t="str">
        <f>'[1]2021 УГРЦТ'!A156</f>
        <v>Ячейка трансформатора напряжения КРУ СЭЩ-70</v>
      </c>
      <c r="B153" t="str">
        <f>'[1]2021 УГРЦТ'!B156</f>
        <v>000001653</v>
      </c>
      <c r="C153" t="str">
        <f>'[1]2021 УГРЦТ'!C156</f>
        <v>ПРОИЗВОДСТВО</v>
      </c>
      <c r="D153" t="str">
        <f>'[1]2021 УГРЦТ'!D156</f>
        <v>Машины и оборудование (кроме офисного)</v>
      </c>
      <c r="E153" t="str">
        <f>'[1]2021 УГРЦТ'!E156</f>
        <v>31.01.2015</v>
      </c>
      <c r="F153" t="str">
        <f>'[1]2021 УГРЦТ'!F156</f>
        <v>Газотурбинный цех</v>
      </c>
      <c r="G153">
        <f>'[1]2021 УГРЦТ'!AC156</f>
        <v>180</v>
      </c>
      <c r="H153" s="7">
        <f>'[1]2021 УГРЦТ'!X156</f>
        <v>2276497.89</v>
      </c>
      <c r="I153" s="7">
        <f>'[1]2021 УГРЦТ'!Y156</f>
        <v>1049718.436</v>
      </c>
      <c r="J153" s="7">
        <f>'[1]2021 УГРЦТ'!Z156</f>
        <v>1226779.4540000001</v>
      </c>
      <c r="K153" s="8">
        <v>0</v>
      </c>
      <c r="L153" s="7">
        <v>12647.209999999997</v>
      </c>
      <c r="M153" s="7"/>
      <c r="N153" s="7">
        <f t="shared" si="825"/>
        <v>151766.51999999996</v>
      </c>
      <c r="O153" s="7">
        <f t="shared" si="828"/>
        <v>1214132.2440000002</v>
      </c>
      <c r="P153" s="7">
        <f t="shared" si="835"/>
        <v>1201485.0340000002</v>
      </c>
      <c r="Q153" s="7">
        <f t="shared" si="835"/>
        <v>1188837.8240000003</v>
      </c>
      <c r="R153" s="7">
        <f t="shared" si="835"/>
        <v>1176190.6140000003</v>
      </c>
      <c r="S153" s="7">
        <f t="shared" si="835"/>
        <v>1163543.4040000003</v>
      </c>
      <c r="T153" s="7">
        <f t="shared" si="835"/>
        <v>1150896.1940000004</v>
      </c>
      <c r="U153" s="7">
        <f t="shared" si="835"/>
        <v>1138248.9840000004</v>
      </c>
      <c r="V153" s="7">
        <f t="shared" si="835"/>
        <v>1125601.7740000004</v>
      </c>
      <c r="W153" s="7">
        <f t="shared" si="835"/>
        <v>1112954.5640000005</v>
      </c>
      <c r="X153" s="7">
        <f t="shared" si="835"/>
        <v>1100307.3540000005</v>
      </c>
      <c r="Y153" s="7">
        <f t="shared" si="835"/>
        <v>1087660.1440000006</v>
      </c>
      <c r="Z153" s="7">
        <f t="shared" si="835"/>
        <v>1075012.9340000006</v>
      </c>
      <c r="AA153" s="7"/>
      <c r="AB153" s="7"/>
      <c r="AC153" s="7">
        <f t="shared" si="829"/>
        <v>151766.51999999996</v>
      </c>
      <c r="AD153" s="7">
        <f t="shared" si="830"/>
        <v>1062365.7240000006</v>
      </c>
      <c r="AE153" s="7">
        <f t="shared" ref="AE153:AO159" si="933">AD153-$L153</f>
        <v>1049718.5140000007</v>
      </c>
      <c r="AF153" s="7">
        <f t="shared" si="933"/>
        <v>1037071.3040000007</v>
      </c>
      <c r="AG153" s="7">
        <f t="shared" si="933"/>
        <v>1024424.0940000007</v>
      </c>
      <c r="AH153" s="7">
        <f t="shared" si="933"/>
        <v>1011776.8840000008</v>
      </c>
      <c r="AI153" s="7">
        <f t="shared" si="933"/>
        <v>999129.67400000081</v>
      </c>
      <c r="AJ153" s="7">
        <f t="shared" si="933"/>
        <v>986482.46400000085</v>
      </c>
      <c r="AK153" s="7">
        <f t="shared" si="933"/>
        <v>973835.25400000089</v>
      </c>
      <c r="AL153" s="7">
        <f t="shared" si="933"/>
        <v>961188.04400000093</v>
      </c>
      <c r="AM153" s="7">
        <f t="shared" si="933"/>
        <v>948540.83400000096</v>
      </c>
      <c r="AN153" s="7">
        <f t="shared" si="933"/>
        <v>935893.624000001</v>
      </c>
      <c r="AO153" s="7">
        <f t="shared" si="933"/>
        <v>923246.41400000104</v>
      </c>
      <c r="AP153" s="222"/>
      <c r="AQ153" s="7">
        <v>12647.209999999997</v>
      </c>
      <c r="AR153" s="7">
        <f t="shared" si="831"/>
        <v>12647.209999999963</v>
      </c>
      <c r="AS153" s="7">
        <f t="shared" si="832"/>
        <v>-3.4560798667371273E-11</v>
      </c>
      <c r="AT153" s="7">
        <f t="shared" ref="AT153:AT159" si="934">L153*12</f>
        <v>151766.51999999996</v>
      </c>
      <c r="AU153" s="7">
        <f t="shared" ref="AU153:AU159" si="935">AO153-$L153</f>
        <v>910599.20400000107</v>
      </c>
      <c r="AV153" s="7">
        <f t="shared" ref="AV153:BF159" si="936">AU153-$L153</f>
        <v>897951.99400000111</v>
      </c>
      <c r="AW153" s="7">
        <f t="shared" si="936"/>
        <v>885304.78400000115</v>
      </c>
      <c r="AX153" s="7">
        <f t="shared" si="936"/>
        <v>872657.57400000119</v>
      </c>
      <c r="AY153" s="7">
        <f t="shared" si="936"/>
        <v>860010.36400000122</v>
      </c>
      <c r="AZ153" s="7">
        <f t="shared" si="936"/>
        <v>847363.15400000126</v>
      </c>
      <c r="BA153" s="7">
        <f t="shared" si="936"/>
        <v>834715.9440000013</v>
      </c>
      <c r="BB153" s="7">
        <f t="shared" si="936"/>
        <v>822068.73400000134</v>
      </c>
      <c r="BC153" s="7">
        <f t="shared" si="936"/>
        <v>809421.52400000137</v>
      </c>
      <c r="BD153" s="7">
        <f t="shared" si="936"/>
        <v>796774.31400000141</v>
      </c>
      <c r="BE153" s="7">
        <f t="shared" si="936"/>
        <v>784127.10400000145</v>
      </c>
      <c r="BF153" s="7">
        <f t="shared" si="936"/>
        <v>771479.89400000148</v>
      </c>
      <c r="BG153" s="236">
        <f t="shared" si="827"/>
        <v>0</v>
      </c>
      <c r="BH153" s="7">
        <v>12647.209999999997</v>
      </c>
      <c r="BI153" s="39">
        <f>BH153*12</f>
        <v>151766.51999999996</v>
      </c>
      <c r="BJ153" s="7">
        <f>BF153-BH153</f>
        <v>758832.68400000152</v>
      </c>
      <c r="BK153" s="7">
        <f t="shared" ref="BK153:BK159" si="937">BJ153-$L153</f>
        <v>746185.47400000156</v>
      </c>
      <c r="BL153" s="7">
        <f t="shared" ref="BL153:BL159" si="938">BK153-$L153</f>
        <v>733538.2640000016</v>
      </c>
      <c r="BM153" s="7">
        <f t="shared" ref="BM153:BM159" si="939">BL153-$L153</f>
        <v>720891.05400000163</v>
      </c>
      <c r="BN153" s="7">
        <f t="shared" ref="BN153:BN159" si="940">BM153-$L153</f>
        <v>708243.84400000167</v>
      </c>
      <c r="BO153" s="7">
        <f t="shared" ref="BO153:BO159" si="941">BN153-$L153</f>
        <v>695596.63400000171</v>
      </c>
      <c r="BP153" s="7">
        <f t="shared" ref="BP153:BP159" si="942">BO153-$L153</f>
        <v>682949.42400000175</v>
      </c>
      <c r="BQ153" s="7">
        <f t="shared" ref="BQ153:BQ159" si="943">BP153-$L153</f>
        <v>670302.21400000178</v>
      </c>
      <c r="BR153" s="7">
        <f t="shared" ref="BR153:BR159" si="944">BQ153-$L153</f>
        <v>657655.00400000182</v>
      </c>
      <c r="BS153" s="7">
        <f t="shared" ref="BS153:BS159" si="945">BR153-$L153</f>
        <v>645007.79400000186</v>
      </c>
      <c r="BT153" s="7">
        <f t="shared" ref="BT153:BT159" si="946">BS153-$L153</f>
        <v>632360.58400000189</v>
      </c>
      <c r="BU153" s="7">
        <f t="shared" ref="BU153:BU159" si="947">BT153-$L153</f>
        <v>619713.37400000193</v>
      </c>
      <c r="BV153" s="236">
        <v>0</v>
      </c>
      <c r="BW153" s="7">
        <v>12647.209999999997</v>
      </c>
      <c r="BX153" s="39">
        <f>BW153*12</f>
        <v>151766.51999999996</v>
      </c>
      <c r="BY153" s="7">
        <f>BU153-BW153</f>
        <v>607066.16400000197</v>
      </c>
      <c r="BZ153" s="7">
        <f t="shared" ref="BZ153" si="948">BY153-$L153</f>
        <v>594418.95400000201</v>
      </c>
      <c r="CA153" s="7">
        <f t="shared" ref="CA153" si="949">BZ153-$L153</f>
        <v>581771.74400000204</v>
      </c>
      <c r="CB153" s="7">
        <f t="shared" ref="CB153" si="950">CA153-$L153</f>
        <v>569124.53400000208</v>
      </c>
      <c r="CC153" s="7">
        <f t="shared" ref="CC153" si="951">CB153-$L153</f>
        <v>556477.32400000212</v>
      </c>
      <c r="CD153" s="7">
        <f t="shared" ref="CD153" si="952">CC153-$L153</f>
        <v>543830.11400000216</v>
      </c>
      <c r="CE153" s="7">
        <f t="shared" ref="CE153" si="953">CD153-$L153</f>
        <v>531182.90400000219</v>
      </c>
      <c r="CF153" s="7">
        <f t="shared" ref="CF153" si="954">CE153-$L153</f>
        <v>518535.69400000217</v>
      </c>
      <c r="CG153" s="7">
        <f t="shared" ref="CG153" si="955">CF153-$L153</f>
        <v>505888.48400000215</v>
      </c>
      <c r="CH153" s="7">
        <f t="shared" ref="CH153" si="956">CG153-$L153</f>
        <v>493241.27400000213</v>
      </c>
      <c r="CI153" s="7">
        <f t="shared" ref="CI153" si="957">CH153-$L153</f>
        <v>480594.06400000211</v>
      </c>
      <c r="CJ153" s="7">
        <f t="shared" ref="CJ153" si="958">CI153-$L153</f>
        <v>467946.85400000209</v>
      </c>
      <c r="CK153" s="236">
        <v>0</v>
      </c>
      <c r="CL153" s="7">
        <v>12647.209999999997</v>
      </c>
      <c r="CM153" s="39">
        <f>CL153*12</f>
        <v>151766.51999999996</v>
      </c>
      <c r="CN153" s="7">
        <f>CJ153-CL153</f>
        <v>455299.64400000207</v>
      </c>
      <c r="CO153" s="7">
        <f t="shared" ref="CO153" si="959">CN153-$L153</f>
        <v>442652.43400000205</v>
      </c>
      <c r="CP153" s="7">
        <f t="shared" ref="CP153" si="960">CO153-$L153</f>
        <v>430005.22400000202</v>
      </c>
      <c r="CQ153" s="7">
        <f t="shared" ref="CQ153" si="961">CP153-$L153</f>
        <v>417358.014000002</v>
      </c>
      <c r="CR153" s="7">
        <f t="shared" ref="CR153" si="962">CQ153-$L153</f>
        <v>404710.80400000198</v>
      </c>
      <c r="CS153" s="7">
        <f t="shared" ref="CS153" si="963">CR153-$L153</f>
        <v>392063.59400000196</v>
      </c>
      <c r="CT153" s="7">
        <f t="shared" ref="CT153" si="964">CS153-$L153</f>
        <v>379416.38400000194</v>
      </c>
      <c r="CU153" s="7">
        <f t="shared" ref="CU153" si="965">CT153-$L153</f>
        <v>366769.17400000192</v>
      </c>
      <c r="CV153" s="7">
        <f t="shared" ref="CV153" si="966">CU153-$L153</f>
        <v>354121.9640000019</v>
      </c>
      <c r="CW153" s="7">
        <f t="shared" ref="CW153" si="967">CV153-$L153</f>
        <v>341474.75400000188</v>
      </c>
      <c r="CX153" s="7">
        <f t="shared" ref="CX153" si="968">CW153-$L153</f>
        <v>328827.54400000186</v>
      </c>
      <c r="CY153" s="7">
        <f t="shared" ref="CY153" si="969">CX153-$L153</f>
        <v>316180.33400000184</v>
      </c>
      <c r="CZ153" s="236">
        <v>0</v>
      </c>
    </row>
    <row r="154" spans="1:104" x14ac:dyDescent="0.2">
      <c r="A154" s="6" t="str">
        <f>'[1]2021 УГРЦТ'!A157</f>
        <v>ПЕРЕДАЧА</v>
      </c>
      <c r="B154" t="e">
        <f>'[1]2021 УГРЦТ'!B157</f>
        <v>#REF!</v>
      </c>
      <c r="C154" t="e">
        <f>'[1]2021 УГРЦТ'!C157</f>
        <v>#REF!</v>
      </c>
      <c r="D154" t="e">
        <f>'[1]2021 УГРЦТ'!D157</f>
        <v>#REF!</v>
      </c>
      <c r="E154" t="e">
        <f>'[1]2021 УГРЦТ'!E157</f>
        <v>#REF!</v>
      </c>
      <c r="F154" t="e">
        <f>'[1]2021 УГРЦТ'!F157</f>
        <v>#REF!</v>
      </c>
      <c r="G154" t="e">
        <f>'[1]2021 УГРЦТ'!AC157</f>
        <v>#REF!</v>
      </c>
      <c r="H154" s="7">
        <f>'[1]2021 УГРЦТ'!X157</f>
        <v>726749251.03999937</v>
      </c>
      <c r="I154" s="7">
        <f>'[1]2021 УГРЦТ'!Y157</f>
        <v>227987709.58124548</v>
      </c>
      <c r="J154" s="7">
        <f>'[1]2021 УГРЦТ'!Z157</f>
        <v>499031356.10567158</v>
      </c>
      <c r="K154" s="8">
        <v>0</v>
      </c>
      <c r="L154" s="7">
        <v>0</v>
      </c>
      <c r="M154" s="7"/>
      <c r="N154" s="7">
        <f t="shared" si="825"/>
        <v>0</v>
      </c>
      <c r="O154" s="7">
        <f t="shared" si="828"/>
        <v>499031356.10567158</v>
      </c>
      <c r="P154" s="7">
        <f t="shared" si="835"/>
        <v>499031356.10567158</v>
      </c>
      <c r="Q154" s="7">
        <f t="shared" si="835"/>
        <v>499031356.10567158</v>
      </c>
      <c r="R154" s="7">
        <f t="shared" si="835"/>
        <v>499031356.10567158</v>
      </c>
      <c r="S154" s="7">
        <f t="shared" si="835"/>
        <v>499031356.10567158</v>
      </c>
      <c r="T154" s="7">
        <f t="shared" si="835"/>
        <v>499031356.10567158</v>
      </c>
      <c r="U154" s="7">
        <f t="shared" si="835"/>
        <v>499031356.10567158</v>
      </c>
      <c r="V154" s="7">
        <f t="shared" si="835"/>
        <v>499031356.10567158</v>
      </c>
      <c r="W154" s="7">
        <f t="shared" si="835"/>
        <v>499031356.10567158</v>
      </c>
      <c r="X154" s="7">
        <f t="shared" si="835"/>
        <v>499031356.10567158</v>
      </c>
      <c r="Y154" s="7">
        <f t="shared" si="835"/>
        <v>499031356.10567158</v>
      </c>
      <c r="Z154" s="7">
        <f t="shared" si="835"/>
        <v>499031356.10567158</v>
      </c>
      <c r="AA154" s="7"/>
      <c r="AB154" s="7"/>
      <c r="AC154" s="7">
        <f t="shared" si="829"/>
        <v>0</v>
      </c>
      <c r="AD154" s="7">
        <f t="shared" si="830"/>
        <v>499031356.10567158</v>
      </c>
      <c r="AE154" s="7">
        <f t="shared" si="933"/>
        <v>499031356.10567158</v>
      </c>
      <c r="AF154" s="7">
        <f t="shared" si="933"/>
        <v>499031356.10567158</v>
      </c>
      <c r="AG154" s="7">
        <f t="shared" si="933"/>
        <v>499031356.10567158</v>
      </c>
      <c r="AH154" s="7">
        <f t="shared" si="933"/>
        <v>499031356.10567158</v>
      </c>
      <c r="AI154" s="7">
        <f t="shared" si="933"/>
        <v>499031356.10567158</v>
      </c>
      <c r="AJ154" s="7">
        <f t="shared" si="933"/>
        <v>499031356.10567158</v>
      </c>
      <c r="AK154" s="7">
        <f t="shared" si="933"/>
        <v>499031356.10567158</v>
      </c>
      <c r="AL154" s="7">
        <f t="shared" si="933"/>
        <v>499031356.10567158</v>
      </c>
      <c r="AM154" s="7">
        <f t="shared" si="933"/>
        <v>499031356.10567158</v>
      </c>
      <c r="AN154" s="7">
        <f t="shared" si="933"/>
        <v>499031356.10567158</v>
      </c>
      <c r="AO154" s="25">
        <f t="shared" si="933"/>
        <v>499031356.10567158</v>
      </c>
      <c r="AP154" s="223"/>
      <c r="AQ154" s="25">
        <v>0</v>
      </c>
      <c r="AR154" s="7">
        <f t="shared" si="831"/>
        <v>0</v>
      </c>
      <c r="AS154" s="7">
        <f t="shared" si="832"/>
        <v>0</v>
      </c>
      <c r="AT154" s="25">
        <f t="shared" si="934"/>
        <v>0</v>
      </c>
      <c r="AU154" s="25">
        <f t="shared" si="935"/>
        <v>499031356.10567158</v>
      </c>
      <c r="AV154" s="25">
        <f t="shared" si="936"/>
        <v>499031356.10567158</v>
      </c>
      <c r="AW154" s="25">
        <f t="shared" si="936"/>
        <v>499031356.10567158</v>
      </c>
      <c r="AX154" s="25">
        <f t="shared" si="936"/>
        <v>499031356.10567158</v>
      </c>
      <c r="AY154" s="25">
        <f t="shared" si="936"/>
        <v>499031356.10567158</v>
      </c>
      <c r="AZ154" s="25">
        <f t="shared" si="936"/>
        <v>499031356.10567158</v>
      </c>
      <c r="BA154" s="25">
        <f t="shared" si="936"/>
        <v>499031356.10567158</v>
      </c>
      <c r="BB154" s="25">
        <f t="shared" si="936"/>
        <v>499031356.10567158</v>
      </c>
      <c r="BC154" s="25">
        <f t="shared" si="936"/>
        <v>499031356.10567158</v>
      </c>
      <c r="BD154" s="25">
        <f t="shared" si="936"/>
        <v>499031356.10567158</v>
      </c>
      <c r="BE154" s="25">
        <f t="shared" si="936"/>
        <v>499031356.10567158</v>
      </c>
      <c r="BF154" s="25">
        <f t="shared" si="936"/>
        <v>499031356.10567158</v>
      </c>
      <c r="BG154" s="236">
        <f t="shared" si="827"/>
        <v>0</v>
      </c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236">
        <v>0</v>
      </c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236">
        <v>0</v>
      </c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236">
        <v>0</v>
      </c>
    </row>
    <row r="155" spans="1:104" x14ac:dyDescent="0.2">
      <c r="A155" s="6" t="str">
        <f>'[1]2021 УГРЦТ'!A158</f>
        <v>*- Н/в каб ТП20 до РКЦ l=117м ТП10 до РКЦ l=351,5м</v>
      </c>
      <c r="B155" t="str">
        <f>'[1]2021 УГРЦТ'!B158</f>
        <v>00000443</v>
      </c>
      <c r="C155" t="str">
        <f>'[1]2021 УГРЦТ'!C158</f>
        <v>ПЕРЕДАЧА</v>
      </c>
      <c r="D155" t="str">
        <f>'[1]2021 УГРЦТ'!D158</f>
        <v>Сооружения</v>
      </c>
      <c r="E155" t="str">
        <f>'[1]2021 УГРЦТ'!E158</f>
        <v>28.02.2002</v>
      </c>
      <c r="F155" t="str">
        <f>'[1]2021 УГРЦТ'!F158</f>
        <v>Цех электрических сетей</v>
      </c>
      <c r="G155">
        <f>'[1]2021 УГРЦТ'!AC158</f>
        <v>303</v>
      </c>
      <c r="H155" s="7">
        <f>'[1]2021 УГРЦТ'!X158</f>
        <v>270473</v>
      </c>
      <c r="I155" s="7">
        <f>'[1]2021 УГРЦТ'!Y158</f>
        <v>212486.411980198</v>
      </c>
      <c r="J155" s="7">
        <f>'[1]2021 УГРЦТ'!Z158</f>
        <v>57986.588019802002</v>
      </c>
      <c r="K155" s="8">
        <v>1</v>
      </c>
      <c r="L155" s="7">
        <v>892.64999999999975</v>
      </c>
      <c r="M155" s="7"/>
      <c r="N155" s="7">
        <f t="shared" si="825"/>
        <v>10711.799999999997</v>
      </c>
      <c r="O155" s="7">
        <f t="shared" si="828"/>
        <v>57093.938019802001</v>
      </c>
      <c r="P155" s="7">
        <f t="shared" si="835"/>
        <v>56201.288019801999</v>
      </c>
      <c r="Q155" s="7">
        <f t="shared" si="835"/>
        <v>55308.638019801998</v>
      </c>
      <c r="R155" s="7">
        <f t="shared" si="835"/>
        <v>54415.988019801996</v>
      </c>
      <c r="S155" s="7">
        <f t="shared" si="835"/>
        <v>53523.338019801995</v>
      </c>
      <c r="T155" s="7">
        <f t="shared" si="835"/>
        <v>52630.688019801994</v>
      </c>
      <c r="U155" s="7">
        <f t="shared" si="835"/>
        <v>51738.038019801992</v>
      </c>
      <c r="V155" s="7">
        <f t="shared" si="835"/>
        <v>50845.388019801991</v>
      </c>
      <c r="W155" s="7">
        <f t="shared" si="835"/>
        <v>49952.738019801989</v>
      </c>
      <c r="X155" s="7">
        <f t="shared" si="835"/>
        <v>49060.088019801988</v>
      </c>
      <c r="Y155" s="7">
        <f t="shared" si="835"/>
        <v>48167.438019801986</v>
      </c>
      <c r="Z155" s="7">
        <f t="shared" si="835"/>
        <v>47274.788019801985</v>
      </c>
      <c r="AA155" s="7">
        <f t="shared" ref="AA155:AA159" si="970">SUM(O155:Z155,J155)/13*$AA$1</f>
        <v>1157.8751364356435</v>
      </c>
      <c r="AB155" s="7"/>
      <c r="AC155" s="7">
        <f t="shared" si="829"/>
        <v>10711.799999999997</v>
      </c>
      <c r="AD155" s="7">
        <f t="shared" si="830"/>
        <v>46382.138019801983</v>
      </c>
      <c r="AE155" s="7">
        <f t="shared" si="933"/>
        <v>45489.488019801982</v>
      </c>
      <c r="AF155" s="7">
        <f t="shared" si="933"/>
        <v>44596.83801980198</v>
      </c>
      <c r="AG155" s="7">
        <f t="shared" si="933"/>
        <v>43704.188019801979</v>
      </c>
      <c r="AH155" s="7">
        <f t="shared" si="933"/>
        <v>42811.538019801977</v>
      </c>
      <c r="AI155" s="7">
        <f t="shared" si="933"/>
        <v>41918.888019801976</v>
      </c>
      <c r="AJ155" s="7">
        <f t="shared" si="933"/>
        <v>41026.238019801975</v>
      </c>
      <c r="AK155" s="7">
        <f t="shared" si="933"/>
        <v>40133.588019801973</v>
      </c>
      <c r="AL155" s="7">
        <f t="shared" si="933"/>
        <v>39240.938019801972</v>
      </c>
      <c r="AM155" s="7">
        <f t="shared" si="933"/>
        <v>38348.28801980197</v>
      </c>
      <c r="AN155" s="7">
        <f t="shared" si="933"/>
        <v>37455.638019801969</v>
      </c>
      <c r="AO155" s="7">
        <f t="shared" si="933"/>
        <v>36562.988019801967</v>
      </c>
      <c r="AP155" s="222">
        <f>IF(K155&lt;1,0,SUM(AD155:AO155,Z155)/13*$BG$1)</f>
        <v>922.21553643564346</v>
      </c>
      <c r="AQ155" s="7">
        <v>892.64999999999975</v>
      </c>
      <c r="AR155" s="7">
        <f t="shared" si="831"/>
        <v>892.65000000000146</v>
      </c>
      <c r="AS155" s="7">
        <f t="shared" si="832"/>
        <v>1.7053025658242404E-12</v>
      </c>
      <c r="AT155" s="7">
        <f t="shared" si="934"/>
        <v>10711.799999999997</v>
      </c>
      <c r="AU155" s="7">
        <f t="shared" si="935"/>
        <v>35670.338019801966</v>
      </c>
      <c r="AV155" s="7">
        <f t="shared" si="936"/>
        <v>34777.688019801964</v>
      </c>
      <c r="AW155" s="7">
        <f t="shared" si="936"/>
        <v>33885.038019801963</v>
      </c>
      <c r="AX155" s="7">
        <f t="shared" si="936"/>
        <v>32992.388019801961</v>
      </c>
      <c r="AY155" s="7">
        <f t="shared" si="936"/>
        <v>32099.73801980196</v>
      </c>
      <c r="AZ155" s="7">
        <f t="shared" si="936"/>
        <v>31207.088019801959</v>
      </c>
      <c r="BA155" s="7">
        <f t="shared" si="936"/>
        <v>30314.438019801957</v>
      </c>
      <c r="BB155" s="7">
        <f t="shared" si="936"/>
        <v>29421.788019801956</v>
      </c>
      <c r="BC155" s="7">
        <f t="shared" si="936"/>
        <v>28529.138019801954</v>
      </c>
      <c r="BD155" s="7">
        <f t="shared" si="936"/>
        <v>27636.488019801953</v>
      </c>
      <c r="BE155" s="7">
        <f t="shared" si="936"/>
        <v>26743.838019801951</v>
      </c>
      <c r="BF155" s="7">
        <f t="shared" si="936"/>
        <v>25851.18801980195</v>
      </c>
      <c r="BG155" s="236">
        <f t="shared" si="827"/>
        <v>686.55593643564316</v>
      </c>
      <c r="BH155" s="7">
        <v>892.64999999999975</v>
      </c>
      <c r="BI155" s="39">
        <f>BH155*12</f>
        <v>10711.799999999997</v>
      </c>
      <c r="BJ155" s="7">
        <f>BF155-BH155</f>
        <v>24958.538019801948</v>
      </c>
      <c r="BK155" s="7">
        <f t="shared" si="937"/>
        <v>24065.888019801947</v>
      </c>
      <c r="BL155" s="7">
        <f t="shared" si="938"/>
        <v>23173.238019801945</v>
      </c>
      <c r="BM155" s="7">
        <f t="shared" si="939"/>
        <v>22280.588019801944</v>
      </c>
      <c r="BN155" s="7">
        <f t="shared" si="940"/>
        <v>21387.938019801943</v>
      </c>
      <c r="BO155" s="7">
        <f t="shared" si="941"/>
        <v>20495.288019801941</v>
      </c>
      <c r="BP155" s="7">
        <f t="shared" si="942"/>
        <v>19602.63801980194</v>
      </c>
      <c r="BQ155" s="7">
        <f t="shared" si="943"/>
        <v>18709.988019801938</v>
      </c>
      <c r="BR155" s="7">
        <f t="shared" si="944"/>
        <v>17817.338019801937</v>
      </c>
      <c r="BS155" s="7">
        <f t="shared" si="945"/>
        <v>16924.688019801935</v>
      </c>
      <c r="BT155" s="7">
        <f t="shared" si="946"/>
        <v>16032.038019801936</v>
      </c>
      <c r="BU155" s="7">
        <f t="shared" si="947"/>
        <v>15139.388019801936</v>
      </c>
      <c r="BV155" s="236">
        <f t="shared" ref="BV155:BV160" si="971">IF(Z155&lt;1,0,SUM(BJ155:BU155,BF155)/13*$BG$1)</f>
        <v>450.8963364356427</v>
      </c>
      <c r="BW155" s="7">
        <v>892.64999999999975</v>
      </c>
      <c r="BX155" s="39">
        <f>BW155*12</f>
        <v>10711.799999999997</v>
      </c>
      <c r="BY155" s="7">
        <f>BU155-BW155</f>
        <v>14246.738019801936</v>
      </c>
      <c r="BZ155" s="7">
        <f t="shared" ref="BZ155:BZ159" si="972">BY155-$L155</f>
        <v>13354.088019801937</v>
      </c>
      <c r="CA155" s="7">
        <f t="shared" ref="CA155:CA159" si="973">BZ155-$L155</f>
        <v>12461.438019801937</v>
      </c>
      <c r="CB155" s="7">
        <f t="shared" ref="CB155:CB159" si="974">CA155-$L155</f>
        <v>11568.788019801937</v>
      </c>
      <c r="CC155" s="7">
        <f t="shared" ref="CC155:CC159" si="975">CB155-$L155</f>
        <v>10676.138019801938</v>
      </c>
      <c r="CD155" s="7">
        <f t="shared" ref="CD155:CD159" si="976">CC155-$L155</f>
        <v>9783.4880198019382</v>
      </c>
      <c r="CE155" s="7">
        <f t="shared" ref="CE155:CE159" si="977">CD155-$L155</f>
        <v>8890.8380198019386</v>
      </c>
      <c r="CF155" s="7">
        <f t="shared" ref="CF155:CF159" si="978">CE155-$L155</f>
        <v>7998.1880198019389</v>
      </c>
      <c r="CG155" s="7">
        <f t="shared" ref="CG155:CG159" si="979">CF155-$L155</f>
        <v>7105.5380198019393</v>
      </c>
      <c r="CH155" s="7">
        <f t="shared" ref="CH155:CH159" si="980">CG155-$L155</f>
        <v>6212.8880198019397</v>
      </c>
      <c r="CI155" s="7">
        <f t="shared" ref="CI155:CI159" si="981">CH155-$L155</f>
        <v>5320.23801980194</v>
      </c>
      <c r="CJ155" s="7">
        <f t="shared" ref="CJ155:CJ159" si="982">CI155-$L155</f>
        <v>4427.5880198019404</v>
      </c>
      <c r="CK155" s="236">
        <f t="shared" ref="CK155:CK160" si="983">IF(AO155&lt;1,0,SUM(BY155:CJ155,BU155)/13*$BG$1)</f>
        <v>215.23673643564263</v>
      </c>
      <c r="CL155" s="7">
        <v>892.64999999999975</v>
      </c>
      <c r="CM155" s="39">
        <v>4427.59</v>
      </c>
      <c r="CN155" s="7">
        <f>CJ155-CL155</f>
        <v>3534.9380198019408</v>
      </c>
      <c r="CO155" s="7">
        <f t="shared" ref="CO155:CO159" si="984">CN155-$L155</f>
        <v>2642.2880198019411</v>
      </c>
      <c r="CP155" s="7">
        <f t="shared" ref="CP155:CP159" si="985">CO155-$L155</f>
        <v>1749.6380198019415</v>
      </c>
      <c r="CQ155" s="7">
        <f t="shared" ref="CQ155:CQ159" si="986">CP155-$L155</f>
        <v>856.98801980194173</v>
      </c>
      <c r="CR155" s="7"/>
      <c r="CS155" s="7"/>
      <c r="CT155" s="7"/>
      <c r="CU155" s="7"/>
      <c r="CV155" s="7"/>
      <c r="CW155" s="7"/>
      <c r="CX155" s="7"/>
      <c r="CY155" s="7"/>
      <c r="CZ155" s="236">
        <f t="shared" ref="CZ155:CZ160" si="987">IF(BF155&lt;1,0,SUM(CN155:CY155,CJ155)/13*$BG$1)</f>
        <v>22.357821706016423</v>
      </c>
    </row>
    <row r="156" spans="1:104" x14ac:dyDescent="0.2">
      <c r="A156" s="6" t="str">
        <f>'[1]2021 УГРЦТ'!A159</f>
        <v>1-я кабельная линия КЛ-6кВ 2007г</v>
      </c>
      <c r="B156" t="str">
        <f>'[1]2021 УГРЦТ'!B159</f>
        <v>00001032</v>
      </c>
      <c r="C156" t="str">
        <f>'[1]2021 УГРЦТ'!C159</f>
        <v>ПЕРЕДАЧА</v>
      </c>
      <c r="D156" t="str">
        <f>'[1]2021 УГРЦТ'!D159</f>
        <v>Сооружения</v>
      </c>
      <c r="E156" t="str">
        <f>'[1]2021 УГРЦТ'!E159</f>
        <v>30.04.2007</v>
      </c>
      <c r="F156" t="str">
        <f>'[1]2021 УГРЦТ'!F159</f>
        <v>Цех электрических сетей</v>
      </c>
      <c r="G156">
        <f>'[1]2021 УГРЦТ'!AC159</f>
        <v>300</v>
      </c>
      <c r="H156" s="7">
        <f>'[1]2021 УГРЦТ'!X159</f>
        <v>16516336.91</v>
      </c>
      <c r="I156" s="7">
        <f>'[1]2021 УГРЦТ'!Y159</f>
        <v>9689584.9164000005</v>
      </c>
      <c r="J156" s="7">
        <f>'[1]2021 УГРЦТ'!Z159</f>
        <v>6826751.9935999997</v>
      </c>
      <c r="K156" s="8">
        <v>1</v>
      </c>
      <c r="L156" s="7">
        <v>55054.46</v>
      </c>
      <c r="M156" s="7"/>
      <c r="N156" s="7">
        <f t="shared" si="825"/>
        <v>660653.52</v>
      </c>
      <c r="O156" s="7">
        <f t="shared" si="828"/>
        <v>6771697.5335999997</v>
      </c>
      <c r="P156" s="7">
        <f t="shared" si="835"/>
        <v>6716643.0735999998</v>
      </c>
      <c r="Q156" s="7">
        <f t="shared" si="835"/>
        <v>6661588.6135999998</v>
      </c>
      <c r="R156" s="7">
        <f t="shared" si="835"/>
        <v>6606534.1535999998</v>
      </c>
      <c r="S156" s="7">
        <f t="shared" si="835"/>
        <v>6551479.6935999999</v>
      </c>
      <c r="T156" s="7">
        <f t="shared" si="835"/>
        <v>6496425.2335999999</v>
      </c>
      <c r="U156" s="7">
        <f t="shared" si="835"/>
        <v>6441370.7736</v>
      </c>
      <c r="V156" s="7">
        <f t="shared" si="835"/>
        <v>6386316.3136</v>
      </c>
      <c r="W156" s="7">
        <f t="shared" si="835"/>
        <v>6331261.8536</v>
      </c>
      <c r="X156" s="7">
        <f t="shared" si="835"/>
        <v>6276207.3936000001</v>
      </c>
      <c r="Y156" s="7">
        <f t="shared" si="835"/>
        <v>6221152.9336000001</v>
      </c>
      <c r="Z156" s="7">
        <f t="shared" si="835"/>
        <v>6166098.4736000001</v>
      </c>
      <c r="AA156" s="7">
        <f t="shared" si="970"/>
        <v>142921.35513919999</v>
      </c>
      <c r="AB156" s="7"/>
      <c r="AC156" s="7">
        <f t="shared" si="829"/>
        <v>660653.52</v>
      </c>
      <c r="AD156" s="7">
        <f t="shared" si="830"/>
        <v>6111044.0136000002</v>
      </c>
      <c r="AE156" s="7">
        <f t="shared" si="933"/>
        <v>6055989.5536000002</v>
      </c>
      <c r="AF156" s="7">
        <f t="shared" si="933"/>
        <v>6000935.0936000003</v>
      </c>
      <c r="AG156" s="7">
        <f t="shared" si="933"/>
        <v>5945880.6336000003</v>
      </c>
      <c r="AH156" s="7">
        <f t="shared" si="933"/>
        <v>5890826.1736000003</v>
      </c>
      <c r="AI156" s="7">
        <f t="shared" si="933"/>
        <v>5835771.7136000004</v>
      </c>
      <c r="AJ156" s="7">
        <f t="shared" si="933"/>
        <v>5780717.2536000004</v>
      </c>
      <c r="AK156" s="7">
        <f t="shared" si="933"/>
        <v>5725662.7936000004</v>
      </c>
      <c r="AL156" s="7">
        <f t="shared" si="933"/>
        <v>5670608.3336000005</v>
      </c>
      <c r="AM156" s="7">
        <f t="shared" si="933"/>
        <v>5615553.8736000005</v>
      </c>
      <c r="AN156" s="7">
        <f t="shared" si="933"/>
        <v>5560499.4136000006</v>
      </c>
      <c r="AO156" s="7">
        <f t="shared" si="933"/>
        <v>5505444.9536000006</v>
      </c>
      <c r="AP156" s="222">
        <f>IF(K156&lt;1,0,SUM(AD156:AO156,Z156)/13*$BG$1)</f>
        <v>128386.9776992</v>
      </c>
      <c r="AQ156" s="7">
        <v>55054.46</v>
      </c>
      <c r="AR156" s="7">
        <f t="shared" si="831"/>
        <v>55054.459999999963</v>
      </c>
      <c r="AS156" s="7">
        <f t="shared" si="832"/>
        <v>0</v>
      </c>
      <c r="AT156" s="7">
        <f t="shared" si="934"/>
        <v>660653.52</v>
      </c>
      <c r="AU156" s="7">
        <f t="shared" si="935"/>
        <v>5450390.4936000006</v>
      </c>
      <c r="AV156" s="7">
        <f t="shared" si="936"/>
        <v>5395336.0336000007</v>
      </c>
      <c r="AW156" s="7">
        <f t="shared" si="936"/>
        <v>5340281.5736000007</v>
      </c>
      <c r="AX156" s="7">
        <f t="shared" si="936"/>
        <v>5285227.1136000007</v>
      </c>
      <c r="AY156" s="7">
        <f t="shared" si="936"/>
        <v>5230172.6536000008</v>
      </c>
      <c r="AZ156" s="7">
        <f t="shared" si="936"/>
        <v>5175118.1936000008</v>
      </c>
      <c r="BA156" s="7">
        <f t="shared" si="936"/>
        <v>5120063.7336000009</v>
      </c>
      <c r="BB156" s="7">
        <f t="shared" si="936"/>
        <v>5065009.2736000009</v>
      </c>
      <c r="BC156" s="7">
        <f t="shared" si="936"/>
        <v>5009954.8136000009</v>
      </c>
      <c r="BD156" s="7">
        <f t="shared" si="936"/>
        <v>4954900.353600001</v>
      </c>
      <c r="BE156" s="7">
        <f t="shared" si="936"/>
        <v>4899845.893600001</v>
      </c>
      <c r="BF156" s="7">
        <f t="shared" si="936"/>
        <v>4844791.433600001</v>
      </c>
      <c r="BG156" s="236">
        <f t="shared" si="827"/>
        <v>113852.60025920001</v>
      </c>
      <c r="BH156" s="7">
        <v>55054.46</v>
      </c>
      <c r="BI156" s="39">
        <f>BH156*12</f>
        <v>660653.52</v>
      </c>
      <c r="BJ156" s="7">
        <f>BF156-BH156</f>
        <v>4789736.9736000011</v>
      </c>
      <c r="BK156" s="7">
        <f t="shared" si="937"/>
        <v>4734682.5136000011</v>
      </c>
      <c r="BL156" s="7">
        <f t="shared" si="938"/>
        <v>4679628.0536000011</v>
      </c>
      <c r="BM156" s="7">
        <f t="shared" si="939"/>
        <v>4624573.5936000012</v>
      </c>
      <c r="BN156" s="7">
        <f t="shared" si="940"/>
        <v>4569519.1336000012</v>
      </c>
      <c r="BO156" s="7">
        <f t="shared" si="941"/>
        <v>4514464.6736000013</v>
      </c>
      <c r="BP156" s="7">
        <f t="shared" si="942"/>
        <v>4459410.2136000013</v>
      </c>
      <c r="BQ156" s="7">
        <f t="shared" si="943"/>
        <v>4404355.7536000013</v>
      </c>
      <c r="BR156" s="7">
        <f t="shared" si="944"/>
        <v>4349301.2936000014</v>
      </c>
      <c r="BS156" s="7">
        <f t="shared" si="945"/>
        <v>4294246.8336000014</v>
      </c>
      <c r="BT156" s="7">
        <f t="shared" si="946"/>
        <v>4239192.3736000014</v>
      </c>
      <c r="BU156" s="7">
        <f t="shared" si="947"/>
        <v>4184137.9136000015</v>
      </c>
      <c r="BV156" s="236">
        <f t="shared" si="971"/>
        <v>99318.222819200018</v>
      </c>
      <c r="BW156" s="7">
        <v>55054.46</v>
      </c>
      <c r="BX156" s="39">
        <f>BW156*12</f>
        <v>660653.52</v>
      </c>
      <c r="BY156" s="7">
        <f>BU156-BW156</f>
        <v>4129083.4536000015</v>
      </c>
      <c r="BZ156" s="7">
        <f t="shared" si="972"/>
        <v>4074028.9936000016</v>
      </c>
      <c r="CA156" s="7">
        <f t="shared" si="973"/>
        <v>4018974.5336000016</v>
      </c>
      <c r="CB156" s="7">
        <f t="shared" si="974"/>
        <v>3963920.0736000016</v>
      </c>
      <c r="CC156" s="7">
        <f t="shared" si="975"/>
        <v>3908865.6136000017</v>
      </c>
      <c r="CD156" s="7">
        <f t="shared" si="976"/>
        <v>3853811.1536000017</v>
      </c>
      <c r="CE156" s="7">
        <f t="shared" si="977"/>
        <v>3798756.6936000017</v>
      </c>
      <c r="CF156" s="7">
        <f t="shared" si="978"/>
        <v>3743702.2336000018</v>
      </c>
      <c r="CG156" s="7">
        <f t="shared" si="979"/>
        <v>3688647.7736000018</v>
      </c>
      <c r="CH156" s="7">
        <f t="shared" si="980"/>
        <v>3633593.3136000019</v>
      </c>
      <c r="CI156" s="7">
        <f t="shared" si="981"/>
        <v>3578538.8536000019</v>
      </c>
      <c r="CJ156" s="7">
        <f t="shared" si="982"/>
        <v>3523484.3936000019</v>
      </c>
      <c r="CK156" s="236">
        <f t="shared" si="983"/>
        <v>84783.845379200051</v>
      </c>
      <c r="CL156" s="7">
        <v>55054.46</v>
      </c>
      <c r="CM156" s="39">
        <f>CL156*12</f>
        <v>660653.52</v>
      </c>
      <c r="CN156" s="7">
        <f>CJ156-CL156</f>
        <v>3468429.933600002</v>
      </c>
      <c r="CO156" s="7">
        <f t="shared" si="984"/>
        <v>3413375.473600002</v>
      </c>
      <c r="CP156" s="7">
        <f t="shared" si="985"/>
        <v>3358321.013600002</v>
      </c>
      <c r="CQ156" s="7">
        <f t="shared" si="986"/>
        <v>3303266.5536000021</v>
      </c>
      <c r="CR156" s="7">
        <f t="shared" ref="CR156:CR159" si="988">CQ156-$L156</f>
        <v>3248212.0936000021</v>
      </c>
      <c r="CS156" s="7">
        <f t="shared" ref="CS156:CS159" si="989">CR156-$L156</f>
        <v>3193157.6336000022</v>
      </c>
      <c r="CT156" s="7">
        <f t="shared" ref="CT156:CT159" si="990">CS156-$L156</f>
        <v>3138103.1736000022</v>
      </c>
      <c r="CU156" s="7">
        <f t="shared" ref="CU156:CU159" si="991">CT156-$L156</f>
        <v>3083048.7136000022</v>
      </c>
      <c r="CV156" s="7">
        <f t="shared" ref="CV156:CV159" si="992">CU156-$L156</f>
        <v>3027994.2536000023</v>
      </c>
      <c r="CW156" s="7">
        <f t="shared" ref="CW156:CW159" si="993">CV156-$L156</f>
        <v>2972939.7936000023</v>
      </c>
      <c r="CX156" s="7">
        <f t="shared" ref="CX156:CX159" si="994">CW156-$L156</f>
        <v>2917885.3336000023</v>
      </c>
      <c r="CY156" s="7">
        <f t="shared" ref="CY156:CY159" si="995">CX156-$L156</f>
        <v>2862830.8736000024</v>
      </c>
      <c r="CZ156" s="236">
        <f t="shared" si="987"/>
        <v>70249.46793920004</v>
      </c>
    </row>
    <row r="157" spans="1:104" ht="22.5" x14ac:dyDescent="0.2">
      <c r="A157" s="6" t="str">
        <f>'[1]2021 УГРЦТ'!A160</f>
        <v>2КТПБ 1000/6/0,4-УХЛ1  №104 по ул. Авиаторов в районе котельной</v>
      </c>
      <c r="B157" t="str">
        <f>'[1]2021 УГРЦТ'!B160</f>
        <v>000001607</v>
      </c>
      <c r="C157" t="str">
        <f>'[1]2021 УГРЦТ'!C160</f>
        <v>ПЕРЕДАЧА</v>
      </c>
      <c r="D157" t="str">
        <f>'[1]2021 УГРЦТ'!D160</f>
        <v>Сооружения</v>
      </c>
      <c r="E157" t="str">
        <f>'[1]2021 УГРЦТ'!E160</f>
        <v>31.01.2014</v>
      </c>
      <c r="F157" t="str">
        <f>'[1]2021 УГРЦТ'!F160</f>
        <v>Цех электрических сетей</v>
      </c>
      <c r="G157">
        <f>'[1]2021 УГРЦТ'!AC160</f>
        <v>240</v>
      </c>
      <c r="H157" s="7">
        <f>'[1]2021 УГРЦТ'!X160</f>
        <v>6071038.6600000001</v>
      </c>
      <c r="I157" s="7">
        <f>'[1]2021 УГРЦТ'!Y160</f>
        <v>2400729.9230000004</v>
      </c>
      <c r="J157" s="7">
        <f>'[1]2021 УГРЦТ'!Z160</f>
        <v>3670308.7369999997</v>
      </c>
      <c r="K157" s="8">
        <v>1</v>
      </c>
      <c r="L157" s="7">
        <v>25295.989999999994</v>
      </c>
      <c r="M157" s="7"/>
      <c r="N157" s="7">
        <f t="shared" si="825"/>
        <v>303551.87999999995</v>
      </c>
      <c r="O157" s="7">
        <f t="shared" si="828"/>
        <v>3645012.7469999995</v>
      </c>
      <c r="P157" s="7">
        <f t="shared" si="835"/>
        <v>3619716.7569999993</v>
      </c>
      <c r="Q157" s="7">
        <f t="shared" si="835"/>
        <v>3594420.7669999991</v>
      </c>
      <c r="R157" s="7">
        <f t="shared" si="835"/>
        <v>3569124.7769999988</v>
      </c>
      <c r="S157" s="7">
        <f t="shared" si="835"/>
        <v>3543828.7869999986</v>
      </c>
      <c r="T157" s="7">
        <f t="shared" si="835"/>
        <v>3518532.7969999984</v>
      </c>
      <c r="U157" s="7">
        <f t="shared" si="835"/>
        <v>3493236.8069999982</v>
      </c>
      <c r="V157" s="7">
        <f t="shared" si="835"/>
        <v>3467940.8169999979</v>
      </c>
      <c r="W157" s="7">
        <f t="shared" si="835"/>
        <v>3442644.8269999977</v>
      </c>
      <c r="X157" s="7">
        <f t="shared" si="835"/>
        <v>3417348.8369999975</v>
      </c>
      <c r="Y157" s="7">
        <f t="shared" si="835"/>
        <v>3392052.8469999973</v>
      </c>
      <c r="Z157" s="7">
        <f t="shared" si="835"/>
        <v>3366756.856999997</v>
      </c>
      <c r="AA157" s="7">
        <f t="shared" si="970"/>
        <v>77407.721533999953</v>
      </c>
      <c r="AB157" s="7"/>
      <c r="AC157" s="7">
        <f t="shared" si="829"/>
        <v>303551.87999999995</v>
      </c>
      <c r="AD157" s="7">
        <f t="shared" si="830"/>
        <v>3341460.8669999968</v>
      </c>
      <c r="AE157" s="7">
        <f t="shared" si="933"/>
        <v>3316164.8769999966</v>
      </c>
      <c r="AF157" s="7">
        <f t="shared" si="933"/>
        <v>3290868.8869999964</v>
      </c>
      <c r="AG157" s="7">
        <f t="shared" si="933"/>
        <v>3265572.8969999962</v>
      </c>
      <c r="AH157" s="7">
        <f t="shared" si="933"/>
        <v>3240276.9069999959</v>
      </c>
      <c r="AI157" s="7">
        <f t="shared" si="933"/>
        <v>3214980.9169999957</v>
      </c>
      <c r="AJ157" s="7">
        <f t="shared" si="933"/>
        <v>3189684.9269999955</v>
      </c>
      <c r="AK157" s="7">
        <f t="shared" si="933"/>
        <v>3164388.9369999953</v>
      </c>
      <c r="AL157" s="7">
        <f t="shared" si="933"/>
        <v>3139092.946999995</v>
      </c>
      <c r="AM157" s="7">
        <f t="shared" si="933"/>
        <v>3113796.9569999948</v>
      </c>
      <c r="AN157" s="7">
        <f t="shared" si="933"/>
        <v>3088500.9669999946</v>
      </c>
      <c r="AO157" s="7">
        <f t="shared" si="933"/>
        <v>3063204.9769999944</v>
      </c>
      <c r="AP157" s="222">
        <f>IF(K157&lt;1,0,SUM(AD157:AO157,Z157)/13*$BG$1)</f>
        <v>70729.580173999886</v>
      </c>
      <c r="AQ157" s="7">
        <v>25295.989999999994</v>
      </c>
      <c r="AR157" s="7">
        <f t="shared" si="831"/>
        <v>25295.990000000224</v>
      </c>
      <c r="AS157" s="7">
        <f t="shared" si="832"/>
        <v>2.2919266484677792E-10</v>
      </c>
      <c r="AT157" s="7">
        <f t="shared" si="934"/>
        <v>303551.87999999995</v>
      </c>
      <c r="AU157" s="7">
        <f t="shared" si="935"/>
        <v>3037908.9869999941</v>
      </c>
      <c r="AV157" s="7">
        <f t="shared" si="936"/>
        <v>3012612.9969999939</v>
      </c>
      <c r="AW157" s="7">
        <f t="shared" si="936"/>
        <v>2987317.0069999937</v>
      </c>
      <c r="AX157" s="7">
        <f t="shared" si="936"/>
        <v>2962021.0169999935</v>
      </c>
      <c r="AY157" s="7">
        <f t="shared" si="936"/>
        <v>2936725.0269999932</v>
      </c>
      <c r="AZ157" s="7">
        <f t="shared" si="936"/>
        <v>2911429.036999993</v>
      </c>
      <c r="BA157" s="7">
        <f t="shared" si="936"/>
        <v>2886133.0469999928</v>
      </c>
      <c r="BB157" s="7">
        <f t="shared" si="936"/>
        <v>2860837.0569999926</v>
      </c>
      <c r="BC157" s="7">
        <f t="shared" si="936"/>
        <v>2835541.0669999924</v>
      </c>
      <c r="BD157" s="7">
        <f t="shared" si="936"/>
        <v>2810245.0769999921</v>
      </c>
      <c r="BE157" s="7">
        <f t="shared" si="936"/>
        <v>2784949.0869999919</v>
      </c>
      <c r="BF157" s="7">
        <f t="shared" si="936"/>
        <v>2759653.0969999917</v>
      </c>
      <c r="BG157" s="236">
        <f t="shared" si="827"/>
        <v>64051.438813999834</v>
      </c>
      <c r="BH157" s="7">
        <v>25295.989999999994</v>
      </c>
      <c r="BI157" s="39">
        <f>BH157*12</f>
        <v>303551.87999999995</v>
      </c>
      <c r="BJ157" s="7">
        <f>BF157-BH157</f>
        <v>2734357.1069999915</v>
      </c>
      <c r="BK157" s="7">
        <f t="shared" si="937"/>
        <v>2709061.1169999912</v>
      </c>
      <c r="BL157" s="7">
        <f t="shared" si="938"/>
        <v>2683765.126999991</v>
      </c>
      <c r="BM157" s="7">
        <f t="shared" si="939"/>
        <v>2658469.1369999908</v>
      </c>
      <c r="BN157" s="7">
        <f t="shared" si="940"/>
        <v>2633173.1469999906</v>
      </c>
      <c r="BO157" s="7">
        <f t="shared" si="941"/>
        <v>2607877.1569999903</v>
      </c>
      <c r="BP157" s="7">
        <f t="shared" si="942"/>
        <v>2582581.1669999901</v>
      </c>
      <c r="BQ157" s="7">
        <f t="shared" si="943"/>
        <v>2557285.1769999899</v>
      </c>
      <c r="BR157" s="7">
        <f t="shared" si="944"/>
        <v>2531989.1869999897</v>
      </c>
      <c r="BS157" s="7">
        <f t="shared" si="945"/>
        <v>2506693.1969999894</v>
      </c>
      <c r="BT157" s="7">
        <f t="shared" si="946"/>
        <v>2481397.2069999892</v>
      </c>
      <c r="BU157" s="7">
        <f t="shared" si="947"/>
        <v>2456101.216999989</v>
      </c>
      <c r="BV157" s="236">
        <f t="shared" si="971"/>
        <v>57373.297453999781</v>
      </c>
      <c r="BW157" s="7">
        <v>25295.989999999994</v>
      </c>
      <c r="BX157" s="39">
        <f>BW157*12</f>
        <v>303551.87999999995</v>
      </c>
      <c r="BY157" s="7">
        <f>BU157-BW157</f>
        <v>2430805.2269999888</v>
      </c>
      <c r="BZ157" s="7">
        <f t="shared" si="972"/>
        <v>2405509.2369999886</v>
      </c>
      <c r="CA157" s="7">
        <f t="shared" si="973"/>
        <v>2380213.2469999883</v>
      </c>
      <c r="CB157" s="7">
        <f t="shared" si="974"/>
        <v>2354917.2569999881</v>
      </c>
      <c r="CC157" s="7">
        <f t="shared" si="975"/>
        <v>2329621.2669999879</v>
      </c>
      <c r="CD157" s="7">
        <f t="shared" si="976"/>
        <v>2304325.2769999877</v>
      </c>
      <c r="CE157" s="7">
        <f t="shared" si="977"/>
        <v>2279029.2869999874</v>
      </c>
      <c r="CF157" s="7">
        <f t="shared" si="978"/>
        <v>2253733.2969999872</v>
      </c>
      <c r="CG157" s="7">
        <f t="shared" si="979"/>
        <v>2228437.306999987</v>
      </c>
      <c r="CH157" s="7">
        <f t="shared" si="980"/>
        <v>2203141.3169999868</v>
      </c>
      <c r="CI157" s="7">
        <f t="shared" si="981"/>
        <v>2177845.3269999865</v>
      </c>
      <c r="CJ157" s="7">
        <f t="shared" si="982"/>
        <v>2152549.3369999863</v>
      </c>
      <c r="CK157" s="236">
        <f t="shared" si="983"/>
        <v>50695.156093999729</v>
      </c>
      <c r="CL157" s="7">
        <v>25295.989999999994</v>
      </c>
      <c r="CM157" s="39">
        <f>CL157*12</f>
        <v>303551.87999999995</v>
      </c>
      <c r="CN157" s="7">
        <f>CJ157-CL157</f>
        <v>2127253.3469999861</v>
      </c>
      <c r="CO157" s="7">
        <f t="shared" si="984"/>
        <v>2101957.3569999859</v>
      </c>
      <c r="CP157" s="7">
        <f t="shared" si="985"/>
        <v>2076661.3669999859</v>
      </c>
      <c r="CQ157" s="7">
        <f t="shared" si="986"/>
        <v>2051365.3769999859</v>
      </c>
      <c r="CR157" s="7">
        <f t="shared" si="988"/>
        <v>2026069.3869999859</v>
      </c>
      <c r="CS157" s="7">
        <f t="shared" si="989"/>
        <v>2000773.3969999859</v>
      </c>
      <c r="CT157" s="7">
        <f t="shared" si="990"/>
        <v>1975477.4069999859</v>
      </c>
      <c r="CU157" s="7">
        <f t="shared" si="991"/>
        <v>1950181.4169999859</v>
      </c>
      <c r="CV157" s="7">
        <f t="shared" si="992"/>
        <v>1924885.4269999859</v>
      </c>
      <c r="CW157" s="7">
        <f t="shared" si="993"/>
        <v>1899589.4369999859</v>
      </c>
      <c r="CX157" s="7">
        <f t="shared" si="994"/>
        <v>1874293.446999986</v>
      </c>
      <c r="CY157" s="7">
        <f t="shared" si="995"/>
        <v>1848997.456999986</v>
      </c>
      <c r="CZ157" s="236">
        <f t="shared" si="987"/>
        <v>44017.014733999691</v>
      </c>
    </row>
    <row r="158" spans="1:104" ht="22.5" x14ac:dyDescent="0.2">
      <c r="A158" s="6" t="str">
        <f>'[1]2021 УГРЦТ'!A161</f>
        <v>2КТПБ 1000/6/0,4-УХЛ1  №105 по ул. Авиаторов в районе жилых домов</v>
      </c>
      <c r="B158" t="str">
        <f>'[1]2021 УГРЦТ'!B161</f>
        <v>000001608</v>
      </c>
      <c r="C158" t="str">
        <f>'[1]2021 УГРЦТ'!C161</f>
        <v>ПЕРЕДАЧА</v>
      </c>
      <c r="D158" t="str">
        <f>'[1]2021 УГРЦТ'!D161</f>
        <v>Сооружения</v>
      </c>
      <c r="E158" t="str">
        <f>'[1]2021 УГРЦТ'!E161</f>
        <v>31.01.2014</v>
      </c>
      <c r="F158" t="str">
        <f>'[1]2021 УГРЦТ'!F161</f>
        <v>Цех электрических сетей</v>
      </c>
      <c r="G158">
        <f>'[1]2021 УГРЦТ'!AC161</f>
        <v>240</v>
      </c>
      <c r="H158" s="7">
        <f>'[1]2021 УГРЦТ'!X161</f>
        <v>6351899.04</v>
      </c>
      <c r="I158" s="7">
        <f>'[1]2021 УГРЦТ'!Y161</f>
        <v>2509564.0019999999</v>
      </c>
      <c r="J158" s="7">
        <f>'[1]2021 УГРЦТ'!Z161</f>
        <v>3842335.0380000002</v>
      </c>
      <c r="K158" s="8">
        <v>1</v>
      </c>
      <c r="L158" s="7">
        <v>26466.25</v>
      </c>
      <c r="M158" s="7"/>
      <c r="N158" s="7">
        <f t="shared" si="825"/>
        <v>317595</v>
      </c>
      <c r="O158" s="7">
        <f t="shared" si="828"/>
        <v>3815868.7880000002</v>
      </c>
      <c r="P158" s="7">
        <f t="shared" si="835"/>
        <v>3789402.5380000002</v>
      </c>
      <c r="Q158" s="7">
        <f t="shared" si="835"/>
        <v>3762936.2880000002</v>
      </c>
      <c r="R158" s="7">
        <f t="shared" si="835"/>
        <v>3736470.0380000002</v>
      </c>
      <c r="S158" s="7">
        <f t="shared" si="835"/>
        <v>3710003.7880000002</v>
      </c>
      <c r="T158" s="7">
        <f t="shared" si="835"/>
        <v>3683537.5380000002</v>
      </c>
      <c r="U158" s="7">
        <f t="shared" si="835"/>
        <v>3657071.2880000002</v>
      </c>
      <c r="V158" s="7">
        <f t="shared" si="835"/>
        <v>3630605.0380000002</v>
      </c>
      <c r="W158" s="7">
        <f t="shared" si="835"/>
        <v>3604138.7880000002</v>
      </c>
      <c r="X158" s="7">
        <f t="shared" si="835"/>
        <v>3577672.5380000002</v>
      </c>
      <c r="Y158" s="7">
        <f t="shared" si="835"/>
        <v>3551206.2880000002</v>
      </c>
      <c r="Z158" s="7">
        <f t="shared" si="835"/>
        <v>3524740.0380000002</v>
      </c>
      <c r="AA158" s="7">
        <f t="shared" si="970"/>
        <v>81037.825836000004</v>
      </c>
      <c r="AB158" s="7"/>
      <c r="AC158" s="7">
        <f t="shared" si="829"/>
        <v>317595</v>
      </c>
      <c r="AD158" s="7">
        <f t="shared" si="830"/>
        <v>3498273.7880000002</v>
      </c>
      <c r="AE158" s="7">
        <f t="shared" si="933"/>
        <v>3471807.5380000002</v>
      </c>
      <c r="AF158" s="7">
        <f t="shared" si="933"/>
        <v>3445341.2880000002</v>
      </c>
      <c r="AG158" s="7">
        <f t="shared" si="933"/>
        <v>3418875.0380000002</v>
      </c>
      <c r="AH158" s="7">
        <f t="shared" si="933"/>
        <v>3392408.7880000002</v>
      </c>
      <c r="AI158" s="7">
        <f t="shared" si="933"/>
        <v>3365942.5380000002</v>
      </c>
      <c r="AJ158" s="7">
        <f t="shared" si="933"/>
        <v>3339476.2880000002</v>
      </c>
      <c r="AK158" s="7">
        <f t="shared" si="933"/>
        <v>3313010.0380000002</v>
      </c>
      <c r="AL158" s="7">
        <f t="shared" si="933"/>
        <v>3286543.7880000002</v>
      </c>
      <c r="AM158" s="7">
        <f t="shared" si="933"/>
        <v>3260077.5380000002</v>
      </c>
      <c r="AN158" s="7">
        <f t="shared" si="933"/>
        <v>3233611.2880000002</v>
      </c>
      <c r="AO158" s="7">
        <f t="shared" si="933"/>
        <v>3207145.0380000002</v>
      </c>
      <c r="AP158" s="222">
        <f>IF(K158&lt;1,0,SUM(AD158:AO158,Z158)/13*$BG$1)</f>
        <v>74050.735835999993</v>
      </c>
      <c r="AQ158" s="7">
        <v>26466.25</v>
      </c>
      <c r="AR158" s="7">
        <f t="shared" si="831"/>
        <v>26466.25</v>
      </c>
      <c r="AS158" s="7">
        <f t="shared" si="832"/>
        <v>0</v>
      </c>
      <c r="AT158" s="7">
        <f t="shared" si="934"/>
        <v>317595</v>
      </c>
      <c r="AU158" s="7">
        <f t="shared" si="935"/>
        <v>3180678.7880000002</v>
      </c>
      <c r="AV158" s="7">
        <f t="shared" si="936"/>
        <v>3154212.5380000002</v>
      </c>
      <c r="AW158" s="7">
        <f t="shared" si="936"/>
        <v>3127746.2880000002</v>
      </c>
      <c r="AX158" s="7">
        <f t="shared" si="936"/>
        <v>3101280.0380000002</v>
      </c>
      <c r="AY158" s="7">
        <f t="shared" si="936"/>
        <v>3074813.7880000002</v>
      </c>
      <c r="AZ158" s="7">
        <f t="shared" si="936"/>
        <v>3048347.5380000002</v>
      </c>
      <c r="BA158" s="7">
        <f t="shared" si="936"/>
        <v>3021881.2880000002</v>
      </c>
      <c r="BB158" s="7">
        <f t="shared" si="936"/>
        <v>2995415.0380000002</v>
      </c>
      <c r="BC158" s="7">
        <f t="shared" si="936"/>
        <v>2968948.7880000002</v>
      </c>
      <c r="BD158" s="7">
        <f t="shared" si="936"/>
        <v>2942482.5380000002</v>
      </c>
      <c r="BE158" s="7">
        <f t="shared" si="936"/>
        <v>2916016.2880000002</v>
      </c>
      <c r="BF158" s="7">
        <f t="shared" si="936"/>
        <v>2889550.0380000002</v>
      </c>
      <c r="BG158" s="236">
        <f t="shared" si="827"/>
        <v>67063.645835999996</v>
      </c>
      <c r="BH158" s="7">
        <v>26466.25</v>
      </c>
      <c r="BI158" s="39">
        <f>BH158*12</f>
        <v>317595</v>
      </c>
      <c r="BJ158" s="7">
        <f>BF158-BH158</f>
        <v>2863083.7880000002</v>
      </c>
      <c r="BK158" s="7">
        <f t="shared" si="937"/>
        <v>2836617.5380000002</v>
      </c>
      <c r="BL158" s="7">
        <f t="shared" si="938"/>
        <v>2810151.2880000002</v>
      </c>
      <c r="BM158" s="7">
        <f t="shared" si="939"/>
        <v>2783685.0380000002</v>
      </c>
      <c r="BN158" s="7">
        <f t="shared" si="940"/>
        <v>2757218.7880000002</v>
      </c>
      <c r="BO158" s="7">
        <f t="shared" si="941"/>
        <v>2730752.5380000002</v>
      </c>
      <c r="BP158" s="7">
        <f t="shared" si="942"/>
        <v>2704286.2880000002</v>
      </c>
      <c r="BQ158" s="7">
        <f t="shared" si="943"/>
        <v>2677820.0380000002</v>
      </c>
      <c r="BR158" s="7">
        <f t="shared" si="944"/>
        <v>2651353.7880000002</v>
      </c>
      <c r="BS158" s="7">
        <f t="shared" si="945"/>
        <v>2624887.5380000002</v>
      </c>
      <c r="BT158" s="7">
        <f t="shared" si="946"/>
        <v>2598421.2880000002</v>
      </c>
      <c r="BU158" s="7">
        <f t="shared" si="947"/>
        <v>2571955.0380000002</v>
      </c>
      <c r="BV158" s="236">
        <f t="shared" si="971"/>
        <v>60076.555835999992</v>
      </c>
      <c r="BW158" s="7">
        <v>26466.25</v>
      </c>
      <c r="BX158" s="39">
        <f>BW158*12</f>
        <v>317595</v>
      </c>
      <c r="BY158" s="7">
        <f>BU158-BW158</f>
        <v>2545488.7880000002</v>
      </c>
      <c r="BZ158" s="7">
        <f t="shared" si="972"/>
        <v>2519022.5380000002</v>
      </c>
      <c r="CA158" s="7">
        <f t="shared" si="973"/>
        <v>2492556.2880000002</v>
      </c>
      <c r="CB158" s="7">
        <f t="shared" si="974"/>
        <v>2466090.0380000002</v>
      </c>
      <c r="CC158" s="7">
        <f t="shared" si="975"/>
        <v>2439623.7880000002</v>
      </c>
      <c r="CD158" s="7">
        <f t="shared" si="976"/>
        <v>2413157.5380000002</v>
      </c>
      <c r="CE158" s="7">
        <f t="shared" si="977"/>
        <v>2386691.2880000002</v>
      </c>
      <c r="CF158" s="7">
        <f t="shared" si="978"/>
        <v>2360225.0380000002</v>
      </c>
      <c r="CG158" s="7">
        <f t="shared" si="979"/>
        <v>2333758.7880000002</v>
      </c>
      <c r="CH158" s="7">
        <f t="shared" si="980"/>
        <v>2307292.5380000002</v>
      </c>
      <c r="CI158" s="7">
        <f t="shared" si="981"/>
        <v>2280826.2880000002</v>
      </c>
      <c r="CJ158" s="7">
        <f t="shared" si="982"/>
        <v>2254360.0380000002</v>
      </c>
      <c r="CK158" s="236">
        <f t="shared" si="983"/>
        <v>53089.465835999988</v>
      </c>
      <c r="CL158" s="7">
        <v>26466.25</v>
      </c>
      <c r="CM158" s="39">
        <f>CL158*12</f>
        <v>317595</v>
      </c>
      <c r="CN158" s="7">
        <f>CJ158-CL158</f>
        <v>2227893.7880000002</v>
      </c>
      <c r="CO158" s="7">
        <f t="shared" si="984"/>
        <v>2201427.5380000002</v>
      </c>
      <c r="CP158" s="7">
        <f t="shared" si="985"/>
        <v>2174961.2880000002</v>
      </c>
      <c r="CQ158" s="7">
        <f t="shared" si="986"/>
        <v>2148495.0380000002</v>
      </c>
      <c r="CR158" s="7">
        <f t="shared" si="988"/>
        <v>2122028.7880000002</v>
      </c>
      <c r="CS158" s="7">
        <f t="shared" si="989"/>
        <v>2095562.5380000002</v>
      </c>
      <c r="CT158" s="7">
        <f t="shared" si="990"/>
        <v>2069096.2880000002</v>
      </c>
      <c r="CU158" s="7">
        <f t="shared" si="991"/>
        <v>2042630.0380000002</v>
      </c>
      <c r="CV158" s="7">
        <f t="shared" si="992"/>
        <v>2016163.7880000002</v>
      </c>
      <c r="CW158" s="7">
        <f t="shared" si="993"/>
        <v>1989697.5380000002</v>
      </c>
      <c r="CX158" s="7">
        <f t="shared" si="994"/>
        <v>1963231.2880000002</v>
      </c>
      <c r="CY158" s="7">
        <f t="shared" si="995"/>
        <v>1936765.0380000002</v>
      </c>
      <c r="CZ158" s="236">
        <f t="shared" si="987"/>
        <v>46102.375835999992</v>
      </c>
    </row>
    <row r="159" spans="1:104" x14ac:dyDescent="0.2">
      <c r="A159" s="6" t="str">
        <f>'[1]2021 УГРЦТ'!A162</f>
        <v>2-я кабельная линия КЛ-6кВ 2007г</v>
      </c>
      <c r="B159" t="str">
        <f>'[1]2021 УГРЦТ'!B162</f>
        <v>00001033</v>
      </c>
      <c r="C159" t="str">
        <f>'[1]2021 УГРЦТ'!C162</f>
        <v>ПЕРЕДАЧА</v>
      </c>
      <c r="D159" t="str">
        <f>'[1]2021 УГРЦТ'!D162</f>
        <v>Сооружения</v>
      </c>
      <c r="E159" t="str">
        <f>'[1]2021 УГРЦТ'!E162</f>
        <v>30.04.2007</v>
      </c>
      <c r="F159" t="str">
        <f>'[1]2021 УГРЦТ'!F162</f>
        <v>Цех электрических сетей</v>
      </c>
      <c r="G159">
        <f>'[1]2021 УГРЦТ'!AC162</f>
        <v>300</v>
      </c>
      <c r="H159" s="7">
        <f>'[1]2021 УГРЦТ'!X162</f>
        <v>16516336.92</v>
      </c>
      <c r="I159" s="7">
        <f>'[1]2021 УГРЦТ'!Y162</f>
        <v>9689584.9167999998</v>
      </c>
      <c r="J159" s="7">
        <f>'[1]2021 УГРЦТ'!Z162</f>
        <v>6826752.0032000002</v>
      </c>
      <c r="K159" s="8">
        <v>1</v>
      </c>
      <c r="L159" s="7">
        <v>55054.46</v>
      </c>
      <c r="M159" s="7"/>
      <c r="N159" s="7">
        <f t="shared" si="825"/>
        <v>660653.52</v>
      </c>
      <c r="O159" s="7">
        <f t="shared" si="828"/>
        <v>6771697.5432000002</v>
      </c>
      <c r="P159" s="7">
        <f t="shared" si="835"/>
        <v>6716643.0832000002</v>
      </c>
      <c r="Q159" s="7">
        <f t="shared" si="835"/>
        <v>6661588.6232000003</v>
      </c>
      <c r="R159" s="7">
        <f t="shared" si="835"/>
        <v>6606534.1632000003</v>
      </c>
      <c r="S159" s="7">
        <f t="shared" si="835"/>
        <v>6551479.7032000003</v>
      </c>
      <c r="T159" s="7">
        <f t="shared" si="835"/>
        <v>6496425.2432000004</v>
      </c>
      <c r="U159" s="7">
        <f t="shared" si="835"/>
        <v>6441370.7832000004</v>
      </c>
      <c r="V159" s="7">
        <f t="shared" si="835"/>
        <v>6386316.3232000005</v>
      </c>
      <c r="W159" s="7">
        <f t="shared" si="835"/>
        <v>6331261.8632000005</v>
      </c>
      <c r="X159" s="7">
        <f t="shared" si="835"/>
        <v>6276207.4032000005</v>
      </c>
      <c r="Y159" s="7">
        <f t="shared" si="835"/>
        <v>6221152.9432000006</v>
      </c>
      <c r="Z159" s="7">
        <f t="shared" si="835"/>
        <v>6166098.4832000006</v>
      </c>
      <c r="AA159" s="7">
        <f t="shared" si="970"/>
        <v>142921.3553504</v>
      </c>
      <c r="AB159" s="7"/>
      <c r="AC159" s="7">
        <f t="shared" si="829"/>
        <v>660653.52</v>
      </c>
      <c r="AD159" s="7">
        <f t="shared" si="830"/>
        <v>6111044.0232000006</v>
      </c>
      <c r="AE159" s="7">
        <f t="shared" si="933"/>
        <v>6055989.5632000007</v>
      </c>
      <c r="AF159" s="7">
        <f t="shared" si="933"/>
        <v>6000935.1032000007</v>
      </c>
      <c r="AG159" s="7">
        <f t="shared" si="933"/>
        <v>5945880.6432000007</v>
      </c>
      <c r="AH159" s="7">
        <f t="shared" si="933"/>
        <v>5890826.1832000008</v>
      </c>
      <c r="AI159" s="7">
        <f t="shared" si="933"/>
        <v>5835771.7232000008</v>
      </c>
      <c r="AJ159" s="7">
        <f t="shared" si="933"/>
        <v>5780717.2632000009</v>
      </c>
      <c r="AK159" s="7">
        <f t="shared" si="933"/>
        <v>5725662.8032000009</v>
      </c>
      <c r="AL159" s="7">
        <f t="shared" si="933"/>
        <v>5670608.3432000009</v>
      </c>
      <c r="AM159" s="7">
        <f t="shared" si="933"/>
        <v>5615553.883200001</v>
      </c>
      <c r="AN159" s="7">
        <f t="shared" si="933"/>
        <v>5560499.423200001</v>
      </c>
      <c r="AO159" s="7">
        <f t="shared" si="933"/>
        <v>5505444.963200001</v>
      </c>
      <c r="AP159" s="222">
        <f>IF(K159&lt;1,0,SUM(AD159:AO159,Z159)/13*$BG$1)</f>
        <v>128386.97791039999</v>
      </c>
      <c r="AQ159" s="7">
        <v>55054.46</v>
      </c>
      <c r="AR159" s="7">
        <f t="shared" si="831"/>
        <v>55054.459999999963</v>
      </c>
      <c r="AS159" s="7">
        <f t="shared" si="832"/>
        <v>0</v>
      </c>
      <c r="AT159" s="7">
        <f t="shared" si="934"/>
        <v>660653.52</v>
      </c>
      <c r="AU159" s="7">
        <f t="shared" si="935"/>
        <v>5450390.5032000011</v>
      </c>
      <c r="AV159" s="7">
        <f t="shared" si="936"/>
        <v>5395336.0432000011</v>
      </c>
      <c r="AW159" s="7">
        <f t="shared" si="936"/>
        <v>5340281.5832000012</v>
      </c>
      <c r="AX159" s="7">
        <f t="shared" si="936"/>
        <v>5285227.1232000012</v>
      </c>
      <c r="AY159" s="7">
        <f t="shared" si="936"/>
        <v>5230172.6632000012</v>
      </c>
      <c r="AZ159" s="7">
        <f t="shared" si="936"/>
        <v>5175118.2032000013</v>
      </c>
      <c r="BA159" s="7">
        <f t="shared" si="936"/>
        <v>5120063.7432000013</v>
      </c>
      <c r="BB159" s="7">
        <f t="shared" si="936"/>
        <v>5065009.2832000013</v>
      </c>
      <c r="BC159" s="7">
        <f t="shared" si="936"/>
        <v>5009954.8232000014</v>
      </c>
      <c r="BD159" s="7">
        <f t="shared" si="936"/>
        <v>4954900.3632000014</v>
      </c>
      <c r="BE159" s="7">
        <f t="shared" si="936"/>
        <v>4899845.9032000015</v>
      </c>
      <c r="BF159" s="7">
        <f t="shared" si="936"/>
        <v>4844791.4432000015</v>
      </c>
      <c r="BG159" s="236">
        <f t="shared" si="827"/>
        <v>113852.60047040002</v>
      </c>
      <c r="BH159" s="7">
        <v>55054.46</v>
      </c>
      <c r="BI159" s="39">
        <f>BH159*12</f>
        <v>660653.52</v>
      </c>
      <c r="BJ159" s="7">
        <f>BF159-BH159</f>
        <v>4789736.9832000015</v>
      </c>
      <c r="BK159" s="7">
        <f t="shared" si="937"/>
        <v>4734682.5232000016</v>
      </c>
      <c r="BL159" s="7">
        <f t="shared" si="938"/>
        <v>4679628.0632000016</v>
      </c>
      <c r="BM159" s="7">
        <f t="shared" si="939"/>
        <v>4624573.6032000016</v>
      </c>
      <c r="BN159" s="7">
        <f t="shared" si="940"/>
        <v>4569519.1432000017</v>
      </c>
      <c r="BO159" s="7">
        <f t="shared" si="941"/>
        <v>4514464.6832000017</v>
      </c>
      <c r="BP159" s="7">
        <f t="shared" si="942"/>
        <v>4459410.2232000018</v>
      </c>
      <c r="BQ159" s="7">
        <f t="shared" si="943"/>
        <v>4404355.7632000018</v>
      </c>
      <c r="BR159" s="7">
        <f t="shared" si="944"/>
        <v>4349301.3032000018</v>
      </c>
      <c r="BS159" s="7">
        <f t="shared" si="945"/>
        <v>4294246.8432000019</v>
      </c>
      <c r="BT159" s="7">
        <f t="shared" si="946"/>
        <v>4239192.3832000019</v>
      </c>
      <c r="BU159" s="7">
        <f t="shared" si="947"/>
        <v>4184137.9232000019</v>
      </c>
      <c r="BV159" s="236">
        <f t="shared" si="971"/>
        <v>99318.223030400026</v>
      </c>
      <c r="BW159" s="7">
        <v>55054.46</v>
      </c>
      <c r="BX159" s="39">
        <f>BW159*12</f>
        <v>660653.52</v>
      </c>
      <c r="BY159" s="7">
        <f>BU159-BW159</f>
        <v>4129083.463200002</v>
      </c>
      <c r="BZ159" s="7">
        <f t="shared" si="972"/>
        <v>4074029.003200002</v>
      </c>
      <c r="CA159" s="7">
        <f t="shared" si="973"/>
        <v>4018974.5432000021</v>
      </c>
      <c r="CB159" s="7">
        <f t="shared" si="974"/>
        <v>3963920.0832000021</v>
      </c>
      <c r="CC159" s="7">
        <f t="shared" si="975"/>
        <v>3908865.6232000021</v>
      </c>
      <c r="CD159" s="7">
        <f t="shared" si="976"/>
        <v>3853811.1632000022</v>
      </c>
      <c r="CE159" s="7">
        <f t="shared" si="977"/>
        <v>3798756.7032000022</v>
      </c>
      <c r="CF159" s="7">
        <f t="shared" si="978"/>
        <v>3743702.2432000022</v>
      </c>
      <c r="CG159" s="7">
        <f t="shared" si="979"/>
        <v>3688647.7832000023</v>
      </c>
      <c r="CH159" s="7">
        <f t="shared" si="980"/>
        <v>3633593.3232000023</v>
      </c>
      <c r="CI159" s="7">
        <f t="shared" si="981"/>
        <v>3578538.8632000023</v>
      </c>
      <c r="CJ159" s="7">
        <f t="shared" si="982"/>
        <v>3523484.4032000024</v>
      </c>
      <c r="CK159" s="236">
        <f t="shared" si="983"/>
        <v>84783.845590400029</v>
      </c>
      <c r="CL159" s="7">
        <v>55054.46</v>
      </c>
      <c r="CM159" s="39">
        <f>CL159*12</f>
        <v>660653.52</v>
      </c>
      <c r="CN159" s="7">
        <f>CJ159-CL159</f>
        <v>3468429.9432000024</v>
      </c>
      <c r="CO159" s="7">
        <f t="shared" si="984"/>
        <v>3413375.4832000025</v>
      </c>
      <c r="CP159" s="7">
        <f t="shared" si="985"/>
        <v>3358321.0232000025</v>
      </c>
      <c r="CQ159" s="7">
        <f t="shared" si="986"/>
        <v>3303266.5632000025</v>
      </c>
      <c r="CR159" s="7">
        <f t="shared" si="988"/>
        <v>3248212.1032000026</v>
      </c>
      <c r="CS159" s="7">
        <f t="shared" si="989"/>
        <v>3193157.6432000026</v>
      </c>
      <c r="CT159" s="7">
        <f t="shared" si="990"/>
        <v>3138103.1832000026</v>
      </c>
      <c r="CU159" s="7">
        <f t="shared" si="991"/>
        <v>3083048.7232000027</v>
      </c>
      <c r="CV159" s="7">
        <f t="shared" si="992"/>
        <v>3027994.2632000027</v>
      </c>
      <c r="CW159" s="7">
        <f t="shared" si="993"/>
        <v>2972939.8032000028</v>
      </c>
      <c r="CX159" s="7">
        <f t="shared" si="994"/>
        <v>2917885.3432000028</v>
      </c>
      <c r="CY159" s="7">
        <f t="shared" si="995"/>
        <v>2862830.8832000028</v>
      </c>
      <c r="CZ159" s="236">
        <f t="shared" si="987"/>
        <v>70249.468150400047</v>
      </c>
    </row>
    <row r="160" spans="1:104" x14ac:dyDescent="0.2">
      <c r="A160" s="6" t="str">
        <f>'[1]2021 УГРЦТ'!A163</f>
        <v>Автомашина ЗИЛ-131</v>
      </c>
      <c r="B160" t="str">
        <f>'[1]2021 УГРЦТ'!B163</f>
        <v>00000593</v>
      </c>
      <c r="C160" t="str">
        <f>'[1]2021 УГРЦТ'!C163</f>
        <v>ПЕРЕДАЧА</v>
      </c>
      <c r="D160" t="str">
        <f>'[1]2021 УГРЦТ'!D163</f>
        <v>Транспортные средства</v>
      </c>
      <c r="E160" t="str">
        <f>'[1]2021 УГРЦТ'!E163</f>
        <v>08.04.2002</v>
      </c>
      <c r="F160" t="str">
        <f>'[1]2021 УГРЦТ'!F163</f>
        <v>Автотранспортный цех</v>
      </c>
      <c r="G160">
        <f>'[1]2021 УГРЦТ'!AC163</f>
        <v>84</v>
      </c>
      <c r="H160" s="7">
        <v>0</v>
      </c>
      <c r="I160" s="7">
        <v>0</v>
      </c>
      <c r="J160" s="7">
        <v>0</v>
      </c>
      <c r="K160" s="8">
        <v>0</v>
      </c>
      <c r="L160" s="14" t="s">
        <v>18</v>
      </c>
      <c r="M160" s="14"/>
      <c r="N160" s="7">
        <v>0</v>
      </c>
      <c r="O160" s="7">
        <f>J160-0</f>
        <v>0</v>
      </c>
      <c r="P160" s="7">
        <f>O160-0</f>
        <v>0</v>
      </c>
      <c r="Q160" s="7">
        <f t="shared" ref="Q160:Z160" si="996">N160-0</f>
        <v>0</v>
      </c>
      <c r="R160" s="7">
        <f t="shared" si="996"/>
        <v>0</v>
      </c>
      <c r="S160" s="7">
        <f t="shared" si="996"/>
        <v>0</v>
      </c>
      <c r="T160" s="7">
        <f t="shared" si="996"/>
        <v>0</v>
      </c>
      <c r="U160" s="7">
        <f t="shared" si="996"/>
        <v>0</v>
      </c>
      <c r="V160" s="7">
        <f t="shared" si="996"/>
        <v>0</v>
      </c>
      <c r="W160" s="7">
        <f t="shared" si="996"/>
        <v>0</v>
      </c>
      <c r="X160" s="7">
        <f t="shared" si="996"/>
        <v>0</v>
      </c>
      <c r="Y160" s="7">
        <f t="shared" si="996"/>
        <v>0</v>
      </c>
      <c r="Z160" s="7">
        <f t="shared" si="996"/>
        <v>0</v>
      </c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222"/>
      <c r="AQ160" s="7">
        <v>0</v>
      </c>
      <c r="AR160" s="7">
        <f t="shared" si="831"/>
        <v>0</v>
      </c>
      <c r="AS160" s="7">
        <f t="shared" si="832"/>
        <v>0</v>
      </c>
      <c r="BG160" s="236">
        <f t="shared" si="827"/>
        <v>0</v>
      </c>
      <c r="BH160" s="7">
        <v>0</v>
      </c>
      <c r="BV160" s="236">
        <f t="shared" si="971"/>
        <v>0</v>
      </c>
      <c r="BW160" s="7">
        <v>0</v>
      </c>
      <c r="CK160" s="236">
        <f t="shared" si="983"/>
        <v>0</v>
      </c>
      <c r="CL160" s="7">
        <v>0</v>
      </c>
      <c r="CZ160" s="236">
        <f t="shared" si="987"/>
        <v>0</v>
      </c>
    </row>
    <row r="161" spans="1:104" ht="33.75" x14ac:dyDescent="0.2">
      <c r="A161" s="6" t="str">
        <f>'[1]2021 УГРЦТ'!A164</f>
        <v>Автомобиль бортовой с г/м Чайка-Сервис 2784LW (КМУ Taurus 086A (сер.№А17К042) на базе, а/м КАМАЗ-43118) ш.ХТС431184Н2502321</v>
      </c>
      <c r="B161" s="15" t="str">
        <f>'[1]2021 УГРЦТ'!B164</f>
        <v>000001725</v>
      </c>
      <c r="C161" t="str">
        <f>'[1]2021 УГРЦТ'!C164</f>
        <v>ПЕРЕДАЧА</v>
      </c>
      <c r="D161" t="str">
        <f>'[1]2021 УГРЦТ'!D164</f>
        <v>Транспортные средства</v>
      </c>
      <c r="E161" t="str">
        <f>'[1]2021 УГРЦТ'!E164</f>
        <v>29.05.2018</v>
      </c>
      <c r="F161" t="str">
        <f>'[1]2021 УГРЦТ'!F164</f>
        <v>Автотранспортный цех</v>
      </c>
      <c r="G161">
        <f>'[1]2021 УГРЦТ'!AC164</f>
        <v>120</v>
      </c>
      <c r="H161" s="7">
        <f>'[1]2021 УГРЦТ'!X164</f>
        <v>6429403.6699999999</v>
      </c>
      <c r="I161" s="7">
        <f>'[1]2021 УГРЦТ'!Y164</f>
        <v>2303869.5269999998</v>
      </c>
      <c r="J161" s="7">
        <f>'[1]2021 УГРЦТ'!Z164</f>
        <v>4125534.1430000002</v>
      </c>
      <c r="K161" s="8">
        <v>0</v>
      </c>
      <c r="L161" s="11">
        <v>53578.359999999993</v>
      </c>
      <c r="M161" s="11"/>
      <c r="N161" s="7">
        <f t="shared" si="825"/>
        <v>642940.31999999995</v>
      </c>
      <c r="O161" s="7">
        <f t="shared" si="828"/>
        <v>4071955.7830000003</v>
      </c>
      <c r="P161" s="7">
        <f t="shared" ref="P161:Z164" si="997">O161-$L161</f>
        <v>4018377.4230000004</v>
      </c>
      <c r="Q161" s="7">
        <f t="shared" si="997"/>
        <v>3964799.0630000005</v>
      </c>
      <c r="R161" s="7">
        <f t="shared" si="997"/>
        <v>3911220.7030000007</v>
      </c>
      <c r="S161" s="7">
        <f t="shared" si="997"/>
        <v>3857642.3430000008</v>
      </c>
      <c r="T161" s="7">
        <f t="shared" si="997"/>
        <v>3804063.9830000009</v>
      </c>
      <c r="U161" s="7">
        <f t="shared" si="997"/>
        <v>3750485.6230000011</v>
      </c>
      <c r="V161" s="7">
        <f t="shared" si="997"/>
        <v>3696907.2630000012</v>
      </c>
      <c r="W161" s="7">
        <f t="shared" si="997"/>
        <v>3643328.9030000013</v>
      </c>
      <c r="X161" s="7">
        <f t="shared" si="997"/>
        <v>3589750.5430000015</v>
      </c>
      <c r="Y161" s="7">
        <f t="shared" si="997"/>
        <v>3536172.1830000016</v>
      </c>
      <c r="Z161" s="7">
        <f t="shared" si="997"/>
        <v>3482593.8230000017</v>
      </c>
      <c r="AA161" s="7"/>
      <c r="AB161" s="7"/>
      <c r="AC161" s="7">
        <f t="shared" si="829"/>
        <v>642940.31999999995</v>
      </c>
      <c r="AD161" s="7">
        <f t="shared" si="830"/>
        <v>3429015.4630000019</v>
      </c>
      <c r="AE161" s="7">
        <f t="shared" ref="AE161:AO164" si="998">AD161-$L161</f>
        <v>3375437.103000002</v>
      </c>
      <c r="AF161" s="7">
        <f t="shared" si="998"/>
        <v>3321858.7430000021</v>
      </c>
      <c r="AG161" s="7">
        <f t="shared" si="998"/>
        <v>3268280.3830000022</v>
      </c>
      <c r="AH161" s="7">
        <f t="shared" si="998"/>
        <v>3214702.0230000024</v>
      </c>
      <c r="AI161" s="7">
        <f t="shared" si="998"/>
        <v>3161123.6630000025</v>
      </c>
      <c r="AJ161" s="7">
        <f t="shared" si="998"/>
        <v>3107545.3030000026</v>
      </c>
      <c r="AK161" s="7">
        <f t="shared" si="998"/>
        <v>3053966.9430000028</v>
      </c>
      <c r="AL161" s="7">
        <f t="shared" si="998"/>
        <v>3000388.5830000029</v>
      </c>
      <c r="AM161" s="7">
        <f t="shared" si="998"/>
        <v>2946810.223000003</v>
      </c>
      <c r="AN161" s="7">
        <f t="shared" si="998"/>
        <v>2893231.8630000032</v>
      </c>
      <c r="AO161" s="7">
        <f t="shared" si="998"/>
        <v>2839653.5030000033</v>
      </c>
      <c r="AP161" s="222"/>
      <c r="AQ161" s="7">
        <v>53578.359999999993</v>
      </c>
      <c r="AR161" s="7">
        <f t="shared" si="831"/>
        <v>53578.35999999987</v>
      </c>
      <c r="AS161" s="7">
        <f t="shared" si="832"/>
        <v>-1.2369127944111824E-10</v>
      </c>
      <c r="AT161" s="7">
        <f t="shared" ref="AT161:AT164" si="999">L161*12</f>
        <v>642940.31999999995</v>
      </c>
      <c r="AU161" s="7">
        <f>AO161-$L161</f>
        <v>2786075.1430000034</v>
      </c>
      <c r="AV161" s="7">
        <f t="shared" ref="AV161:BF164" si="1000">AU161-$L161</f>
        <v>2732496.7830000035</v>
      </c>
      <c r="AW161" s="7">
        <f t="shared" si="1000"/>
        <v>2678918.4230000037</v>
      </c>
      <c r="AX161" s="7">
        <f t="shared" si="1000"/>
        <v>2625340.0630000038</v>
      </c>
      <c r="AY161" s="7">
        <f t="shared" si="1000"/>
        <v>2571761.7030000039</v>
      </c>
      <c r="AZ161" s="7">
        <f t="shared" si="1000"/>
        <v>2518183.3430000041</v>
      </c>
      <c r="BA161" s="7">
        <f t="shared" si="1000"/>
        <v>2464604.9830000042</v>
      </c>
      <c r="BB161" s="7">
        <f t="shared" si="1000"/>
        <v>2411026.6230000043</v>
      </c>
      <c r="BC161" s="7">
        <f t="shared" si="1000"/>
        <v>2357448.2630000045</v>
      </c>
      <c r="BD161" s="7">
        <f t="shared" si="1000"/>
        <v>2303869.9030000046</v>
      </c>
      <c r="BE161" s="7">
        <f t="shared" si="1000"/>
        <v>2250291.5430000047</v>
      </c>
      <c r="BF161" s="7">
        <f t="shared" si="1000"/>
        <v>2196713.1830000049</v>
      </c>
      <c r="BG161" s="236">
        <f t="shared" si="827"/>
        <v>0</v>
      </c>
      <c r="BH161" s="7">
        <v>53578.359999999993</v>
      </c>
      <c r="BI161" s="39">
        <f>BH161*12</f>
        <v>642940.31999999995</v>
      </c>
      <c r="BJ161" s="7">
        <f>BF161-BH161</f>
        <v>2143134.823000005</v>
      </c>
      <c r="BK161" s="7">
        <f t="shared" ref="BK161:BK164" si="1001">BJ161-$L161</f>
        <v>2089556.4630000049</v>
      </c>
      <c r="BL161" s="7">
        <f t="shared" ref="BL161:BL164" si="1002">BK161-$L161</f>
        <v>2035978.1030000048</v>
      </c>
      <c r="BM161" s="7">
        <f t="shared" ref="BM161:BM164" si="1003">BL161-$L161</f>
        <v>1982399.7430000047</v>
      </c>
      <c r="BN161" s="7">
        <f t="shared" ref="BN161:BN164" si="1004">BM161-$L161</f>
        <v>1928821.3830000046</v>
      </c>
      <c r="BO161" s="7">
        <f t="shared" ref="BO161:BO164" si="1005">BN161-$L161</f>
        <v>1875243.0230000045</v>
      </c>
      <c r="BP161" s="7">
        <f t="shared" ref="BP161:BP164" si="1006">BO161-$L161</f>
        <v>1821664.6630000044</v>
      </c>
      <c r="BQ161" s="7">
        <f t="shared" ref="BQ161:BQ164" si="1007">BP161-$L161</f>
        <v>1768086.3030000043</v>
      </c>
      <c r="BR161" s="7">
        <f t="shared" ref="BR161:BR164" si="1008">BQ161-$L161</f>
        <v>1714507.9430000042</v>
      </c>
      <c r="BS161" s="7">
        <f t="shared" ref="BS161:BS164" si="1009">BR161-$L161</f>
        <v>1660929.5830000041</v>
      </c>
      <c r="BT161" s="7">
        <f t="shared" ref="BT161:BT164" si="1010">BS161-$L161</f>
        <v>1607351.223000004</v>
      </c>
      <c r="BU161" s="7">
        <f t="shared" ref="BU161:BU164" si="1011">BT161-$L161</f>
        <v>1553772.8630000039</v>
      </c>
      <c r="BV161" s="236">
        <v>0</v>
      </c>
      <c r="BW161" s="7">
        <v>53578.359999999993</v>
      </c>
      <c r="BX161" s="39">
        <f>BW161*12</f>
        <v>642940.31999999995</v>
      </c>
      <c r="BY161" s="7">
        <f>BU161-BW161</f>
        <v>1500194.5030000038</v>
      </c>
      <c r="BZ161" s="7">
        <f t="shared" ref="BZ161:BZ164" si="1012">BY161-$L161</f>
        <v>1446616.1430000036</v>
      </c>
      <c r="CA161" s="7">
        <f t="shared" ref="CA161:CA164" si="1013">BZ161-$L161</f>
        <v>1393037.7830000035</v>
      </c>
      <c r="CB161" s="7">
        <f t="shared" ref="CB161" si="1014">CA161-$L161</f>
        <v>1339459.4230000034</v>
      </c>
      <c r="CC161" s="7">
        <f t="shared" ref="CC161" si="1015">CB161-$L161</f>
        <v>1285881.0630000033</v>
      </c>
      <c r="CD161" s="7">
        <f t="shared" ref="CD161" si="1016">CC161-$L161</f>
        <v>1232302.7030000032</v>
      </c>
      <c r="CE161" s="7">
        <f t="shared" ref="CE161" si="1017">CD161-$L161</f>
        <v>1178724.3430000031</v>
      </c>
      <c r="CF161" s="7">
        <f t="shared" ref="CF161" si="1018">CE161-$L161</f>
        <v>1125145.983000003</v>
      </c>
      <c r="CG161" s="7">
        <f t="shared" ref="CG161" si="1019">CF161-$L161</f>
        <v>1071567.6230000029</v>
      </c>
      <c r="CH161" s="7">
        <f t="shared" ref="CH161" si="1020">CG161-$L161</f>
        <v>1017989.2630000029</v>
      </c>
      <c r="CI161" s="7">
        <f t="shared" ref="CI161" si="1021">CH161-$L161</f>
        <v>964410.90300000296</v>
      </c>
      <c r="CJ161" s="7">
        <f t="shared" ref="CJ161" si="1022">CI161-$L161</f>
        <v>910832.54300000297</v>
      </c>
      <c r="CK161" s="236">
        <v>0</v>
      </c>
      <c r="CL161" s="7">
        <v>53578.359999999993</v>
      </c>
      <c r="CM161" s="39">
        <f>CL161*12</f>
        <v>642940.31999999995</v>
      </c>
      <c r="CN161" s="7">
        <f>CJ161-CL161</f>
        <v>857254.18300000299</v>
      </c>
      <c r="CO161" s="7">
        <f t="shared" ref="CO161" si="1023">CN161-$L161</f>
        <v>803675.823000003</v>
      </c>
      <c r="CP161" s="7">
        <f t="shared" ref="CP161" si="1024">CO161-$L161</f>
        <v>750097.46300000302</v>
      </c>
      <c r="CQ161" s="7">
        <f t="shared" ref="CQ161" si="1025">CP161-$L161</f>
        <v>696519.10300000303</v>
      </c>
      <c r="CR161" s="7">
        <f t="shared" ref="CR161" si="1026">CQ161-$L161</f>
        <v>642940.74300000304</v>
      </c>
      <c r="CS161" s="7">
        <f t="shared" ref="CS161" si="1027">CR161-$L161</f>
        <v>589362.38300000306</v>
      </c>
      <c r="CT161" s="7">
        <f t="shared" ref="CT161" si="1028">CS161-$L161</f>
        <v>535784.02300000307</v>
      </c>
      <c r="CU161" s="7">
        <f t="shared" ref="CU161" si="1029">CT161-$L161</f>
        <v>482205.66300000309</v>
      </c>
      <c r="CV161" s="7">
        <f t="shared" ref="CV161" si="1030">CU161-$L161</f>
        <v>428627.3030000031</v>
      </c>
      <c r="CW161" s="7">
        <f t="shared" ref="CW161" si="1031">CV161-$L161</f>
        <v>375048.94300000311</v>
      </c>
      <c r="CX161" s="7">
        <f t="shared" ref="CX161" si="1032">CW161-$L161</f>
        <v>321470.58300000313</v>
      </c>
      <c r="CY161" s="7">
        <f t="shared" ref="CY161" si="1033">CX161-$L161</f>
        <v>267892.22300000314</v>
      </c>
      <c r="CZ161" s="236">
        <v>0</v>
      </c>
    </row>
    <row r="162" spans="1:104" ht="22.5" x14ac:dyDescent="0.2">
      <c r="A162" s="6" t="str">
        <f>'[1]2021 УГРЦТ'!A165</f>
        <v>Автомобиль ГАЗ-27527 грузовой фургон цельнометалический (7 мест) VIN: X96275270K0869981</v>
      </c>
      <c r="B162" s="15" t="str">
        <f>'[1]2021 УГРЦТ'!B165</f>
        <v>000001758</v>
      </c>
      <c r="C162" t="str">
        <f>'[1]2021 УГРЦТ'!C165</f>
        <v>ПЕРЕДАЧА</v>
      </c>
      <c r="D162" t="str">
        <f>'[1]2021 УГРЦТ'!D165</f>
        <v>Транспортные средства</v>
      </c>
      <c r="E162" t="str">
        <f>'[1]2021 УГРЦТ'!E165</f>
        <v>27.03.2019</v>
      </c>
      <c r="F162" t="str">
        <f>'[1]2021 УГРЦТ'!F165</f>
        <v>Автотранспортный цех</v>
      </c>
      <c r="G162">
        <f>'[1]2021 УГРЦТ'!AC165</f>
        <v>84</v>
      </c>
      <c r="H162" s="7">
        <f>'[1]2021 УГРЦТ'!X165</f>
        <v>890058.33</v>
      </c>
      <c r="I162" s="7">
        <f>'[1]2021 УГРЦТ'!Y165</f>
        <v>349665.72</v>
      </c>
      <c r="J162" s="7">
        <f>'[1]2021 УГРЦТ'!Z165</f>
        <v>540392.61</v>
      </c>
      <c r="K162" s="8">
        <v>0</v>
      </c>
      <c r="L162" s="11">
        <v>10595.929999999998</v>
      </c>
      <c r="M162" s="11"/>
      <c r="N162" s="7">
        <f t="shared" si="825"/>
        <v>127151.15999999997</v>
      </c>
      <c r="O162" s="7">
        <f t="shared" si="828"/>
        <v>529796.67999999993</v>
      </c>
      <c r="P162" s="7">
        <f t="shared" si="997"/>
        <v>519200.74999999994</v>
      </c>
      <c r="Q162" s="7">
        <f t="shared" si="997"/>
        <v>508604.81999999995</v>
      </c>
      <c r="R162" s="7">
        <f t="shared" si="997"/>
        <v>498008.88999999996</v>
      </c>
      <c r="S162" s="7">
        <f t="shared" si="997"/>
        <v>487412.95999999996</v>
      </c>
      <c r="T162" s="7">
        <f t="shared" si="997"/>
        <v>476817.02999999997</v>
      </c>
      <c r="U162" s="7">
        <f t="shared" si="997"/>
        <v>466221.1</v>
      </c>
      <c r="V162" s="7">
        <f t="shared" si="997"/>
        <v>455625.17</v>
      </c>
      <c r="W162" s="7">
        <f t="shared" si="997"/>
        <v>445029.24</v>
      </c>
      <c r="X162" s="7">
        <f t="shared" si="997"/>
        <v>434433.31</v>
      </c>
      <c r="Y162" s="7">
        <f t="shared" si="997"/>
        <v>423837.38</v>
      </c>
      <c r="Z162" s="7">
        <f t="shared" si="997"/>
        <v>413241.45</v>
      </c>
      <c r="AA162" s="7"/>
      <c r="AB162" s="7"/>
      <c r="AC162" s="7">
        <f t="shared" si="829"/>
        <v>127151.15999999997</v>
      </c>
      <c r="AD162" s="7">
        <f t="shared" si="830"/>
        <v>402645.52</v>
      </c>
      <c r="AE162" s="7">
        <f t="shared" si="998"/>
        <v>392049.59</v>
      </c>
      <c r="AF162" s="7">
        <f t="shared" si="998"/>
        <v>381453.66000000003</v>
      </c>
      <c r="AG162" s="7">
        <f t="shared" si="998"/>
        <v>370857.73000000004</v>
      </c>
      <c r="AH162" s="7">
        <f t="shared" si="998"/>
        <v>360261.80000000005</v>
      </c>
      <c r="AI162" s="7">
        <f t="shared" si="998"/>
        <v>349665.87000000005</v>
      </c>
      <c r="AJ162" s="7">
        <f t="shared" si="998"/>
        <v>339069.94000000006</v>
      </c>
      <c r="AK162" s="7">
        <f t="shared" si="998"/>
        <v>328474.01000000007</v>
      </c>
      <c r="AL162" s="7">
        <f t="shared" si="998"/>
        <v>317878.08000000007</v>
      </c>
      <c r="AM162" s="7">
        <f t="shared" si="998"/>
        <v>307282.15000000008</v>
      </c>
      <c r="AN162" s="7">
        <f t="shared" si="998"/>
        <v>296686.22000000009</v>
      </c>
      <c r="AO162" s="7">
        <f t="shared" si="998"/>
        <v>286090.2900000001</v>
      </c>
      <c r="AP162" s="222"/>
      <c r="AQ162" s="7">
        <v>10595.929999999998</v>
      </c>
      <c r="AR162" s="7">
        <f t="shared" si="831"/>
        <v>10595.929999999993</v>
      </c>
      <c r="AS162" s="7">
        <f t="shared" si="832"/>
        <v>0</v>
      </c>
      <c r="AT162" s="7">
        <f t="shared" si="999"/>
        <v>127151.15999999997</v>
      </c>
      <c r="AU162" s="7">
        <f>AO162-$L162</f>
        <v>275494.3600000001</v>
      </c>
      <c r="AV162" s="7">
        <f t="shared" si="1000"/>
        <v>264898.43000000011</v>
      </c>
      <c r="AW162" s="7">
        <f t="shared" si="1000"/>
        <v>254302.50000000012</v>
      </c>
      <c r="AX162" s="7">
        <f t="shared" si="1000"/>
        <v>243706.57000000012</v>
      </c>
      <c r="AY162" s="7">
        <f t="shared" si="1000"/>
        <v>233110.64000000013</v>
      </c>
      <c r="AZ162" s="7">
        <f t="shared" si="1000"/>
        <v>222514.71000000014</v>
      </c>
      <c r="BA162" s="7">
        <f t="shared" si="1000"/>
        <v>211918.78000000014</v>
      </c>
      <c r="BB162" s="7">
        <f t="shared" si="1000"/>
        <v>201322.85000000015</v>
      </c>
      <c r="BC162" s="7">
        <f t="shared" si="1000"/>
        <v>190726.92000000016</v>
      </c>
      <c r="BD162" s="7">
        <f t="shared" si="1000"/>
        <v>180130.99000000017</v>
      </c>
      <c r="BE162" s="7">
        <f t="shared" si="1000"/>
        <v>169535.06000000017</v>
      </c>
      <c r="BF162" s="7">
        <f t="shared" si="1000"/>
        <v>158939.13000000018</v>
      </c>
      <c r="BG162" s="236">
        <f t="shared" si="827"/>
        <v>0</v>
      </c>
      <c r="BH162" s="7">
        <v>10595.929999999998</v>
      </c>
      <c r="BI162" s="39">
        <f>BH162*12</f>
        <v>127151.15999999997</v>
      </c>
      <c r="BJ162" s="7">
        <f>BF162-BH162</f>
        <v>148343.20000000019</v>
      </c>
      <c r="BK162" s="7">
        <f t="shared" si="1001"/>
        <v>137747.27000000019</v>
      </c>
      <c r="BL162" s="7">
        <f t="shared" si="1002"/>
        <v>127151.3400000002</v>
      </c>
      <c r="BM162" s="7">
        <f t="shared" si="1003"/>
        <v>116555.41000000021</v>
      </c>
      <c r="BN162" s="7">
        <f t="shared" si="1004"/>
        <v>105959.48000000021</v>
      </c>
      <c r="BO162" s="7">
        <f t="shared" si="1005"/>
        <v>95363.550000000221</v>
      </c>
      <c r="BP162" s="7">
        <f t="shared" si="1006"/>
        <v>84767.620000000228</v>
      </c>
      <c r="BQ162" s="7">
        <f t="shared" si="1007"/>
        <v>74171.690000000235</v>
      </c>
      <c r="BR162" s="7">
        <f t="shared" si="1008"/>
        <v>63575.760000000235</v>
      </c>
      <c r="BS162" s="7">
        <f t="shared" si="1009"/>
        <v>52979.830000000235</v>
      </c>
      <c r="BT162" s="7">
        <f t="shared" si="1010"/>
        <v>42383.900000000234</v>
      </c>
      <c r="BU162" s="7">
        <f t="shared" si="1011"/>
        <v>31787.970000000234</v>
      </c>
      <c r="BV162" s="236">
        <v>0</v>
      </c>
      <c r="BW162" s="7">
        <v>10595.929999999998</v>
      </c>
      <c r="BX162" s="39">
        <v>31787.97</v>
      </c>
      <c r="BY162" s="7">
        <f>BU162-BW162</f>
        <v>21192.040000000234</v>
      </c>
      <c r="BZ162" s="7">
        <f t="shared" si="1012"/>
        <v>10596.110000000235</v>
      </c>
      <c r="CA162" s="7">
        <f t="shared" si="1013"/>
        <v>0.18000000023675966</v>
      </c>
      <c r="CB162" s="7"/>
      <c r="CC162" s="7"/>
      <c r="CD162" s="7"/>
      <c r="CE162" s="7"/>
      <c r="CF162" s="7"/>
      <c r="CG162" s="7"/>
      <c r="CH162" s="7"/>
      <c r="CI162" s="7"/>
      <c r="CJ162" s="7"/>
      <c r="CK162" s="236">
        <v>0</v>
      </c>
      <c r="CL162" s="7">
        <v>10595.929999999998</v>
      </c>
      <c r="CM162" s="39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236">
        <v>0</v>
      </c>
    </row>
    <row r="163" spans="1:104" ht="22.5" x14ac:dyDescent="0.2">
      <c r="A163" s="6" t="str">
        <f>'[1]2021 УГРЦТ'!A166</f>
        <v>Автомобиль ГАЗ-27527 грузовой фургон цельнометалический (7 мест) VIN: X96275270K0870291</v>
      </c>
      <c r="B163" s="15" t="str">
        <f>'[1]2021 УГРЦТ'!B166</f>
        <v>000001760</v>
      </c>
      <c r="C163" t="str">
        <f>'[1]2021 УГРЦТ'!C166</f>
        <v>ПЕРЕДАЧА</v>
      </c>
      <c r="D163" t="str">
        <f>'[1]2021 УГРЦТ'!D166</f>
        <v>Транспортные средства</v>
      </c>
      <c r="E163" t="str">
        <f>'[1]2021 УГРЦТ'!E166</f>
        <v>27.03.2019</v>
      </c>
      <c r="F163" t="str">
        <f>'[1]2021 УГРЦТ'!F166</f>
        <v>Автотранспортный цех</v>
      </c>
      <c r="G163">
        <f>'[1]2021 УГРЦТ'!AC166</f>
        <v>84</v>
      </c>
      <c r="H163" s="7">
        <f>'[1]2021 УГРЦТ'!X166</f>
        <v>890058.33</v>
      </c>
      <c r="I163" s="7">
        <f>'[1]2021 УГРЦТ'!Y166</f>
        <v>349665.72</v>
      </c>
      <c r="J163" s="7">
        <f>'[1]2021 УГРЦТ'!Z166</f>
        <v>540392.61</v>
      </c>
      <c r="K163" s="8">
        <v>0</v>
      </c>
      <c r="L163" s="11">
        <v>10595.929999999998</v>
      </c>
      <c r="M163" s="11"/>
      <c r="N163" s="7">
        <f t="shared" si="825"/>
        <v>127151.15999999997</v>
      </c>
      <c r="O163" s="7">
        <f t="shared" si="828"/>
        <v>529796.67999999993</v>
      </c>
      <c r="P163" s="7">
        <f t="shared" si="997"/>
        <v>519200.74999999994</v>
      </c>
      <c r="Q163" s="7">
        <f t="shared" si="997"/>
        <v>508604.81999999995</v>
      </c>
      <c r="R163" s="7">
        <f t="shared" si="997"/>
        <v>498008.88999999996</v>
      </c>
      <c r="S163" s="7">
        <f t="shared" si="997"/>
        <v>487412.95999999996</v>
      </c>
      <c r="T163" s="7">
        <f t="shared" si="997"/>
        <v>476817.02999999997</v>
      </c>
      <c r="U163" s="7">
        <f t="shared" si="997"/>
        <v>466221.1</v>
      </c>
      <c r="V163" s="7">
        <f t="shared" si="997"/>
        <v>455625.17</v>
      </c>
      <c r="W163" s="7">
        <f t="shared" si="997"/>
        <v>445029.24</v>
      </c>
      <c r="X163" s="7">
        <f t="shared" si="997"/>
        <v>434433.31</v>
      </c>
      <c r="Y163" s="7">
        <f t="shared" si="997"/>
        <v>423837.38</v>
      </c>
      <c r="Z163" s="7">
        <f t="shared" si="997"/>
        <v>413241.45</v>
      </c>
      <c r="AA163" s="7"/>
      <c r="AB163" s="7"/>
      <c r="AC163" s="7">
        <f t="shared" si="829"/>
        <v>127151.15999999997</v>
      </c>
      <c r="AD163" s="7">
        <f t="shared" si="830"/>
        <v>402645.52</v>
      </c>
      <c r="AE163" s="7">
        <f t="shared" si="998"/>
        <v>392049.59</v>
      </c>
      <c r="AF163" s="7">
        <f t="shared" si="998"/>
        <v>381453.66000000003</v>
      </c>
      <c r="AG163" s="7">
        <f t="shared" si="998"/>
        <v>370857.73000000004</v>
      </c>
      <c r="AH163" s="7">
        <f t="shared" si="998"/>
        <v>360261.80000000005</v>
      </c>
      <c r="AI163" s="7">
        <f t="shared" si="998"/>
        <v>349665.87000000005</v>
      </c>
      <c r="AJ163" s="7">
        <f t="shared" si="998"/>
        <v>339069.94000000006</v>
      </c>
      <c r="AK163" s="7">
        <f t="shared" si="998"/>
        <v>328474.01000000007</v>
      </c>
      <c r="AL163" s="7">
        <f t="shared" si="998"/>
        <v>317878.08000000007</v>
      </c>
      <c r="AM163" s="7">
        <f t="shared" si="998"/>
        <v>307282.15000000008</v>
      </c>
      <c r="AN163" s="7">
        <f t="shared" si="998"/>
        <v>296686.22000000009</v>
      </c>
      <c r="AO163" s="7">
        <f t="shared" si="998"/>
        <v>286090.2900000001</v>
      </c>
      <c r="AP163" s="222"/>
      <c r="AQ163" s="7">
        <v>10595.929999999998</v>
      </c>
      <c r="AR163" s="7">
        <f t="shared" si="831"/>
        <v>10595.929999999993</v>
      </c>
      <c r="AS163" s="7">
        <f t="shared" si="832"/>
        <v>0</v>
      </c>
      <c r="AT163" s="7">
        <f t="shared" si="999"/>
        <v>127151.15999999997</v>
      </c>
      <c r="AU163" s="7">
        <f>AO163-$L163</f>
        <v>275494.3600000001</v>
      </c>
      <c r="AV163" s="7">
        <f t="shared" si="1000"/>
        <v>264898.43000000011</v>
      </c>
      <c r="AW163" s="7">
        <f t="shared" si="1000"/>
        <v>254302.50000000012</v>
      </c>
      <c r="AX163" s="7">
        <f t="shared" si="1000"/>
        <v>243706.57000000012</v>
      </c>
      <c r="AY163" s="7">
        <f t="shared" si="1000"/>
        <v>233110.64000000013</v>
      </c>
      <c r="AZ163" s="7">
        <f t="shared" si="1000"/>
        <v>222514.71000000014</v>
      </c>
      <c r="BA163" s="7">
        <f t="shared" si="1000"/>
        <v>211918.78000000014</v>
      </c>
      <c r="BB163" s="7">
        <f t="shared" si="1000"/>
        <v>201322.85000000015</v>
      </c>
      <c r="BC163" s="7">
        <f t="shared" si="1000"/>
        <v>190726.92000000016</v>
      </c>
      <c r="BD163" s="7">
        <f t="shared" si="1000"/>
        <v>180130.99000000017</v>
      </c>
      <c r="BE163" s="7">
        <f t="shared" si="1000"/>
        <v>169535.06000000017</v>
      </c>
      <c r="BF163" s="7">
        <f t="shared" si="1000"/>
        <v>158939.13000000018</v>
      </c>
      <c r="BG163" s="236">
        <f t="shared" si="827"/>
        <v>0</v>
      </c>
      <c r="BH163" s="7">
        <v>10595.929999999998</v>
      </c>
      <c r="BI163" s="39">
        <f>BH163*12</f>
        <v>127151.15999999997</v>
      </c>
      <c r="BJ163" s="7">
        <f>BF163-BH163</f>
        <v>148343.20000000019</v>
      </c>
      <c r="BK163" s="7">
        <f t="shared" si="1001"/>
        <v>137747.27000000019</v>
      </c>
      <c r="BL163" s="7">
        <f t="shared" si="1002"/>
        <v>127151.3400000002</v>
      </c>
      <c r="BM163" s="7">
        <f t="shared" si="1003"/>
        <v>116555.41000000021</v>
      </c>
      <c r="BN163" s="7">
        <f t="shared" si="1004"/>
        <v>105959.48000000021</v>
      </c>
      <c r="BO163" s="7">
        <f t="shared" si="1005"/>
        <v>95363.550000000221</v>
      </c>
      <c r="BP163" s="7">
        <f t="shared" si="1006"/>
        <v>84767.620000000228</v>
      </c>
      <c r="BQ163" s="7">
        <f t="shared" si="1007"/>
        <v>74171.690000000235</v>
      </c>
      <c r="BR163" s="7">
        <f t="shared" si="1008"/>
        <v>63575.760000000235</v>
      </c>
      <c r="BS163" s="7">
        <f t="shared" si="1009"/>
        <v>52979.830000000235</v>
      </c>
      <c r="BT163" s="7">
        <f t="shared" si="1010"/>
        <v>42383.900000000234</v>
      </c>
      <c r="BU163" s="7">
        <f t="shared" si="1011"/>
        <v>31787.970000000234</v>
      </c>
      <c r="BV163" s="236">
        <v>0</v>
      </c>
      <c r="BW163" s="7">
        <v>10595.929999999998</v>
      </c>
      <c r="BX163" s="39">
        <v>31787.97</v>
      </c>
      <c r="BY163" s="7">
        <f>BU163-BW163</f>
        <v>21192.040000000234</v>
      </c>
      <c r="BZ163" s="7">
        <f t="shared" si="1012"/>
        <v>10596.110000000235</v>
      </c>
      <c r="CA163" s="7">
        <f t="shared" si="1013"/>
        <v>0.18000000023675966</v>
      </c>
      <c r="CB163" s="7"/>
      <c r="CC163" s="7"/>
      <c r="CD163" s="7"/>
      <c r="CE163" s="7"/>
      <c r="CF163" s="7"/>
      <c r="CG163" s="7"/>
      <c r="CH163" s="7"/>
      <c r="CI163" s="7"/>
      <c r="CJ163" s="7"/>
      <c r="CK163" s="236">
        <v>0</v>
      </c>
      <c r="CL163" s="7">
        <v>10595.929999999998</v>
      </c>
      <c r="CM163" s="39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236">
        <v>0</v>
      </c>
    </row>
    <row r="164" spans="1:104" ht="22.5" x14ac:dyDescent="0.2">
      <c r="A164" s="6" t="str">
        <f>'[1]2021 УГРЦТ'!A167</f>
        <v>Автомобиль ГАЗ-27527 грузовой фургон цельнометалический (7 мест) VIN: X96275270K0870721</v>
      </c>
      <c r="B164" s="15" t="str">
        <f>'[1]2021 УГРЦТ'!B167</f>
        <v>000001759</v>
      </c>
      <c r="C164" t="str">
        <f>'[1]2021 УГРЦТ'!C167</f>
        <v>ПЕРЕДАЧА</v>
      </c>
      <c r="D164" t="str">
        <f>'[1]2021 УГРЦТ'!D167</f>
        <v>Транспортные средства</v>
      </c>
      <c r="E164" t="str">
        <f>'[1]2021 УГРЦТ'!E167</f>
        <v>27.03.2019</v>
      </c>
      <c r="F164" t="str">
        <f>'[1]2021 УГРЦТ'!F167</f>
        <v>Автотранспортный цех</v>
      </c>
      <c r="G164">
        <f>'[1]2021 УГРЦТ'!AC167</f>
        <v>84</v>
      </c>
      <c r="H164" s="7">
        <f>'[1]2021 УГРЦТ'!X167</f>
        <v>890058.33</v>
      </c>
      <c r="I164" s="7">
        <f>'[1]2021 УГРЦТ'!Y167</f>
        <v>349665.72</v>
      </c>
      <c r="J164" s="7">
        <f>'[1]2021 УГРЦТ'!Z167</f>
        <v>540392.61</v>
      </c>
      <c r="K164" s="8">
        <v>0</v>
      </c>
      <c r="L164" s="11">
        <v>10595.929999999998</v>
      </c>
      <c r="M164" s="11"/>
      <c r="N164" s="7">
        <f t="shared" si="825"/>
        <v>127151.15999999997</v>
      </c>
      <c r="O164" s="7">
        <f t="shared" si="828"/>
        <v>529796.67999999993</v>
      </c>
      <c r="P164" s="7">
        <f t="shared" si="997"/>
        <v>519200.74999999994</v>
      </c>
      <c r="Q164" s="7">
        <f t="shared" si="997"/>
        <v>508604.81999999995</v>
      </c>
      <c r="R164" s="7">
        <f t="shared" si="997"/>
        <v>498008.88999999996</v>
      </c>
      <c r="S164" s="7">
        <f t="shared" si="997"/>
        <v>487412.95999999996</v>
      </c>
      <c r="T164" s="7">
        <f t="shared" si="997"/>
        <v>476817.02999999997</v>
      </c>
      <c r="U164" s="7">
        <f t="shared" si="997"/>
        <v>466221.1</v>
      </c>
      <c r="V164" s="7">
        <f t="shared" si="997"/>
        <v>455625.17</v>
      </c>
      <c r="W164" s="7">
        <f t="shared" si="997"/>
        <v>445029.24</v>
      </c>
      <c r="X164" s="7">
        <f t="shared" si="997"/>
        <v>434433.31</v>
      </c>
      <c r="Y164" s="7">
        <f t="shared" si="997"/>
        <v>423837.38</v>
      </c>
      <c r="Z164" s="7">
        <f t="shared" si="997"/>
        <v>413241.45</v>
      </c>
      <c r="AA164" s="7"/>
      <c r="AB164" s="7"/>
      <c r="AC164" s="7">
        <f t="shared" si="829"/>
        <v>127151.15999999997</v>
      </c>
      <c r="AD164" s="7">
        <f t="shared" si="830"/>
        <v>402645.52</v>
      </c>
      <c r="AE164" s="7">
        <f t="shared" si="998"/>
        <v>392049.59</v>
      </c>
      <c r="AF164" s="7">
        <f t="shared" si="998"/>
        <v>381453.66000000003</v>
      </c>
      <c r="AG164" s="7">
        <f t="shared" si="998"/>
        <v>370857.73000000004</v>
      </c>
      <c r="AH164" s="7">
        <f t="shared" si="998"/>
        <v>360261.80000000005</v>
      </c>
      <c r="AI164" s="7">
        <f t="shared" si="998"/>
        <v>349665.87000000005</v>
      </c>
      <c r="AJ164" s="7">
        <f t="shared" si="998"/>
        <v>339069.94000000006</v>
      </c>
      <c r="AK164" s="7">
        <f t="shared" si="998"/>
        <v>328474.01000000007</v>
      </c>
      <c r="AL164" s="7">
        <f t="shared" si="998"/>
        <v>317878.08000000007</v>
      </c>
      <c r="AM164" s="7">
        <f t="shared" si="998"/>
        <v>307282.15000000008</v>
      </c>
      <c r="AN164" s="7">
        <f t="shared" si="998"/>
        <v>296686.22000000009</v>
      </c>
      <c r="AO164" s="7">
        <f t="shared" si="998"/>
        <v>286090.2900000001</v>
      </c>
      <c r="AP164" s="222"/>
      <c r="AQ164" s="7">
        <v>10595.929999999998</v>
      </c>
      <c r="AR164" s="7">
        <f t="shared" si="831"/>
        <v>10595.929999999993</v>
      </c>
      <c r="AS164" s="7">
        <f t="shared" si="832"/>
        <v>0</v>
      </c>
      <c r="AT164" s="7">
        <f t="shared" si="999"/>
        <v>127151.15999999997</v>
      </c>
      <c r="AU164" s="7">
        <f>AO164-$L164</f>
        <v>275494.3600000001</v>
      </c>
      <c r="AV164" s="7">
        <f t="shared" si="1000"/>
        <v>264898.43000000011</v>
      </c>
      <c r="AW164" s="7">
        <f t="shared" si="1000"/>
        <v>254302.50000000012</v>
      </c>
      <c r="AX164" s="7">
        <f t="shared" si="1000"/>
        <v>243706.57000000012</v>
      </c>
      <c r="AY164" s="7">
        <f t="shared" si="1000"/>
        <v>233110.64000000013</v>
      </c>
      <c r="AZ164" s="7">
        <f t="shared" si="1000"/>
        <v>222514.71000000014</v>
      </c>
      <c r="BA164" s="7">
        <f t="shared" si="1000"/>
        <v>211918.78000000014</v>
      </c>
      <c r="BB164" s="7">
        <f t="shared" si="1000"/>
        <v>201322.85000000015</v>
      </c>
      <c r="BC164" s="7">
        <f t="shared" si="1000"/>
        <v>190726.92000000016</v>
      </c>
      <c r="BD164" s="7">
        <f t="shared" si="1000"/>
        <v>180130.99000000017</v>
      </c>
      <c r="BE164" s="7">
        <f t="shared" si="1000"/>
        <v>169535.06000000017</v>
      </c>
      <c r="BF164" s="7">
        <f t="shared" si="1000"/>
        <v>158939.13000000018</v>
      </c>
      <c r="BG164" s="236">
        <f t="shared" si="827"/>
        <v>0</v>
      </c>
      <c r="BH164" s="7">
        <v>10595.929999999998</v>
      </c>
      <c r="BI164" s="39">
        <f>BH164*12</f>
        <v>127151.15999999997</v>
      </c>
      <c r="BJ164" s="7">
        <f>BF164-BH164</f>
        <v>148343.20000000019</v>
      </c>
      <c r="BK164" s="7">
        <f t="shared" si="1001"/>
        <v>137747.27000000019</v>
      </c>
      <c r="BL164" s="7">
        <f t="shared" si="1002"/>
        <v>127151.3400000002</v>
      </c>
      <c r="BM164" s="7">
        <f t="shared" si="1003"/>
        <v>116555.41000000021</v>
      </c>
      <c r="BN164" s="7">
        <f t="shared" si="1004"/>
        <v>105959.48000000021</v>
      </c>
      <c r="BO164" s="7">
        <f t="shared" si="1005"/>
        <v>95363.550000000221</v>
      </c>
      <c r="BP164" s="7">
        <f t="shared" si="1006"/>
        <v>84767.620000000228</v>
      </c>
      <c r="BQ164" s="7">
        <f t="shared" si="1007"/>
        <v>74171.690000000235</v>
      </c>
      <c r="BR164" s="7">
        <f t="shared" si="1008"/>
        <v>63575.760000000235</v>
      </c>
      <c r="BS164" s="7">
        <f t="shared" si="1009"/>
        <v>52979.830000000235</v>
      </c>
      <c r="BT164" s="7">
        <f t="shared" si="1010"/>
        <v>42383.900000000234</v>
      </c>
      <c r="BU164" s="7">
        <f t="shared" si="1011"/>
        <v>31787.970000000234</v>
      </c>
      <c r="BV164" s="236">
        <v>0</v>
      </c>
      <c r="BW164" s="7">
        <v>10595.929999999998</v>
      </c>
      <c r="BX164" s="39">
        <v>31787.97</v>
      </c>
      <c r="BY164" s="7">
        <f>BU164-BW164</f>
        <v>21192.040000000234</v>
      </c>
      <c r="BZ164" s="7">
        <f t="shared" si="1012"/>
        <v>10596.110000000235</v>
      </c>
      <c r="CA164" s="7">
        <f t="shared" si="1013"/>
        <v>0.18000000023675966</v>
      </c>
      <c r="CB164" s="7"/>
      <c r="CC164" s="7"/>
      <c r="CD164" s="7"/>
      <c r="CE164" s="7"/>
      <c r="CF164" s="7"/>
      <c r="CG164" s="7"/>
      <c r="CH164" s="7"/>
      <c r="CI164" s="7"/>
      <c r="CJ164" s="7"/>
      <c r="CK164" s="236">
        <v>0</v>
      </c>
      <c r="CL164" s="7">
        <v>10595.929999999998</v>
      </c>
      <c r="CM164" s="39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236">
        <v>0</v>
      </c>
    </row>
    <row r="165" spans="1:104" x14ac:dyDescent="0.2">
      <c r="A165" s="6" t="str">
        <f>'[1]2021 УГРЦТ'!A168</f>
        <v>Автоподъемник АП-17А-07 2004г</v>
      </c>
      <c r="B165" t="str">
        <f>'[1]2021 УГРЦТ'!B168</f>
        <v>00000750</v>
      </c>
      <c r="C165" t="str">
        <f>'[1]2021 УГРЦТ'!C168</f>
        <v>ПЕРЕДАЧА</v>
      </c>
      <c r="D165" t="str">
        <f>'[1]2021 УГРЦТ'!D168</f>
        <v>Транспортные средства</v>
      </c>
      <c r="E165" t="str">
        <f>'[1]2021 УГРЦТ'!E168</f>
        <v>31.07.2004</v>
      </c>
      <c r="F165" t="str">
        <f>'[1]2021 УГРЦТ'!F168</f>
        <v>Автотранспортный цех</v>
      </c>
      <c r="G165">
        <f>'[1]2021 УГРЦТ'!AC168</f>
        <v>120</v>
      </c>
      <c r="H165" s="7">
        <v>0</v>
      </c>
      <c r="I165" s="7">
        <v>0</v>
      </c>
      <c r="J165" s="7">
        <v>0</v>
      </c>
      <c r="K165" s="8">
        <v>0</v>
      </c>
      <c r="L165" s="14" t="s">
        <v>18</v>
      </c>
      <c r="M165" s="14"/>
      <c r="N165" s="7">
        <v>0</v>
      </c>
      <c r="O165" s="7">
        <f>J165-0</f>
        <v>0</v>
      </c>
      <c r="P165" s="7">
        <v>0</v>
      </c>
      <c r="Q165" s="7">
        <f t="shared" ref="Q165:Z166" si="1034">N165-0</f>
        <v>0</v>
      </c>
      <c r="R165" s="7">
        <f t="shared" si="1034"/>
        <v>0</v>
      </c>
      <c r="S165" s="7">
        <f t="shared" si="1034"/>
        <v>0</v>
      </c>
      <c r="T165" s="7">
        <f t="shared" si="1034"/>
        <v>0</v>
      </c>
      <c r="U165" s="7">
        <f t="shared" si="1034"/>
        <v>0</v>
      </c>
      <c r="V165" s="7">
        <f t="shared" si="1034"/>
        <v>0</v>
      </c>
      <c r="W165" s="7">
        <f t="shared" si="1034"/>
        <v>0</v>
      </c>
      <c r="X165" s="7">
        <f t="shared" si="1034"/>
        <v>0</v>
      </c>
      <c r="Y165" s="7">
        <f t="shared" si="1034"/>
        <v>0</v>
      </c>
      <c r="Z165" s="7">
        <f t="shared" si="1034"/>
        <v>0</v>
      </c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222"/>
      <c r="AQ165" s="7">
        <v>0</v>
      </c>
      <c r="AR165" s="7">
        <f t="shared" si="831"/>
        <v>0</v>
      </c>
      <c r="AS165" s="7">
        <f t="shared" si="832"/>
        <v>0</v>
      </c>
      <c r="BG165" s="236">
        <f t="shared" si="827"/>
        <v>0</v>
      </c>
      <c r="BH165" s="7">
        <v>0</v>
      </c>
      <c r="BV165" s="236">
        <f>IF(Z165&lt;1,0,SUM(BJ165:BU165,BF165)/13*$BG$1)</f>
        <v>0</v>
      </c>
      <c r="BW165" s="7">
        <v>0</v>
      </c>
      <c r="CK165" s="236">
        <f>IF(AO165&lt;1,0,SUM(BY165:CJ165,BU165)/13*$BG$1)</f>
        <v>0</v>
      </c>
      <c r="CL165" s="7">
        <v>0</v>
      </c>
      <c r="CZ165" s="236">
        <f>IF(BF165&lt;1,0,SUM(CN165:CY165,CJ165)/13*$BG$1)</f>
        <v>0</v>
      </c>
    </row>
    <row r="166" spans="1:104" x14ac:dyDescent="0.2">
      <c r="A166" s="6" t="str">
        <f>'[1]2021 УГРЦТ'!A169</f>
        <v>АП АГП-18 АМ 0451/61  1998г.</v>
      </c>
      <c r="B166" t="str">
        <f>'[1]2021 УГРЦТ'!B169</f>
        <v>00000028</v>
      </c>
      <c r="C166" t="str">
        <f>'[1]2021 УГРЦТ'!C169</f>
        <v>ПЕРЕДАЧА</v>
      </c>
      <c r="D166" t="str">
        <f>'[1]2021 УГРЦТ'!D169</f>
        <v>Транспортные средства</v>
      </c>
      <c r="E166" t="str">
        <f>'[1]2021 УГРЦТ'!E169</f>
        <v>30.09.1998</v>
      </c>
      <c r="F166" t="str">
        <f>'[1]2021 УГРЦТ'!F169</f>
        <v>Автотранспортный цех</v>
      </c>
      <c r="G166">
        <f>'[1]2021 УГРЦТ'!AC169</f>
        <v>84</v>
      </c>
      <c r="H166" s="7">
        <v>0</v>
      </c>
      <c r="I166" s="7">
        <v>0</v>
      </c>
      <c r="J166" s="7">
        <v>0</v>
      </c>
      <c r="K166" s="8">
        <v>0</v>
      </c>
      <c r="L166" s="14" t="s">
        <v>18</v>
      </c>
      <c r="M166" s="14"/>
      <c r="N166" s="7">
        <v>0</v>
      </c>
      <c r="O166" s="7">
        <f>J166-0</f>
        <v>0</v>
      </c>
      <c r="P166" s="7">
        <v>0</v>
      </c>
      <c r="Q166" s="7">
        <f t="shared" si="1034"/>
        <v>0</v>
      </c>
      <c r="R166" s="7">
        <f t="shared" si="1034"/>
        <v>0</v>
      </c>
      <c r="S166" s="7">
        <f t="shared" si="1034"/>
        <v>0</v>
      </c>
      <c r="T166" s="7">
        <f t="shared" si="1034"/>
        <v>0</v>
      </c>
      <c r="U166" s="7">
        <f t="shared" si="1034"/>
        <v>0</v>
      </c>
      <c r="V166" s="7">
        <f t="shared" si="1034"/>
        <v>0</v>
      </c>
      <c r="W166" s="7">
        <f t="shared" si="1034"/>
        <v>0</v>
      </c>
      <c r="X166" s="7">
        <f t="shared" si="1034"/>
        <v>0</v>
      </c>
      <c r="Y166" s="7">
        <f t="shared" si="1034"/>
        <v>0</v>
      </c>
      <c r="Z166" s="7">
        <f t="shared" si="1034"/>
        <v>0</v>
      </c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222"/>
      <c r="AQ166" s="7">
        <v>0</v>
      </c>
      <c r="AR166" s="7">
        <f t="shared" si="831"/>
        <v>0</v>
      </c>
      <c r="AS166" s="7">
        <f t="shared" si="832"/>
        <v>0</v>
      </c>
      <c r="BG166" s="236">
        <f t="shared" si="827"/>
        <v>0</v>
      </c>
      <c r="BH166" s="7">
        <v>0</v>
      </c>
      <c r="BV166" s="236">
        <f>IF(Z166&lt;1,0,SUM(BJ166:BU166,BF166)/13*$BG$1)</f>
        <v>0</v>
      </c>
      <c r="BW166" s="7">
        <v>0</v>
      </c>
      <c r="CK166" s="236">
        <f>IF(AO166&lt;1,0,SUM(BY166:CJ166,BU166)/13*$BG$1)</f>
        <v>0</v>
      </c>
      <c r="CL166" s="7">
        <v>0</v>
      </c>
      <c r="CZ166" s="236">
        <f>IF(BF166&lt;1,0,SUM(CN166:CY166,CJ166)/13*$BG$1)</f>
        <v>0</v>
      </c>
    </row>
    <row r="167" spans="1:104" x14ac:dyDescent="0.2">
      <c r="A167" s="6" t="str">
        <f>'[1]2021 УГРЦТ'!A170</f>
        <v>Блок МПЗ SEPAM 1000+ S42 зав.19132637</v>
      </c>
      <c r="B167" t="str">
        <f>'[1]2021 УГРЦТ'!B170</f>
        <v>000001776</v>
      </c>
      <c r="C167" t="str">
        <f>'[1]2021 УГРЦТ'!C170</f>
        <v>ПЕРЕДАЧА</v>
      </c>
      <c r="D167" t="str">
        <f>'[1]2021 УГРЦТ'!D170</f>
        <v>Машины и оборудование (кроме офисного)</v>
      </c>
      <c r="E167" t="str">
        <f>'[1]2021 УГРЦТ'!E170</f>
        <v>30.07.2019</v>
      </c>
      <c r="F167" t="str">
        <f>'[1]2021 УГРЦТ'!F170</f>
        <v>Цех электрических сетей</v>
      </c>
      <c r="G167">
        <f>'[1]2021 УГРЦТ'!AC170</f>
        <v>240</v>
      </c>
      <c r="H167" s="7">
        <f>'[1]2021 УГРЦТ'!X170</f>
        <v>227204.17</v>
      </c>
      <c r="I167" s="7">
        <f>'[1]2021 УГРЦТ'!Y170</f>
        <v>27453.768500000002</v>
      </c>
      <c r="J167" s="7">
        <f>'[1]2021 УГРЦТ'!Z170</f>
        <v>199750.40150000001</v>
      </c>
      <c r="K167" s="8">
        <v>0</v>
      </c>
      <c r="L167" s="7">
        <v>946.68000000000018</v>
      </c>
      <c r="M167" s="7"/>
      <c r="N167" s="7">
        <f t="shared" ref="N167:N230" si="1035">L167*12</f>
        <v>11360.160000000002</v>
      </c>
      <c r="O167" s="7">
        <f t="shared" si="828"/>
        <v>198803.72150000001</v>
      </c>
      <c r="P167" s="7">
        <f t="shared" ref="P167:Z182" si="1036">O167-$L167</f>
        <v>197857.04150000002</v>
      </c>
      <c r="Q167" s="7">
        <f t="shared" si="1036"/>
        <v>196910.36150000003</v>
      </c>
      <c r="R167" s="7">
        <f t="shared" si="1036"/>
        <v>195963.68150000004</v>
      </c>
      <c r="S167" s="7">
        <f t="shared" si="1036"/>
        <v>195017.00150000004</v>
      </c>
      <c r="T167" s="7">
        <f t="shared" si="1036"/>
        <v>194070.32150000005</v>
      </c>
      <c r="U167" s="7">
        <f t="shared" si="1036"/>
        <v>193123.64150000006</v>
      </c>
      <c r="V167" s="7">
        <f t="shared" si="1036"/>
        <v>192176.96150000006</v>
      </c>
      <c r="W167" s="7">
        <f t="shared" si="1036"/>
        <v>191230.28150000007</v>
      </c>
      <c r="X167" s="7">
        <f t="shared" si="1036"/>
        <v>190283.60150000008</v>
      </c>
      <c r="Y167" s="7">
        <f t="shared" si="1036"/>
        <v>189336.92150000008</v>
      </c>
      <c r="Z167" s="7">
        <f t="shared" si="1036"/>
        <v>188390.24150000009</v>
      </c>
      <c r="AA167" s="7"/>
      <c r="AB167" s="7"/>
      <c r="AC167" s="7">
        <f t="shared" si="829"/>
        <v>11360.160000000002</v>
      </c>
      <c r="AD167" s="7">
        <f t="shared" si="830"/>
        <v>187443.5615000001</v>
      </c>
      <c r="AE167" s="7">
        <f t="shared" ref="AE167:AO182" si="1037">AD167-$L167</f>
        <v>186496.88150000011</v>
      </c>
      <c r="AF167" s="7">
        <f t="shared" si="1037"/>
        <v>185550.20150000011</v>
      </c>
      <c r="AG167" s="7">
        <f t="shared" si="1037"/>
        <v>184603.52150000012</v>
      </c>
      <c r="AH167" s="7">
        <f t="shared" si="1037"/>
        <v>183656.84150000013</v>
      </c>
      <c r="AI167" s="7">
        <f t="shared" si="1037"/>
        <v>182710.16150000013</v>
      </c>
      <c r="AJ167" s="7">
        <f t="shared" si="1037"/>
        <v>181763.48150000014</v>
      </c>
      <c r="AK167" s="7">
        <f t="shared" si="1037"/>
        <v>180816.80150000015</v>
      </c>
      <c r="AL167" s="7">
        <f t="shared" si="1037"/>
        <v>179870.12150000015</v>
      </c>
      <c r="AM167" s="7">
        <f t="shared" si="1037"/>
        <v>178923.44150000016</v>
      </c>
      <c r="AN167" s="7">
        <f t="shared" si="1037"/>
        <v>177976.76150000017</v>
      </c>
      <c r="AO167" s="7">
        <f t="shared" si="1037"/>
        <v>177030.08150000017</v>
      </c>
      <c r="AP167" s="222"/>
      <c r="AQ167" s="7">
        <v>946.68000000000018</v>
      </c>
      <c r="AR167" s="7">
        <f t="shared" si="831"/>
        <v>946.67999999999302</v>
      </c>
      <c r="AS167" s="7">
        <f t="shared" si="832"/>
        <v>-7.1622707764618099E-12</v>
      </c>
      <c r="AT167" s="7">
        <f t="shared" ref="AT167:AT189" si="1038">L167*12</f>
        <v>11360.160000000002</v>
      </c>
      <c r="AU167" s="7">
        <f t="shared" ref="AU167:AU189" si="1039">AO167-$L167</f>
        <v>176083.40150000018</v>
      </c>
      <c r="AV167" s="7">
        <f t="shared" ref="AV167:BF182" si="1040">AU167-$L167</f>
        <v>175136.72150000019</v>
      </c>
      <c r="AW167" s="7">
        <f t="shared" si="1040"/>
        <v>174190.0415000002</v>
      </c>
      <c r="AX167" s="7">
        <f t="shared" si="1040"/>
        <v>173243.3615000002</v>
      </c>
      <c r="AY167" s="7">
        <f t="shared" si="1040"/>
        <v>172296.68150000021</v>
      </c>
      <c r="AZ167" s="7">
        <f t="shared" si="1040"/>
        <v>171350.00150000022</v>
      </c>
      <c r="BA167" s="7">
        <f t="shared" si="1040"/>
        <v>170403.32150000022</v>
      </c>
      <c r="BB167" s="7">
        <f t="shared" si="1040"/>
        <v>169456.64150000023</v>
      </c>
      <c r="BC167" s="7">
        <f t="shared" si="1040"/>
        <v>168509.96150000024</v>
      </c>
      <c r="BD167" s="7">
        <f t="shared" si="1040"/>
        <v>167563.28150000024</v>
      </c>
      <c r="BE167" s="7">
        <f t="shared" si="1040"/>
        <v>166616.60150000025</v>
      </c>
      <c r="BF167" s="7">
        <f t="shared" si="1040"/>
        <v>165669.92150000026</v>
      </c>
      <c r="BG167" s="236">
        <f t="shared" si="827"/>
        <v>0</v>
      </c>
      <c r="BH167" s="7">
        <v>946.68000000000018</v>
      </c>
      <c r="BI167" s="39">
        <f t="shared" ref="BI167:BI172" si="1041">BH167*12</f>
        <v>11360.160000000002</v>
      </c>
      <c r="BJ167" s="7">
        <f t="shared" ref="BJ167:BJ189" si="1042">BF167-BH167</f>
        <v>164723.24150000027</v>
      </c>
      <c r="BK167" s="7">
        <f t="shared" ref="BK167:BK189" si="1043">BJ167-$L167</f>
        <v>163776.56150000027</v>
      </c>
      <c r="BL167" s="7">
        <f t="shared" ref="BL167:BL189" si="1044">BK167-$L167</f>
        <v>162829.88150000028</v>
      </c>
      <c r="BM167" s="7">
        <f t="shared" ref="BM167:BM189" si="1045">BL167-$L167</f>
        <v>161883.20150000029</v>
      </c>
      <c r="BN167" s="7">
        <f t="shared" ref="BN167:BN189" si="1046">BM167-$L167</f>
        <v>160936.52150000029</v>
      </c>
      <c r="BO167" s="7">
        <f t="shared" ref="BO167:BO189" si="1047">BN167-$L167</f>
        <v>159989.8415000003</v>
      </c>
      <c r="BP167" s="7">
        <f t="shared" ref="BP167:BP189" si="1048">BO167-$L167</f>
        <v>159043.16150000031</v>
      </c>
      <c r="BQ167" s="7">
        <f t="shared" ref="BQ167:BQ189" si="1049">BP167-$L167</f>
        <v>158096.48150000031</v>
      </c>
      <c r="BR167" s="7">
        <f t="shared" ref="BR167:BR189" si="1050">BQ167-$L167</f>
        <v>157149.80150000032</v>
      </c>
      <c r="BS167" s="7">
        <f t="shared" ref="BS167:BS189" si="1051">BR167-$L167</f>
        <v>156203.12150000033</v>
      </c>
      <c r="BT167" s="7">
        <f t="shared" ref="BT167:BT189" si="1052">BS167-$L167</f>
        <v>155256.44150000034</v>
      </c>
      <c r="BU167" s="7">
        <f t="shared" ref="BU167:BU189" si="1053">BT167-$L167</f>
        <v>154309.76150000034</v>
      </c>
      <c r="BV167" s="236">
        <v>0</v>
      </c>
      <c r="BW167" s="7">
        <v>946.68000000000018</v>
      </c>
      <c r="BX167" s="39">
        <f>BW167*12</f>
        <v>11360.160000000002</v>
      </c>
      <c r="BY167" s="7">
        <f t="shared" ref="BY167:BY172" si="1054">BU167-BW167</f>
        <v>153363.08150000035</v>
      </c>
      <c r="BZ167" s="7">
        <f t="shared" ref="BZ167:BZ189" si="1055">BY167-$L167</f>
        <v>152416.40150000036</v>
      </c>
      <c r="CA167" s="7">
        <f t="shared" ref="CA167:CA189" si="1056">BZ167-$L167</f>
        <v>151469.72150000036</v>
      </c>
      <c r="CB167" s="7">
        <f t="shared" ref="CB167:CB189" si="1057">CA167-$L167</f>
        <v>150523.04150000037</v>
      </c>
      <c r="CC167" s="7">
        <f t="shared" ref="CC167:CC172" si="1058">CB167-$L167</f>
        <v>149576.36150000038</v>
      </c>
      <c r="CD167" s="7">
        <f t="shared" ref="CD167:CD172" si="1059">CC167-$L167</f>
        <v>148629.68150000038</v>
      </c>
      <c r="CE167" s="7">
        <f t="shared" ref="CE167:CE172" si="1060">CD167-$L167</f>
        <v>147683.00150000039</v>
      </c>
      <c r="CF167" s="7">
        <f t="shared" ref="CF167:CF172" si="1061">CE167-$L167</f>
        <v>146736.3215000004</v>
      </c>
      <c r="CG167" s="7">
        <f t="shared" ref="CG167:CG172" si="1062">CF167-$L167</f>
        <v>145789.64150000041</v>
      </c>
      <c r="CH167" s="7">
        <f t="shared" ref="CH167:CH172" si="1063">CG167-$L167</f>
        <v>144842.96150000041</v>
      </c>
      <c r="CI167" s="7">
        <f t="shared" ref="CI167:CI172" si="1064">CH167-$L167</f>
        <v>143896.28150000042</v>
      </c>
      <c r="CJ167" s="7">
        <f t="shared" ref="CJ167:CJ172" si="1065">CI167-$L167</f>
        <v>142949.60150000043</v>
      </c>
      <c r="CK167" s="236">
        <v>0</v>
      </c>
      <c r="CL167" s="7">
        <v>946.68000000000018</v>
      </c>
      <c r="CM167" s="39">
        <f>CL167*12</f>
        <v>11360.160000000002</v>
      </c>
      <c r="CN167" s="7">
        <f>CJ167-CL167</f>
        <v>142002.92150000043</v>
      </c>
      <c r="CO167" s="7">
        <f t="shared" ref="CO167:CO169" si="1066">CN167-$L167</f>
        <v>141056.24150000044</v>
      </c>
      <c r="CP167" s="7">
        <f t="shared" ref="CP167:CP169" si="1067">CO167-$L167</f>
        <v>140109.56150000045</v>
      </c>
      <c r="CQ167" s="7">
        <f t="shared" ref="CQ167:CQ169" si="1068">CP167-$L167</f>
        <v>139162.88150000045</v>
      </c>
      <c r="CR167" s="7">
        <f t="shared" ref="CR167:CR169" si="1069">CQ167-$L167</f>
        <v>138216.20150000046</v>
      </c>
      <c r="CS167" s="7">
        <f t="shared" ref="CS167:CS169" si="1070">CR167-$L167</f>
        <v>137269.52150000047</v>
      </c>
      <c r="CT167" s="7">
        <f t="shared" ref="CT167:CT169" si="1071">CS167-$L167</f>
        <v>136322.84150000048</v>
      </c>
      <c r="CU167" s="7">
        <f t="shared" ref="CU167:CU169" si="1072">CT167-$L167</f>
        <v>135376.16150000048</v>
      </c>
      <c r="CV167" s="7">
        <f t="shared" ref="CV167:CV169" si="1073">CU167-$L167</f>
        <v>134429.48150000049</v>
      </c>
      <c r="CW167" s="7">
        <f t="shared" ref="CW167:CW169" si="1074">CV167-$L167</f>
        <v>133482.8015000005</v>
      </c>
      <c r="CX167" s="7">
        <f t="shared" ref="CX167:CX169" si="1075">CW167-$L167</f>
        <v>132536.1215000005</v>
      </c>
      <c r="CY167" s="7">
        <f t="shared" ref="CY167:CY169" si="1076">CX167-$L167</f>
        <v>131589.44150000051</v>
      </c>
      <c r="CZ167" s="236">
        <v>0</v>
      </c>
    </row>
    <row r="168" spans="1:104" x14ac:dyDescent="0.2">
      <c r="A168" s="6" t="str">
        <f>'[1]2021 УГРЦТ'!A171</f>
        <v>Вводной щит ЩО-70-2-34УЗ</v>
      </c>
      <c r="B168" t="str">
        <f>'[1]2021 УГРЦТ'!B171</f>
        <v>000001488</v>
      </c>
      <c r="C168" t="str">
        <f>'[1]2021 УГРЦТ'!C171</f>
        <v>ПЕРЕДАЧА</v>
      </c>
      <c r="D168" t="str">
        <f>'[1]2021 УГРЦТ'!D171</f>
        <v>Машины и оборудование (кроме офисного)</v>
      </c>
      <c r="E168" t="str">
        <f>'[1]2021 УГРЦТ'!E171</f>
        <v>24.09.2012</v>
      </c>
      <c r="F168" t="str">
        <f>'[1]2021 УГРЦТ'!F171</f>
        <v>Цех электрических сетей</v>
      </c>
      <c r="G168">
        <f>'[1]2021 УГРЦТ'!AC171</f>
        <v>180</v>
      </c>
      <c r="H168" s="7">
        <f>'[1]2021 УГРЦТ'!X171</f>
        <v>83983.05</v>
      </c>
      <c r="I168" s="7">
        <f>'[1]2021 УГРЦТ'!Y171</f>
        <v>51789.3</v>
      </c>
      <c r="J168" s="7">
        <f>'[1]2021 УГРЦТ'!Z171</f>
        <v>32193.75</v>
      </c>
      <c r="K168" s="8">
        <v>0</v>
      </c>
      <c r="L168" s="7">
        <v>466.58</v>
      </c>
      <c r="M168" s="7"/>
      <c r="N168" s="7">
        <f t="shared" si="1035"/>
        <v>5598.96</v>
      </c>
      <c r="O168" s="7">
        <f t="shared" si="828"/>
        <v>31727.17</v>
      </c>
      <c r="P168" s="7">
        <f t="shared" si="1036"/>
        <v>31260.589999999997</v>
      </c>
      <c r="Q168" s="7">
        <f t="shared" si="1036"/>
        <v>30794.009999999995</v>
      </c>
      <c r="R168" s="7">
        <f t="shared" si="1036"/>
        <v>30327.429999999993</v>
      </c>
      <c r="S168" s="7">
        <f t="shared" si="1036"/>
        <v>29860.849999999991</v>
      </c>
      <c r="T168" s="7">
        <f t="shared" si="1036"/>
        <v>29394.26999999999</v>
      </c>
      <c r="U168" s="7">
        <f t="shared" si="1036"/>
        <v>28927.689999999988</v>
      </c>
      <c r="V168" s="7">
        <f t="shared" si="1036"/>
        <v>28461.109999999986</v>
      </c>
      <c r="W168" s="7">
        <f t="shared" si="1036"/>
        <v>27994.529999999984</v>
      </c>
      <c r="X168" s="7">
        <f t="shared" si="1036"/>
        <v>27527.949999999983</v>
      </c>
      <c r="Y168" s="7">
        <f t="shared" si="1036"/>
        <v>27061.369999999981</v>
      </c>
      <c r="Z168" s="7">
        <f t="shared" si="1036"/>
        <v>26594.789999999979</v>
      </c>
      <c r="AA168" s="7"/>
      <c r="AB168" s="7"/>
      <c r="AC168" s="7">
        <f t="shared" si="829"/>
        <v>5598.96</v>
      </c>
      <c r="AD168" s="7">
        <f t="shared" si="830"/>
        <v>26128.209999999977</v>
      </c>
      <c r="AE168" s="7">
        <f t="shared" si="1037"/>
        <v>25661.629999999976</v>
      </c>
      <c r="AF168" s="7">
        <f t="shared" si="1037"/>
        <v>25195.049999999974</v>
      </c>
      <c r="AG168" s="7">
        <f t="shared" si="1037"/>
        <v>24728.469999999972</v>
      </c>
      <c r="AH168" s="7">
        <f t="shared" si="1037"/>
        <v>24261.88999999997</v>
      </c>
      <c r="AI168" s="7">
        <f t="shared" si="1037"/>
        <v>23795.309999999969</v>
      </c>
      <c r="AJ168" s="7">
        <f t="shared" si="1037"/>
        <v>23328.729999999967</v>
      </c>
      <c r="AK168" s="7">
        <f t="shared" si="1037"/>
        <v>22862.149999999965</v>
      </c>
      <c r="AL168" s="7">
        <f t="shared" si="1037"/>
        <v>22395.569999999963</v>
      </c>
      <c r="AM168" s="7">
        <f t="shared" si="1037"/>
        <v>21928.989999999962</v>
      </c>
      <c r="AN168" s="7">
        <f t="shared" si="1037"/>
        <v>21462.40999999996</v>
      </c>
      <c r="AO168" s="7">
        <f t="shared" si="1037"/>
        <v>20995.829999999958</v>
      </c>
      <c r="AP168" s="222"/>
      <c r="AQ168" s="7">
        <v>466.58</v>
      </c>
      <c r="AR168" s="7">
        <f t="shared" si="831"/>
        <v>466.58000000000175</v>
      </c>
      <c r="AS168" s="7">
        <f t="shared" si="832"/>
        <v>1.7621459846850485E-12</v>
      </c>
      <c r="AT168" s="7">
        <f t="shared" si="1038"/>
        <v>5598.96</v>
      </c>
      <c r="AU168" s="7">
        <f t="shared" si="1039"/>
        <v>20529.249999999956</v>
      </c>
      <c r="AV168" s="7">
        <f t="shared" si="1040"/>
        <v>20062.669999999955</v>
      </c>
      <c r="AW168" s="7">
        <f t="shared" si="1040"/>
        <v>19596.089999999953</v>
      </c>
      <c r="AX168" s="7">
        <f t="shared" si="1040"/>
        <v>19129.509999999951</v>
      </c>
      <c r="AY168" s="7">
        <f t="shared" si="1040"/>
        <v>18662.929999999949</v>
      </c>
      <c r="AZ168" s="7">
        <f t="shared" si="1040"/>
        <v>18196.349999999948</v>
      </c>
      <c r="BA168" s="7">
        <f t="shared" si="1040"/>
        <v>17729.769999999946</v>
      </c>
      <c r="BB168" s="7">
        <f t="shared" si="1040"/>
        <v>17263.189999999944</v>
      </c>
      <c r="BC168" s="7">
        <f t="shared" si="1040"/>
        <v>16796.609999999942</v>
      </c>
      <c r="BD168" s="7">
        <f t="shared" si="1040"/>
        <v>16330.029999999942</v>
      </c>
      <c r="BE168" s="7">
        <f t="shared" si="1040"/>
        <v>15863.449999999943</v>
      </c>
      <c r="BF168" s="7">
        <f t="shared" si="1040"/>
        <v>15396.869999999943</v>
      </c>
      <c r="BG168" s="236">
        <f t="shared" si="827"/>
        <v>0</v>
      </c>
      <c r="BH168" s="7">
        <v>466.58</v>
      </c>
      <c r="BI168" s="39">
        <f t="shared" si="1041"/>
        <v>5598.96</v>
      </c>
      <c r="BJ168" s="7">
        <f t="shared" si="1042"/>
        <v>14930.289999999943</v>
      </c>
      <c r="BK168" s="7">
        <f t="shared" si="1043"/>
        <v>14463.709999999943</v>
      </c>
      <c r="BL168" s="7">
        <f t="shared" si="1044"/>
        <v>13997.129999999943</v>
      </c>
      <c r="BM168" s="7">
        <f t="shared" si="1045"/>
        <v>13530.549999999943</v>
      </c>
      <c r="BN168" s="7">
        <f t="shared" si="1046"/>
        <v>13063.969999999943</v>
      </c>
      <c r="BO168" s="7">
        <f t="shared" si="1047"/>
        <v>12597.389999999943</v>
      </c>
      <c r="BP168" s="7">
        <f t="shared" si="1048"/>
        <v>12130.809999999943</v>
      </c>
      <c r="BQ168" s="7">
        <f t="shared" si="1049"/>
        <v>11664.229999999943</v>
      </c>
      <c r="BR168" s="7">
        <f t="shared" si="1050"/>
        <v>11197.649999999943</v>
      </c>
      <c r="BS168" s="7">
        <f t="shared" si="1051"/>
        <v>10731.069999999943</v>
      </c>
      <c r="BT168" s="7">
        <f t="shared" si="1052"/>
        <v>10264.489999999943</v>
      </c>
      <c r="BU168" s="7">
        <f t="shared" si="1053"/>
        <v>9797.9099999999435</v>
      </c>
      <c r="BV168" s="236">
        <v>0</v>
      </c>
      <c r="BW168" s="7">
        <v>466.58</v>
      </c>
      <c r="BX168" s="39">
        <f>BW168*12</f>
        <v>5598.96</v>
      </c>
      <c r="BY168" s="7">
        <f t="shared" si="1054"/>
        <v>9331.3299999999435</v>
      </c>
      <c r="BZ168" s="7">
        <f t="shared" si="1055"/>
        <v>8864.7499999999436</v>
      </c>
      <c r="CA168" s="7">
        <f t="shared" si="1056"/>
        <v>8398.1699999999437</v>
      </c>
      <c r="CB168" s="7">
        <f t="shared" si="1057"/>
        <v>7931.5899999999438</v>
      </c>
      <c r="CC168" s="7">
        <f t="shared" si="1058"/>
        <v>7465.0099999999438</v>
      </c>
      <c r="CD168" s="7">
        <f t="shared" si="1059"/>
        <v>6998.4299999999439</v>
      </c>
      <c r="CE168" s="7">
        <f t="shared" si="1060"/>
        <v>6531.849999999944</v>
      </c>
      <c r="CF168" s="7">
        <f t="shared" si="1061"/>
        <v>6065.269999999944</v>
      </c>
      <c r="CG168" s="7">
        <f t="shared" si="1062"/>
        <v>5598.6899999999441</v>
      </c>
      <c r="CH168" s="7">
        <f t="shared" si="1063"/>
        <v>5132.1099999999442</v>
      </c>
      <c r="CI168" s="7">
        <f t="shared" si="1064"/>
        <v>4665.5299999999443</v>
      </c>
      <c r="CJ168" s="7">
        <f t="shared" si="1065"/>
        <v>4198.9499999999443</v>
      </c>
      <c r="CK168" s="236">
        <v>0</v>
      </c>
      <c r="CL168" s="7">
        <v>466.58</v>
      </c>
      <c r="CM168" s="39">
        <v>4198.95</v>
      </c>
      <c r="CN168" s="7">
        <f>CJ168-CL168</f>
        <v>3732.3699999999444</v>
      </c>
      <c r="CO168" s="7">
        <f t="shared" si="1066"/>
        <v>3265.7899999999445</v>
      </c>
      <c r="CP168" s="7">
        <f t="shared" si="1067"/>
        <v>2799.2099999999446</v>
      </c>
      <c r="CQ168" s="7">
        <f t="shared" si="1068"/>
        <v>2332.6299999999446</v>
      </c>
      <c r="CR168" s="7">
        <f t="shared" si="1069"/>
        <v>1866.0499999999447</v>
      </c>
      <c r="CS168" s="7">
        <f t="shared" si="1070"/>
        <v>1399.4699999999448</v>
      </c>
      <c r="CT168" s="7">
        <f t="shared" si="1071"/>
        <v>932.88999999994485</v>
      </c>
      <c r="CU168" s="7">
        <f t="shared" si="1072"/>
        <v>466.30999999994486</v>
      </c>
      <c r="CV168" s="7"/>
      <c r="CW168" s="7"/>
      <c r="CX168" s="7"/>
      <c r="CY168" s="7"/>
      <c r="CZ168" s="236">
        <v>0</v>
      </c>
    </row>
    <row r="169" spans="1:104" x14ac:dyDescent="0.2">
      <c r="A169" s="6" t="str">
        <f>'[1]2021 УГРЦТ'!A172</f>
        <v>Верстак 3200х700х860 (нагрузка 300кг)</v>
      </c>
      <c r="B169" t="str">
        <f>'[1]2021 УГРЦТ'!B172</f>
        <v>000001733</v>
      </c>
      <c r="C169" t="str">
        <f>'[1]2021 УГРЦТ'!C172</f>
        <v>ПЕРЕДАЧА</v>
      </c>
      <c r="D169" t="str">
        <f>'[1]2021 УГРЦТ'!D172</f>
        <v>Производственный и хозяйственный инвентарь</v>
      </c>
      <c r="E169" t="str">
        <f>'[1]2021 УГРЦТ'!E172</f>
        <v>26.06.2018</v>
      </c>
      <c r="F169" t="str">
        <f>'[1]2021 УГРЦТ'!F172</f>
        <v>Цех электрических сетей</v>
      </c>
      <c r="G169">
        <f>'[1]2021 УГРЦТ'!AC172</f>
        <v>180</v>
      </c>
      <c r="H169" s="7">
        <f>'[1]2021 УГРЦТ'!X172</f>
        <v>133833.32999999999</v>
      </c>
      <c r="I169" s="7">
        <f>'[1]2021 УГРЦТ'!Y172</f>
        <v>31227.822</v>
      </c>
      <c r="J169" s="7">
        <f>'[1]2021 УГРЦТ'!Z172</f>
        <v>102605.50799999999</v>
      </c>
      <c r="K169" s="8">
        <v>0</v>
      </c>
      <c r="L169" s="7">
        <v>743.5200000000001</v>
      </c>
      <c r="M169" s="7"/>
      <c r="N169" s="7">
        <f t="shared" si="1035"/>
        <v>8922.2400000000016</v>
      </c>
      <c r="O169" s="7">
        <f t="shared" si="828"/>
        <v>101861.98799999998</v>
      </c>
      <c r="P169" s="7">
        <f t="shared" si="1036"/>
        <v>101118.46799999998</v>
      </c>
      <c r="Q169" s="7">
        <f t="shared" si="1036"/>
        <v>100374.94799999997</v>
      </c>
      <c r="R169" s="7">
        <f t="shared" si="1036"/>
        <v>99631.427999999971</v>
      </c>
      <c r="S169" s="7">
        <f t="shared" si="1036"/>
        <v>98887.907999999967</v>
      </c>
      <c r="T169" s="7">
        <f t="shared" si="1036"/>
        <v>98144.387999999963</v>
      </c>
      <c r="U169" s="7">
        <f t="shared" si="1036"/>
        <v>97400.867999999959</v>
      </c>
      <c r="V169" s="7">
        <f t="shared" si="1036"/>
        <v>96657.347999999954</v>
      </c>
      <c r="W169" s="7">
        <f t="shared" si="1036"/>
        <v>95913.82799999995</v>
      </c>
      <c r="X169" s="7">
        <f t="shared" si="1036"/>
        <v>95170.307999999946</v>
      </c>
      <c r="Y169" s="7">
        <f t="shared" si="1036"/>
        <v>94426.787999999942</v>
      </c>
      <c r="Z169" s="7">
        <f t="shared" si="1036"/>
        <v>93683.267999999938</v>
      </c>
      <c r="AA169" s="7"/>
      <c r="AB169" s="7"/>
      <c r="AC169" s="7">
        <f t="shared" si="829"/>
        <v>8922.2400000000016</v>
      </c>
      <c r="AD169" s="7">
        <f t="shared" si="830"/>
        <v>92939.747999999934</v>
      </c>
      <c r="AE169" s="7">
        <f t="shared" si="1037"/>
        <v>92196.22799999993</v>
      </c>
      <c r="AF169" s="7">
        <f t="shared" si="1037"/>
        <v>91452.707999999926</v>
      </c>
      <c r="AG169" s="7">
        <f t="shared" si="1037"/>
        <v>90709.187999999922</v>
      </c>
      <c r="AH169" s="7">
        <f t="shared" si="1037"/>
        <v>89965.667999999918</v>
      </c>
      <c r="AI169" s="7">
        <f t="shared" si="1037"/>
        <v>89222.147999999914</v>
      </c>
      <c r="AJ169" s="7">
        <f t="shared" si="1037"/>
        <v>88478.62799999991</v>
      </c>
      <c r="AK169" s="7">
        <f t="shared" si="1037"/>
        <v>87735.107999999906</v>
      </c>
      <c r="AL169" s="7">
        <f t="shared" si="1037"/>
        <v>86991.587999999902</v>
      </c>
      <c r="AM169" s="7">
        <f t="shared" si="1037"/>
        <v>86248.067999999897</v>
      </c>
      <c r="AN169" s="7">
        <f t="shared" si="1037"/>
        <v>85504.547999999893</v>
      </c>
      <c r="AO169" s="7">
        <f t="shared" si="1037"/>
        <v>84761.027999999889</v>
      </c>
      <c r="AP169" s="222"/>
      <c r="AQ169" s="7">
        <v>743.5200000000001</v>
      </c>
      <c r="AR169" s="7">
        <f t="shared" si="831"/>
        <v>743.52000000000407</v>
      </c>
      <c r="AS169" s="7">
        <f t="shared" si="832"/>
        <v>3.979039320256561E-12</v>
      </c>
      <c r="AT169" s="7">
        <f t="shared" si="1038"/>
        <v>8922.2400000000016</v>
      </c>
      <c r="AU169" s="7">
        <f t="shared" si="1039"/>
        <v>84017.507999999885</v>
      </c>
      <c r="AV169" s="7">
        <f t="shared" si="1040"/>
        <v>83273.987999999881</v>
      </c>
      <c r="AW169" s="7">
        <f t="shared" si="1040"/>
        <v>82530.467999999877</v>
      </c>
      <c r="AX169" s="7">
        <f t="shared" si="1040"/>
        <v>81786.947999999873</v>
      </c>
      <c r="AY169" s="7">
        <f t="shared" si="1040"/>
        <v>81043.427999999869</v>
      </c>
      <c r="AZ169" s="7">
        <f t="shared" si="1040"/>
        <v>80299.907999999865</v>
      </c>
      <c r="BA169" s="7">
        <f t="shared" si="1040"/>
        <v>79556.387999999861</v>
      </c>
      <c r="BB169" s="7">
        <f t="shared" si="1040"/>
        <v>78812.867999999857</v>
      </c>
      <c r="BC169" s="7">
        <f t="shared" si="1040"/>
        <v>78069.347999999853</v>
      </c>
      <c r="BD169" s="7">
        <f t="shared" si="1040"/>
        <v>77325.827999999849</v>
      </c>
      <c r="BE169" s="7">
        <f t="shared" si="1040"/>
        <v>76582.307999999844</v>
      </c>
      <c r="BF169" s="7">
        <f t="shared" si="1040"/>
        <v>75838.78799999984</v>
      </c>
      <c r="BG169" s="236">
        <f t="shared" si="827"/>
        <v>0</v>
      </c>
      <c r="BH169" s="7">
        <v>743.5200000000001</v>
      </c>
      <c r="BI169" s="39">
        <f t="shared" si="1041"/>
        <v>8922.2400000000016</v>
      </c>
      <c r="BJ169" s="7">
        <f t="shared" si="1042"/>
        <v>75095.267999999836</v>
      </c>
      <c r="BK169" s="7">
        <f t="shared" si="1043"/>
        <v>74351.747999999832</v>
      </c>
      <c r="BL169" s="7">
        <f t="shared" si="1044"/>
        <v>73608.227999999828</v>
      </c>
      <c r="BM169" s="7">
        <f t="shared" si="1045"/>
        <v>72864.707999999824</v>
      </c>
      <c r="BN169" s="7">
        <f t="shared" si="1046"/>
        <v>72121.18799999982</v>
      </c>
      <c r="BO169" s="7">
        <f t="shared" si="1047"/>
        <v>71377.667999999816</v>
      </c>
      <c r="BP169" s="7">
        <f t="shared" si="1048"/>
        <v>70634.147999999812</v>
      </c>
      <c r="BQ169" s="7">
        <f t="shared" si="1049"/>
        <v>69890.627999999808</v>
      </c>
      <c r="BR169" s="7">
        <f t="shared" si="1050"/>
        <v>69147.107999999804</v>
      </c>
      <c r="BS169" s="7">
        <f t="shared" si="1051"/>
        <v>68403.5879999998</v>
      </c>
      <c r="BT169" s="7">
        <f t="shared" si="1052"/>
        <v>67660.067999999796</v>
      </c>
      <c r="BU169" s="7">
        <f t="shared" si="1053"/>
        <v>66916.547999999792</v>
      </c>
      <c r="BV169" s="236">
        <v>0</v>
      </c>
      <c r="BW169" s="7">
        <v>743.5200000000001</v>
      </c>
      <c r="BX169" s="39">
        <f>BW169*12</f>
        <v>8922.2400000000016</v>
      </c>
      <c r="BY169" s="7">
        <f t="shared" si="1054"/>
        <v>66173.027999999787</v>
      </c>
      <c r="BZ169" s="7">
        <f t="shared" si="1055"/>
        <v>65429.507999999791</v>
      </c>
      <c r="CA169" s="7">
        <f t="shared" si="1056"/>
        <v>64685.987999999794</v>
      </c>
      <c r="CB169" s="7">
        <f t="shared" si="1057"/>
        <v>63942.467999999797</v>
      </c>
      <c r="CC169" s="7">
        <f t="shared" si="1058"/>
        <v>63198.9479999998</v>
      </c>
      <c r="CD169" s="7">
        <f t="shared" si="1059"/>
        <v>62455.427999999803</v>
      </c>
      <c r="CE169" s="7">
        <f t="shared" si="1060"/>
        <v>61711.907999999807</v>
      </c>
      <c r="CF169" s="7">
        <f t="shared" si="1061"/>
        <v>60968.38799999981</v>
      </c>
      <c r="CG169" s="7">
        <f t="shared" si="1062"/>
        <v>60224.867999999813</v>
      </c>
      <c r="CH169" s="7">
        <f t="shared" si="1063"/>
        <v>59481.347999999816</v>
      </c>
      <c r="CI169" s="7">
        <f t="shared" si="1064"/>
        <v>58737.827999999819</v>
      </c>
      <c r="CJ169" s="7">
        <f t="shared" si="1065"/>
        <v>57994.307999999823</v>
      </c>
      <c r="CK169" s="236">
        <v>0</v>
      </c>
      <c r="CL169" s="7">
        <v>743.5200000000001</v>
      </c>
      <c r="CM169" s="39">
        <f>CL169*12</f>
        <v>8922.2400000000016</v>
      </c>
      <c r="CN169" s="7">
        <f>CJ169-CL169</f>
        <v>57250.787999999826</v>
      </c>
      <c r="CO169" s="7">
        <f t="shared" si="1066"/>
        <v>56507.267999999829</v>
      </c>
      <c r="CP169" s="7">
        <f t="shared" si="1067"/>
        <v>55763.747999999832</v>
      </c>
      <c r="CQ169" s="7">
        <f t="shared" si="1068"/>
        <v>55020.227999999835</v>
      </c>
      <c r="CR169" s="7">
        <f t="shared" si="1069"/>
        <v>54276.707999999839</v>
      </c>
      <c r="CS169" s="7">
        <f t="shared" si="1070"/>
        <v>53533.187999999842</v>
      </c>
      <c r="CT169" s="7">
        <f t="shared" si="1071"/>
        <v>52789.667999999845</v>
      </c>
      <c r="CU169" s="7">
        <f t="shared" si="1072"/>
        <v>52046.147999999848</v>
      </c>
      <c r="CV169" s="7">
        <f t="shared" si="1073"/>
        <v>51302.627999999851</v>
      </c>
      <c r="CW169" s="7">
        <f t="shared" si="1074"/>
        <v>50559.107999999855</v>
      </c>
      <c r="CX169" s="7">
        <f t="shared" si="1075"/>
        <v>49815.587999999858</v>
      </c>
      <c r="CY169" s="7">
        <f t="shared" si="1076"/>
        <v>49072.067999999861</v>
      </c>
      <c r="CZ169" s="236">
        <v>0</v>
      </c>
    </row>
    <row r="170" spans="1:104" x14ac:dyDescent="0.2">
      <c r="A170" s="6" t="str">
        <f>'[1]2021 УГРЦТ'!A173</f>
        <v>ВЛ *- Воздушные ЛЭП п Факел 1996г.  1500м</v>
      </c>
      <c r="B170" t="str">
        <f>'[1]2021 УГРЦТ'!B173</f>
        <v>00000182</v>
      </c>
      <c r="C170" t="str">
        <f>'[1]2021 УГРЦТ'!C173</f>
        <v>ПЕРЕДАЧА</v>
      </c>
      <c r="D170" t="str">
        <f>'[1]2021 УГРЦТ'!D173</f>
        <v>Сооружения</v>
      </c>
      <c r="E170" t="str">
        <f>'[1]2021 УГРЦТ'!E173</f>
        <v>01.04.1996</v>
      </c>
      <c r="F170" t="str">
        <f>'[1]2021 УГРЦТ'!F173</f>
        <v>Цех электрических сетей</v>
      </c>
      <c r="G170">
        <f>'[1]2021 УГРЦТ'!AC173</f>
        <v>300</v>
      </c>
      <c r="H170" s="7">
        <f>'[1]2021 УГРЦТ'!X173</f>
        <v>797219</v>
      </c>
      <c r="I170" s="7">
        <f>'[1]2021 УГРЦТ'!Y173</f>
        <v>665678.54</v>
      </c>
      <c r="J170" s="7">
        <f>'[1]2021 УГРЦТ'!Z173</f>
        <v>131540.45999999996</v>
      </c>
      <c r="K170" s="8">
        <v>1</v>
      </c>
      <c r="L170" s="7">
        <v>2657.4000000000005</v>
      </c>
      <c r="M170" s="7"/>
      <c r="N170" s="7">
        <f t="shared" si="1035"/>
        <v>31888.800000000007</v>
      </c>
      <c r="O170" s="7">
        <f t="shared" si="828"/>
        <v>128883.05999999997</v>
      </c>
      <c r="P170" s="7">
        <f t="shared" si="1036"/>
        <v>126225.65999999997</v>
      </c>
      <c r="Q170" s="7">
        <f t="shared" si="1036"/>
        <v>123568.25999999998</v>
      </c>
      <c r="R170" s="7">
        <f t="shared" si="1036"/>
        <v>120910.85999999999</v>
      </c>
      <c r="S170" s="7">
        <f t="shared" si="1036"/>
        <v>118253.45999999999</v>
      </c>
      <c r="T170" s="7">
        <f t="shared" si="1036"/>
        <v>115596.06</v>
      </c>
      <c r="U170" s="7">
        <f t="shared" si="1036"/>
        <v>112938.66</v>
      </c>
      <c r="V170" s="7">
        <f t="shared" si="1036"/>
        <v>110281.26000000001</v>
      </c>
      <c r="W170" s="7">
        <f t="shared" si="1036"/>
        <v>107623.86000000002</v>
      </c>
      <c r="X170" s="7">
        <f t="shared" si="1036"/>
        <v>104966.46000000002</v>
      </c>
      <c r="Y170" s="7">
        <f t="shared" si="1036"/>
        <v>102309.06000000003</v>
      </c>
      <c r="Z170" s="7">
        <f t="shared" si="1036"/>
        <v>99651.660000000033</v>
      </c>
      <c r="AA170" s="7">
        <f t="shared" ref="AA170:AA189" si="1077">SUM(O170:Z170,J170)/13*$AA$1</f>
        <v>2543.1133199999995</v>
      </c>
      <c r="AB170" s="7"/>
      <c r="AC170" s="7">
        <f t="shared" si="829"/>
        <v>31888.800000000007</v>
      </c>
      <c r="AD170" s="7">
        <f t="shared" si="830"/>
        <v>96994.260000000038</v>
      </c>
      <c r="AE170" s="7">
        <f t="shared" si="1037"/>
        <v>94336.860000000044</v>
      </c>
      <c r="AF170" s="7">
        <f t="shared" si="1037"/>
        <v>91679.46000000005</v>
      </c>
      <c r="AG170" s="7">
        <f t="shared" si="1037"/>
        <v>89022.060000000056</v>
      </c>
      <c r="AH170" s="7">
        <f t="shared" si="1037"/>
        <v>86364.660000000062</v>
      </c>
      <c r="AI170" s="7">
        <f t="shared" si="1037"/>
        <v>83707.260000000068</v>
      </c>
      <c r="AJ170" s="7">
        <f t="shared" si="1037"/>
        <v>81049.860000000073</v>
      </c>
      <c r="AK170" s="7">
        <f t="shared" si="1037"/>
        <v>78392.460000000079</v>
      </c>
      <c r="AL170" s="7">
        <f t="shared" si="1037"/>
        <v>75735.060000000085</v>
      </c>
      <c r="AM170" s="7">
        <f t="shared" si="1037"/>
        <v>73077.660000000091</v>
      </c>
      <c r="AN170" s="7">
        <f t="shared" si="1037"/>
        <v>70420.260000000097</v>
      </c>
      <c r="AO170" s="7">
        <f t="shared" si="1037"/>
        <v>67762.860000000102</v>
      </c>
      <c r="AP170" s="222">
        <f t="shared" ref="AP170:AP189" si="1078">IF(K170&lt;1,0,SUM(AD170:AO170,Z170)/13*$BG$1)</f>
        <v>1841.5597200000013</v>
      </c>
      <c r="AQ170" s="7">
        <v>2657.4000000000005</v>
      </c>
      <c r="AR170" s="7">
        <f t="shared" si="831"/>
        <v>2657.3999999999942</v>
      </c>
      <c r="AS170" s="7">
        <f t="shared" si="832"/>
        <v>-6.3664629124104977E-12</v>
      </c>
      <c r="AT170" s="7">
        <f t="shared" si="1038"/>
        <v>31888.800000000007</v>
      </c>
      <c r="AU170" s="7">
        <f t="shared" si="1039"/>
        <v>65105.460000000101</v>
      </c>
      <c r="AV170" s="7">
        <f t="shared" si="1040"/>
        <v>62448.0600000001</v>
      </c>
      <c r="AW170" s="7">
        <f t="shared" si="1040"/>
        <v>59790.660000000098</v>
      </c>
      <c r="AX170" s="7">
        <f t="shared" si="1040"/>
        <v>57133.260000000097</v>
      </c>
      <c r="AY170" s="7">
        <f t="shared" si="1040"/>
        <v>54475.860000000095</v>
      </c>
      <c r="AZ170" s="7">
        <f t="shared" si="1040"/>
        <v>51818.460000000094</v>
      </c>
      <c r="BA170" s="7">
        <f t="shared" si="1040"/>
        <v>49161.060000000092</v>
      </c>
      <c r="BB170" s="7">
        <f t="shared" si="1040"/>
        <v>46503.660000000091</v>
      </c>
      <c r="BC170" s="7">
        <f t="shared" si="1040"/>
        <v>43846.260000000089</v>
      </c>
      <c r="BD170" s="7">
        <f t="shared" si="1040"/>
        <v>41188.860000000088</v>
      </c>
      <c r="BE170" s="7">
        <f t="shared" si="1040"/>
        <v>38531.460000000086</v>
      </c>
      <c r="BF170" s="7">
        <f t="shared" si="1040"/>
        <v>35874.060000000085</v>
      </c>
      <c r="BG170" s="236">
        <f t="shared" si="827"/>
        <v>1140.0061200000018</v>
      </c>
      <c r="BH170" s="7">
        <v>2657.4000000000005</v>
      </c>
      <c r="BI170" s="39">
        <f t="shared" si="1041"/>
        <v>31888.800000000007</v>
      </c>
      <c r="BJ170" s="7">
        <f t="shared" si="1042"/>
        <v>33216.660000000084</v>
      </c>
      <c r="BK170" s="7">
        <f t="shared" si="1043"/>
        <v>30559.260000000082</v>
      </c>
      <c r="BL170" s="7">
        <f t="shared" si="1044"/>
        <v>27901.860000000081</v>
      </c>
      <c r="BM170" s="7">
        <f t="shared" si="1045"/>
        <v>25244.460000000079</v>
      </c>
      <c r="BN170" s="7">
        <f t="shared" si="1046"/>
        <v>22587.060000000078</v>
      </c>
      <c r="BO170" s="7">
        <f t="shared" si="1047"/>
        <v>19929.660000000076</v>
      </c>
      <c r="BP170" s="7">
        <f t="shared" si="1048"/>
        <v>17272.260000000075</v>
      </c>
      <c r="BQ170" s="7">
        <f t="shared" si="1049"/>
        <v>14614.860000000073</v>
      </c>
      <c r="BR170" s="7">
        <f t="shared" si="1050"/>
        <v>11957.460000000072</v>
      </c>
      <c r="BS170" s="7">
        <f t="shared" si="1051"/>
        <v>9300.0600000000704</v>
      </c>
      <c r="BT170" s="7">
        <f t="shared" si="1052"/>
        <v>6642.6600000000699</v>
      </c>
      <c r="BU170" s="7">
        <f t="shared" si="1053"/>
        <v>3985.2600000000693</v>
      </c>
      <c r="BV170" s="236">
        <f t="shared" ref="BV170:BV193" si="1079">IF(Z170&lt;1,0,SUM(BJ170:BU170,BF170)/13*$BG$1)</f>
        <v>438.45252000000164</v>
      </c>
      <c r="BW170" s="7">
        <v>2657.4000000000005</v>
      </c>
      <c r="BX170" s="39">
        <v>3985.26</v>
      </c>
      <c r="BY170" s="7">
        <f t="shared" si="1054"/>
        <v>1327.8600000000688</v>
      </c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236">
        <f t="shared" ref="CK170:CK193" si="1080">IF(AO170&lt;1,0,SUM(BY170:CJ170,BU170)/13*$BG$1)</f>
        <v>8.991433846154079</v>
      </c>
      <c r="CL170" s="7">
        <v>2657.4000000000005</v>
      </c>
      <c r="CM170" s="39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236">
        <f t="shared" ref="CZ170:CZ193" si="1081">IF(BF170&lt;1,0,SUM(CN170:CY170,CJ170)/13*$BG$1)</f>
        <v>0</v>
      </c>
    </row>
    <row r="171" spans="1:104" x14ac:dyDescent="0.2">
      <c r="A171" s="6" t="str">
        <f>'[1]2021 УГРЦТ'!A174</f>
        <v>ВЛ 0,4 кВ от ТП-7 "Столовая" фидер "Первомайская 1"</v>
      </c>
      <c r="B171" t="str">
        <f>'[1]2021 УГРЦТ'!B174</f>
        <v>000001780</v>
      </c>
      <c r="C171" t="str">
        <f>'[1]2021 УГРЦТ'!C174</f>
        <v>ПЕРЕДАЧА</v>
      </c>
      <c r="D171" t="str">
        <f>'[1]2021 УГРЦТ'!D174</f>
        <v>Сооружения</v>
      </c>
      <c r="E171" t="str">
        <f>'[1]2021 УГРЦТ'!E174</f>
        <v>11.10.2019</v>
      </c>
      <c r="F171" t="str">
        <f>'[1]2021 УГРЦТ'!F174</f>
        <v>Цех электрических сетей</v>
      </c>
      <c r="G171">
        <f>'[1]2021 УГРЦТ'!AC174</f>
        <v>480</v>
      </c>
      <c r="H171" s="7">
        <f>'[1]2021 УГРЦТ'!X174</f>
        <v>1948429.72</v>
      </c>
      <c r="I171" s="7">
        <f>'[1]2021 УГРЦТ'!Y174</f>
        <v>105539.96299999999</v>
      </c>
      <c r="J171" s="7">
        <f>'[1]2021 УГРЦТ'!Z174</f>
        <v>1842889.757</v>
      </c>
      <c r="K171" s="8">
        <v>1</v>
      </c>
      <c r="L171" s="7">
        <v>4059.2300000000009</v>
      </c>
      <c r="M171" s="7"/>
      <c r="N171" s="7">
        <f t="shared" si="1035"/>
        <v>48710.760000000009</v>
      </c>
      <c r="O171" s="7">
        <f t="shared" si="828"/>
        <v>1838830.527</v>
      </c>
      <c r="P171" s="7">
        <f t="shared" si="1036"/>
        <v>1834771.297</v>
      </c>
      <c r="Q171" s="7">
        <f t="shared" si="1036"/>
        <v>1830712.067</v>
      </c>
      <c r="R171" s="7">
        <f t="shared" si="1036"/>
        <v>1826652.8370000001</v>
      </c>
      <c r="S171" s="7">
        <f t="shared" si="1036"/>
        <v>1822593.6070000001</v>
      </c>
      <c r="T171" s="7">
        <f t="shared" si="1036"/>
        <v>1818534.3770000001</v>
      </c>
      <c r="U171" s="7">
        <f t="shared" si="1036"/>
        <v>1814475.1470000001</v>
      </c>
      <c r="V171" s="7">
        <f t="shared" si="1036"/>
        <v>1810415.9170000001</v>
      </c>
      <c r="W171" s="7">
        <f t="shared" si="1036"/>
        <v>1806356.6870000002</v>
      </c>
      <c r="X171" s="7">
        <f t="shared" si="1036"/>
        <v>1802297.4570000002</v>
      </c>
      <c r="Y171" s="7">
        <f t="shared" si="1036"/>
        <v>1798238.2270000002</v>
      </c>
      <c r="Z171" s="7">
        <f t="shared" si="1036"/>
        <v>1794178.9970000002</v>
      </c>
      <c r="AA171" s="7">
        <f t="shared" si="1077"/>
        <v>40007.756294000006</v>
      </c>
      <c r="AB171" s="7"/>
      <c r="AC171" s="7">
        <f t="shared" si="829"/>
        <v>48710.760000000009</v>
      </c>
      <c r="AD171" s="7">
        <f t="shared" si="830"/>
        <v>1790119.7670000002</v>
      </c>
      <c r="AE171" s="7">
        <f t="shared" si="1037"/>
        <v>1786060.5370000002</v>
      </c>
      <c r="AF171" s="7">
        <f t="shared" si="1037"/>
        <v>1782001.3070000003</v>
      </c>
      <c r="AG171" s="7">
        <f t="shared" si="1037"/>
        <v>1777942.0770000003</v>
      </c>
      <c r="AH171" s="7">
        <f t="shared" si="1037"/>
        <v>1773882.8470000003</v>
      </c>
      <c r="AI171" s="7">
        <f t="shared" si="1037"/>
        <v>1769823.6170000003</v>
      </c>
      <c r="AJ171" s="7">
        <f t="shared" si="1037"/>
        <v>1765764.3870000003</v>
      </c>
      <c r="AK171" s="7">
        <f t="shared" si="1037"/>
        <v>1761705.1570000004</v>
      </c>
      <c r="AL171" s="7">
        <f t="shared" si="1037"/>
        <v>1757645.9270000004</v>
      </c>
      <c r="AM171" s="7">
        <f t="shared" si="1037"/>
        <v>1753586.6970000004</v>
      </c>
      <c r="AN171" s="7">
        <f t="shared" si="1037"/>
        <v>1749527.4670000004</v>
      </c>
      <c r="AO171" s="7">
        <f t="shared" si="1037"/>
        <v>1745468.2370000004</v>
      </c>
      <c r="AP171" s="222">
        <f t="shared" si="1078"/>
        <v>38936.119574000004</v>
      </c>
      <c r="AQ171" s="7">
        <v>4059.2300000000009</v>
      </c>
      <c r="AR171" s="7">
        <f t="shared" si="831"/>
        <v>4059.2299999999814</v>
      </c>
      <c r="AS171" s="7">
        <f t="shared" si="832"/>
        <v>-1.9554136088117957E-11</v>
      </c>
      <c r="AT171" s="7">
        <f t="shared" si="1038"/>
        <v>48710.760000000009</v>
      </c>
      <c r="AU171" s="7">
        <f t="shared" si="1039"/>
        <v>1741409.0070000004</v>
      </c>
      <c r="AV171" s="7">
        <f t="shared" si="1040"/>
        <v>1737349.7770000005</v>
      </c>
      <c r="AW171" s="7">
        <f t="shared" si="1040"/>
        <v>1733290.5470000005</v>
      </c>
      <c r="AX171" s="7">
        <f t="shared" si="1040"/>
        <v>1729231.3170000005</v>
      </c>
      <c r="AY171" s="7">
        <f t="shared" si="1040"/>
        <v>1725172.0870000005</v>
      </c>
      <c r="AZ171" s="7">
        <f t="shared" si="1040"/>
        <v>1721112.8570000005</v>
      </c>
      <c r="BA171" s="7">
        <f t="shared" si="1040"/>
        <v>1717053.6270000006</v>
      </c>
      <c r="BB171" s="7">
        <f t="shared" si="1040"/>
        <v>1712994.3970000006</v>
      </c>
      <c r="BC171" s="7">
        <f t="shared" si="1040"/>
        <v>1708935.1670000006</v>
      </c>
      <c r="BD171" s="7">
        <f t="shared" si="1040"/>
        <v>1704875.9370000006</v>
      </c>
      <c r="BE171" s="7">
        <f t="shared" si="1040"/>
        <v>1700816.7070000006</v>
      </c>
      <c r="BF171" s="7">
        <f t="shared" si="1040"/>
        <v>1696757.4770000007</v>
      </c>
      <c r="BG171" s="236">
        <f t="shared" si="827"/>
        <v>37864.482854000016</v>
      </c>
      <c r="BH171" s="7">
        <v>4059.2300000000009</v>
      </c>
      <c r="BI171" s="39">
        <f t="shared" si="1041"/>
        <v>48710.760000000009</v>
      </c>
      <c r="BJ171" s="7">
        <f t="shared" si="1042"/>
        <v>1692698.2470000007</v>
      </c>
      <c r="BK171" s="7">
        <f t="shared" si="1043"/>
        <v>1688639.0170000007</v>
      </c>
      <c r="BL171" s="7">
        <f t="shared" si="1044"/>
        <v>1684579.7870000007</v>
      </c>
      <c r="BM171" s="7">
        <f t="shared" si="1045"/>
        <v>1680520.5570000007</v>
      </c>
      <c r="BN171" s="7">
        <f t="shared" si="1046"/>
        <v>1676461.3270000007</v>
      </c>
      <c r="BO171" s="7">
        <f t="shared" si="1047"/>
        <v>1672402.0970000008</v>
      </c>
      <c r="BP171" s="7">
        <f t="shared" si="1048"/>
        <v>1668342.8670000008</v>
      </c>
      <c r="BQ171" s="7">
        <f t="shared" si="1049"/>
        <v>1664283.6370000008</v>
      </c>
      <c r="BR171" s="7">
        <f t="shared" si="1050"/>
        <v>1660224.4070000008</v>
      </c>
      <c r="BS171" s="7">
        <f t="shared" si="1051"/>
        <v>1656165.1770000008</v>
      </c>
      <c r="BT171" s="7">
        <f t="shared" si="1052"/>
        <v>1652105.9470000009</v>
      </c>
      <c r="BU171" s="7">
        <f t="shared" si="1053"/>
        <v>1648046.7170000009</v>
      </c>
      <c r="BV171" s="236">
        <f t="shared" si="1079"/>
        <v>36792.846134000014</v>
      </c>
      <c r="BW171" s="7">
        <v>4059.2300000000009</v>
      </c>
      <c r="BX171" s="39">
        <f>BW171*12</f>
        <v>48710.760000000009</v>
      </c>
      <c r="BY171" s="7">
        <f t="shared" si="1054"/>
        <v>1643987.4870000009</v>
      </c>
      <c r="BZ171" s="7">
        <f t="shared" si="1055"/>
        <v>1639928.2570000009</v>
      </c>
      <c r="CA171" s="7">
        <f t="shared" si="1056"/>
        <v>1635869.0270000009</v>
      </c>
      <c r="CB171" s="7">
        <f t="shared" si="1057"/>
        <v>1631809.797000001</v>
      </c>
      <c r="CC171" s="7">
        <f t="shared" si="1058"/>
        <v>1627750.567000001</v>
      </c>
      <c r="CD171" s="7">
        <f t="shared" si="1059"/>
        <v>1623691.337000001</v>
      </c>
      <c r="CE171" s="7">
        <f t="shared" si="1060"/>
        <v>1619632.107000001</v>
      </c>
      <c r="CF171" s="7">
        <f t="shared" si="1061"/>
        <v>1615572.877000001</v>
      </c>
      <c r="CG171" s="7">
        <f t="shared" si="1062"/>
        <v>1611513.647000001</v>
      </c>
      <c r="CH171" s="7">
        <f t="shared" si="1063"/>
        <v>1607454.4170000011</v>
      </c>
      <c r="CI171" s="7">
        <f t="shared" si="1064"/>
        <v>1603395.1870000011</v>
      </c>
      <c r="CJ171" s="7">
        <f t="shared" si="1065"/>
        <v>1599335.9570000011</v>
      </c>
      <c r="CK171" s="236">
        <f t="shared" si="1080"/>
        <v>35721.209414000019</v>
      </c>
      <c r="CL171" s="7">
        <v>4059.2300000000009</v>
      </c>
      <c r="CM171" s="39">
        <f>CL171*12</f>
        <v>48710.760000000009</v>
      </c>
      <c r="CN171" s="7">
        <f>CJ171-CL171</f>
        <v>1595276.7270000011</v>
      </c>
      <c r="CO171" s="7">
        <f t="shared" ref="CO171:CO172" si="1082">CN171-$L171</f>
        <v>1591217.4970000011</v>
      </c>
      <c r="CP171" s="7">
        <f t="shared" ref="CP171:CP172" si="1083">CO171-$L171</f>
        <v>1587158.2670000012</v>
      </c>
      <c r="CQ171" s="7">
        <f t="shared" ref="CQ171:CQ172" si="1084">CP171-$L171</f>
        <v>1583099.0370000012</v>
      </c>
      <c r="CR171" s="7">
        <f t="shared" ref="CR171:CR172" si="1085">CQ171-$L171</f>
        <v>1579039.8070000012</v>
      </c>
      <c r="CS171" s="7">
        <f t="shared" ref="CS171:CS172" si="1086">CR171-$L171</f>
        <v>1574980.5770000012</v>
      </c>
      <c r="CT171" s="7">
        <f t="shared" ref="CT171:CT172" si="1087">CS171-$L171</f>
        <v>1570921.3470000012</v>
      </c>
      <c r="CU171" s="7">
        <f t="shared" ref="CU171:CU172" si="1088">CT171-$L171</f>
        <v>1566862.1170000012</v>
      </c>
      <c r="CV171" s="7">
        <f t="shared" ref="CV171:CV172" si="1089">CU171-$L171</f>
        <v>1562802.8870000013</v>
      </c>
      <c r="CW171" s="7">
        <f t="shared" ref="CW171:CW172" si="1090">CV171-$L171</f>
        <v>1558743.6570000013</v>
      </c>
      <c r="CX171" s="7">
        <f t="shared" ref="CX171:CX172" si="1091">CW171-$L171</f>
        <v>1554684.4270000013</v>
      </c>
      <c r="CY171" s="7">
        <f t="shared" ref="CY171:CY172" si="1092">CX171-$L171</f>
        <v>1550625.1970000013</v>
      </c>
      <c r="CZ171" s="236">
        <f t="shared" si="1081"/>
        <v>34649.572694000024</v>
      </c>
    </row>
    <row r="172" spans="1:104" x14ac:dyDescent="0.2">
      <c r="A172" s="6" t="str">
        <f>'[1]2021 УГРЦТ'!A175</f>
        <v>ВЛ- Воздушные ЛЭП-0,4 кв 1996г</v>
      </c>
      <c r="B172" t="str">
        <f>'[1]2021 УГРЦТ'!B175</f>
        <v>00000184</v>
      </c>
      <c r="C172" t="str">
        <f>'[1]2021 УГРЦТ'!C175</f>
        <v>ПЕРЕДАЧА</v>
      </c>
      <c r="D172" t="str">
        <f>'[1]2021 УГРЦТ'!D175</f>
        <v>Сооружения</v>
      </c>
      <c r="E172" t="str">
        <f>'[1]2021 УГРЦТ'!E175</f>
        <v>01.01.1996</v>
      </c>
      <c r="F172" t="str">
        <f>'[1]2021 УГРЦТ'!F175</f>
        <v>Цех электрических сетей</v>
      </c>
      <c r="G172">
        <f>'[1]2021 УГРЦТ'!AC175</f>
        <v>524</v>
      </c>
      <c r="H172" s="7">
        <f>'[1]2021 УГРЦТ'!X175</f>
        <v>256010.16</v>
      </c>
      <c r="I172" s="7">
        <f>'[1]2021 УГРЦТ'!Y175</f>
        <v>87382.180000000008</v>
      </c>
      <c r="J172" s="7">
        <f>'[1]2021 УГРЦТ'!Z175</f>
        <v>168627.97999999998</v>
      </c>
      <c r="K172" s="8">
        <v>1</v>
      </c>
      <c r="L172" s="7">
        <v>791.68000000000018</v>
      </c>
      <c r="M172" s="7"/>
      <c r="N172" s="7">
        <f t="shared" si="1035"/>
        <v>9500.1600000000017</v>
      </c>
      <c r="O172" s="7">
        <f t="shared" si="828"/>
        <v>167836.3</v>
      </c>
      <c r="P172" s="7">
        <f t="shared" si="1036"/>
        <v>167044.62</v>
      </c>
      <c r="Q172" s="7">
        <f t="shared" si="1036"/>
        <v>166252.94</v>
      </c>
      <c r="R172" s="7">
        <f t="shared" si="1036"/>
        <v>165461.26</v>
      </c>
      <c r="S172" s="7">
        <f t="shared" si="1036"/>
        <v>164669.58000000002</v>
      </c>
      <c r="T172" s="7">
        <f t="shared" si="1036"/>
        <v>163877.90000000002</v>
      </c>
      <c r="U172" s="7">
        <f t="shared" si="1036"/>
        <v>163086.22000000003</v>
      </c>
      <c r="V172" s="7">
        <f t="shared" si="1036"/>
        <v>162294.54000000004</v>
      </c>
      <c r="W172" s="7">
        <f t="shared" si="1036"/>
        <v>161502.86000000004</v>
      </c>
      <c r="X172" s="7">
        <f t="shared" si="1036"/>
        <v>160711.18000000005</v>
      </c>
      <c r="Y172" s="7">
        <f t="shared" si="1036"/>
        <v>159919.50000000006</v>
      </c>
      <c r="Z172" s="7">
        <f t="shared" si="1036"/>
        <v>159127.82000000007</v>
      </c>
      <c r="AA172" s="7">
        <f t="shared" si="1077"/>
        <v>3605.3138000000004</v>
      </c>
      <c r="AB172" s="7"/>
      <c r="AC172" s="7">
        <f t="shared" si="829"/>
        <v>9500.1600000000017</v>
      </c>
      <c r="AD172" s="7">
        <f t="shared" si="830"/>
        <v>158336.14000000007</v>
      </c>
      <c r="AE172" s="7">
        <f t="shared" si="1037"/>
        <v>157544.46000000008</v>
      </c>
      <c r="AF172" s="7">
        <f t="shared" si="1037"/>
        <v>156752.78000000009</v>
      </c>
      <c r="AG172" s="7">
        <f t="shared" si="1037"/>
        <v>155961.10000000009</v>
      </c>
      <c r="AH172" s="7">
        <f t="shared" si="1037"/>
        <v>155169.4200000001</v>
      </c>
      <c r="AI172" s="7">
        <f t="shared" si="1037"/>
        <v>154377.74000000011</v>
      </c>
      <c r="AJ172" s="7">
        <f t="shared" si="1037"/>
        <v>153586.06000000011</v>
      </c>
      <c r="AK172" s="7">
        <f t="shared" si="1037"/>
        <v>152794.38000000012</v>
      </c>
      <c r="AL172" s="7">
        <f t="shared" si="1037"/>
        <v>152002.70000000013</v>
      </c>
      <c r="AM172" s="7">
        <f t="shared" si="1037"/>
        <v>151211.02000000014</v>
      </c>
      <c r="AN172" s="7">
        <f t="shared" si="1037"/>
        <v>150419.34000000014</v>
      </c>
      <c r="AO172" s="7">
        <f t="shared" si="1037"/>
        <v>149627.66000000015</v>
      </c>
      <c r="AP172" s="222">
        <f t="shared" si="1078"/>
        <v>3396.310280000002</v>
      </c>
      <c r="AQ172" s="7">
        <v>791.68000000000018</v>
      </c>
      <c r="AR172" s="7">
        <f t="shared" si="831"/>
        <v>791.67999999999302</v>
      </c>
      <c r="AS172" s="7">
        <f t="shared" si="832"/>
        <v>-7.1622707764618099E-12</v>
      </c>
      <c r="AT172" s="7">
        <f t="shared" si="1038"/>
        <v>9500.1600000000017</v>
      </c>
      <c r="AU172" s="7">
        <f t="shared" si="1039"/>
        <v>148835.98000000016</v>
      </c>
      <c r="AV172" s="7">
        <f t="shared" si="1040"/>
        <v>148044.30000000016</v>
      </c>
      <c r="AW172" s="7">
        <f t="shared" si="1040"/>
        <v>147252.62000000017</v>
      </c>
      <c r="AX172" s="7">
        <f t="shared" si="1040"/>
        <v>146460.94000000018</v>
      </c>
      <c r="AY172" s="7">
        <f t="shared" si="1040"/>
        <v>145669.26000000018</v>
      </c>
      <c r="AZ172" s="7">
        <f t="shared" si="1040"/>
        <v>144877.58000000019</v>
      </c>
      <c r="BA172" s="7">
        <f t="shared" si="1040"/>
        <v>144085.9000000002</v>
      </c>
      <c r="BB172" s="7">
        <f t="shared" si="1040"/>
        <v>143294.2200000002</v>
      </c>
      <c r="BC172" s="7">
        <f t="shared" si="1040"/>
        <v>142502.54000000021</v>
      </c>
      <c r="BD172" s="7">
        <f t="shared" si="1040"/>
        <v>141710.86000000022</v>
      </c>
      <c r="BE172" s="7">
        <f t="shared" si="1040"/>
        <v>140919.18000000023</v>
      </c>
      <c r="BF172" s="7">
        <f t="shared" si="1040"/>
        <v>140127.50000000023</v>
      </c>
      <c r="BG172" s="236">
        <f t="shared" si="827"/>
        <v>3187.306760000004</v>
      </c>
      <c r="BH172" s="7">
        <v>791.68000000000018</v>
      </c>
      <c r="BI172" s="39">
        <f t="shared" si="1041"/>
        <v>9500.1600000000017</v>
      </c>
      <c r="BJ172" s="7">
        <f t="shared" si="1042"/>
        <v>139335.82000000024</v>
      </c>
      <c r="BK172" s="7">
        <f t="shared" si="1043"/>
        <v>138544.14000000025</v>
      </c>
      <c r="BL172" s="7">
        <f t="shared" si="1044"/>
        <v>137752.46000000025</v>
      </c>
      <c r="BM172" s="7">
        <f t="shared" si="1045"/>
        <v>136960.78000000026</v>
      </c>
      <c r="BN172" s="7">
        <f t="shared" si="1046"/>
        <v>136169.10000000027</v>
      </c>
      <c r="BO172" s="7">
        <f t="shared" si="1047"/>
        <v>135377.42000000027</v>
      </c>
      <c r="BP172" s="7">
        <f t="shared" si="1048"/>
        <v>134585.74000000028</v>
      </c>
      <c r="BQ172" s="7">
        <f t="shared" si="1049"/>
        <v>133794.06000000029</v>
      </c>
      <c r="BR172" s="7">
        <f t="shared" si="1050"/>
        <v>133002.3800000003</v>
      </c>
      <c r="BS172" s="7">
        <f t="shared" si="1051"/>
        <v>132210.7000000003</v>
      </c>
      <c r="BT172" s="7">
        <f t="shared" si="1052"/>
        <v>131419.02000000031</v>
      </c>
      <c r="BU172" s="7">
        <f t="shared" si="1053"/>
        <v>130627.34000000032</v>
      </c>
      <c r="BV172" s="236">
        <f t="shared" si="1079"/>
        <v>2978.3032400000056</v>
      </c>
      <c r="BW172" s="7">
        <v>791.68000000000018</v>
      </c>
      <c r="BX172" s="39">
        <f>BW172*12</f>
        <v>9500.1600000000017</v>
      </c>
      <c r="BY172" s="7">
        <f t="shared" si="1054"/>
        <v>129835.66000000032</v>
      </c>
      <c r="BZ172" s="7">
        <f t="shared" si="1055"/>
        <v>129043.98000000033</v>
      </c>
      <c r="CA172" s="7">
        <f t="shared" si="1056"/>
        <v>128252.30000000034</v>
      </c>
      <c r="CB172" s="7">
        <f t="shared" si="1057"/>
        <v>127460.62000000034</v>
      </c>
      <c r="CC172" s="7">
        <f t="shared" si="1058"/>
        <v>126668.94000000035</v>
      </c>
      <c r="CD172" s="7">
        <f t="shared" si="1059"/>
        <v>125877.26000000036</v>
      </c>
      <c r="CE172" s="7">
        <f t="shared" si="1060"/>
        <v>125085.58000000037</v>
      </c>
      <c r="CF172" s="7">
        <f t="shared" si="1061"/>
        <v>124293.90000000037</v>
      </c>
      <c r="CG172" s="7">
        <f t="shared" si="1062"/>
        <v>123502.22000000038</v>
      </c>
      <c r="CH172" s="7">
        <f t="shared" si="1063"/>
        <v>122710.54000000039</v>
      </c>
      <c r="CI172" s="7">
        <f t="shared" si="1064"/>
        <v>121918.86000000039</v>
      </c>
      <c r="CJ172" s="7">
        <f t="shared" si="1065"/>
        <v>121127.1800000004</v>
      </c>
      <c r="CK172" s="236">
        <f t="shared" si="1080"/>
        <v>2769.2997200000082</v>
      </c>
      <c r="CL172" s="7">
        <v>791.68000000000018</v>
      </c>
      <c r="CM172" s="39">
        <f>CL172*12</f>
        <v>9500.1600000000017</v>
      </c>
      <c r="CN172" s="7">
        <f>CJ172-CL172</f>
        <v>120335.50000000041</v>
      </c>
      <c r="CO172" s="7">
        <f t="shared" si="1082"/>
        <v>119543.82000000041</v>
      </c>
      <c r="CP172" s="7">
        <f t="shared" si="1083"/>
        <v>118752.14000000042</v>
      </c>
      <c r="CQ172" s="7">
        <f t="shared" si="1084"/>
        <v>117960.46000000043</v>
      </c>
      <c r="CR172" s="7">
        <f t="shared" si="1085"/>
        <v>117168.78000000044</v>
      </c>
      <c r="CS172" s="7">
        <f t="shared" si="1086"/>
        <v>116377.10000000044</v>
      </c>
      <c r="CT172" s="7">
        <f t="shared" si="1087"/>
        <v>115585.42000000045</v>
      </c>
      <c r="CU172" s="7">
        <f t="shared" si="1088"/>
        <v>114793.74000000046</v>
      </c>
      <c r="CV172" s="7">
        <f t="shared" si="1089"/>
        <v>114002.06000000046</v>
      </c>
      <c r="CW172" s="7">
        <f t="shared" si="1090"/>
        <v>113210.38000000047</v>
      </c>
      <c r="CX172" s="7">
        <f t="shared" si="1091"/>
        <v>112418.70000000048</v>
      </c>
      <c r="CY172" s="7">
        <f t="shared" si="1092"/>
        <v>111627.02000000048</v>
      </c>
      <c r="CZ172" s="236">
        <f t="shared" si="1081"/>
        <v>2560.2962000000098</v>
      </c>
    </row>
    <row r="173" spans="1:104" x14ac:dyDescent="0.2">
      <c r="A173" s="6" t="str">
        <f>'[1]2021 УГРЦТ'!A176</f>
        <v>ВЛ Воздушные ЛЭП-6 кв Угольная  1976г.</v>
      </c>
      <c r="B173" t="str">
        <f>'[1]2021 УГРЦТ'!B176</f>
        <v>00000183</v>
      </c>
      <c r="C173" t="str">
        <f>'[1]2021 УГРЦТ'!C176</f>
        <v>ПЕРЕДАЧА</v>
      </c>
      <c r="D173" t="str">
        <f>'[1]2021 УГРЦТ'!D176</f>
        <v>Сооружения</v>
      </c>
      <c r="E173" t="str">
        <f>'[1]2021 УГРЦТ'!E176</f>
        <v>01.01.1976</v>
      </c>
      <c r="F173" t="str">
        <f>'[1]2021 УГРЦТ'!F176</f>
        <v>Цех электрических сетей</v>
      </c>
      <c r="G173">
        <f>'[1]2021 УГРЦТ'!AC176</f>
        <v>300</v>
      </c>
      <c r="H173" s="7">
        <f>'[1]2021 УГРЦТ'!X176</f>
        <v>14935</v>
      </c>
      <c r="I173" s="7">
        <f>'[1]2021 УГРЦТ'!Y176</f>
        <v>12918.42</v>
      </c>
      <c r="J173" s="7">
        <f>'[1]2021 УГРЦТ'!Z176</f>
        <v>2016.58</v>
      </c>
      <c r="K173" s="8">
        <v>1</v>
      </c>
      <c r="L173" s="7">
        <v>49.779999999999994</v>
      </c>
      <c r="M173" s="7"/>
      <c r="N173" s="7">
        <f t="shared" si="1035"/>
        <v>597.3599999999999</v>
      </c>
      <c r="O173" s="7">
        <f t="shared" si="828"/>
        <v>1966.8</v>
      </c>
      <c r="P173" s="7">
        <f t="shared" si="1036"/>
        <v>1917.02</v>
      </c>
      <c r="Q173" s="7">
        <f t="shared" si="1036"/>
        <v>1867.24</v>
      </c>
      <c r="R173" s="7">
        <f t="shared" si="1036"/>
        <v>1817.46</v>
      </c>
      <c r="S173" s="7">
        <f t="shared" si="1036"/>
        <v>1767.68</v>
      </c>
      <c r="T173" s="7">
        <f t="shared" si="1036"/>
        <v>1717.9</v>
      </c>
      <c r="U173" s="7">
        <f t="shared" si="1036"/>
        <v>1668.1200000000001</v>
      </c>
      <c r="V173" s="7">
        <f t="shared" si="1036"/>
        <v>1618.3400000000001</v>
      </c>
      <c r="W173" s="7">
        <f t="shared" si="1036"/>
        <v>1568.5600000000002</v>
      </c>
      <c r="X173" s="7">
        <f t="shared" si="1036"/>
        <v>1518.7800000000002</v>
      </c>
      <c r="Y173" s="7">
        <f t="shared" si="1036"/>
        <v>1469.0000000000002</v>
      </c>
      <c r="Z173" s="7">
        <f t="shared" si="1036"/>
        <v>1419.2200000000003</v>
      </c>
      <c r="AA173" s="7">
        <f t="shared" si="1077"/>
        <v>37.793799999999997</v>
      </c>
      <c r="AB173" s="7"/>
      <c r="AC173" s="7">
        <f t="shared" si="829"/>
        <v>597.3599999999999</v>
      </c>
      <c r="AD173" s="7">
        <f t="shared" si="830"/>
        <v>1369.4400000000003</v>
      </c>
      <c r="AE173" s="7">
        <f t="shared" si="1037"/>
        <v>1319.6600000000003</v>
      </c>
      <c r="AF173" s="7">
        <f t="shared" si="1037"/>
        <v>1269.8800000000003</v>
      </c>
      <c r="AG173" s="7">
        <f t="shared" si="1037"/>
        <v>1220.1000000000004</v>
      </c>
      <c r="AH173" s="7">
        <f t="shared" si="1037"/>
        <v>1170.3200000000004</v>
      </c>
      <c r="AI173" s="7">
        <f t="shared" si="1037"/>
        <v>1120.5400000000004</v>
      </c>
      <c r="AJ173" s="7">
        <f t="shared" si="1037"/>
        <v>1070.7600000000004</v>
      </c>
      <c r="AK173" s="7">
        <f t="shared" si="1037"/>
        <v>1020.9800000000005</v>
      </c>
      <c r="AL173" s="7">
        <f t="shared" si="1037"/>
        <v>971.2000000000005</v>
      </c>
      <c r="AM173" s="7">
        <f t="shared" si="1037"/>
        <v>921.42000000000053</v>
      </c>
      <c r="AN173" s="7">
        <f t="shared" si="1037"/>
        <v>871.64000000000055</v>
      </c>
      <c r="AO173" s="7">
        <f t="shared" si="1037"/>
        <v>821.86000000000058</v>
      </c>
      <c r="AP173" s="222">
        <f t="shared" si="1078"/>
        <v>24.651880000000013</v>
      </c>
      <c r="AQ173" s="7">
        <v>49.779999999999994</v>
      </c>
      <c r="AR173" s="7">
        <f t="shared" si="831"/>
        <v>49.779999999999973</v>
      </c>
      <c r="AS173" s="7">
        <f t="shared" si="832"/>
        <v>0</v>
      </c>
      <c r="AT173" s="7">
        <f t="shared" si="1038"/>
        <v>597.3599999999999</v>
      </c>
      <c r="AU173" s="7">
        <f t="shared" si="1039"/>
        <v>772.08000000000061</v>
      </c>
      <c r="AV173" s="7">
        <f t="shared" si="1040"/>
        <v>722.30000000000064</v>
      </c>
      <c r="AW173" s="7">
        <f t="shared" si="1040"/>
        <v>672.52000000000066</v>
      </c>
      <c r="AX173" s="7">
        <f t="shared" si="1040"/>
        <v>622.74000000000069</v>
      </c>
      <c r="AY173" s="7">
        <f t="shared" si="1040"/>
        <v>572.96000000000072</v>
      </c>
      <c r="AZ173" s="7">
        <f t="shared" si="1040"/>
        <v>523.18000000000075</v>
      </c>
      <c r="BA173" s="7">
        <f t="shared" si="1040"/>
        <v>473.40000000000077</v>
      </c>
      <c r="BB173" s="7">
        <f t="shared" si="1040"/>
        <v>423.6200000000008</v>
      </c>
      <c r="BC173" s="7">
        <f t="shared" si="1040"/>
        <v>373.84000000000083</v>
      </c>
      <c r="BD173" s="7">
        <f t="shared" si="1040"/>
        <v>324.06000000000085</v>
      </c>
      <c r="BE173" s="7">
        <f t="shared" si="1040"/>
        <v>274.28000000000088</v>
      </c>
      <c r="BF173" s="7">
        <f t="shared" si="1040"/>
        <v>224.50000000000088</v>
      </c>
      <c r="BG173" s="236">
        <f t="shared" si="827"/>
        <v>11.509960000000016</v>
      </c>
      <c r="BH173" s="7">
        <v>49.779999999999994</v>
      </c>
      <c r="BI173" s="39">
        <v>224.5</v>
      </c>
      <c r="BJ173" s="7">
        <f t="shared" si="1042"/>
        <v>174.72000000000088</v>
      </c>
      <c r="BK173" s="7">
        <f t="shared" si="1043"/>
        <v>124.94000000000088</v>
      </c>
      <c r="BL173" s="7">
        <f t="shared" si="1044"/>
        <v>75.160000000000878</v>
      </c>
      <c r="BM173" s="7">
        <f t="shared" si="1045"/>
        <v>25.380000000000884</v>
      </c>
      <c r="BN173" s="7"/>
      <c r="BO173" s="7"/>
      <c r="BP173" s="7"/>
      <c r="BQ173" s="7"/>
      <c r="BR173" s="7"/>
      <c r="BS173" s="7"/>
      <c r="BT173" s="7"/>
      <c r="BU173" s="7"/>
      <c r="BV173" s="236">
        <f t="shared" si="1079"/>
        <v>1.0571846153846229</v>
      </c>
      <c r="BW173" s="7">
        <v>49.779999999999994</v>
      </c>
      <c r="BX173" s="39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236">
        <f t="shared" si="1080"/>
        <v>0</v>
      </c>
      <c r="CL173" s="7">
        <v>49.779999999999994</v>
      </c>
      <c r="CM173" s="39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236">
        <f t="shared" si="1081"/>
        <v>0</v>
      </c>
    </row>
    <row r="174" spans="1:104" x14ac:dyDescent="0.2">
      <c r="A174" s="6" t="str">
        <f>'[1]2021 УГРЦТ'!A177</f>
        <v>ВЛ наружные сети ВЛ-6 кв п Искат  1997г.</v>
      </c>
      <c r="B174" t="str">
        <f>'[1]2021 УГРЦТ'!B177</f>
        <v>00000186</v>
      </c>
      <c r="C174" t="str">
        <f>'[1]2021 УГРЦТ'!C177</f>
        <v>ПЕРЕДАЧА</v>
      </c>
      <c r="D174" t="str">
        <f>'[1]2021 УГРЦТ'!D177</f>
        <v>Сооружения</v>
      </c>
      <c r="E174" t="str">
        <f>'[1]2021 УГРЦТ'!E177</f>
        <v>01.12.1997</v>
      </c>
      <c r="F174" t="str">
        <f>'[1]2021 УГРЦТ'!F177</f>
        <v>Цех электрических сетей</v>
      </c>
      <c r="G174">
        <f>'[1]2021 УГРЦТ'!AC177</f>
        <v>300</v>
      </c>
      <c r="H174" s="7">
        <f>'[1]2021 УГРЦТ'!X177</f>
        <v>184877</v>
      </c>
      <c r="I174" s="7">
        <f>'[1]2021 УГРЦТ'!Y177</f>
        <v>155771.46</v>
      </c>
      <c r="J174" s="7">
        <f>'[1]2021 УГРЦТ'!Z177</f>
        <v>29105.540000000008</v>
      </c>
      <c r="K174" s="8">
        <v>1</v>
      </c>
      <c r="L174" s="7">
        <v>616.2600000000001</v>
      </c>
      <c r="M174" s="7"/>
      <c r="N174" s="7">
        <f t="shared" si="1035"/>
        <v>7395.1200000000008</v>
      </c>
      <c r="O174" s="7">
        <f t="shared" si="828"/>
        <v>28489.28000000001</v>
      </c>
      <c r="P174" s="7">
        <f t="shared" si="1036"/>
        <v>27873.020000000011</v>
      </c>
      <c r="Q174" s="7">
        <f t="shared" si="1036"/>
        <v>27256.760000000013</v>
      </c>
      <c r="R174" s="7">
        <f t="shared" si="1036"/>
        <v>26640.500000000015</v>
      </c>
      <c r="S174" s="7">
        <f t="shared" si="1036"/>
        <v>26024.240000000016</v>
      </c>
      <c r="T174" s="7">
        <f t="shared" si="1036"/>
        <v>25407.980000000018</v>
      </c>
      <c r="U174" s="7">
        <f t="shared" si="1036"/>
        <v>24791.720000000019</v>
      </c>
      <c r="V174" s="7">
        <f t="shared" si="1036"/>
        <v>24175.460000000021</v>
      </c>
      <c r="W174" s="7">
        <f t="shared" si="1036"/>
        <v>23559.200000000023</v>
      </c>
      <c r="X174" s="7">
        <f t="shared" si="1036"/>
        <v>22942.940000000024</v>
      </c>
      <c r="Y174" s="7">
        <f t="shared" si="1036"/>
        <v>22326.680000000026</v>
      </c>
      <c r="Z174" s="7">
        <f t="shared" si="1036"/>
        <v>21710.420000000027</v>
      </c>
      <c r="AA174" s="7">
        <f t="shared" si="1077"/>
        <v>558.97556000000031</v>
      </c>
      <c r="AB174" s="7"/>
      <c r="AC174" s="7">
        <f t="shared" si="829"/>
        <v>7395.1200000000008</v>
      </c>
      <c r="AD174" s="7">
        <f t="shared" si="830"/>
        <v>21094.160000000029</v>
      </c>
      <c r="AE174" s="7">
        <f t="shared" si="1037"/>
        <v>20477.900000000031</v>
      </c>
      <c r="AF174" s="7">
        <f t="shared" si="1037"/>
        <v>19861.640000000032</v>
      </c>
      <c r="AG174" s="7">
        <f t="shared" si="1037"/>
        <v>19245.380000000034</v>
      </c>
      <c r="AH174" s="7">
        <f t="shared" si="1037"/>
        <v>18629.120000000035</v>
      </c>
      <c r="AI174" s="7">
        <f t="shared" si="1037"/>
        <v>18012.860000000037</v>
      </c>
      <c r="AJ174" s="7">
        <f t="shared" si="1037"/>
        <v>17396.600000000039</v>
      </c>
      <c r="AK174" s="7">
        <f t="shared" si="1037"/>
        <v>16780.34000000004</v>
      </c>
      <c r="AL174" s="7">
        <f t="shared" si="1037"/>
        <v>16164.08000000004</v>
      </c>
      <c r="AM174" s="7">
        <f t="shared" si="1037"/>
        <v>15547.82000000004</v>
      </c>
      <c r="AN174" s="7">
        <f t="shared" si="1037"/>
        <v>14931.56000000004</v>
      </c>
      <c r="AO174" s="7">
        <f t="shared" si="1037"/>
        <v>14315.300000000039</v>
      </c>
      <c r="AP174" s="222">
        <f t="shared" si="1078"/>
        <v>396.28292000000079</v>
      </c>
      <c r="AQ174" s="7">
        <v>616.2600000000001</v>
      </c>
      <c r="AR174" s="7">
        <f t="shared" si="831"/>
        <v>616.26000000000022</v>
      </c>
      <c r="AS174" s="7">
        <f t="shared" si="832"/>
        <v>0</v>
      </c>
      <c r="AT174" s="7">
        <f t="shared" si="1038"/>
        <v>7395.1200000000008</v>
      </c>
      <c r="AU174" s="7">
        <f t="shared" si="1039"/>
        <v>13699.040000000039</v>
      </c>
      <c r="AV174" s="7">
        <f t="shared" si="1040"/>
        <v>13082.780000000039</v>
      </c>
      <c r="AW174" s="7">
        <f t="shared" si="1040"/>
        <v>12466.520000000039</v>
      </c>
      <c r="AX174" s="7">
        <f t="shared" si="1040"/>
        <v>11850.260000000038</v>
      </c>
      <c r="AY174" s="7">
        <f t="shared" si="1040"/>
        <v>11234.000000000038</v>
      </c>
      <c r="AZ174" s="7">
        <f t="shared" si="1040"/>
        <v>10617.740000000038</v>
      </c>
      <c r="BA174" s="7">
        <f t="shared" si="1040"/>
        <v>10001.480000000038</v>
      </c>
      <c r="BB174" s="7">
        <f t="shared" si="1040"/>
        <v>9385.2200000000375</v>
      </c>
      <c r="BC174" s="7">
        <f t="shared" si="1040"/>
        <v>8768.9600000000373</v>
      </c>
      <c r="BD174" s="7">
        <f t="shared" si="1040"/>
        <v>8152.7000000000371</v>
      </c>
      <c r="BE174" s="7">
        <f t="shared" si="1040"/>
        <v>7536.4400000000369</v>
      </c>
      <c r="BF174" s="7">
        <f t="shared" si="1040"/>
        <v>6920.1800000000367</v>
      </c>
      <c r="BG174" s="236">
        <f t="shared" si="827"/>
        <v>233.59028000000083</v>
      </c>
      <c r="BH174" s="7">
        <v>616.2600000000001</v>
      </c>
      <c r="BI174" s="39">
        <v>6920.18</v>
      </c>
      <c r="BJ174" s="7">
        <f t="shared" si="1042"/>
        <v>6303.9200000000365</v>
      </c>
      <c r="BK174" s="7">
        <f t="shared" si="1043"/>
        <v>5687.6600000000362</v>
      </c>
      <c r="BL174" s="7">
        <f t="shared" si="1044"/>
        <v>5071.400000000036</v>
      </c>
      <c r="BM174" s="7">
        <f t="shared" si="1045"/>
        <v>4455.1400000000358</v>
      </c>
      <c r="BN174" s="7">
        <f t="shared" si="1046"/>
        <v>3838.8800000000356</v>
      </c>
      <c r="BO174" s="7">
        <f t="shared" si="1047"/>
        <v>3222.6200000000354</v>
      </c>
      <c r="BP174" s="7">
        <f t="shared" si="1048"/>
        <v>2606.3600000000351</v>
      </c>
      <c r="BQ174" s="7">
        <f t="shared" si="1049"/>
        <v>1990.1000000000349</v>
      </c>
      <c r="BR174" s="7">
        <f t="shared" si="1050"/>
        <v>1373.8400000000347</v>
      </c>
      <c r="BS174" s="7">
        <f t="shared" si="1051"/>
        <v>757.5800000000346</v>
      </c>
      <c r="BT174" s="7">
        <f t="shared" si="1052"/>
        <v>141.3200000000345</v>
      </c>
      <c r="BU174" s="7"/>
      <c r="BV174" s="236">
        <f t="shared" si="1079"/>
        <v>71.701384615385336</v>
      </c>
      <c r="BW174" s="7">
        <v>616.2600000000001</v>
      </c>
      <c r="BX174" s="39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236">
        <f t="shared" si="1080"/>
        <v>0</v>
      </c>
      <c r="CL174" s="7">
        <v>616.2600000000001</v>
      </c>
      <c r="CM174" s="39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236">
        <f t="shared" si="1081"/>
        <v>0</v>
      </c>
    </row>
    <row r="175" spans="1:104" x14ac:dyDescent="0.2">
      <c r="A175" s="6" t="str">
        <f>'[1]2021 УГРЦТ'!A178</f>
        <v>ВЛ-0,4 КВ 1800м на дер опоре  ул Монт 1998г</v>
      </c>
      <c r="B175" t="str">
        <f>'[1]2021 УГРЦТ'!B178</f>
        <v>00000255</v>
      </c>
      <c r="C175" t="str">
        <f>'[1]2021 УГРЦТ'!C178</f>
        <v>ПЕРЕДАЧА</v>
      </c>
      <c r="D175" t="str">
        <f>'[1]2021 УГРЦТ'!D178</f>
        <v>Сооружения</v>
      </c>
      <c r="E175" t="str">
        <f>'[1]2021 УГРЦТ'!E178</f>
        <v>01.09.1998</v>
      </c>
      <c r="F175" t="str">
        <f>'[1]2021 УГРЦТ'!F178</f>
        <v>Цех электрических сетей</v>
      </c>
      <c r="G175">
        <f>'[1]2021 УГРЦТ'!AC178</f>
        <v>444</v>
      </c>
      <c r="H175" s="7">
        <f>'[1]2021 УГРЦТ'!X178</f>
        <v>858676.65</v>
      </c>
      <c r="I175" s="7">
        <f>'[1]2021 УГРЦТ'!Y178</f>
        <v>270802.40000000002</v>
      </c>
      <c r="J175" s="7">
        <f>'[1]2021 УГРЦТ'!Z178</f>
        <v>587874.25</v>
      </c>
      <c r="K175" s="8">
        <v>1</v>
      </c>
      <c r="L175" s="7">
        <v>3562.8799999999997</v>
      </c>
      <c r="M175" s="7"/>
      <c r="N175" s="7">
        <f t="shared" si="1035"/>
        <v>42754.559999999998</v>
      </c>
      <c r="O175" s="7">
        <f t="shared" si="828"/>
        <v>584311.37</v>
      </c>
      <c r="P175" s="7">
        <f t="shared" si="1036"/>
        <v>580748.49</v>
      </c>
      <c r="Q175" s="7">
        <f t="shared" si="1036"/>
        <v>577185.61</v>
      </c>
      <c r="R175" s="7">
        <f t="shared" si="1036"/>
        <v>573622.73</v>
      </c>
      <c r="S175" s="7">
        <f t="shared" si="1036"/>
        <v>570059.85</v>
      </c>
      <c r="T175" s="7">
        <f t="shared" si="1036"/>
        <v>566496.97</v>
      </c>
      <c r="U175" s="7">
        <f t="shared" si="1036"/>
        <v>562934.09</v>
      </c>
      <c r="V175" s="7">
        <f t="shared" si="1036"/>
        <v>559371.21</v>
      </c>
      <c r="W175" s="7">
        <f t="shared" si="1036"/>
        <v>555808.32999999996</v>
      </c>
      <c r="X175" s="7">
        <f t="shared" si="1036"/>
        <v>552245.44999999995</v>
      </c>
      <c r="Y175" s="7">
        <f t="shared" si="1036"/>
        <v>548682.56999999995</v>
      </c>
      <c r="Z175" s="7">
        <f t="shared" si="1036"/>
        <v>545119.68999999994</v>
      </c>
      <c r="AA175" s="7">
        <f t="shared" si="1077"/>
        <v>12462.933339999998</v>
      </c>
      <c r="AB175" s="7"/>
      <c r="AC175" s="7">
        <f t="shared" si="829"/>
        <v>42754.559999999998</v>
      </c>
      <c r="AD175" s="7">
        <f t="shared" si="830"/>
        <v>541556.80999999994</v>
      </c>
      <c r="AE175" s="7">
        <f t="shared" si="1037"/>
        <v>537993.92999999993</v>
      </c>
      <c r="AF175" s="7">
        <f t="shared" si="1037"/>
        <v>534431.04999999993</v>
      </c>
      <c r="AG175" s="7">
        <f t="shared" si="1037"/>
        <v>530868.16999999993</v>
      </c>
      <c r="AH175" s="7">
        <f t="shared" si="1037"/>
        <v>527305.28999999992</v>
      </c>
      <c r="AI175" s="7">
        <f t="shared" si="1037"/>
        <v>523742.40999999992</v>
      </c>
      <c r="AJ175" s="7">
        <f t="shared" si="1037"/>
        <v>520179.52999999991</v>
      </c>
      <c r="AK175" s="7">
        <f t="shared" si="1037"/>
        <v>516616.64999999991</v>
      </c>
      <c r="AL175" s="7">
        <f t="shared" si="1037"/>
        <v>513053.7699999999</v>
      </c>
      <c r="AM175" s="7">
        <f t="shared" si="1037"/>
        <v>509490.8899999999</v>
      </c>
      <c r="AN175" s="7">
        <f t="shared" si="1037"/>
        <v>505928.00999999989</v>
      </c>
      <c r="AO175" s="7">
        <f t="shared" si="1037"/>
        <v>502365.12999999989</v>
      </c>
      <c r="AP175" s="222">
        <f t="shared" si="1078"/>
        <v>11522.333019999996</v>
      </c>
      <c r="AQ175" s="7">
        <v>3562.8799999999997</v>
      </c>
      <c r="AR175" s="7">
        <f t="shared" si="831"/>
        <v>3562.8800000000047</v>
      </c>
      <c r="AS175" s="7">
        <f t="shared" si="832"/>
        <v>5.0022208597511053E-12</v>
      </c>
      <c r="AT175" s="7">
        <f t="shared" si="1038"/>
        <v>42754.559999999998</v>
      </c>
      <c r="AU175" s="7">
        <f t="shared" si="1039"/>
        <v>498802.24999999988</v>
      </c>
      <c r="AV175" s="7">
        <f t="shared" si="1040"/>
        <v>495239.36999999988</v>
      </c>
      <c r="AW175" s="7">
        <f t="shared" si="1040"/>
        <v>491676.48999999987</v>
      </c>
      <c r="AX175" s="7">
        <f t="shared" si="1040"/>
        <v>488113.60999999987</v>
      </c>
      <c r="AY175" s="7">
        <f t="shared" si="1040"/>
        <v>484550.72999999986</v>
      </c>
      <c r="AZ175" s="7">
        <f t="shared" si="1040"/>
        <v>480987.84999999986</v>
      </c>
      <c r="BA175" s="7">
        <f t="shared" si="1040"/>
        <v>477424.96999999986</v>
      </c>
      <c r="BB175" s="7">
        <f t="shared" si="1040"/>
        <v>473862.08999999985</v>
      </c>
      <c r="BC175" s="7">
        <f t="shared" si="1040"/>
        <v>470299.20999999985</v>
      </c>
      <c r="BD175" s="7">
        <f t="shared" si="1040"/>
        <v>466736.32999999984</v>
      </c>
      <c r="BE175" s="7">
        <f t="shared" si="1040"/>
        <v>463173.44999999984</v>
      </c>
      <c r="BF175" s="7">
        <f t="shared" si="1040"/>
        <v>459610.56999999983</v>
      </c>
      <c r="BG175" s="236">
        <f t="shared" si="827"/>
        <v>10581.732699999997</v>
      </c>
      <c r="BH175" s="7">
        <v>3562.8799999999997</v>
      </c>
      <c r="BI175" s="39">
        <f t="shared" ref="BI175:BI189" si="1093">BH175*12</f>
        <v>42754.559999999998</v>
      </c>
      <c r="BJ175" s="7">
        <f t="shared" si="1042"/>
        <v>456047.68999999983</v>
      </c>
      <c r="BK175" s="7">
        <f t="shared" si="1043"/>
        <v>452484.80999999982</v>
      </c>
      <c r="BL175" s="7">
        <f t="shared" si="1044"/>
        <v>448921.92999999982</v>
      </c>
      <c r="BM175" s="7">
        <f t="shared" si="1045"/>
        <v>445359.04999999981</v>
      </c>
      <c r="BN175" s="7">
        <f t="shared" si="1046"/>
        <v>441796.16999999981</v>
      </c>
      <c r="BO175" s="7">
        <f t="shared" si="1047"/>
        <v>438233.2899999998</v>
      </c>
      <c r="BP175" s="7">
        <f t="shared" si="1048"/>
        <v>434670.4099999998</v>
      </c>
      <c r="BQ175" s="7">
        <f t="shared" si="1049"/>
        <v>431107.5299999998</v>
      </c>
      <c r="BR175" s="7">
        <f t="shared" si="1050"/>
        <v>427544.64999999979</v>
      </c>
      <c r="BS175" s="7">
        <f t="shared" si="1051"/>
        <v>423981.76999999979</v>
      </c>
      <c r="BT175" s="7">
        <f t="shared" si="1052"/>
        <v>420418.88999999978</v>
      </c>
      <c r="BU175" s="7">
        <f t="shared" si="1053"/>
        <v>416856.00999999978</v>
      </c>
      <c r="BV175" s="236">
        <f t="shared" si="1079"/>
        <v>9641.1323799999955</v>
      </c>
      <c r="BW175" s="7">
        <v>3562.8799999999997</v>
      </c>
      <c r="BX175" s="39">
        <f t="shared" ref="BX175:BX189" si="1094">BW175*12</f>
        <v>42754.559999999998</v>
      </c>
      <c r="BY175" s="7">
        <f t="shared" ref="BY175:BY189" si="1095">BU175-BW175</f>
        <v>413293.12999999977</v>
      </c>
      <c r="BZ175" s="7">
        <f t="shared" si="1055"/>
        <v>409730.24999999977</v>
      </c>
      <c r="CA175" s="7">
        <f t="shared" si="1056"/>
        <v>406167.36999999976</v>
      </c>
      <c r="CB175" s="7">
        <f t="shared" si="1057"/>
        <v>402604.48999999976</v>
      </c>
      <c r="CC175" s="7">
        <f t="shared" ref="CC175:CC189" si="1096">CB175-$L175</f>
        <v>399041.60999999975</v>
      </c>
      <c r="CD175" s="7">
        <f t="shared" ref="CD175:CD189" si="1097">CC175-$L175</f>
        <v>395478.72999999975</v>
      </c>
      <c r="CE175" s="7">
        <f t="shared" ref="CE175:CE189" si="1098">CD175-$L175</f>
        <v>391915.84999999974</v>
      </c>
      <c r="CF175" s="7">
        <f t="shared" ref="CF175:CF189" si="1099">CE175-$L175</f>
        <v>388352.96999999974</v>
      </c>
      <c r="CG175" s="7">
        <f t="shared" ref="CG175:CG189" si="1100">CF175-$L175</f>
        <v>384790.08999999973</v>
      </c>
      <c r="CH175" s="7">
        <f t="shared" ref="CH175:CH189" si="1101">CG175-$L175</f>
        <v>381227.20999999973</v>
      </c>
      <c r="CI175" s="7">
        <f t="shared" ref="CI175:CI189" si="1102">CH175-$L175</f>
        <v>377664.32999999973</v>
      </c>
      <c r="CJ175" s="7">
        <f t="shared" ref="CJ175:CJ189" si="1103">CI175-$L175</f>
        <v>374101.44999999972</v>
      </c>
      <c r="CK175" s="236">
        <f t="shared" si="1080"/>
        <v>8700.5320599999941</v>
      </c>
      <c r="CL175" s="7">
        <v>3562.8799999999997</v>
      </c>
      <c r="CM175" s="39">
        <f t="shared" ref="CM175:CM189" si="1104">CL175*12</f>
        <v>42754.559999999998</v>
      </c>
      <c r="CN175" s="7">
        <f t="shared" ref="CN175:CN189" si="1105">CJ175-CL175</f>
        <v>370538.56999999972</v>
      </c>
      <c r="CO175" s="7">
        <f t="shared" ref="CO175:CO189" si="1106">CN175-$L175</f>
        <v>366975.68999999971</v>
      </c>
      <c r="CP175" s="7">
        <f t="shared" ref="CP175:CP189" si="1107">CO175-$L175</f>
        <v>363412.80999999971</v>
      </c>
      <c r="CQ175" s="7">
        <f t="shared" ref="CQ175:CQ189" si="1108">CP175-$L175</f>
        <v>359849.9299999997</v>
      </c>
      <c r="CR175" s="7">
        <f t="shared" ref="CR175:CR189" si="1109">CQ175-$L175</f>
        <v>356287.0499999997</v>
      </c>
      <c r="CS175" s="7">
        <f t="shared" ref="CS175:CS189" si="1110">CR175-$L175</f>
        <v>352724.16999999969</v>
      </c>
      <c r="CT175" s="7">
        <f t="shared" ref="CT175:CT189" si="1111">CS175-$L175</f>
        <v>349161.28999999969</v>
      </c>
      <c r="CU175" s="7">
        <f t="shared" ref="CU175:CU189" si="1112">CT175-$L175</f>
        <v>345598.40999999968</v>
      </c>
      <c r="CV175" s="7">
        <f t="shared" ref="CV175:CV189" si="1113">CU175-$L175</f>
        <v>342035.52999999968</v>
      </c>
      <c r="CW175" s="7">
        <f t="shared" ref="CW175:CW189" si="1114">CV175-$L175</f>
        <v>338472.64999999967</v>
      </c>
      <c r="CX175" s="7">
        <f t="shared" ref="CX175:CX189" si="1115">CW175-$L175</f>
        <v>334909.76999999967</v>
      </c>
      <c r="CY175" s="7">
        <f t="shared" ref="CY175:CY189" si="1116">CX175-$L175</f>
        <v>331346.88999999966</v>
      </c>
      <c r="CZ175" s="236">
        <f t="shared" si="1081"/>
        <v>7759.9317399999918</v>
      </c>
    </row>
    <row r="176" spans="1:104" x14ac:dyDescent="0.2">
      <c r="A176" s="6" t="str">
        <f>'[1]2021 УГРЦТ'!A179</f>
        <v>ВЛ-0,4 кВ от ТП-61 "Поликлиника" фидер "Губкина 16"</v>
      </c>
      <c r="B176" t="str">
        <f>'[1]2021 УГРЦТ'!B179</f>
        <v>000001826</v>
      </c>
      <c r="C176" t="str">
        <f>'[1]2021 УГРЦТ'!C179</f>
        <v>ПЕРЕДАЧА</v>
      </c>
      <c r="D176" t="str">
        <f>'[1]2021 УГРЦТ'!D179</f>
        <v>Сооружения</v>
      </c>
      <c r="E176" t="str">
        <f>'[1]2021 УГРЦТ'!E179</f>
        <v>04.12.2020</v>
      </c>
      <c r="F176" t="str">
        <f>'[1]2021 УГРЦТ'!F179</f>
        <v>Цех электрических сетей</v>
      </c>
      <c r="G176">
        <f>'[1]2021 УГРЦТ'!AC179</f>
        <v>480</v>
      </c>
      <c r="H176" s="7">
        <f>'[1]2021 УГРЦТ'!X179</f>
        <v>1251674.82</v>
      </c>
      <c r="I176" s="7">
        <f>'[1]2021 УГРЦТ'!Y179</f>
        <v>31291.870500000001</v>
      </c>
      <c r="J176" s="7">
        <f>'[1]2021 УГРЦТ'!Z179</f>
        <v>1220382.9495000001</v>
      </c>
      <c r="K176" s="8">
        <v>1</v>
      </c>
      <c r="L176" s="7">
        <v>2607.66</v>
      </c>
      <c r="M176" s="7"/>
      <c r="N176" s="7">
        <f t="shared" si="1035"/>
        <v>31291.919999999998</v>
      </c>
      <c r="O176" s="7">
        <f t="shared" si="828"/>
        <v>1217775.2895000002</v>
      </c>
      <c r="P176" s="7">
        <f t="shared" si="1036"/>
        <v>1215167.6295000003</v>
      </c>
      <c r="Q176" s="7">
        <f t="shared" si="1036"/>
        <v>1212559.9695000004</v>
      </c>
      <c r="R176" s="7">
        <f t="shared" si="1036"/>
        <v>1209952.3095000004</v>
      </c>
      <c r="S176" s="7">
        <f t="shared" si="1036"/>
        <v>1207344.6495000005</v>
      </c>
      <c r="T176" s="7">
        <f t="shared" si="1036"/>
        <v>1204736.9895000006</v>
      </c>
      <c r="U176" s="7">
        <f t="shared" si="1036"/>
        <v>1202129.3295000007</v>
      </c>
      <c r="V176" s="7">
        <f t="shared" si="1036"/>
        <v>1199521.6695000008</v>
      </c>
      <c r="W176" s="7">
        <f t="shared" si="1036"/>
        <v>1196914.0095000009</v>
      </c>
      <c r="X176" s="7">
        <f t="shared" si="1036"/>
        <v>1194306.3495000009</v>
      </c>
      <c r="Y176" s="7">
        <f t="shared" si="1036"/>
        <v>1191698.689500001</v>
      </c>
      <c r="Z176" s="7">
        <f t="shared" si="1036"/>
        <v>1189091.0295000011</v>
      </c>
      <c r="AA176" s="7">
        <f t="shared" si="1077"/>
        <v>26504.213769000013</v>
      </c>
      <c r="AB176" s="7"/>
      <c r="AC176" s="7">
        <f t="shared" si="829"/>
        <v>31291.919999999998</v>
      </c>
      <c r="AD176" s="7">
        <f t="shared" si="830"/>
        <v>1186483.3695000012</v>
      </c>
      <c r="AE176" s="7">
        <f t="shared" si="1037"/>
        <v>1183875.7095000013</v>
      </c>
      <c r="AF176" s="7">
        <f t="shared" si="1037"/>
        <v>1181268.0495000014</v>
      </c>
      <c r="AG176" s="7">
        <f t="shared" si="1037"/>
        <v>1178660.3895000014</v>
      </c>
      <c r="AH176" s="7">
        <f t="shared" si="1037"/>
        <v>1176052.7295000015</v>
      </c>
      <c r="AI176" s="7">
        <f t="shared" si="1037"/>
        <v>1173445.0695000016</v>
      </c>
      <c r="AJ176" s="7">
        <f t="shared" si="1037"/>
        <v>1170837.4095000017</v>
      </c>
      <c r="AK176" s="7">
        <f t="shared" si="1037"/>
        <v>1168229.7495000018</v>
      </c>
      <c r="AL176" s="7">
        <f t="shared" si="1037"/>
        <v>1165622.0895000019</v>
      </c>
      <c r="AM176" s="7">
        <f t="shared" si="1037"/>
        <v>1163014.4295000019</v>
      </c>
      <c r="AN176" s="7">
        <f t="shared" si="1037"/>
        <v>1160406.769500002</v>
      </c>
      <c r="AO176" s="7">
        <f t="shared" si="1037"/>
        <v>1157799.1095000021</v>
      </c>
      <c r="AP176" s="222">
        <f t="shared" si="1078"/>
        <v>25815.791529000038</v>
      </c>
      <c r="AQ176" s="7">
        <v>2607.66</v>
      </c>
      <c r="AR176" s="7">
        <f t="shared" si="831"/>
        <v>2607.6599999999162</v>
      </c>
      <c r="AS176" s="7">
        <f t="shared" si="832"/>
        <v>-8.3673512563109398E-11</v>
      </c>
      <c r="AT176" s="7">
        <f t="shared" si="1038"/>
        <v>31291.919999999998</v>
      </c>
      <c r="AU176" s="7">
        <f t="shared" si="1039"/>
        <v>1155191.4495000022</v>
      </c>
      <c r="AV176" s="7">
        <f t="shared" si="1040"/>
        <v>1152583.7895000023</v>
      </c>
      <c r="AW176" s="7">
        <f t="shared" si="1040"/>
        <v>1149976.1295000024</v>
      </c>
      <c r="AX176" s="7">
        <f t="shared" si="1040"/>
        <v>1147368.4695000025</v>
      </c>
      <c r="AY176" s="7">
        <f t="shared" si="1040"/>
        <v>1144760.8095000025</v>
      </c>
      <c r="AZ176" s="7">
        <f t="shared" si="1040"/>
        <v>1142153.1495000026</v>
      </c>
      <c r="BA176" s="7">
        <f t="shared" si="1040"/>
        <v>1139545.4895000027</v>
      </c>
      <c r="BB176" s="7">
        <f t="shared" si="1040"/>
        <v>1136937.8295000028</v>
      </c>
      <c r="BC176" s="7">
        <f t="shared" si="1040"/>
        <v>1134330.1695000029</v>
      </c>
      <c r="BD176" s="7">
        <f t="shared" si="1040"/>
        <v>1131722.509500003</v>
      </c>
      <c r="BE176" s="7">
        <f t="shared" si="1040"/>
        <v>1129114.849500003</v>
      </c>
      <c r="BF176" s="7">
        <f t="shared" si="1040"/>
        <v>1126507.1895000031</v>
      </c>
      <c r="BG176" s="236">
        <f t="shared" si="827"/>
        <v>25127.369289000057</v>
      </c>
      <c r="BH176" s="7">
        <v>2607.66</v>
      </c>
      <c r="BI176" s="39">
        <f t="shared" si="1093"/>
        <v>31291.919999999998</v>
      </c>
      <c r="BJ176" s="7">
        <f t="shared" si="1042"/>
        <v>1123899.5295000032</v>
      </c>
      <c r="BK176" s="7">
        <f t="shared" si="1043"/>
        <v>1121291.8695000033</v>
      </c>
      <c r="BL176" s="7">
        <f t="shared" si="1044"/>
        <v>1118684.2095000034</v>
      </c>
      <c r="BM176" s="7">
        <f t="shared" si="1045"/>
        <v>1116076.5495000035</v>
      </c>
      <c r="BN176" s="7">
        <f t="shared" si="1046"/>
        <v>1113468.8895000035</v>
      </c>
      <c r="BO176" s="7">
        <f t="shared" si="1047"/>
        <v>1110861.2295000036</v>
      </c>
      <c r="BP176" s="7">
        <f t="shared" si="1048"/>
        <v>1108253.5695000037</v>
      </c>
      <c r="BQ176" s="7">
        <f t="shared" si="1049"/>
        <v>1105645.9095000038</v>
      </c>
      <c r="BR176" s="7">
        <f t="shared" si="1050"/>
        <v>1103038.2495000039</v>
      </c>
      <c r="BS176" s="7">
        <f t="shared" si="1051"/>
        <v>1100430.589500004</v>
      </c>
      <c r="BT176" s="7">
        <f t="shared" si="1052"/>
        <v>1097822.929500004</v>
      </c>
      <c r="BU176" s="7">
        <f t="shared" si="1053"/>
        <v>1095215.2695000041</v>
      </c>
      <c r="BV176" s="236">
        <f t="shared" si="1079"/>
        <v>24438.947049000079</v>
      </c>
      <c r="BW176" s="7">
        <v>2607.66</v>
      </c>
      <c r="BX176" s="39">
        <f t="shared" si="1094"/>
        <v>31291.919999999998</v>
      </c>
      <c r="BY176" s="7">
        <f t="shared" si="1095"/>
        <v>1092607.6095000042</v>
      </c>
      <c r="BZ176" s="7">
        <f t="shared" si="1055"/>
        <v>1089999.9495000043</v>
      </c>
      <c r="CA176" s="7">
        <f t="shared" si="1056"/>
        <v>1087392.2895000044</v>
      </c>
      <c r="CB176" s="7">
        <f t="shared" si="1057"/>
        <v>1084784.6295000045</v>
      </c>
      <c r="CC176" s="7">
        <f t="shared" si="1096"/>
        <v>1082176.9695000045</v>
      </c>
      <c r="CD176" s="7">
        <f t="shared" si="1097"/>
        <v>1079569.3095000046</v>
      </c>
      <c r="CE176" s="7">
        <f t="shared" si="1098"/>
        <v>1076961.6495000047</v>
      </c>
      <c r="CF176" s="7">
        <f t="shared" si="1099"/>
        <v>1074353.9895000048</v>
      </c>
      <c r="CG176" s="7">
        <f t="shared" si="1100"/>
        <v>1071746.3295000049</v>
      </c>
      <c r="CH176" s="7">
        <f t="shared" si="1101"/>
        <v>1069138.669500005</v>
      </c>
      <c r="CI176" s="7">
        <f t="shared" si="1102"/>
        <v>1066531.009500005</v>
      </c>
      <c r="CJ176" s="7">
        <f t="shared" si="1103"/>
        <v>1063923.3495000051</v>
      </c>
      <c r="CK176" s="236">
        <f t="shared" si="1080"/>
        <v>23750.524809000101</v>
      </c>
      <c r="CL176" s="7">
        <v>2607.66</v>
      </c>
      <c r="CM176" s="39">
        <f t="shared" si="1104"/>
        <v>31291.919999999998</v>
      </c>
      <c r="CN176" s="7">
        <f t="shared" si="1105"/>
        <v>1061315.6895000052</v>
      </c>
      <c r="CO176" s="7">
        <f t="shared" si="1106"/>
        <v>1058708.0295000053</v>
      </c>
      <c r="CP176" s="7">
        <f t="shared" si="1107"/>
        <v>1056100.3695000054</v>
      </c>
      <c r="CQ176" s="7">
        <f t="shared" si="1108"/>
        <v>1053492.7095000055</v>
      </c>
      <c r="CR176" s="7">
        <f t="shared" si="1109"/>
        <v>1050885.0495000056</v>
      </c>
      <c r="CS176" s="7">
        <f t="shared" si="1110"/>
        <v>1048277.3895000055</v>
      </c>
      <c r="CT176" s="7">
        <f t="shared" si="1111"/>
        <v>1045669.7295000055</v>
      </c>
      <c r="CU176" s="7">
        <f t="shared" si="1112"/>
        <v>1043062.0695000055</v>
      </c>
      <c r="CV176" s="7">
        <f t="shared" si="1113"/>
        <v>1040454.4095000054</v>
      </c>
      <c r="CW176" s="7">
        <f t="shared" si="1114"/>
        <v>1037846.7495000054</v>
      </c>
      <c r="CX176" s="7">
        <f t="shared" si="1115"/>
        <v>1035239.0895000054</v>
      </c>
      <c r="CY176" s="7">
        <f t="shared" si="1116"/>
        <v>1032631.4295000053</v>
      </c>
      <c r="CZ176" s="236">
        <f t="shared" si="1081"/>
        <v>23062.102569000115</v>
      </c>
    </row>
    <row r="177" spans="1:104" x14ac:dyDescent="0.2">
      <c r="A177" s="6" t="str">
        <f>'[1]2021 УГРЦТ'!A180</f>
        <v>ВЛ-0,4 кВ р-н ул.Первомайская, д.8  160м</v>
      </c>
      <c r="B177" t="str">
        <f>'[1]2021 УГРЦТ'!B180</f>
        <v>00001360</v>
      </c>
      <c r="C177" t="str">
        <f>'[1]2021 УГРЦТ'!C180</f>
        <v>ПЕРЕДАЧА</v>
      </c>
      <c r="D177" t="str">
        <f>'[1]2021 УГРЦТ'!D180</f>
        <v>Сооружения</v>
      </c>
      <c r="E177" t="str">
        <f>'[1]2021 УГРЦТ'!E180</f>
        <v>30.06.2011</v>
      </c>
      <c r="F177" t="str">
        <f>'[1]2021 УГРЦТ'!F180</f>
        <v>Цех электрических сетей</v>
      </c>
      <c r="G177">
        <f>'[1]2021 УГРЦТ'!AC180</f>
        <v>398</v>
      </c>
      <c r="H177" s="7">
        <f>'[1]2021 УГРЦТ'!X180</f>
        <v>141175.79</v>
      </c>
      <c r="I177" s="7">
        <f>'[1]2021 УГРЦТ'!Y180</f>
        <v>43434.34</v>
      </c>
      <c r="J177" s="7">
        <f>'[1]2021 УГРЦТ'!Z180</f>
        <v>97741.450000000012</v>
      </c>
      <c r="K177" s="8">
        <v>1</v>
      </c>
      <c r="L177" s="7">
        <v>359.34999999999997</v>
      </c>
      <c r="M177" s="7"/>
      <c r="N177" s="7">
        <f t="shared" si="1035"/>
        <v>4312.2</v>
      </c>
      <c r="O177" s="7">
        <f t="shared" si="828"/>
        <v>97382.1</v>
      </c>
      <c r="P177" s="7">
        <f t="shared" si="1036"/>
        <v>97022.75</v>
      </c>
      <c r="Q177" s="7">
        <f t="shared" si="1036"/>
        <v>96663.4</v>
      </c>
      <c r="R177" s="7">
        <f t="shared" si="1036"/>
        <v>96304.049999999988</v>
      </c>
      <c r="S177" s="7">
        <f t="shared" si="1036"/>
        <v>95944.699999999983</v>
      </c>
      <c r="T177" s="7">
        <f t="shared" si="1036"/>
        <v>95585.349999999977</v>
      </c>
      <c r="U177" s="7">
        <f t="shared" si="1036"/>
        <v>95225.999999999971</v>
      </c>
      <c r="V177" s="7">
        <f t="shared" si="1036"/>
        <v>94866.649999999965</v>
      </c>
      <c r="W177" s="7">
        <f t="shared" si="1036"/>
        <v>94507.299999999959</v>
      </c>
      <c r="X177" s="7">
        <f t="shared" si="1036"/>
        <v>94147.949999999953</v>
      </c>
      <c r="Y177" s="7">
        <f t="shared" si="1036"/>
        <v>93788.599999999948</v>
      </c>
      <c r="Z177" s="7">
        <f t="shared" si="1036"/>
        <v>93429.249999999942</v>
      </c>
      <c r="AA177" s="7">
        <f t="shared" si="1077"/>
        <v>2102.8776999999995</v>
      </c>
      <c r="AB177" s="7"/>
      <c r="AC177" s="7">
        <f t="shared" si="829"/>
        <v>4312.2</v>
      </c>
      <c r="AD177" s="7">
        <f t="shared" si="830"/>
        <v>93069.899999999936</v>
      </c>
      <c r="AE177" s="7">
        <f t="shared" si="1037"/>
        <v>92710.54999999993</v>
      </c>
      <c r="AF177" s="7">
        <f t="shared" si="1037"/>
        <v>92351.199999999924</v>
      </c>
      <c r="AG177" s="7">
        <f t="shared" si="1037"/>
        <v>91991.849999999919</v>
      </c>
      <c r="AH177" s="7">
        <f t="shared" si="1037"/>
        <v>91632.499999999913</v>
      </c>
      <c r="AI177" s="7">
        <f t="shared" si="1037"/>
        <v>91273.149999999907</v>
      </c>
      <c r="AJ177" s="7">
        <f t="shared" si="1037"/>
        <v>90913.799999999901</v>
      </c>
      <c r="AK177" s="7">
        <f t="shared" si="1037"/>
        <v>90554.449999999895</v>
      </c>
      <c r="AL177" s="7">
        <f t="shared" si="1037"/>
        <v>90195.099999999889</v>
      </c>
      <c r="AM177" s="7">
        <f t="shared" si="1037"/>
        <v>89835.749999999884</v>
      </c>
      <c r="AN177" s="7">
        <f t="shared" si="1037"/>
        <v>89476.399999999878</v>
      </c>
      <c r="AO177" s="7">
        <f t="shared" si="1037"/>
        <v>89117.049999999872</v>
      </c>
      <c r="AP177" s="222">
        <f t="shared" si="1078"/>
        <v>2008.0092999999981</v>
      </c>
      <c r="AQ177" s="7">
        <v>359.34999999999997</v>
      </c>
      <c r="AR177" s="7">
        <f t="shared" si="831"/>
        <v>359.35000000000582</v>
      </c>
      <c r="AS177" s="7">
        <f t="shared" si="832"/>
        <v>5.8548721426632255E-12</v>
      </c>
      <c r="AT177" s="7">
        <f t="shared" si="1038"/>
        <v>4312.2</v>
      </c>
      <c r="AU177" s="7">
        <f t="shared" si="1039"/>
        <v>88757.699999999866</v>
      </c>
      <c r="AV177" s="7">
        <f t="shared" si="1040"/>
        <v>88398.34999999986</v>
      </c>
      <c r="AW177" s="7">
        <f t="shared" si="1040"/>
        <v>88038.999999999854</v>
      </c>
      <c r="AX177" s="7">
        <f t="shared" si="1040"/>
        <v>87679.649999999849</v>
      </c>
      <c r="AY177" s="7">
        <f t="shared" si="1040"/>
        <v>87320.299999999843</v>
      </c>
      <c r="AZ177" s="7">
        <f t="shared" si="1040"/>
        <v>86960.949999999837</v>
      </c>
      <c r="BA177" s="7">
        <f t="shared" si="1040"/>
        <v>86601.599999999831</v>
      </c>
      <c r="BB177" s="7">
        <f t="shared" si="1040"/>
        <v>86242.249999999825</v>
      </c>
      <c r="BC177" s="7">
        <f t="shared" si="1040"/>
        <v>85882.89999999982</v>
      </c>
      <c r="BD177" s="7">
        <f t="shared" si="1040"/>
        <v>85523.549999999814</v>
      </c>
      <c r="BE177" s="7">
        <f t="shared" si="1040"/>
        <v>85164.199999999808</v>
      </c>
      <c r="BF177" s="7">
        <f t="shared" si="1040"/>
        <v>84804.849999999802</v>
      </c>
      <c r="BG177" s="236">
        <f t="shared" si="827"/>
        <v>1913.1408999999967</v>
      </c>
      <c r="BH177" s="7">
        <v>359.34999999999997</v>
      </c>
      <c r="BI177" s="39">
        <f t="shared" si="1093"/>
        <v>4312.2</v>
      </c>
      <c r="BJ177" s="7">
        <f t="shared" si="1042"/>
        <v>84445.499999999796</v>
      </c>
      <c r="BK177" s="7">
        <f t="shared" si="1043"/>
        <v>84086.14999999979</v>
      </c>
      <c r="BL177" s="7">
        <f t="shared" si="1044"/>
        <v>83726.799999999785</v>
      </c>
      <c r="BM177" s="7">
        <f t="shared" si="1045"/>
        <v>83367.449999999779</v>
      </c>
      <c r="BN177" s="7">
        <f t="shared" si="1046"/>
        <v>83008.099999999773</v>
      </c>
      <c r="BO177" s="7">
        <f t="shared" si="1047"/>
        <v>82648.749999999767</v>
      </c>
      <c r="BP177" s="7">
        <f t="shared" si="1048"/>
        <v>82289.399999999761</v>
      </c>
      <c r="BQ177" s="7">
        <f t="shared" si="1049"/>
        <v>81930.049999999756</v>
      </c>
      <c r="BR177" s="7">
        <f t="shared" si="1050"/>
        <v>81570.69999999975</v>
      </c>
      <c r="BS177" s="7">
        <f t="shared" si="1051"/>
        <v>81211.349999999744</v>
      </c>
      <c r="BT177" s="7">
        <f t="shared" si="1052"/>
        <v>80851.999999999738</v>
      </c>
      <c r="BU177" s="7">
        <f t="shared" si="1053"/>
        <v>80492.649999999732</v>
      </c>
      <c r="BV177" s="236">
        <f t="shared" si="1079"/>
        <v>1818.272499999995</v>
      </c>
      <c r="BW177" s="7">
        <v>359.34999999999997</v>
      </c>
      <c r="BX177" s="39">
        <f t="shared" si="1094"/>
        <v>4312.2</v>
      </c>
      <c r="BY177" s="7">
        <f t="shared" si="1095"/>
        <v>80133.299999999726</v>
      </c>
      <c r="BZ177" s="7">
        <f t="shared" si="1055"/>
        <v>79773.949999999721</v>
      </c>
      <c r="CA177" s="7">
        <f t="shared" si="1056"/>
        <v>79414.599999999715</v>
      </c>
      <c r="CB177" s="7">
        <f t="shared" si="1057"/>
        <v>79055.249999999709</v>
      </c>
      <c r="CC177" s="7">
        <f t="shared" si="1096"/>
        <v>78695.899999999703</v>
      </c>
      <c r="CD177" s="7">
        <f t="shared" si="1097"/>
        <v>78336.549999999697</v>
      </c>
      <c r="CE177" s="7">
        <f t="shared" si="1098"/>
        <v>77977.199999999691</v>
      </c>
      <c r="CF177" s="7">
        <f t="shared" si="1099"/>
        <v>77617.849999999686</v>
      </c>
      <c r="CG177" s="7">
        <f t="shared" si="1100"/>
        <v>77258.49999999968</v>
      </c>
      <c r="CH177" s="7">
        <f t="shared" si="1101"/>
        <v>76899.149999999674</v>
      </c>
      <c r="CI177" s="7">
        <f t="shared" si="1102"/>
        <v>76539.799999999668</v>
      </c>
      <c r="CJ177" s="7">
        <f t="shared" si="1103"/>
        <v>76180.449999999662</v>
      </c>
      <c r="CK177" s="236">
        <f t="shared" si="1080"/>
        <v>1723.4040999999936</v>
      </c>
      <c r="CL177" s="7">
        <v>359.34999999999997</v>
      </c>
      <c r="CM177" s="39">
        <f t="shared" si="1104"/>
        <v>4312.2</v>
      </c>
      <c r="CN177" s="7">
        <f t="shared" si="1105"/>
        <v>75821.099999999657</v>
      </c>
      <c r="CO177" s="7">
        <f t="shared" si="1106"/>
        <v>75461.749999999651</v>
      </c>
      <c r="CP177" s="7">
        <f t="shared" si="1107"/>
        <v>75102.399999999645</v>
      </c>
      <c r="CQ177" s="7">
        <f t="shared" si="1108"/>
        <v>74743.049999999639</v>
      </c>
      <c r="CR177" s="7">
        <f t="shared" si="1109"/>
        <v>74383.699999999633</v>
      </c>
      <c r="CS177" s="7">
        <f t="shared" si="1110"/>
        <v>74024.349999999627</v>
      </c>
      <c r="CT177" s="7">
        <f t="shared" si="1111"/>
        <v>73664.999999999622</v>
      </c>
      <c r="CU177" s="7">
        <f t="shared" si="1112"/>
        <v>73305.649999999616</v>
      </c>
      <c r="CV177" s="7">
        <f t="shared" si="1113"/>
        <v>72946.29999999961</v>
      </c>
      <c r="CW177" s="7">
        <f t="shared" si="1114"/>
        <v>72586.949999999604</v>
      </c>
      <c r="CX177" s="7">
        <f t="shared" si="1115"/>
        <v>72227.599999999598</v>
      </c>
      <c r="CY177" s="7">
        <f t="shared" si="1116"/>
        <v>71868.249999999593</v>
      </c>
      <c r="CZ177" s="236">
        <f t="shared" si="1081"/>
        <v>1628.5356999999919</v>
      </c>
    </row>
    <row r="178" spans="1:104" x14ac:dyDescent="0.2">
      <c r="A178" s="6" t="str">
        <f>'[1]2021 УГРЦТ'!A181</f>
        <v>ВЛ-0,4кВ "Малый Качгорт"</v>
      </c>
      <c r="B178" t="str">
        <f>'[1]2021 УГРЦТ'!B181</f>
        <v>000001698</v>
      </c>
      <c r="C178" t="str">
        <f>'[1]2021 УГРЦТ'!C181</f>
        <v>ПЕРЕДАЧА</v>
      </c>
      <c r="D178" t="str">
        <f>'[1]2021 УГРЦТ'!D181</f>
        <v>Сооружения</v>
      </c>
      <c r="E178" t="str">
        <f>'[1]2021 УГРЦТ'!E181</f>
        <v>09.12.2016</v>
      </c>
      <c r="F178" t="str">
        <f>'[1]2021 УГРЦТ'!F181</f>
        <v>Цех электрических сетей</v>
      </c>
      <c r="G178">
        <f>'[1]2021 УГРЦТ'!AC181</f>
        <v>180</v>
      </c>
      <c r="H178" s="7">
        <f>'[1]2021 УГРЦТ'!X181</f>
        <v>246467.05</v>
      </c>
      <c r="I178" s="7">
        <f>'[1]2021 УГРЦТ'!Y181</f>
        <v>82155.616666666654</v>
      </c>
      <c r="J178" s="7">
        <f>'[1]2021 УГРЦТ'!Z181</f>
        <v>164311.43333333335</v>
      </c>
      <c r="K178" s="8">
        <v>1</v>
      </c>
      <c r="L178" s="7">
        <v>1369.26</v>
      </c>
      <c r="M178" s="7"/>
      <c r="N178" s="7">
        <f t="shared" si="1035"/>
        <v>16431.12</v>
      </c>
      <c r="O178" s="7">
        <f t="shared" si="828"/>
        <v>162942.17333333334</v>
      </c>
      <c r="P178" s="7">
        <f t="shared" si="1036"/>
        <v>161572.91333333333</v>
      </c>
      <c r="Q178" s="7">
        <f t="shared" si="1036"/>
        <v>160203.65333333332</v>
      </c>
      <c r="R178" s="7">
        <f t="shared" si="1036"/>
        <v>158834.39333333331</v>
      </c>
      <c r="S178" s="7">
        <f t="shared" si="1036"/>
        <v>157465.1333333333</v>
      </c>
      <c r="T178" s="7">
        <f t="shared" si="1036"/>
        <v>156095.87333333329</v>
      </c>
      <c r="U178" s="7">
        <f t="shared" si="1036"/>
        <v>154726.61333333328</v>
      </c>
      <c r="V178" s="7">
        <f t="shared" si="1036"/>
        <v>153357.35333333327</v>
      </c>
      <c r="W178" s="7">
        <f t="shared" si="1036"/>
        <v>151988.09333333327</v>
      </c>
      <c r="X178" s="7">
        <f t="shared" si="1036"/>
        <v>150618.83333333326</v>
      </c>
      <c r="Y178" s="7">
        <f t="shared" si="1036"/>
        <v>149249.57333333325</v>
      </c>
      <c r="Z178" s="7">
        <f t="shared" si="1036"/>
        <v>147880.31333333324</v>
      </c>
      <c r="AA178" s="7">
        <f t="shared" si="1077"/>
        <v>3434.1092133333323</v>
      </c>
      <c r="AB178" s="7"/>
      <c r="AC178" s="7">
        <f t="shared" si="829"/>
        <v>16431.12</v>
      </c>
      <c r="AD178" s="7">
        <f t="shared" si="830"/>
        <v>146511.05333333323</v>
      </c>
      <c r="AE178" s="7">
        <f t="shared" si="1037"/>
        <v>145141.79333333322</v>
      </c>
      <c r="AF178" s="7">
        <f t="shared" si="1037"/>
        <v>143772.53333333321</v>
      </c>
      <c r="AG178" s="7">
        <f t="shared" si="1037"/>
        <v>142403.2733333332</v>
      </c>
      <c r="AH178" s="7">
        <f t="shared" si="1037"/>
        <v>141034.01333333319</v>
      </c>
      <c r="AI178" s="7">
        <f t="shared" si="1037"/>
        <v>139664.75333333318</v>
      </c>
      <c r="AJ178" s="7">
        <f t="shared" si="1037"/>
        <v>138295.49333333317</v>
      </c>
      <c r="AK178" s="7">
        <f t="shared" si="1037"/>
        <v>136926.23333333316</v>
      </c>
      <c r="AL178" s="7">
        <f t="shared" si="1037"/>
        <v>135556.97333333315</v>
      </c>
      <c r="AM178" s="7">
        <f t="shared" si="1037"/>
        <v>134187.71333333314</v>
      </c>
      <c r="AN178" s="7">
        <f t="shared" si="1037"/>
        <v>132818.45333333313</v>
      </c>
      <c r="AO178" s="7">
        <f t="shared" si="1037"/>
        <v>131449.19333333313</v>
      </c>
      <c r="AP178" s="222">
        <f t="shared" si="1078"/>
        <v>3072.6245733333299</v>
      </c>
      <c r="AQ178" s="7">
        <v>1369.26</v>
      </c>
      <c r="AR178" s="7">
        <f t="shared" si="831"/>
        <v>1369.2600000000093</v>
      </c>
      <c r="AS178" s="7">
        <f t="shared" si="832"/>
        <v>9.3223206931725144E-12</v>
      </c>
      <c r="AT178" s="7">
        <f t="shared" si="1038"/>
        <v>16431.12</v>
      </c>
      <c r="AU178" s="7">
        <f t="shared" si="1039"/>
        <v>130079.93333333313</v>
      </c>
      <c r="AV178" s="7">
        <f t="shared" si="1040"/>
        <v>128710.67333333314</v>
      </c>
      <c r="AW178" s="7">
        <f t="shared" si="1040"/>
        <v>127341.41333333314</v>
      </c>
      <c r="AX178" s="7">
        <f t="shared" si="1040"/>
        <v>125972.15333333315</v>
      </c>
      <c r="AY178" s="7">
        <f t="shared" si="1040"/>
        <v>124602.89333333315</v>
      </c>
      <c r="AZ178" s="7">
        <f t="shared" si="1040"/>
        <v>123233.63333333316</v>
      </c>
      <c r="BA178" s="7">
        <f t="shared" si="1040"/>
        <v>121864.37333333316</v>
      </c>
      <c r="BB178" s="7">
        <f t="shared" si="1040"/>
        <v>120495.11333333317</v>
      </c>
      <c r="BC178" s="7">
        <f t="shared" si="1040"/>
        <v>119125.85333333317</v>
      </c>
      <c r="BD178" s="7">
        <f t="shared" si="1040"/>
        <v>117756.59333333318</v>
      </c>
      <c r="BE178" s="7">
        <f t="shared" si="1040"/>
        <v>116387.33333333318</v>
      </c>
      <c r="BF178" s="7">
        <f t="shared" si="1040"/>
        <v>115018.07333333319</v>
      </c>
      <c r="BG178" s="236">
        <f t="shared" si="827"/>
        <v>2711.1399333333297</v>
      </c>
      <c r="BH178" s="7">
        <v>1369.26</v>
      </c>
      <c r="BI178" s="39">
        <f t="shared" si="1093"/>
        <v>16431.12</v>
      </c>
      <c r="BJ178" s="7">
        <f t="shared" si="1042"/>
        <v>113648.81333333319</v>
      </c>
      <c r="BK178" s="7">
        <f t="shared" si="1043"/>
        <v>112279.5533333332</v>
      </c>
      <c r="BL178" s="7">
        <f t="shared" si="1044"/>
        <v>110910.2933333332</v>
      </c>
      <c r="BM178" s="7">
        <f t="shared" si="1045"/>
        <v>109541.03333333321</v>
      </c>
      <c r="BN178" s="7">
        <f t="shared" si="1046"/>
        <v>108171.77333333321</v>
      </c>
      <c r="BO178" s="7">
        <f t="shared" si="1047"/>
        <v>106802.51333333322</v>
      </c>
      <c r="BP178" s="7">
        <f t="shared" si="1048"/>
        <v>105433.25333333322</v>
      </c>
      <c r="BQ178" s="7">
        <f t="shared" si="1049"/>
        <v>104063.99333333323</v>
      </c>
      <c r="BR178" s="7">
        <f t="shared" si="1050"/>
        <v>102694.73333333324</v>
      </c>
      <c r="BS178" s="7">
        <f t="shared" si="1051"/>
        <v>101325.47333333324</v>
      </c>
      <c r="BT178" s="7">
        <f t="shared" si="1052"/>
        <v>99956.213333333246</v>
      </c>
      <c r="BU178" s="7">
        <f t="shared" si="1053"/>
        <v>98586.953333333251</v>
      </c>
      <c r="BV178" s="236">
        <f t="shared" si="1079"/>
        <v>2349.6552933333305</v>
      </c>
      <c r="BW178" s="7">
        <v>1369.26</v>
      </c>
      <c r="BX178" s="39">
        <f t="shared" si="1094"/>
        <v>16431.12</v>
      </c>
      <c r="BY178" s="7">
        <f t="shared" si="1095"/>
        <v>97217.693333333256</v>
      </c>
      <c r="BZ178" s="7">
        <f t="shared" si="1055"/>
        <v>95848.433333333262</v>
      </c>
      <c r="CA178" s="7">
        <f t="shared" si="1056"/>
        <v>94479.173333333267</v>
      </c>
      <c r="CB178" s="7">
        <f t="shared" si="1057"/>
        <v>93109.913333333272</v>
      </c>
      <c r="CC178" s="7">
        <f t="shared" si="1096"/>
        <v>91740.653333333277</v>
      </c>
      <c r="CD178" s="7">
        <f t="shared" si="1097"/>
        <v>90371.393333333282</v>
      </c>
      <c r="CE178" s="7">
        <f t="shared" si="1098"/>
        <v>89002.133333333288</v>
      </c>
      <c r="CF178" s="7">
        <f t="shared" si="1099"/>
        <v>87632.873333333293</v>
      </c>
      <c r="CG178" s="7">
        <f t="shared" si="1100"/>
        <v>86263.613333333298</v>
      </c>
      <c r="CH178" s="7">
        <f t="shared" si="1101"/>
        <v>84894.353333333303</v>
      </c>
      <c r="CI178" s="7">
        <f t="shared" si="1102"/>
        <v>83525.093333333309</v>
      </c>
      <c r="CJ178" s="7">
        <f t="shared" si="1103"/>
        <v>82155.833333333314</v>
      </c>
      <c r="CK178" s="236">
        <f t="shared" si="1080"/>
        <v>1988.1706533333324</v>
      </c>
      <c r="CL178" s="7">
        <v>1369.26</v>
      </c>
      <c r="CM178" s="39">
        <f t="shared" si="1104"/>
        <v>16431.12</v>
      </c>
      <c r="CN178" s="7">
        <f t="shared" si="1105"/>
        <v>80786.573333333319</v>
      </c>
      <c r="CO178" s="7">
        <f t="shared" si="1106"/>
        <v>79417.313333333324</v>
      </c>
      <c r="CP178" s="7">
        <f t="shared" si="1107"/>
        <v>78048.05333333333</v>
      </c>
      <c r="CQ178" s="7">
        <f t="shared" si="1108"/>
        <v>76678.793333333335</v>
      </c>
      <c r="CR178" s="7">
        <f t="shared" si="1109"/>
        <v>75309.53333333334</v>
      </c>
      <c r="CS178" s="7">
        <f t="shared" si="1110"/>
        <v>73940.273333333345</v>
      </c>
      <c r="CT178" s="7">
        <f t="shared" si="1111"/>
        <v>72571.013333333351</v>
      </c>
      <c r="CU178" s="7">
        <f t="shared" si="1112"/>
        <v>71201.753333333356</v>
      </c>
      <c r="CV178" s="7">
        <f t="shared" si="1113"/>
        <v>69832.493333333361</v>
      </c>
      <c r="CW178" s="7">
        <f t="shared" si="1114"/>
        <v>68463.233333333366</v>
      </c>
      <c r="CX178" s="7">
        <f t="shared" si="1115"/>
        <v>67093.973333333372</v>
      </c>
      <c r="CY178" s="7">
        <f t="shared" si="1116"/>
        <v>65724.713333333377</v>
      </c>
      <c r="CZ178" s="236">
        <f t="shared" si="1081"/>
        <v>1626.6860133333334</v>
      </c>
    </row>
    <row r="179" spans="1:104" x14ac:dyDescent="0.2">
      <c r="A179" s="6" t="str">
        <f>'[1]2021 УГРЦТ'!A182</f>
        <v>ВЛ-0,4кВ (от ТП Бондарная до очистных) 240м</v>
      </c>
      <c r="B179" t="str">
        <f>'[1]2021 УГРЦТ'!B182</f>
        <v>00001225</v>
      </c>
      <c r="C179" t="str">
        <f>'[1]2021 УГРЦТ'!C182</f>
        <v>ПЕРЕДАЧА</v>
      </c>
      <c r="D179" t="str">
        <f>'[1]2021 УГРЦТ'!D182</f>
        <v>Сооружения</v>
      </c>
      <c r="E179" t="str">
        <f>'[1]2021 УГРЦТ'!E182</f>
        <v>30.06.2010</v>
      </c>
      <c r="F179" t="str">
        <f>'[1]2021 УГРЦТ'!F182</f>
        <v>Цех электрических сетей</v>
      </c>
      <c r="G179">
        <f>'[1]2021 УГРЦТ'!AC182</f>
        <v>410</v>
      </c>
      <c r="H179" s="7">
        <f>'[1]2021 УГРЦТ'!X182</f>
        <v>511357.63</v>
      </c>
      <c r="I179" s="7">
        <f>'[1]2021 УГРЦТ'!Y182</f>
        <v>180397.62</v>
      </c>
      <c r="J179" s="7">
        <f>'[1]2021 УГРЦТ'!Z182</f>
        <v>330960.01</v>
      </c>
      <c r="K179" s="8">
        <v>1</v>
      </c>
      <c r="L179" s="7">
        <v>1216.7700000000002</v>
      </c>
      <c r="M179" s="7"/>
      <c r="N179" s="7">
        <f t="shared" si="1035"/>
        <v>14601.240000000002</v>
      </c>
      <c r="O179" s="7">
        <f t="shared" si="828"/>
        <v>329743.24</v>
      </c>
      <c r="P179" s="7">
        <f t="shared" si="1036"/>
        <v>328526.46999999997</v>
      </c>
      <c r="Q179" s="7">
        <f t="shared" si="1036"/>
        <v>327309.69999999995</v>
      </c>
      <c r="R179" s="7">
        <f t="shared" si="1036"/>
        <v>326092.92999999993</v>
      </c>
      <c r="S179" s="7">
        <f t="shared" si="1036"/>
        <v>324876.15999999992</v>
      </c>
      <c r="T179" s="7">
        <f t="shared" si="1036"/>
        <v>323659.3899999999</v>
      </c>
      <c r="U179" s="7">
        <f t="shared" si="1036"/>
        <v>322442.61999999988</v>
      </c>
      <c r="V179" s="7">
        <f t="shared" si="1036"/>
        <v>321225.84999999986</v>
      </c>
      <c r="W179" s="7">
        <f t="shared" si="1036"/>
        <v>320009.07999999984</v>
      </c>
      <c r="X179" s="7">
        <f t="shared" si="1036"/>
        <v>318792.30999999982</v>
      </c>
      <c r="Y179" s="7">
        <f t="shared" si="1036"/>
        <v>317575.5399999998</v>
      </c>
      <c r="Z179" s="7">
        <f t="shared" si="1036"/>
        <v>316358.76999999979</v>
      </c>
      <c r="AA179" s="7">
        <f t="shared" si="1077"/>
        <v>7120.5065799999975</v>
      </c>
      <c r="AB179" s="7"/>
      <c r="AC179" s="7">
        <f t="shared" si="829"/>
        <v>14601.240000000002</v>
      </c>
      <c r="AD179" s="7">
        <f t="shared" si="830"/>
        <v>315141.99999999977</v>
      </c>
      <c r="AE179" s="7">
        <f t="shared" si="1037"/>
        <v>313925.22999999975</v>
      </c>
      <c r="AF179" s="7">
        <f t="shared" si="1037"/>
        <v>312708.45999999973</v>
      </c>
      <c r="AG179" s="7">
        <f t="shared" si="1037"/>
        <v>311491.68999999971</v>
      </c>
      <c r="AH179" s="7">
        <f t="shared" si="1037"/>
        <v>310274.91999999969</v>
      </c>
      <c r="AI179" s="7">
        <f t="shared" si="1037"/>
        <v>309058.14999999967</v>
      </c>
      <c r="AJ179" s="7">
        <f t="shared" si="1037"/>
        <v>307841.37999999966</v>
      </c>
      <c r="AK179" s="7">
        <f t="shared" si="1037"/>
        <v>306624.60999999964</v>
      </c>
      <c r="AL179" s="7">
        <f t="shared" si="1037"/>
        <v>305407.83999999962</v>
      </c>
      <c r="AM179" s="7">
        <f t="shared" si="1037"/>
        <v>304191.0699999996</v>
      </c>
      <c r="AN179" s="7">
        <f t="shared" si="1037"/>
        <v>302974.29999999958</v>
      </c>
      <c r="AO179" s="7">
        <f t="shared" si="1037"/>
        <v>301757.52999999956</v>
      </c>
      <c r="AP179" s="222">
        <f t="shared" si="1078"/>
        <v>6799.2792999999929</v>
      </c>
      <c r="AQ179" s="7">
        <v>1216.7700000000002</v>
      </c>
      <c r="AR179" s="7">
        <f t="shared" si="831"/>
        <v>1216.7700000000186</v>
      </c>
      <c r="AS179" s="7">
        <f t="shared" si="832"/>
        <v>1.8417267710901797E-11</v>
      </c>
      <c r="AT179" s="7">
        <f t="shared" si="1038"/>
        <v>14601.240000000002</v>
      </c>
      <c r="AU179" s="7">
        <f t="shared" si="1039"/>
        <v>300540.75999999954</v>
      </c>
      <c r="AV179" s="7">
        <f t="shared" si="1040"/>
        <v>299323.98999999953</v>
      </c>
      <c r="AW179" s="7">
        <f t="shared" si="1040"/>
        <v>298107.21999999951</v>
      </c>
      <c r="AX179" s="7">
        <f t="shared" si="1040"/>
        <v>296890.44999999949</v>
      </c>
      <c r="AY179" s="7">
        <f t="shared" si="1040"/>
        <v>295673.67999999947</v>
      </c>
      <c r="AZ179" s="7">
        <f t="shared" si="1040"/>
        <v>294456.90999999945</v>
      </c>
      <c r="BA179" s="7">
        <f t="shared" si="1040"/>
        <v>293240.13999999943</v>
      </c>
      <c r="BB179" s="7">
        <f t="shared" si="1040"/>
        <v>292023.36999999941</v>
      </c>
      <c r="BC179" s="7">
        <f t="shared" si="1040"/>
        <v>290806.59999999939</v>
      </c>
      <c r="BD179" s="7">
        <f t="shared" si="1040"/>
        <v>289589.82999999938</v>
      </c>
      <c r="BE179" s="7">
        <f t="shared" si="1040"/>
        <v>288373.05999999936</v>
      </c>
      <c r="BF179" s="7">
        <f t="shared" si="1040"/>
        <v>287156.28999999934</v>
      </c>
      <c r="BG179" s="236">
        <f t="shared" si="827"/>
        <v>6478.0520199999874</v>
      </c>
      <c r="BH179" s="7">
        <v>1216.7700000000002</v>
      </c>
      <c r="BI179" s="39">
        <f t="shared" si="1093"/>
        <v>14601.240000000002</v>
      </c>
      <c r="BJ179" s="7">
        <f t="shared" si="1042"/>
        <v>285939.51999999932</v>
      </c>
      <c r="BK179" s="7">
        <f t="shared" si="1043"/>
        <v>284722.7499999993</v>
      </c>
      <c r="BL179" s="7">
        <f t="shared" si="1044"/>
        <v>283505.97999999928</v>
      </c>
      <c r="BM179" s="7">
        <f t="shared" si="1045"/>
        <v>282289.20999999926</v>
      </c>
      <c r="BN179" s="7">
        <f t="shared" si="1046"/>
        <v>281072.43999999925</v>
      </c>
      <c r="BO179" s="7">
        <f t="shared" si="1047"/>
        <v>279855.66999999923</v>
      </c>
      <c r="BP179" s="7">
        <f t="shared" si="1048"/>
        <v>278638.89999999921</v>
      </c>
      <c r="BQ179" s="7">
        <f t="shared" si="1049"/>
        <v>277422.12999999919</v>
      </c>
      <c r="BR179" s="7">
        <f t="shared" si="1050"/>
        <v>276205.35999999917</v>
      </c>
      <c r="BS179" s="7">
        <f t="shared" si="1051"/>
        <v>274988.58999999915</v>
      </c>
      <c r="BT179" s="7">
        <f t="shared" si="1052"/>
        <v>273771.81999999913</v>
      </c>
      <c r="BU179" s="7">
        <f t="shared" si="1053"/>
        <v>272555.04999999912</v>
      </c>
      <c r="BV179" s="236">
        <f t="shared" si="1079"/>
        <v>6156.8247399999827</v>
      </c>
      <c r="BW179" s="7">
        <v>1216.7700000000002</v>
      </c>
      <c r="BX179" s="39">
        <f t="shared" si="1094"/>
        <v>14601.240000000002</v>
      </c>
      <c r="BY179" s="7">
        <f t="shared" si="1095"/>
        <v>271338.2799999991</v>
      </c>
      <c r="BZ179" s="7">
        <f t="shared" si="1055"/>
        <v>270121.50999999908</v>
      </c>
      <c r="CA179" s="7">
        <f t="shared" si="1056"/>
        <v>268904.73999999906</v>
      </c>
      <c r="CB179" s="7">
        <f t="shared" si="1057"/>
        <v>267687.96999999904</v>
      </c>
      <c r="CC179" s="7">
        <f t="shared" si="1096"/>
        <v>266471.19999999902</v>
      </c>
      <c r="CD179" s="7">
        <f t="shared" si="1097"/>
        <v>265254.429999999</v>
      </c>
      <c r="CE179" s="7">
        <f t="shared" si="1098"/>
        <v>264037.65999999898</v>
      </c>
      <c r="CF179" s="7">
        <f t="shared" si="1099"/>
        <v>262820.88999999897</v>
      </c>
      <c r="CG179" s="7">
        <f t="shared" si="1100"/>
        <v>261604.11999999898</v>
      </c>
      <c r="CH179" s="7">
        <f t="shared" si="1101"/>
        <v>260387.34999999899</v>
      </c>
      <c r="CI179" s="7">
        <f t="shared" si="1102"/>
        <v>259170.579999999</v>
      </c>
      <c r="CJ179" s="7">
        <f t="shared" si="1103"/>
        <v>257953.80999999901</v>
      </c>
      <c r="CK179" s="236">
        <f t="shared" si="1080"/>
        <v>5835.597459999979</v>
      </c>
      <c r="CL179" s="7">
        <v>1216.7700000000002</v>
      </c>
      <c r="CM179" s="39">
        <f t="shared" si="1104"/>
        <v>14601.240000000002</v>
      </c>
      <c r="CN179" s="7">
        <f t="shared" si="1105"/>
        <v>256737.03999999902</v>
      </c>
      <c r="CO179" s="7">
        <f t="shared" si="1106"/>
        <v>255520.26999999903</v>
      </c>
      <c r="CP179" s="7">
        <f t="shared" si="1107"/>
        <v>254303.49999999904</v>
      </c>
      <c r="CQ179" s="7">
        <f t="shared" si="1108"/>
        <v>253086.72999999905</v>
      </c>
      <c r="CR179" s="7">
        <f t="shared" si="1109"/>
        <v>251869.95999999906</v>
      </c>
      <c r="CS179" s="7">
        <f t="shared" si="1110"/>
        <v>250653.18999999907</v>
      </c>
      <c r="CT179" s="7">
        <f t="shared" si="1111"/>
        <v>249436.41999999908</v>
      </c>
      <c r="CU179" s="7">
        <f t="shared" si="1112"/>
        <v>248219.64999999909</v>
      </c>
      <c r="CV179" s="7">
        <f t="shared" si="1113"/>
        <v>247002.8799999991</v>
      </c>
      <c r="CW179" s="7">
        <f t="shared" si="1114"/>
        <v>245786.10999999911</v>
      </c>
      <c r="CX179" s="7">
        <f t="shared" si="1115"/>
        <v>244569.33999999912</v>
      </c>
      <c r="CY179" s="7">
        <f t="shared" si="1116"/>
        <v>243352.56999999913</v>
      </c>
      <c r="CZ179" s="236">
        <f t="shared" si="1081"/>
        <v>5514.3701799999781</v>
      </c>
    </row>
    <row r="180" spans="1:104" ht="22.5" x14ac:dyDescent="0.2">
      <c r="A180" s="6" t="str">
        <f>'[1]2021 УГРЦТ'!A183</f>
        <v>ВЛ-0,4кВ от ТП22 "Поселок РБК", г.Нарьян-Мар, Ненецкий автономный округ</v>
      </c>
      <c r="B180" t="str">
        <f>'[1]2021 УГРЦТ'!B183</f>
        <v>000001829</v>
      </c>
      <c r="C180" t="str">
        <f>'[1]2021 УГРЦТ'!C183</f>
        <v>ПЕРЕДАЧА</v>
      </c>
      <c r="D180" t="str">
        <f>'[1]2021 УГРЦТ'!D183</f>
        <v>Сооружения</v>
      </c>
      <c r="E180" t="str">
        <f>'[1]2021 УГРЦТ'!E183</f>
        <v>30.12.2020</v>
      </c>
      <c r="F180" t="str">
        <f>'[1]2021 УГРЦТ'!F183</f>
        <v>Цех электрических сетей</v>
      </c>
      <c r="G180">
        <f>'[1]2021 УГРЦТ'!AC183</f>
        <v>480</v>
      </c>
      <c r="H180" s="7">
        <f>'[1]2021 УГРЦТ'!X183</f>
        <v>11037518.26</v>
      </c>
      <c r="I180" s="7">
        <f>'[1]2021 УГРЦТ'!Y183</f>
        <v>275937.95650000003</v>
      </c>
      <c r="J180" s="7">
        <f>'[1]2021 УГРЦТ'!Z183</f>
        <v>10761580.3035</v>
      </c>
      <c r="K180" s="8">
        <v>1</v>
      </c>
      <c r="L180" s="7">
        <v>22994.830000000005</v>
      </c>
      <c r="M180" s="7"/>
      <c r="N180" s="7">
        <f t="shared" si="1035"/>
        <v>275937.96000000008</v>
      </c>
      <c r="O180" s="7">
        <f t="shared" si="828"/>
        <v>10738585.4735</v>
      </c>
      <c r="P180" s="7">
        <f t="shared" si="1036"/>
        <v>10715590.6435</v>
      </c>
      <c r="Q180" s="7">
        <f t="shared" si="1036"/>
        <v>10692595.8135</v>
      </c>
      <c r="R180" s="7">
        <f t="shared" si="1036"/>
        <v>10669600.9835</v>
      </c>
      <c r="S180" s="7">
        <f t="shared" si="1036"/>
        <v>10646606.1535</v>
      </c>
      <c r="T180" s="7">
        <f t="shared" si="1036"/>
        <v>10623611.3235</v>
      </c>
      <c r="U180" s="7">
        <f t="shared" si="1036"/>
        <v>10600616.4935</v>
      </c>
      <c r="V180" s="7">
        <f t="shared" si="1036"/>
        <v>10577621.6635</v>
      </c>
      <c r="W180" s="7">
        <f t="shared" si="1036"/>
        <v>10554626.8335</v>
      </c>
      <c r="X180" s="7">
        <f t="shared" si="1036"/>
        <v>10531632.0035</v>
      </c>
      <c r="Y180" s="7">
        <f t="shared" si="1036"/>
        <v>10508637.1735</v>
      </c>
      <c r="Z180" s="7">
        <f t="shared" si="1036"/>
        <v>10485642.343499999</v>
      </c>
      <c r="AA180" s="7">
        <f t="shared" si="1077"/>
        <v>233719.44911699998</v>
      </c>
      <c r="AB180" s="7"/>
      <c r="AC180" s="7">
        <f t="shared" si="829"/>
        <v>275937.96000000008</v>
      </c>
      <c r="AD180" s="7">
        <f t="shared" si="830"/>
        <v>10462647.513499999</v>
      </c>
      <c r="AE180" s="7">
        <f t="shared" si="1037"/>
        <v>10439652.683499999</v>
      </c>
      <c r="AF180" s="7">
        <f t="shared" si="1037"/>
        <v>10416657.853499999</v>
      </c>
      <c r="AG180" s="7">
        <f t="shared" si="1037"/>
        <v>10393663.023499999</v>
      </c>
      <c r="AH180" s="7">
        <f t="shared" si="1037"/>
        <v>10370668.193499999</v>
      </c>
      <c r="AI180" s="7">
        <f t="shared" si="1037"/>
        <v>10347673.363499999</v>
      </c>
      <c r="AJ180" s="7">
        <f t="shared" si="1037"/>
        <v>10324678.533499999</v>
      </c>
      <c r="AK180" s="7">
        <f t="shared" si="1037"/>
        <v>10301683.703499999</v>
      </c>
      <c r="AL180" s="7">
        <f t="shared" si="1037"/>
        <v>10278688.873499999</v>
      </c>
      <c r="AM180" s="7">
        <f t="shared" si="1037"/>
        <v>10255694.043499999</v>
      </c>
      <c r="AN180" s="7">
        <f t="shared" si="1037"/>
        <v>10232699.213499999</v>
      </c>
      <c r="AO180" s="7">
        <f t="shared" si="1037"/>
        <v>10209704.383499999</v>
      </c>
      <c r="AP180" s="222">
        <f t="shared" si="1078"/>
        <v>227648.81399699996</v>
      </c>
      <c r="AQ180" s="7">
        <v>22994.830000000005</v>
      </c>
      <c r="AR180" s="7">
        <f t="shared" si="831"/>
        <v>22994.830000000075</v>
      </c>
      <c r="AS180" s="7">
        <f t="shared" si="832"/>
        <v>6.9121597334742546E-11</v>
      </c>
      <c r="AT180" s="7">
        <f t="shared" si="1038"/>
        <v>275937.96000000008</v>
      </c>
      <c r="AU180" s="7">
        <f t="shared" si="1039"/>
        <v>10186709.553499999</v>
      </c>
      <c r="AV180" s="7">
        <f t="shared" si="1040"/>
        <v>10163714.723499998</v>
      </c>
      <c r="AW180" s="7">
        <f t="shared" si="1040"/>
        <v>10140719.893499998</v>
      </c>
      <c r="AX180" s="7">
        <f t="shared" si="1040"/>
        <v>10117725.063499998</v>
      </c>
      <c r="AY180" s="7">
        <f t="shared" si="1040"/>
        <v>10094730.233499998</v>
      </c>
      <c r="AZ180" s="7">
        <f t="shared" si="1040"/>
        <v>10071735.403499998</v>
      </c>
      <c r="BA180" s="7">
        <f t="shared" si="1040"/>
        <v>10048740.573499998</v>
      </c>
      <c r="BB180" s="7">
        <f t="shared" si="1040"/>
        <v>10025745.743499998</v>
      </c>
      <c r="BC180" s="7">
        <f t="shared" si="1040"/>
        <v>10002750.913499998</v>
      </c>
      <c r="BD180" s="7">
        <f t="shared" si="1040"/>
        <v>9979756.0834999979</v>
      </c>
      <c r="BE180" s="7">
        <f t="shared" si="1040"/>
        <v>9956761.2534999978</v>
      </c>
      <c r="BF180" s="7">
        <f t="shared" si="1040"/>
        <v>9933766.4234999977</v>
      </c>
      <c r="BG180" s="236">
        <f t="shared" si="827"/>
        <v>221578.17887699994</v>
      </c>
      <c r="BH180" s="7">
        <v>22994.830000000005</v>
      </c>
      <c r="BI180" s="39">
        <f t="shared" si="1093"/>
        <v>275937.96000000008</v>
      </c>
      <c r="BJ180" s="7">
        <f t="shared" si="1042"/>
        <v>9910771.5934999976</v>
      </c>
      <c r="BK180" s="7">
        <f t="shared" si="1043"/>
        <v>9887776.7634999976</v>
      </c>
      <c r="BL180" s="7">
        <f t="shared" si="1044"/>
        <v>9864781.9334999975</v>
      </c>
      <c r="BM180" s="7">
        <f t="shared" si="1045"/>
        <v>9841787.1034999974</v>
      </c>
      <c r="BN180" s="7">
        <f t="shared" si="1046"/>
        <v>9818792.2734999973</v>
      </c>
      <c r="BO180" s="7">
        <f t="shared" si="1047"/>
        <v>9795797.4434999973</v>
      </c>
      <c r="BP180" s="7">
        <f t="shared" si="1048"/>
        <v>9772802.6134999972</v>
      </c>
      <c r="BQ180" s="7">
        <f t="shared" si="1049"/>
        <v>9749807.7834999971</v>
      </c>
      <c r="BR180" s="7">
        <f t="shared" si="1050"/>
        <v>9726812.953499997</v>
      </c>
      <c r="BS180" s="7">
        <f t="shared" si="1051"/>
        <v>9703818.123499997</v>
      </c>
      <c r="BT180" s="7">
        <f t="shared" si="1052"/>
        <v>9680823.2934999969</v>
      </c>
      <c r="BU180" s="7">
        <f t="shared" si="1053"/>
        <v>9657828.4634999968</v>
      </c>
      <c r="BV180" s="236">
        <f t="shared" si="1079"/>
        <v>215507.54375699992</v>
      </c>
      <c r="BW180" s="7">
        <v>22994.830000000005</v>
      </c>
      <c r="BX180" s="39">
        <f t="shared" si="1094"/>
        <v>275937.96000000008</v>
      </c>
      <c r="BY180" s="7">
        <f t="shared" si="1095"/>
        <v>9634833.6334999967</v>
      </c>
      <c r="BZ180" s="7">
        <f t="shared" si="1055"/>
        <v>9611838.8034999967</v>
      </c>
      <c r="CA180" s="7">
        <f t="shared" si="1056"/>
        <v>9588843.9734999966</v>
      </c>
      <c r="CB180" s="7">
        <f t="shared" si="1057"/>
        <v>9565849.1434999965</v>
      </c>
      <c r="CC180" s="7">
        <f t="shared" si="1096"/>
        <v>9542854.3134999964</v>
      </c>
      <c r="CD180" s="7">
        <f t="shared" si="1097"/>
        <v>9519859.4834999964</v>
      </c>
      <c r="CE180" s="7">
        <f t="shared" si="1098"/>
        <v>9496864.6534999963</v>
      </c>
      <c r="CF180" s="7">
        <f t="shared" si="1099"/>
        <v>9473869.8234999962</v>
      </c>
      <c r="CG180" s="7">
        <f t="shared" si="1100"/>
        <v>9450874.9934999961</v>
      </c>
      <c r="CH180" s="7">
        <f t="shared" si="1101"/>
        <v>9427880.1634999961</v>
      </c>
      <c r="CI180" s="7">
        <f t="shared" si="1102"/>
        <v>9404885.333499996</v>
      </c>
      <c r="CJ180" s="7">
        <f t="shared" si="1103"/>
        <v>9381890.5034999959</v>
      </c>
      <c r="CK180" s="236">
        <f t="shared" si="1080"/>
        <v>209436.9086369999</v>
      </c>
      <c r="CL180" s="7">
        <v>22994.830000000005</v>
      </c>
      <c r="CM180" s="39">
        <f t="shared" si="1104"/>
        <v>275937.96000000008</v>
      </c>
      <c r="CN180" s="7">
        <f t="shared" si="1105"/>
        <v>9358895.6734999958</v>
      </c>
      <c r="CO180" s="7">
        <f t="shared" si="1106"/>
        <v>9335900.8434999958</v>
      </c>
      <c r="CP180" s="7">
        <f t="shared" si="1107"/>
        <v>9312906.0134999957</v>
      </c>
      <c r="CQ180" s="7">
        <f t="shared" si="1108"/>
        <v>9289911.1834999956</v>
      </c>
      <c r="CR180" s="7">
        <f t="shared" si="1109"/>
        <v>9266916.3534999955</v>
      </c>
      <c r="CS180" s="7">
        <f t="shared" si="1110"/>
        <v>9243921.5234999955</v>
      </c>
      <c r="CT180" s="7">
        <f t="shared" si="1111"/>
        <v>9220926.6934999954</v>
      </c>
      <c r="CU180" s="7">
        <f t="shared" si="1112"/>
        <v>9197931.8634999953</v>
      </c>
      <c r="CV180" s="7">
        <f t="shared" si="1113"/>
        <v>9174937.0334999952</v>
      </c>
      <c r="CW180" s="7">
        <f t="shared" si="1114"/>
        <v>9151942.2034999952</v>
      </c>
      <c r="CX180" s="7">
        <f t="shared" si="1115"/>
        <v>9128947.3734999951</v>
      </c>
      <c r="CY180" s="7">
        <f t="shared" si="1116"/>
        <v>9105952.543499995</v>
      </c>
      <c r="CZ180" s="236">
        <f t="shared" si="1081"/>
        <v>203366.27351699988</v>
      </c>
    </row>
    <row r="181" spans="1:104" x14ac:dyDescent="0.2">
      <c r="A181" s="6" t="str">
        <f>'[1]2021 УГРЦТ'!A184</f>
        <v>ВЛ-6кВ "Малый Качгорт"</v>
      </c>
      <c r="B181" t="str">
        <f>'[1]2021 УГРЦТ'!B184</f>
        <v>000001696</v>
      </c>
      <c r="C181" t="str">
        <f>'[1]2021 УГРЦТ'!C184</f>
        <v>ПЕРЕДАЧА</v>
      </c>
      <c r="D181" t="str">
        <f>'[1]2021 УГРЦТ'!D184</f>
        <v>Сооружения</v>
      </c>
      <c r="E181" t="str">
        <f>'[1]2021 УГРЦТ'!E184</f>
        <v>09.12.2016</v>
      </c>
      <c r="F181" t="str">
        <f>'[1]2021 УГРЦТ'!F184</f>
        <v>Цех электрических сетей</v>
      </c>
      <c r="G181">
        <f>'[1]2021 УГРЦТ'!AC184</f>
        <v>180</v>
      </c>
      <c r="H181" s="7">
        <f>'[1]2021 УГРЦТ'!X184</f>
        <v>438055.37</v>
      </c>
      <c r="I181" s="7">
        <f>'[1]2021 УГРЦТ'!Y184</f>
        <v>146018.41133333332</v>
      </c>
      <c r="J181" s="7">
        <f>'[1]2021 УГРЦТ'!Z184</f>
        <v>292036.95866666664</v>
      </c>
      <c r="K181" s="8">
        <v>1</v>
      </c>
      <c r="L181" s="7">
        <v>2433.64</v>
      </c>
      <c r="M181" s="7"/>
      <c r="N181" s="7">
        <f t="shared" si="1035"/>
        <v>29203.68</v>
      </c>
      <c r="O181" s="7">
        <f t="shared" si="828"/>
        <v>289603.31866666663</v>
      </c>
      <c r="P181" s="7">
        <f t="shared" si="1036"/>
        <v>287169.67866666662</v>
      </c>
      <c r="Q181" s="7">
        <f t="shared" si="1036"/>
        <v>284736.0386666666</v>
      </c>
      <c r="R181" s="7">
        <f t="shared" si="1036"/>
        <v>282302.39866666659</v>
      </c>
      <c r="S181" s="7">
        <f t="shared" si="1036"/>
        <v>279868.75866666657</v>
      </c>
      <c r="T181" s="7">
        <f t="shared" si="1036"/>
        <v>277435.11866666656</v>
      </c>
      <c r="U181" s="7">
        <f t="shared" si="1036"/>
        <v>275001.47866666655</v>
      </c>
      <c r="V181" s="7">
        <f t="shared" si="1036"/>
        <v>272567.83866666653</v>
      </c>
      <c r="W181" s="7">
        <f t="shared" si="1036"/>
        <v>270134.19866666652</v>
      </c>
      <c r="X181" s="7">
        <f t="shared" si="1036"/>
        <v>267700.5586666665</v>
      </c>
      <c r="Y181" s="7">
        <f t="shared" si="1036"/>
        <v>265266.91866666649</v>
      </c>
      <c r="Z181" s="7">
        <f t="shared" si="1036"/>
        <v>262833.27866666648</v>
      </c>
      <c r="AA181" s="7">
        <f t="shared" si="1077"/>
        <v>6103.5726106666625</v>
      </c>
      <c r="AB181" s="7"/>
      <c r="AC181" s="7">
        <f t="shared" si="829"/>
        <v>29203.68</v>
      </c>
      <c r="AD181" s="7">
        <f t="shared" si="830"/>
        <v>260399.63866666646</v>
      </c>
      <c r="AE181" s="7">
        <f t="shared" si="1037"/>
        <v>257965.99866666645</v>
      </c>
      <c r="AF181" s="7">
        <f t="shared" si="1037"/>
        <v>255532.35866666643</v>
      </c>
      <c r="AG181" s="7">
        <f t="shared" si="1037"/>
        <v>253098.71866666642</v>
      </c>
      <c r="AH181" s="7">
        <f t="shared" si="1037"/>
        <v>250665.07866666641</v>
      </c>
      <c r="AI181" s="7">
        <f t="shared" si="1037"/>
        <v>248231.43866666639</v>
      </c>
      <c r="AJ181" s="7">
        <f t="shared" si="1037"/>
        <v>245797.79866666638</v>
      </c>
      <c r="AK181" s="7">
        <f t="shared" si="1037"/>
        <v>243364.15866666636</v>
      </c>
      <c r="AL181" s="7">
        <f t="shared" si="1037"/>
        <v>240930.51866666635</v>
      </c>
      <c r="AM181" s="7">
        <f t="shared" si="1037"/>
        <v>238496.87866666634</v>
      </c>
      <c r="AN181" s="7">
        <f t="shared" si="1037"/>
        <v>236063.23866666632</v>
      </c>
      <c r="AO181" s="7">
        <f t="shared" si="1037"/>
        <v>233629.59866666631</v>
      </c>
      <c r="AP181" s="222">
        <f t="shared" si="1078"/>
        <v>5461.0916506666599</v>
      </c>
      <c r="AQ181" s="7">
        <v>2433.64</v>
      </c>
      <c r="AR181" s="7">
        <f t="shared" si="831"/>
        <v>2433.640000000014</v>
      </c>
      <c r="AS181" s="7">
        <f t="shared" si="832"/>
        <v>1.4097167877480388E-11</v>
      </c>
      <c r="AT181" s="7">
        <f t="shared" si="1038"/>
        <v>29203.68</v>
      </c>
      <c r="AU181" s="7">
        <f t="shared" si="1039"/>
        <v>231195.95866666629</v>
      </c>
      <c r="AV181" s="7">
        <f t="shared" si="1040"/>
        <v>228762.31866666628</v>
      </c>
      <c r="AW181" s="7">
        <f t="shared" si="1040"/>
        <v>226328.67866666627</v>
      </c>
      <c r="AX181" s="7">
        <f t="shared" si="1040"/>
        <v>223895.03866666625</v>
      </c>
      <c r="AY181" s="7">
        <f t="shared" si="1040"/>
        <v>221461.39866666624</v>
      </c>
      <c r="AZ181" s="7">
        <f t="shared" si="1040"/>
        <v>219027.75866666622</v>
      </c>
      <c r="BA181" s="7">
        <f t="shared" si="1040"/>
        <v>216594.11866666621</v>
      </c>
      <c r="BB181" s="7">
        <f t="shared" si="1040"/>
        <v>214160.4786666662</v>
      </c>
      <c r="BC181" s="7">
        <f t="shared" si="1040"/>
        <v>211726.83866666618</v>
      </c>
      <c r="BD181" s="7">
        <f t="shared" si="1040"/>
        <v>209293.19866666617</v>
      </c>
      <c r="BE181" s="7">
        <f t="shared" si="1040"/>
        <v>206859.55866666615</v>
      </c>
      <c r="BF181" s="7">
        <f t="shared" si="1040"/>
        <v>204425.91866666614</v>
      </c>
      <c r="BG181" s="236">
        <f t="shared" si="827"/>
        <v>4818.6106906666555</v>
      </c>
      <c r="BH181" s="7">
        <v>2433.64</v>
      </c>
      <c r="BI181" s="39">
        <f t="shared" si="1093"/>
        <v>29203.68</v>
      </c>
      <c r="BJ181" s="7">
        <f t="shared" si="1042"/>
        <v>201992.27866666613</v>
      </c>
      <c r="BK181" s="7">
        <f t="shared" si="1043"/>
        <v>199558.63866666611</v>
      </c>
      <c r="BL181" s="7">
        <f t="shared" si="1044"/>
        <v>197124.9986666661</v>
      </c>
      <c r="BM181" s="7">
        <f t="shared" si="1045"/>
        <v>194691.35866666608</v>
      </c>
      <c r="BN181" s="7">
        <f t="shared" si="1046"/>
        <v>192257.71866666607</v>
      </c>
      <c r="BO181" s="7">
        <f t="shared" si="1047"/>
        <v>189824.07866666606</v>
      </c>
      <c r="BP181" s="7">
        <f t="shared" si="1048"/>
        <v>187390.43866666604</v>
      </c>
      <c r="BQ181" s="7">
        <f t="shared" si="1049"/>
        <v>184956.79866666603</v>
      </c>
      <c r="BR181" s="7">
        <f t="shared" si="1050"/>
        <v>182523.15866666602</v>
      </c>
      <c r="BS181" s="7">
        <f t="shared" si="1051"/>
        <v>180089.518666666</v>
      </c>
      <c r="BT181" s="7">
        <f t="shared" si="1052"/>
        <v>177655.87866666599</v>
      </c>
      <c r="BU181" s="7">
        <f t="shared" si="1053"/>
        <v>175222.23866666597</v>
      </c>
      <c r="BV181" s="236">
        <f t="shared" si="1079"/>
        <v>4176.129730666652</v>
      </c>
      <c r="BW181" s="7">
        <v>2433.64</v>
      </c>
      <c r="BX181" s="39">
        <f t="shared" si="1094"/>
        <v>29203.68</v>
      </c>
      <c r="BY181" s="7">
        <f t="shared" si="1095"/>
        <v>172788.59866666596</v>
      </c>
      <c r="BZ181" s="7">
        <f t="shared" si="1055"/>
        <v>170354.95866666595</v>
      </c>
      <c r="CA181" s="7">
        <f t="shared" si="1056"/>
        <v>167921.31866666593</v>
      </c>
      <c r="CB181" s="7">
        <f t="shared" si="1057"/>
        <v>165487.67866666592</v>
      </c>
      <c r="CC181" s="7">
        <f t="shared" si="1096"/>
        <v>163054.0386666659</v>
      </c>
      <c r="CD181" s="7">
        <f t="shared" si="1097"/>
        <v>160620.39866666589</v>
      </c>
      <c r="CE181" s="7">
        <f t="shared" si="1098"/>
        <v>158186.75866666588</v>
      </c>
      <c r="CF181" s="7">
        <f t="shared" si="1099"/>
        <v>155753.11866666586</v>
      </c>
      <c r="CG181" s="7">
        <f t="shared" si="1100"/>
        <v>153319.47866666585</v>
      </c>
      <c r="CH181" s="7">
        <f t="shared" si="1101"/>
        <v>150885.83866666583</v>
      </c>
      <c r="CI181" s="7">
        <f t="shared" si="1102"/>
        <v>148452.19866666582</v>
      </c>
      <c r="CJ181" s="7">
        <f t="shared" si="1103"/>
        <v>146018.55866666581</v>
      </c>
      <c r="CK181" s="236">
        <f t="shared" si="1080"/>
        <v>3533.6487706666494</v>
      </c>
      <c r="CL181" s="7">
        <v>2433.64</v>
      </c>
      <c r="CM181" s="39">
        <f t="shared" si="1104"/>
        <v>29203.68</v>
      </c>
      <c r="CN181" s="7">
        <f t="shared" si="1105"/>
        <v>143584.91866666579</v>
      </c>
      <c r="CO181" s="7">
        <f t="shared" si="1106"/>
        <v>141151.27866666578</v>
      </c>
      <c r="CP181" s="7">
        <f t="shared" si="1107"/>
        <v>138717.63866666576</v>
      </c>
      <c r="CQ181" s="7">
        <f t="shared" si="1108"/>
        <v>136283.99866666575</v>
      </c>
      <c r="CR181" s="7">
        <f t="shared" si="1109"/>
        <v>133850.35866666574</v>
      </c>
      <c r="CS181" s="7">
        <f t="shared" si="1110"/>
        <v>131416.71866666572</v>
      </c>
      <c r="CT181" s="7">
        <f t="shared" si="1111"/>
        <v>128983.07866666572</v>
      </c>
      <c r="CU181" s="7">
        <f t="shared" si="1112"/>
        <v>126549.43866666572</v>
      </c>
      <c r="CV181" s="7">
        <f t="shared" si="1113"/>
        <v>124115.79866666572</v>
      </c>
      <c r="CW181" s="7">
        <f t="shared" si="1114"/>
        <v>121682.15866666572</v>
      </c>
      <c r="CX181" s="7">
        <f t="shared" si="1115"/>
        <v>119248.51866666572</v>
      </c>
      <c r="CY181" s="7">
        <f t="shared" si="1116"/>
        <v>116814.87866666573</v>
      </c>
      <c r="CZ181" s="236">
        <f t="shared" si="1081"/>
        <v>2891.1678106666463</v>
      </c>
    </row>
    <row r="182" spans="1:104" x14ac:dyDescent="0.2">
      <c r="A182" s="6" t="str">
        <f>'[1]2021 УГРЦТ'!A185</f>
        <v>Воздушная линия 0,4 кВ (ТУ 13 от 28.01.21)</v>
      </c>
      <c r="B182" t="str">
        <f>'[1]2021 УГРЦТ'!B185</f>
        <v>000001865</v>
      </c>
      <c r="C182" t="str">
        <f>'[1]2021 УГРЦТ'!C185</f>
        <v>ПЕРЕДАЧА</v>
      </c>
      <c r="D182" t="str">
        <f>'[1]2021 УГРЦТ'!D185</f>
        <v>Сооружения</v>
      </c>
      <c r="E182" t="str">
        <f>'[1]2021 УГРЦТ'!E185</f>
        <v>19.10.2021</v>
      </c>
      <c r="F182" t="str">
        <f>'[1]2021 УГРЦТ'!F185</f>
        <v>Цех электрических сетей</v>
      </c>
      <c r="G182">
        <f>'[1]2021 УГРЦТ'!AC185</f>
        <v>480</v>
      </c>
      <c r="H182" s="7">
        <f>'[1]2021 УГРЦТ'!X185</f>
        <v>98108.66</v>
      </c>
      <c r="I182" s="7">
        <f>'[1]2021 УГРЦТ'!Y185</f>
        <v>408.78608333333335</v>
      </c>
      <c r="J182" s="7">
        <f>'[1]2021 УГРЦТ'!Z185</f>
        <v>97699.873916666664</v>
      </c>
      <c r="K182" s="8">
        <v>1</v>
      </c>
      <c r="L182" s="7">
        <v>204.39</v>
      </c>
      <c r="M182" s="7"/>
      <c r="N182" s="7">
        <f t="shared" si="1035"/>
        <v>2452.6799999999998</v>
      </c>
      <c r="O182" s="7">
        <f t="shared" si="828"/>
        <v>97495.483916666664</v>
      </c>
      <c r="P182" s="7">
        <f t="shared" si="1036"/>
        <v>97291.093916666665</v>
      </c>
      <c r="Q182" s="7">
        <f t="shared" si="1036"/>
        <v>97086.703916666665</v>
      </c>
      <c r="R182" s="7">
        <f t="shared" si="1036"/>
        <v>96882.313916666666</v>
      </c>
      <c r="S182" s="7">
        <f t="shared" si="1036"/>
        <v>96677.923916666667</v>
      </c>
      <c r="T182" s="7">
        <f t="shared" si="1036"/>
        <v>96473.533916666667</v>
      </c>
      <c r="U182" s="7">
        <f t="shared" si="1036"/>
        <v>96269.143916666668</v>
      </c>
      <c r="V182" s="7">
        <f t="shared" si="1036"/>
        <v>96064.753916666668</v>
      </c>
      <c r="W182" s="7">
        <f t="shared" si="1036"/>
        <v>95860.363916666669</v>
      </c>
      <c r="X182" s="7">
        <f t="shared" si="1036"/>
        <v>95655.97391666667</v>
      </c>
      <c r="Y182" s="7">
        <f t="shared" si="1036"/>
        <v>95451.58391666667</v>
      </c>
      <c r="Z182" s="7">
        <f t="shared" si="1036"/>
        <v>95247.193916666671</v>
      </c>
      <c r="AA182" s="7">
        <f t="shared" si="1077"/>
        <v>2122.4177461666663</v>
      </c>
      <c r="AB182" s="7"/>
      <c r="AC182" s="7">
        <f t="shared" si="829"/>
        <v>2452.6799999999998</v>
      </c>
      <c r="AD182" s="7">
        <f t="shared" si="830"/>
        <v>95042.803916666671</v>
      </c>
      <c r="AE182" s="7">
        <f t="shared" si="1037"/>
        <v>94838.413916666672</v>
      </c>
      <c r="AF182" s="7">
        <f t="shared" si="1037"/>
        <v>94634.023916666672</v>
      </c>
      <c r="AG182" s="7">
        <f t="shared" si="1037"/>
        <v>94429.633916666673</v>
      </c>
      <c r="AH182" s="7">
        <f t="shared" si="1037"/>
        <v>94225.243916666674</v>
      </c>
      <c r="AI182" s="7">
        <f t="shared" si="1037"/>
        <v>94020.853916666674</v>
      </c>
      <c r="AJ182" s="7">
        <f t="shared" si="1037"/>
        <v>93816.463916666675</v>
      </c>
      <c r="AK182" s="7">
        <f t="shared" si="1037"/>
        <v>93612.073916666675</v>
      </c>
      <c r="AL182" s="7">
        <f t="shared" si="1037"/>
        <v>93407.683916666676</v>
      </c>
      <c r="AM182" s="7">
        <f t="shared" si="1037"/>
        <v>93203.293916666677</v>
      </c>
      <c r="AN182" s="7">
        <f t="shared" si="1037"/>
        <v>92998.903916666677</v>
      </c>
      <c r="AO182" s="7">
        <f t="shared" si="1037"/>
        <v>92794.513916666678</v>
      </c>
      <c r="AP182" s="222">
        <f t="shared" si="1078"/>
        <v>2068.4587861666669</v>
      </c>
      <c r="AQ182" s="7">
        <v>204.39</v>
      </c>
      <c r="AR182" s="7">
        <f t="shared" si="831"/>
        <v>204.38999999999942</v>
      </c>
      <c r="AS182" s="7">
        <f t="shared" si="832"/>
        <v>-5.6843418860808015E-13</v>
      </c>
      <c r="AT182" s="7">
        <f t="shared" si="1038"/>
        <v>2452.6799999999998</v>
      </c>
      <c r="AU182" s="7">
        <f t="shared" si="1039"/>
        <v>92590.123916666678</v>
      </c>
      <c r="AV182" s="7">
        <f t="shared" si="1040"/>
        <v>92385.733916666679</v>
      </c>
      <c r="AW182" s="7">
        <f t="shared" si="1040"/>
        <v>92181.343916666679</v>
      </c>
      <c r="AX182" s="7">
        <f t="shared" si="1040"/>
        <v>91976.95391666668</v>
      </c>
      <c r="AY182" s="7">
        <f t="shared" si="1040"/>
        <v>91772.563916666681</v>
      </c>
      <c r="AZ182" s="7">
        <f t="shared" si="1040"/>
        <v>91568.173916666681</v>
      </c>
      <c r="BA182" s="7">
        <f t="shared" si="1040"/>
        <v>91363.783916666682</v>
      </c>
      <c r="BB182" s="7">
        <f t="shared" si="1040"/>
        <v>91159.393916666682</v>
      </c>
      <c r="BC182" s="7">
        <f t="shared" si="1040"/>
        <v>90955.003916666683</v>
      </c>
      <c r="BD182" s="7">
        <f t="shared" si="1040"/>
        <v>90750.613916666684</v>
      </c>
      <c r="BE182" s="7">
        <f t="shared" si="1040"/>
        <v>90546.223916666684</v>
      </c>
      <c r="BF182" s="7">
        <f t="shared" si="1040"/>
        <v>90341.833916666685</v>
      </c>
      <c r="BG182" s="236">
        <f t="shared" si="827"/>
        <v>2014.4998261666669</v>
      </c>
      <c r="BH182" s="7">
        <v>204.39</v>
      </c>
      <c r="BI182" s="39">
        <f t="shared" si="1093"/>
        <v>2452.6799999999998</v>
      </c>
      <c r="BJ182" s="7">
        <f t="shared" si="1042"/>
        <v>90137.443916666685</v>
      </c>
      <c r="BK182" s="7">
        <f t="shared" si="1043"/>
        <v>89933.053916666686</v>
      </c>
      <c r="BL182" s="7">
        <f t="shared" si="1044"/>
        <v>89728.663916666686</v>
      </c>
      <c r="BM182" s="7">
        <f t="shared" si="1045"/>
        <v>89524.273916666687</v>
      </c>
      <c r="BN182" s="7">
        <f t="shared" si="1046"/>
        <v>89319.883916666688</v>
      </c>
      <c r="BO182" s="7">
        <f t="shared" si="1047"/>
        <v>89115.493916666688</v>
      </c>
      <c r="BP182" s="7">
        <f t="shared" si="1048"/>
        <v>88911.103916666689</v>
      </c>
      <c r="BQ182" s="7">
        <f t="shared" si="1049"/>
        <v>88706.713916666689</v>
      </c>
      <c r="BR182" s="7">
        <f t="shared" si="1050"/>
        <v>88502.32391666669</v>
      </c>
      <c r="BS182" s="7">
        <f t="shared" si="1051"/>
        <v>88297.93391666669</v>
      </c>
      <c r="BT182" s="7">
        <f t="shared" si="1052"/>
        <v>88093.543916666691</v>
      </c>
      <c r="BU182" s="7">
        <f t="shared" si="1053"/>
        <v>87889.153916666692</v>
      </c>
      <c r="BV182" s="236">
        <f t="shared" si="1079"/>
        <v>1960.540866166667</v>
      </c>
      <c r="BW182" s="7">
        <v>204.39</v>
      </c>
      <c r="BX182" s="39">
        <f t="shared" si="1094"/>
        <v>2452.6799999999998</v>
      </c>
      <c r="BY182" s="7">
        <f t="shared" si="1095"/>
        <v>87684.763916666692</v>
      </c>
      <c r="BZ182" s="7">
        <f t="shared" si="1055"/>
        <v>87480.373916666693</v>
      </c>
      <c r="CA182" s="7">
        <f t="shared" si="1056"/>
        <v>87275.983916666693</v>
      </c>
      <c r="CB182" s="7">
        <f t="shared" si="1057"/>
        <v>87071.593916666694</v>
      </c>
      <c r="CC182" s="7">
        <f t="shared" si="1096"/>
        <v>86867.203916666695</v>
      </c>
      <c r="CD182" s="7">
        <f t="shared" si="1097"/>
        <v>86662.813916666695</v>
      </c>
      <c r="CE182" s="7">
        <f t="shared" si="1098"/>
        <v>86458.423916666696</v>
      </c>
      <c r="CF182" s="7">
        <f t="shared" si="1099"/>
        <v>86254.033916666696</v>
      </c>
      <c r="CG182" s="7">
        <f t="shared" si="1100"/>
        <v>86049.643916666697</v>
      </c>
      <c r="CH182" s="7">
        <f t="shared" si="1101"/>
        <v>85845.253916666697</v>
      </c>
      <c r="CI182" s="7">
        <f t="shared" si="1102"/>
        <v>85640.863916666698</v>
      </c>
      <c r="CJ182" s="7">
        <f t="shared" si="1103"/>
        <v>85436.473916666699</v>
      </c>
      <c r="CK182" s="236">
        <f t="shared" si="1080"/>
        <v>1906.5819061666673</v>
      </c>
      <c r="CL182" s="7">
        <v>204.39</v>
      </c>
      <c r="CM182" s="39">
        <f t="shared" si="1104"/>
        <v>2452.6799999999998</v>
      </c>
      <c r="CN182" s="7">
        <f t="shared" si="1105"/>
        <v>85232.083916666699</v>
      </c>
      <c r="CO182" s="7">
        <f t="shared" si="1106"/>
        <v>85027.6939166667</v>
      </c>
      <c r="CP182" s="7">
        <f t="shared" si="1107"/>
        <v>84823.3039166667</v>
      </c>
      <c r="CQ182" s="7">
        <f t="shared" si="1108"/>
        <v>84618.913916666701</v>
      </c>
      <c r="CR182" s="7">
        <f t="shared" si="1109"/>
        <v>84414.523916666702</v>
      </c>
      <c r="CS182" s="7">
        <f t="shared" si="1110"/>
        <v>84210.133916666702</v>
      </c>
      <c r="CT182" s="7">
        <f t="shared" si="1111"/>
        <v>84005.743916666703</v>
      </c>
      <c r="CU182" s="7">
        <f t="shared" si="1112"/>
        <v>83801.353916666703</v>
      </c>
      <c r="CV182" s="7">
        <f t="shared" si="1113"/>
        <v>83596.963916666704</v>
      </c>
      <c r="CW182" s="7">
        <f t="shared" si="1114"/>
        <v>83392.573916666704</v>
      </c>
      <c r="CX182" s="7">
        <f t="shared" si="1115"/>
        <v>83188.183916666705</v>
      </c>
      <c r="CY182" s="7">
        <f t="shared" si="1116"/>
        <v>82983.793916666706</v>
      </c>
      <c r="CZ182" s="236">
        <f t="shared" si="1081"/>
        <v>1852.6229461666674</v>
      </c>
    </row>
    <row r="183" spans="1:104" x14ac:dyDescent="0.2">
      <c r="A183" s="6" t="str">
        <f>'[1]2021 УГРЦТ'!A186</f>
        <v>Воздушная линия 0,4 кВ (ТУ 62 от 13.05.21)</v>
      </c>
      <c r="B183" t="str">
        <f>'[1]2021 УГРЦТ'!B186</f>
        <v>000001866</v>
      </c>
      <c r="C183" t="str">
        <f>'[1]2021 УГРЦТ'!C186</f>
        <v>ПЕРЕДАЧА</v>
      </c>
      <c r="D183" t="str">
        <f>'[1]2021 УГРЦТ'!D186</f>
        <v>Сооружения</v>
      </c>
      <c r="E183" t="str">
        <f>'[1]2021 УГРЦТ'!E186</f>
        <v>19.10.2021</v>
      </c>
      <c r="F183" t="str">
        <f>'[1]2021 УГРЦТ'!F186</f>
        <v>Цех электрических сетей</v>
      </c>
      <c r="G183">
        <f>'[1]2021 УГРЦТ'!AC186</f>
        <v>480</v>
      </c>
      <c r="H183" s="7">
        <f>'[1]2021 УГРЦТ'!X186</f>
        <v>253914.86</v>
      </c>
      <c r="I183" s="7">
        <f>'[1]2021 УГРЦТ'!Y186</f>
        <v>1057.9785833333333</v>
      </c>
      <c r="J183" s="7">
        <f>'[1]2021 УГРЦТ'!Z186</f>
        <v>252856.88141666664</v>
      </c>
      <c r="K183" s="8">
        <v>1</v>
      </c>
      <c r="L183" s="7">
        <v>528.99</v>
      </c>
      <c r="M183" s="7"/>
      <c r="N183" s="7">
        <f t="shared" si="1035"/>
        <v>6347.88</v>
      </c>
      <c r="O183" s="7">
        <f t="shared" si="828"/>
        <v>252327.89141666665</v>
      </c>
      <c r="P183" s="7">
        <f t="shared" ref="P183:Z198" si="1117">O183-$L183</f>
        <v>251798.90141666666</v>
      </c>
      <c r="Q183" s="7">
        <f t="shared" si="1117"/>
        <v>251269.91141666667</v>
      </c>
      <c r="R183" s="7">
        <f t="shared" si="1117"/>
        <v>250740.92141666668</v>
      </c>
      <c r="S183" s="7">
        <f t="shared" si="1117"/>
        <v>250211.93141666669</v>
      </c>
      <c r="T183" s="7">
        <f t="shared" si="1117"/>
        <v>249682.9414166667</v>
      </c>
      <c r="U183" s="7">
        <f t="shared" si="1117"/>
        <v>249153.95141666671</v>
      </c>
      <c r="V183" s="7">
        <f t="shared" si="1117"/>
        <v>248624.96141666672</v>
      </c>
      <c r="W183" s="7">
        <f t="shared" si="1117"/>
        <v>248095.97141666673</v>
      </c>
      <c r="X183" s="7">
        <f t="shared" si="1117"/>
        <v>247566.98141666673</v>
      </c>
      <c r="Y183" s="7">
        <f t="shared" si="1117"/>
        <v>247037.99141666674</v>
      </c>
      <c r="Z183" s="7">
        <f t="shared" si="1117"/>
        <v>246509.00141666675</v>
      </c>
      <c r="AA183" s="7">
        <f t="shared" si="1077"/>
        <v>5493.0247111666667</v>
      </c>
      <c r="AB183" s="7"/>
      <c r="AC183" s="7">
        <f t="shared" si="829"/>
        <v>6347.88</v>
      </c>
      <c r="AD183" s="7">
        <f t="shared" si="830"/>
        <v>245980.01141666676</v>
      </c>
      <c r="AE183" s="7">
        <f t="shared" ref="AE183:AO197" si="1118">AD183-$L183</f>
        <v>245451.02141666677</v>
      </c>
      <c r="AF183" s="7">
        <f t="shared" si="1118"/>
        <v>244922.03141666678</v>
      </c>
      <c r="AG183" s="7">
        <f t="shared" si="1118"/>
        <v>244393.04141666679</v>
      </c>
      <c r="AH183" s="7">
        <f t="shared" si="1118"/>
        <v>243864.0514166668</v>
      </c>
      <c r="AI183" s="7">
        <f t="shared" si="1118"/>
        <v>243335.06141666681</v>
      </c>
      <c r="AJ183" s="7">
        <f t="shared" si="1118"/>
        <v>242806.07141666682</v>
      </c>
      <c r="AK183" s="7">
        <f t="shared" si="1118"/>
        <v>242277.08141666683</v>
      </c>
      <c r="AL183" s="7">
        <f t="shared" si="1118"/>
        <v>241748.09141666684</v>
      </c>
      <c r="AM183" s="7">
        <f t="shared" si="1118"/>
        <v>241219.10141666685</v>
      </c>
      <c r="AN183" s="7">
        <f t="shared" si="1118"/>
        <v>240690.11141666686</v>
      </c>
      <c r="AO183" s="7">
        <f t="shared" si="1118"/>
        <v>240161.12141666687</v>
      </c>
      <c r="AP183" s="222">
        <f t="shared" si="1078"/>
        <v>5353.3713511666692</v>
      </c>
      <c r="AQ183" s="7">
        <v>528.99</v>
      </c>
      <c r="AR183" s="7">
        <f t="shared" si="831"/>
        <v>528.98999999999069</v>
      </c>
      <c r="AS183" s="7">
        <f t="shared" si="832"/>
        <v>-9.3223206931725144E-12</v>
      </c>
      <c r="AT183" s="7">
        <f t="shared" si="1038"/>
        <v>6347.88</v>
      </c>
      <c r="AU183" s="7">
        <f t="shared" si="1039"/>
        <v>239632.13141666687</v>
      </c>
      <c r="AV183" s="7">
        <f t="shared" ref="AV183:BF189" si="1119">AU183-$L183</f>
        <v>239103.14141666688</v>
      </c>
      <c r="AW183" s="7">
        <f t="shared" si="1119"/>
        <v>238574.15141666689</v>
      </c>
      <c r="AX183" s="7">
        <f t="shared" si="1119"/>
        <v>238045.1614166669</v>
      </c>
      <c r="AY183" s="7">
        <f t="shared" si="1119"/>
        <v>237516.17141666691</v>
      </c>
      <c r="AZ183" s="7">
        <f t="shared" si="1119"/>
        <v>236987.18141666692</v>
      </c>
      <c r="BA183" s="7">
        <f t="shared" si="1119"/>
        <v>236458.19141666693</v>
      </c>
      <c r="BB183" s="7">
        <f t="shared" si="1119"/>
        <v>235929.20141666694</v>
      </c>
      <c r="BC183" s="7">
        <f t="shared" si="1119"/>
        <v>235400.21141666695</v>
      </c>
      <c r="BD183" s="7">
        <f t="shared" si="1119"/>
        <v>234871.22141666696</v>
      </c>
      <c r="BE183" s="7">
        <f t="shared" si="1119"/>
        <v>234342.23141666697</v>
      </c>
      <c r="BF183" s="7">
        <f t="shared" si="1119"/>
        <v>233813.24141666698</v>
      </c>
      <c r="BG183" s="236">
        <f t="shared" si="827"/>
        <v>5213.7179911666717</v>
      </c>
      <c r="BH183" s="7">
        <v>528.99</v>
      </c>
      <c r="BI183" s="39">
        <f t="shared" si="1093"/>
        <v>6347.88</v>
      </c>
      <c r="BJ183" s="7">
        <f t="shared" si="1042"/>
        <v>233284.25141666699</v>
      </c>
      <c r="BK183" s="7">
        <f t="shared" si="1043"/>
        <v>232755.261416667</v>
      </c>
      <c r="BL183" s="7">
        <f t="shared" si="1044"/>
        <v>232226.271416667</v>
      </c>
      <c r="BM183" s="7">
        <f t="shared" si="1045"/>
        <v>231697.28141666701</v>
      </c>
      <c r="BN183" s="7">
        <f t="shared" si="1046"/>
        <v>231168.29141666702</v>
      </c>
      <c r="BO183" s="7">
        <f t="shared" si="1047"/>
        <v>230639.30141666703</v>
      </c>
      <c r="BP183" s="7">
        <f t="shared" si="1048"/>
        <v>230110.31141666704</v>
      </c>
      <c r="BQ183" s="7">
        <f t="shared" si="1049"/>
        <v>229581.32141666705</v>
      </c>
      <c r="BR183" s="7">
        <f t="shared" si="1050"/>
        <v>229052.33141666706</v>
      </c>
      <c r="BS183" s="7">
        <f t="shared" si="1051"/>
        <v>228523.34141666707</v>
      </c>
      <c r="BT183" s="7">
        <f t="shared" si="1052"/>
        <v>227994.35141666708</v>
      </c>
      <c r="BU183" s="7">
        <f t="shared" si="1053"/>
        <v>227465.36141666709</v>
      </c>
      <c r="BV183" s="236">
        <f t="shared" si="1079"/>
        <v>5074.0646311666742</v>
      </c>
      <c r="BW183" s="7">
        <v>528.99</v>
      </c>
      <c r="BX183" s="39">
        <f t="shared" si="1094"/>
        <v>6347.88</v>
      </c>
      <c r="BY183" s="7">
        <f t="shared" si="1095"/>
        <v>226936.3714166671</v>
      </c>
      <c r="BZ183" s="7">
        <f t="shared" si="1055"/>
        <v>226407.38141666711</v>
      </c>
      <c r="CA183" s="7">
        <f t="shared" si="1056"/>
        <v>225878.39141666712</v>
      </c>
      <c r="CB183" s="7">
        <f t="shared" si="1057"/>
        <v>225349.40141666713</v>
      </c>
      <c r="CC183" s="7">
        <f t="shared" si="1096"/>
        <v>224820.41141666714</v>
      </c>
      <c r="CD183" s="7">
        <f t="shared" si="1097"/>
        <v>224291.42141666714</v>
      </c>
      <c r="CE183" s="7">
        <f t="shared" si="1098"/>
        <v>223762.43141666715</v>
      </c>
      <c r="CF183" s="7">
        <f t="shared" si="1099"/>
        <v>223233.44141666716</v>
      </c>
      <c r="CG183" s="7">
        <f t="shared" si="1100"/>
        <v>222704.45141666717</v>
      </c>
      <c r="CH183" s="7">
        <f t="shared" si="1101"/>
        <v>222175.46141666718</v>
      </c>
      <c r="CI183" s="7">
        <f t="shared" si="1102"/>
        <v>221646.47141666719</v>
      </c>
      <c r="CJ183" s="7">
        <f t="shared" si="1103"/>
        <v>221117.4814166672</v>
      </c>
      <c r="CK183" s="236">
        <f t="shared" si="1080"/>
        <v>4934.4112711666767</v>
      </c>
      <c r="CL183" s="7">
        <v>528.99</v>
      </c>
      <c r="CM183" s="39">
        <f t="shared" si="1104"/>
        <v>6347.88</v>
      </c>
      <c r="CN183" s="7">
        <f t="shared" si="1105"/>
        <v>220588.49141666721</v>
      </c>
      <c r="CO183" s="7">
        <f t="shared" si="1106"/>
        <v>220059.50141666722</v>
      </c>
      <c r="CP183" s="7">
        <f t="shared" si="1107"/>
        <v>219530.51141666723</v>
      </c>
      <c r="CQ183" s="7">
        <f t="shared" si="1108"/>
        <v>219001.52141666724</v>
      </c>
      <c r="CR183" s="7">
        <f t="shared" si="1109"/>
        <v>218472.53141666725</v>
      </c>
      <c r="CS183" s="7">
        <f t="shared" si="1110"/>
        <v>217943.54141666726</v>
      </c>
      <c r="CT183" s="7">
        <f t="shared" si="1111"/>
        <v>217414.55141666727</v>
      </c>
      <c r="CU183" s="7">
        <f t="shared" si="1112"/>
        <v>216885.56141666727</v>
      </c>
      <c r="CV183" s="7">
        <f t="shared" si="1113"/>
        <v>216356.57141666728</v>
      </c>
      <c r="CW183" s="7">
        <f t="shared" si="1114"/>
        <v>215827.58141666729</v>
      </c>
      <c r="CX183" s="7">
        <f t="shared" si="1115"/>
        <v>215298.5914166673</v>
      </c>
      <c r="CY183" s="7">
        <f t="shared" si="1116"/>
        <v>214769.60141666731</v>
      </c>
      <c r="CZ183" s="236">
        <f t="shared" si="1081"/>
        <v>4794.7579111666792</v>
      </c>
    </row>
    <row r="184" spans="1:104" x14ac:dyDescent="0.2">
      <c r="A184" s="6" t="str">
        <f>'[1]2021 УГРЦТ'!A187</f>
        <v>Воздушная линия 0,4 кВ (ТУ №42 от 16.04.2021 г.)</v>
      </c>
      <c r="B184" t="str">
        <f>'[1]2021 УГРЦТ'!B187</f>
        <v>000001876</v>
      </c>
      <c r="C184" t="str">
        <f>'[1]2021 УГРЦТ'!C187</f>
        <v>ПЕРЕДАЧА</v>
      </c>
      <c r="D184" t="str">
        <f>'[1]2021 УГРЦТ'!D187</f>
        <v>Сооружения</v>
      </c>
      <c r="E184" s="4">
        <f>'[1]2021 УГРЦТ'!E187</f>
        <v>44560</v>
      </c>
      <c r="F184" t="str">
        <f>'[1]2021 УГРЦТ'!F187</f>
        <v>Цех электрических сетей</v>
      </c>
      <c r="G184">
        <f>'[1]2021 УГРЦТ'!AC187</f>
        <v>480</v>
      </c>
      <c r="H184" s="7">
        <f>'[1]2021 УГРЦТ'!X187</f>
        <v>254557.39</v>
      </c>
      <c r="I184" s="7" t="e">
        <f>'[1]2021 УГРЦТ'!Y187</f>
        <v>#REF!</v>
      </c>
      <c r="J184" s="7">
        <f>'[1]2021 УГРЦТ'!Z187</f>
        <v>254557.39</v>
      </c>
      <c r="K184" s="8">
        <v>1</v>
      </c>
      <c r="L184" s="7">
        <v>530.3278958333334</v>
      </c>
      <c r="M184" s="7"/>
      <c r="N184" s="7">
        <f t="shared" si="1035"/>
        <v>6363.9347500000003</v>
      </c>
      <c r="O184" s="7">
        <f t="shared" si="828"/>
        <v>254027.06210416669</v>
      </c>
      <c r="P184" s="7">
        <f t="shared" si="1117"/>
        <v>253496.73420833336</v>
      </c>
      <c r="Q184" s="7">
        <f t="shared" si="1117"/>
        <v>252966.40631250004</v>
      </c>
      <c r="R184" s="7">
        <f t="shared" si="1117"/>
        <v>252436.07841666671</v>
      </c>
      <c r="S184" s="7">
        <f t="shared" si="1117"/>
        <v>251905.75052083339</v>
      </c>
      <c r="T184" s="7">
        <f t="shared" si="1117"/>
        <v>251375.42262500006</v>
      </c>
      <c r="U184" s="7">
        <f t="shared" si="1117"/>
        <v>250845.09472916674</v>
      </c>
      <c r="V184" s="7">
        <f t="shared" si="1117"/>
        <v>250314.76683333341</v>
      </c>
      <c r="W184" s="7">
        <f t="shared" si="1117"/>
        <v>249784.43893750009</v>
      </c>
      <c r="X184" s="7">
        <f t="shared" si="1117"/>
        <v>249254.11104166677</v>
      </c>
      <c r="Y184" s="7">
        <f t="shared" si="1117"/>
        <v>248723.78314583344</v>
      </c>
      <c r="Z184" s="7">
        <f t="shared" si="1117"/>
        <v>248193.45525000012</v>
      </c>
      <c r="AA184" s="7">
        <f t="shared" si="1077"/>
        <v>5530.2592977500017</v>
      </c>
      <c r="AB184" s="7"/>
      <c r="AC184" s="7">
        <f t="shared" si="829"/>
        <v>6363.9347500000003</v>
      </c>
      <c r="AD184" s="7">
        <f t="shared" si="830"/>
        <v>247663.12735416679</v>
      </c>
      <c r="AE184" s="7">
        <f t="shared" si="1118"/>
        <v>247132.79945833347</v>
      </c>
      <c r="AF184" s="7">
        <f t="shared" si="1118"/>
        <v>246602.47156250014</v>
      </c>
      <c r="AG184" s="7">
        <f t="shared" si="1118"/>
        <v>246072.14366666682</v>
      </c>
      <c r="AH184" s="7">
        <f t="shared" si="1118"/>
        <v>245541.81577083349</v>
      </c>
      <c r="AI184" s="7">
        <f t="shared" si="1118"/>
        <v>245011.48787500017</v>
      </c>
      <c r="AJ184" s="7">
        <f t="shared" si="1118"/>
        <v>244481.15997916684</v>
      </c>
      <c r="AK184" s="7">
        <f t="shared" si="1118"/>
        <v>243950.83208333352</v>
      </c>
      <c r="AL184" s="7">
        <f t="shared" si="1118"/>
        <v>243420.50418750019</v>
      </c>
      <c r="AM184" s="7">
        <f t="shared" si="1118"/>
        <v>242890.17629166687</v>
      </c>
      <c r="AN184" s="7">
        <f t="shared" si="1118"/>
        <v>242359.84839583354</v>
      </c>
      <c r="AO184" s="7">
        <f t="shared" si="1118"/>
        <v>241829.52050000022</v>
      </c>
      <c r="AP184" s="222">
        <f t="shared" si="1078"/>
        <v>5390.2527332500031</v>
      </c>
      <c r="AQ184" s="7">
        <v>530.3278958333334</v>
      </c>
      <c r="AR184" s="7">
        <f t="shared" si="831"/>
        <v>530.32789583332487</v>
      </c>
      <c r="AS184" s="7">
        <f t="shared" si="832"/>
        <v>-8.5265128291212022E-12</v>
      </c>
      <c r="AT184" s="7">
        <f t="shared" si="1038"/>
        <v>6363.9347500000003</v>
      </c>
      <c r="AU184" s="7">
        <f t="shared" si="1039"/>
        <v>241299.19260416689</v>
      </c>
      <c r="AV184" s="7">
        <f t="shared" si="1119"/>
        <v>240768.86470833357</v>
      </c>
      <c r="AW184" s="7">
        <f t="shared" si="1119"/>
        <v>240238.53681250024</v>
      </c>
      <c r="AX184" s="7">
        <f t="shared" si="1119"/>
        <v>239708.20891666692</v>
      </c>
      <c r="AY184" s="7">
        <f t="shared" si="1119"/>
        <v>239177.88102083359</v>
      </c>
      <c r="AZ184" s="7">
        <f t="shared" si="1119"/>
        <v>238647.55312500027</v>
      </c>
      <c r="BA184" s="7">
        <f t="shared" si="1119"/>
        <v>238117.22522916694</v>
      </c>
      <c r="BB184" s="7">
        <f t="shared" si="1119"/>
        <v>237586.89733333362</v>
      </c>
      <c r="BC184" s="7">
        <f t="shared" si="1119"/>
        <v>237056.56943750029</v>
      </c>
      <c r="BD184" s="7">
        <f t="shared" si="1119"/>
        <v>236526.24154166697</v>
      </c>
      <c r="BE184" s="7">
        <f t="shared" si="1119"/>
        <v>235995.91364583364</v>
      </c>
      <c r="BF184" s="7">
        <f t="shared" si="1119"/>
        <v>235465.58575000032</v>
      </c>
      <c r="BG184" s="236">
        <f t="shared" si="827"/>
        <v>5250.2461687500054</v>
      </c>
      <c r="BH184" s="7">
        <v>530.3278958333334</v>
      </c>
      <c r="BI184" s="39">
        <f t="shared" si="1093"/>
        <v>6363.9347500000003</v>
      </c>
      <c r="BJ184" s="7">
        <f t="shared" si="1042"/>
        <v>234935.25785416699</v>
      </c>
      <c r="BK184" s="7">
        <f t="shared" si="1043"/>
        <v>234404.92995833367</v>
      </c>
      <c r="BL184" s="7">
        <f t="shared" si="1044"/>
        <v>233874.60206250034</v>
      </c>
      <c r="BM184" s="7">
        <f t="shared" si="1045"/>
        <v>233344.27416666702</v>
      </c>
      <c r="BN184" s="7">
        <f t="shared" si="1046"/>
        <v>232813.94627083369</v>
      </c>
      <c r="BO184" s="7">
        <f t="shared" si="1047"/>
        <v>232283.61837500037</v>
      </c>
      <c r="BP184" s="7">
        <f t="shared" si="1048"/>
        <v>231753.29047916704</v>
      </c>
      <c r="BQ184" s="7">
        <f t="shared" si="1049"/>
        <v>231222.96258333372</v>
      </c>
      <c r="BR184" s="7">
        <f t="shared" si="1050"/>
        <v>230692.63468750039</v>
      </c>
      <c r="BS184" s="7">
        <f t="shared" si="1051"/>
        <v>230162.30679166707</v>
      </c>
      <c r="BT184" s="7">
        <f t="shared" si="1052"/>
        <v>229631.97889583374</v>
      </c>
      <c r="BU184" s="7">
        <f t="shared" si="1053"/>
        <v>229101.65100000042</v>
      </c>
      <c r="BV184" s="236">
        <f t="shared" si="1079"/>
        <v>5110.2396042500068</v>
      </c>
      <c r="BW184" s="7">
        <v>530.3278958333334</v>
      </c>
      <c r="BX184" s="39">
        <f t="shared" si="1094"/>
        <v>6363.9347500000003</v>
      </c>
      <c r="BY184" s="7">
        <f t="shared" si="1095"/>
        <v>228571.3231041671</v>
      </c>
      <c r="BZ184" s="7">
        <f t="shared" si="1055"/>
        <v>228040.99520833377</v>
      </c>
      <c r="CA184" s="7">
        <f t="shared" si="1056"/>
        <v>227510.66731250045</v>
      </c>
      <c r="CB184" s="7">
        <f t="shared" si="1057"/>
        <v>226980.33941666712</v>
      </c>
      <c r="CC184" s="7">
        <f t="shared" si="1096"/>
        <v>226450.0115208338</v>
      </c>
      <c r="CD184" s="7">
        <f t="shared" si="1097"/>
        <v>225919.68362500047</v>
      </c>
      <c r="CE184" s="7">
        <f t="shared" si="1098"/>
        <v>225389.35572916715</v>
      </c>
      <c r="CF184" s="7">
        <f t="shared" si="1099"/>
        <v>224859.02783333382</v>
      </c>
      <c r="CG184" s="7">
        <f t="shared" si="1100"/>
        <v>224328.6999375005</v>
      </c>
      <c r="CH184" s="7">
        <f t="shared" si="1101"/>
        <v>223798.37204166717</v>
      </c>
      <c r="CI184" s="7">
        <f t="shared" si="1102"/>
        <v>223268.04414583385</v>
      </c>
      <c r="CJ184" s="7">
        <f t="shared" si="1103"/>
        <v>222737.71625000052</v>
      </c>
      <c r="CK184" s="236">
        <f t="shared" si="1080"/>
        <v>4970.2330397500109</v>
      </c>
      <c r="CL184" s="7">
        <v>530.3278958333334</v>
      </c>
      <c r="CM184" s="39">
        <f t="shared" si="1104"/>
        <v>6363.9347500000003</v>
      </c>
      <c r="CN184" s="7">
        <f t="shared" si="1105"/>
        <v>222207.3883541672</v>
      </c>
      <c r="CO184" s="7">
        <f t="shared" si="1106"/>
        <v>221677.06045833387</v>
      </c>
      <c r="CP184" s="7">
        <f t="shared" si="1107"/>
        <v>221146.73256250055</v>
      </c>
      <c r="CQ184" s="7">
        <f t="shared" si="1108"/>
        <v>220616.40466666722</v>
      </c>
      <c r="CR184" s="7">
        <f t="shared" si="1109"/>
        <v>220086.0767708339</v>
      </c>
      <c r="CS184" s="7">
        <f t="shared" si="1110"/>
        <v>219555.74887500057</v>
      </c>
      <c r="CT184" s="7">
        <f t="shared" si="1111"/>
        <v>219025.42097916725</v>
      </c>
      <c r="CU184" s="7">
        <f t="shared" si="1112"/>
        <v>218495.09308333392</v>
      </c>
      <c r="CV184" s="7">
        <f t="shared" si="1113"/>
        <v>217964.7651875006</v>
      </c>
      <c r="CW184" s="7">
        <f t="shared" si="1114"/>
        <v>217434.43729166727</v>
      </c>
      <c r="CX184" s="7">
        <f t="shared" si="1115"/>
        <v>216904.10939583395</v>
      </c>
      <c r="CY184" s="7">
        <f t="shared" si="1116"/>
        <v>216373.78150000062</v>
      </c>
      <c r="CZ184" s="236">
        <f t="shared" si="1081"/>
        <v>4830.2264752500114</v>
      </c>
    </row>
    <row r="185" spans="1:104" x14ac:dyDescent="0.2">
      <c r="A185" s="6" t="str">
        <f>'[1]2021 УГРЦТ'!A188</f>
        <v>Воздушная линия 0,4 кВ (ТУ №45 от 22.04.2021 г.)</v>
      </c>
      <c r="B185" t="str">
        <f>'[1]2021 УГРЦТ'!B188</f>
        <v>000001878</v>
      </c>
      <c r="C185" t="str">
        <f>'[1]2021 УГРЦТ'!C188</f>
        <v>ПЕРЕДАЧА</v>
      </c>
      <c r="D185" t="str">
        <f>'[1]2021 УГРЦТ'!D188</f>
        <v>Сооружения</v>
      </c>
      <c r="E185" s="4">
        <f>'[1]2021 УГРЦТ'!E188</f>
        <v>44560</v>
      </c>
      <c r="F185" t="str">
        <f>'[1]2021 УГРЦТ'!F188</f>
        <v>Цех электрических сетей</v>
      </c>
      <c r="G185">
        <f>'[1]2021 УГРЦТ'!AC188</f>
        <v>480</v>
      </c>
      <c r="H185" s="7">
        <f>'[1]2021 УГРЦТ'!X188</f>
        <v>383015.6</v>
      </c>
      <c r="I185" s="7" t="e">
        <f>'[1]2021 УГРЦТ'!Y188</f>
        <v>#REF!</v>
      </c>
      <c r="J185" s="7">
        <f>'[1]2021 УГРЦТ'!Z188</f>
        <v>383015.6</v>
      </c>
      <c r="K185" s="8">
        <v>1</v>
      </c>
      <c r="L185" s="7">
        <v>797.94916666666666</v>
      </c>
      <c r="M185" s="7"/>
      <c r="N185" s="7">
        <f t="shared" si="1035"/>
        <v>9575.39</v>
      </c>
      <c r="O185" s="7">
        <f t="shared" si="828"/>
        <v>382217.65083333332</v>
      </c>
      <c r="P185" s="7">
        <f t="shared" si="1117"/>
        <v>381419.70166666666</v>
      </c>
      <c r="Q185" s="7">
        <f t="shared" si="1117"/>
        <v>380621.7525</v>
      </c>
      <c r="R185" s="7">
        <f t="shared" si="1117"/>
        <v>379823.80333333334</v>
      </c>
      <c r="S185" s="7">
        <f t="shared" si="1117"/>
        <v>379025.85416666669</v>
      </c>
      <c r="T185" s="7">
        <f t="shared" si="1117"/>
        <v>378227.90500000003</v>
      </c>
      <c r="U185" s="7">
        <f t="shared" si="1117"/>
        <v>377429.95583333337</v>
      </c>
      <c r="V185" s="7">
        <f t="shared" si="1117"/>
        <v>376632.00666666671</v>
      </c>
      <c r="W185" s="7">
        <f t="shared" si="1117"/>
        <v>375834.05750000005</v>
      </c>
      <c r="X185" s="7">
        <f t="shared" si="1117"/>
        <v>375036.1083333334</v>
      </c>
      <c r="Y185" s="7">
        <f t="shared" si="1117"/>
        <v>374238.15916666674</v>
      </c>
      <c r="Z185" s="7">
        <f t="shared" si="1117"/>
        <v>373440.21000000008</v>
      </c>
      <c r="AA185" s="7">
        <f t="shared" si="1077"/>
        <v>8321.0139099999997</v>
      </c>
      <c r="AB185" s="7"/>
      <c r="AC185" s="7">
        <f t="shared" si="829"/>
        <v>9575.39</v>
      </c>
      <c r="AD185" s="7">
        <f t="shared" si="830"/>
        <v>372642.26083333342</v>
      </c>
      <c r="AE185" s="7">
        <f t="shared" si="1118"/>
        <v>371844.31166666676</v>
      </c>
      <c r="AF185" s="7">
        <f t="shared" si="1118"/>
        <v>371046.3625000001</v>
      </c>
      <c r="AG185" s="7">
        <f t="shared" si="1118"/>
        <v>370248.41333333345</v>
      </c>
      <c r="AH185" s="7">
        <f t="shared" si="1118"/>
        <v>369450.46416666679</v>
      </c>
      <c r="AI185" s="7">
        <f t="shared" si="1118"/>
        <v>368652.51500000013</v>
      </c>
      <c r="AJ185" s="7">
        <f t="shared" si="1118"/>
        <v>367854.56583333347</v>
      </c>
      <c r="AK185" s="7">
        <f t="shared" si="1118"/>
        <v>367056.61666666681</v>
      </c>
      <c r="AL185" s="7">
        <f t="shared" si="1118"/>
        <v>366258.66750000016</v>
      </c>
      <c r="AM185" s="7">
        <f t="shared" si="1118"/>
        <v>365460.7183333335</v>
      </c>
      <c r="AN185" s="7">
        <f t="shared" si="1118"/>
        <v>364662.76916666684</v>
      </c>
      <c r="AO185" s="7">
        <f t="shared" si="1118"/>
        <v>363864.82000000018</v>
      </c>
      <c r="AP185" s="222">
        <f t="shared" si="1078"/>
        <v>8110.3553300000012</v>
      </c>
      <c r="AQ185" s="7">
        <v>797.94916666666666</v>
      </c>
      <c r="AR185" s="7">
        <f t="shared" si="831"/>
        <v>797.94916666665813</v>
      </c>
      <c r="AS185" s="7">
        <f t="shared" si="832"/>
        <v>-8.5265128291212022E-12</v>
      </c>
      <c r="AT185" s="7">
        <f t="shared" si="1038"/>
        <v>9575.39</v>
      </c>
      <c r="AU185" s="7">
        <f t="shared" si="1039"/>
        <v>363066.87083333352</v>
      </c>
      <c r="AV185" s="7">
        <f t="shared" si="1119"/>
        <v>362268.92166666687</v>
      </c>
      <c r="AW185" s="7">
        <f t="shared" si="1119"/>
        <v>361470.97250000021</v>
      </c>
      <c r="AX185" s="7">
        <f t="shared" si="1119"/>
        <v>360673.02333333355</v>
      </c>
      <c r="AY185" s="7">
        <f t="shared" si="1119"/>
        <v>359875.07416666689</v>
      </c>
      <c r="AZ185" s="7">
        <f t="shared" si="1119"/>
        <v>359077.12500000023</v>
      </c>
      <c r="BA185" s="7">
        <f t="shared" si="1119"/>
        <v>358279.17583333357</v>
      </c>
      <c r="BB185" s="7">
        <f t="shared" si="1119"/>
        <v>357481.22666666692</v>
      </c>
      <c r="BC185" s="7">
        <f t="shared" si="1119"/>
        <v>356683.27750000026</v>
      </c>
      <c r="BD185" s="7">
        <f t="shared" si="1119"/>
        <v>355885.3283333336</v>
      </c>
      <c r="BE185" s="7">
        <f t="shared" si="1119"/>
        <v>355087.37916666694</v>
      </c>
      <c r="BF185" s="7">
        <f t="shared" si="1119"/>
        <v>354289.43000000028</v>
      </c>
      <c r="BG185" s="236">
        <f t="shared" si="827"/>
        <v>7899.6967500000055</v>
      </c>
      <c r="BH185" s="7">
        <v>797.94916666666666</v>
      </c>
      <c r="BI185" s="39">
        <f t="shared" si="1093"/>
        <v>9575.39</v>
      </c>
      <c r="BJ185" s="7">
        <f t="shared" si="1042"/>
        <v>353491.48083333363</v>
      </c>
      <c r="BK185" s="7">
        <f t="shared" si="1043"/>
        <v>352693.53166666697</v>
      </c>
      <c r="BL185" s="7">
        <f t="shared" si="1044"/>
        <v>351895.58250000031</v>
      </c>
      <c r="BM185" s="7">
        <f t="shared" si="1045"/>
        <v>351097.63333333365</v>
      </c>
      <c r="BN185" s="7">
        <f t="shared" si="1046"/>
        <v>350299.68416666699</v>
      </c>
      <c r="BO185" s="7">
        <f t="shared" si="1047"/>
        <v>349501.73500000034</v>
      </c>
      <c r="BP185" s="7">
        <f t="shared" si="1048"/>
        <v>348703.78583333368</v>
      </c>
      <c r="BQ185" s="7">
        <f t="shared" si="1049"/>
        <v>347905.83666666702</v>
      </c>
      <c r="BR185" s="7">
        <f t="shared" si="1050"/>
        <v>347107.88750000036</v>
      </c>
      <c r="BS185" s="7">
        <f t="shared" si="1051"/>
        <v>346309.9383333337</v>
      </c>
      <c r="BT185" s="7">
        <f t="shared" si="1052"/>
        <v>345511.98916666704</v>
      </c>
      <c r="BU185" s="7">
        <f t="shared" si="1053"/>
        <v>344714.04000000039</v>
      </c>
      <c r="BV185" s="236">
        <f t="shared" si="1079"/>
        <v>7689.0381700000071</v>
      </c>
      <c r="BW185" s="7">
        <v>797.94916666666666</v>
      </c>
      <c r="BX185" s="39">
        <f t="shared" si="1094"/>
        <v>9575.39</v>
      </c>
      <c r="BY185" s="7">
        <f t="shared" si="1095"/>
        <v>343916.09083333373</v>
      </c>
      <c r="BZ185" s="7">
        <f t="shared" si="1055"/>
        <v>343118.14166666707</v>
      </c>
      <c r="CA185" s="7">
        <f t="shared" si="1056"/>
        <v>342320.19250000041</v>
      </c>
      <c r="CB185" s="7">
        <f t="shared" si="1057"/>
        <v>341522.24333333375</v>
      </c>
      <c r="CC185" s="7">
        <f t="shared" si="1096"/>
        <v>340724.2941666671</v>
      </c>
      <c r="CD185" s="7">
        <f t="shared" si="1097"/>
        <v>339926.34500000044</v>
      </c>
      <c r="CE185" s="7">
        <f t="shared" si="1098"/>
        <v>339128.39583333378</v>
      </c>
      <c r="CF185" s="7">
        <f t="shared" si="1099"/>
        <v>338330.44666666712</v>
      </c>
      <c r="CG185" s="7">
        <f t="shared" si="1100"/>
        <v>337532.49750000046</v>
      </c>
      <c r="CH185" s="7">
        <f t="shared" si="1101"/>
        <v>336734.54833333381</v>
      </c>
      <c r="CI185" s="7">
        <f t="shared" si="1102"/>
        <v>335936.59916666715</v>
      </c>
      <c r="CJ185" s="7">
        <f t="shared" si="1103"/>
        <v>335138.65000000049</v>
      </c>
      <c r="CK185" s="236">
        <f t="shared" si="1080"/>
        <v>7478.3795900000096</v>
      </c>
      <c r="CL185" s="7">
        <v>797.94916666666666</v>
      </c>
      <c r="CM185" s="39">
        <f t="shared" si="1104"/>
        <v>9575.39</v>
      </c>
      <c r="CN185" s="7">
        <f t="shared" si="1105"/>
        <v>334340.70083333383</v>
      </c>
      <c r="CO185" s="7">
        <f t="shared" si="1106"/>
        <v>333542.75166666717</v>
      </c>
      <c r="CP185" s="7">
        <f t="shared" si="1107"/>
        <v>332744.80250000051</v>
      </c>
      <c r="CQ185" s="7">
        <f t="shared" si="1108"/>
        <v>331946.85333333386</v>
      </c>
      <c r="CR185" s="7">
        <f t="shared" si="1109"/>
        <v>331148.9041666672</v>
      </c>
      <c r="CS185" s="7">
        <f t="shared" si="1110"/>
        <v>330350.95500000054</v>
      </c>
      <c r="CT185" s="7">
        <f t="shared" si="1111"/>
        <v>329553.00583333388</v>
      </c>
      <c r="CU185" s="7">
        <f t="shared" si="1112"/>
        <v>328755.05666666722</v>
      </c>
      <c r="CV185" s="7">
        <f t="shared" si="1113"/>
        <v>327957.10750000057</v>
      </c>
      <c r="CW185" s="7">
        <f t="shared" si="1114"/>
        <v>327159.15833333391</v>
      </c>
      <c r="CX185" s="7">
        <f t="shared" si="1115"/>
        <v>326361.20916666725</v>
      </c>
      <c r="CY185" s="7">
        <f t="shared" si="1116"/>
        <v>325563.26000000059</v>
      </c>
      <c r="CZ185" s="236">
        <f t="shared" si="1081"/>
        <v>7267.7210100000102</v>
      </c>
    </row>
    <row r="186" spans="1:104" x14ac:dyDescent="0.2">
      <c r="A186" s="6" t="str">
        <f>'[1]2021 УГРЦТ'!A189</f>
        <v>Воздушная линия 0,4 кВ (ТУ №57 от 12.05.2021 г.)</v>
      </c>
      <c r="B186" t="str">
        <f>'[1]2021 УГРЦТ'!B189</f>
        <v>000001881</v>
      </c>
      <c r="C186" t="str">
        <f>'[1]2021 УГРЦТ'!C189</f>
        <v>ПЕРЕДАЧА</v>
      </c>
      <c r="D186" t="str">
        <f>'[1]2021 УГРЦТ'!D189</f>
        <v>Сооружения</v>
      </c>
      <c r="E186" s="4">
        <f>'[1]2021 УГРЦТ'!E189</f>
        <v>44560</v>
      </c>
      <c r="F186" t="str">
        <f>'[1]2021 УГРЦТ'!F189</f>
        <v>Цех электрических сетей</v>
      </c>
      <c r="G186">
        <f>'[1]2021 УГРЦТ'!AC189</f>
        <v>480</v>
      </c>
      <c r="H186" s="7">
        <f>'[1]2021 УГРЦТ'!X189</f>
        <v>161733.60999999999</v>
      </c>
      <c r="I186" s="7" t="e">
        <f>'[1]2021 УГРЦТ'!Y189</f>
        <v>#REF!</v>
      </c>
      <c r="J186" s="7">
        <f>'[1]2021 УГРЦТ'!Z189</f>
        <v>161733.60999999999</v>
      </c>
      <c r="K186" s="8">
        <v>1</v>
      </c>
      <c r="L186" s="7">
        <v>336.94502083333333</v>
      </c>
      <c r="M186" s="7"/>
      <c r="N186" s="7">
        <f t="shared" si="1035"/>
        <v>4043.3402500000002</v>
      </c>
      <c r="O186" s="7">
        <f t="shared" si="828"/>
        <v>161396.66497916664</v>
      </c>
      <c r="P186" s="7">
        <f t="shared" si="1117"/>
        <v>161059.7199583333</v>
      </c>
      <c r="Q186" s="7">
        <f t="shared" si="1117"/>
        <v>160722.77493749995</v>
      </c>
      <c r="R186" s="7">
        <f t="shared" si="1117"/>
        <v>160385.82991666661</v>
      </c>
      <c r="S186" s="7">
        <f t="shared" si="1117"/>
        <v>160048.88489583327</v>
      </c>
      <c r="T186" s="7">
        <f t="shared" si="1117"/>
        <v>159711.93987499992</v>
      </c>
      <c r="U186" s="7">
        <f t="shared" si="1117"/>
        <v>159374.99485416658</v>
      </c>
      <c r="V186" s="7">
        <f t="shared" si="1117"/>
        <v>159038.04983333324</v>
      </c>
      <c r="W186" s="7">
        <f t="shared" si="1117"/>
        <v>158701.10481249989</v>
      </c>
      <c r="X186" s="7">
        <f t="shared" si="1117"/>
        <v>158364.15979166655</v>
      </c>
      <c r="Y186" s="7">
        <f t="shared" si="1117"/>
        <v>158027.2147708332</v>
      </c>
      <c r="Z186" s="7">
        <f t="shared" si="1117"/>
        <v>157690.26974999986</v>
      </c>
      <c r="AA186" s="7">
        <f t="shared" si="1077"/>
        <v>3513.662677249999</v>
      </c>
      <c r="AB186" s="7"/>
      <c r="AC186" s="7">
        <f t="shared" si="829"/>
        <v>4043.3402500000002</v>
      </c>
      <c r="AD186" s="7">
        <f t="shared" si="830"/>
        <v>157353.32472916652</v>
      </c>
      <c r="AE186" s="7">
        <f t="shared" si="1118"/>
        <v>157016.37970833317</v>
      </c>
      <c r="AF186" s="7">
        <f t="shared" si="1118"/>
        <v>156679.43468749983</v>
      </c>
      <c r="AG186" s="7">
        <f t="shared" si="1118"/>
        <v>156342.48966666649</v>
      </c>
      <c r="AH186" s="7">
        <f t="shared" si="1118"/>
        <v>156005.54464583314</v>
      </c>
      <c r="AI186" s="7">
        <f t="shared" si="1118"/>
        <v>155668.5996249998</v>
      </c>
      <c r="AJ186" s="7">
        <f t="shared" si="1118"/>
        <v>155331.65460416646</v>
      </c>
      <c r="AK186" s="7">
        <f t="shared" si="1118"/>
        <v>154994.70958333311</v>
      </c>
      <c r="AL186" s="7">
        <f t="shared" si="1118"/>
        <v>154657.76456249977</v>
      </c>
      <c r="AM186" s="7">
        <f t="shared" si="1118"/>
        <v>154320.81954166642</v>
      </c>
      <c r="AN186" s="7">
        <f t="shared" si="1118"/>
        <v>153983.87452083308</v>
      </c>
      <c r="AO186" s="7">
        <f t="shared" si="1118"/>
        <v>153646.92949999974</v>
      </c>
      <c r="AP186" s="222">
        <f t="shared" si="1078"/>
        <v>3424.7091917499961</v>
      </c>
      <c r="AQ186" s="7">
        <v>336.94502083333333</v>
      </c>
      <c r="AR186" s="7">
        <f t="shared" si="831"/>
        <v>336.94502083334373</v>
      </c>
      <c r="AS186" s="7">
        <f t="shared" si="832"/>
        <v>1.0402345651527867E-11</v>
      </c>
      <c r="AT186" s="7">
        <f t="shared" si="1038"/>
        <v>4043.3402500000002</v>
      </c>
      <c r="AU186" s="7">
        <f t="shared" si="1039"/>
        <v>153309.98447916639</v>
      </c>
      <c r="AV186" s="7">
        <f t="shared" si="1119"/>
        <v>152973.03945833305</v>
      </c>
      <c r="AW186" s="7">
        <f t="shared" si="1119"/>
        <v>152636.09443749971</v>
      </c>
      <c r="AX186" s="7">
        <f t="shared" si="1119"/>
        <v>152299.14941666636</v>
      </c>
      <c r="AY186" s="7">
        <f t="shared" si="1119"/>
        <v>151962.20439583302</v>
      </c>
      <c r="AZ186" s="7">
        <f t="shared" si="1119"/>
        <v>151625.25937499967</v>
      </c>
      <c r="BA186" s="7">
        <f t="shared" si="1119"/>
        <v>151288.31435416633</v>
      </c>
      <c r="BB186" s="7">
        <f t="shared" si="1119"/>
        <v>150951.36933333299</v>
      </c>
      <c r="BC186" s="7">
        <f t="shared" si="1119"/>
        <v>150614.42431249964</v>
      </c>
      <c r="BD186" s="7">
        <f t="shared" si="1119"/>
        <v>150277.4792916663</v>
      </c>
      <c r="BE186" s="7">
        <f t="shared" si="1119"/>
        <v>149940.53427083296</v>
      </c>
      <c r="BF186" s="7">
        <f t="shared" si="1119"/>
        <v>149603.58924999961</v>
      </c>
      <c r="BG186" s="236">
        <f t="shared" si="827"/>
        <v>3335.7557062499932</v>
      </c>
      <c r="BH186" s="7">
        <v>336.94502083333333</v>
      </c>
      <c r="BI186" s="39">
        <f t="shared" si="1093"/>
        <v>4043.3402500000002</v>
      </c>
      <c r="BJ186" s="7">
        <f t="shared" si="1042"/>
        <v>149266.64422916627</v>
      </c>
      <c r="BK186" s="7">
        <f t="shared" si="1043"/>
        <v>148929.69920833292</v>
      </c>
      <c r="BL186" s="7">
        <f t="shared" si="1044"/>
        <v>148592.75418749958</v>
      </c>
      <c r="BM186" s="7">
        <f t="shared" si="1045"/>
        <v>148255.80916666624</v>
      </c>
      <c r="BN186" s="7">
        <f t="shared" si="1046"/>
        <v>147918.86414583289</v>
      </c>
      <c r="BO186" s="7">
        <f t="shared" si="1047"/>
        <v>147581.91912499955</v>
      </c>
      <c r="BP186" s="7">
        <f t="shared" si="1048"/>
        <v>147244.97410416621</v>
      </c>
      <c r="BQ186" s="7">
        <f t="shared" si="1049"/>
        <v>146908.02908333286</v>
      </c>
      <c r="BR186" s="7">
        <f t="shared" si="1050"/>
        <v>146571.08406249952</v>
      </c>
      <c r="BS186" s="7">
        <f t="shared" si="1051"/>
        <v>146234.13904166617</v>
      </c>
      <c r="BT186" s="7">
        <f t="shared" si="1052"/>
        <v>145897.19402083283</v>
      </c>
      <c r="BU186" s="7">
        <f t="shared" si="1053"/>
        <v>145560.24899999949</v>
      </c>
      <c r="BV186" s="236">
        <f t="shared" si="1079"/>
        <v>3246.8022207499907</v>
      </c>
      <c r="BW186" s="7">
        <v>336.94502083333333</v>
      </c>
      <c r="BX186" s="39">
        <f t="shared" si="1094"/>
        <v>4043.3402500000002</v>
      </c>
      <c r="BY186" s="7">
        <f t="shared" si="1095"/>
        <v>145223.30397916614</v>
      </c>
      <c r="BZ186" s="7">
        <f t="shared" si="1055"/>
        <v>144886.3589583328</v>
      </c>
      <c r="CA186" s="7">
        <f t="shared" si="1056"/>
        <v>144549.41393749946</v>
      </c>
      <c r="CB186" s="7">
        <f t="shared" si="1057"/>
        <v>144212.46891666611</v>
      </c>
      <c r="CC186" s="7">
        <f t="shared" si="1096"/>
        <v>143875.52389583277</v>
      </c>
      <c r="CD186" s="7">
        <f t="shared" si="1097"/>
        <v>143538.57887499942</v>
      </c>
      <c r="CE186" s="7">
        <f t="shared" si="1098"/>
        <v>143201.63385416608</v>
      </c>
      <c r="CF186" s="7">
        <f t="shared" si="1099"/>
        <v>142864.68883333274</v>
      </c>
      <c r="CG186" s="7">
        <f t="shared" si="1100"/>
        <v>142527.74381249939</v>
      </c>
      <c r="CH186" s="7">
        <f t="shared" si="1101"/>
        <v>142190.79879166605</v>
      </c>
      <c r="CI186" s="7">
        <f t="shared" si="1102"/>
        <v>141853.85377083271</v>
      </c>
      <c r="CJ186" s="7">
        <f t="shared" si="1103"/>
        <v>141516.90874999936</v>
      </c>
      <c r="CK186" s="236">
        <f t="shared" si="1080"/>
        <v>3157.8487352499878</v>
      </c>
      <c r="CL186" s="7">
        <v>336.94502083333333</v>
      </c>
      <c r="CM186" s="39">
        <f t="shared" si="1104"/>
        <v>4043.3402500000002</v>
      </c>
      <c r="CN186" s="7">
        <f t="shared" si="1105"/>
        <v>141179.96372916602</v>
      </c>
      <c r="CO186" s="7">
        <f t="shared" si="1106"/>
        <v>140843.01870833267</v>
      </c>
      <c r="CP186" s="7">
        <f t="shared" si="1107"/>
        <v>140506.07368749933</v>
      </c>
      <c r="CQ186" s="7">
        <f t="shared" si="1108"/>
        <v>140169.12866666599</v>
      </c>
      <c r="CR186" s="7">
        <f t="shared" si="1109"/>
        <v>139832.18364583264</v>
      </c>
      <c r="CS186" s="7">
        <f t="shared" si="1110"/>
        <v>139495.2386249993</v>
      </c>
      <c r="CT186" s="7">
        <f t="shared" si="1111"/>
        <v>139158.29360416596</v>
      </c>
      <c r="CU186" s="7">
        <f t="shared" si="1112"/>
        <v>138821.34858333261</v>
      </c>
      <c r="CV186" s="7">
        <f t="shared" si="1113"/>
        <v>138484.40356249927</v>
      </c>
      <c r="CW186" s="7">
        <f t="shared" si="1114"/>
        <v>138147.45854166592</v>
      </c>
      <c r="CX186" s="7">
        <f t="shared" si="1115"/>
        <v>137810.51352083258</v>
      </c>
      <c r="CY186" s="7">
        <f t="shared" si="1116"/>
        <v>137473.56849999924</v>
      </c>
      <c r="CZ186" s="236">
        <f t="shared" si="1081"/>
        <v>3068.8952497499849</v>
      </c>
    </row>
    <row r="187" spans="1:104" x14ac:dyDescent="0.2">
      <c r="A187" s="6" t="str">
        <f>'[1]2021 УГРЦТ'!A190</f>
        <v>Воздушная линия 0,4 кВ (ТУ №66 от 13.05.2021 г.)</v>
      </c>
      <c r="B187" t="str">
        <f>'[1]2021 УГРЦТ'!B190</f>
        <v>000001880</v>
      </c>
      <c r="C187" t="str">
        <f>'[1]2021 УГРЦТ'!C190</f>
        <v>ПЕРЕДАЧА</v>
      </c>
      <c r="D187" t="str">
        <f>'[1]2021 УГРЦТ'!D190</f>
        <v>Сооружения</v>
      </c>
      <c r="E187" s="4">
        <f>'[1]2021 УГРЦТ'!E190</f>
        <v>44560</v>
      </c>
      <c r="F187" t="str">
        <f>'[1]2021 УГРЦТ'!F190</f>
        <v>Цех электрических сетей</v>
      </c>
      <c r="G187">
        <f>'[1]2021 УГРЦТ'!AC190</f>
        <v>480</v>
      </c>
      <c r="H187" s="7">
        <f>'[1]2021 УГРЦТ'!X190</f>
        <v>168246.35</v>
      </c>
      <c r="I187" s="7" t="e">
        <f>'[1]2021 УГРЦТ'!Y190</f>
        <v>#REF!</v>
      </c>
      <c r="J187" s="7">
        <f>'[1]2021 УГРЦТ'!Z190</f>
        <v>168246.35</v>
      </c>
      <c r="K187" s="8">
        <v>1</v>
      </c>
      <c r="L187" s="7">
        <v>350.51322916666669</v>
      </c>
      <c r="M187" s="7"/>
      <c r="N187" s="7">
        <f t="shared" si="1035"/>
        <v>4206.1587500000005</v>
      </c>
      <c r="O187" s="7">
        <f t="shared" si="828"/>
        <v>167895.83677083335</v>
      </c>
      <c r="P187" s="7">
        <f t="shared" si="1117"/>
        <v>167545.3235416667</v>
      </c>
      <c r="Q187" s="7">
        <f t="shared" si="1117"/>
        <v>167194.81031250005</v>
      </c>
      <c r="R187" s="7">
        <f t="shared" si="1117"/>
        <v>166844.2970833334</v>
      </c>
      <c r="S187" s="7">
        <f t="shared" si="1117"/>
        <v>166493.78385416674</v>
      </c>
      <c r="T187" s="7">
        <f t="shared" si="1117"/>
        <v>166143.27062500009</v>
      </c>
      <c r="U187" s="7">
        <f t="shared" si="1117"/>
        <v>165792.75739583344</v>
      </c>
      <c r="V187" s="7">
        <f t="shared" si="1117"/>
        <v>165442.24416666679</v>
      </c>
      <c r="W187" s="7">
        <f t="shared" si="1117"/>
        <v>165091.73093750014</v>
      </c>
      <c r="X187" s="7">
        <f t="shared" si="1117"/>
        <v>164741.21770833348</v>
      </c>
      <c r="Y187" s="7">
        <f t="shared" si="1117"/>
        <v>164390.70447916683</v>
      </c>
      <c r="Z187" s="7">
        <f t="shared" si="1117"/>
        <v>164040.19125000018</v>
      </c>
      <c r="AA187" s="7">
        <f t="shared" si="1077"/>
        <v>3655.1519537500017</v>
      </c>
      <c r="AB187" s="7"/>
      <c r="AC187" s="7">
        <f t="shared" si="829"/>
        <v>4206.1587500000005</v>
      </c>
      <c r="AD187" s="7">
        <f t="shared" si="830"/>
        <v>163689.67802083353</v>
      </c>
      <c r="AE187" s="7">
        <f t="shared" si="1118"/>
        <v>163339.16479166687</v>
      </c>
      <c r="AF187" s="7">
        <f t="shared" si="1118"/>
        <v>162988.65156250022</v>
      </c>
      <c r="AG187" s="7">
        <f t="shared" si="1118"/>
        <v>162638.13833333357</v>
      </c>
      <c r="AH187" s="7">
        <f t="shared" si="1118"/>
        <v>162287.62510416692</v>
      </c>
      <c r="AI187" s="7">
        <f t="shared" si="1118"/>
        <v>161937.11187500026</v>
      </c>
      <c r="AJ187" s="7">
        <f t="shared" si="1118"/>
        <v>161586.59864583361</v>
      </c>
      <c r="AK187" s="7">
        <f t="shared" si="1118"/>
        <v>161236.08541666696</v>
      </c>
      <c r="AL187" s="7">
        <f t="shared" si="1118"/>
        <v>160885.57218750031</v>
      </c>
      <c r="AM187" s="7">
        <f t="shared" si="1118"/>
        <v>160535.05895833366</v>
      </c>
      <c r="AN187" s="7">
        <f t="shared" si="1118"/>
        <v>160184.545729167</v>
      </c>
      <c r="AO187" s="7">
        <f t="shared" si="1118"/>
        <v>159834.03250000035</v>
      </c>
      <c r="AP187" s="222">
        <f t="shared" si="1078"/>
        <v>3562.6164612500061</v>
      </c>
      <c r="AQ187" s="7">
        <v>350.51322916666669</v>
      </c>
      <c r="AR187" s="7">
        <f t="shared" si="831"/>
        <v>350.51322916665231</v>
      </c>
      <c r="AS187" s="7">
        <f t="shared" si="832"/>
        <v>-1.4381384971784428E-11</v>
      </c>
      <c r="AT187" s="7">
        <f t="shared" si="1038"/>
        <v>4206.1587500000005</v>
      </c>
      <c r="AU187" s="7">
        <f t="shared" si="1039"/>
        <v>159483.5192708337</v>
      </c>
      <c r="AV187" s="7">
        <f t="shared" si="1119"/>
        <v>159133.00604166705</v>
      </c>
      <c r="AW187" s="7">
        <f t="shared" si="1119"/>
        <v>158782.49281250039</v>
      </c>
      <c r="AX187" s="7">
        <f t="shared" si="1119"/>
        <v>158431.97958333374</v>
      </c>
      <c r="AY187" s="7">
        <f t="shared" si="1119"/>
        <v>158081.46635416709</v>
      </c>
      <c r="AZ187" s="7">
        <f t="shared" si="1119"/>
        <v>157730.95312500044</v>
      </c>
      <c r="BA187" s="7">
        <f t="shared" si="1119"/>
        <v>157380.43989583378</v>
      </c>
      <c r="BB187" s="7">
        <f t="shared" si="1119"/>
        <v>157029.92666666713</v>
      </c>
      <c r="BC187" s="7">
        <f t="shared" si="1119"/>
        <v>156679.41343750048</v>
      </c>
      <c r="BD187" s="7">
        <f t="shared" si="1119"/>
        <v>156328.90020833383</v>
      </c>
      <c r="BE187" s="7">
        <f t="shared" si="1119"/>
        <v>155978.38697916718</v>
      </c>
      <c r="BF187" s="7">
        <f t="shared" si="1119"/>
        <v>155627.87375000052</v>
      </c>
      <c r="BG187" s="236">
        <f t="shared" si="827"/>
        <v>3470.0809687500096</v>
      </c>
      <c r="BH187" s="7">
        <v>350.51322916666669</v>
      </c>
      <c r="BI187" s="39">
        <f t="shared" si="1093"/>
        <v>4206.1587500000005</v>
      </c>
      <c r="BJ187" s="7">
        <f t="shared" si="1042"/>
        <v>155277.36052083387</v>
      </c>
      <c r="BK187" s="7">
        <f t="shared" si="1043"/>
        <v>154926.84729166722</v>
      </c>
      <c r="BL187" s="7">
        <f t="shared" si="1044"/>
        <v>154576.33406250057</v>
      </c>
      <c r="BM187" s="7">
        <f t="shared" si="1045"/>
        <v>154225.82083333391</v>
      </c>
      <c r="BN187" s="7">
        <f t="shared" si="1046"/>
        <v>153875.30760416726</v>
      </c>
      <c r="BO187" s="7">
        <f t="shared" si="1047"/>
        <v>153524.79437500061</v>
      </c>
      <c r="BP187" s="7">
        <f t="shared" si="1048"/>
        <v>153174.28114583396</v>
      </c>
      <c r="BQ187" s="7">
        <f t="shared" si="1049"/>
        <v>152823.7679166673</v>
      </c>
      <c r="BR187" s="7">
        <f t="shared" si="1050"/>
        <v>152473.25468750065</v>
      </c>
      <c r="BS187" s="7">
        <f t="shared" si="1051"/>
        <v>152122.741458334</v>
      </c>
      <c r="BT187" s="7">
        <f t="shared" si="1052"/>
        <v>151772.22822916735</v>
      </c>
      <c r="BU187" s="7">
        <f t="shared" si="1053"/>
        <v>151421.71500000069</v>
      </c>
      <c r="BV187" s="236">
        <f t="shared" si="1079"/>
        <v>3377.545476250014</v>
      </c>
      <c r="BW187" s="7">
        <v>350.51322916666669</v>
      </c>
      <c r="BX187" s="39">
        <f t="shared" si="1094"/>
        <v>4206.1587500000005</v>
      </c>
      <c r="BY187" s="7">
        <f t="shared" si="1095"/>
        <v>151071.20177083404</v>
      </c>
      <c r="BZ187" s="7">
        <f t="shared" si="1055"/>
        <v>150720.68854166739</v>
      </c>
      <c r="CA187" s="7">
        <f t="shared" si="1056"/>
        <v>150370.17531250074</v>
      </c>
      <c r="CB187" s="7">
        <f t="shared" si="1057"/>
        <v>150019.66208333409</v>
      </c>
      <c r="CC187" s="7">
        <f t="shared" si="1096"/>
        <v>149669.14885416743</v>
      </c>
      <c r="CD187" s="7">
        <f t="shared" si="1097"/>
        <v>149318.63562500078</v>
      </c>
      <c r="CE187" s="7">
        <f t="shared" si="1098"/>
        <v>148968.12239583413</v>
      </c>
      <c r="CF187" s="7">
        <f t="shared" si="1099"/>
        <v>148617.60916666748</v>
      </c>
      <c r="CG187" s="7">
        <f t="shared" si="1100"/>
        <v>148267.09593750082</v>
      </c>
      <c r="CH187" s="7">
        <f t="shared" si="1101"/>
        <v>147916.58270833417</v>
      </c>
      <c r="CI187" s="7">
        <f t="shared" si="1102"/>
        <v>147566.06947916752</v>
      </c>
      <c r="CJ187" s="7">
        <f t="shared" si="1103"/>
        <v>147215.55625000087</v>
      </c>
      <c r="CK187" s="236">
        <f t="shared" si="1080"/>
        <v>3285.009983750017</v>
      </c>
      <c r="CL187" s="7">
        <v>350.51322916666669</v>
      </c>
      <c r="CM187" s="39">
        <f t="shared" si="1104"/>
        <v>4206.1587500000005</v>
      </c>
      <c r="CN187" s="7">
        <f t="shared" si="1105"/>
        <v>146865.04302083421</v>
      </c>
      <c r="CO187" s="7">
        <f t="shared" si="1106"/>
        <v>146514.52979166756</v>
      </c>
      <c r="CP187" s="7">
        <f t="shared" si="1107"/>
        <v>146164.01656250091</v>
      </c>
      <c r="CQ187" s="7">
        <f t="shared" si="1108"/>
        <v>145813.50333333426</v>
      </c>
      <c r="CR187" s="7">
        <f t="shared" si="1109"/>
        <v>145462.99010416761</v>
      </c>
      <c r="CS187" s="7">
        <f t="shared" si="1110"/>
        <v>145112.47687500095</v>
      </c>
      <c r="CT187" s="7">
        <f t="shared" si="1111"/>
        <v>144761.9636458343</v>
      </c>
      <c r="CU187" s="7">
        <f t="shared" si="1112"/>
        <v>144411.45041666765</v>
      </c>
      <c r="CV187" s="7">
        <f t="shared" si="1113"/>
        <v>144060.937187501</v>
      </c>
      <c r="CW187" s="7">
        <f t="shared" si="1114"/>
        <v>143710.42395833434</v>
      </c>
      <c r="CX187" s="7">
        <f t="shared" si="1115"/>
        <v>143359.91072916769</v>
      </c>
      <c r="CY187" s="7">
        <f t="shared" si="1116"/>
        <v>143009.39750000104</v>
      </c>
      <c r="CZ187" s="236">
        <f t="shared" si="1081"/>
        <v>3192.4744912500214</v>
      </c>
    </row>
    <row r="188" spans="1:104" ht="33.75" x14ac:dyDescent="0.2">
      <c r="A188" s="6" t="str">
        <f>'[1]2021 УГРЦТ'!A191</f>
        <v>Воздушная линия 6кВ от распределительного пункта "Водозабор" до территории Воинской части №12403 и до территории "Свалка"</v>
      </c>
      <c r="B188" t="str">
        <f>'[1]2021 УГРЦТ'!B191</f>
        <v>000001823</v>
      </c>
      <c r="C188" t="str">
        <f>'[1]2021 УГРЦТ'!C191</f>
        <v>ПЕРЕДАЧА</v>
      </c>
      <c r="D188" t="str">
        <f>'[1]2021 УГРЦТ'!D191</f>
        <v>Сооружения</v>
      </c>
      <c r="E188" t="str">
        <f>'[1]2021 УГРЦТ'!E191</f>
        <v>16.09.2020</v>
      </c>
      <c r="F188" t="str">
        <f>'[1]2021 УГРЦТ'!F191</f>
        <v>Цех электрических сетей</v>
      </c>
      <c r="G188">
        <f>'[1]2021 УГРЦТ'!AC191</f>
        <v>480</v>
      </c>
      <c r="H188" s="7">
        <f>'[1]2021 УГРЦТ'!X191</f>
        <v>5342040.4000000004</v>
      </c>
      <c r="I188" s="7">
        <f>'[1]2021 УГРЦТ'!Y191</f>
        <v>166938.76000000004</v>
      </c>
      <c r="J188" s="7">
        <f>'[1]2021 УГРЦТ'!Z191</f>
        <v>5175101.6400000006</v>
      </c>
      <c r="K188" s="8">
        <v>1</v>
      </c>
      <c r="L188" s="7">
        <v>11129.25</v>
      </c>
      <c r="M188" s="7"/>
      <c r="N188" s="7">
        <f t="shared" si="1035"/>
        <v>133551</v>
      </c>
      <c r="O188" s="7">
        <f t="shared" si="828"/>
        <v>5163972.3900000006</v>
      </c>
      <c r="P188" s="7">
        <f t="shared" si="1117"/>
        <v>5152843.1400000006</v>
      </c>
      <c r="Q188" s="7">
        <f t="shared" si="1117"/>
        <v>5141713.8900000006</v>
      </c>
      <c r="R188" s="7">
        <f t="shared" si="1117"/>
        <v>5130584.6400000006</v>
      </c>
      <c r="S188" s="7">
        <f t="shared" si="1117"/>
        <v>5119455.3900000006</v>
      </c>
      <c r="T188" s="7">
        <f t="shared" si="1117"/>
        <v>5108326.1400000006</v>
      </c>
      <c r="U188" s="7">
        <f t="shared" si="1117"/>
        <v>5097196.8900000006</v>
      </c>
      <c r="V188" s="7">
        <f t="shared" si="1117"/>
        <v>5086067.6400000006</v>
      </c>
      <c r="W188" s="7">
        <f t="shared" si="1117"/>
        <v>5074938.3900000006</v>
      </c>
      <c r="X188" s="7">
        <f t="shared" si="1117"/>
        <v>5063809.1400000006</v>
      </c>
      <c r="Y188" s="7">
        <f t="shared" si="1117"/>
        <v>5052679.8900000006</v>
      </c>
      <c r="Z188" s="7">
        <f t="shared" si="1117"/>
        <v>5041550.6400000006</v>
      </c>
      <c r="AA188" s="7">
        <f t="shared" si="1077"/>
        <v>112383.17508</v>
      </c>
      <c r="AB188" s="7"/>
      <c r="AC188" s="7">
        <f t="shared" si="829"/>
        <v>133551</v>
      </c>
      <c r="AD188" s="7">
        <f t="shared" si="830"/>
        <v>5030421.3900000006</v>
      </c>
      <c r="AE188" s="7">
        <f t="shared" si="1118"/>
        <v>5019292.1400000006</v>
      </c>
      <c r="AF188" s="7">
        <f t="shared" si="1118"/>
        <v>5008162.8900000006</v>
      </c>
      <c r="AG188" s="7">
        <f t="shared" si="1118"/>
        <v>4997033.6400000006</v>
      </c>
      <c r="AH188" s="7">
        <f t="shared" si="1118"/>
        <v>4985904.3900000006</v>
      </c>
      <c r="AI188" s="7">
        <f t="shared" si="1118"/>
        <v>4974775.1400000006</v>
      </c>
      <c r="AJ188" s="7">
        <f t="shared" si="1118"/>
        <v>4963645.8900000006</v>
      </c>
      <c r="AK188" s="7">
        <f t="shared" si="1118"/>
        <v>4952516.6400000006</v>
      </c>
      <c r="AL188" s="7">
        <f t="shared" si="1118"/>
        <v>4941387.3900000006</v>
      </c>
      <c r="AM188" s="7">
        <f t="shared" si="1118"/>
        <v>4930258.1400000006</v>
      </c>
      <c r="AN188" s="7">
        <f t="shared" si="1118"/>
        <v>4919128.8900000006</v>
      </c>
      <c r="AO188" s="7">
        <f t="shared" si="1118"/>
        <v>4907999.6400000006</v>
      </c>
      <c r="AP188" s="222">
        <f t="shared" si="1078"/>
        <v>109445.05308000001</v>
      </c>
      <c r="AQ188" s="7">
        <v>11129.25</v>
      </c>
      <c r="AR188" s="7">
        <f t="shared" si="831"/>
        <v>11129.25</v>
      </c>
      <c r="AS188" s="7">
        <f t="shared" si="832"/>
        <v>0</v>
      </c>
      <c r="AT188" s="7">
        <f t="shared" si="1038"/>
        <v>133551</v>
      </c>
      <c r="AU188" s="7">
        <f t="shared" si="1039"/>
        <v>4896870.3900000006</v>
      </c>
      <c r="AV188" s="7">
        <f t="shared" si="1119"/>
        <v>4885741.1400000006</v>
      </c>
      <c r="AW188" s="7">
        <f t="shared" si="1119"/>
        <v>4874611.8900000006</v>
      </c>
      <c r="AX188" s="7">
        <f t="shared" si="1119"/>
        <v>4863482.6400000006</v>
      </c>
      <c r="AY188" s="7">
        <f t="shared" si="1119"/>
        <v>4852353.3900000006</v>
      </c>
      <c r="AZ188" s="7">
        <f t="shared" si="1119"/>
        <v>4841224.1400000006</v>
      </c>
      <c r="BA188" s="7">
        <f t="shared" si="1119"/>
        <v>4830094.8900000006</v>
      </c>
      <c r="BB188" s="7">
        <f t="shared" si="1119"/>
        <v>4818965.6400000006</v>
      </c>
      <c r="BC188" s="7">
        <f t="shared" si="1119"/>
        <v>4807836.3900000006</v>
      </c>
      <c r="BD188" s="7">
        <f t="shared" si="1119"/>
        <v>4796707.1400000006</v>
      </c>
      <c r="BE188" s="7">
        <f t="shared" si="1119"/>
        <v>4785577.8900000006</v>
      </c>
      <c r="BF188" s="7">
        <f t="shared" si="1119"/>
        <v>4774448.6400000006</v>
      </c>
      <c r="BG188" s="236">
        <f t="shared" si="827"/>
        <v>106506.93108000001</v>
      </c>
      <c r="BH188" s="7">
        <v>11129.25</v>
      </c>
      <c r="BI188" s="39">
        <f t="shared" si="1093"/>
        <v>133551</v>
      </c>
      <c r="BJ188" s="7">
        <f t="shared" si="1042"/>
        <v>4763319.3900000006</v>
      </c>
      <c r="BK188" s="7">
        <f t="shared" si="1043"/>
        <v>4752190.1400000006</v>
      </c>
      <c r="BL188" s="7">
        <f t="shared" si="1044"/>
        <v>4741060.8900000006</v>
      </c>
      <c r="BM188" s="7">
        <f t="shared" si="1045"/>
        <v>4729931.6400000006</v>
      </c>
      <c r="BN188" s="7">
        <f t="shared" si="1046"/>
        <v>4718802.3900000006</v>
      </c>
      <c r="BO188" s="7">
        <f t="shared" si="1047"/>
        <v>4707673.1400000006</v>
      </c>
      <c r="BP188" s="7">
        <f t="shared" si="1048"/>
        <v>4696543.8900000006</v>
      </c>
      <c r="BQ188" s="7">
        <f t="shared" si="1049"/>
        <v>4685414.6400000006</v>
      </c>
      <c r="BR188" s="7">
        <f t="shared" si="1050"/>
        <v>4674285.3900000006</v>
      </c>
      <c r="BS188" s="7">
        <f t="shared" si="1051"/>
        <v>4663156.1400000006</v>
      </c>
      <c r="BT188" s="7">
        <f t="shared" si="1052"/>
        <v>4652026.8900000006</v>
      </c>
      <c r="BU188" s="7">
        <f t="shared" si="1053"/>
        <v>4640897.6400000006</v>
      </c>
      <c r="BV188" s="236">
        <f t="shared" si="1079"/>
        <v>103568.80908000001</v>
      </c>
      <c r="BW188" s="7">
        <v>11129.25</v>
      </c>
      <c r="BX188" s="39">
        <f t="shared" si="1094"/>
        <v>133551</v>
      </c>
      <c r="BY188" s="7">
        <f t="shared" si="1095"/>
        <v>4629768.3900000006</v>
      </c>
      <c r="BZ188" s="7">
        <f t="shared" si="1055"/>
        <v>4618639.1400000006</v>
      </c>
      <c r="CA188" s="7">
        <f t="shared" si="1056"/>
        <v>4607509.8900000006</v>
      </c>
      <c r="CB188" s="7">
        <f t="shared" si="1057"/>
        <v>4596380.6400000006</v>
      </c>
      <c r="CC188" s="7">
        <f t="shared" si="1096"/>
        <v>4585251.3900000006</v>
      </c>
      <c r="CD188" s="7">
        <f t="shared" si="1097"/>
        <v>4574122.1400000006</v>
      </c>
      <c r="CE188" s="7">
        <f t="shared" si="1098"/>
        <v>4562992.8900000006</v>
      </c>
      <c r="CF188" s="7">
        <f t="shared" si="1099"/>
        <v>4551863.6400000006</v>
      </c>
      <c r="CG188" s="7">
        <f t="shared" si="1100"/>
        <v>4540734.3900000006</v>
      </c>
      <c r="CH188" s="7">
        <f t="shared" si="1101"/>
        <v>4529605.1400000006</v>
      </c>
      <c r="CI188" s="7">
        <f t="shared" si="1102"/>
        <v>4518475.8900000006</v>
      </c>
      <c r="CJ188" s="7">
        <f t="shared" si="1103"/>
        <v>4507346.6400000006</v>
      </c>
      <c r="CK188" s="236">
        <f t="shared" si="1080"/>
        <v>100630.68708</v>
      </c>
      <c r="CL188" s="7">
        <v>11129.25</v>
      </c>
      <c r="CM188" s="39">
        <f t="shared" si="1104"/>
        <v>133551</v>
      </c>
      <c r="CN188" s="7">
        <f t="shared" si="1105"/>
        <v>4496217.3900000006</v>
      </c>
      <c r="CO188" s="7">
        <f t="shared" si="1106"/>
        <v>4485088.1400000006</v>
      </c>
      <c r="CP188" s="7">
        <f t="shared" si="1107"/>
        <v>4473958.8900000006</v>
      </c>
      <c r="CQ188" s="7">
        <f t="shared" si="1108"/>
        <v>4462829.6400000006</v>
      </c>
      <c r="CR188" s="7">
        <f t="shared" si="1109"/>
        <v>4451700.3900000006</v>
      </c>
      <c r="CS188" s="7">
        <f t="shared" si="1110"/>
        <v>4440571.1400000006</v>
      </c>
      <c r="CT188" s="7">
        <f t="shared" si="1111"/>
        <v>4429441.8900000006</v>
      </c>
      <c r="CU188" s="7">
        <f t="shared" si="1112"/>
        <v>4418312.6400000006</v>
      </c>
      <c r="CV188" s="7">
        <f t="shared" si="1113"/>
        <v>4407183.3900000006</v>
      </c>
      <c r="CW188" s="7">
        <f t="shared" si="1114"/>
        <v>4396054.1400000006</v>
      </c>
      <c r="CX188" s="7">
        <f t="shared" si="1115"/>
        <v>4384924.8900000006</v>
      </c>
      <c r="CY188" s="7">
        <f t="shared" si="1116"/>
        <v>4373795.6400000006</v>
      </c>
      <c r="CZ188" s="236">
        <f t="shared" si="1081"/>
        <v>97692.56508</v>
      </c>
    </row>
    <row r="189" spans="1:104" ht="22.5" x14ac:dyDescent="0.2">
      <c r="A189" s="6" t="str">
        <f>'[1]2021 УГРЦТ'!A192</f>
        <v>Воздушные линии 6 кВ в составе объекта "ТП-63/1 "Озерная 16" в районе ул. Озерная д.7а"</v>
      </c>
      <c r="B189" t="str">
        <f>'[1]2021 УГРЦТ'!B192</f>
        <v>000001828</v>
      </c>
      <c r="C189" t="str">
        <f>'[1]2021 УГРЦТ'!C192</f>
        <v>ПЕРЕДАЧА</v>
      </c>
      <c r="D189" t="str">
        <f>'[1]2021 УГРЦТ'!D192</f>
        <v>Сооружения</v>
      </c>
      <c r="E189" t="str">
        <f>'[1]2021 УГРЦТ'!E192</f>
        <v>30.12.2020</v>
      </c>
      <c r="F189" t="str">
        <f>'[1]2021 УГРЦТ'!F192</f>
        <v>Цех электрических сетей</v>
      </c>
      <c r="G189">
        <f>'[1]2021 УГРЦТ'!AC192</f>
        <v>600</v>
      </c>
      <c r="H189" s="7">
        <f>'[1]2021 УГРЦТ'!X192</f>
        <v>10441328.130000001</v>
      </c>
      <c r="I189" s="7">
        <f>'[1]2021 УГРЦТ'!Y192</f>
        <v>208826.56259999995</v>
      </c>
      <c r="J189" s="7">
        <f>'[1]2021 УГРЦТ'!Z192</f>
        <v>10232501.567400001</v>
      </c>
      <c r="K189" s="8">
        <v>1</v>
      </c>
      <c r="L189" s="7">
        <v>17402.209999999995</v>
      </c>
      <c r="M189" s="7"/>
      <c r="N189" s="7">
        <f t="shared" si="1035"/>
        <v>208826.51999999996</v>
      </c>
      <c r="O189" s="7">
        <f t="shared" si="828"/>
        <v>10215099.3574</v>
      </c>
      <c r="P189" s="7">
        <f t="shared" si="1117"/>
        <v>10197697.147399999</v>
      </c>
      <c r="Q189" s="7">
        <f t="shared" si="1117"/>
        <v>10180294.937399998</v>
      </c>
      <c r="R189" s="7">
        <f t="shared" si="1117"/>
        <v>10162892.727399997</v>
      </c>
      <c r="S189" s="7">
        <f t="shared" si="1117"/>
        <v>10145490.517399997</v>
      </c>
      <c r="T189" s="7">
        <f t="shared" si="1117"/>
        <v>10128088.307399996</v>
      </c>
      <c r="U189" s="7">
        <f t="shared" si="1117"/>
        <v>10110686.097399995</v>
      </c>
      <c r="V189" s="7">
        <f t="shared" si="1117"/>
        <v>10093283.887399994</v>
      </c>
      <c r="W189" s="7">
        <f t="shared" si="1117"/>
        <v>10075881.677399993</v>
      </c>
      <c r="X189" s="7">
        <f t="shared" si="1117"/>
        <v>10058479.467399992</v>
      </c>
      <c r="Y189" s="7">
        <f t="shared" si="1117"/>
        <v>10041077.257399991</v>
      </c>
      <c r="Z189" s="7">
        <f t="shared" si="1117"/>
        <v>10023675.04739999</v>
      </c>
      <c r="AA189" s="7">
        <f t="shared" si="1077"/>
        <v>222817.94276279988</v>
      </c>
      <c r="AB189" s="7"/>
      <c r="AC189" s="7">
        <f t="shared" si="829"/>
        <v>208826.51999999996</v>
      </c>
      <c r="AD189" s="7">
        <f t="shared" si="830"/>
        <v>10006272.837399989</v>
      </c>
      <c r="AE189" s="7">
        <f t="shared" si="1118"/>
        <v>9988870.6273999885</v>
      </c>
      <c r="AF189" s="7">
        <f t="shared" si="1118"/>
        <v>9971468.4173999876</v>
      </c>
      <c r="AG189" s="7">
        <f t="shared" si="1118"/>
        <v>9954066.2073999867</v>
      </c>
      <c r="AH189" s="7">
        <f t="shared" si="1118"/>
        <v>9936663.9973999858</v>
      </c>
      <c r="AI189" s="7">
        <f t="shared" si="1118"/>
        <v>9919261.7873999849</v>
      </c>
      <c r="AJ189" s="7">
        <f t="shared" si="1118"/>
        <v>9901859.577399984</v>
      </c>
      <c r="AK189" s="7">
        <f t="shared" si="1118"/>
        <v>9884457.3673999831</v>
      </c>
      <c r="AL189" s="7">
        <f t="shared" si="1118"/>
        <v>9867055.1573999822</v>
      </c>
      <c r="AM189" s="7">
        <f t="shared" si="1118"/>
        <v>9849652.9473999813</v>
      </c>
      <c r="AN189" s="7">
        <f t="shared" si="1118"/>
        <v>9832250.7373999804</v>
      </c>
      <c r="AO189" s="7">
        <f t="shared" si="1118"/>
        <v>9814848.5273999795</v>
      </c>
      <c r="AP189" s="222">
        <f t="shared" si="1078"/>
        <v>218223.75932279965</v>
      </c>
      <c r="AQ189" s="7">
        <v>17402.209999999995</v>
      </c>
      <c r="AR189" s="7">
        <f t="shared" si="831"/>
        <v>17402.210000000894</v>
      </c>
      <c r="AS189" s="7">
        <f t="shared" si="832"/>
        <v>8.985807653516531E-10</v>
      </c>
      <c r="AT189" s="7">
        <f t="shared" si="1038"/>
        <v>208826.51999999996</v>
      </c>
      <c r="AU189" s="7">
        <f t="shared" si="1039"/>
        <v>9797446.3173999786</v>
      </c>
      <c r="AV189" s="7">
        <f t="shared" si="1119"/>
        <v>9780044.1073999777</v>
      </c>
      <c r="AW189" s="7">
        <f t="shared" si="1119"/>
        <v>9762641.8973999768</v>
      </c>
      <c r="AX189" s="7">
        <f t="shared" si="1119"/>
        <v>9745239.687399976</v>
      </c>
      <c r="AY189" s="7">
        <f t="shared" si="1119"/>
        <v>9727837.4773999751</v>
      </c>
      <c r="AZ189" s="7">
        <f t="shared" si="1119"/>
        <v>9710435.2673999742</v>
      </c>
      <c r="BA189" s="7">
        <f t="shared" si="1119"/>
        <v>9693033.0573999733</v>
      </c>
      <c r="BB189" s="7">
        <f t="shared" si="1119"/>
        <v>9675630.8473999724</v>
      </c>
      <c r="BC189" s="7">
        <f t="shared" si="1119"/>
        <v>9658228.6373999715</v>
      </c>
      <c r="BD189" s="7">
        <f t="shared" si="1119"/>
        <v>9640826.4273999706</v>
      </c>
      <c r="BE189" s="7">
        <f t="shared" si="1119"/>
        <v>9623424.2173999697</v>
      </c>
      <c r="BF189" s="7">
        <f t="shared" si="1119"/>
        <v>9606022.0073999688</v>
      </c>
      <c r="BG189" s="236">
        <f t="shared" si="827"/>
        <v>213629.57588279943</v>
      </c>
      <c r="BH189" s="7">
        <v>17402.209999999995</v>
      </c>
      <c r="BI189" s="39">
        <f t="shared" si="1093"/>
        <v>208826.51999999996</v>
      </c>
      <c r="BJ189" s="7">
        <f t="shared" si="1042"/>
        <v>9588619.7973999679</v>
      </c>
      <c r="BK189" s="7">
        <f t="shared" si="1043"/>
        <v>9571217.587399967</v>
      </c>
      <c r="BL189" s="7">
        <f t="shared" si="1044"/>
        <v>9553815.3773999661</v>
      </c>
      <c r="BM189" s="7">
        <f t="shared" si="1045"/>
        <v>9536413.1673999652</v>
      </c>
      <c r="BN189" s="7">
        <f t="shared" si="1046"/>
        <v>9519010.9573999643</v>
      </c>
      <c r="BO189" s="7">
        <f t="shared" si="1047"/>
        <v>9501608.7473999634</v>
      </c>
      <c r="BP189" s="7">
        <f t="shared" si="1048"/>
        <v>9484206.5373999625</v>
      </c>
      <c r="BQ189" s="7">
        <f t="shared" si="1049"/>
        <v>9466804.3273999617</v>
      </c>
      <c r="BR189" s="7">
        <f t="shared" si="1050"/>
        <v>9449402.1173999608</v>
      </c>
      <c r="BS189" s="7">
        <f t="shared" si="1051"/>
        <v>9431999.9073999599</v>
      </c>
      <c r="BT189" s="7">
        <f t="shared" si="1052"/>
        <v>9414597.697399959</v>
      </c>
      <c r="BU189" s="7">
        <f t="shared" si="1053"/>
        <v>9397195.4873999581</v>
      </c>
      <c r="BV189" s="236">
        <f t="shared" si="1079"/>
        <v>209035.39244279917</v>
      </c>
      <c r="BW189" s="7">
        <v>17402.209999999995</v>
      </c>
      <c r="BX189" s="39">
        <f t="shared" si="1094"/>
        <v>208826.51999999996</v>
      </c>
      <c r="BY189" s="7">
        <f t="shared" si="1095"/>
        <v>9379793.2773999572</v>
      </c>
      <c r="BZ189" s="7">
        <f t="shared" si="1055"/>
        <v>9362391.0673999563</v>
      </c>
      <c r="CA189" s="7">
        <f t="shared" si="1056"/>
        <v>9344988.8573999554</v>
      </c>
      <c r="CB189" s="7">
        <f t="shared" si="1057"/>
        <v>9327586.6473999545</v>
      </c>
      <c r="CC189" s="7">
        <f t="shared" si="1096"/>
        <v>9310184.4373999536</v>
      </c>
      <c r="CD189" s="7">
        <f t="shared" si="1097"/>
        <v>9292782.2273999527</v>
      </c>
      <c r="CE189" s="7">
        <f t="shared" si="1098"/>
        <v>9275380.0173999518</v>
      </c>
      <c r="CF189" s="7">
        <f t="shared" si="1099"/>
        <v>9257977.8073999509</v>
      </c>
      <c r="CG189" s="7">
        <f t="shared" si="1100"/>
        <v>9240575.59739995</v>
      </c>
      <c r="CH189" s="7">
        <f t="shared" si="1101"/>
        <v>9223173.3873999491</v>
      </c>
      <c r="CI189" s="7">
        <f t="shared" si="1102"/>
        <v>9205771.1773999482</v>
      </c>
      <c r="CJ189" s="7">
        <f t="shared" si="1103"/>
        <v>9188368.9673999473</v>
      </c>
      <c r="CK189" s="236">
        <f t="shared" si="1080"/>
        <v>204441.20900279895</v>
      </c>
      <c r="CL189" s="7">
        <v>17402.209999999995</v>
      </c>
      <c r="CM189" s="39">
        <f t="shared" si="1104"/>
        <v>208826.51999999996</v>
      </c>
      <c r="CN189" s="7">
        <f t="shared" si="1105"/>
        <v>9170966.7573999465</v>
      </c>
      <c r="CO189" s="7">
        <f t="shared" si="1106"/>
        <v>9153564.5473999456</v>
      </c>
      <c r="CP189" s="7">
        <f t="shared" si="1107"/>
        <v>9136162.3373999447</v>
      </c>
      <c r="CQ189" s="7">
        <f t="shared" si="1108"/>
        <v>9118760.1273999438</v>
      </c>
      <c r="CR189" s="7">
        <f t="shared" si="1109"/>
        <v>9101357.9173999429</v>
      </c>
      <c r="CS189" s="7">
        <f t="shared" si="1110"/>
        <v>9083955.707399942</v>
      </c>
      <c r="CT189" s="7">
        <f t="shared" si="1111"/>
        <v>9066553.4973999411</v>
      </c>
      <c r="CU189" s="7">
        <f t="shared" si="1112"/>
        <v>9049151.2873999402</v>
      </c>
      <c r="CV189" s="7">
        <f t="shared" si="1113"/>
        <v>9031749.0773999393</v>
      </c>
      <c r="CW189" s="7">
        <f t="shared" si="1114"/>
        <v>9014346.8673999384</v>
      </c>
      <c r="CX189" s="7">
        <f t="shared" si="1115"/>
        <v>8996944.6573999375</v>
      </c>
      <c r="CY189" s="7">
        <f t="shared" si="1116"/>
        <v>8979542.4473999366</v>
      </c>
      <c r="CZ189" s="236">
        <f t="shared" si="1081"/>
        <v>199847.02556279872</v>
      </c>
    </row>
    <row r="190" spans="1:104" x14ac:dyDescent="0.2">
      <c r="A190" s="6" t="str">
        <f>'[1]2021 УГРЦТ'!A193</f>
        <v>Выключатель автоматический ВА-5541 1000А</v>
      </c>
      <c r="B190" t="str">
        <f>'[1]2021 УГРЦТ'!B193</f>
        <v>00001003</v>
      </c>
      <c r="C190" t="str">
        <f>'[1]2021 УГРЦТ'!C193</f>
        <v>ПЕРЕДАЧА</v>
      </c>
      <c r="D190" t="str">
        <f>'[1]2021 УГРЦТ'!D193</f>
        <v>Машины и оборудование (кроме офисного)</v>
      </c>
      <c r="E190" t="str">
        <f>'[1]2021 УГРЦТ'!E193</f>
        <v>30.11.2006</v>
      </c>
      <c r="F190" t="str">
        <f>'[1]2021 УГРЦТ'!F193</f>
        <v>Цех электрических сетей</v>
      </c>
      <c r="G190">
        <f>'[1]2021 УГРЦТ'!AC193</f>
        <v>180</v>
      </c>
      <c r="H190" s="7">
        <f>'[1]2021 УГРЦТ'!X193</f>
        <v>23644.07</v>
      </c>
      <c r="I190" s="7">
        <f>'[1]2021 УГРЦТ'!Y193</f>
        <v>23644.069444444445</v>
      </c>
      <c r="J190" s="7">
        <f>'[1]2021 УГРЦТ'!Z193</f>
        <v>5.5555555445607752E-4</v>
      </c>
      <c r="K190" s="8">
        <v>0</v>
      </c>
      <c r="L190" s="7">
        <v>0</v>
      </c>
      <c r="M190" s="7"/>
      <c r="N190" s="7">
        <f t="shared" si="1035"/>
        <v>0</v>
      </c>
      <c r="O190" s="7">
        <f t="shared" si="828"/>
        <v>5.5555555445607752E-4</v>
      </c>
      <c r="P190" s="7">
        <f t="shared" si="1117"/>
        <v>5.5555555445607752E-4</v>
      </c>
      <c r="Q190" s="7">
        <f t="shared" si="1117"/>
        <v>5.5555555445607752E-4</v>
      </c>
      <c r="R190" s="7">
        <f t="shared" si="1117"/>
        <v>5.5555555445607752E-4</v>
      </c>
      <c r="S190" s="7">
        <f t="shared" si="1117"/>
        <v>5.5555555445607752E-4</v>
      </c>
      <c r="T190" s="7">
        <f t="shared" si="1117"/>
        <v>5.5555555445607752E-4</v>
      </c>
      <c r="U190" s="7">
        <f t="shared" si="1117"/>
        <v>5.5555555445607752E-4</v>
      </c>
      <c r="V190" s="7">
        <f t="shared" si="1117"/>
        <v>5.5555555445607752E-4</v>
      </c>
      <c r="W190" s="7">
        <f t="shared" si="1117"/>
        <v>5.5555555445607752E-4</v>
      </c>
      <c r="X190" s="7">
        <f t="shared" si="1117"/>
        <v>5.5555555445607752E-4</v>
      </c>
      <c r="Y190" s="7">
        <f t="shared" si="1117"/>
        <v>5.5555555445607752E-4</v>
      </c>
      <c r="Z190" s="7">
        <f t="shared" si="1117"/>
        <v>5.5555555445607752E-4</v>
      </c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222"/>
      <c r="AQ190" s="7">
        <v>0</v>
      </c>
      <c r="AR190" s="7">
        <f t="shared" si="831"/>
        <v>0</v>
      </c>
      <c r="AS190" s="7">
        <f t="shared" si="832"/>
        <v>0</v>
      </c>
      <c r="BG190" s="236">
        <f t="shared" si="827"/>
        <v>0</v>
      </c>
      <c r="BH190" s="7">
        <v>0</v>
      </c>
      <c r="BV190" s="236">
        <f t="shared" si="1079"/>
        <v>0</v>
      </c>
      <c r="BW190" s="7">
        <v>0</v>
      </c>
      <c r="CK190" s="236">
        <f t="shared" si="1080"/>
        <v>0</v>
      </c>
      <c r="CL190" s="7">
        <v>0</v>
      </c>
      <c r="CZ190" s="236">
        <f t="shared" si="1081"/>
        <v>0</v>
      </c>
    </row>
    <row r="191" spans="1:104" ht="22.5" x14ac:dyDescent="0.2">
      <c r="A191" s="6" t="str">
        <f>'[1]2021 УГРЦТ'!A194</f>
        <v>Высоковольтные сети электроснабжения 150 м п. Мирный (ТП №91)</v>
      </c>
      <c r="B191" t="str">
        <f>'[1]2021 УГРЦТ'!B194</f>
        <v>000001490</v>
      </c>
      <c r="C191" t="str">
        <f>'[1]2021 УГРЦТ'!C194</f>
        <v>ПЕРЕДАЧА</v>
      </c>
      <c r="D191" t="str">
        <f>'[1]2021 УГРЦТ'!D194</f>
        <v>Сооружения</v>
      </c>
      <c r="E191" t="str">
        <f>'[1]2021 УГРЦТ'!E194</f>
        <v>31.10.2012</v>
      </c>
      <c r="F191" t="str">
        <f>'[1]2021 УГРЦТ'!F194</f>
        <v>Цех электрических сетей</v>
      </c>
      <c r="G191">
        <f>'[1]2021 УГРЦТ'!AC194</f>
        <v>360</v>
      </c>
      <c r="H191" s="7">
        <f>'[1]2021 УГРЦТ'!X194</f>
        <v>2610798.79</v>
      </c>
      <c r="I191" s="7">
        <f>'[1]2021 УГРЦТ'!Y194</f>
        <v>797744.18633333337</v>
      </c>
      <c r="J191" s="7">
        <f>'[1]2021 УГРЦТ'!Z194</f>
        <v>1813054.6036666667</v>
      </c>
      <c r="K191" s="8">
        <v>1</v>
      </c>
      <c r="L191" s="7">
        <v>7252.22</v>
      </c>
      <c r="M191" s="7"/>
      <c r="N191" s="7">
        <f t="shared" si="1035"/>
        <v>87026.64</v>
      </c>
      <c r="O191" s="7">
        <f t="shared" si="828"/>
        <v>1805802.3836666667</v>
      </c>
      <c r="P191" s="7">
        <f t="shared" si="1117"/>
        <v>1798550.1636666667</v>
      </c>
      <c r="Q191" s="7">
        <f t="shared" si="1117"/>
        <v>1791297.9436666667</v>
      </c>
      <c r="R191" s="7">
        <f t="shared" si="1117"/>
        <v>1784045.7236666668</v>
      </c>
      <c r="S191" s="7">
        <f t="shared" si="1117"/>
        <v>1776793.5036666668</v>
      </c>
      <c r="T191" s="7">
        <f t="shared" si="1117"/>
        <v>1769541.2836666668</v>
      </c>
      <c r="U191" s="7">
        <f t="shared" si="1117"/>
        <v>1762289.0636666669</v>
      </c>
      <c r="V191" s="7">
        <f t="shared" si="1117"/>
        <v>1755036.8436666669</v>
      </c>
      <c r="W191" s="7">
        <f t="shared" si="1117"/>
        <v>1747784.6236666669</v>
      </c>
      <c r="X191" s="7">
        <f t="shared" si="1117"/>
        <v>1740532.4036666669</v>
      </c>
      <c r="Y191" s="7">
        <f t="shared" si="1117"/>
        <v>1733280.183666667</v>
      </c>
      <c r="Z191" s="7">
        <f t="shared" si="1117"/>
        <v>1726027.963666667</v>
      </c>
      <c r="AA191" s="7">
        <f t="shared" ref="AA191:AA193" si="1120">SUM(O191:Z191,J191)/13*$AA$1</f>
        <v>38929.908240666671</v>
      </c>
      <c r="AB191" s="7"/>
      <c r="AC191" s="7">
        <f t="shared" si="829"/>
        <v>87026.64</v>
      </c>
      <c r="AD191" s="7">
        <f t="shared" si="830"/>
        <v>1718775.743666667</v>
      </c>
      <c r="AE191" s="7">
        <f t="shared" si="1118"/>
        <v>1711523.5236666671</v>
      </c>
      <c r="AF191" s="7">
        <f t="shared" si="1118"/>
        <v>1704271.3036666671</v>
      </c>
      <c r="AG191" s="7">
        <f t="shared" si="1118"/>
        <v>1697019.0836666671</v>
      </c>
      <c r="AH191" s="7">
        <f t="shared" si="1118"/>
        <v>1689766.8636666671</v>
      </c>
      <c r="AI191" s="7">
        <f t="shared" si="1118"/>
        <v>1682514.6436666672</v>
      </c>
      <c r="AJ191" s="7">
        <f t="shared" si="1118"/>
        <v>1675262.4236666672</v>
      </c>
      <c r="AK191" s="7">
        <f t="shared" si="1118"/>
        <v>1668010.2036666672</v>
      </c>
      <c r="AL191" s="7">
        <f t="shared" si="1118"/>
        <v>1660757.9836666672</v>
      </c>
      <c r="AM191" s="7">
        <f t="shared" si="1118"/>
        <v>1653505.7636666673</v>
      </c>
      <c r="AN191" s="7">
        <f t="shared" si="1118"/>
        <v>1646253.5436666673</v>
      </c>
      <c r="AO191" s="7">
        <f t="shared" si="1118"/>
        <v>1639001.3236666673</v>
      </c>
      <c r="AP191" s="222">
        <f>IF(K191&lt;1,0,SUM(AD191:AO191,Z191)/13*$BG$1)</f>
        <v>37015.322160666678</v>
      </c>
      <c r="AQ191" s="7">
        <v>7252.22</v>
      </c>
      <c r="AR191" s="7">
        <f t="shared" si="831"/>
        <v>7252.2199999999721</v>
      </c>
      <c r="AS191" s="7">
        <f t="shared" si="832"/>
        <v>-2.8194335754960775E-11</v>
      </c>
      <c r="AT191" s="7">
        <f t="shared" ref="AT191:AT194" si="1121">L191*12</f>
        <v>87026.64</v>
      </c>
      <c r="AU191" s="7">
        <f>AO191-$L191</f>
        <v>1631749.1036666674</v>
      </c>
      <c r="AV191" s="7">
        <f t="shared" ref="AV191:BF194" si="1122">AU191-$L191</f>
        <v>1624496.8836666674</v>
      </c>
      <c r="AW191" s="7">
        <f t="shared" si="1122"/>
        <v>1617244.6636666674</v>
      </c>
      <c r="AX191" s="7">
        <f t="shared" si="1122"/>
        <v>1609992.4436666674</v>
      </c>
      <c r="AY191" s="7">
        <f t="shared" si="1122"/>
        <v>1602740.2236666675</v>
      </c>
      <c r="AZ191" s="7">
        <f t="shared" si="1122"/>
        <v>1595488.0036666675</v>
      </c>
      <c r="BA191" s="7">
        <f t="shared" si="1122"/>
        <v>1588235.7836666675</v>
      </c>
      <c r="BB191" s="7">
        <f t="shared" si="1122"/>
        <v>1580983.5636666676</v>
      </c>
      <c r="BC191" s="7">
        <f t="shared" si="1122"/>
        <v>1573731.3436666676</v>
      </c>
      <c r="BD191" s="7">
        <f t="shared" si="1122"/>
        <v>1566479.1236666676</v>
      </c>
      <c r="BE191" s="7">
        <f t="shared" si="1122"/>
        <v>1559226.9036666676</v>
      </c>
      <c r="BF191" s="7">
        <f t="shared" si="1122"/>
        <v>1551974.6836666677</v>
      </c>
      <c r="BG191" s="236">
        <f t="shared" si="827"/>
        <v>35100.736080666684</v>
      </c>
      <c r="BH191" s="7">
        <v>7252.22</v>
      </c>
      <c r="BI191" s="39">
        <f>BH191*12</f>
        <v>87026.64</v>
      </c>
      <c r="BJ191" s="7">
        <f>BF191-BH191</f>
        <v>1544722.4636666677</v>
      </c>
      <c r="BK191" s="7">
        <f t="shared" ref="BK191:BK194" si="1123">BJ191-$L191</f>
        <v>1537470.2436666677</v>
      </c>
      <c r="BL191" s="7">
        <f t="shared" ref="BL191:BL194" si="1124">BK191-$L191</f>
        <v>1530218.0236666678</v>
      </c>
      <c r="BM191" s="7">
        <f t="shared" ref="BM191:BM194" si="1125">BL191-$L191</f>
        <v>1522965.8036666678</v>
      </c>
      <c r="BN191" s="7">
        <f t="shared" ref="BN191:BN194" si="1126">BM191-$L191</f>
        <v>1515713.5836666678</v>
      </c>
      <c r="BO191" s="7">
        <f t="shared" ref="BO191:BO193" si="1127">BN191-$L191</f>
        <v>1508461.3636666678</v>
      </c>
      <c r="BP191" s="7">
        <f t="shared" ref="BP191:BP193" si="1128">BO191-$L191</f>
        <v>1501209.1436666679</v>
      </c>
      <c r="BQ191" s="7">
        <f t="shared" ref="BQ191:BQ193" si="1129">BP191-$L191</f>
        <v>1493956.9236666679</v>
      </c>
      <c r="BR191" s="7">
        <f t="shared" ref="BR191:BR193" si="1130">BQ191-$L191</f>
        <v>1486704.7036666679</v>
      </c>
      <c r="BS191" s="7">
        <f t="shared" ref="BS191:BS193" si="1131">BR191-$L191</f>
        <v>1479452.4836666679</v>
      </c>
      <c r="BT191" s="7">
        <f t="shared" ref="BT191:BT193" si="1132">BS191-$L191</f>
        <v>1472200.263666668</v>
      </c>
      <c r="BU191" s="7">
        <f t="shared" ref="BU191:BU193" si="1133">BT191-$L191</f>
        <v>1464948.043666668</v>
      </c>
      <c r="BV191" s="236">
        <f t="shared" si="1079"/>
        <v>33186.150000666697</v>
      </c>
      <c r="BW191" s="7">
        <v>7252.22</v>
      </c>
      <c r="BX191" s="39">
        <f>BW191*12</f>
        <v>87026.64</v>
      </c>
      <c r="BY191" s="7">
        <f>BU191-BW191</f>
        <v>1457695.823666668</v>
      </c>
      <c r="BZ191" s="7">
        <f t="shared" ref="BZ191:BZ193" si="1134">BY191-$L191</f>
        <v>1450443.6036666681</v>
      </c>
      <c r="CA191" s="7">
        <f t="shared" ref="CA191:CA193" si="1135">BZ191-$L191</f>
        <v>1443191.3836666681</v>
      </c>
      <c r="CB191" s="7">
        <f t="shared" ref="CB191:CB193" si="1136">CA191-$L191</f>
        <v>1435939.1636666681</v>
      </c>
      <c r="CC191" s="7">
        <f t="shared" ref="CC191:CC193" si="1137">CB191-$L191</f>
        <v>1428686.9436666681</v>
      </c>
      <c r="CD191" s="7">
        <f t="shared" ref="CD191:CD193" si="1138">CC191-$L191</f>
        <v>1421434.7236666682</v>
      </c>
      <c r="CE191" s="7">
        <f t="shared" ref="CE191:CE193" si="1139">CD191-$L191</f>
        <v>1414182.5036666682</v>
      </c>
      <c r="CF191" s="7">
        <f t="shared" ref="CF191:CF193" si="1140">CE191-$L191</f>
        <v>1406930.2836666682</v>
      </c>
      <c r="CG191" s="7">
        <f t="shared" ref="CG191:CG193" si="1141">CF191-$L191</f>
        <v>1399678.0636666683</v>
      </c>
      <c r="CH191" s="7">
        <f t="shared" ref="CH191:CH193" si="1142">CG191-$L191</f>
        <v>1392425.8436666683</v>
      </c>
      <c r="CI191" s="7">
        <f t="shared" ref="CI191:CI193" si="1143">CH191-$L191</f>
        <v>1385173.6236666683</v>
      </c>
      <c r="CJ191" s="7">
        <f t="shared" ref="CJ191:CJ193" si="1144">CI191-$L191</f>
        <v>1377921.4036666683</v>
      </c>
      <c r="CK191" s="236">
        <f t="shared" si="1080"/>
        <v>31271.563920666697</v>
      </c>
      <c r="CL191" s="7">
        <v>7252.22</v>
      </c>
      <c r="CM191" s="39">
        <f>CL191*12</f>
        <v>87026.64</v>
      </c>
      <c r="CN191" s="7">
        <f>CJ191-CL191</f>
        <v>1370669.1836666684</v>
      </c>
      <c r="CO191" s="7">
        <f t="shared" ref="CO191:CO193" si="1145">CN191-$L191</f>
        <v>1363416.9636666684</v>
      </c>
      <c r="CP191" s="7">
        <f t="shared" ref="CP191:CP193" si="1146">CO191-$L191</f>
        <v>1356164.7436666684</v>
      </c>
      <c r="CQ191" s="7">
        <f t="shared" ref="CQ191:CQ193" si="1147">CP191-$L191</f>
        <v>1348912.5236666685</v>
      </c>
      <c r="CR191" s="7">
        <f t="shared" ref="CR191:CR193" si="1148">CQ191-$L191</f>
        <v>1341660.3036666685</v>
      </c>
      <c r="CS191" s="7">
        <f t="shared" ref="CS191:CS193" si="1149">CR191-$L191</f>
        <v>1334408.0836666685</v>
      </c>
      <c r="CT191" s="7">
        <f t="shared" ref="CT191:CT193" si="1150">CS191-$L191</f>
        <v>1327155.8636666685</v>
      </c>
      <c r="CU191" s="7">
        <f t="shared" ref="CU191:CU193" si="1151">CT191-$L191</f>
        <v>1319903.6436666686</v>
      </c>
      <c r="CV191" s="7">
        <f t="shared" ref="CV191:CV193" si="1152">CU191-$L191</f>
        <v>1312651.4236666686</v>
      </c>
      <c r="CW191" s="7">
        <f t="shared" ref="CW191:CW193" si="1153">CV191-$L191</f>
        <v>1305399.2036666686</v>
      </c>
      <c r="CX191" s="7">
        <f t="shared" ref="CX191:CX193" si="1154">CW191-$L191</f>
        <v>1298146.9836666686</v>
      </c>
      <c r="CY191" s="7">
        <f t="shared" ref="CY191:CY193" si="1155">CX191-$L191</f>
        <v>1290894.7636666687</v>
      </c>
      <c r="CZ191" s="236">
        <f t="shared" si="1081"/>
        <v>29356.97784066671</v>
      </c>
    </row>
    <row r="192" spans="1:104" s="180" customFormat="1" x14ac:dyDescent="0.2">
      <c r="A192" s="179" t="str">
        <f>'[1]2021 УГРЦТ'!A195</f>
        <v>Гараж 3-секционный от Н-Мстрой</v>
      </c>
      <c r="B192" s="180" t="str">
        <f>'[1]2021 УГРЦТ'!B195</f>
        <v>00000027</v>
      </c>
      <c r="C192" s="180" t="str">
        <f>'[1]2021 УГРЦТ'!C195</f>
        <v>ПЕРЕДАЧА</v>
      </c>
      <c r="D192" s="180" t="str">
        <f>'[1]2021 УГРЦТ'!D195</f>
        <v>Здания</v>
      </c>
      <c r="E192" s="180" t="str">
        <f>'[1]2021 УГРЦТ'!E195</f>
        <v>01.09.1998</v>
      </c>
      <c r="F192" s="180" t="str">
        <f>'[1]2021 УГРЦТ'!F195</f>
        <v>Автотранспортный цех</v>
      </c>
      <c r="G192" s="180">
        <f>'[1]2021 УГРЦТ'!AC195</f>
        <v>480</v>
      </c>
      <c r="H192" s="181">
        <f>'[1]2021 УГРЦТ'!X195</f>
        <v>835229.83</v>
      </c>
      <c r="I192" s="181">
        <f>'[1]2021 УГРЦТ'!Y195</f>
        <v>312532.11000000004</v>
      </c>
      <c r="J192" s="181">
        <f>'[1]2021 УГРЦТ'!Z195</f>
        <v>522697.71999999991</v>
      </c>
      <c r="K192" s="182">
        <v>1</v>
      </c>
      <c r="L192" s="181">
        <v>2600.4899999999998</v>
      </c>
      <c r="M192" s="181"/>
      <c r="N192" s="181">
        <f t="shared" si="1035"/>
        <v>31205.879999999997</v>
      </c>
      <c r="O192" s="7">
        <f t="shared" si="828"/>
        <v>520097.22999999992</v>
      </c>
      <c r="P192" s="7">
        <f t="shared" si="1117"/>
        <v>517496.73999999993</v>
      </c>
      <c r="Q192" s="7">
        <f t="shared" si="1117"/>
        <v>514896.24999999994</v>
      </c>
      <c r="R192" s="7">
        <f t="shared" si="1117"/>
        <v>512295.75999999995</v>
      </c>
      <c r="S192" s="7">
        <f t="shared" si="1117"/>
        <v>509695.26999999996</v>
      </c>
      <c r="T192" s="7">
        <f t="shared" si="1117"/>
        <v>507094.77999999997</v>
      </c>
      <c r="U192" s="7">
        <f t="shared" si="1117"/>
        <v>504494.29</v>
      </c>
      <c r="V192" s="7">
        <f t="shared" si="1117"/>
        <v>501893.8</v>
      </c>
      <c r="W192" s="7">
        <f t="shared" si="1117"/>
        <v>499293.31</v>
      </c>
      <c r="X192" s="7">
        <f t="shared" si="1117"/>
        <v>496692.82</v>
      </c>
      <c r="Y192" s="7">
        <f t="shared" si="1117"/>
        <v>494092.33</v>
      </c>
      <c r="Z192" s="7">
        <f t="shared" si="1117"/>
        <v>491491.84000000003</v>
      </c>
      <c r="AA192" s="7">
        <f t="shared" si="1120"/>
        <v>11156.085159999997</v>
      </c>
      <c r="AB192" s="7"/>
      <c r="AC192" s="7">
        <f t="shared" si="829"/>
        <v>31205.879999999997</v>
      </c>
      <c r="AD192" s="7">
        <f t="shared" si="830"/>
        <v>488891.35000000003</v>
      </c>
      <c r="AE192" s="7">
        <f t="shared" si="1118"/>
        <v>486290.86000000004</v>
      </c>
      <c r="AF192" s="7">
        <f t="shared" si="1118"/>
        <v>483690.37000000005</v>
      </c>
      <c r="AG192" s="7">
        <f t="shared" si="1118"/>
        <v>481089.88000000006</v>
      </c>
      <c r="AH192" s="7">
        <f t="shared" si="1118"/>
        <v>478489.39000000007</v>
      </c>
      <c r="AI192" s="7">
        <f t="shared" si="1118"/>
        <v>475888.90000000008</v>
      </c>
      <c r="AJ192" s="7">
        <f t="shared" si="1118"/>
        <v>473288.41000000009</v>
      </c>
      <c r="AK192" s="7">
        <f t="shared" si="1118"/>
        <v>470687.9200000001</v>
      </c>
      <c r="AL192" s="7">
        <f t="shared" si="1118"/>
        <v>468087.43000000011</v>
      </c>
      <c r="AM192" s="7">
        <f t="shared" si="1118"/>
        <v>465486.94000000012</v>
      </c>
      <c r="AN192" s="7">
        <f t="shared" si="1118"/>
        <v>462886.45000000013</v>
      </c>
      <c r="AO192" s="7">
        <f t="shared" si="1118"/>
        <v>460285.96000000014</v>
      </c>
      <c r="AP192" s="222">
        <f>IF(K192&lt;1,0,SUM(AD192:AO192,Z192)/13*$BG$1)</f>
        <v>10469.5558</v>
      </c>
      <c r="AQ192" s="7">
        <v>2600.4899999999998</v>
      </c>
      <c r="AR192" s="7">
        <f t="shared" si="831"/>
        <v>2600.4899999999907</v>
      </c>
      <c r="AS192" s="7">
        <f t="shared" si="832"/>
        <v>-9.0949470177292824E-12</v>
      </c>
      <c r="AT192" s="7">
        <f t="shared" si="1121"/>
        <v>31205.879999999997</v>
      </c>
      <c r="AU192" s="7">
        <f>AO192-$L192</f>
        <v>457685.47000000015</v>
      </c>
      <c r="AV192" s="7">
        <f t="shared" si="1122"/>
        <v>455084.98000000016</v>
      </c>
      <c r="AW192" s="7">
        <f t="shared" si="1122"/>
        <v>452484.49000000017</v>
      </c>
      <c r="AX192" s="7">
        <f t="shared" si="1122"/>
        <v>449884.00000000017</v>
      </c>
      <c r="AY192" s="7">
        <f t="shared" si="1122"/>
        <v>447283.51000000018</v>
      </c>
      <c r="AZ192" s="7">
        <f t="shared" si="1122"/>
        <v>444683.02000000019</v>
      </c>
      <c r="BA192" s="7">
        <f t="shared" si="1122"/>
        <v>442082.5300000002</v>
      </c>
      <c r="BB192" s="7">
        <f t="shared" si="1122"/>
        <v>439482.04000000021</v>
      </c>
      <c r="BC192" s="7">
        <f t="shared" si="1122"/>
        <v>436881.55000000022</v>
      </c>
      <c r="BD192" s="7">
        <f t="shared" si="1122"/>
        <v>434281.06000000023</v>
      </c>
      <c r="BE192" s="7">
        <f t="shared" si="1122"/>
        <v>431680.57000000024</v>
      </c>
      <c r="BF192" s="7">
        <f t="shared" si="1122"/>
        <v>429080.08000000025</v>
      </c>
      <c r="BG192" s="236">
        <f t="shared" si="827"/>
        <v>9783.0264400000033</v>
      </c>
      <c r="BH192" s="7">
        <v>2600.4899999999998</v>
      </c>
      <c r="BI192" s="39">
        <f>BH192*12</f>
        <v>31205.879999999997</v>
      </c>
      <c r="BJ192" s="7">
        <f>BF192-BH192</f>
        <v>426479.59000000026</v>
      </c>
      <c r="BK192" s="7">
        <f t="shared" si="1123"/>
        <v>423879.10000000027</v>
      </c>
      <c r="BL192" s="7">
        <f t="shared" si="1124"/>
        <v>421278.61000000028</v>
      </c>
      <c r="BM192" s="7">
        <f t="shared" si="1125"/>
        <v>418678.12000000029</v>
      </c>
      <c r="BN192" s="7">
        <f t="shared" si="1126"/>
        <v>416077.6300000003</v>
      </c>
      <c r="BO192" s="7">
        <f t="shared" si="1127"/>
        <v>413477.14000000031</v>
      </c>
      <c r="BP192" s="7">
        <f t="shared" si="1128"/>
        <v>410876.65000000031</v>
      </c>
      <c r="BQ192" s="7">
        <f t="shared" si="1129"/>
        <v>408276.16000000032</v>
      </c>
      <c r="BR192" s="7">
        <f t="shared" si="1130"/>
        <v>405675.67000000033</v>
      </c>
      <c r="BS192" s="7">
        <f t="shared" si="1131"/>
        <v>403075.18000000034</v>
      </c>
      <c r="BT192" s="7">
        <f t="shared" si="1132"/>
        <v>400474.69000000035</v>
      </c>
      <c r="BU192" s="7">
        <f t="shared" si="1133"/>
        <v>397874.20000000036</v>
      </c>
      <c r="BV192" s="236">
        <f t="shared" si="1079"/>
        <v>9096.4970800000046</v>
      </c>
      <c r="BW192" s="7">
        <v>2600.4899999999998</v>
      </c>
      <c r="BX192" s="39">
        <f>BW192*12</f>
        <v>31205.879999999997</v>
      </c>
      <c r="BY192" s="7">
        <f>BU192-BW192</f>
        <v>395273.71000000037</v>
      </c>
      <c r="BZ192" s="7">
        <f t="shared" si="1134"/>
        <v>392673.22000000038</v>
      </c>
      <c r="CA192" s="7">
        <f t="shared" si="1135"/>
        <v>390072.73000000039</v>
      </c>
      <c r="CB192" s="7">
        <f t="shared" si="1136"/>
        <v>387472.2400000004</v>
      </c>
      <c r="CC192" s="7">
        <f t="shared" si="1137"/>
        <v>384871.75000000041</v>
      </c>
      <c r="CD192" s="7">
        <f t="shared" si="1138"/>
        <v>382271.26000000042</v>
      </c>
      <c r="CE192" s="7">
        <f t="shared" si="1139"/>
        <v>379670.77000000043</v>
      </c>
      <c r="CF192" s="7">
        <f t="shared" si="1140"/>
        <v>377070.28000000044</v>
      </c>
      <c r="CG192" s="7">
        <f t="shared" si="1141"/>
        <v>374469.79000000044</v>
      </c>
      <c r="CH192" s="7">
        <f t="shared" si="1142"/>
        <v>371869.30000000045</v>
      </c>
      <c r="CI192" s="7">
        <f t="shared" si="1143"/>
        <v>369268.81000000046</v>
      </c>
      <c r="CJ192" s="7">
        <f t="shared" si="1144"/>
        <v>366668.32000000047</v>
      </c>
      <c r="CK192" s="236">
        <f t="shared" si="1080"/>
        <v>8409.9677200000078</v>
      </c>
      <c r="CL192" s="7">
        <v>2600.4899999999998</v>
      </c>
      <c r="CM192" s="39">
        <f>CL192*12</f>
        <v>31205.879999999997</v>
      </c>
      <c r="CN192" s="7">
        <f>CJ192-CL192</f>
        <v>364067.83000000048</v>
      </c>
      <c r="CO192" s="7">
        <f t="shared" si="1145"/>
        <v>361467.34000000049</v>
      </c>
      <c r="CP192" s="7">
        <f t="shared" si="1146"/>
        <v>358866.8500000005</v>
      </c>
      <c r="CQ192" s="7">
        <f t="shared" si="1147"/>
        <v>356266.36000000051</v>
      </c>
      <c r="CR192" s="7">
        <f t="shared" si="1148"/>
        <v>353665.87000000052</v>
      </c>
      <c r="CS192" s="7">
        <f t="shared" si="1149"/>
        <v>351065.38000000053</v>
      </c>
      <c r="CT192" s="7">
        <f t="shared" si="1150"/>
        <v>348464.89000000054</v>
      </c>
      <c r="CU192" s="7">
        <f t="shared" si="1151"/>
        <v>345864.40000000055</v>
      </c>
      <c r="CV192" s="7">
        <f t="shared" si="1152"/>
        <v>343263.91000000056</v>
      </c>
      <c r="CW192" s="7">
        <f t="shared" si="1153"/>
        <v>340663.42000000057</v>
      </c>
      <c r="CX192" s="7">
        <f t="shared" si="1154"/>
        <v>338062.93000000058</v>
      </c>
      <c r="CY192" s="7">
        <f t="shared" si="1155"/>
        <v>335462.44000000058</v>
      </c>
      <c r="CZ192" s="236">
        <f t="shared" si="1081"/>
        <v>7723.438360000011</v>
      </c>
    </row>
    <row r="193" spans="1:104" s="180" customFormat="1" x14ac:dyDescent="0.2">
      <c r="A193" s="179" t="str">
        <f>'[1]2021 УГРЦТ'!A196</f>
        <v>Гаражный бокс 2007г</v>
      </c>
      <c r="B193" s="180" t="str">
        <f>'[1]2021 УГРЦТ'!B196</f>
        <v>00001055</v>
      </c>
      <c r="C193" s="180" t="str">
        <f>'[1]2021 УГРЦТ'!C196</f>
        <v>ПЕРЕДАЧА</v>
      </c>
      <c r="D193" s="180" t="str">
        <f>'[1]2021 УГРЦТ'!D196</f>
        <v>Здания</v>
      </c>
      <c r="E193" s="180" t="str">
        <f>'[1]2021 УГРЦТ'!E196</f>
        <v>31.10.2007</v>
      </c>
      <c r="F193" s="180" t="str">
        <f>'[1]2021 УГРЦТ'!F196</f>
        <v>Автотранспортный цех</v>
      </c>
      <c r="G193" s="180">
        <f>'[1]2021 УГРЦТ'!AC196</f>
        <v>300</v>
      </c>
      <c r="H193" s="181">
        <f>'[1]2021 УГРЦТ'!X196</f>
        <v>1142387.3600000001</v>
      </c>
      <c r="I193" s="181">
        <f>'[1]2021 УГРЦТ'!Y196</f>
        <v>619246.88</v>
      </c>
      <c r="J193" s="181">
        <f>'[1]2021 УГРЦТ'!Z196</f>
        <v>523140.4800000001</v>
      </c>
      <c r="K193" s="182">
        <v>1</v>
      </c>
      <c r="L193" s="181">
        <v>4024.1600000000012</v>
      </c>
      <c r="M193" s="181"/>
      <c r="N193" s="181">
        <f t="shared" si="1035"/>
        <v>48289.920000000013</v>
      </c>
      <c r="O193" s="7">
        <f t="shared" si="828"/>
        <v>519116.32000000012</v>
      </c>
      <c r="P193" s="7">
        <f t="shared" si="1117"/>
        <v>515092.16000000015</v>
      </c>
      <c r="Q193" s="7">
        <f t="shared" si="1117"/>
        <v>511068.00000000017</v>
      </c>
      <c r="R193" s="7">
        <f t="shared" si="1117"/>
        <v>507043.8400000002</v>
      </c>
      <c r="S193" s="7">
        <f t="shared" si="1117"/>
        <v>503019.68000000023</v>
      </c>
      <c r="T193" s="7">
        <f t="shared" si="1117"/>
        <v>498995.52000000025</v>
      </c>
      <c r="U193" s="7">
        <f t="shared" si="1117"/>
        <v>494971.36000000028</v>
      </c>
      <c r="V193" s="7">
        <f t="shared" si="1117"/>
        <v>490947.2000000003</v>
      </c>
      <c r="W193" s="7">
        <f t="shared" si="1117"/>
        <v>486923.04000000033</v>
      </c>
      <c r="X193" s="7">
        <f t="shared" si="1117"/>
        <v>482898.88000000035</v>
      </c>
      <c r="Y193" s="7">
        <f t="shared" si="1117"/>
        <v>478874.72000000038</v>
      </c>
      <c r="Z193" s="7">
        <f t="shared" si="1117"/>
        <v>474850.56000000041</v>
      </c>
      <c r="AA193" s="7">
        <f t="shared" si="1120"/>
        <v>10977.901440000005</v>
      </c>
      <c r="AB193" s="7"/>
      <c r="AC193" s="7">
        <f t="shared" si="829"/>
        <v>48289.920000000013</v>
      </c>
      <c r="AD193" s="7">
        <f t="shared" si="830"/>
        <v>470826.40000000043</v>
      </c>
      <c r="AE193" s="7">
        <f t="shared" si="1118"/>
        <v>466802.24000000046</v>
      </c>
      <c r="AF193" s="7">
        <f t="shared" si="1118"/>
        <v>462778.08000000048</v>
      </c>
      <c r="AG193" s="7">
        <f t="shared" si="1118"/>
        <v>458753.92000000051</v>
      </c>
      <c r="AH193" s="7">
        <f t="shared" si="1118"/>
        <v>454729.76000000053</v>
      </c>
      <c r="AI193" s="7">
        <f t="shared" si="1118"/>
        <v>450705.60000000056</v>
      </c>
      <c r="AJ193" s="7">
        <f t="shared" si="1118"/>
        <v>446681.44000000058</v>
      </c>
      <c r="AK193" s="7">
        <f t="shared" si="1118"/>
        <v>442657.28000000061</v>
      </c>
      <c r="AL193" s="7">
        <f t="shared" si="1118"/>
        <v>438633.12000000064</v>
      </c>
      <c r="AM193" s="7">
        <f t="shared" si="1118"/>
        <v>434608.96000000066</v>
      </c>
      <c r="AN193" s="7">
        <f t="shared" si="1118"/>
        <v>430584.80000000069</v>
      </c>
      <c r="AO193" s="7">
        <f t="shared" si="1118"/>
        <v>426560.64000000071</v>
      </c>
      <c r="AP193" s="222">
        <f>IF(K193&lt;1,0,SUM(AD193:AO193,Z193)/13*$BG$1)</f>
        <v>9915.5232000000124</v>
      </c>
      <c r="AQ193" s="7">
        <v>4024.1600000000012</v>
      </c>
      <c r="AR193" s="7">
        <f t="shared" si="831"/>
        <v>4024.1599999999744</v>
      </c>
      <c r="AS193" s="7">
        <f t="shared" si="832"/>
        <v>-2.6830093702301383E-11</v>
      </c>
      <c r="AT193" s="7">
        <f t="shared" si="1121"/>
        <v>48289.920000000013</v>
      </c>
      <c r="AU193" s="7">
        <f>AO193-$L193</f>
        <v>422536.48000000074</v>
      </c>
      <c r="AV193" s="7">
        <f t="shared" si="1122"/>
        <v>418512.32000000076</v>
      </c>
      <c r="AW193" s="7">
        <f t="shared" si="1122"/>
        <v>414488.16000000079</v>
      </c>
      <c r="AX193" s="7">
        <f t="shared" si="1122"/>
        <v>410464.00000000081</v>
      </c>
      <c r="AY193" s="7">
        <f t="shared" si="1122"/>
        <v>406439.84000000084</v>
      </c>
      <c r="AZ193" s="7">
        <f t="shared" si="1122"/>
        <v>402415.68000000087</v>
      </c>
      <c r="BA193" s="7">
        <f t="shared" si="1122"/>
        <v>398391.52000000089</v>
      </c>
      <c r="BB193" s="7">
        <f t="shared" si="1122"/>
        <v>394367.36000000092</v>
      </c>
      <c r="BC193" s="7">
        <f t="shared" si="1122"/>
        <v>390343.20000000094</v>
      </c>
      <c r="BD193" s="7">
        <f t="shared" si="1122"/>
        <v>386319.04000000097</v>
      </c>
      <c r="BE193" s="7">
        <f t="shared" si="1122"/>
        <v>382294.88000000099</v>
      </c>
      <c r="BF193" s="7">
        <f t="shared" si="1122"/>
        <v>378270.72000000102</v>
      </c>
      <c r="BG193" s="236">
        <f t="shared" si="827"/>
        <v>8853.1449600000178</v>
      </c>
      <c r="BH193" s="7">
        <v>4024.1600000000012</v>
      </c>
      <c r="BI193" s="39">
        <f>BH193*12</f>
        <v>48289.920000000013</v>
      </c>
      <c r="BJ193" s="7">
        <f>BF193-BH193</f>
        <v>374246.56000000105</v>
      </c>
      <c r="BK193" s="7">
        <f t="shared" si="1123"/>
        <v>370222.40000000107</v>
      </c>
      <c r="BL193" s="7">
        <f t="shared" si="1124"/>
        <v>366198.2400000011</v>
      </c>
      <c r="BM193" s="7">
        <f t="shared" si="1125"/>
        <v>362174.08000000112</v>
      </c>
      <c r="BN193" s="7">
        <f t="shared" si="1126"/>
        <v>358149.92000000115</v>
      </c>
      <c r="BO193" s="7">
        <f t="shared" si="1127"/>
        <v>354125.76000000117</v>
      </c>
      <c r="BP193" s="7">
        <f t="shared" si="1128"/>
        <v>350101.6000000012</v>
      </c>
      <c r="BQ193" s="7">
        <f t="shared" si="1129"/>
        <v>346077.44000000122</v>
      </c>
      <c r="BR193" s="7">
        <f t="shared" si="1130"/>
        <v>342053.28000000125</v>
      </c>
      <c r="BS193" s="7">
        <f t="shared" si="1131"/>
        <v>338029.12000000128</v>
      </c>
      <c r="BT193" s="7">
        <f t="shared" si="1132"/>
        <v>334004.9600000013</v>
      </c>
      <c r="BU193" s="7">
        <f t="shared" si="1133"/>
        <v>329980.80000000133</v>
      </c>
      <c r="BV193" s="236">
        <f t="shared" si="1079"/>
        <v>7790.7667200000242</v>
      </c>
      <c r="BW193" s="7">
        <v>4024.1600000000012</v>
      </c>
      <c r="BX193" s="39">
        <f>BW193*12</f>
        <v>48289.920000000013</v>
      </c>
      <c r="BY193" s="7">
        <f>BU193-BW193</f>
        <v>325956.64000000135</v>
      </c>
      <c r="BZ193" s="7">
        <f t="shared" si="1134"/>
        <v>321932.48000000138</v>
      </c>
      <c r="CA193" s="7">
        <f t="shared" si="1135"/>
        <v>317908.3200000014</v>
      </c>
      <c r="CB193" s="7">
        <f t="shared" si="1136"/>
        <v>313884.16000000143</v>
      </c>
      <c r="CC193" s="7">
        <f t="shared" si="1137"/>
        <v>309860.00000000146</v>
      </c>
      <c r="CD193" s="7">
        <f t="shared" si="1138"/>
        <v>305835.84000000148</v>
      </c>
      <c r="CE193" s="7">
        <f t="shared" si="1139"/>
        <v>301811.68000000151</v>
      </c>
      <c r="CF193" s="7">
        <f t="shared" si="1140"/>
        <v>297787.52000000153</v>
      </c>
      <c r="CG193" s="7">
        <f t="shared" si="1141"/>
        <v>293763.36000000156</v>
      </c>
      <c r="CH193" s="7">
        <f t="shared" si="1142"/>
        <v>289739.20000000158</v>
      </c>
      <c r="CI193" s="7">
        <f t="shared" si="1143"/>
        <v>285715.04000000161</v>
      </c>
      <c r="CJ193" s="7">
        <f t="shared" si="1144"/>
        <v>281690.88000000163</v>
      </c>
      <c r="CK193" s="236">
        <f t="shared" si="1080"/>
        <v>6728.3884800000324</v>
      </c>
      <c r="CL193" s="7">
        <v>4024.1600000000012</v>
      </c>
      <c r="CM193" s="39">
        <f>CL193*12</f>
        <v>48289.920000000013</v>
      </c>
      <c r="CN193" s="7">
        <f>CJ193-CL193</f>
        <v>277666.72000000166</v>
      </c>
      <c r="CO193" s="7">
        <f t="shared" si="1145"/>
        <v>273642.56000000169</v>
      </c>
      <c r="CP193" s="7">
        <f t="shared" si="1146"/>
        <v>269618.40000000171</v>
      </c>
      <c r="CQ193" s="7">
        <f t="shared" si="1147"/>
        <v>265594.24000000174</v>
      </c>
      <c r="CR193" s="7">
        <f t="shared" si="1148"/>
        <v>261570.08000000173</v>
      </c>
      <c r="CS193" s="7">
        <f t="shared" si="1149"/>
        <v>257545.92000000173</v>
      </c>
      <c r="CT193" s="7">
        <f t="shared" si="1150"/>
        <v>253521.76000000173</v>
      </c>
      <c r="CU193" s="7">
        <f t="shared" si="1151"/>
        <v>249497.60000000172</v>
      </c>
      <c r="CV193" s="7">
        <f t="shared" si="1152"/>
        <v>245473.44000000172</v>
      </c>
      <c r="CW193" s="7">
        <f t="shared" si="1153"/>
        <v>241449.28000000172</v>
      </c>
      <c r="CX193" s="7">
        <f t="shared" si="1154"/>
        <v>237425.12000000171</v>
      </c>
      <c r="CY193" s="7">
        <f t="shared" si="1155"/>
        <v>233400.96000000171</v>
      </c>
      <c r="CZ193" s="236">
        <f t="shared" si="1081"/>
        <v>5666.0102400000378</v>
      </c>
    </row>
    <row r="194" spans="1:104" x14ac:dyDescent="0.2">
      <c r="A194" s="6" t="str">
        <f>'[1]2021 УГРЦТ'!A197</f>
        <v>Генератор силовой Е-100</v>
      </c>
      <c r="B194" t="str">
        <f>'[1]2021 УГРЦТ'!B197</f>
        <v>000001724</v>
      </c>
      <c r="C194" t="str">
        <f>'[1]2021 УГРЦТ'!C197</f>
        <v>ПЕРЕДАЧА</v>
      </c>
      <c r="D194" t="str">
        <f>'[1]2021 УГРЦТ'!D197</f>
        <v>Машины и оборудование (кроме офисного)</v>
      </c>
      <c r="E194" t="str">
        <f>'[1]2021 УГРЦТ'!E197</f>
        <v>14.05.2018</v>
      </c>
      <c r="F194" t="str">
        <f>'[1]2021 УГРЦТ'!F197</f>
        <v>Цех электрических сетей</v>
      </c>
      <c r="G194">
        <f>'[1]2021 УГРЦТ'!AC197</f>
        <v>84</v>
      </c>
      <c r="H194" s="7">
        <f>'[1]2021 УГРЦТ'!X197</f>
        <v>87175.76</v>
      </c>
      <c r="I194" s="7">
        <f>'[1]2021 УГРЦТ'!Y197</f>
        <v>44625.79</v>
      </c>
      <c r="J194" s="7">
        <f>'[1]2021 УГРЦТ'!Z197</f>
        <v>42549.969999999994</v>
      </c>
      <c r="K194" s="8">
        <v>0</v>
      </c>
      <c r="L194" s="7">
        <v>1037.8</v>
      </c>
      <c r="M194" s="7"/>
      <c r="N194" s="7">
        <f t="shared" si="1035"/>
        <v>12453.599999999999</v>
      </c>
      <c r="O194" s="7">
        <f t="shared" si="828"/>
        <v>41512.169999999991</v>
      </c>
      <c r="P194" s="7">
        <f t="shared" si="1117"/>
        <v>40474.369999999988</v>
      </c>
      <c r="Q194" s="7">
        <f t="shared" si="1117"/>
        <v>39436.569999999985</v>
      </c>
      <c r="R194" s="7">
        <f t="shared" si="1117"/>
        <v>38398.769999999982</v>
      </c>
      <c r="S194" s="7">
        <f t="shared" si="1117"/>
        <v>37360.969999999979</v>
      </c>
      <c r="T194" s="7">
        <f t="shared" si="1117"/>
        <v>36323.169999999976</v>
      </c>
      <c r="U194" s="7">
        <f t="shared" si="1117"/>
        <v>35285.369999999974</v>
      </c>
      <c r="V194" s="7">
        <f t="shared" si="1117"/>
        <v>34247.569999999971</v>
      </c>
      <c r="W194" s="7">
        <f t="shared" si="1117"/>
        <v>33209.769999999968</v>
      </c>
      <c r="X194" s="7">
        <f t="shared" si="1117"/>
        <v>32171.969999999968</v>
      </c>
      <c r="Y194" s="7">
        <f t="shared" si="1117"/>
        <v>31134.169999999969</v>
      </c>
      <c r="Z194" s="7">
        <f t="shared" si="1117"/>
        <v>30096.36999999997</v>
      </c>
      <c r="AA194" s="7"/>
      <c r="AB194" s="7"/>
      <c r="AC194" s="7">
        <f t="shared" si="829"/>
        <v>12453.599999999999</v>
      </c>
      <c r="AD194" s="7">
        <f t="shared" si="830"/>
        <v>29058.569999999971</v>
      </c>
      <c r="AE194" s="7">
        <f t="shared" si="1118"/>
        <v>28020.769999999971</v>
      </c>
      <c r="AF194" s="7">
        <f t="shared" si="1118"/>
        <v>26982.969999999972</v>
      </c>
      <c r="AG194" s="7">
        <f t="shared" si="1118"/>
        <v>25945.169999999973</v>
      </c>
      <c r="AH194" s="7">
        <f t="shared" si="1118"/>
        <v>24907.369999999974</v>
      </c>
      <c r="AI194" s="7">
        <f t="shared" si="1118"/>
        <v>23869.569999999974</v>
      </c>
      <c r="AJ194" s="7">
        <f t="shared" si="1118"/>
        <v>22831.769999999975</v>
      </c>
      <c r="AK194" s="7">
        <f t="shared" si="1118"/>
        <v>21793.969999999976</v>
      </c>
      <c r="AL194" s="7">
        <f t="shared" si="1118"/>
        <v>20756.169999999976</v>
      </c>
      <c r="AM194" s="7">
        <f t="shared" si="1118"/>
        <v>19718.369999999977</v>
      </c>
      <c r="AN194" s="7">
        <f t="shared" si="1118"/>
        <v>18680.569999999978</v>
      </c>
      <c r="AO194" s="7">
        <f t="shared" si="1118"/>
        <v>17642.769999999979</v>
      </c>
      <c r="AP194" s="222"/>
      <c r="AQ194" s="7">
        <v>1037.8</v>
      </c>
      <c r="AR194" s="7">
        <f t="shared" si="831"/>
        <v>1037.7999999999993</v>
      </c>
      <c r="AS194" s="7">
        <f t="shared" si="832"/>
        <v>0</v>
      </c>
      <c r="AT194" s="7">
        <f t="shared" si="1121"/>
        <v>12453.599999999999</v>
      </c>
      <c r="AU194" s="7">
        <f>AO194-$L194</f>
        <v>16604.969999999979</v>
      </c>
      <c r="AV194" s="7">
        <f t="shared" si="1122"/>
        <v>15567.16999999998</v>
      </c>
      <c r="AW194" s="7">
        <f t="shared" si="1122"/>
        <v>14529.369999999981</v>
      </c>
      <c r="AX194" s="7">
        <f t="shared" si="1122"/>
        <v>13491.569999999982</v>
      </c>
      <c r="AY194" s="7">
        <f t="shared" si="1122"/>
        <v>12453.769999999982</v>
      </c>
      <c r="AZ194" s="7">
        <f t="shared" si="1122"/>
        <v>11415.969999999983</v>
      </c>
      <c r="BA194" s="7">
        <f t="shared" si="1122"/>
        <v>10378.169999999984</v>
      </c>
      <c r="BB194" s="7">
        <f t="shared" si="1122"/>
        <v>9340.3699999999844</v>
      </c>
      <c r="BC194" s="7">
        <f t="shared" si="1122"/>
        <v>8302.5699999999852</v>
      </c>
      <c r="BD194" s="7">
        <f t="shared" si="1122"/>
        <v>7264.769999999985</v>
      </c>
      <c r="BE194" s="7">
        <f t="shared" si="1122"/>
        <v>6226.9699999999848</v>
      </c>
      <c r="BF194" s="7">
        <f t="shared" si="1122"/>
        <v>5189.1699999999846</v>
      </c>
      <c r="BG194" s="236">
        <f t="shared" si="827"/>
        <v>0</v>
      </c>
      <c r="BH194" s="7">
        <v>1037.8</v>
      </c>
      <c r="BI194" s="39">
        <f>BH194*12</f>
        <v>12453.599999999999</v>
      </c>
      <c r="BJ194" s="7">
        <f>BF194-BH194</f>
        <v>4151.3699999999844</v>
      </c>
      <c r="BK194" s="7">
        <f t="shared" si="1123"/>
        <v>3113.5699999999842</v>
      </c>
      <c r="BL194" s="7">
        <f t="shared" si="1124"/>
        <v>2075.7699999999841</v>
      </c>
      <c r="BM194" s="7">
        <f t="shared" si="1125"/>
        <v>1037.9699999999841</v>
      </c>
      <c r="BN194" s="7">
        <f t="shared" si="1126"/>
        <v>0.1699999999841566</v>
      </c>
      <c r="BO194" s="7"/>
      <c r="BP194" s="7"/>
      <c r="BQ194" s="7"/>
      <c r="BR194" s="7"/>
      <c r="BS194" s="7"/>
      <c r="BT194" s="7"/>
      <c r="BU194" s="7"/>
      <c r="BV194" s="236">
        <v>0</v>
      </c>
      <c r="BW194" s="7">
        <v>1037.8</v>
      </c>
      <c r="BX194" s="39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236">
        <v>0</v>
      </c>
      <c r="CL194" s="7">
        <v>1037.8</v>
      </c>
      <c r="CM194" s="39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236">
        <v>0</v>
      </c>
    </row>
    <row r="195" spans="1:104" x14ac:dyDescent="0.2">
      <c r="A195" s="6" t="str">
        <f>'[1]2021 УГРЦТ'!A198</f>
        <v>Двуцепная ЛЭП от ДЭС п Искателей  до ТП</v>
      </c>
      <c r="B195" t="str">
        <f>'[1]2021 УГРЦТ'!B198</f>
        <v>00000254</v>
      </c>
      <c r="C195" t="str">
        <f>'[1]2021 УГРЦТ'!C198</f>
        <v>ПЕРЕДАЧА</v>
      </c>
      <c r="D195" t="str">
        <f>'[1]2021 УГРЦТ'!D198</f>
        <v>Сооружения</v>
      </c>
      <c r="E195" t="str">
        <f>'[1]2021 УГРЦТ'!E198</f>
        <v>01.09.1998</v>
      </c>
      <c r="F195" t="str">
        <f>'[1]2021 УГРЦТ'!F198</f>
        <v>Цех электрических сетей</v>
      </c>
      <c r="G195">
        <f>'[1]2021 УГРЦТ'!AC198</f>
        <v>396</v>
      </c>
      <c r="H195" s="7">
        <v>0</v>
      </c>
      <c r="I195" s="7">
        <v>0</v>
      </c>
      <c r="J195" s="7">
        <f>'[1]2021 УГРЦТ'!Z198</f>
        <v>0</v>
      </c>
      <c r="K195" s="8">
        <v>1</v>
      </c>
      <c r="L195" s="7">
        <v>0</v>
      </c>
      <c r="M195" s="7"/>
      <c r="N195" s="7">
        <f t="shared" si="1035"/>
        <v>0</v>
      </c>
      <c r="O195" s="7">
        <f t="shared" si="828"/>
        <v>0</v>
      </c>
      <c r="P195" s="7">
        <f t="shared" si="1117"/>
        <v>0</v>
      </c>
      <c r="Q195" s="7">
        <f t="shared" si="1117"/>
        <v>0</v>
      </c>
      <c r="R195" s="7">
        <f t="shared" si="1117"/>
        <v>0</v>
      </c>
      <c r="S195" s="7">
        <f t="shared" si="1117"/>
        <v>0</v>
      </c>
      <c r="T195" s="7">
        <f t="shared" si="1117"/>
        <v>0</v>
      </c>
      <c r="U195" s="7">
        <f t="shared" si="1117"/>
        <v>0</v>
      </c>
      <c r="V195" s="7">
        <f t="shared" si="1117"/>
        <v>0</v>
      </c>
      <c r="W195" s="7">
        <f t="shared" si="1117"/>
        <v>0</v>
      </c>
      <c r="X195" s="7">
        <f t="shared" si="1117"/>
        <v>0</v>
      </c>
      <c r="Y195" s="7">
        <f t="shared" si="1117"/>
        <v>0</v>
      </c>
      <c r="Z195" s="7">
        <f t="shared" si="1117"/>
        <v>0</v>
      </c>
      <c r="AA195" s="7">
        <f>SUM(O195:Z195,J195)/13*$AA$1</f>
        <v>0</v>
      </c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222"/>
      <c r="AQ195" s="7">
        <v>0</v>
      </c>
      <c r="AR195" s="7">
        <f t="shared" si="831"/>
        <v>0</v>
      </c>
      <c r="AS195" s="7">
        <f t="shared" si="832"/>
        <v>0</v>
      </c>
      <c r="BG195" s="236">
        <f t="shared" si="827"/>
        <v>0</v>
      </c>
      <c r="BH195" s="7">
        <v>0</v>
      </c>
      <c r="BV195" s="236">
        <f>IF(Z195&lt;1,0,SUM(BJ195:BU195,BF195)/13*$BG$1)</f>
        <v>0</v>
      </c>
      <c r="BW195" s="7">
        <v>0</v>
      </c>
      <c r="CK195" s="236">
        <f>IF(AO195&lt;1,0,SUM(BY195:CJ195,BU195)/13*$BG$1)</f>
        <v>0</v>
      </c>
      <c r="CL195" s="7">
        <v>0</v>
      </c>
      <c r="CZ195" s="236">
        <f>IF(BF195&lt;1,0,SUM(CN195:CY195,CJ195)/13*$BG$1)</f>
        <v>0</v>
      </c>
    </row>
    <row r="196" spans="1:104" x14ac:dyDescent="0.2">
      <c r="A196" s="6" t="str">
        <f>'[1]2021 УГРЦТ'!A199</f>
        <v>Диагностический сканер FCAR F7S-G</v>
      </c>
      <c r="B196" s="15" t="str">
        <f>'[1]2021 УГРЦТ'!B199</f>
        <v>000001805</v>
      </c>
      <c r="C196" t="str">
        <f>'[1]2021 УГРЦТ'!C199</f>
        <v>ПЕРЕДАЧА</v>
      </c>
      <c r="D196" t="str">
        <f>'[1]2021 УГРЦТ'!D199</f>
        <v>Машины и оборудование (кроме офисного)</v>
      </c>
      <c r="E196" t="str">
        <f>'[1]2021 УГРЦТ'!E199</f>
        <v>24.03.2020</v>
      </c>
      <c r="F196" t="str">
        <f>'[1]2021 УГРЦТ'!F199</f>
        <v>Автотранспортный цех</v>
      </c>
      <c r="G196">
        <f>'[1]2021 УГРЦТ'!AC199</f>
        <v>60</v>
      </c>
      <c r="H196" s="7">
        <f>'[1]2021 УГРЦТ'!X199</f>
        <v>130523.72</v>
      </c>
      <c r="I196" s="7">
        <f>'[1]2021 УГРЦТ'!Y199</f>
        <v>45683.343999999997</v>
      </c>
      <c r="J196" s="7">
        <f>'[1]2021 УГРЦТ'!Z199</f>
        <v>84840.376000000004</v>
      </c>
      <c r="K196" s="8">
        <v>0</v>
      </c>
      <c r="L196" s="7">
        <v>2175.39</v>
      </c>
      <c r="M196" s="7"/>
      <c r="N196" s="7">
        <f t="shared" si="1035"/>
        <v>26104.68</v>
      </c>
      <c r="O196" s="7">
        <f t="shared" si="828"/>
        <v>82664.986000000004</v>
      </c>
      <c r="P196" s="7">
        <f t="shared" si="1117"/>
        <v>80489.596000000005</v>
      </c>
      <c r="Q196" s="7">
        <f t="shared" si="1117"/>
        <v>78314.206000000006</v>
      </c>
      <c r="R196" s="7">
        <f t="shared" si="1117"/>
        <v>76138.816000000006</v>
      </c>
      <c r="S196" s="7">
        <f t="shared" si="1117"/>
        <v>73963.426000000007</v>
      </c>
      <c r="T196" s="7">
        <f t="shared" si="1117"/>
        <v>71788.036000000007</v>
      </c>
      <c r="U196" s="7">
        <f t="shared" si="1117"/>
        <v>69612.646000000008</v>
      </c>
      <c r="V196" s="7">
        <f t="shared" si="1117"/>
        <v>67437.256000000008</v>
      </c>
      <c r="W196" s="7">
        <f t="shared" si="1117"/>
        <v>65261.866000000009</v>
      </c>
      <c r="X196" s="7">
        <f t="shared" si="1117"/>
        <v>63086.47600000001</v>
      </c>
      <c r="Y196" s="7">
        <f t="shared" si="1117"/>
        <v>60911.08600000001</v>
      </c>
      <c r="Z196" s="7">
        <f t="shared" si="1117"/>
        <v>58735.696000000011</v>
      </c>
      <c r="AA196" s="7"/>
      <c r="AB196" s="7"/>
      <c r="AC196" s="7">
        <f t="shared" si="829"/>
        <v>26104.68</v>
      </c>
      <c r="AD196" s="7">
        <f t="shared" si="830"/>
        <v>56560.306000000011</v>
      </c>
      <c r="AE196" s="7">
        <f t="shared" si="1118"/>
        <v>54384.916000000012</v>
      </c>
      <c r="AF196" s="7">
        <f t="shared" si="1118"/>
        <v>52209.526000000013</v>
      </c>
      <c r="AG196" s="7">
        <f t="shared" si="1118"/>
        <v>50034.136000000013</v>
      </c>
      <c r="AH196" s="7">
        <f t="shared" si="1118"/>
        <v>47858.746000000014</v>
      </c>
      <c r="AI196" s="7">
        <f t="shared" si="1118"/>
        <v>45683.356000000014</v>
      </c>
      <c r="AJ196" s="7">
        <f t="shared" si="1118"/>
        <v>43507.966000000015</v>
      </c>
      <c r="AK196" s="7">
        <f t="shared" si="1118"/>
        <v>41332.576000000015</v>
      </c>
      <c r="AL196" s="7">
        <f t="shared" si="1118"/>
        <v>39157.186000000016</v>
      </c>
      <c r="AM196" s="7">
        <f t="shared" si="1118"/>
        <v>36981.796000000017</v>
      </c>
      <c r="AN196" s="7">
        <f t="shared" si="1118"/>
        <v>34806.406000000017</v>
      </c>
      <c r="AO196" s="7">
        <f t="shared" si="1118"/>
        <v>32631.016000000018</v>
      </c>
      <c r="AP196" s="222"/>
      <c r="AQ196" s="7">
        <v>2175.39</v>
      </c>
      <c r="AR196" s="7">
        <f t="shared" si="831"/>
        <v>2175.3899999999994</v>
      </c>
      <c r="AS196" s="7">
        <f t="shared" si="832"/>
        <v>0</v>
      </c>
      <c r="AT196" s="7">
        <f t="shared" ref="AT196:AT197" si="1156">L196*12</f>
        <v>26104.68</v>
      </c>
      <c r="AU196" s="7">
        <f>AO196-$L196</f>
        <v>30455.626000000018</v>
      </c>
      <c r="AV196" s="7">
        <f t="shared" ref="AV196:BF197" si="1157">AU196-$L196</f>
        <v>28280.236000000019</v>
      </c>
      <c r="AW196" s="7">
        <f t="shared" si="1157"/>
        <v>26104.84600000002</v>
      </c>
      <c r="AX196" s="7">
        <f t="shared" si="1157"/>
        <v>23929.45600000002</v>
      </c>
      <c r="AY196" s="7">
        <f t="shared" si="1157"/>
        <v>21754.066000000021</v>
      </c>
      <c r="AZ196" s="7">
        <f t="shared" si="1157"/>
        <v>19578.676000000021</v>
      </c>
      <c r="BA196" s="7">
        <f t="shared" si="1157"/>
        <v>17403.286000000022</v>
      </c>
      <c r="BB196" s="7">
        <f t="shared" si="1157"/>
        <v>15227.896000000022</v>
      </c>
      <c r="BC196" s="7">
        <f t="shared" si="1157"/>
        <v>13052.506000000023</v>
      </c>
      <c r="BD196" s="7">
        <f t="shared" si="1157"/>
        <v>10877.116000000024</v>
      </c>
      <c r="BE196" s="7">
        <f t="shared" si="1157"/>
        <v>8701.7260000000242</v>
      </c>
      <c r="BF196" s="7">
        <f t="shared" si="1157"/>
        <v>6526.3360000000248</v>
      </c>
      <c r="BG196" s="236">
        <f t="shared" ref="BG196:BG259" si="1158">IF(K196&lt;1,0,SUM(AU196:BF196,AO196)/13*$BG$1)</f>
        <v>0</v>
      </c>
      <c r="BH196" s="7">
        <v>2175.39</v>
      </c>
      <c r="BI196" s="39">
        <v>6526.34</v>
      </c>
      <c r="BJ196" s="7">
        <f>BF196-BH196</f>
        <v>4350.9460000000254</v>
      </c>
      <c r="BK196" s="7">
        <f t="shared" ref="BK196:BK197" si="1159">BJ196-$L196</f>
        <v>2175.5560000000255</v>
      </c>
      <c r="BL196" s="7">
        <f t="shared" ref="BL196:BL197" si="1160">BK196-$L196</f>
        <v>0.1660000000256332</v>
      </c>
      <c r="BM196" s="7"/>
      <c r="BN196" s="7"/>
      <c r="BO196" s="7"/>
      <c r="BP196" s="7"/>
      <c r="BQ196" s="7"/>
      <c r="BR196" s="7"/>
      <c r="BS196" s="7"/>
      <c r="BT196" s="7"/>
      <c r="BU196" s="7"/>
      <c r="BV196" s="236">
        <v>0</v>
      </c>
      <c r="BW196" s="7">
        <v>2175.39</v>
      </c>
      <c r="BX196" s="39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236">
        <v>0</v>
      </c>
      <c r="CL196" s="7">
        <v>2175.39</v>
      </c>
      <c r="CM196" s="39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236">
        <v>0</v>
      </c>
    </row>
    <row r="197" spans="1:104" s="180" customFormat="1" x14ac:dyDescent="0.2">
      <c r="A197" s="179" t="str">
        <f>'[1]2021 УГРЦТ'!A200</f>
        <v>Дорожное покрытие ул 60 лет Окт 1996г.</v>
      </c>
      <c r="B197" s="180" t="str">
        <f>'[1]2021 УГРЦТ'!B200</f>
        <v>00000026</v>
      </c>
      <c r="C197" s="180" t="str">
        <f>'[1]2021 УГРЦТ'!C200</f>
        <v>ПЕРЕДАЧА</v>
      </c>
      <c r="D197" s="180" t="str">
        <f>'[1]2021 УГРЦТ'!D200</f>
        <v>Сооружения</v>
      </c>
      <c r="E197" s="180" t="str">
        <f>'[1]2021 УГРЦТ'!E200</f>
        <v>30.12.1996</v>
      </c>
      <c r="F197" s="180" t="str">
        <f>'[1]2021 УГРЦТ'!F200</f>
        <v>Автотранспортный цех</v>
      </c>
      <c r="G197" s="180">
        <f>'[1]2021 УГРЦТ'!AC200</f>
        <v>600</v>
      </c>
      <c r="H197" s="181">
        <f>'[1]2021 УГРЦТ'!X200</f>
        <v>183653.11</v>
      </c>
      <c r="I197" s="181">
        <f>'[1]2021 УГРЦТ'!Y200</f>
        <v>40400.07</v>
      </c>
      <c r="J197" s="181">
        <f>'[1]2021 УГРЦТ'!Z200</f>
        <v>143253.03999999998</v>
      </c>
      <c r="K197" s="182">
        <v>1</v>
      </c>
      <c r="L197" s="181">
        <v>477.51000000000016</v>
      </c>
      <c r="M197" s="181"/>
      <c r="N197" s="181">
        <f t="shared" si="1035"/>
        <v>5730.1200000000017</v>
      </c>
      <c r="O197" s="7">
        <f t="shared" ref="O197:O260" si="1161">J197-$L197</f>
        <v>142775.52999999997</v>
      </c>
      <c r="P197" s="7">
        <f t="shared" si="1117"/>
        <v>142298.01999999996</v>
      </c>
      <c r="Q197" s="7">
        <f t="shared" si="1117"/>
        <v>141820.50999999995</v>
      </c>
      <c r="R197" s="7">
        <f t="shared" si="1117"/>
        <v>141342.99999999994</v>
      </c>
      <c r="S197" s="7">
        <f t="shared" si="1117"/>
        <v>140865.48999999993</v>
      </c>
      <c r="T197" s="7">
        <f t="shared" si="1117"/>
        <v>140387.97999999992</v>
      </c>
      <c r="U197" s="7">
        <f t="shared" si="1117"/>
        <v>139910.46999999991</v>
      </c>
      <c r="V197" s="7">
        <f t="shared" si="1117"/>
        <v>139432.9599999999</v>
      </c>
      <c r="W197" s="7">
        <f t="shared" si="1117"/>
        <v>138955.4499999999</v>
      </c>
      <c r="X197" s="7">
        <f t="shared" si="1117"/>
        <v>138477.93999999989</v>
      </c>
      <c r="Y197" s="7">
        <f t="shared" si="1117"/>
        <v>138000.42999999988</v>
      </c>
      <c r="Z197" s="7">
        <f t="shared" si="1117"/>
        <v>137522.91999999987</v>
      </c>
      <c r="AA197" s="7">
        <f>SUM(O197:Z197,J197)/13*$AA$1</f>
        <v>3088.5355599999989</v>
      </c>
      <c r="AB197" s="7"/>
      <c r="AC197" s="7">
        <f t="shared" ref="AC197:AC260" si="1162">L197*12</f>
        <v>5730.1200000000017</v>
      </c>
      <c r="AD197" s="7">
        <f t="shared" ref="AD197:AD260" si="1163">Z197-$L197</f>
        <v>137045.40999999986</v>
      </c>
      <c r="AE197" s="7">
        <f t="shared" si="1118"/>
        <v>136567.89999999985</v>
      </c>
      <c r="AF197" s="7">
        <f t="shared" si="1118"/>
        <v>136090.38999999984</v>
      </c>
      <c r="AG197" s="7">
        <f t="shared" si="1118"/>
        <v>135612.87999999983</v>
      </c>
      <c r="AH197" s="7">
        <f t="shared" si="1118"/>
        <v>135135.36999999982</v>
      </c>
      <c r="AI197" s="7">
        <f t="shared" si="1118"/>
        <v>134657.85999999981</v>
      </c>
      <c r="AJ197" s="7">
        <f t="shared" si="1118"/>
        <v>134180.3499999998</v>
      </c>
      <c r="AK197" s="7">
        <f t="shared" si="1118"/>
        <v>133702.83999999979</v>
      </c>
      <c r="AL197" s="7">
        <f t="shared" si="1118"/>
        <v>133225.32999999978</v>
      </c>
      <c r="AM197" s="7">
        <f t="shared" si="1118"/>
        <v>132747.81999999977</v>
      </c>
      <c r="AN197" s="7">
        <f t="shared" si="1118"/>
        <v>132270.30999999976</v>
      </c>
      <c r="AO197" s="7">
        <f t="shared" si="1118"/>
        <v>131792.79999999976</v>
      </c>
      <c r="AP197" s="222">
        <f>IF(K197&lt;1,0,SUM(AD197:AO197,Z197)/13*$BG$1)</f>
        <v>2962.4729199999965</v>
      </c>
      <c r="AQ197" s="7">
        <v>477.51000000000016</v>
      </c>
      <c r="AR197" s="7">
        <f t="shared" ref="AR197:AR260" si="1164">AN197-AO197</f>
        <v>477.51000000000931</v>
      </c>
      <c r="AS197" s="7">
        <f t="shared" ref="AS197:AS260" si="1165">AR197-AQ197</f>
        <v>9.1517904365900904E-12</v>
      </c>
      <c r="AT197" s="7">
        <f t="shared" si="1156"/>
        <v>5730.1200000000017</v>
      </c>
      <c r="AU197" s="7">
        <f>AO197-$L197</f>
        <v>131315.28999999975</v>
      </c>
      <c r="AV197" s="7">
        <f t="shared" si="1157"/>
        <v>130837.77999999975</v>
      </c>
      <c r="AW197" s="7">
        <f t="shared" si="1157"/>
        <v>130360.26999999976</v>
      </c>
      <c r="AX197" s="7">
        <f t="shared" si="1157"/>
        <v>129882.75999999976</v>
      </c>
      <c r="AY197" s="7">
        <f t="shared" si="1157"/>
        <v>129405.24999999977</v>
      </c>
      <c r="AZ197" s="7">
        <f t="shared" si="1157"/>
        <v>128927.73999999977</v>
      </c>
      <c r="BA197" s="7">
        <f t="shared" si="1157"/>
        <v>128450.22999999978</v>
      </c>
      <c r="BB197" s="7">
        <f t="shared" si="1157"/>
        <v>127972.71999999978</v>
      </c>
      <c r="BC197" s="7">
        <f t="shared" si="1157"/>
        <v>127495.20999999979</v>
      </c>
      <c r="BD197" s="7">
        <f t="shared" si="1157"/>
        <v>127017.69999999979</v>
      </c>
      <c r="BE197" s="7">
        <f t="shared" si="1157"/>
        <v>126540.1899999998</v>
      </c>
      <c r="BF197" s="7">
        <f t="shared" si="1157"/>
        <v>126062.6799999998</v>
      </c>
      <c r="BG197" s="236">
        <f t="shared" si="1158"/>
        <v>2836.4102799999946</v>
      </c>
      <c r="BH197" s="7">
        <v>477.51000000000016</v>
      </c>
      <c r="BI197" s="39">
        <f>BH197*12</f>
        <v>5730.1200000000017</v>
      </c>
      <c r="BJ197" s="7">
        <f>BF197-BH197</f>
        <v>125585.16999999981</v>
      </c>
      <c r="BK197" s="7">
        <f t="shared" si="1159"/>
        <v>125107.65999999981</v>
      </c>
      <c r="BL197" s="7">
        <f t="shared" si="1160"/>
        <v>124630.14999999982</v>
      </c>
      <c r="BM197" s="7">
        <f t="shared" ref="BM197" si="1166">BL197-$L197</f>
        <v>124152.63999999982</v>
      </c>
      <c r="BN197" s="7">
        <f t="shared" ref="BN197" si="1167">BM197-$L197</f>
        <v>123675.12999999983</v>
      </c>
      <c r="BO197" s="7">
        <f t="shared" ref="BO197" si="1168">BN197-$L197</f>
        <v>123197.61999999984</v>
      </c>
      <c r="BP197" s="7">
        <f t="shared" ref="BP197" si="1169">BO197-$L197</f>
        <v>122720.10999999984</v>
      </c>
      <c r="BQ197" s="7">
        <f t="shared" ref="BQ197" si="1170">BP197-$L197</f>
        <v>122242.59999999985</v>
      </c>
      <c r="BR197" s="7">
        <f t="shared" ref="BR197" si="1171">BQ197-$L197</f>
        <v>121765.08999999985</v>
      </c>
      <c r="BS197" s="7">
        <f t="shared" ref="BS197" si="1172">BR197-$L197</f>
        <v>121287.57999999986</v>
      </c>
      <c r="BT197" s="7">
        <f t="shared" ref="BT197" si="1173">BS197-$L197</f>
        <v>120810.06999999986</v>
      </c>
      <c r="BU197" s="7">
        <f t="shared" ref="BU197" si="1174">BT197-$L197</f>
        <v>120332.55999999987</v>
      </c>
      <c r="BV197" s="236">
        <f>IF(Z197&lt;1,0,SUM(BJ197:BU197,BF197)/13*$BG$1)</f>
        <v>2710.3476399999959</v>
      </c>
      <c r="BW197" s="7">
        <v>477.51000000000016</v>
      </c>
      <c r="BX197" s="39">
        <f>BW197*12</f>
        <v>5730.1200000000017</v>
      </c>
      <c r="BY197" s="7">
        <f>BU197-BW197</f>
        <v>119855.04999999987</v>
      </c>
      <c r="BZ197" s="7">
        <f t="shared" ref="BZ197" si="1175">BY197-$L197</f>
        <v>119377.53999999988</v>
      </c>
      <c r="CA197" s="7">
        <f t="shared" ref="CA197" si="1176">BZ197-$L197</f>
        <v>118900.02999999988</v>
      </c>
      <c r="CB197" s="7">
        <f t="shared" ref="CB197" si="1177">CA197-$L197</f>
        <v>118422.51999999989</v>
      </c>
      <c r="CC197" s="7">
        <f t="shared" ref="CC197" si="1178">CB197-$L197</f>
        <v>117945.00999999989</v>
      </c>
      <c r="CD197" s="7">
        <f t="shared" ref="CD197" si="1179">CC197-$L197</f>
        <v>117467.4999999999</v>
      </c>
      <c r="CE197" s="7">
        <f t="shared" ref="CE197" si="1180">CD197-$L197</f>
        <v>116989.9899999999</v>
      </c>
      <c r="CF197" s="7">
        <f t="shared" ref="CF197" si="1181">CE197-$L197</f>
        <v>116512.47999999991</v>
      </c>
      <c r="CG197" s="7">
        <f t="shared" ref="CG197" si="1182">CF197-$L197</f>
        <v>116034.96999999991</v>
      </c>
      <c r="CH197" s="7">
        <f t="shared" ref="CH197" si="1183">CG197-$L197</f>
        <v>115557.45999999992</v>
      </c>
      <c r="CI197" s="7">
        <f t="shared" ref="CI197" si="1184">CH197-$L197</f>
        <v>115079.94999999992</v>
      </c>
      <c r="CJ197" s="7">
        <f t="shared" ref="CJ197" si="1185">CI197-$L197</f>
        <v>114602.43999999993</v>
      </c>
      <c r="CK197" s="236">
        <f>IF(AO197&lt;1,0,SUM(BY197:CJ197,BU197)/13*$BG$1)</f>
        <v>2584.2849999999976</v>
      </c>
      <c r="CL197" s="7">
        <v>477.51000000000016</v>
      </c>
      <c r="CM197" s="39">
        <f>CL197*12</f>
        <v>5730.1200000000017</v>
      </c>
      <c r="CN197" s="7">
        <f>CJ197-CL197</f>
        <v>114124.92999999993</v>
      </c>
      <c r="CO197" s="7">
        <f t="shared" ref="CO197" si="1186">CN197-$L197</f>
        <v>113647.41999999994</v>
      </c>
      <c r="CP197" s="7">
        <f t="shared" ref="CP197" si="1187">CO197-$L197</f>
        <v>113169.90999999995</v>
      </c>
      <c r="CQ197" s="7">
        <f t="shared" ref="CQ197" si="1188">CP197-$L197</f>
        <v>112692.39999999995</v>
      </c>
      <c r="CR197" s="7">
        <f t="shared" ref="CR197" si="1189">CQ197-$L197</f>
        <v>112214.88999999996</v>
      </c>
      <c r="CS197" s="7">
        <f t="shared" ref="CS197" si="1190">CR197-$L197</f>
        <v>111737.37999999996</v>
      </c>
      <c r="CT197" s="7">
        <f t="shared" ref="CT197" si="1191">CS197-$L197</f>
        <v>111259.86999999997</v>
      </c>
      <c r="CU197" s="7">
        <f t="shared" ref="CU197" si="1192">CT197-$L197</f>
        <v>110782.35999999997</v>
      </c>
      <c r="CV197" s="7">
        <f t="shared" ref="CV197" si="1193">CU197-$L197</f>
        <v>110304.84999999998</v>
      </c>
      <c r="CW197" s="7">
        <f t="shared" ref="CW197" si="1194">CV197-$L197</f>
        <v>109827.33999999998</v>
      </c>
      <c r="CX197" s="7">
        <f t="shared" ref="CX197" si="1195">CW197-$L197</f>
        <v>109349.82999999999</v>
      </c>
      <c r="CY197" s="7">
        <f t="shared" ref="CY197" si="1196">CX197-$L197</f>
        <v>108872.31999999999</v>
      </c>
      <c r="CZ197" s="236">
        <f>IF(BF197&lt;1,0,SUM(CN197:CY197,CJ197)/13*$BG$1)</f>
        <v>2458.2223599999993</v>
      </c>
    </row>
    <row r="198" spans="1:104" x14ac:dyDescent="0.2">
      <c r="A198" s="6" t="str">
        <f>'[1]2021 УГРЦТ'!A201</f>
        <v>Защищённый ноутбук Cyberbook S874</v>
      </c>
      <c r="B198" t="str">
        <f>'[1]2021 УГРЦТ'!B201</f>
        <v>000001754</v>
      </c>
      <c r="C198" t="str">
        <f>'[1]2021 УГРЦТ'!C201</f>
        <v>ПЕРЕДАЧА</v>
      </c>
      <c r="D198" t="str">
        <f>'[1]2021 УГРЦТ'!D201</f>
        <v>Машины и оборудование (кроме офисного)</v>
      </c>
      <c r="E198" t="str">
        <f>'[1]2021 УГРЦТ'!E201</f>
        <v>21.11.2018</v>
      </c>
      <c r="F198" t="str">
        <f>'[1]2021 УГРЦТ'!F201</f>
        <v>Цех электрических сетей</v>
      </c>
      <c r="G198">
        <f>'[1]2021 УГРЦТ'!AC201</f>
        <v>36</v>
      </c>
      <c r="H198" s="7">
        <f>'[1]2021 УГРЦТ'!X201</f>
        <v>134957.63</v>
      </c>
      <c r="I198" s="7">
        <f>'[1]2021 УГРЦТ'!Y201</f>
        <v>134957.63361111112</v>
      </c>
      <c r="J198" s="7">
        <f>'[1]2021 УГРЦТ'!Z201</f>
        <v>-3.6111111112404615E-3</v>
      </c>
      <c r="K198" s="8">
        <v>0</v>
      </c>
      <c r="L198" s="7">
        <v>0</v>
      </c>
      <c r="M198" s="7"/>
      <c r="N198" s="7">
        <f t="shared" si="1035"/>
        <v>0</v>
      </c>
      <c r="O198" s="7">
        <f t="shared" si="1161"/>
        <v>-3.6111111112404615E-3</v>
      </c>
      <c r="P198" s="7">
        <f t="shared" si="1117"/>
        <v>-3.6111111112404615E-3</v>
      </c>
      <c r="Q198" s="7">
        <f t="shared" si="1117"/>
        <v>-3.6111111112404615E-3</v>
      </c>
      <c r="R198" s="7">
        <f t="shared" si="1117"/>
        <v>-3.6111111112404615E-3</v>
      </c>
      <c r="S198" s="7">
        <f t="shared" si="1117"/>
        <v>-3.6111111112404615E-3</v>
      </c>
      <c r="T198" s="7">
        <f t="shared" si="1117"/>
        <v>-3.6111111112404615E-3</v>
      </c>
      <c r="U198" s="7">
        <f t="shared" si="1117"/>
        <v>-3.6111111112404615E-3</v>
      </c>
      <c r="V198" s="7">
        <f t="shared" si="1117"/>
        <v>-3.6111111112404615E-3</v>
      </c>
      <c r="W198" s="7">
        <f t="shared" si="1117"/>
        <v>-3.6111111112404615E-3</v>
      </c>
      <c r="X198" s="7">
        <f t="shared" si="1117"/>
        <v>-3.6111111112404615E-3</v>
      </c>
      <c r="Y198" s="7">
        <f t="shared" si="1117"/>
        <v>-3.6111111112404615E-3</v>
      </c>
      <c r="Z198" s="7">
        <f t="shared" si="1117"/>
        <v>-3.6111111112404615E-3</v>
      </c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222"/>
      <c r="AQ198" s="7">
        <v>0</v>
      </c>
      <c r="AR198" s="7">
        <f t="shared" si="1164"/>
        <v>0</v>
      </c>
      <c r="AS198" s="7">
        <f t="shared" si="1165"/>
        <v>0</v>
      </c>
      <c r="BG198" s="236">
        <f t="shared" si="1158"/>
        <v>0</v>
      </c>
      <c r="BH198" s="7">
        <v>0</v>
      </c>
      <c r="BV198" s="236">
        <f>IF(Z198&lt;1,0,SUM(BJ198:BU198,BF198)/13*$BG$1)</f>
        <v>0</v>
      </c>
      <c r="BW198" s="7">
        <v>0</v>
      </c>
      <c r="CK198" s="236">
        <f>IF(AO198&lt;1,0,SUM(BY198:CJ198,BU198)/13*$BG$1)</f>
        <v>0</v>
      </c>
      <c r="CL198" s="7">
        <v>0</v>
      </c>
      <c r="CZ198" s="236">
        <f>IF(BF198&lt;1,0,SUM(CN198:CY198,CJ198)/13*$BG$1)</f>
        <v>0</v>
      </c>
    </row>
    <row r="199" spans="1:104" s="26" customFormat="1" x14ac:dyDescent="0.2">
      <c r="A199" s="104" t="str">
        <f>'[1]2021 УГРЦТ'!A202</f>
        <v>Здание углеподачи  1955г.</v>
      </c>
      <c r="B199" s="26" t="str">
        <f>'[1]2021 УГРЦТ'!B202</f>
        <v>00000090</v>
      </c>
      <c r="C199" s="104" t="str">
        <f>'[1]2021 УГРЦТ'!C202</f>
        <v>ПЕРЕДАЧА</v>
      </c>
      <c r="D199" s="26" t="str">
        <f>'[1]2021 УГРЦТ'!D202</f>
        <v>Здания</v>
      </c>
      <c r="E199" s="26" t="str">
        <f>'[1]2021 УГРЦТ'!E202</f>
        <v>01.01.1955</v>
      </c>
      <c r="F199" s="26" t="str">
        <f>'[1]2021 УГРЦТ'!F202</f>
        <v>Теплоэнергия</v>
      </c>
      <c r="G199" s="26">
        <f>'[1]2021 УГРЦТ'!AC202</f>
        <v>180</v>
      </c>
      <c r="H199" s="39">
        <f>'[1]2021 УГРЦТ'!X202</f>
        <v>152831.26</v>
      </c>
      <c r="I199" s="39">
        <f>'[1]2021 УГРЦТ'!Y202</f>
        <v>46314.068111111112</v>
      </c>
      <c r="J199" s="39">
        <f>'[1]2021 УГРЦТ'!Z202</f>
        <v>106517.19188888889</v>
      </c>
      <c r="K199" s="40">
        <v>0</v>
      </c>
      <c r="L199" s="39">
        <v>595.06811111111108</v>
      </c>
      <c r="M199" s="39"/>
      <c r="N199" s="39">
        <f t="shared" si="1035"/>
        <v>7140.8173333333325</v>
      </c>
      <c r="O199" s="7">
        <f>J199-$L199</f>
        <v>105922.12377777779</v>
      </c>
      <c r="P199" s="7">
        <f>O199-$L199</f>
        <v>105327.05566666668</v>
      </c>
      <c r="Q199" s="7">
        <f t="shared" ref="P199:Z214" si="1197">P199-$L199</f>
        <v>104731.98755555558</v>
      </c>
      <c r="R199" s="7">
        <f t="shared" si="1197"/>
        <v>104136.91944444447</v>
      </c>
      <c r="S199" s="7">
        <f t="shared" si="1197"/>
        <v>103541.85133333337</v>
      </c>
      <c r="T199" s="7">
        <f t="shared" si="1197"/>
        <v>102946.78322222226</v>
      </c>
      <c r="U199" s="7">
        <f t="shared" si="1197"/>
        <v>102351.71511111116</v>
      </c>
      <c r="V199" s="7">
        <f t="shared" si="1197"/>
        <v>101756.64700000006</v>
      </c>
      <c r="W199" s="7">
        <f t="shared" si="1197"/>
        <v>101161.57888888895</v>
      </c>
      <c r="X199" s="7">
        <f t="shared" si="1197"/>
        <v>100566.51077777785</v>
      </c>
      <c r="Y199" s="7">
        <f t="shared" si="1197"/>
        <v>99971.442666666742</v>
      </c>
      <c r="Z199" s="39">
        <f>Y199-$L199</f>
        <v>99376.374555555638</v>
      </c>
      <c r="AA199" s="39"/>
      <c r="AB199" s="39"/>
      <c r="AC199" s="7">
        <f>IF(AB199&gt;0,AB199*12,L199*12)</f>
        <v>7140.8173333333325</v>
      </c>
      <c r="AD199" s="7">
        <f t="shared" si="1163"/>
        <v>98781.306444444534</v>
      </c>
      <c r="AE199" s="7">
        <f t="shared" ref="AE199:AO214" si="1198">AD199-$L199</f>
        <v>98186.238333333429</v>
      </c>
      <c r="AF199" s="7">
        <f t="shared" si="1198"/>
        <v>97591.170222222325</v>
      </c>
      <c r="AG199" s="7">
        <f t="shared" si="1198"/>
        <v>96996.10211111122</v>
      </c>
      <c r="AH199" s="7">
        <f t="shared" si="1198"/>
        <v>96401.034000000116</v>
      </c>
      <c r="AI199" s="7">
        <f t="shared" si="1198"/>
        <v>95805.965888889012</v>
      </c>
      <c r="AJ199" s="7">
        <f t="shared" si="1198"/>
        <v>95210.897777777907</v>
      </c>
      <c r="AK199" s="7">
        <f t="shared" si="1198"/>
        <v>94615.829666666803</v>
      </c>
      <c r="AL199" s="7">
        <f t="shared" si="1198"/>
        <v>94020.761555555699</v>
      </c>
      <c r="AM199" s="7">
        <f t="shared" si="1198"/>
        <v>93425.693444444594</v>
      </c>
      <c r="AN199" s="7">
        <f t="shared" si="1198"/>
        <v>92830.62533333349</v>
      </c>
      <c r="AO199" s="39">
        <f t="shared" si="1198"/>
        <v>92235.557222222385</v>
      </c>
      <c r="AP199" s="222"/>
      <c r="AQ199" s="39">
        <v>595.06811111111108</v>
      </c>
      <c r="AR199" s="7">
        <f t="shared" si="1164"/>
        <v>595.06811111110437</v>
      </c>
      <c r="AS199" s="7">
        <f t="shared" si="1165"/>
        <v>-6.7075234255753458E-12</v>
      </c>
      <c r="AT199" s="39">
        <f>AQ199*12</f>
        <v>7140.8173333333325</v>
      </c>
      <c r="AU199" s="7">
        <f>AO199-$L199</f>
        <v>91640.489111111281</v>
      </c>
      <c r="AV199" s="7">
        <f t="shared" ref="AV199:BF200" si="1199">AU199-$L199</f>
        <v>91045.421000000177</v>
      </c>
      <c r="AW199" s="7">
        <f t="shared" si="1199"/>
        <v>90450.352888889072</v>
      </c>
      <c r="AX199" s="7">
        <f t="shared" si="1199"/>
        <v>89855.284777777968</v>
      </c>
      <c r="AY199" s="7">
        <f t="shared" si="1199"/>
        <v>89260.216666666864</v>
      </c>
      <c r="AZ199" s="7">
        <f t="shared" si="1199"/>
        <v>88665.148555555759</v>
      </c>
      <c r="BA199" s="7">
        <f t="shared" si="1199"/>
        <v>88070.080444444655</v>
      </c>
      <c r="BB199" s="7">
        <f t="shared" si="1199"/>
        <v>87475.01233333355</v>
      </c>
      <c r="BC199" s="7">
        <f>BB199-$L199</f>
        <v>86879.944222222446</v>
      </c>
      <c r="BD199" s="7">
        <f t="shared" si="1199"/>
        <v>86284.876111111342</v>
      </c>
      <c r="BE199" s="7">
        <f t="shared" si="1199"/>
        <v>85689.808000000237</v>
      </c>
      <c r="BF199" s="39">
        <f t="shared" si="1199"/>
        <v>85094.739888889133</v>
      </c>
      <c r="BG199" s="236">
        <f t="shared" si="1158"/>
        <v>0</v>
      </c>
      <c r="BH199" s="39">
        <v>595.06811111111108</v>
      </c>
      <c r="BI199" s="39">
        <f>BH199*12</f>
        <v>7140.8173333333325</v>
      </c>
      <c r="BJ199" s="7">
        <f>BF199-BH199</f>
        <v>84499.671777778029</v>
      </c>
      <c r="BK199" s="7">
        <f t="shared" ref="BK199:BK200" si="1200">BJ199-$L199</f>
        <v>83904.603666666924</v>
      </c>
      <c r="BL199" s="7">
        <f t="shared" ref="BL199:BL200" si="1201">BK199-$L199</f>
        <v>83309.53555555582</v>
      </c>
      <c r="BM199" s="7">
        <f t="shared" ref="BM199:BM200" si="1202">BL199-$L199</f>
        <v>82714.467444444716</v>
      </c>
      <c r="BN199" s="7">
        <f t="shared" ref="BN199:BN200" si="1203">BM199-$L199</f>
        <v>82119.399333333611</v>
      </c>
      <c r="BO199" s="7">
        <f t="shared" ref="BO199:BO200" si="1204">BN199-$L199</f>
        <v>81524.331222222507</v>
      </c>
      <c r="BP199" s="7">
        <f t="shared" ref="BP199:BP200" si="1205">BO199-$L199</f>
        <v>80929.263111111402</v>
      </c>
      <c r="BQ199" s="7">
        <f t="shared" ref="BQ199:BQ200" si="1206">BP199-$L199</f>
        <v>80334.195000000298</v>
      </c>
      <c r="BR199" s="7">
        <f>BQ199-$L199</f>
        <v>79739.126888889194</v>
      </c>
      <c r="BS199" s="7">
        <f t="shared" ref="BS199:BS200" si="1207">BR199-$L199</f>
        <v>79144.058777778089</v>
      </c>
      <c r="BT199" s="7">
        <f t="shared" ref="BT199:BT200" si="1208">BS199-$L199</f>
        <v>78548.990666666985</v>
      </c>
      <c r="BU199" s="39">
        <f t="shared" ref="BU199:BU200" si="1209">BT199-$L199</f>
        <v>77953.922555555881</v>
      </c>
      <c r="BV199" s="236">
        <v>0</v>
      </c>
      <c r="BW199" s="39">
        <v>595.06811111111108</v>
      </c>
      <c r="BX199" s="39">
        <f>BW199*12</f>
        <v>7140.8173333333325</v>
      </c>
      <c r="BY199" s="7">
        <f>BU199-BW199</f>
        <v>77358.854444444776</v>
      </c>
      <c r="BZ199" s="7">
        <f t="shared" ref="BZ199:BZ200" si="1210">BY199-$L199</f>
        <v>76763.786333333672</v>
      </c>
      <c r="CA199" s="7">
        <f t="shared" ref="CA199:CA200" si="1211">BZ199-$L199</f>
        <v>76168.718222222567</v>
      </c>
      <c r="CB199" s="7">
        <f t="shared" ref="CB199:CB200" si="1212">CA199-$L199</f>
        <v>75573.650111111463</v>
      </c>
      <c r="CC199" s="7">
        <f t="shared" ref="CC199:CC200" si="1213">CB199-$L199</f>
        <v>74978.582000000359</v>
      </c>
      <c r="CD199" s="7">
        <f t="shared" ref="CD199:CD200" si="1214">CC199-$L199</f>
        <v>74383.513888889254</v>
      </c>
      <c r="CE199" s="7">
        <f t="shared" ref="CE199:CE200" si="1215">CD199-$L199</f>
        <v>73788.44577777815</v>
      </c>
      <c r="CF199" s="7">
        <f t="shared" ref="CF199:CF200" si="1216">CE199-$L199</f>
        <v>73193.377666667046</v>
      </c>
      <c r="CG199" s="7">
        <f>CF199-$L199</f>
        <v>72598.309555555941</v>
      </c>
      <c r="CH199" s="7">
        <f t="shared" ref="CH199:CH200" si="1217">CG199-$L199</f>
        <v>72003.241444444837</v>
      </c>
      <c r="CI199" s="7">
        <f t="shared" ref="CI199:CI200" si="1218">CH199-$L199</f>
        <v>71408.173333333732</v>
      </c>
      <c r="CJ199" s="39">
        <f t="shared" ref="CJ199:CJ200" si="1219">CI199-$L199</f>
        <v>70813.105222222628</v>
      </c>
      <c r="CK199" s="236">
        <v>0</v>
      </c>
      <c r="CL199" s="39">
        <v>595.06811111111108</v>
      </c>
      <c r="CM199" s="39">
        <f>CL199*12</f>
        <v>7140.8173333333325</v>
      </c>
      <c r="CN199" s="7">
        <f>CJ199-CL199</f>
        <v>70218.037111111524</v>
      </c>
      <c r="CO199" s="7">
        <f t="shared" ref="CO199:CO200" si="1220">CN199-$L199</f>
        <v>69622.969000000419</v>
      </c>
      <c r="CP199" s="7">
        <f t="shared" ref="CP199:CP200" si="1221">CO199-$L199</f>
        <v>69027.900888889315</v>
      </c>
      <c r="CQ199" s="7">
        <f t="shared" ref="CQ199:CQ200" si="1222">CP199-$L199</f>
        <v>68432.832777778211</v>
      </c>
      <c r="CR199" s="7">
        <f t="shared" ref="CR199:CR200" si="1223">CQ199-$L199</f>
        <v>67837.764666667106</v>
      </c>
      <c r="CS199" s="7">
        <f t="shared" ref="CS199:CS200" si="1224">CR199-$L199</f>
        <v>67242.696555556002</v>
      </c>
      <c r="CT199" s="7">
        <f t="shared" ref="CT199:CT200" si="1225">CS199-$L199</f>
        <v>66647.628444444897</v>
      </c>
      <c r="CU199" s="7">
        <f t="shared" ref="CU199:CU200" si="1226">CT199-$L199</f>
        <v>66052.560333333793</v>
      </c>
      <c r="CV199" s="7">
        <f>CU199-$L199</f>
        <v>65457.492222222681</v>
      </c>
      <c r="CW199" s="7">
        <f t="shared" ref="CW199:CW200" si="1227">CV199-$L199</f>
        <v>64862.42411111157</v>
      </c>
      <c r="CX199" s="7">
        <f t="shared" ref="CX199:CX200" si="1228">CW199-$L199</f>
        <v>64267.356000000458</v>
      </c>
      <c r="CY199" s="39">
        <f t="shared" ref="CY199:CY200" si="1229">CX199-$L199</f>
        <v>63672.287888889347</v>
      </c>
      <c r="CZ199" s="236">
        <v>0</v>
      </c>
    </row>
    <row r="200" spans="1:104" x14ac:dyDescent="0.2">
      <c r="A200" s="6" t="str">
        <f>'[1]2021 УГРЦТ'!A203</f>
        <v>ЗРУ 6кВ в районе оз. Заводская Курья</v>
      </c>
      <c r="B200" t="str">
        <f>'[1]2021 УГРЦТ'!B203</f>
        <v>000001785</v>
      </c>
      <c r="C200" t="str">
        <f>'[1]2021 УГРЦТ'!C203</f>
        <v>ПЕРЕДАЧА</v>
      </c>
      <c r="D200" t="str">
        <f>'[1]2021 УГРЦТ'!D203</f>
        <v>Сооружения</v>
      </c>
      <c r="E200" t="str">
        <f>'[1]2021 УГРЦТ'!E203</f>
        <v>19.12.2019</v>
      </c>
      <c r="F200" t="str">
        <f>'[1]2021 УГРЦТ'!F203</f>
        <v>Цех электрических сетей</v>
      </c>
      <c r="G200">
        <f>'[1]2021 УГРЦТ'!AC203</f>
        <v>300</v>
      </c>
      <c r="H200" s="7">
        <f>'[1]2021 УГРЦТ'!X203</f>
        <v>35573705.259999998</v>
      </c>
      <c r="I200" s="7">
        <f>'[1]2021 УГРЦТ'!Y203</f>
        <v>2845896.4503999995</v>
      </c>
      <c r="J200" s="7">
        <f>'[1]2021 УГРЦТ'!Z203</f>
        <v>32727808.809599999</v>
      </c>
      <c r="K200" s="8">
        <v>1</v>
      </c>
      <c r="L200" s="7">
        <v>118579.02</v>
      </c>
      <c r="M200" s="7"/>
      <c r="N200" s="7">
        <f t="shared" si="1035"/>
        <v>1422948.24</v>
      </c>
      <c r="O200" s="7">
        <f t="shared" si="1161"/>
        <v>32609229.7896</v>
      </c>
      <c r="P200" s="7">
        <f t="shared" si="1197"/>
        <v>32490650.7696</v>
      </c>
      <c r="Q200" s="7">
        <f t="shared" si="1197"/>
        <v>32372071.749600001</v>
      </c>
      <c r="R200" s="7">
        <f t="shared" si="1197"/>
        <v>32253492.729600001</v>
      </c>
      <c r="S200" s="7">
        <f t="shared" si="1197"/>
        <v>32134913.709600002</v>
      </c>
      <c r="T200" s="7">
        <f t="shared" si="1197"/>
        <v>32016334.689600002</v>
      </c>
      <c r="U200" s="7">
        <f t="shared" si="1197"/>
        <v>31897755.669600002</v>
      </c>
      <c r="V200" s="7">
        <f t="shared" si="1197"/>
        <v>31779176.649600003</v>
      </c>
      <c r="W200" s="7">
        <f t="shared" si="1197"/>
        <v>31660597.629600003</v>
      </c>
      <c r="X200" s="7">
        <f t="shared" si="1197"/>
        <v>31542018.609600004</v>
      </c>
      <c r="Y200" s="7">
        <f t="shared" si="1197"/>
        <v>31423439.589600004</v>
      </c>
      <c r="Z200" s="7">
        <f t="shared" si="1197"/>
        <v>31304860.569600005</v>
      </c>
      <c r="AA200" s="7">
        <f>SUM(O200:Z200,J200)/13*$AA$1</f>
        <v>704359.36317120004</v>
      </c>
      <c r="AB200" s="7"/>
      <c r="AC200" s="7">
        <f t="shared" si="1162"/>
        <v>1422948.24</v>
      </c>
      <c r="AD200" s="7">
        <f t="shared" si="1163"/>
        <v>31186281.549600005</v>
      </c>
      <c r="AE200" s="7">
        <f t="shared" si="1198"/>
        <v>31067702.529600006</v>
      </c>
      <c r="AF200" s="7">
        <f t="shared" si="1198"/>
        <v>30949123.509600006</v>
      </c>
      <c r="AG200" s="7">
        <f t="shared" si="1198"/>
        <v>30830544.489600006</v>
      </c>
      <c r="AH200" s="7">
        <f t="shared" si="1198"/>
        <v>30711965.469600007</v>
      </c>
      <c r="AI200" s="7">
        <f t="shared" si="1198"/>
        <v>30593386.449600007</v>
      </c>
      <c r="AJ200" s="7">
        <f t="shared" si="1198"/>
        <v>30474807.429600008</v>
      </c>
      <c r="AK200" s="7">
        <f t="shared" si="1198"/>
        <v>30356228.409600008</v>
      </c>
      <c r="AL200" s="7">
        <f t="shared" si="1198"/>
        <v>30237649.389600009</v>
      </c>
      <c r="AM200" s="7">
        <f t="shared" si="1198"/>
        <v>30119070.369600009</v>
      </c>
      <c r="AN200" s="7">
        <f t="shared" si="1198"/>
        <v>30000491.34960001</v>
      </c>
      <c r="AO200" s="7">
        <f t="shared" si="1198"/>
        <v>29881912.32960001</v>
      </c>
      <c r="AP200" s="222">
        <f>IF(K200&lt;1,0,SUM(AD200:AO200,Z200)/13*$BG$1)</f>
        <v>673054.50189120008</v>
      </c>
      <c r="AQ200" s="7">
        <v>118579.02</v>
      </c>
      <c r="AR200" s="7">
        <f t="shared" si="1164"/>
        <v>118579.01999999955</v>
      </c>
      <c r="AS200" s="7">
        <f t="shared" si="1165"/>
        <v>-4.5110937207937241E-10</v>
      </c>
      <c r="AT200" s="7">
        <f t="shared" ref="AT200" si="1230">L200*12</f>
        <v>1422948.24</v>
      </c>
      <c r="AU200" s="7">
        <f>AO200-$L200</f>
        <v>29763333.309600011</v>
      </c>
      <c r="AV200" s="7">
        <f t="shared" si="1199"/>
        <v>29644754.289600011</v>
      </c>
      <c r="AW200" s="7">
        <f t="shared" si="1199"/>
        <v>29526175.269600011</v>
      </c>
      <c r="AX200" s="7">
        <f t="shared" si="1199"/>
        <v>29407596.249600012</v>
      </c>
      <c r="AY200" s="7">
        <f t="shared" si="1199"/>
        <v>29289017.229600012</v>
      </c>
      <c r="AZ200" s="7">
        <f t="shared" si="1199"/>
        <v>29170438.209600013</v>
      </c>
      <c r="BA200" s="7">
        <f t="shared" si="1199"/>
        <v>29051859.189600013</v>
      </c>
      <c r="BB200" s="7">
        <f t="shared" si="1199"/>
        <v>28933280.169600014</v>
      </c>
      <c r="BC200" s="7">
        <f t="shared" si="1199"/>
        <v>28814701.149600014</v>
      </c>
      <c r="BD200" s="7">
        <f t="shared" si="1199"/>
        <v>28696122.129600015</v>
      </c>
      <c r="BE200" s="7">
        <f t="shared" si="1199"/>
        <v>28577543.109600015</v>
      </c>
      <c r="BF200" s="7">
        <f t="shared" si="1199"/>
        <v>28458964.089600015</v>
      </c>
      <c r="BG200" s="236">
        <f t="shared" si="1158"/>
        <v>641749.64061120024</v>
      </c>
      <c r="BH200" s="7">
        <v>118579.02</v>
      </c>
      <c r="BI200" s="39">
        <f>BH200*12</f>
        <v>1422948.24</v>
      </c>
      <c r="BJ200" s="7">
        <f>BF200-BH200</f>
        <v>28340385.069600016</v>
      </c>
      <c r="BK200" s="7">
        <f t="shared" si="1200"/>
        <v>28221806.049600016</v>
      </c>
      <c r="BL200" s="7">
        <f t="shared" si="1201"/>
        <v>28103227.029600017</v>
      </c>
      <c r="BM200" s="7">
        <f t="shared" si="1202"/>
        <v>27984648.009600017</v>
      </c>
      <c r="BN200" s="7">
        <f t="shared" si="1203"/>
        <v>27866068.989600018</v>
      </c>
      <c r="BO200" s="7">
        <f t="shared" si="1204"/>
        <v>27747489.969600018</v>
      </c>
      <c r="BP200" s="7">
        <f t="shared" si="1205"/>
        <v>27628910.949600019</v>
      </c>
      <c r="BQ200" s="7">
        <f t="shared" si="1206"/>
        <v>27510331.929600019</v>
      </c>
      <c r="BR200" s="7">
        <f t="shared" ref="BR200" si="1231">BQ200-$L200</f>
        <v>27391752.909600019</v>
      </c>
      <c r="BS200" s="7">
        <f t="shared" si="1207"/>
        <v>27273173.88960002</v>
      </c>
      <c r="BT200" s="7">
        <f t="shared" si="1208"/>
        <v>27154594.86960002</v>
      </c>
      <c r="BU200" s="7">
        <f t="shared" si="1209"/>
        <v>27036015.849600021</v>
      </c>
      <c r="BV200" s="236">
        <f t="shared" ref="BV200:BV220" si="1232">IF(Z200&lt;1,0,SUM(BJ200:BU200,BF200)/13*$BG$1)</f>
        <v>610444.77933120041</v>
      </c>
      <c r="BW200" s="7">
        <v>118579.02</v>
      </c>
      <c r="BX200" s="39">
        <f>BW200*12</f>
        <v>1422948.24</v>
      </c>
      <c r="BY200" s="7">
        <f>BU200-BW200</f>
        <v>26917436.829600021</v>
      </c>
      <c r="BZ200" s="7">
        <f t="shared" si="1210"/>
        <v>26798857.809600022</v>
      </c>
      <c r="CA200" s="7">
        <f t="shared" si="1211"/>
        <v>26680278.789600022</v>
      </c>
      <c r="CB200" s="7">
        <f t="shared" si="1212"/>
        <v>26561699.769600023</v>
      </c>
      <c r="CC200" s="7">
        <f t="shared" si="1213"/>
        <v>26443120.749600023</v>
      </c>
      <c r="CD200" s="7">
        <f t="shared" si="1214"/>
        <v>26324541.729600023</v>
      </c>
      <c r="CE200" s="7">
        <f t="shared" si="1215"/>
        <v>26205962.709600024</v>
      </c>
      <c r="CF200" s="7">
        <f t="shared" si="1216"/>
        <v>26087383.689600024</v>
      </c>
      <c r="CG200" s="7">
        <f t="shared" ref="CG200" si="1233">CF200-$L200</f>
        <v>25968804.669600025</v>
      </c>
      <c r="CH200" s="7">
        <f t="shared" si="1217"/>
        <v>25850225.649600025</v>
      </c>
      <c r="CI200" s="7">
        <f t="shared" si="1218"/>
        <v>25731646.629600026</v>
      </c>
      <c r="CJ200" s="7">
        <f t="shared" si="1219"/>
        <v>25613067.609600026</v>
      </c>
      <c r="CK200" s="236">
        <f t="shared" ref="CK200:CK220" si="1234">IF(AO200&lt;1,0,SUM(BY200:CJ200,BU200)/13*$BG$1)</f>
        <v>579139.91805120057</v>
      </c>
      <c r="CL200" s="7">
        <v>118579.02</v>
      </c>
      <c r="CM200" s="39">
        <f>CL200*12</f>
        <v>1422948.24</v>
      </c>
      <c r="CN200" s="7">
        <f>CJ200-CL200</f>
        <v>25494488.589600027</v>
      </c>
      <c r="CO200" s="7">
        <f t="shared" si="1220"/>
        <v>25375909.569600027</v>
      </c>
      <c r="CP200" s="7">
        <f t="shared" si="1221"/>
        <v>25257330.549600028</v>
      </c>
      <c r="CQ200" s="7">
        <f t="shared" si="1222"/>
        <v>25138751.529600028</v>
      </c>
      <c r="CR200" s="7">
        <f t="shared" si="1223"/>
        <v>25020172.509600028</v>
      </c>
      <c r="CS200" s="7">
        <f t="shared" si="1224"/>
        <v>24901593.489600029</v>
      </c>
      <c r="CT200" s="7">
        <f t="shared" si="1225"/>
        <v>24783014.469600029</v>
      </c>
      <c r="CU200" s="7">
        <f t="shared" si="1226"/>
        <v>24664435.44960003</v>
      </c>
      <c r="CV200" s="7">
        <f t="shared" ref="CV200" si="1235">CU200-$L200</f>
        <v>24545856.42960003</v>
      </c>
      <c r="CW200" s="7">
        <f t="shared" si="1227"/>
        <v>24427277.409600031</v>
      </c>
      <c r="CX200" s="7">
        <f t="shared" si="1228"/>
        <v>24308698.389600031</v>
      </c>
      <c r="CY200" s="7">
        <f t="shared" si="1229"/>
        <v>24190119.369600032</v>
      </c>
      <c r="CZ200" s="236">
        <f t="shared" ref="CZ200:CZ220" si="1236">IF(BF200&lt;1,0,SUM(CN200:CY200,CJ200)/13*$BG$1)</f>
        <v>547835.0567712005</v>
      </c>
    </row>
    <row r="201" spans="1:104" x14ac:dyDescent="0.2">
      <c r="A201" s="6" t="str">
        <f>'[1]2021 УГРЦТ'!A204</f>
        <v>Индикатор емкости свинцовых аккумуляторов Кулон-12/6р</v>
      </c>
      <c r="B201" t="str">
        <f>'[1]2021 УГРЦТ'!B204</f>
        <v>000001743</v>
      </c>
      <c r="C201" t="str">
        <f>'[1]2021 УГРЦТ'!C204</f>
        <v>ПЕРЕДАЧА</v>
      </c>
      <c r="D201" t="str">
        <f>'[1]2021 УГРЦТ'!D204</f>
        <v>Машины и оборудование (кроме офисного)</v>
      </c>
      <c r="E201" t="str">
        <f>'[1]2021 УГРЦТ'!E204</f>
        <v>28.08.2018</v>
      </c>
      <c r="F201" t="str">
        <f>'[1]2021 УГРЦТ'!F204</f>
        <v>Цех электрических сетей</v>
      </c>
      <c r="G201">
        <f>'[1]2021 УГРЦТ'!AC204</f>
        <v>60</v>
      </c>
      <c r="H201" s="7">
        <f>'[1]2021 УГРЦТ'!X204</f>
        <v>90383.52</v>
      </c>
      <c r="I201" s="7">
        <f>'[1]2021 УГРЦТ'!Y204</f>
        <v>60255.623999999996</v>
      </c>
      <c r="J201" s="7">
        <f>'[1]2021 УГРЦТ'!Z204</f>
        <v>30127.896000000008</v>
      </c>
      <c r="K201" s="8">
        <v>0</v>
      </c>
      <c r="L201" s="7">
        <v>1506.3899999999996</v>
      </c>
      <c r="M201" s="7"/>
      <c r="N201" s="7">
        <f t="shared" si="1035"/>
        <v>18076.679999999997</v>
      </c>
      <c r="O201" s="7">
        <f t="shared" si="1161"/>
        <v>28621.506000000008</v>
      </c>
      <c r="P201" s="7">
        <f t="shared" si="1197"/>
        <v>27115.116000000009</v>
      </c>
      <c r="Q201" s="7">
        <f t="shared" si="1197"/>
        <v>25608.72600000001</v>
      </c>
      <c r="R201" s="7">
        <f t="shared" si="1197"/>
        <v>24102.33600000001</v>
      </c>
      <c r="S201" s="7">
        <f t="shared" si="1197"/>
        <v>22595.946000000011</v>
      </c>
      <c r="T201" s="7">
        <f t="shared" si="1197"/>
        <v>21089.556000000011</v>
      </c>
      <c r="U201" s="7">
        <f t="shared" si="1197"/>
        <v>19583.166000000012</v>
      </c>
      <c r="V201" s="7">
        <f t="shared" si="1197"/>
        <v>18076.776000000013</v>
      </c>
      <c r="W201" s="7">
        <f t="shared" si="1197"/>
        <v>16570.386000000013</v>
      </c>
      <c r="X201" s="7">
        <f t="shared" si="1197"/>
        <v>15063.996000000014</v>
      </c>
      <c r="Y201" s="7">
        <f t="shared" si="1197"/>
        <v>13557.606000000014</v>
      </c>
      <c r="Z201" s="7">
        <f t="shared" si="1197"/>
        <v>12051.216000000015</v>
      </c>
      <c r="AA201" s="7"/>
      <c r="AB201" s="7"/>
      <c r="AC201" s="7">
        <f>L201*8+0.1</f>
        <v>12051.219999999998</v>
      </c>
      <c r="AD201" s="7">
        <f t="shared" si="1163"/>
        <v>10544.826000000015</v>
      </c>
      <c r="AE201" s="7">
        <f t="shared" si="1198"/>
        <v>9038.4360000000161</v>
      </c>
      <c r="AF201" s="7">
        <f t="shared" si="1198"/>
        <v>7532.0460000000166</v>
      </c>
      <c r="AG201" s="7">
        <f t="shared" si="1198"/>
        <v>6025.6560000000172</v>
      </c>
      <c r="AH201" s="7">
        <f t="shared" si="1198"/>
        <v>4519.2660000000178</v>
      </c>
      <c r="AI201" s="7">
        <f t="shared" si="1198"/>
        <v>3012.8760000000184</v>
      </c>
      <c r="AJ201" s="7">
        <f t="shared" si="1198"/>
        <v>1506.4860000000187</v>
      </c>
      <c r="AK201" s="7">
        <f t="shared" si="1198"/>
        <v>9.6000000019103027E-2</v>
      </c>
      <c r="AL201" s="7"/>
      <c r="AM201" s="7"/>
      <c r="AN201" s="7"/>
      <c r="AO201" s="7"/>
      <c r="AP201" s="222"/>
      <c r="AQ201" s="7">
        <v>0</v>
      </c>
      <c r="AR201" s="7">
        <f t="shared" si="1164"/>
        <v>0</v>
      </c>
      <c r="AS201" s="7">
        <f t="shared" si="1165"/>
        <v>0</v>
      </c>
      <c r="BG201" s="236">
        <f t="shared" si="1158"/>
        <v>0</v>
      </c>
      <c r="BH201" s="7">
        <v>0</v>
      </c>
      <c r="BV201" s="236">
        <f t="shared" si="1232"/>
        <v>0</v>
      </c>
      <c r="BW201" s="7">
        <v>0</v>
      </c>
      <c r="CK201" s="236">
        <f t="shared" si="1234"/>
        <v>0</v>
      </c>
      <c r="CL201" s="7">
        <v>0</v>
      </c>
      <c r="CZ201" s="236">
        <f t="shared" si="1236"/>
        <v>0</v>
      </c>
    </row>
    <row r="202" spans="1:104" x14ac:dyDescent="0.2">
      <c r="A202" s="6" t="str">
        <f>'[1]2021 УГРЦТ'!A205</f>
        <v>К/л. в/в от ТП-82 "Бассейн" до ТП-87 "Промз."</v>
      </c>
      <c r="B202" t="str">
        <f>'[1]2021 УГРЦТ'!B205</f>
        <v>00001090</v>
      </c>
      <c r="C202" t="str">
        <f>'[1]2021 УГРЦТ'!C205</f>
        <v>ПЕРЕДАЧА</v>
      </c>
      <c r="D202" t="str">
        <f>'[1]2021 УГРЦТ'!D205</f>
        <v>Сооружения</v>
      </c>
      <c r="E202" t="str">
        <f>'[1]2021 УГРЦТ'!E205</f>
        <v>30.09.2008</v>
      </c>
      <c r="F202" t="str">
        <f>'[1]2021 УГРЦТ'!F205</f>
        <v>Цех электрических сетей</v>
      </c>
      <c r="G202">
        <f>'[1]2021 УГРЦТ'!AC205</f>
        <v>300</v>
      </c>
      <c r="H202" s="7">
        <f>'[1]2021 УГРЦТ'!X205</f>
        <v>1799427.23</v>
      </c>
      <c r="I202" s="7">
        <f>'[1]2021 УГРЦТ'!Y205</f>
        <v>953696.31920000003</v>
      </c>
      <c r="J202" s="7">
        <f>'[1]2021 УГРЦТ'!Z205</f>
        <v>845730.91079999995</v>
      </c>
      <c r="K202" s="8">
        <v>1</v>
      </c>
      <c r="L202" s="7">
        <v>5998.0899999999992</v>
      </c>
      <c r="M202" s="7"/>
      <c r="N202" s="7">
        <f t="shared" si="1035"/>
        <v>71977.079999999987</v>
      </c>
      <c r="O202" s="7">
        <f t="shared" si="1161"/>
        <v>839732.82079999999</v>
      </c>
      <c r="P202" s="7">
        <f t="shared" si="1197"/>
        <v>833734.73080000002</v>
      </c>
      <c r="Q202" s="7">
        <f t="shared" si="1197"/>
        <v>827736.64080000005</v>
      </c>
      <c r="R202" s="7">
        <f t="shared" si="1197"/>
        <v>821738.55080000008</v>
      </c>
      <c r="S202" s="7">
        <f t="shared" si="1197"/>
        <v>815740.46080000012</v>
      </c>
      <c r="T202" s="7">
        <f t="shared" si="1197"/>
        <v>809742.37080000015</v>
      </c>
      <c r="U202" s="7">
        <f t="shared" si="1197"/>
        <v>803744.28080000018</v>
      </c>
      <c r="V202" s="7">
        <f t="shared" si="1197"/>
        <v>797746.19080000021</v>
      </c>
      <c r="W202" s="7">
        <f t="shared" si="1197"/>
        <v>791748.10080000025</v>
      </c>
      <c r="X202" s="7">
        <f t="shared" si="1197"/>
        <v>785750.01080000028</v>
      </c>
      <c r="Y202" s="7">
        <f t="shared" si="1197"/>
        <v>779751.92080000031</v>
      </c>
      <c r="Z202" s="7">
        <f t="shared" si="1197"/>
        <v>773753.83080000035</v>
      </c>
      <c r="AA202" s="7">
        <f t="shared" ref="AA202:AA218" si="1237">SUM(O202:Z202,J202)/13*$AA$1</f>
        <v>17814.332157600002</v>
      </c>
      <c r="AB202" s="7"/>
      <c r="AC202" s="7">
        <f t="shared" si="1162"/>
        <v>71977.079999999987</v>
      </c>
      <c r="AD202" s="7">
        <f t="shared" si="1163"/>
        <v>767755.74080000038</v>
      </c>
      <c r="AE202" s="7">
        <f t="shared" si="1198"/>
        <v>761757.65080000041</v>
      </c>
      <c r="AF202" s="7">
        <f t="shared" si="1198"/>
        <v>755759.56080000044</v>
      </c>
      <c r="AG202" s="7">
        <f t="shared" si="1198"/>
        <v>749761.47080000048</v>
      </c>
      <c r="AH202" s="7">
        <f t="shared" si="1198"/>
        <v>743763.38080000051</v>
      </c>
      <c r="AI202" s="7">
        <f t="shared" si="1198"/>
        <v>737765.29080000054</v>
      </c>
      <c r="AJ202" s="7">
        <f t="shared" si="1198"/>
        <v>731767.20080000057</v>
      </c>
      <c r="AK202" s="7">
        <f t="shared" si="1198"/>
        <v>725769.11080000061</v>
      </c>
      <c r="AL202" s="7">
        <f t="shared" si="1198"/>
        <v>719771.02080000064</v>
      </c>
      <c r="AM202" s="7">
        <f t="shared" si="1198"/>
        <v>713772.93080000067</v>
      </c>
      <c r="AN202" s="7">
        <f t="shared" si="1198"/>
        <v>707774.8408000007</v>
      </c>
      <c r="AO202" s="7">
        <f t="shared" si="1198"/>
        <v>701776.75080000074</v>
      </c>
      <c r="AP202" s="222">
        <f t="shared" ref="AP202:AP218" si="1238">IF(K202&lt;1,0,SUM(AD202:AO202,Z202)/13*$BG$1)</f>
        <v>16230.836397600013</v>
      </c>
      <c r="AQ202" s="7">
        <v>5998.0899999999992</v>
      </c>
      <c r="AR202" s="7">
        <f t="shared" si="1164"/>
        <v>5998.0899999999674</v>
      </c>
      <c r="AS202" s="7">
        <f t="shared" si="1165"/>
        <v>-3.1832314562052488E-11</v>
      </c>
      <c r="AT202" s="7">
        <f t="shared" ref="AT202:AT218" si="1239">L202*12</f>
        <v>71977.079999999987</v>
      </c>
      <c r="AU202" s="7">
        <f t="shared" ref="AU202:AU218" si="1240">AO202-$L202</f>
        <v>695778.66080000077</v>
      </c>
      <c r="AV202" s="7">
        <f t="shared" ref="AV202:BF217" si="1241">AU202-$L202</f>
        <v>689780.5708000008</v>
      </c>
      <c r="AW202" s="7">
        <f t="shared" si="1241"/>
        <v>683782.48080000083</v>
      </c>
      <c r="AX202" s="7">
        <f t="shared" si="1241"/>
        <v>677784.39080000087</v>
      </c>
      <c r="AY202" s="7">
        <f t="shared" si="1241"/>
        <v>671786.3008000009</v>
      </c>
      <c r="AZ202" s="7">
        <f t="shared" si="1241"/>
        <v>665788.21080000093</v>
      </c>
      <c r="BA202" s="7">
        <f t="shared" si="1241"/>
        <v>659790.12080000096</v>
      </c>
      <c r="BB202" s="7">
        <f t="shared" si="1241"/>
        <v>653792.030800001</v>
      </c>
      <c r="BC202" s="7">
        <f t="shared" si="1241"/>
        <v>647793.94080000103</v>
      </c>
      <c r="BD202" s="7">
        <f t="shared" si="1241"/>
        <v>641795.85080000106</v>
      </c>
      <c r="BE202" s="7">
        <f t="shared" si="1241"/>
        <v>635797.7608000011</v>
      </c>
      <c r="BF202" s="7">
        <f t="shared" si="1241"/>
        <v>629799.67080000113</v>
      </c>
      <c r="BG202" s="236">
        <f t="shared" si="1158"/>
        <v>14647.34063760002</v>
      </c>
      <c r="BH202" s="7">
        <v>5998.0899999999992</v>
      </c>
      <c r="BI202" s="39">
        <f t="shared" ref="BI202:BI218" si="1242">BH202*12</f>
        <v>71977.079999999987</v>
      </c>
      <c r="BJ202" s="7">
        <f t="shared" ref="BJ202:BJ218" si="1243">BF202-BH202</f>
        <v>623801.58080000116</v>
      </c>
      <c r="BK202" s="7">
        <f t="shared" ref="BK202:BK218" si="1244">BJ202-$L202</f>
        <v>617803.49080000119</v>
      </c>
      <c r="BL202" s="7">
        <f t="shared" ref="BL202:BL218" si="1245">BK202-$L202</f>
        <v>611805.40080000123</v>
      </c>
      <c r="BM202" s="7">
        <f t="shared" ref="BM202:BM218" si="1246">BL202-$L202</f>
        <v>605807.31080000126</v>
      </c>
      <c r="BN202" s="7">
        <f t="shared" ref="BN202:BN218" si="1247">BM202-$L202</f>
        <v>599809.22080000129</v>
      </c>
      <c r="BO202" s="7">
        <f t="shared" ref="BO202:BO218" si="1248">BN202-$L202</f>
        <v>593811.13080000132</v>
      </c>
      <c r="BP202" s="7">
        <f t="shared" ref="BP202:BP218" si="1249">BO202-$L202</f>
        <v>587813.04080000136</v>
      </c>
      <c r="BQ202" s="7">
        <f t="shared" ref="BQ202:BQ218" si="1250">BP202-$L202</f>
        <v>581814.95080000139</v>
      </c>
      <c r="BR202" s="7">
        <f t="shared" ref="BR202:BR218" si="1251">BQ202-$L202</f>
        <v>575816.86080000142</v>
      </c>
      <c r="BS202" s="7">
        <f t="shared" ref="BS202:BS218" si="1252">BR202-$L202</f>
        <v>569818.77080000145</v>
      </c>
      <c r="BT202" s="7">
        <f t="shared" ref="BT202:BT218" si="1253">BS202-$L202</f>
        <v>563820.68080000149</v>
      </c>
      <c r="BU202" s="7">
        <f t="shared" ref="BU202:BU218" si="1254">BT202-$L202</f>
        <v>557822.59080000152</v>
      </c>
      <c r="BV202" s="236">
        <f t="shared" si="1232"/>
        <v>13063.844877600031</v>
      </c>
      <c r="BW202" s="7">
        <v>5998.0899999999992</v>
      </c>
      <c r="BX202" s="39">
        <f t="shared" ref="BX202:BX218" si="1255">BW202*12</f>
        <v>71977.079999999987</v>
      </c>
      <c r="BY202" s="7">
        <f t="shared" ref="BY202:BY218" si="1256">BU202-BW202</f>
        <v>551824.50080000155</v>
      </c>
      <c r="BZ202" s="7">
        <f t="shared" ref="BZ202:BZ218" si="1257">BY202-$L202</f>
        <v>545826.41080000158</v>
      </c>
      <c r="CA202" s="7">
        <f t="shared" ref="CA202:CA218" si="1258">BZ202-$L202</f>
        <v>539828.32080000162</v>
      </c>
      <c r="CB202" s="7">
        <f t="shared" ref="CB202:CB218" si="1259">CA202-$L202</f>
        <v>533830.23080000165</v>
      </c>
      <c r="CC202" s="7">
        <f t="shared" ref="CC202:CC218" si="1260">CB202-$L202</f>
        <v>527832.14080000168</v>
      </c>
      <c r="CD202" s="7">
        <f t="shared" ref="CD202:CD218" si="1261">CC202-$L202</f>
        <v>521834.05080000166</v>
      </c>
      <c r="CE202" s="7">
        <f t="shared" ref="CE202:CE218" si="1262">CD202-$L202</f>
        <v>515835.96080000163</v>
      </c>
      <c r="CF202" s="7">
        <f t="shared" ref="CF202:CF218" si="1263">CE202-$L202</f>
        <v>509837.8708000016</v>
      </c>
      <c r="CG202" s="7">
        <f t="shared" ref="CG202:CG218" si="1264">CF202-$L202</f>
        <v>503839.78080000158</v>
      </c>
      <c r="CH202" s="7">
        <f t="shared" ref="CH202:CH218" si="1265">CG202-$L202</f>
        <v>497841.69080000155</v>
      </c>
      <c r="CI202" s="7">
        <f t="shared" ref="CI202:CI218" si="1266">CH202-$L202</f>
        <v>491843.60080000153</v>
      </c>
      <c r="CJ202" s="7">
        <f t="shared" ref="CJ202:CJ218" si="1267">CI202-$L202</f>
        <v>485845.5108000015</v>
      </c>
      <c r="CK202" s="236">
        <f t="shared" si="1234"/>
        <v>11480.349117600033</v>
      </c>
      <c r="CL202" s="7">
        <v>5998.0899999999992</v>
      </c>
      <c r="CM202" s="39">
        <f t="shared" ref="CM202:CM218" si="1268">CL202*12</f>
        <v>71977.079999999987</v>
      </c>
      <c r="CN202" s="7">
        <f t="shared" ref="CN202:CN218" si="1269">CJ202-CL202</f>
        <v>479847.42080000148</v>
      </c>
      <c r="CO202" s="7">
        <f t="shared" ref="CO202:CO218" si="1270">CN202-$L202</f>
        <v>473849.33080000145</v>
      </c>
      <c r="CP202" s="7">
        <f t="shared" ref="CP202:CP218" si="1271">CO202-$L202</f>
        <v>467851.24080000143</v>
      </c>
      <c r="CQ202" s="7">
        <f t="shared" ref="CQ202:CQ218" si="1272">CP202-$L202</f>
        <v>461853.1508000014</v>
      </c>
      <c r="CR202" s="7">
        <f t="shared" ref="CR202:CR218" si="1273">CQ202-$L202</f>
        <v>455855.06080000137</v>
      </c>
      <c r="CS202" s="7">
        <f t="shared" ref="CS202:CS218" si="1274">CR202-$L202</f>
        <v>449856.97080000135</v>
      </c>
      <c r="CT202" s="7">
        <f t="shared" ref="CT202:CT218" si="1275">CS202-$L202</f>
        <v>443858.88080000132</v>
      </c>
      <c r="CU202" s="7">
        <f t="shared" ref="CU202:CU218" si="1276">CT202-$L202</f>
        <v>437860.7908000013</v>
      </c>
      <c r="CV202" s="7">
        <f t="shared" ref="CV202:CV218" si="1277">CU202-$L202</f>
        <v>431862.70080000127</v>
      </c>
      <c r="CW202" s="7">
        <f t="shared" ref="CW202:CW218" si="1278">CV202-$L202</f>
        <v>425864.61080000125</v>
      </c>
      <c r="CX202" s="7">
        <f t="shared" ref="CX202:CX218" si="1279">CW202-$L202</f>
        <v>419866.52080000122</v>
      </c>
      <c r="CY202" s="7">
        <f t="shared" ref="CY202:CY218" si="1280">CX202-$L202</f>
        <v>413868.4308000012</v>
      </c>
      <c r="CZ202" s="236">
        <f t="shared" si="1236"/>
        <v>9896.8533576000264</v>
      </c>
    </row>
    <row r="203" spans="1:104" x14ac:dyDescent="0.2">
      <c r="A203" s="6" t="str">
        <f>'[1]2021 УГРЦТ'!A206</f>
        <v>Кабельная высоковольтная линия 6 кВ в с. Тельвиска НАО</v>
      </c>
      <c r="B203" s="16" t="str">
        <f>'[1]2021 УГРЦТ'!B206</f>
        <v>000001844</v>
      </c>
      <c r="C203" t="str">
        <f>'[1]2021 УГРЦТ'!C206</f>
        <v>ПЕРЕДАЧА</v>
      </c>
      <c r="D203" t="str">
        <f>'[1]2021 УГРЦТ'!D206</f>
        <v>Сооружения</v>
      </c>
      <c r="E203" t="str">
        <f>'[1]2021 УГРЦТ'!E206</f>
        <v>14.04.2021</v>
      </c>
      <c r="F203" t="str">
        <f>'[1]2021 УГРЦТ'!F206</f>
        <v>Цех электрических сетей</v>
      </c>
      <c r="G203">
        <f>'[1]2021 УГРЦТ'!AC206</f>
        <v>180</v>
      </c>
      <c r="H203" s="7">
        <f>'[1]2021 УГРЦТ'!X206</f>
        <v>444333.5</v>
      </c>
      <c r="I203" s="7">
        <f>'[1]2021 УГРЦТ'!Y206</f>
        <v>19748.155555555557</v>
      </c>
      <c r="J203" s="7">
        <f>'[1]2021 УГРЦТ'!Z206</f>
        <v>424585.34444444446</v>
      </c>
      <c r="K203" s="8">
        <v>1</v>
      </c>
      <c r="L203" s="7">
        <v>2468.52</v>
      </c>
      <c r="M203" s="7"/>
      <c r="N203" s="7">
        <f t="shared" si="1035"/>
        <v>29622.239999999998</v>
      </c>
      <c r="O203" s="7">
        <f t="shared" si="1161"/>
        <v>422116.82444444444</v>
      </c>
      <c r="P203" s="7">
        <f t="shared" si="1197"/>
        <v>419648.30444444442</v>
      </c>
      <c r="Q203" s="7">
        <f t="shared" si="1197"/>
        <v>417179.78444444441</v>
      </c>
      <c r="R203" s="7">
        <f t="shared" si="1197"/>
        <v>414711.26444444439</v>
      </c>
      <c r="S203" s="7">
        <f t="shared" si="1197"/>
        <v>412242.74444444437</v>
      </c>
      <c r="T203" s="7">
        <f t="shared" si="1197"/>
        <v>409774.22444444435</v>
      </c>
      <c r="U203" s="7">
        <f t="shared" si="1197"/>
        <v>407305.70444444433</v>
      </c>
      <c r="V203" s="7">
        <f t="shared" si="1197"/>
        <v>404837.18444444431</v>
      </c>
      <c r="W203" s="7">
        <f t="shared" si="1197"/>
        <v>402368.66444444429</v>
      </c>
      <c r="X203" s="7">
        <f t="shared" si="1197"/>
        <v>399900.14444444427</v>
      </c>
      <c r="Y203" s="7">
        <f t="shared" si="1197"/>
        <v>397431.62444444426</v>
      </c>
      <c r="Z203" s="7">
        <f t="shared" si="1197"/>
        <v>394963.10444444424</v>
      </c>
      <c r="AA203" s="7">
        <f t="shared" si="1237"/>
        <v>9015.0329377777744</v>
      </c>
      <c r="AB203" s="7"/>
      <c r="AC203" s="7">
        <f t="shared" si="1162"/>
        <v>29622.239999999998</v>
      </c>
      <c r="AD203" s="7">
        <f t="shared" si="1163"/>
        <v>392494.58444444422</v>
      </c>
      <c r="AE203" s="7">
        <f t="shared" si="1198"/>
        <v>390026.0644444442</v>
      </c>
      <c r="AF203" s="7">
        <f t="shared" si="1198"/>
        <v>387557.54444444418</v>
      </c>
      <c r="AG203" s="7">
        <f t="shared" si="1198"/>
        <v>385089.02444444416</v>
      </c>
      <c r="AH203" s="7">
        <f t="shared" si="1198"/>
        <v>382620.50444444414</v>
      </c>
      <c r="AI203" s="7">
        <f t="shared" si="1198"/>
        <v>380151.98444444413</v>
      </c>
      <c r="AJ203" s="7">
        <f t="shared" si="1198"/>
        <v>377683.46444444411</v>
      </c>
      <c r="AK203" s="7">
        <f t="shared" si="1198"/>
        <v>375214.94444444409</v>
      </c>
      <c r="AL203" s="7">
        <f t="shared" si="1198"/>
        <v>372746.42444444407</v>
      </c>
      <c r="AM203" s="7">
        <f t="shared" si="1198"/>
        <v>370277.90444444405</v>
      </c>
      <c r="AN203" s="7">
        <f t="shared" si="1198"/>
        <v>367809.38444444403</v>
      </c>
      <c r="AO203" s="7">
        <f t="shared" si="1198"/>
        <v>365340.86444444401</v>
      </c>
      <c r="AP203" s="222">
        <f t="shared" si="1238"/>
        <v>8363.3436577777702</v>
      </c>
      <c r="AQ203" s="7">
        <v>2468.52</v>
      </c>
      <c r="AR203" s="7">
        <f t="shared" si="1164"/>
        <v>2468.5200000000186</v>
      </c>
      <c r="AS203" s="7">
        <f t="shared" si="1165"/>
        <v>1.8644641386345029E-11</v>
      </c>
      <c r="AT203" s="7">
        <f t="shared" si="1239"/>
        <v>29622.239999999998</v>
      </c>
      <c r="AU203" s="7">
        <f t="shared" si="1240"/>
        <v>362872.344444444</v>
      </c>
      <c r="AV203" s="7">
        <f t="shared" si="1241"/>
        <v>360403.82444444398</v>
      </c>
      <c r="AW203" s="7">
        <f t="shared" si="1241"/>
        <v>357935.30444444396</v>
      </c>
      <c r="AX203" s="7">
        <f t="shared" si="1241"/>
        <v>355466.78444444394</v>
      </c>
      <c r="AY203" s="7">
        <f t="shared" si="1241"/>
        <v>352998.26444444392</v>
      </c>
      <c r="AZ203" s="7">
        <f t="shared" si="1241"/>
        <v>350529.7444444439</v>
      </c>
      <c r="BA203" s="7">
        <f t="shared" si="1241"/>
        <v>348061.22444444388</v>
      </c>
      <c r="BB203" s="7">
        <f t="shared" si="1241"/>
        <v>345592.70444444387</v>
      </c>
      <c r="BC203" s="7">
        <f t="shared" si="1241"/>
        <v>343124.18444444385</v>
      </c>
      <c r="BD203" s="7">
        <f t="shared" si="1241"/>
        <v>340655.66444444383</v>
      </c>
      <c r="BE203" s="7">
        <f t="shared" si="1241"/>
        <v>338187.14444444381</v>
      </c>
      <c r="BF203" s="7">
        <f t="shared" si="1241"/>
        <v>335718.62444444379</v>
      </c>
      <c r="BG203" s="236">
        <f t="shared" si="1158"/>
        <v>7711.6543777777651</v>
      </c>
      <c r="BH203" s="7">
        <v>2468.52</v>
      </c>
      <c r="BI203" s="39">
        <f t="shared" si="1242"/>
        <v>29622.239999999998</v>
      </c>
      <c r="BJ203" s="7">
        <f t="shared" si="1243"/>
        <v>333250.10444444377</v>
      </c>
      <c r="BK203" s="7">
        <f t="shared" si="1244"/>
        <v>330781.58444444375</v>
      </c>
      <c r="BL203" s="7">
        <f t="shared" si="1245"/>
        <v>328313.06444444373</v>
      </c>
      <c r="BM203" s="7">
        <f t="shared" si="1246"/>
        <v>325844.54444444372</v>
      </c>
      <c r="BN203" s="7">
        <f t="shared" si="1247"/>
        <v>323376.0244444437</v>
      </c>
      <c r="BO203" s="7">
        <f t="shared" si="1248"/>
        <v>320907.50444444368</v>
      </c>
      <c r="BP203" s="7">
        <f t="shared" si="1249"/>
        <v>318438.98444444366</v>
      </c>
      <c r="BQ203" s="7">
        <f t="shared" si="1250"/>
        <v>315970.46444444364</v>
      </c>
      <c r="BR203" s="7">
        <f t="shared" si="1251"/>
        <v>313501.94444444362</v>
      </c>
      <c r="BS203" s="7">
        <f t="shared" si="1252"/>
        <v>311033.4244444436</v>
      </c>
      <c r="BT203" s="7">
        <f t="shared" si="1253"/>
        <v>308564.90444444359</v>
      </c>
      <c r="BU203" s="7">
        <f t="shared" si="1254"/>
        <v>306096.38444444357</v>
      </c>
      <c r="BV203" s="236">
        <f t="shared" si="1232"/>
        <v>7059.9650977777601</v>
      </c>
      <c r="BW203" s="7">
        <v>2468.52</v>
      </c>
      <c r="BX203" s="39">
        <f t="shared" si="1255"/>
        <v>29622.239999999998</v>
      </c>
      <c r="BY203" s="7">
        <f t="shared" si="1256"/>
        <v>303627.86444444355</v>
      </c>
      <c r="BZ203" s="7">
        <f t="shared" si="1257"/>
        <v>301159.34444444353</v>
      </c>
      <c r="CA203" s="7">
        <f t="shared" si="1258"/>
        <v>298690.82444444351</v>
      </c>
      <c r="CB203" s="7">
        <f t="shared" si="1259"/>
        <v>296222.30444444349</v>
      </c>
      <c r="CC203" s="7">
        <f t="shared" si="1260"/>
        <v>293753.78444444347</v>
      </c>
      <c r="CD203" s="7">
        <f t="shared" si="1261"/>
        <v>291285.26444444346</v>
      </c>
      <c r="CE203" s="7">
        <f t="shared" si="1262"/>
        <v>288816.74444444344</v>
      </c>
      <c r="CF203" s="7">
        <f t="shared" si="1263"/>
        <v>286348.22444444342</v>
      </c>
      <c r="CG203" s="7">
        <f t="shared" si="1264"/>
        <v>283879.7044444434</v>
      </c>
      <c r="CH203" s="7">
        <f t="shared" si="1265"/>
        <v>281411.18444444338</v>
      </c>
      <c r="CI203" s="7">
        <f t="shared" si="1266"/>
        <v>278942.66444444336</v>
      </c>
      <c r="CJ203" s="7">
        <f t="shared" si="1267"/>
        <v>276474.14444444334</v>
      </c>
      <c r="CK203" s="236">
        <f t="shared" si="1234"/>
        <v>6408.2758177777559</v>
      </c>
      <c r="CL203" s="7">
        <v>2468.52</v>
      </c>
      <c r="CM203" s="39">
        <f t="shared" si="1268"/>
        <v>29622.239999999998</v>
      </c>
      <c r="CN203" s="7">
        <f t="shared" si="1269"/>
        <v>274005.62444444333</v>
      </c>
      <c r="CO203" s="7">
        <f t="shared" si="1270"/>
        <v>271537.10444444331</v>
      </c>
      <c r="CP203" s="7">
        <f t="shared" si="1271"/>
        <v>269068.58444444329</v>
      </c>
      <c r="CQ203" s="7">
        <f t="shared" si="1272"/>
        <v>266600.06444444327</v>
      </c>
      <c r="CR203" s="7">
        <f t="shared" si="1273"/>
        <v>264131.54444444325</v>
      </c>
      <c r="CS203" s="7">
        <f t="shared" si="1274"/>
        <v>261663.02444444326</v>
      </c>
      <c r="CT203" s="7">
        <f t="shared" si="1275"/>
        <v>259194.50444444327</v>
      </c>
      <c r="CU203" s="7">
        <f t="shared" si="1276"/>
        <v>256725.98444444328</v>
      </c>
      <c r="CV203" s="7">
        <f t="shared" si="1277"/>
        <v>254257.46444444329</v>
      </c>
      <c r="CW203" s="7">
        <f t="shared" si="1278"/>
        <v>251788.9444444433</v>
      </c>
      <c r="CX203" s="7">
        <f t="shared" si="1279"/>
        <v>249320.42444444331</v>
      </c>
      <c r="CY203" s="7">
        <f t="shared" si="1280"/>
        <v>246851.90444444332</v>
      </c>
      <c r="CZ203" s="236">
        <f t="shared" si="1236"/>
        <v>5756.5865377777518</v>
      </c>
    </row>
    <row r="204" spans="1:104" x14ac:dyDescent="0.2">
      <c r="A204" s="6" t="str">
        <f>'[1]2021 УГРЦТ'!A207</f>
        <v>Кабельная линия   "ЗРУ 6кВ-выход ф.Искателей" 2007</v>
      </c>
      <c r="B204" t="str">
        <f>'[1]2021 УГРЦТ'!B207</f>
        <v>00001035</v>
      </c>
      <c r="C204" t="str">
        <f>'[1]2021 УГРЦТ'!C207</f>
        <v>ПЕРЕДАЧА</v>
      </c>
      <c r="D204" t="str">
        <f>'[1]2021 УГРЦТ'!D207</f>
        <v>Сооружения</v>
      </c>
      <c r="E204" t="str">
        <f>'[1]2021 УГРЦТ'!E207</f>
        <v>30.05.2007</v>
      </c>
      <c r="F204" t="str">
        <f>'[1]2021 УГРЦТ'!F207</f>
        <v>Цех электрических сетей</v>
      </c>
      <c r="G204">
        <f>'[1]2021 УГРЦТ'!AC207</f>
        <v>300</v>
      </c>
      <c r="H204" s="7">
        <f>'[1]2021 УГРЦТ'!X207</f>
        <v>51841</v>
      </c>
      <c r="I204" s="7">
        <f>'[1]2021 УГРЦТ'!Y207</f>
        <v>30240.04</v>
      </c>
      <c r="J204" s="7">
        <f>'[1]2021 УГРЦТ'!Z207</f>
        <v>21600.959999999999</v>
      </c>
      <c r="K204" s="8">
        <v>1</v>
      </c>
      <c r="L204" s="7">
        <v>172.81</v>
      </c>
      <c r="M204" s="7"/>
      <c r="N204" s="7">
        <f t="shared" si="1035"/>
        <v>2073.7200000000003</v>
      </c>
      <c r="O204" s="7">
        <f t="shared" si="1161"/>
        <v>21428.149999999998</v>
      </c>
      <c r="P204" s="7">
        <f t="shared" si="1197"/>
        <v>21255.339999999997</v>
      </c>
      <c r="Q204" s="7">
        <f t="shared" si="1197"/>
        <v>21082.529999999995</v>
      </c>
      <c r="R204" s="7">
        <f t="shared" si="1197"/>
        <v>20909.719999999994</v>
      </c>
      <c r="S204" s="7">
        <f t="shared" si="1197"/>
        <v>20736.909999999993</v>
      </c>
      <c r="T204" s="7">
        <f t="shared" si="1197"/>
        <v>20564.099999999991</v>
      </c>
      <c r="U204" s="7">
        <f t="shared" si="1197"/>
        <v>20391.28999999999</v>
      </c>
      <c r="V204" s="7">
        <f t="shared" si="1197"/>
        <v>20218.479999999989</v>
      </c>
      <c r="W204" s="7">
        <f t="shared" si="1197"/>
        <v>20045.669999999987</v>
      </c>
      <c r="X204" s="7">
        <f t="shared" si="1197"/>
        <v>19872.859999999986</v>
      </c>
      <c r="Y204" s="7">
        <f t="shared" si="1197"/>
        <v>19700.049999999985</v>
      </c>
      <c r="Z204" s="7">
        <f t="shared" si="1197"/>
        <v>19527.239999999983</v>
      </c>
      <c r="AA204" s="7">
        <f t="shared" si="1237"/>
        <v>452.4101999999998</v>
      </c>
      <c r="AB204" s="7"/>
      <c r="AC204" s="7">
        <f t="shared" si="1162"/>
        <v>2073.7200000000003</v>
      </c>
      <c r="AD204" s="7">
        <f t="shared" si="1163"/>
        <v>19354.429999999982</v>
      </c>
      <c r="AE204" s="7">
        <f t="shared" si="1198"/>
        <v>19181.619999999981</v>
      </c>
      <c r="AF204" s="7">
        <f t="shared" si="1198"/>
        <v>19008.809999999979</v>
      </c>
      <c r="AG204" s="7">
        <f t="shared" si="1198"/>
        <v>18835.999999999978</v>
      </c>
      <c r="AH204" s="7">
        <f t="shared" si="1198"/>
        <v>18663.189999999977</v>
      </c>
      <c r="AI204" s="7">
        <f t="shared" si="1198"/>
        <v>18490.379999999976</v>
      </c>
      <c r="AJ204" s="7">
        <f t="shared" si="1198"/>
        <v>18317.569999999974</v>
      </c>
      <c r="AK204" s="7">
        <f t="shared" si="1198"/>
        <v>18144.759999999973</v>
      </c>
      <c r="AL204" s="7">
        <f t="shared" si="1198"/>
        <v>17971.949999999972</v>
      </c>
      <c r="AM204" s="7">
        <f t="shared" si="1198"/>
        <v>17799.13999999997</v>
      </c>
      <c r="AN204" s="7">
        <f t="shared" si="1198"/>
        <v>17626.329999999969</v>
      </c>
      <c r="AO204" s="7">
        <f t="shared" si="1198"/>
        <v>17453.519999999968</v>
      </c>
      <c r="AP204" s="222">
        <f t="shared" si="1238"/>
        <v>406.7883599999995</v>
      </c>
      <c r="AQ204" s="7">
        <v>172.81</v>
      </c>
      <c r="AR204" s="7">
        <f t="shared" si="1164"/>
        <v>172.81000000000131</v>
      </c>
      <c r="AS204" s="7">
        <f t="shared" si="1165"/>
        <v>1.3073986337985843E-12</v>
      </c>
      <c r="AT204" s="7">
        <f t="shared" si="1239"/>
        <v>2073.7200000000003</v>
      </c>
      <c r="AU204" s="7">
        <f t="shared" si="1240"/>
        <v>17280.709999999966</v>
      </c>
      <c r="AV204" s="7">
        <f t="shared" si="1241"/>
        <v>17107.899999999965</v>
      </c>
      <c r="AW204" s="7">
        <f t="shared" si="1241"/>
        <v>16935.089999999964</v>
      </c>
      <c r="AX204" s="7">
        <f t="shared" si="1241"/>
        <v>16762.279999999962</v>
      </c>
      <c r="AY204" s="7">
        <f t="shared" si="1241"/>
        <v>16589.469999999961</v>
      </c>
      <c r="AZ204" s="7">
        <f t="shared" si="1241"/>
        <v>16416.65999999996</v>
      </c>
      <c r="BA204" s="7">
        <f t="shared" si="1241"/>
        <v>16243.84999999996</v>
      </c>
      <c r="BB204" s="7">
        <f t="shared" si="1241"/>
        <v>16071.039999999961</v>
      </c>
      <c r="BC204" s="7">
        <f t="shared" si="1241"/>
        <v>15898.229999999961</v>
      </c>
      <c r="BD204" s="7">
        <f t="shared" si="1241"/>
        <v>15725.419999999962</v>
      </c>
      <c r="BE204" s="7">
        <f t="shared" si="1241"/>
        <v>15552.609999999962</v>
      </c>
      <c r="BF204" s="7">
        <f t="shared" si="1241"/>
        <v>15379.799999999963</v>
      </c>
      <c r="BG204" s="236">
        <f t="shared" si="1158"/>
        <v>361.16651999999908</v>
      </c>
      <c r="BH204" s="7">
        <v>172.81</v>
      </c>
      <c r="BI204" s="39">
        <f t="shared" si="1242"/>
        <v>2073.7200000000003</v>
      </c>
      <c r="BJ204" s="7">
        <f t="shared" si="1243"/>
        <v>15206.989999999963</v>
      </c>
      <c r="BK204" s="7">
        <f t="shared" si="1244"/>
        <v>15034.179999999964</v>
      </c>
      <c r="BL204" s="7">
        <f t="shared" si="1245"/>
        <v>14861.369999999964</v>
      </c>
      <c r="BM204" s="7">
        <f t="shared" si="1246"/>
        <v>14688.559999999965</v>
      </c>
      <c r="BN204" s="7">
        <f t="shared" si="1247"/>
        <v>14515.749999999965</v>
      </c>
      <c r="BO204" s="7">
        <f t="shared" si="1248"/>
        <v>14342.939999999966</v>
      </c>
      <c r="BP204" s="7">
        <f t="shared" si="1249"/>
        <v>14170.129999999966</v>
      </c>
      <c r="BQ204" s="7">
        <f t="shared" si="1250"/>
        <v>13997.319999999967</v>
      </c>
      <c r="BR204" s="7">
        <f t="shared" si="1251"/>
        <v>13824.509999999967</v>
      </c>
      <c r="BS204" s="7">
        <f t="shared" si="1252"/>
        <v>13651.699999999968</v>
      </c>
      <c r="BT204" s="7">
        <f t="shared" si="1253"/>
        <v>13478.889999999968</v>
      </c>
      <c r="BU204" s="7">
        <f t="shared" si="1254"/>
        <v>13306.079999999969</v>
      </c>
      <c r="BV204" s="236">
        <f t="shared" si="1232"/>
        <v>315.54467999999918</v>
      </c>
      <c r="BW204" s="7">
        <v>172.81</v>
      </c>
      <c r="BX204" s="39">
        <f t="shared" si="1255"/>
        <v>2073.7200000000003</v>
      </c>
      <c r="BY204" s="7">
        <f t="shared" si="1256"/>
        <v>13133.26999999997</v>
      </c>
      <c r="BZ204" s="7">
        <f t="shared" si="1257"/>
        <v>12960.45999999997</v>
      </c>
      <c r="CA204" s="7">
        <f t="shared" si="1258"/>
        <v>12787.649999999971</v>
      </c>
      <c r="CB204" s="7">
        <f t="shared" si="1259"/>
        <v>12614.839999999971</v>
      </c>
      <c r="CC204" s="7">
        <f t="shared" si="1260"/>
        <v>12442.029999999972</v>
      </c>
      <c r="CD204" s="7">
        <f t="shared" si="1261"/>
        <v>12269.219999999972</v>
      </c>
      <c r="CE204" s="7">
        <f t="shared" si="1262"/>
        <v>12096.409999999973</v>
      </c>
      <c r="CF204" s="7">
        <f t="shared" si="1263"/>
        <v>11923.599999999973</v>
      </c>
      <c r="CG204" s="7">
        <f t="shared" si="1264"/>
        <v>11750.789999999974</v>
      </c>
      <c r="CH204" s="7">
        <f t="shared" si="1265"/>
        <v>11577.979999999974</v>
      </c>
      <c r="CI204" s="7">
        <f t="shared" si="1266"/>
        <v>11405.169999999975</v>
      </c>
      <c r="CJ204" s="7">
        <f t="shared" si="1267"/>
        <v>11232.359999999975</v>
      </c>
      <c r="CK204" s="236">
        <f t="shared" si="1234"/>
        <v>269.92283999999938</v>
      </c>
      <c r="CL204" s="7">
        <v>172.81</v>
      </c>
      <c r="CM204" s="39">
        <f t="shared" si="1268"/>
        <v>2073.7200000000003</v>
      </c>
      <c r="CN204" s="7">
        <f t="shared" si="1269"/>
        <v>11059.549999999976</v>
      </c>
      <c r="CO204" s="7">
        <f t="shared" si="1270"/>
        <v>10886.739999999976</v>
      </c>
      <c r="CP204" s="7">
        <f t="shared" si="1271"/>
        <v>10713.929999999977</v>
      </c>
      <c r="CQ204" s="7">
        <f t="shared" si="1272"/>
        <v>10541.119999999977</v>
      </c>
      <c r="CR204" s="7">
        <f t="shared" si="1273"/>
        <v>10368.309999999978</v>
      </c>
      <c r="CS204" s="7">
        <f t="shared" si="1274"/>
        <v>10195.499999999978</v>
      </c>
      <c r="CT204" s="7">
        <f t="shared" si="1275"/>
        <v>10022.689999999979</v>
      </c>
      <c r="CU204" s="7">
        <f t="shared" si="1276"/>
        <v>9849.8799999999792</v>
      </c>
      <c r="CV204" s="7">
        <f t="shared" si="1277"/>
        <v>9677.0699999999797</v>
      </c>
      <c r="CW204" s="7">
        <f t="shared" si="1278"/>
        <v>9504.2599999999802</v>
      </c>
      <c r="CX204" s="7">
        <f t="shared" si="1279"/>
        <v>9331.4499999999807</v>
      </c>
      <c r="CY204" s="7">
        <f t="shared" si="1280"/>
        <v>9158.6399999999812</v>
      </c>
      <c r="CZ204" s="236">
        <f t="shared" si="1236"/>
        <v>224.3009999999995</v>
      </c>
    </row>
    <row r="205" spans="1:104" x14ac:dyDescent="0.2">
      <c r="A205" s="6" t="str">
        <f>'[1]2021 УГРЦТ'!A208</f>
        <v>Кабельная линия 0,4 кВ (ДТП №336 от 01.10.2021)</v>
      </c>
      <c r="B205" t="str">
        <f>'[1]2021 УГРЦТ'!B208</f>
        <v>000001879</v>
      </c>
      <c r="C205" t="str">
        <f>'[1]2021 УГРЦТ'!C208</f>
        <v>ПЕРЕДАЧА</v>
      </c>
      <c r="D205" t="str">
        <f>'[1]2021 УГРЦТ'!D208</f>
        <v>Сооружения</v>
      </c>
      <c r="E205" s="4">
        <f>'[1]2021 УГРЦТ'!E208</f>
        <v>44560</v>
      </c>
      <c r="F205" t="str">
        <f>'[1]2021 УГРЦТ'!F208</f>
        <v>Цех электрических сетей</v>
      </c>
      <c r="G205">
        <f>'[1]2021 УГРЦТ'!AC208</f>
        <v>300</v>
      </c>
      <c r="H205" s="7">
        <f>'[1]2021 УГРЦТ'!X208</f>
        <v>256945.19</v>
      </c>
      <c r="I205" s="7" t="e">
        <f>'[1]2021 УГРЦТ'!Y208</f>
        <v>#REF!</v>
      </c>
      <c r="J205" s="7">
        <f>'[1]2021 УГРЦТ'!Z208</f>
        <v>256945.19</v>
      </c>
      <c r="K205" s="8">
        <v>1</v>
      </c>
      <c r="L205" s="7">
        <v>856.48396666666667</v>
      </c>
      <c r="M205" s="7"/>
      <c r="N205" s="7">
        <f t="shared" si="1035"/>
        <v>10277.8076</v>
      </c>
      <c r="O205" s="7">
        <f t="shared" si="1161"/>
        <v>256088.70603333332</v>
      </c>
      <c r="P205" s="7">
        <f t="shared" si="1197"/>
        <v>255232.22206666664</v>
      </c>
      <c r="Q205" s="7">
        <f t="shared" si="1197"/>
        <v>254375.73809999996</v>
      </c>
      <c r="R205" s="7">
        <f t="shared" si="1197"/>
        <v>253519.25413333328</v>
      </c>
      <c r="S205" s="7">
        <f t="shared" si="1197"/>
        <v>252662.7701666666</v>
      </c>
      <c r="T205" s="7">
        <f t="shared" si="1197"/>
        <v>251806.28619999991</v>
      </c>
      <c r="U205" s="7">
        <f t="shared" si="1197"/>
        <v>250949.80223333323</v>
      </c>
      <c r="V205" s="7">
        <f t="shared" si="1197"/>
        <v>250093.31826666655</v>
      </c>
      <c r="W205" s="7">
        <f t="shared" si="1197"/>
        <v>249236.83429999987</v>
      </c>
      <c r="X205" s="7">
        <f t="shared" si="1197"/>
        <v>248380.35033333319</v>
      </c>
      <c r="Y205" s="7">
        <f t="shared" si="1197"/>
        <v>247523.86636666651</v>
      </c>
      <c r="Z205" s="7">
        <f t="shared" si="1197"/>
        <v>246667.38239999983</v>
      </c>
      <c r="AA205" s="7">
        <f t="shared" si="1237"/>
        <v>5539.738296399998</v>
      </c>
      <c r="AB205" s="7"/>
      <c r="AC205" s="7">
        <f t="shared" si="1162"/>
        <v>10277.8076</v>
      </c>
      <c r="AD205" s="7">
        <f t="shared" si="1163"/>
        <v>245810.89843333315</v>
      </c>
      <c r="AE205" s="7">
        <f t="shared" si="1198"/>
        <v>244954.41446666647</v>
      </c>
      <c r="AF205" s="7">
        <f t="shared" si="1198"/>
        <v>244097.93049999978</v>
      </c>
      <c r="AG205" s="7">
        <f t="shared" si="1198"/>
        <v>243241.4465333331</v>
      </c>
      <c r="AH205" s="7">
        <f t="shared" si="1198"/>
        <v>242384.96256666642</v>
      </c>
      <c r="AI205" s="7">
        <f t="shared" si="1198"/>
        <v>241528.47859999974</v>
      </c>
      <c r="AJ205" s="7">
        <f t="shared" si="1198"/>
        <v>240671.99463333306</v>
      </c>
      <c r="AK205" s="7">
        <f t="shared" si="1198"/>
        <v>239815.51066666638</v>
      </c>
      <c r="AL205" s="7">
        <f t="shared" si="1198"/>
        <v>238959.0266999997</v>
      </c>
      <c r="AM205" s="7">
        <f t="shared" si="1198"/>
        <v>238102.54273333302</v>
      </c>
      <c r="AN205" s="7">
        <f t="shared" si="1198"/>
        <v>237246.05876666633</v>
      </c>
      <c r="AO205" s="7">
        <f t="shared" si="1198"/>
        <v>236389.57479999965</v>
      </c>
      <c r="AP205" s="222">
        <f t="shared" si="1238"/>
        <v>5313.6265291999944</v>
      </c>
      <c r="AQ205" s="7">
        <v>856.48396666666667</v>
      </c>
      <c r="AR205" s="7">
        <f t="shared" si="1164"/>
        <v>856.48396666668123</v>
      </c>
      <c r="AS205" s="7">
        <f t="shared" si="1165"/>
        <v>1.4551915228366852E-11</v>
      </c>
      <c r="AT205" s="7">
        <f t="shared" si="1239"/>
        <v>10277.8076</v>
      </c>
      <c r="AU205" s="7">
        <f t="shared" si="1240"/>
        <v>235533.09083333297</v>
      </c>
      <c r="AV205" s="7">
        <f t="shared" si="1241"/>
        <v>234676.60686666629</v>
      </c>
      <c r="AW205" s="7">
        <f t="shared" si="1241"/>
        <v>233820.12289999961</v>
      </c>
      <c r="AX205" s="7">
        <f t="shared" si="1241"/>
        <v>232963.63893333293</v>
      </c>
      <c r="AY205" s="7">
        <f t="shared" si="1241"/>
        <v>232107.15496666625</v>
      </c>
      <c r="AZ205" s="7">
        <f t="shared" si="1241"/>
        <v>231250.67099999957</v>
      </c>
      <c r="BA205" s="7">
        <f t="shared" si="1241"/>
        <v>230394.18703333288</v>
      </c>
      <c r="BB205" s="7">
        <f t="shared" si="1241"/>
        <v>229537.7030666662</v>
      </c>
      <c r="BC205" s="7">
        <f t="shared" si="1241"/>
        <v>228681.21909999952</v>
      </c>
      <c r="BD205" s="7">
        <f t="shared" si="1241"/>
        <v>227824.73513333284</v>
      </c>
      <c r="BE205" s="7">
        <f t="shared" si="1241"/>
        <v>226968.25116666616</v>
      </c>
      <c r="BF205" s="7">
        <f t="shared" si="1241"/>
        <v>226111.76719999948</v>
      </c>
      <c r="BG205" s="236">
        <f t="shared" si="1158"/>
        <v>5087.5147619999889</v>
      </c>
      <c r="BH205" s="7">
        <v>856.48396666666667</v>
      </c>
      <c r="BI205" s="39">
        <f t="shared" si="1242"/>
        <v>10277.8076</v>
      </c>
      <c r="BJ205" s="7">
        <f t="shared" si="1243"/>
        <v>225255.2832333328</v>
      </c>
      <c r="BK205" s="7">
        <f t="shared" si="1244"/>
        <v>224398.79926666612</v>
      </c>
      <c r="BL205" s="7">
        <f t="shared" si="1245"/>
        <v>223542.31529999943</v>
      </c>
      <c r="BM205" s="7">
        <f t="shared" si="1246"/>
        <v>222685.83133333275</v>
      </c>
      <c r="BN205" s="7">
        <f t="shared" si="1247"/>
        <v>221829.34736666607</v>
      </c>
      <c r="BO205" s="7">
        <f t="shared" si="1248"/>
        <v>220972.86339999939</v>
      </c>
      <c r="BP205" s="7">
        <f t="shared" si="1249"/>
        <v>220116.37943333271</v>
      </c>
      <c r="BQ205" s="7">
        <f t="shared" si="1250"/>
        <v>219259.89546666603</v>
      </c>
      <c r="BR205" s="7">
        <f t="shared" si="1251"/>
        <v>218403.41149999935</v>
      </c>
      <c r="BS205" s="7">
        <f t="shared" si="1252"/>
        <v>217546.92753333267</v>
      </c>
      <c r="BT205" s="7">
        <f t="shared" si="1253"/>
        <v>216690.44356666598</v>
      </c>
      <c r="BU205" s="7">
        <f t="shared" si="1254"/>
        <v>215833.9595999993</v>
      </c>
      <c r="BV205" s="236">
        <f t="shared" si="1232"/>
        <v>4861.4029947999861</v>
      </c>
      <c r="BW205" s="7">
        <v>856.48396666666667</v>
      </c>
      <c r="BX205" s="39">
        <f t="shared" si="1255"/>
        <v>10277.8076</v>
      </c>
      <c r="BY205" s="7">
        <f t="shared" si="1256"/>
        <v>214977.47563333262</v>
      </c>
      <c r="BZ205" s="7">
        <f t="shared" si="1257"/>
        <v>214120.99166666594</v>
      </c>
      <c r="CA205" s="7">
        <f t="shared" si="1258"/>
        <v>213264.50769999926</v>
      </c>
      <c r="CB205" s="7">
        <f t="shared" si="1259"/>
        <v>212408.02373333258</v>
      </c>
      <c r="CC205" s="7">
        <f t="shared" si="1260"/>
        <v>211551.5397666659</v>
      </c>
      <c r="CD205" s="7">
        <f t="shared" si="1261"/>
        <v>210695.05579999922</v>
      </c>
      <c r="CE205" s="7">
        <f t="shared" si="1262"/>
        <v>209838.57183333253</v>
      </c>
      <c r="CF205" s="7">
        <f t="shared" si="1263"/>
        <v>208982.08786666585</v>
      </c>
      <c r="CG205" s="7">
        <f t="shared" si="1264"/>
        <v>208125.60389999917</v>
      </c>
      <c r="CH205" s="7">
        <f t="shared" si="1265"/>
        <v>207269.11993333249</v>
      </c>
      <c r="CI205" s="7">
        <f t="shared" si="1266"/>
        <v>206412.63596666581</v>
      </c>
      <c r="CJ205" s="7">
        <f t="shared" si="1267"/>
        <v>205556.15199999913</v>
      </c>
      <c r="CK205" s="236">
        <f t="shared" si="1234"/>
        <v>4635.2912275999824</v>
      </c>
      <c r="CL205" s="7">
        <v>856.48396666666667</v>
      </c>
      <c r="CM205" s="39">
        <f t="shared" si="1268"/>
        <v>10277.8076</v>
      </c>
      <c r="CN205" s="7">
        <f t="shared" si="1269"/>
        <v>204699.66803333245</v>
      </c>
      <c r="CO205" s="7">
        <f t="shared" si="1270"/>
        <v>203843.18406666577</v>
      </c>
      <c r="CP205" s="7">
        <f t="shared" si="1271"/>
        <v>202986.70009999909</v>
      </c>
      <c r="CQ205" s="7">
        <f t="shared" si="1272"/>
        <v>202130.2161333324</v>
      </c>
      <c r="CR205" s="7">
        <f t="shared" si="1273"/>
        <v>201273.73216666572</v>
      </c>
      <c r="CS205" s="7">
        <f t="shared" si="1274"/>
        <v>200417.24819999904</v>
      </c>
      <c r="CT205" s="7">
        <f t="shared" si="1275"/>
        <v>199560.76423333236</v>
      </c>
      <c r="CU205" s="7">
        <f t="shared" si="1276"/>
        <v>198704.28026666568</v>
      </c>
      <c r="CV205" s="7">
        <f t="shared" si="1277"/>
        <v>197847.796299999</v>
      </c>
      <c r="CW205" s="7">
        <f t="shared" si="1278"/>
        <v>196991.31233333232</v>
      </c>
      <c r="CX205" s="7">
        <f t="shared" si="1279"/>
        <v>196134.82836666564</v>
      </c>
      <c r="CY205" s="7">
        <f t="shared" si="1280"/>
        <v>195278.34439999895</v>
      </c>
      <c r="CZ205" s="236">
        <f t="shared" si="1236"/>
        <v>4409.1794603999788</v>
      </c>
    </row>
    <row r="206" spans="1:104" x14ac:dyDescent="0.2">
      <c r="A206" s="6" t="str">
        <f>'[1]2021 УГРЦТ'!A209</f>
        <v>Кабельная линия 0,4 кВ (ТУ 174 от 20.10.20)</v>
      </c>
      <c r="B206" t="str">
        <f>'[1]2021 УГРЦТ'!B209</f>
        <v>000001862</v>
      </c>
      <c r="C206" t="str">
        <f>'[1]2021 УГРЦТ'!C209</f>
        <v>ПЕРЕДАЧА</v>
      </c>
      <c r="D206" t="str">
        <f>'[1]2021 УГРЦТ'!D209</f>
        <v>Сооружения</v>
      </c>
      <c r="E206" t="str">
        <f>'[1]2021 УГРЦТ'!E209</f>
        <v>19.10.2021</v>
      </c>
      <c r="F206" t="str">
        <f>'[1]2021 УГРЦТ'!F209</f>
        <v>Цех электрических сетей</v>
      </c>
      <c r="G206">
        <f>'[1]2021 УГРЦТ'!AC209</f>
        <v>300</v>
      </c>
      <c r="H206" s="7">
        <f>'[1]2021 УГРЦТ'!X209</f>
        <v>208735.37</v>
      </c>
      <c r="I206" s="7">
        <f>'[1]2021 УГРЦТ'!Y209</f>
        <v>1391.5691333333334</v>
      </c>
      <c r="J206" s="7">
        <f>'[1]2021 УГРЦТ'!Z209</f>
        <v>207343.80086666666</v>
      </c>
      <c r="K206" s="8">
        <v>1</v>
      </c>
      <c r="L206" s="7">
        <v>695.78</v>
      </c>
      <c r="M206" s="7"/>
      <c r="N206" s="7">
        <f t="shared" si="1035"/>
        <v>8349.36</v>
      </c>
      <c r="O206" s="7">
        <f t="shared" si="1161"/>
        <v>206648.02086666666</v>
      </c>
      <c r="P206" s="7">
        <f t="shared" si="1197"/>
        <v>205952.24086666666</v>
      </c>
      <c r="Q206" s="7">
        <f t="shared" si="1197"/>
        <v>205256.46086666666</v>
      </c>
      <c r="R206" s="7">
        <f t="shared" si="1197"/>
        <v>204560.68086666666</v>
      </c>
      <c r="S206" s="7">
        <f t="shared" si="1197"/>
        <v>203864.90086666666</v>
      </c>
      <c r="T206" s="7">
        <f t="shared" si="1197"/>
        <v>203169.12086666666</v>
      </c>
      <c r="U206" s="7">
        <f t="shared" si="1197"/>
        <v>202473.34086666667</v>
      </c>
      <c r="V206" s="7">
        <f t="shared" si="1197"/>
        <v>201777.56086666667</v>
      </c>
      <c r="W206" s="7">
        <f t="shared" si="1197"/>
        <v>201081.78086666667</v>
      </c>
      <c r="X206" s="7">
        <f t="shared" si="1197"/>
        <v>200386.00086666667</v>
      </c>
      <c r="Y206" s="7">
        <f t="shared" si="1197"/>
        <v>199690.22086666667</v>
      </c>
      <c r="Z206" s="7">
        <f t="shared" si="1197"/>
        <v>198994.44086666667</v>
      </c>
      <c r="AA206" s="7">
        <f t="shared" si="1237"/>
        <v>4469.7206590666674</v>
      </c>
      <c r="AB206" s="7"/>
      <c r="AC206" s="7">
        <f t="shared" si="1162"/>
        <v>8349.36</v>
      </c>
      <c r="AD206" s="7">
        <f t="shared" si="1163"/>
        <v>198298.66086666667</v>
      </c>
      <c r="AE206" s="7">
        <f t="shared" si="1198"/>
        <v>197602.88086666667</v>
      </c>
      <c r="AF206" s="7">
        <f t="shared" si="1198"/>
        <v>196907.10086666667</v>
      </c>
      <c r="AG206" s="7">
        <f t="shared" si="1198"/>
        <v>196211.32086666668</v>
      </c>
      <c r="AH206" s="7">
        <f t="shared" si="1198"/>
        <v>195515.54086666668</v>
      </c>
      <c r="AI206" s="7">
        <f t="shared" si="1198"/>
        <v>194819.76086666668</v>
      </c>
      <c r="AJ206" s="7">
        <f t="shared" si="1198"/>
        <v>194123.98086666668</v>
      </c>
      <c r="AK206" s="7">
        <f t="shared" si="1198"/>
        <v>193428.20086666668</v>
      </c>
      <c r="AL206" s="7">
        <f t="shared" si="1198"/>
        <v>192732.42086666668</v>
      </c>
      <c r="AM206" s="7">
        <f t="shared" si="1198"/>
        <v>192036.64086666668</v>
      </c>
      <c r="AN206" s="7">
        <f t="shared" si="1198"/>
        <v>191340.86086666668</v>
      </c>
      <c r="AO206" s="7">
        <f t="shared" si="1198"/>
        <v>190645.08086666669</v>
      </c>
      <c r="AP206" s="222">
        <f t="shared" si="1238"/>
        <v>4286.0347390666666</v>
      </c>
      <c r="AQ206" s="7">
        <v>695.78</v>
      </c>
      <c r="AR206" s="7">
        <f t="shared" si="1164"/>
        <v>695.77999999999884</v>
      </c>
      <c r="AS206" s="7">
        <f t="shared" si="1165"/>
        <v>-1.1368683772161603E-12</v>
      </c>
      <c r="AT206" s="7">
        <f t="shared" si="1239"/>
        <v>8349.36</v>
      </c>
      <c r="AU206" s="7">
        <f t="shared" si="1240"/>
        <v>189949.30086666669</v>
      </c>
      <c r="AV206" s="7">
        <f t="shared" si="1241"/>
        <v>189253.52086666669</v>
      </c>
      <c r="AW206" s="7">
        <f t="shared" si="1241"/>
        <v>188557.74086666669</v>
      </c>
      <c r="AX206" s="7">
        <f t="shared" si="1241"/>
        <v>187861.96086666669</v>
      </c>
      <c r="AY206" s="7">
        <f t="shared" si="1241"/>
        <v>187166.18086666669</v>
      </c>
      <c r="AZ206" s="7">
        <f t="shared" si="1241"/>
        <v>186470.40086666669</v>
      </c>
      <c r="BA206" s="7">
        <f t="shared" si="1241"/>
        <v>185774.62086666669</v>
      </c>
      <c r="BB206" s="7">
        <f t="shared" si="1241"/>
        <v>185078.84086666669</v>
      </c>
      <c r="BC206" s="7">
        <f t="shared" si="1241"/>
        <v>184383.0608666667</v>
      </c>
      <c r="BD206" s="7">
        <f t="shared" si="1241"/>
        <v>183687.2808666667</v>
      </c>
      <c r="BE206" s="7">
        <f t="shared" si="1241"/>
        <v>182991.5008666667</v>
      </c>
      <c r="BF206" s="7">
        <f t="shared" si="1241"/>
        <v>182295.7208666667</v>
      </c>
      <c r="BG206" s="236">
        <f t="shared" si="1158"/>
        <v>4102.3488190666667</v>
      </c>
      <c r="BH206" s="7">
        <v>695.78</v>
      </c>
      <c r="BI206" s="39">
        <f t="shared" si="1242"/>
        <v>8349.36</v>
      </c>
      <c r="BJ206" s="7">
        <f t="shared" si="1243"/>
        <v>181599.9408666667</v>
      </c>
      <c r="BK206" s="7">
        <f t="shared" si="1244"/>
        <v>180904.1608666667</v>
      </c>
      <c r="BL206" s="7">
        <f t="shared" si="1245"/>
        <v>180208.3808666667</v>
      </c>
      <c r="BM206" s="7">
        <f t="shared" si="1246"/>
        <v>179512.6008666667</v>
      </c>
      <c r="BN206" s="7">
        <f t="shared" si="1247"/>
        <v>178816.82086666671</v>
      </c>
      <c r="BO206" s="7">
        <f t="shared" si="1248"/>
        <v>178121.04086666671</v>
      </c>
      <c r="BP206" s="7">
        <f t="shared" si="1249"/>
        <v>177425.26086666671</v>
      </c>
      <c r="BQ206" s="7">
        <f t="shared" si="1250"/>
        <v>176729.48086666671</v>
      </c>
      <c r="BR206" s="7">
        <f t="shared" si="1251"/>
        <v>176033.70086666671</v>
      </c>
      <c r="BS206" s="7">
        <f t="shared" si="1252"/>
        <v>175337.92086666671</v>
      </c>
      <c r="BT206" s="7">
        <f t="shared" si="1253"/>
        <v>174642.14086666671</v>
      </c>
      <c r="BU206" s="7">
        <f t="shared" si="1254"/>
        <v>173946.36086666671</v>
      </c>
      <c r="BV206" s="236">
        <f t="shared" si="1232"/>
        <v>3918.6628990666668</v>
      </c>
      <c r="BW206" s="7">
        <v>695.78</v>
      </c>
      <c r="BX206" s="39">
        <f t="shared" si="1255"/>
        <v>8349.36</v>
      </c>
      <c r="BY206" s="7">
        <f t="shared" si="1256"/>
        <v>173250.58086666671</v>
      </c>
      <c r="BZ206" s="7">
        <f t="shared" si="1257"/>
        <v>172554.80086666672</v>
      </c>
      <c r="CA206" s="7">
        <f t="shared" si="1258"/>
        <v>171859.02086666672</v>
      </c>
      <c r="CB206" s="7">
        <f t="shared" si="1259"/>
        <v>171163.24086666672</v>
      </c>
      <c r="CC206" s="7">
        <f t="shared" si="1260"/>
        <v>170467.46086666672</v>
      </c>
      <c r="CD206" s="7">
        <f t="shared" si="1261"/>
        <v>169771.68086666672</v>
      </c>
      <c r="CE206" s="7">
        <f t="shared" si="1262"/>
        <v>169075.90086666672</v>
      </c>
      <c r="CF206" s="7">
        <f t="shared" si="1263"/>
        <v>168380.12086666672</v>
      </c>
      <c r="CG206" s="7">
        <f t="shared" si="1264"/>
        <v>167684.34086666672</v>
      </c>
      <c r="CH206" s="7">
        <f t="shared" si="1265"/>
        <v>166988.56086666672</v>
      </c>
      <c r="CI206" s="7">
        <f t="shared" si="1266"/>
        <v>166292.78086666673</v>
      </c>
      <c r="CJ206" s="7">
        <f t="shared" si="1267"/>
        <v>165597.00086666673</v>
      </c>
      <c r="CK206" s="236">
        <f t="shared" si="1234"/>
        <v>3734.9769790666678</v>
      </c>
      <c r="CL206" s="7">
        <v>695.78</v>
      </c>
      <c r="CM206" s="39">
        <f t="shared" si="1268"/>
        <v>8349.36</v>
      </c>
      <c r="CN206" s="7">
        <f t="shared" si="1269"/>
        <v>164901.22086666673</v>
      </c>
      <c r="CO206" s="7">
        <f t="shared" si="1270"/>
        <v>164205.44086666673</v>
      </c>
      <c r="CP206" s="7">
        <f t="shared" si="1271"/>
        <v>163509.66086666673</v>
      </c>
      <c r="CQ206" s="7">
        <f t="shared" si="1272"/>
        <v>162813.88086666673</v>
      </c>
      <c r="CR206" s="7">
        <f t="shared" si="1273"/>
        <v>162118.10086666673</v>
      </c>
      <c r="CS206" s="7">
        <f t="shared" si="1274"/>
        <v>161422.32086666673</v>
      </c>
      <c r="CT206" s="7">
        <f t="shared" si="1275"/>
        <v>160726.54086666674</v>
      </c>
      <c r="CU206" s="7">
        <f t="shared" si="1276"/>
        <v>160030.76086666674</v>
      </c>
      <c r="CV206" s="7">
        <f t="shared" si="1277"/>
        <v>159334.98086666674</v>
      </c>
      <c r="CW206" s="7">
        <f t="shared" si="1278"/>
        <v>158639.20086666674</v>
      </c>
      <c r="CX206" s="7">
        <f t="shared" si="1279"/>
        <v>157943.42086666674</v>
      </c>
      <c r="CY206" s="7">
        <f t="shared" si="1280"/>
        <v>157247.64086666674</v>
      </c>
      <c r="CZ206" s="236">
        <f t="shared" si="1236"/>
        <v>3551.2910590666679</v>
      </c>
    </row>
    <row r="207" spans="1:104" x14ac:dyDescent="0.2">
      <c r="A207" s="6" t="str">
        <f>'[1]2021 УГРЦТ'!A210</f>
        <v>Кабельная линия 0,4 кВ (ТУ 200 от 23.10.20)</v>
      </c>
      <c r="B207" t="str">
        <f>'[1]2021 УГРЦТ'!B210</f>
        <v>000001861</v>
      </c>
      <c r="C207" t="str">
        <f>'[1]2021 УГРЦТ'!C210</f>
        <v>ПЕРЕДАЧА</v>
      </c>
      <c r="D207" t="str">
        <f>'[1]2021 УГРЦТ'!D210</f>
        <v>Сооружения</v>
      </c>
      <c r="E207" t="str">
        <f>'[1]2021 УГРЦТ'!E210</f>
        <v>19.10.2021</v>
      </c>
      <c r="F207" t="str">
        <f>'[1]2021 УГРЦТ'!F210</f>
        <v>Цех электрических сетей</v>
      </c>
      <c r="G207">
        <f>'[1]2021 УГРЦТ'!AC210</f>
        <v>300</v>
      </c>
      <c r="H207" s="7">
        <f>'[1]2021 УГРЦТ'!X210</f>
        <v>93334.95</v>
      </c>
      <c r="I207" s="7">
        <f>'[1]2021 УГРЦТ'!Y210</f>
        <v>622.23299999999995</v>
      </c>
      <c r="J207" s="7">
        <f>'[1]2021 УГРЦТ'!Z210</f>
        <v>92712.717000000004</v>
      </c>
      <c r="K207" s="8">
        <v>1</v>
      </c>
      <c r="L207" s="7">
        <v>311.12</v>
      </c>
      <c r="M207" s="7"/>
      <c r="N207" s="7">
        <f t="shared" si="1035"/>
        <v>3733.44</v>
      </c>
      <c r="O207" s="7">
        <f t="shared" si="1161"/>
        <v>92401.597000000009</v>
      </c>
      <c r="P207" s="7">
        <f t="shared" si="1197"/>
        <v>92090.477000000014</v>
      </c>
      <c r="Q207" s="7">
        <f t="shared" si="1197"/>
        <v>91779.357000000018</v>
      </c>
      <c r="R207" s="7">
        <f t="shared" si="1197"/>
        <v>91468.237000000023</v>
      </c>
      <c r="S207" s="7">
        <f t="shared" si="1197"/>
        <v>91157.117000000027</v>
      </c>
      <c r="T207" s="7">
        <f t="shared" si="1197"/>
        <v>90845.997000000032</v>
      </c>
      <c r="U207" s="7">
        <f t="shared" si="1197"/>
        <v>90534.877000000037</v>
      </c>
      <c r="V207" s="7">
        <f t="shared" si="1197"/>
        <v>90223.757000000041</v>
      </c>
      <c r="W207" s="7">
        <f t="shared" si="1197"/>
        <v>89912.637000000046</v>
      </c>
      <c r="X207" s="7">
        <f t="shared" si="1197"/>
        <v>89601.517000000051</v>
      </c>
      <c r="Y207" s="7">
        <f t="shared" si="1197"/>
        <v>89290.397000000055</v>
      </c>
      <c r="Z207" s="7">
        <f t="shared" si="1197"/>
        <v>88979.27700000006</v>
      </c>
      <c r="AA207" s="7">
        <f t="shared" si="1237"/>
        <v>1998.6119340000007</v>
      </c>
      <c r="AB207" s="7"/>
      <c r="AC207" s="7">
        <f t="shared" si="1162"/>
        <v>3733.44</v>
      </c>
      <c r="AD207" s="7">
        <f t="shared" si="1163"/>
        <v>88668.157000000065</v>
      </c>
      <c r="AE207" s="7">
        <f t="shared" si="1198"/>
        <v>88357.037000000069</v>
      </c>
      <c r="AF207" s="7">
        <f t="shared" si="1198"/>
        <v>88045.917000000074</v>
      </c>
      <c r="AG207" s="7">
        <f t="shared" si="1198"/>
        <v>87734.797000000079</v>
      </c>
      <c r="AH207" s="7">
        <f t="shared" si="1198"/>
        <v>87423.677000000083</v>
      </c>
      <c r="AI207" s="7">
        <f t="shared" si="1198"/>
        <v>87112.557000000088</v>
      </c>
      <c r="AJ207" s="7">
        <f t="shared" si="1198"/>
        <v>86801.437000000093</v>
      </c>
      <c r="AK207" s="7">
        <f t="shared" si="1198"/>
        <v>86490.317000000097</v>
      </c>
      <c r="AL207" s="7">
        <f t="shared" si="1198"/>
        <v>86179.197000000102</v>
      </c>
      <c r="AM207" s="7">
        <f t="shared" si="1198"/>
        <v>85868.077000000107</v>
      </c>
      <c r="AN207" s="7">
        <f t="shared" si="1198"/>
        <v>85556.957000000111</v>
      </c>
      <c r="AO207" s="7">
        <f t="shared" si="1198"/>
        <v>85245.837000000116</v>
      </c>
      <c r="AP207" s="222">
        <f t="shared" si="1238"/>
        <v>1916.4762540000017</v>
      </c>
      <c r="AQ207" s="7">
        <v>311.12</v>
      </c>
      <c r="AR207" s="7">
        <f t="shared" si="1164"/>
        <v>311.11999999999534</v>
      </c>
      <c r="AS207" s="7">
        <f t="shared" si="1165"/>
        <v>-4.6611603465862572E-12</v>
      </c>
      <c r="AT207" s="7">
        <f t="shared" si="1239"/>
        <v>3733.44</v>
      </c>
      <c r="AU207" s="7">
        <f t="shared" si="1240"/>
        <v>84934.717000000121</v>
      </c>
      <c r="AV207" s="7">
        <f t="shared" si="1241"/>
        <v>84623.597000000125</v>
      </c>
      <c r="AW207" s="7">
        <f t="shared" si="1241"/>
        <v>84312.47700000013</v>
      </c>
      <c r="AX207" s="7">
        <f t="shared" si="1241"/>
        <v>84001.357000000135</v>
      </c>
      <c r="AY207" s="7">
        <f t="shared" si="1241"/>
        <v>83690.237000000139</v>
      </c>
      <c r="AZ207" s="7">
        <f t="shared" si="1241"/>
        <v>83379.117000000144</v>
      </c>
      <c r="BA207" s="7">
        <f t="shared" si="1241"/>
        <v>83067.997000000149</v>
      </c>
      <c r="BB207" s="7">
        <f t="shared" si="1241"/>
        <v>82756.877000000153</v>
      </c>
      <c r="BC207" s="7">
        <f t="shared" si="1241"/>
        <v>82445.757000000158</v>
      </c>
      <c r="BD207" s="7">
        <f t="shared" si="1241"/>
        <v>82134.637000000163</v>
      </c>
      <c r="BE207" s="7">
        <f t="shared" si="1241"/>
        <v>81823.517000000167</v>
      </c>
      <c r="BF207" s="7">
        <f t="shared" si="1241"/>
        <v>81512.397000000172</v>
      </c>
      <c r="BG207" s="236">
        <f t="shared" si="1158"/>
        <v>1834.340574000003</v>
      </c>
      <c r="BH207" s="7">
        <v>311.12</v>
      </c>
      <c r="BI207" s="39">
        <f t="shared" si="1242"/>
        <v>3733.44</v>
      </c>
      <c r="BJ207" s="7">
        <f t="shared" si="1243"/>
        <v>81201.277000000176</v>
      </c>
      <c r="BK207" s="7">
        <f t="shared" si="1244"/>
        <v>80890.157000000181</v>
      </c>
      <c r="BL207" s="7">
        <f t="shared" si="1245"/>
        <v>80579.037000000186</v>
      </c>
      <c r="BM207" s="7">
        <f t="shared" si="1246"/>
        <v>80267.91700000019</v>
      </c>
      <c r="BN207" s="7">
        <f t="shared" si="1247"/>
        <v>79956.797000000195</v>
      </c>
      <c r="BO207" s="7">
        <f t="shared" si="1248"/>
        <v>79645.6770000002</v>
      </c>
      <c r="BP207" s="7">
        <f t="shared" si="1249"/>
        <v>79334.557000000204</v>
      </c>
      <c r="BQ207" s="7">
        <f t="shared" si="1250"/>
        <v>79023.437000000209</v>
      </c>
      <c r="BR207" s="7">
        <f t="shared" si="1251"/>
        <v>78712.317000000214</v>
      </c>
      <c r="BS207" s="7">
        <f t="shared" si="1252"/>
        <v>78401.197000000218</v>
      </c>
      <c r="BT207" s="7">
        <f t="shared" si="1253"/>
        <v>78090.077000000223</v>
      </c>
      <c r="BU207" s="7">
        <f t="shared" si="1254"/>
        <v>77778.957000000228</v>
      </c>
      <c r="BV207" s="236">
        <f t="shared" si="1232"/>
        <v>1752.2048940000043</v>
      </c>
      <c r="BW207" s="7">
        <v>311.12</v>
      </c>
      <c r="BX207" s="39">
        <f t="shared" si="1255"/>
        <v>3733.44</v>
      </c>
      <c r="BY207" s="7">
        <f t="shared" si="1256"/>
        <v>77467.837000000232</v>
      </c>
      <c r="BZ207" s="7">
        <f t="shared" si="1257"/>
        <v>77156.717000000237</v>
      </c>
      <c r="CA207" s="7">
        <f t="shared" si="1258"/>
        <v>76845.597000000242</v>
      </c>
      <c r="CB207" s="7">
        <f t="shared" si="1259"/>
        <v>76534.477000000246</v>
      </c>
      <c r="CC207" s="7">
        <f t="shared" si="1260"/>
        <v>76223.357000000251</v>
      </c>
      <c r="CD207" s="7">
        <f t="shared" si="1261"/>
        <v>75912.237000000256</v>
      </c>
      <c r="CE207" s="7">
        <f t="shared" si="1262"/>
        <v>75601.11700000026</v>
      </c>
      <c r="CF207" s="7">
        <f t="shared" si="1263"/>
        <v>75289.997000000265</v>
      </c>
      <c r="CG207" s="7">
        <f t="shared" si="1264"/>
        <v>74978.87700000027</v>
      </c>
      <c r="CH207" s="7">
        <f t="shared" si="1265"/>
        <v>74667.757000000274</v>
      </c>
      <c r="CI207" s="7">
        <f t="shared" si="1266"/>
        <v>74356.637000000279</v>
      </c>
      <c r="CJ207" s="7">
        <f t="shared" si="1267"/>
        <v>74045.517000000284</v>
      </c>
      <c r="CK207" s="236">
        <f t="shared" si="1234"/>
        <v>1670.0692140000056</v>
      </c>
      <c r="CL207" s="7">
        <v>311.12</v>
      </c>
      <c r="CM207" s="39">
        <f t="shared" si="1268"/>
        <v>3733.44</v>
      </c>
      <c r="CN207" s="7">
        <f t="shared" si="1269"/>
        <v>73734.397000000288</v>
      </c>
      <c r="CO207" s="7">
        <f t="shared" si="1270"/>
        <v>73423.277000000293</v>
      </c>
      <c r="CP207" s="7">
        <f t="shared" si="1271"/>
        <v>73112.157000000298</v>
      </c>
      <c r="CQ207" s="7">
        <f t="shared" si="1272"/>
        <v>72801.037000000302</v>
      </c>
      <c r="CR207" s="7">
        <f t="shared" si="1273"/>
        <v>72489.917000000307</v>
      </c>
      <c r="CS207" s="7">
        <f t="shared" si="1274"/>
        <v>72178.797000000312</v>
      </c>
      <c r="CT207" s="7">
        <f t="shared" si="1275"/>
        <v>71867.677000000316</v>
      </c>
      <c r="CU207" s="7">
        <f t="shared" si="1276"/>
        <v>71556.557000000321</v>
      </c>
      <c r="CV207" s="7">
        <f t="shared" si="1277"/>
        <v>71245.437000000325</v>
      </c>
      <c r="CW207" s="7">
        <f t="shared" si="1278"/>
        <v>70934.31700000033</v>
      </c>
      <c r="CX207" s="7">
        <f t="shared" si="1279"/>
        <v>70623.197000000335</v>
      </c>
      <c r="CY207" s="7">
        <f t="shared" si="1280"/>
        <v>70312.077000000339</v>
      </c>
      <c r="CZ207" s="236">
        <f t="shared" si="1236"/>
        <v>1587.9335340000068</v>
      </c>
    </row>
    <row r="208" spans="1:104" x14ac:dyDescent="0.2">
      <c r="A208" s="6" t="str">
        <f>'[1]2021 УГРЦТ'!A211</f>
        <v>Кабельная линия 0,4 кВ (ТУ 581 от 25.02.21)</v>
      </c>
      <c r="B208" t="str">
        <f>'[1]2021 УГРЦТ'!B211</f>
        <v>000001877</v>
      </c>
      <c r="C208" t="str">
        <f>'[1]2021 УГРЦТ'!C211</f>
        <v>ПЕРЕДАЧА</v>
      </c>
      <c r="D208" t="str">
        <f>'[1]2021 УГРЦТ'!D211</f>
        <v>Сооружения</v>
      </c>
      <c r="E208" s="4">
        <f>'[1]2021 УГРЦТ'!E211</f>
        <v>44560</v>
      </c>
      <c r="F208" t="str">
        <f>'[1]2021 УГРЦТ'!F211</f>
        <v>Цех электрических сетей</v>
      </c>
      <c r="G208">
        <f>'[1]2021 УГРЦТ'!AC211</f>
        <v>300</v>
      </c>
      <c r="H208" s="7">
        <f>'[1]2021 УГРЦТ'!X211</f>
        <v>160319.39000000001</v>
      </c>
      <c r="I208" s="7" t="e">
        <f>'[1]2021 УГРЦТ'!Y211</f>
        <v>#REF!</v>
      </c>
      <c r="J208" s="7">
        <f>'[1]2021 УГРЦТ'!Z211</f>
        <v>160319.39000000001</v>
      </c>
      <c r="K208" s="8">
        <v>1</v>
      </c>
      <c r="L208" s="7">
        <v>534.39796666666666</v>
      </c>
      <c r="M208" s="7"/>
      <c r="N208" s="7">
        <f t="shared" si="1035"/>
        <v>6412.7755999999999</v>
      </c>
      <c r="O208" s="7">
        <f t="shared" si="1161"/>
        <v>159784.99203333334</v>
      </c>
      <c r="P208" s="7">
        <f t="shared" si="1197"/>
        <v>159250.59406666667</v>
      </c>
      <c r="Q208" s="7">
        <f t="shared" si="1197"/>
        <v>158716.1961</v>
      </c>
      <c r="R208" s="7">
        <f t="shared" si="1197"/>
        <v>158181.79813333333</v>
      </c>
      <c r="S208" s="7">
        <f t="shared" si="1197"/>
        <v>157647.40016666666</v>
      </c>
      <c r="T208" s="7">
        <f t="shared" si="1197"/>
        <v>157113.00219999999</v>
      </c>
      <c r="U208" s="7">
        <f t="shared" si="1197"/>
        <v>156578.60423333332</v>
      </c>
      <c r="V208" s="7">
        <f t="shared" si="1197"/>
        <v>156044.20626666665</v>
      </c>
      <c r="W208" s="7">
        <f t="shared" si="1197"/>
        <v>155509.80829999998</v>
      </c>
      <c r="X208" s="7">
        <f t="shared" si="1197"/>
        <v>154975.4103333333</v>
      </c>
      <c r="Y208" s="7">
        <f t="shared" si="1197"/>
        <v>154441.01236666663</v>
      </c>
      <c r="Z208" s="7">
        <f t="shared" si="1197"/>
        <v>153906.61439999996</v>
      </c>
      <c r="AA208" s="7">
        <f t="shared" si="1237"/>
        <v>3456.4860484000001</v>
      </c>
      <c r="AB208" s="7"/>
      <c r="AC208" s="7">
        <f t="shared" si="1162"/>
        <v>6412.7755999999999</v>
      </c>
      <c r="AD208" s="7">
        <f t="shared" si="1163"/>
        <v>153372.21643333329</v>
      </c>
      <c r="AE208" s="7">
        <f t="shared" si="1198"/>
        <v>152837.81846666662</v>
      </c>
      <c r="AF208" s="7">
        <f t="shared" si="1198"/>
        <v>152303.42049999995</v>
      </c>
      <c r="AG208" s="7">
        <f t="shared" si="1198"/>
        <v>151769.02253333328</v>
      </c>
      <c r="AH208" s="7">
        <f t="shared" si="1198"/>
        <v>151234.62456666661</v>
      </c>
      <c r="AI208" s="7">
        <f t="shared" si="1198"/>
        <v>150700.22659999994</v>
      </c>
      <c r="AJ208" s="7">
        <f t="shared" si="1198"/>
        <v>150165.82863333327</v>
      </c>
      <c r="AK208" s="7">
        <f t="shared" si="1198"/>
        <v>149631.43066666659</v>
      </c>
      <c r="AL208" s="7">
        <f t="shared" si="1198"/>
        <v>149097.03269999992</v>
      </c>
      <c r="AM208" s="7">
        <f t="shared" si="1198"/>
        <v>148562.63473333325</v>
      </c>
      <c r="AN208" s="7">
        <f t="shared" si="1198"/>
        <v>148028.23676666658</v>
      </c>
      <c r="AO208" s="7">
        <f t="shared" si="1198"/>
        <v>147493.83879999991</v>
      </c>
      <c r="AP208" s="222">
        <f t="shared" si="1238"/>
        <v>3315.4049851999989</v>
      </c>
      <c r="AQ208" s="7">
        <v>534.39796666666666</v>
      </c>
      <c r="AR208" s="7">
        <f t="shared" si="1164"/>
        <v>534.39796666667098</v>
      </c>
      <c r="AS208" s="7">
        <f t="shared" si="1165"/>
        <v>4.3200998334214091E-12</v>
      </c>
      <c r="AT208" s="7">
        <f t="shared" si="1239"/>
        <v>6412.7755999999999</v>
      </c>
      <c r="AU208" s="7">
        <f t="shared" si="1240"/>
        <v>146959.44083333324</v>
      </c>
      <c r="AV208" s="7">
        <f t="shared" si="1241"/>
        <v>146425.04286666657</v>
      </c>
      <c r="AW208" s="7">
        <f t="shared" si="1241"/>
        <v>145890.6448999999</v>
      </c>
      <c r="AX208" s="7">
        <f t="shared" si="1241"/>
        <v>145356.24693333323</v>
      </c>
      <c r="AY208" s="7">
        <f t="shared" si="1241"/>
        <v>144821.84896666656</v>
      </c>
      <c r="AZ208" s="7">
        <f t="shared" si="1241"/>
        <v>144287.45099999988</v>
      </c>
      <c r="BA208" s="7">
        <f t="shared" si="1241"/>
        <v>143753.05303333321</v>
      </c>
      <c r="BB208" s="7">
        <f t="shared" si="1241"/>
        <v>143218.65506666654</v>
      </c>
      <c r="BC208" s="7">
        <f t="shared" si="1241"/>
        <v>142684.25709999987</v>
      </c>
      <c r="BD208" s="7">
        <f t="shared" si="1241"/>
        <v>142149.8591333332</v>
      </c>
      <c r="BE208" s="7">
        <f t="shared" si="1241"/>
        <v>141615.46116666653</v>
      </c>
      <c r="BF208" s="7">
        <f t="shared" si="1241"/>
        <v>141081.06319999986</v>
      </c>
      <c r="BG208" s="236">
        <f t="shared" si="1158"/>
        <v>3174.3239219999978</v>
      </c>
      <c r="BH208" s="7">
        <v>534.39796666666666</v>
      </c>
      <c r="BI208" s="39">
        <f t="shared" si="1242"/>
        <v>6412.7755999999999</v>
      </c>
      <c r="BJ208" s="7">
        <f t="shared" si="1243"/>
        <v>140546.66523333319</v>
      </c>
      <c r="BK208" s="7">
        <f t="shared" si="1244"/>
        <v>140012.26726666652</v>
      </c>
      <c r="BL208" s="7">
        <f t="shared" si="1245"/>
        <v>139477.86929999985</v>
      </c>
      <c r="BM208" s="7">
        <f t="shared" si="1246"/>
        <v>138943.47133333317</v>
      </c>
      <c r="BN208" s="7">
        <f t="shared" si="1247"/>
        <v>138409.0733666665</v>
      </c>
      <c r="BO208" s="7">
        <f t="shared" si="1248"/>
        <v>137874.67539999983</v>
      </c>
      <c r="BP208" s="7">
        <f t="shared" si="1249"/>
        <v>137340.27743333316</v>
      </c>
      <c r="BQ208" s="7">
        <f t="shared" si="1250"/>
        <v>136805.87946666649</v>
      </c>
      <c r="BR208" s="7">
        <f t="shared" si="1251"/>
        <v>136271.48149999982</v>
      </c>
      <c r="BS208" s="7">
        <f t="shared" si="1252"/>
        <v>135737.08353333315</v>
      </c>
      <c r="BT208" s="7">
        <f t="shared" si="1253"/>
        <v>135202.68556666648</v>
      </c>
      <c r="BU208" s="7">
        <f t="shared" si="1254"/>
        <v>134668.28759999981</v>
      </c>
      <c r="BV208" s="236">
        <f t="shared" si="1232"/>
        <v>3033.2428587999966</v>
      </c>
      <c r="BW208" s="7">
        <v>534.39796666666666</v>
      </c>
      <c r="BX208" s="39">
        <f t="shared" si="1255"/>
        <v>6412.7755999999999</v>
      </c>
      <c r="BY208" s="7">
        <f t="shared" si="1256"/>
        <v>134133.88963333314</v>
      </c>
      <c r="BZ208" s="7">
        <f t="shared" si="1257"/>
        <v>133599.49166666646</v>
      </c>
      <c r="CA208" s="7">
        <f t="shared" si="1258"/>
        <v>133065.09369999979</v>
      </c>
      <c r="CB208" s="7">
        <f t="shared" si="1259"/>
        <v>132530.69573333312</v>
      </c>
      <c r="CC208" s="7">
        <f t="shared" si="1260"/>
        <v>131996.29776666645</v>
      </c>
      <c r="CD208" s="7">
        <f t="shared" si="1261"/>
        <v>131461.89979999978</v>
      </c>
      <c r="CE208" s="7">
        <f t="shared" si="1262"/>
        <v>130927.50183333311</v>
      </c>
      <c r="CF208" s="7">
        <f t="shared" si="1263"/>
        <v>130393.10386666644</v>
      </c>
      <c r="CG208" s="7">
        <f t="shared" si="1264"/>
        <v>129858.70589999977</v>
      </c>
      <c r="CH208" s="7">
        <f t="shared" si="1265"/>
        <v>129324.3079333331</v>
      </c>
      <c r="CI208" s="7">
        <f t="shared" si="1266"/>
        <v>128789.90996666643</v>
      </c>
      <c r="CJ208" s="7">
        <f t="shared" si="1267"/>
        <v>128255.51199999976</v>
      </c>
      <c r="CK208" s="236">
        <f t="shared" si="1234"/>
        <v>2892.1617955999955</v>
      </c>
      <c r="CL208" s="7">
        <v>534.39796666666666</v>
      </c>
      <c r="CM208" s="39">
        <f t="shared" si="1268"/>
        <v>6412.7755999999999</v>
      </c>
      <c r="CN208" s="7">
        <f t="shared" si="1269"/>
        <v>127721.11403333308</v>
      </c>
      <c r="CO208" s="7">
        <f t="shared" si="1270"/>
        <v>127186.71606666641</v>
      </c>
      <c r="CP208" s="7">
        <f t="shared" si="1271"/>
        <v>126652.31809999974</v>
      </c>
      <c r="CQ208" s="7">
        <f t="shared" si="1272"/>
        <v>126117.92013333307</v>
      </c>
      <c r="CR208" s="7">
        <f t="shared" si="1273"/>
        <v>125583.5221666664</v>
      </c>
      <c r="CS208" s="7">
        <f t="shared" si="1274"/>
        <v>125049.12419999973</v>
      </c>
      <c r="CT208" s="7">
        <f t="shared" si="1275"/>
        <v>124514.72623333306</v>
      </c>
      <c r="CU208" s="7">
        <f t="shared" si="1276"/>
        <v>123980.32826666639</v>
      </c>
      <c r="CV208" s="7">
        <f t="shared" si="1277"/>
        <v>123445.93029999972</v>
      </c>
      <c r="CW208" s="7">
        <f t="shared" si="1278"/>
        <v>122911.53233333305</v>
      </c>
      <c r="CX208" s="7">
        <f t="shared" si="1279"/>
        <v>122377.13436666637</v>
      </c>
      <c r="CY208" s="7">
        <f t="shared" si="1280"/>
        <v>121842.7363999997</v>
      </c>
      <c r="CZ208" s="236">
        <f t="shared" si="1236"/>
        <v>2751.0807323999943</v>
      </c>
    </row>
    <row r="209" spans="1:104" x14ac:dyDescent="0.2">
      <c r="A209" s="6" t="str">
        <f>'[1]2021 УГРЦТ'!A212</f>
        <v>Кабельная линия 0,4 кВ (ТУ 589 от 14.04.21)</v>
      </c>
      <c r="B209" t="str">
        <f>'[1]2021 УГРЦТ'!B212</f>
        <v>000001864</v>
      </c>
      <c r="C209" t="str">
        <f>'[1]2021 УГРЦТ'!C212</f>
        <v>ПЕРЕДАЧА</v>
      </c>
      <c r="D209" t="str">
        <f>'[1]2021 УГРЦТ'!D212</f>
        <v>Сооружения</v>
      </c>
      <c r="E209" t="str">
        <f>'[1]2021 УГРЦТ'!E212</f>
        <v>19.10.2021</v>
      </c>
      <c r="F209" t="str">
        <f>'[1]2021 УГРЦТ'!F212</f>
        <v>Цех электрических сетей</v>
      </c>
      <c r="G209">
        <f>'[1]2021 УГРЦТ'!AC212</f>
        <v>300</v>
      </c>
      <c r="H209" s="7">
        <f>'[1]2021 УГРЦТ'!X212</f>
        <v>2244355.14</v>
      </c>
      <c r="I209" s="7">
        <f>'[1]2021 УГРЦТ'!Y212</f>
        <v>14962.367600000001</v>
      </c>
      <c r="J209" s="7">
        <f>'[1]2021 УГРЦТ'!Z212</f>
        <v>2229392.7724000001</v>
      </c>
      <c r="K209" s="8">
        <v>1</v>
      </c>
      <c r="L209" s="7">
        <v>7481.18</v>
      </c>
      <c r="M209" s="7"/>
      <c r="N209" s="7">
        <f t="shared" si="1035"/>
        <v>89774.16</v>
      </c>
      <c r="O209" s="7">
        <f t="shared" si="1161"/>
        <v>2221911.5924</v>
      </c>
      <c r="P209" s="7">
        <f t="shared" si="1197"/>
        <v>2214430.4123999998</v>
      </c>
      <c r="Q209" s="7">
        <f t="shared" si="1197"/>
        <v>2206949.2323999996</v>
      </c>
      <c r="R209" s="7">
        <f t="shared" si="1197"/>
        <v>2199468.0523999995</v>
      </c>
      <c r="S209" s="7">
        <f t="shared" si="1197"/>
        <v>2191986.8723999993</v>
      </c>
      <c r="T209" s="7">
        <f t="shared" si="1197"/>
        <v>2184505.6923999991</v>
      </c>
      <c r="U209" s="7">
        <f t="shared" si="1197"/>
        <v>2177024.512399999</v>
      </c>
      <c r="V209" s="7">
        <f t="shared" si="1197"/>
        <v>2169543.3323999988</v>
      </c>
      <c r="W209" s="7">
        <f t="shared" si="1197"/>
        <v>2162062.1523999986</v>
      </c>
      <c r="X209" s="7">
        <f t="shared" si="1197"/>
        <v>2154580.9723999985</v>
      </c>
      <c r="Y209" s="7">
        <f t="shared" si="1197"/>
        <v>2147099.7923999983</v>
      </c>
      <c r="Z209" s="7">
        <f t="shared" si="1197"/>
        <v>2139618.6123999981</v>
      </c>
      <c r="AA209" s="7">
        <f t="shared" si="1237"/>
        <v>48059.125232799975</v>
      </c>
      <c r="AB209" s="7"/>
      <c r="AC209" s="7">
        <f t="shared" si="1162"/>
        <v>89774.16</v>
      </c>
      <c r="AD209" s="7">
        <f t="shared" si="1163"/>
        <v>2132137.432399998</v>
      </c>
      <c r="AE209" s="7">
        <f t="shared" si="1198"/>
        <v>2124656.2523999978</v>
      </c>
      <c r="AF209" s="7">
        <f t="shared" si="1198"/>
        <v>2117175.0723999976</v>
      </c>
      <c r="AG209" s="7">
        <f t="shared" si="1198"/>
        <v>2109693.8923999975</v>
      </c>
      <c r="AH209" s="7">
        <f t="shared" si="1198"/>
        <v>2102212.7123999973</v>
      </c>
      <c r="AI209" s="7">
        <f t="shared" si="1198"/>
        <v>2094731.5323999973</v>
      </c>
      <c r="AJ209" s="7">
        <f t="shared" si="1198"/>
        <v>2087250.3523999974</v>
      </c>
      <c r="AK209" s="7">
        <f t="shared" si="1198"/>
        <v>2079769.1723999975</v>
      </c>
      <c r="AL209" s="7">
        <f t="shared" si="1198"/>
        <v>2072287.9923999975</v>
      </c>
      <c r="AM209" s="7">
        <f t="shared" si="1198"/>
        <v>2064806.8123999976</v>
      </c>
      <c r="AN209" s="7">
        <f t="shared" si="1198"/>
        <v>2057325.6323999977</v>
      </c>
      <c r="AO209" s="7">
        <f t="shared" si="1198"/>
        <v>2049844.4523999977</v>
      </c>
      <c r="AP209" s="222">
        <f t="shared" si="1238"/>
        <v>46084.093712799957</v>
      </c>
      <c r="AQ209" s="7">
        <v>7481.18</v>
      </c>
      <c r="AR209" s="7">
        <f t="shared" si="1164"/>
        <v>7481.1799999999348</v>
      </c>
      <c r="AS209" s="7">
        <f t="shared" si="1165"/>
        <v>-6.5483618527650833E-11</v>
      </c>
      <c r="AT209" s="7">
        <f t="shared" si="1239"/>
        <v>89774.16</v>
      </c>
      <c r="AU209" s="7">
        <f t="shared" si="1240"/>
        <v>2042363.2723999978</v>
      </c>
      <c r="AV209" s="7">
        <f t="shared" si="1241"/>
        <v>2034882.0923999979</v>
      </c>
      <c r="AW209" s="7">
        <f t="shared" si="1241"/>
        <v>2027400.9123999979</v>
      </c>
      <c r="AX209" s="7">
        <f t="shared" si="1241"/>
        <v>2019919.732399998</v>
      </c>
      <c r="AY209" s="7">
        <f t="shared" si="1241"/>
        <v>2012438.5523999981</v>
      </c>
      <c r="AZ209" s="7">
        <f t="shared" si="1241"/>
        <v>2004957.3723999981</v>
      </c>
      <c r="BA209" s="7">
        <f t="shared" si="1241"/>
        <v>1997476.1923999982</v>
      </c>
      <c r="BB209" s="7">
        <f t="shared" si="1241"/>
        <v>1989995.0123999983</v>
      </c>
      <c r="BC209" s="7">
        <f t="shared" si="1241"/>
        <v>1982513.8323999983</v>
      </c>
      <c r="BD209" s="7">
        <f t="shared" si="1241"/>
        <v>1975032.6523999984</v>
      </c>
      <c r="BE209" s="7">
        <f t="shared" si="1241"/>
        <v>1967551.4723999985</v>
      </c>
      <c r="BF209" s="7">
        <f t="shared" si="1241"/>
        <v>1960070.2923999985</v>
      </c>
      <c r="BG209" s="236">
        <f t="shared" si="1158"/>
        <v>44109.062192799953</v>
      </c>
      <c r="BH209" s="7">
        <v>7481.18</v>
      </c>
      <c r="BI209" s="39">
        <f t="shared" si="1242"/>
        <v>89774.16</v>
      </c>
      <c r="BJ209" s="7">
        <f t="shared" si="1243"/>
        <v>1952589.1123999986</v>
      </c>
      <c r="BK209" s="7">
        <f t="shared" si="1244"/>
        <v>1945107.9323999987</v>
      </c>
      <c r="BL209" s="7">
        <f t="shared" si="1245"/>
        <v>1937626.7523999987</v>
      </c>
      <c r="BM209" s="7">
        <f t="shared" si="1246"/>
        <v>1930145.5723999988</v>
      </c>
      <c r="BN209" s="7">
        <f t="shared" si="1247"/>
        <v>1922664.3923999988</v>
      </c>
      <c r="BO209" s="7">
        <f t="shared" si="1248"/>
        <v>1915183.2123999989</v>
      </c>
      <c r="BP209" s="7">
        <f t="shared" si="1249"/>
        <v>1907702.032399999</v>
      </c>
      <c r="BQ209" s="7">
        <f t="shared" si="1250"/>
        <v>1900220.852399999</v>
      </c>
      <c r="BR209" s="7">
        <f t="shared" si="1251"/>
        <v>1892739.6723999991</v>
      </c>
      <c r="BS209" s="7">
        <f t="shared" si="1252"/>
        <v>1885258.4923999992</v>
      </c>
      <c r="BT209" s="7">
        <f t="shared" si="1253"/>
        <v>1877777.3123999992</v>
      </c>
      <c r="BU209" s="7">
        <f t="shared" si="1254"/>
        <v>1870296.1323999993</v>
      </c>
      <c r="BV209" s="236">
        <f t="shared" si="1232"/>
        <v>42134.03067279997</v>
      </c>
      <c r="BW209" s="7">
        <v>7481.18</v>
      </c>
      <c r="BX209" s="39">
        <f t="shared" si="1255"/>
        <v>89774.16</v>
      </c>
      <c r="BY209" s="7">
        <f t="shared" si="1256"/>
        <v>1862814.9523999994</v>
      </c>
      <c r="BZ209" s="7">
        <f t="shared" si="1257"/>
        <v>1855333.7723999994</v>
      </c>
      <c r="CA209" s="7">
        <f t="shared" si="1258"/>
        <v>1847852.5923999995</v>
      </c>
      <c r="CB209" s="7">
        <f t="shared" si="1259"/>
        <v>1840371.4123999996</v>
      </c>
      <c r="CC209" s="7">
        <f t="shared" si="1260"/>
        <v>1832890.2323999996</v>
      </c>
      <c r="CD209" s="7">
        <f t="shared" si="1261"/>
        <v>1825409.0523999997</v>
      </c>
      <c r="CE209" s="7">
        <f t="shared" si="1262"/>
        <v>1817927.8723999998</v>
      </c>
      <c r="CF209" s="7">
        <f t="shared" si="1263"/>
        <v>1810446.6923999998</v>
      </c>
      <c r="CG209" s="7">
        <f t="shared" si="1264"/>
        <v>1802965.5123999999</v>
      </c>
      <c r="CH209" s="7">
        <f t="shared" si="1265"/>
        <v>1795484.3324</v>
      </c>
      <c r="CI209" s="7">
        <f t="shared" si="1266"/>
        <v>1788003.1524</v>
      </c>
      <c r="CJ209" s="7">
        <f t="shared" si="1267"/>
        <v>1780521.9724000001</v>
      </c>
      <c r="CK209" s="236">
        <f t="shared" si="1234"/>
        <v>40158.999152799988</v>
      </c>
      <c r="CL209" s="7">
        <v>7481.18</v>
      </c>
      <c r="CM209" s="39">
        <f t="shared" si="1268"/>
        <v>89774.16</v>
      </c>
      <c r="CN209" s="7">
        <f t="shared" si="1269"/>
        <v>1773040.7924000002</v>
      </c>
      <c r="CO209" s="7">
        <f t="shared" si="1270"/>
        <v>1765559.6124000002</v>
      </c>
      <c r="CP209" s="7">
        <f t="shared" si="1271"/>
        <v>1758078.4324000003</v>
      </c>
      <c r="CQ209" s="7">
        <f t="shared" si="1272"/>
        <v>1750597.2524000003</v>
      </c>
      <c r="CR209" s="7">
        <f t="shared" si="1273"/>
        <v>1743116.0724000004</v>
      </c>
      <c r="CS209" s="7">
        <f t="shared" si="1274"/>
        <v>1735634.8924000005</v>
      </c>
      <c r="CT209" s="7">
        <f t="shared" si="1275"/>
        <v>1728153.7124000005</v>
      </c>
      <c r="CU209" s="7">
        <f t="shared" si="1276"/>
        <v>1720672.5324000006</v>
      </c>
      <c r="CV209" s="7">
        <f t="shared" si="1277"/>
        <v>1713191.3524000007</v>
      </c>
      <c r="CW209" s="7">
        <f t="shared" si="1278"/>
        <v>1705710.1724000007</v>
      </c>
      <c r="CX209" s="7">
        <f t="shared" si="1279"/>
        <v>1698228.9924000008</v>
      </c>
      <c r="CY209" s="7">
        <f t="shared" si="1280"/>
        <v>1690747.8124000009</v>
      </c>
      <c r="CZ209" s="236">
        <f t="shared" si="1236"/>
        <v>38183.967632800006</v>
      </c>
    </row>
    <row r="210" spans="1:104" x14ac:dyDescent="0.2">
      <c r="A210" s="6" t="str">
        <f>'[1]2021 УГРЦТ'!A213</f>
        <v>Кабельная линия 0,4 кВ (ТУ №26 от 29.03.21 г.)</v>
      </c>
      <c r="B210" t="str">
        <f>'[1]2021 УГРЦТ'!B213</f>
        <v>000001875</v>
      </c>
      <c r="C210" t="str">
        <f>'[1]2021 УГРЦТ'!C213</f>
        <v>ПЕРЕДАЧА</v>
      </c>
      <c r="D210" t="str">
        <f>'[1]2021 УГРЦТ'!D213</f>
        <v>Сооружения</v>
      </c>
      <c r="E210" s="4">
        <f>'[1]2021 УГРЦТ'!E213</f>
        <v>44553</v>
      </c>
      <c r="F210" t="str">
        <f>'[1]2021 УГРЦТ'!F213</f>
        <v>Цех электрических сетей</v>
      </c>
      <c r="G210">
        <f>'[1]2021 УГРЦТ'!AC213</f>
        <v>300</v>
      </c>
      <c r="H210" s="7">
        <f>'[1]2021 УГРЦТ'!X213</f>
        <v>187693.41</v>
      </c>
      <c r="I210" s="7" t="e">
        <f>'[1]2021 УГРЦТ'!Y213</f>
        <v>#REF!</v>
      </c>
      <c r="J210" s="7">
        <f>'[1]2021 УГРЦТ'!Z213</f>
        <v>187693.41</v>
      </c>
      <c r="K210" s="8">
        <v>1</v>
      </c>
      <c r="L210" s="7">
        <v>625.64470000000006</v>
      </c>
      <c r="M210" s="7"/>
      <c r="N210" s="7">
        <f t="shared" si="1035"/>
        <v>7507.7364000000007</v>
      </c>
      <c r="O210" s="7">
        <f t="shared" si="1161"/>
        <v>187067.7653</v>
      </c>
      <c r="P210" s="7">
        <f t="shared" si="1197"/>
        <v>186442.12059999999</v>
      </c>
      <c r="Q210" s="7">
        <f t="shared" si="1197"/>
        <v>185816.47589999999</v>
      </c>
      <c r="R210" s="7">
        <f t="shared" si="1197"/>
        <v>185190.83119999999</v>
      </c>
      <c r="S210" s="7">
        <f t="shared" si="1197"/>
        <v>184565.18649999998</v>
      </c>
      <c r="T210" s="7">
        <f t="shared" si="1197"/>
        <v>183939.54179999998</v>
      </c>
      <c r="U210" s="7">
        <f t="shared" si="1197"/>
        <v>183313.89709999997</v>
      </c>
      <c r="V210" s="7">
        <f t="shared" si="1197"/>
        <v>182688.25239999997</v>
      </c>
      <c r="W210" s="7">
        <f t="shared" si="1197"/>
        <v>182062.60769999996</v>
      </c>
      <c r="X210" s="7">
        <f t="shared" si="1197"/>
        <v>181436.96299999996</v>
      </c>
      <c r="Y210" s="7">
        <f t="shared" si="1197"/>
        <v>180811.31829999996</v>
      </c>
      <c r="Z210" s="7">
        <f t="shared" si="1197"/>
        <v>180185.67359999995</v>
      </c>
      <c r="AA210" s="7">
        <f t="shared" si="1237"/>
        <v>4046.669919599999</v>
      </c>
      <c r="AB210" s="7"/>
      <c r="AC210" s="7">
        <f t="shared" si="1162"/>
        <v>7507.7364000000007</v>
      </c>
      <c r="AD210" s="7">
        <f t="shared" si="1163"/>
        <v>179560.02889999995</v>
      </c>
      <c r="AE210" s="7">
        <f t="shared" si="1198"/>
        <v>178934.38419999994</v>
      </c>
      <c r="AF210" s="7">
        <f t="shared" si="1198"/>
        <v>178308.73949999994</v>
      </c>
      <c r="AG210" s="7">
        <f t="shared" si="1198"/>
        <v>177683.09479999993</v>
      </c>
      <c r="AH210" s="7">
        <f t="shared" si="1198"/>
        <v>177057.45009999993</v>
      </c>
      <c r="AI210" s="7">
        <f t="shared" si="1198"/>
        <v>176431.80539999992</v>
      </c>
      <c r="AJ210" s="7">
        <f t="shared" si="1198"/>
        <v>175806.16069999992</v>
      </c>
      <c r="AK210" s="7">
        <f t="shared" si="1198"/>
        <v>175180.51599999992</v>
      </c>
      <c r="AL210" s="7">
        <f t="shared" si="1198"/>
        <v>174554.87129999991</v>
      </c>
      <c r="AM210" s="7">
        <f t="shared" si="1198"/>
        <v>173929.22659999991</v>
      </c>
      <c r="AN210" s="7">
        <f t="shared" si="1198"/>
        <v>173303.5818999999</v>
      </c>
      <c r="AO210" s="7">
        <f t="shared" si="1198"/>
        <v>172677.9371999999</v>
      </c>
      <c r="AP210" s="222">
        <f t="shared" si="1238"/>
        <v>3881.4997187999979</v>
      </c>
      <c r="AQ210" s="7">
        <v>625.64470000000006</v>
      </c>
      <c r="AR210" s="7">
        <f t="shared" si="1164"/>
        <v>625.64470000000438</v>
      </c>
      <c r="AS210" s="7">
        <f t="shared" si="1165"/>
        <v>4.3200998334214091E-12</v>
      </c>
      <c r="AT210" s="7">
        <f t="shared" si="1239"/>
        <v>7507.7364000000007</v>
      </c>
      <c r="AU210" s="7">
        <f t="shared" si="1240"/>
        <v>172052.29249999989</v>
      </c>
      <c r="AV210" s="7">
        <f t="shared" si="1241"/>
        <v>171426.64779999989</v>
      </c>
      <c r="AW210" s="7">
        <f t="shared" si="1241"/>
        <v>170801.00309999989</v>
      </c>
      <c r="AX210" s="7">
        <f t="shared" si="1241"/>
        <v>170175.35839999988</v>
      </c>
      <c r="AY210" s="7">
        <f t="shared" si="1241"/>
        <v>169549.71369999988</v>
      </c>
      <c r="AZ210" s="7">
        <f t="shared" si="1241"/>
        <v>168924.06899999987</v>
      </c>
      <c r="BA210" s="7">
        <f t="shared" si="1241"/>
        <v>168298.42429999987</v>
      </c>
      <c r="BB210" s="7">
        <f t="shared" si="1241"/>
        <v>167672.77959999986</v>
      </c>
      <c r="BC210" s="7">
        <f t="shared" si="1241"/>
        <v>167047.13489999986</v>
      </c>
      <c r="BD210" s="7">
        <f t="shared" si="1241"/>
        <v>166421.49019999985</v>
      </c>
      <c r="BE210" s="7">
        <f t="shared" si="1241"/>
        <v>165795.84549999985</v>
      </c>
      <c r="BF210" s="7">
        <f t="shared" si="1241"/>
        <v>165170.20079999985</v>
      </c>
      <c r="BG210" s="236">
        <f t="shared" si="1158"/>
        <v>3716.3295179999968</v>
      </c>
      <c r="BH210" s="7">
        <v>625.64470000000006</v>
      </c>
      <c r="BI210" s="39">
        <f t="shared" si="1242"/>
        <v>7507.7364000000007</v>
      </c>
      <c r="BJ210" s="7">
        <f t="shared" si="1243"/>
        <v>164544.55609999984</v>
      </c>
      <c r="BK210" s="7">
        <f t="shared" si="1244"/>
        <v>163918.91139999984</v>
      </c>
      <c r="BL210" s="7">
        <f t="shared" si="1245"/>
        <v>163293.26669999983</v>
      </c>
      <c r="BM210" s="7">
        <f t="shared" si="1246"/>
        <v>162667.62199999983</v>
      </c>
      <c r="BN210" s="7">
        <f t="shared" si="1247"/>
        <v>162041.97729999982</v>
      </c>
      <c r="BO210" s="7">
        <f t="shared" si="1248"/>
        <v>161416.33259999982</v>
      </c>
      <c r="BP210" s="7">
        <f t="shared" si="1249"/>
        <v>160790.68789999982</v>
      </c>
      <c r="BQ210" s="7">
        <f t="shared" si="1250"/>
        <v>160165.04319999981</v>
      </c>
      <c r="BR210" s="7">
        <f t="shared" si="1251"/>
        <v>159539.39849999981</v>
      </c>
      <c r="BS210" s="7">
        <f t="shared" si="1252"/>
        <v>158913.7537999998</v>
      </c>
      <c r="BT210" s="7">
        <f t="shared" si="1253"/>
        <v>158288.1090999998</v>
      </c>
      <c r="BU210" s="7">
        <f t="shared" si="1254"/>
        <v>157662.46439999979</v>
      </c>
      <c r="BV210" s="236">
        <f t="shared" si="1232"/>
        <v>3551.1593171999957</v>
      </c>
      <c r="BW210" s="7">
        <v>625.64470000000006</v>
      </c>
      <c r="BX210" s="39">
        <f t="shared" si="1255"/>
        <v>7507.7364000000007</v>
      </c>
      <c r="BY210" s="7">
        <f t="shared" si="1256"/>
        <v>157036.81969999979</v>
      </c>
      <c r="BZ210" s="7">
        <f t="shared" si="1257"/>
        <v>156411.17499999978</v>
      </c>
      <c r="CA210" s="7">
        <f t="shared" si="1258"/>
        <v>155785.53029999978</v>
      </c>
      <c r="CB210" s="7">
        <f t="shared" si="1259"/>
        <v>155159.88559999978</v>
      </c>
      <c r="CC210" s="7">
        <f t="shared" si="1260"/>
        <v>154534.24089999977</v>
      </c>
      <c r="CD210" s="7">
        <f t="shared" si="1261"/>
        <v>153908.59619999977</v>
      </c>
      <c r="CE210" s="7">
        <f t="shared" si="1262"/>
        <v>153282.95149999976</v>
      </c>
      <c r="CF210" s="7">
        <f t="shared" si="1263"/>
        <v>152657.30679999976</v>
      </c>
      <c r="CG210" s="7">
        <f t="shared" si="1264"/>
        <v>152031.66209999975</v>
      </c>
      <c r="CH210" s="7">
        <f t="shared" si="1265"/>
        <v>151406.01739999975</v>
      </c>
      <c r="CI210" s="7">
        <f t="shared" si="1266"/>
        <v>150780.37269999975</v>
      </c>
      <c r="CJ210" s="7">
        <f t="shared" si="1267"/>
        <v>150154.72799999974</v>
      </c>
      <c r="CK210" s="236">
        <f t="shared" si="1234"/>
        <v>3385.9891163999946</v>
      </c>
      <c r="CL210" s="7">
        <v>625.64470000000006</v>
      </c>
      <c r="CM210" s="39">
        <f t="shared" si="1268"/>
        <v>7507.7364000000007</v>
      </c>
      <c r="CN210" s="7">
        <f t="shared" si="1269"/>
        <v>149529.08329999974</v>
      </c>
      <c r="CO210" s="7">
        <f t="shared" si="1270"/>
        <v>148903.43859999973</v>
      </c>
      <c r="CP210" s="7">
        <f t="shared" si="1271"/>
        <v>148277.79389999973</v>
      </c>
      <c r="CQ210" s="7">
        <f t="shared" si="1272"/>
        <v>147652.14919999972</v>
      </c>
      <c r="CR210" s="7">
        <f t="shared" si="1273"/>
        <v>147026.50449999972</v>
      </c>
      <c r="CS210" s="7">
        <f t="shared" si="1274"/>
        <v>146400.85979999971</v>
      </c>
      <c r="CT210" s="7">
        <f t="shared" si="1275"/>
        <v>145775.21509999971</v>
      </c>
      <c r="CU210" s="7">
        <f t="shared" si="1276"/>
        <v>145149.57039999971</v>
      </c>
      <c r="CV210" s="7">
        <f t="shared" si="1277"/>
        <v>144523.9256999997</v>
      </c>
      <c r="CW210" s="7">
        <f t="shared" si="1278"/>
        <v>143898.2809999997</v>
      </c>
      <c r="CX210" s="7">
        <f t="shared" si="1279"/>
        <v>143272.63629999969</v>
      </c>
      <c r="CY210" s="7">
        <f t="shared" si="1280"/>
        <v>142646.99159999969</v>
      </c>
      <c r="CZ210" s="236">
        <f t="shared" si="1236"/>
        <v>3220.8189155999935</v>
      </c>
    </row>
    <row r="211" spans="1:104" x14ac:dyDescent="0.2">
      <c r="A211" s="6" t="str">
        <f>'[1]2021 УГРЦТ'!A214</f>
        <v>Кабельная линия 0,4 кВ (ТУ №630 от 02.08.2021г)</v>
      </c>
      <c r="B211" t="str">
        <f>'[1]2021 УГРЦТ'!B214</f>
        <v>000001884</v>
      </c>
      <c r="C211" t="str">
        <f>'[1]2021 УГРЦТ'!C214</f>
        <v>ПЕРЕДАЧА</v>
      </c>
      <c r="D211" t="str">
        <f>'[1]2021 УГРЦТ'!D214</f>
        <v>Сооружения</v>
      </c>
      <c r="E211" s="4">
        <f>'[1]2021 УГРЦТ'!E214</f>
        <v>44560</v>
      </c>
      <c r="F211" t="str">
        <f>'[1]2021 УГРЦТ'!F214</f>
        <v>Цех электрических сетей</v>
      </c>
      <c r="G211">
        <f>'[1]2021 УГРЦТ'!AC214</f>
        <v>300</v>
      </c>
      <c r="H211" s="7">
        <f>'[1]2021 УГРЦТ'!X214</f>
        <v>1310961.83</v>
      </c>
      <c r="I211" s="7" t="e">
        <f>'[1]2021 УГРЦТ'!Y214</f>
        <v>#REF!</v>
      </c>
      <c r="J211" s="7">
        <f>'[1]2021 УГРЦТ'!Z214</f>
        <v>1310961.83</v>
      </c>
      <c r="K211" s="8">
        <v>1</v>
      </c>
      <c r="L211" s="7">
        <v>4369.8727666666673</v>
      </c>
      <c r="M211" s="7"/>
      <c r="N211" s="7">
        <f t="shared" si="1035"/>
        <v>52438.473200000008</v>
      </c>
      <c r="O211" s="7">
        <f t="shared" si="1161"/>
        <v>1306591.9572333335</v>
      </c>
      <c r="P211" s="7">
        <f t="shared" si="1197"/>
        <v>1302222.0844666669</v>
      </c>
      <c r="Q211" s="7">
        <f t="shared" si="1197"/>
        <v>1297852.2117000003</v>
      </c>
      <c r="R211" s="7">
        <f t="shared" si="1197"/>
        <v>1293482.3389333338</v>
      </c>
      <c r="S211" s="7">
        <f t="shared" si="1197"/>
        <v>1289112.4661666672</v>
      </c>
      <c r="T211" s="7">
        <f t="shared" si="1197"/>
        <v>1284742.5934000006</v>
      </c>
      <c r="U211" s="7">
        <f t="shared" si="1197"/>
        <v>1280372.720633334</v>
      </c>
      <c r="V211" s="7">
        <f t="shared" si="1197"/>
        <v>1276002.8478666674</v>
      </c>
      <c r="W211" s="7">
        <f t="shared" si="1197"/>
        <v>1271632.9751000009</v>
      </c>
      <c r="X211" s="7">
        <f t="shared" si="1197"/>
        <v>1267263.1023333343</v>
      </c>
      <c r="Y211" s="7">
        <f t="shared" si="1197"/>
        <v>1262893.2295666677</v>
      </c>
      <c r="Z211" s="7">
        <f t="shared" si="1197"/>
        <v>1258523.3568000011</v>
      </c>
      <c r="AA211" s="7">
        <f t="shared" si="1237"/>
        <v>28264.337054800013</v>
      </c>
      <c r="AB211" s="7"/>
      <c r="AC211" s="7">
        <f t="shared" si="1162"/>
        <v>52438.473200000008</v>
      </c>
      <c r="AD211" s="7">
        <f t="shared" si="1163"/>
        <v>1254153.4840333345</v>
      </c>
      <c r="AE211" s="7">
        <f t="shared" si="1198"/>
        <v>1249783.611266668</v>
      </c>
      <c r="AF211" s="7">
        <f t="shared" si="1198"/>
        <v>1245413.7385000014</v>
      </c>
      <c r="AG211" s="7">
        <f t="shared" si="1198"/>
        <v>1241043.8657333348</v>
      </c>
      <c r="AH211" s="7">
        <f t="shared" si="1198"/>
        <v>1236673.9929666682</v>
      </c>
      <c r="AI211" s="7">
        <f t="shared" si="1198"/>
        <v>1232304.1202000016</v>
      </c>
      <c r="AJ211" s="7">
        <f t="shared" si="1198"/>
        <v>1227934.2474333351</v>
      </c>
      <c r="AK211" s="7">
        <f t="shared" si="1198"/>
        <v>1223564.3746666685</v>
      </c>
      <c r="AL211" s="7">
        <f t="shared" si="1198"/>
        <v>1219194.5019000019</v>
      </c>
      <c r="AM211" s="7">
        <f t="shared" si="1198"/>
        <v>1214824.6291333353</v>
      </c>
      <c r="AN211" s="7">
        <f t="shared" si="1198"/>
        <v>1210454.7563666687</v>
      </c>
      <c r="AO211" s="7">
        <f t="shared" si="1198"/>
        <v>1206084.8836000022</v>
      </c>
      <c r="AP211" s="222">
        <f t="shared" si="1238"/>
        <v>27110.690644400034</v>
      </c>
      <c r="AQ211" s="7">
        <v>4369.8727666666673</v>
      </c>
      <c r="AR211" s="7">
        <f t="shared" si="1164"/>
        <v>4369.87276666658</v>
      </c>
      <c r="AS211" s="7">
        <f t="shared" si="1165"/>
        <v>-8.7311491370201111E-11</v>
      </c>
      <c r="AT211" s="7">
        <f t="shared" si="1239"/>
        <v>52438.473200000008</v>
      </c>
      <c r="AU211" s="7">
        <f t="shared" si="1240"/>
        <v>1201715.0108333356</v>
      </c>
      <c r="AV211" s="7">
        <f t="shared" si="1241"/>
        <v>1197345.138066669</v>
      </c>
      <c r="AW211" s="7">
        <f t="shared" si="1241"/>
        <v>1192975.2653000024</v>
      </c>
      <c r="AX211" s="7">
        <f t="shared" si="1241"/>
        <v>1188605.3925333358</v>
      </c>
      <c r="AY211" s="7">
        <f t="shared" si="1241"/>
        <v>1184235.5197666693</v>
      </c>
      <c r="AZ211" s="7">
        <f t="shared" si="1241"/>
        <v>1179865.6470000027</v>
      </c>
      <c r="BA211" s="7">
        <f t="shared" si="1241"/>
        <v>1175495.7742333361</v>
      </c>
      <c r="BB211" s="7">
        <f t="shared" si="1241"/>
        <v>1171125.9014666695</v>
      </c>
      <c r="BC211" s="7">
        <f t="shared" si="1241"/>
        <v>1166756.0287000029</v>
      </c>
      <c r="BD211" s="7">
        <f t="shared" si="1241"/>
        <v>1162386.1559333364</v>
      </c>
      <c r="BE211" s="7">
        <f t="shared" si="1241"/>
        <v>1158016.2831666698</v>
      </c>
      <c r="BF211" s="7">
        <f t="shared" si="1241"/>
        <v>1153646.4104000032</v>
      </c>
      <c r="BG211" s="236">
        <f t="shared" si="1158"/>
        <v>25957.044234000059</v>
      </c>
      <c r="BH211" s="7">
        <v>4369.8727666666673</v>
      </c>
      <c r="BI211" s="39">
        <f t="shared" si="1242"/>
        <v>52438.473200000008</v>
      </c>
      <c r="BJ211" s="7">
        <f t="shared" si="1243"/>
        <v>1149276.5376333366</v>
      </c>
      <c r="BK211" s="7">
        <f t="shared" si="1244"/>
        <v>1144906.66486667</v>
      </c>
      <c r="BL211" s="7">
        <f t="shared" si="1245"/>
        <v>1140536.7921000035</v>
      </c>
      <c r="BM211" s="7">
        <f t="shared" si="1246"/>
        <v>1136166.9193333369</v>
      </c>
      <c r="BN211" s="7">
        <f t="shared" si="1247"/>
        <v>1131797.0465666703</v>
      </c>
      <c r="BO211" s="7">
        <f t="shared" si="1248"/>
        <v>1127427.1738000037</v>
      </c>
      <c r="BP211" s="7">
        <f t="shared" si="1249"/>
        <v>1123057.3010333371</v>
      </c>
      <c r="BQ211" s="7">
        <f t="shared" si="1250"/>
        <v>1118687.4282666706</v>
      </c>
      <c r="BR211" s="7">
        <f t="shared" si="1251"/>
        <v>1114317.555500004</v>
      </c>
      <c r="BS211" s="7">
        <f t="shared" si="1252"/>
        <v>1109947.6827333374</v>
      </c>
      <c r="BT211" s="7">
        <f t="shared" si="1253"/>
        <v>1105577.8099666708</v>
      </c>
      <c r="BU211" s="7">
        <f t="shared" si="1254"/>
        <v>1101207.9372000042</v>
      </c>
      <c r="BV211" s="236">
        <f t="shared" si="1232"/>
        <v>24803.39782360008</v>
      </c>
      <c r="BW211" s="7">
        <v>4369.8727666666673</v>
      </c>
      <c r="BX211" s="39">
        <f t="shared" si="1255"/>
        <v>52438.473200000008</v>
      </c>
      <c r="BY211" s="7">
        <f t="shared" si="1256"/>
        <v>1096838.0644333377</v>
      </c>
      <c r="BZ211" s="7">
        <f t="shared" si="1257"/>
        <v>1092468.1916666711</v>
      </c>
      <c r="CA211" s="7">
        <f t="shared" si="1258"/>
        <v>1088098.3189000045</v>
      </c>
      <c r="CB211" s="7">
        <f t="shared" si="1259"/>
        <v>1083728.4461333379</v>
      </c>
      <c r="CC211" s="7">
        <f t="shared" si="1260"/>
        <v>1079358.5733666713</v>
      </c>
      <c r="CD211" s="7">
        <f t="shared" si="1261"/>
        <v>1074988.7006000048</v>
      </c>
      <c r="CE211" s="7">
        <f t="shared" si="1262"/>
        <v>1070618.8278333382</v>
      </c>
      <c r="CF211" s="7">
        <f t="shared" si="1263"/>
        <v>1066248.9550666716</v>
      </c>
      <c r="CG211" s="7">
        <f t="shared" si="1264"/>
        <v>1061879.082300005</v>
      </c>
      <c r="CH211" s="7">
        <f t="shared" si="1265"/>
        <v>1057509.2095333384</v>
      </c>
      <c r="CI211" s="7">
        <f t="shared" si="1266"/>
        <v>1053139.3367666719</v>
      </c>
      <c r="CJ211" s="7">
        <f t="shared" si="1267"/>
        <v>1048769.4640000053</v>
      </c>
      <c r="CK211" s="236">
        <f t="shared" si="1234"/>
        <v>23649.751413200102</v>
      </c>
      <c r="CL211" s="7">
        <v>4369.8727666666673</v>
      </c>
      <c r="CM211" s="39">
        <f t="shared" si="1268"/>
        <v>52438.473200000008</v>
      </c>
      <c r="CN211" s="7">
        <f t="shared" si="1269"/>
        <v>1044399.5912333386</v>
      </c>
      <c r="CO211" s="7">
        <f t="shared" si="1270"/>
        <v>1040029.7184666719</v>
      </c>
      <c r="CP211" s="7">
        <f t="shared" si="1271"/>
        <v>1035659.8457000052</v>
      </c>
      <c r="CQ211" s="7">
        <f t="shared" si="1272"/>
        <v>1031289.9729333385</v>
      </c>
      <c r="CR211" s="7">
        <f t="shared" si="1273"/>
        <v>1026920.1001666718</v>
      </c>
      <c r="CS211" s="7">
        <f t="shared" si="1274"/>
        <v>1022550.2274000051</v>
      </c>
      <c r="CT211" s="7">
        <f t="shared" si="1275"/>
        <v>1018180.3546333384</v>
      </c>
      <c r="CU211" s="7">
        <f t="shared" si="1276"/>
        <v>1013810.4818666717</v>
      </c>
      <c r="CV211" s="7">
        <f t="shared" si="1277"/>
        <v>1009440.609100005</v>
      </c>
      <c r="CW211" s="7">
        <f t="shared" si="1278"/>
        <v>1005070.7363333383</v>
      </c>
      <c r="CX211" s="7">
        <f t="shared" si="1279"/>
        <v>1000700.8635666716</v>
      </c>
      <c r="CY211" s="7">
        <f t="shared" si="1280"/>
        <v>996330.99080000492</v>
      </c>
      <c r="CZ211" s="236">
        <f t="shared" si="1236"/>
        <v>22496.105002800112</v>
      </c>
    </row>
    <row r="212" spans="1:104" ht="22.5" x14ac:dyDescent="0.2">
      <c r="A212" s="6" t="str">
        <f>'[1]2021 УГРЦТ'!A215</f>
        <v>Кабельная линия 0,4 кВ от ТП №15 до ЩУ объекта "Ясли-сад №2 в г.Нарьян-Маре"</v>
      </c>
      <c r="B212" t="str">
        <f>'[1]2021 УГРЦТ'!B215</f>
        <v>000001863</v>
      </c>
      <c r="C212" t="str">
        <f>'[1]2021 УГРЦТ'!C215</f>
        <v>ПЕРЕДАЧА</v>
      </c>
      <c r="D212" t="str">
        <f>'[1]2021 УГРЦТ'!D215</f>
        <v>Сооружения</v>
      </c>
      <c r="E212" t="str">
        <f>'[1]2021 УГРЦТ'!E215</f>
        <v>19.10.2021</v>
      </c>
      <c r="F212" t="str">
        <f>'[1]2021 УГРЦТ'!F215</f>
        <v>Цех электрических сетей</v>
      </c>
      <c r="G212">
        <f>'[1]2021 УГРЦТ'!AC215</f>
        <v>300</v>
      </c>
      <c r="H212" s="7">
        <f>'[1]2021 УГРЦТ'!X215</f>
        <v>2646577.9500000002</v>
      </c>
      <c r="I212" s="7">
        <f>'[1]2021 УГРЦТ'!Y215</f>
        <v>17643.853000000003</v>
      </c>
      <c r="J212" s="7">
        <f>'[1]2021 УГРЦТ'!Z215</f>
        <v>2628934.0970000001</v>
      </c>
      <c r="K212" s="8">
        <v>1</v>
      </c>
      <c r="L212" s="7">
        <v>8821.93</v>
      </c>
      <c r="M212" s="7"/>
      <c r="N212" s="7">
        <f t="shared" si="1035"/>
        <v>105863.16</v>
      </c>
      <c r="O212" s="7">
        <f t="shared" si="1161"/>
        <v>2620112.1669999999</v>
      </c>
      <c r="P212" s="7">
        <f t="shared" si="1197"/>
        <v>2611290.2369999997</v>
      </c>
      <c r="Q212" s="7">
        <f t="shared" si="1197"/>
        <v>2602468.3069999996</v>
      </c>
      <c r="R212" s="7">
        <f t="shared" si="1197"/>
        <v>2593646.3769999994</v>
      </c>
      <c r="S212" s="7">
        <f t="shared" si="1197"/>
        <v>2584824.4469999992</v>
      </c>
      <c r="T212" s="7">
        <f t="shared" si="1197"/>
        <v>2576002.5169999991</v>
      </c>
      <c r="U212" s="7">
        <f t="shared" si="1197"/>
        <v>2567180.5869999989</v>
      </c>
      <c r="V212" s="7">
        <f t="shared" si="1197"/>
        <v>2558358.6569999987</v>
      </c>
      <c r="W212" s="7">
        <f t="shared" si="1197"/>
        <v>2549536.7269999986</v>
      </c>
      <c r="X212" s="7">
        <f t="shared" si="1197"/>
        <v>2540714.7969999984</v>
      </c>
      <c r="Y212" s="7">
        <f t="shared" si="1197"/>
        <v>2531892.8669999982</v>
      </c>
      <c r="Z212" s="7">
        <f t="shared" si="1197"/>
        <v>2523070.9369999981</v>
      </c>
      <c r="AA212" s="7">
        <f t="shared" si="1237"/>
        <v>56672.055373999974</v>
      </c>
      <c r="AB212" s="7"/>
      <c r="AC212" s="7">
        <f t="shared" si="1162"/>
        <v>105863.16</v>
      </c>
      <c r="AD212" s="7">
        <f t="shared" si="1163"/>
        <v>2514249.0069999979</v>
      </c>
      <c r="AE212" s="7">
        <f t="shared" si="1198"/>
        <v>2505427.0769999977</v>
      </c>
      <c r="AF212" s="7">
        <f t="shared" si="1198"/>
        <v>2496605.1469999976</v>
      </c>
      <c r="AG212" s="7">
        <f t="shared" si="1198"/>
        <v>2487783.2169999974</v>
      </c>
      <c r="AH212" s="7">
        <f t="shared" si="1198"/>
        <v>2478961.2869999972</v>
      </c>
      <c r="AI212" s="7">
        <f t="shared" si="1198"/>
        <v>2470139.356999997</v>
      </c>
      <c r="AJ212" s="7">
        <f t="shared" si="1198"/>
        <v>2461317.4269999969</v>
      </c>
      <c r="AK212" s="7">
        <f t="shared" si="1198"/>
        <v>2452495.4969999967</v>
      </c>
      <c r="AL212" s="7">
        <f t="shared" si="1198"/>
        <v>2443673.5669999965</v>
      </c>
      <c r="AM212" s="7">
        <f t="shared" si="1198"/>
        <v>2434851.6369999964</v>
      </c>
      <c r="AN212" s="7">
        <f t="shared" si="1198"/>
        <v>2426029.7069999962</v>
      </c>
      <c r="AO212" s="7">
        <f t="shared" si="1198"/>
        <v>2417207.776999996</v>
      </c>
      <c r="AP212" s="222">
        <f t="shared" si="1238"/>
        <v>54343.065853999942</v>
      </c>
      <c r="AQ212" s="7">
        <v>8821.93</v>
      </c>
      <c r="AR212" s="7">
        <f t="shared" si="1164"/>
        <v>8821.9300000001676</v>
      </c>
      <c r="AS212" s="7">
        <f t="shared" si="1165"/>
        <v>1.673470251262188E-10</v>
      </c>
      <c r="AT212" s="7">
        <f t="shared" si="1239"/>
        <v>105863.16</v>
      </c>
      <c r="AU212" s="7">
        <f t="shared" si="1240"/>
        <v>2408385.8469999959</v>
      </c>
      <c r="AV212" s="7">
        <f t="shared" si="1241"/>
        <v>2399563.9169999957</v>
      </c>
      <c r="AW212" s="7">
        <f t="shared" si="1241"/>
        <v>2390741.9869999955</v>
      </c>
      <c r="AX212" s="7">
        <f t="shared" si="1241"/>
        <v>2381920.0569999954</v>
      </c>
      <c r="AY212" s="7">
        <f t="shared" si="1241"/>
        <v>2373098.1269999952</v>
      </c>
      <c r="AZ212" s="7">
        <f t="shared" si="1241"/>
        <v>2364276.196999995</v>
      </c>
      <c r="BA212" s="7">
        <f t="shared" si="1241"/>
        <v>2355454.2669999949</v>
      </c>
      <c r="BB212" s="7">
        <f t="shared" si="1241"/>
        <v>2346632.3369999947</v>
      </c>
      <c r="BC212" s="7">
        <f t="shared" si="1241"/>
        <v>2337810.4069999945</v>
      </c>
      <c r="BD212" s="7">
        <f t="shared" si="1241"/>
        <v>2328988.4769999944</v>
      </c>
      <c r="BE212" s="7">
        <f t="shared" si="1241"/>
        <v>2320166.5469999942</v>
      </c>
      <c r="BF212" s="7">
        <f t="shared" si="1241"/>
        <v>2311344.616999994</v>
      </c>
      <c r="BG212" s="236">
        <f t="shared" si="1158"/>
        <v>52014.076333999888</v>
      </c>
      <c r="BH212" s="7">
        <v>8821.93</v>
      </c>
      <c r="BI212" s="39">
        <f t="shared" si="1242"/>
        <v>105863.16</v>
      </c>
      <c r="BJ212" s="7">
        <f t="shared" si="1243"/>
        <v>2302522.6869999939</v>
      </c>
      <c r="BK212" s="7">
        <f t="shared" si="1244"/>
        <v>2293700.7569999937</v>
      </c>
      <c r="BL212" s="7">
        <f t="shared" si="1245"/>
        <v>2284878.8269999935</v>
      </c>
      <c r="BM212" s="7">
        <f t="shared" si="1246"/>
        <v>2276056.8969999934</v>
      </c>
      <c r="BN212" s="7">
        <f t="shared" si="1247"/>
        <v>2267234.9669999932</v>
      </c>
      <c r="BO212" s="7">
        <f t="shared" si="1248"/>
        <v>2258413.036999993</v>
      </c>
      <c r="BP212" s="7">
        <f t="shared" si="1249"/>
        <v>2249591.1069999929</v>
      </c>
      <c r="BQ212" s="7">
        <f t="shared" si="1250"/>
        <v>2240769.1769999927</v>
      </c>
      <c r="BR212" s="7">
        <f t="shared" si="1251"/>
        <v>2231947.2469999925</v>
      </c>
      <c r="BS212" s="7">
        <f t="shared" si="1252"/>
        <v>2223125.3169999924</v>
      </c>
      <c r="BT212" s="7">
        <f t="shared" si="1253"/>
        <v>2214303.3869999922</v>
      </c>
      <c r="BU212" s="7">
        <f t="shared" si="1254"/>
        <v>2205481.456999992</v>
      </c>
      <c r="BV212" s="236">
        <f t="shared" si="1232"/>
        <v>49685.086813999857</v>
      </c>
      <c r="BW212" s="7">
        <v>8821.93</v>
      </c>
      <c r="BX212" s="39">
        <f t="shared" si="1255"/>
        <v>105863.16</v>
      </c>
      <c r="BY212" s="7">
        <f t="shared" si="1256"/>
        <v>2196659.5269999919</v>
      </c>
      <c r="BZ212" s="7">
        <f t="shared" si="1257"/>
        <v>2187837.5969999917</v>
      </c>
      <c r="CA212" s="7">
        <f t="shared" si="1258"/>
        <v>2179015.6669999915</v>
      </c>
      <c r="CB212" s="7">
        <f t="shared" si="1259"/>
        <v>2170193.7369999913</v>
      </c>
      <c r="CC212" s="7">
        <f t="shared" si="1260"/>
        <v>2161371.8069999912</v>
      </c>
      <c r="CD212" s="7">
        <f t="shared" si="1261"/>
        <v>2152549.876999991</v>
      </c>
      <c r="CE212" s="7">
        <f t="shared" si="1262"/>
        <v>2143727.9469999908</v>
      </c>
      <c r="CF212" s="7">
        <f t="shared" si="1263"/>
        <v>2134906.0169999907</v>
      </c>
      <c r="CG212" s="7">
        <f t="shared" si="1264"/>
        <v>2126084.0869999905</v>
      </c>
      <c r="CH212" s="7">
        <f t="shared" si="1265"/>
        <v>2117262.1569999903</v>
      </c>
      <c r="CI212" s="7">
        <f t="shared" si="1266"/>
        <v>2108440.2269999902</v>
      </c>
      <c r="CJ212" s="7">
        <f t="shared" si="1267"/>
        <v>2099618.29699999</v>
      </c>
      <c r="CK212" s="236">
        <f t="shared" si="1234"/>
        <v>47356.097293999803</v>
      </c>
      <c r="CL212" s="7">
        <v>8821.93</v>
      </c>
      <c r="CM212" s="39">
        <f t="shared" si="1268"/>
        <v>105863.16</v>
      </c>
      <c r="CN212" s="7">
        <f t="shared" si="1269"/>
        <v>2090796.3669999901</v>
      </c>
      <c r="CO212" s="7">
        <f t="shared" si="1270"/>
        <v>2081974.4369999901</v>
      </c>
      <c r="CP212" s="7">
        <f t="shared" si="1271"/>
        <v>2073152.5069999902</v>
      </c>
      <c r="CQ212" s="7">
        <f t="shared" si="1272"/>
        <v>2064330.5769999903</v>
      </c>
      <c r="CR212" s="7">
        <f t="shared" si="1273"/>
        <v>2055508.6469999903</v>
      </c>
      <c r="CS212" s="7">
        <f t="shared" si="1274"/>
        <v>2046686.7169999904</v>
      </c>
      <c r="CT212" s="7">
        <f t="shared" si="1275"/>
        <v>2037864.7869999905</v>
      </c>
      <c r="CU212" s="7">
        <f t="shared" si="1276"/>
        <v>2029042.8569999905</v>
      </c>
      <c r="CV212" s="7">
        <f t="shared" si="1277"/>
        <v>2020220.9269999906</v>
      </c>
      <c r="CW212" s="7">
        <f t="shared" si="1278"/>
        <v>2011398.9969999907</v>
      </c>
      <c r="CX212" s="7">
        <f t="shared" si="1279"/>
        <v>2002577.0669999907</v>
      </c>
      <c r="CY212" s="7">
        <f t="shared" si="1280"/>
        <v>1993755.1369999908</v>
      </c>
      <c r="CZ212" s="236">
        <f t="shared" si="1236"/>
        <v>45027.107773999785</v>
      </c>
    </row>
    <row r="213" spans="1:104" x14ac:dyDescent="0.2">
      <c r="A213" s="6" t="str">
        <f>'[1]2021 УГРЦТ'!A216</f>
        <v>Кабельная линия в районе школы №2 (ТП - возд.ЛЭП)</v>
      </c>
      <c r="B213" t="str">
        <f>'[1]2021 УГРЦТ'!B216</f>
        <v>00001158</v>
      </c>
      <c r="C213" t="str">
        <f>'[1]2021 УГРЦТ'!C216</f>
        <v>ПЕРЕДАЧА</v>
      </c>
      <c r="D213" t="str">
        <f>'[1]2021 УГРЦТ'!D216</f>
        <v>Сооружения</v>
      </c>
      <c r="E213" t="str">
        <f>'[1]2021 УГРЦТ'!E216</f>
        <v>31.12.2009</v>
      </c>
      <c r="F213" t="str">
        <f>'[1]2021 УГРЦТ'!F216</f>
        <v>Цех электрических сетей</v>
      </c>
      <c r="G213">
        <f>'[1]2021 УГРЦТ'!AC216</f>
        <v>300</v>
      </c>
      <c r="H213" s="7">
        <f>'[1]2021 УГРЦТ'!X216</f>
        <v>367664.48</v>
      </c>
      <c r="I213" s="7">
        <f>'[1]2021 УГРЦТ'!Y216</f>
        <v>176479.17920000001</v>
      </c>
      <c r="J213" s="7">
        <f>'[1]2021 УГРЦТ'!Z216</f>
        <v>191185.30079999997</v>
      </c>
      <c r="K213" s="8">
        <v>1</v>
      </c>
      <c r="L213" s="7">
        <v>1225.5499999999997</v>
      </c>
      <c r="M213" s="7"/>
      <c r="N213" s="7">
        <f t="shared" si="1035"/>
        <v>14706.599999999997</v>
      </c>
      <c r="O213" s="7">
        <f t="shared" si="1161"/>
        <v>189959.75079999998</v>
      </c>
      <c r="P213" s="7">
        <f t="shared" si="1197"/>
        <v>188734.20079999999</v>
      </c>
      <c r="Q213" s="7">
        <f t="shared" si="1197"/>
        <v>187508.6508</v>
      </c>
      <c r="R213" s="7">
        <f t="shared" si="1197"/>
        <v>186283.10080000001</v>
      </c>
      <c r="S213" s="7">
        <f t="shared" si="1197"/>
        <v>185057.55080000003</v>
      </c>
      <c r="T213" s="7">
        <f t="shared" si="1197"/>
        <v>183832.00080000004</v>
      </c>
      <c r="U213" s="7">
        <f t="shared" si="1197"/>
        <v>182606.45080000005</v>
      </c>
      <c r="V213" s="7">
        <f t="shared" si="1197"/>
        <v>181380.90080000006</v>
      </c>
      <c r="W213" s="7">
        <f t="shared" si="1197"/>
        <v>180155.35080000007</v>
      </c>
      <c r="X213" s="7">
        <f t="shared" si="1197"/>
        <v>178929.80080000008</v>
      </c>
      <c r="Y213" s="7">
        <f t="shared" si="1197"/>
        <v>177704.2508000001</v>
      </c>
      <c r="Z213" s="7">
        <f t="shared" si="1197"/>
        <v>176478.70080000011</v>
      </c>
      <c r="AA213" s="7">
        <f t="shared" si="1237"/>
        <v>4044.3040176</v>
      </c>
      <c r="AB213" s="7"/>
      <c r="AC213" s="7">
        <f t="shared" si="1162"/>
        <v>14706.599999999997</v>
      </c>
      <c r="AD213" s="7">
        <f t="shared" si="1163"/>
        <v>175253.15080000012</v>
      </c>
      <c r="AE213" s="7">
        <f t="shared" si="1198"/>
        <v>174027.60080000013</v>
      </c>
      <c r="AF213" s="7">
        <f t="shared" si="1198"/>
        <v>172802.05080000014</v>
      </c>
      <c r="AG213" s="7">
        <f t="shared" si="1198"/>
        <v>171576.50080000015</v>
      </c>
      <c r="AH213" s="7">
        <f t="shared" si="1198"/>
        <v>170350.95080000017</v>
      </c>
      <c r="AI213" s="7">
        <f t="shared" si="1198"/>
        <v>169125.40080000018</v>
      </c>
      <c r="AJ213" s="7">
        <f t="shared" si="1198"/>
        <v>167899.85080000019</v>
      </c>
      <c r="AK213" s="7">
        <f t="shared" si="1198"/>
        <v>166674.3008000002</v>
      </c>
      <c r="AL213" s="7">
        <f t="shared" si="1198"/>
        <v>165448.75080000021</v>
      </c>
      <c r="AM213" s="7">
        <f t="shared" si="1198"/>
        <v>164223.20080000022</v>
      </c>
      <c r="AN213" s="7">
        <f t="shared" si="1198"/>
        <v>162997.65080000024</v>
      </c>
      <c r="AO213" s="7">
        <f t="shared" si="1198"/>
        <v>161772.10080000025</v>
      </c>
      <c r="AP213" s="222">
        <f t="shared" si="1238"/>
        <v>3720.7588176000031</v>
      </c>
      <c r="AQ213" s="7">
        <v>1225.5499999999997</v>
      </c>
      <c r="AR213" s="7">
        <f t="shared" si="1164"/>
        <v>1225.5499999999884</v>
      </c>
      <c r="AS213" s="7">
        <f t="shared" si="1165"/>
        <v>-1.1368683772161603E-11</v>
      </c>
      <c r="AT213" s="7">
        <f t="shared" si="1239"/>
        <v>14706.599999999997</v>
      </c>
      <c r="AU213" s="7">
        <f t="shared" si="1240"/>
        <v>160546.55080000026</v>
      </c>
      <c r="AV213" s="7">
        <f t="shared" si="1241"/>
        <v>159321.00080000027</v>
      </c>
      <c r="AW213" s="7">
        <f t="shared" si="1241"/>
        <v>158095.45080000028</v>
      </c>
      <c r="AX213" s="7">
        <f t="shared" si="1241"/>
        <v>156869.90080000029</v>
      </c>
      <c r="AY213" s="7">
        <f t="shared" si="1241"/>
        <v>155644.35080000031</v>
      </c>
      <c r="AZ213" s="7">
        <f t="shared" si="1241"/>
        <v>154418.80080000032</v>
      </c>
      <c r="BA213" s="7">
        <f t="shared" si="1241"/>
        <v>153193.25080000033</v>
      </c>
      <c r="BB213" s="7">
        <f t="shared" si="1241"/>
        <v>151967.70080000034</v>
      </c>
      <c r="BC213" s="7">
        <f t="shared" si="1241"/>
        <v>150742.15080000035</v>
      </c>
      <c r="BD213" s="7">
        <f t="shared" si="1241"/>
        <v>149516.60080000036</v>
      </c>
      <c r="BE213" s="7">
        <f t="shared" si="1241"/>
        <v>148291.05080000038</v>
      </c>
      <c r="BF213" s="7">
        <f t="shared" si="1241"/>
        <v>147065.50080000039</v>
      </c>
      <c r="BG213" s="236">
        <f t="shared" si="1158"/>
        <v>3397.2136176000063</v>
      </c>
      <c r="BH213" s="7">
        <v>1225.5499999999997</v>
      </c>
      <c r="BI213" s="39">
        <f t="shared" si="1242"/>
        <v>14706.599999999997</v>
      </c>
      <c r="BJ213" s="7">
        <f t="shared" si="1243"/>
        <v>145839.9508000004</v>
      </c>
      <c r="BK213" s="7">
        <f t="shared" si="1244"/>
        <v>144614.40080000041</v>
      </c>
      <c r="BL213" s="7">
        <f t="shared" si="1245"/>
        <v>143388.85080000042</v>
      </c>
      <c r="BM213" s="7">
        <f t="shared" si="1246"/>
        <v>142163.30080000043</v>
      </c>
      <c r="BN213" s="7">
        <f t="shared" si="1247"/>
        <v>140937.75080000045</v>
      </c>
      <c r="BO213" s="7">
        <f t="shared" si="1248"/>
        <v>139712.20080000046</v>
      </c>
      <c r="BP213" s="7">
        <f t="shared" si="1249"/>
        <v>138486.65080000047</v>
      </c>
      <c r="BQ213" s="7">
        <f t="shared" si="1250"/>
        <v>137261.10080000048</v>
      </c>
      <c r="BR213" s="7">
        <f t="shared" si="1251"/>
        <v>136035.55080000049</v>
      </c>
      <c r="BS213" s="7">
        <f t="shared" si="1252"/>
        <v>134810.0008000005</v>
      </c>
      <c r="BT213" s="7">
        <f t="shared" si="1253"/>
        <v>133584.45080000052</v>
      </c>
      <c r="BU213" s="7">
        <f t="shared" si="1254"/>
        <v>132358.90080000053</v>
      </c>
      <c r="BV213" s="236">
        <f t="shared" si="1232"/>
        <v>3073.6684176000094</v>
      </c>
      <c r="BW213" s="7">
        <v>1225.5499999999997</v>
      </c>
      <c r="BX213" s="39">
        <f t="shared" si="1255"/>
        <v>14706.599999999997</v>
      </c>
      <c r="BY213" s="7">
        <f t="shared" si="1256"/>
        <v>131133.35080000054</v>
      </c>
      <c r="BZ213" s="7">
        <f t="shared" si="1257"/>
        <v>129907.80080000054</v>
      </c>
      <c r="CA213" s="7">
        <f t="shared" si="1258"/>
        <v>128682.25080000053</v>
      </c>
      <c r="CB213" s="7">
        <f t="shared" si="1259"/>
        <v>127456.70080000053</v>
      </c>
      <c r="CC213" s="7">
        <f t="shared" si="1260"/>
        <v>126231.15080000053</v>
      </c>
      <c r="CD213" s="7">
        <f t="shared" si="1261"/>
        <v>125005.60080000052</v>
      </c>
      <c r="CE213" s="7">
        <f t="shared" si="1262"/>
        <v>123780.05080000052</v>
      </c>
      <c r="CF213" s="7">
        <f t="shared" si="1263"/>
        <v>122554.50080000052</v>
      </c>
      <c r="CG213" s="7">
        <f t="shared" si="1264"/>
        <v>121328.95080000052</v>
      </c>
      <c r="CH213" s="7">
        <f t="shared" si="1265"/>
        <v>120103.40080000051</v>
      </c>
      <c r="CI213" s="7">
        <f t="shared" si="1266"/>
        <v>118877.85080000051</v>
      </c>
      <c r="CJ213" s="7">
        <f t="shared" si="1267"/>
        <v>117652.30080000051</v>
      </c>
      <c r="CK213" s="236">
        <f t="shared" si="1234"/>
        <v>2750.1232176000112</v>
      </c>
      <c r="CL213" s="7">
        <v>1225.5499999999997</v>
      </c>
      <c r="CM213" s="39">
        <f t="shared" si="1268"/>
        <v>14706.599999999997</v>
      </c>
      <c r="CN213" s="7">
        <f t="shared" si="1269"/>
        <v>116426.7508000005</v>
      </c>
      <c r="CO213" s="7">
        <f t="shared" si="1270"/>
        <v>115201.2008000005</v>
      </c>
      <c r="CP213" s="7">
        <f t="shared" si="1271"/>
        <v>113975.6508000005</v>
      </c>
      <c r="CQ213" s="7">
        <f t="shared" si="1272"/>
        <v>112750.10080000049</v>
      </c>
      <c r="CR213" s="7">
        <f t="shared" si="1273"/>
        <v>111524.55080000049</v>
      </c>
      <c r="CS213" s="7">
        <f t="shared" si="1274"/>
        <v>110299.00080000049</v>
      </c>
      <c r="CT213" s="7">
        <f t="shared" si="1275"/>
        <v>109073.45080000049</v>
      </c>
      <c r="CU213" s="7">
        <f t="shared" si="1276"/>
        <v>107847.90080000048</v>
      </c>
      <c r="CV213" s="7">
        <f t="shared" si="1277"/>
        <v>106622.35080000048</v>
      </c>
      <c r="CW213" s="7">
        <f t="shared" si="1278"/>
        <v>105396.80080000048</v>
      </c>
      <c r="CX213" s="7">
        <f t="shared" si="1279"/>
        <v>104171.25080000047</v>
      </c>
      <c r="CY213" s="7">
        <f t="shared" si="1280"/>
        <v>102945.70080000047</v>
      </c>
      <c r="CZ213" s="236">
        <f t="shared" si="1236"/>
        <v>2426.5780176000108</v>
      </c>
    </row>
    <row r="214" spans="1:104" x14ac:dyDescent="0.2">
      <c r="A214" s="6" t="str">
        <f>'[1]2021 УГРЦТ'!A217</f>
        <v>Кабельная линия в районе школы №2 (ТП - школа)</v>
      </c>
      <c r="B214" t="str">
        <f>'[1]2021 УГРЦТ'!B217</f>
        <v>00001156</v>
      </c>
      <c r="C214" t="str">
        <f>'[1]2021 УГРЦТ'!C217</f>
        <v>ПЕРЕДАЧА</v>
      </c>
      <c r="D214" t="str">
        <f>'[1]2021 УГРЦТ'!D217</f>
        <v>Сооружения</v>
      </c>
      <c r="E214" t="str">
        <f>'[1]2021 УГРЦТ'!E217</f>
        <v>31.12.2009</v>
      </c>
      <c r="F214" t="str">
        <f>'[1]2021 УГРЦТ'!F217</f>
        <v>Цех электрических сетей</v>
      </c>
      <c r="G214">
        <f>'[1]2021 УГРЦТ'!AC217</f>
        <v>300</v>
      </c>
      <c r="H214" s="7">
        <f>'[1]2021 УГРЦТ'!X217</f>
        <v>367664.48</v>
      </c>
      <c r="I214" s="7">
        <f>'[1]2021 УГРЦТ'!Y217</f>
        <v>176479.17920000001</v>
      </c>
      <c r="J214" s="7">
        <f>'[1]2021 УГРЦТ'!Z217</f>
        <v>191185.30079999997</v>
      </c>
      <c r="K214" s="8">
        <v>1</v>
      </c>
      <c r="L214" s="7">
        <v>1225.5499999999997</v>
      </c>
      <c r="M214" s="7"/>
      <c r="N214" s="7">
        <f t="shared" si="1035"/>
        <v>14706.599999999997</v>
      </c>
      <c r="O214" s="7">
        <f t="shared" si="1161"/>
        <v>189959.75079999998</v>
      </c>
      <c r="P214" s="7">
        <f t="shared" si="1197"/>
        <v>188734.20079999999</v>
      </c>
      <c r="Q214" s="7">
        <f t="shared" si="1197"/>
        <v>187508.6508</v>
      </c>
      <c r="R214" s="7">
        <f t="shared" si="1197"/>
        <v>186283.10080000001</v>
      </c>
      <c r="S214" s="7">
        <f t="shared" si="1197"/>
        <v>185057.55080000003</v>
      </c>
      <c r="T214" s="7">
        <f t="shared" si="1197"/>
        <v>183832.00080000004</v>
      </c>
      <c r="U214" s="7">
        <f t="shared" si="1197"/>
        <v>182606.45080000005</v>
      </c>
      <c r="V214" s="7">
        <f t="shared" si="1197"/>
        <v>181380.90080000006</v>
      </c>
      <c r="W214" s="7">
        <f t="shared" si="1197"/>
        <v>180155.35080000007</v>
      </c>
      <c r="X214" s="7">
        <f t="shared" si="1197"/>
        <v>178929.80080000008</v>
      </c>
      <c r="Y214" s="7">
        <f t="shared" si="1197"/>
        <v>177704.2508000001</v>
      </c>
      <c r="Z214" s="7">
        <f t="shared" si="1197"/>
        <v>176478.70080000011</v>
      </c>
      <c r="AA214" s="7">
        <f t="shared" si="1237"/>
        <v>4044.3040176</v>
      </c>
      <c r="AB214" s="7"/>
      <c r="AC214" s="7">
        <f t="shared" si="1162"/>
        <v>14706.599999999997</v>
      </c>
      <c r="AD214" s="7">
        <f t="shared" si="1163"/>
        <v>175253.15080000012</v>
      </c>
      <c r="AE214" s="7">
        <f t="shared" si="1198"/>
        <v>174027.60080000013</v>
      </c>
      <c r="AF214" s="7">
        <f t="shared" si="1198"/>
        <v>172802.05080000014</v>
      </c>
      <c r="AG214" s="7">
        <f t="shared" si="1198"/>
        <v>171576.50080000015</v>
      </c>
      <c r="AH214" s="7">
        <f t="shared" si="1198"/>
        <v>170350.95080000017</v>
      </c>
      <c r="AI214" s="7">
        <f t="shared" si="1198"/>
        <v>169125.40080000018</v>
      </c>
      <c r="AJ214" s="7">
        <f t="shared" si="1198"/>
        <v>167899.85080000019</v>
      </c>
      <c r="AK214" s="7">
        <f t="shared" si="1198"/>
        <v>166674.3008000002</v>
      </c>
      <c r="AL214" s="7">
        <f t="shared" si="1198"/>
        <v>165448.75080000021</v>
      </c>
      <c r="AM214" s="7">
        <f t="shared" si="1198"/>
        <v>164223.20080000022</v>
      </c>
      <c r="AN214" s="7">
        <f t="shared" si="1198"/>
        <v>162997.65080000024</v>
      </c>
      <c r="AO214" s="7">
        <f t="shared" si="1198"/>
        <v>161772.10080000025</v>
      </c>
      <c r="AP214" s="222">
        <f t="shared" si="1238"/>
        <v>3720.7588176000031</v>
      </c>
      <c r="AQ214" s="7">
        <v>1225.5499999999997</v>
      </c>
      <c r="AR214" s="7">
        <f t="shared" si="1164"/>
        <v>1225.5499999999884</v>
      </c>
      <c r="AS214" s="7">
        <f t="shared" si="1165"/>
        <v>-1.1368683772161603E-11</v>
      </c>
      <c r="AT214" s="7">
        <f t="shared" si="1239"/>
        <v>14706.599999999997</v>
      </c>
      <c r="AU214" s="7">
        <f t="shared" si="1240"/>
        <v>160546.55080000026</v>
      </c>
      <c r="AV214" s="7">
        <f t="shared" si="1241"/>
        <v>159321.00080000027</v>
      </c>
      <c r="AW214" s="7">
        <f t="shared" si="1241"/>
        <v>158095.45080000028</v>
      </c>
      <c r="AX214" s="7">
        <f t="shared" si="1241"/>
        <v>156869.90080000029</v>
      </c>
      <c r="AY214" s="7">
        <f t="shared" si="1241"/>
        <v>155644.35080000031</v>
      </c>
      <c r="AZ214" s="7">
        <f t="shared" si="1241"/>
        <v>154418.80080000032</v>
      </c>
      <c r="BA214" s="7">
        <f t="shared" si="1241"/>
        <v>153193.25080000033</v>
      </c>
      <c r="BB214" s="7">
        <f t="shared" si="1241"/>
        <v>151967.70080000034</v>
      </c>
      <c r="BC214" s="7">
        <f t="shared" si="1241"/>
        <v>150742.15080000035</v>
      </c>
      <c r="BD214" s="7">
        <f t="shared" si="1241"/>
        <v>149516.60080000036</v>
      </c>
      <c r="BE214" s="7">
        <f t="shared" si="1241"/>
        <v>148291.05080000038</v>
      </c>
      <c r="BF214" s="7">
        <f t="shared" si="1241"/>
        <v>147065.50080000039</v>
      </c>
      <c r="BG214" s="236">
        <f t="shared" si="1158"/>
        <v>3397.2136176000063</v>
      </c>
      <c r="BH214" s="7">
        <v>1225.5499999999997</v>
      </c>
      <c r="BI214" s="39">
        <f t="shared" si="1242"/>
        <v>14706.599999999997</v>
      </c>
      <c r="BJ214" s="7">
        <f t="shared" si="1243"/>
        <v>145839.9508000004</v>
      </c>
      <c r="BK214" s="7">
        <f t="shared" si="1244"/>
        <v>144614.40080000041</v>
      </c>
      <c r="BL214" s="7">
        <f t="shared" si="1245"/>
        <v>143388.85080000042</v>
      </c>
      <c r="BM214" s="7">
        <f t="shared" si="1246"/>
        <v>142163.30080000043</v>
      </c>
      <c r="BN214" s="7">
        <f t="shared" si="1247"/>
        <v>140937.75080000045</v>
      </c>
      <c r="BO214" s="7">
        <f t="shared" si="1248"/>
        <v>139712.20080000046</v>
      </c>
      <c r="BP214" s="7">
        <f t="shared" si="1249"/>
        <v>138486.65080000047</v>
      </c>
      <c r="BQ214" s="7">
        <f t="shared" si="1250"/>
        <v>137261.10080000048</v>
      </c>
      <c r="BR214" s="7">
        <f t="shared" si="1251"/>
        <v>136035.55080000049</v>
      </c>
      <c r="BS214" s="7">
        <f t="shared" si="1252"/>
        <v>134810.0008000005</v>
      </c>
      <c r="BT214" s="7">
        <f t="shared" si="1253"/>
        <v>133584.45080000052</v>
      </c>
      <c r="BU214" s="7">
        <f t="shared" si="1254"/>
        <v>132358.90080000053</v>
      </c>
      <c r="BV214" s="236">
        <f t="shared" si="1232"/>
        <v>3073.6684176000094</v>
      </c>
      <c r="BW214" s="7">
        <v>1225.5499999999997</v>
      </c>
      <c r="BX214" s="39">
        <f t="shared" si="1255"/>
        <v>14706.599999999997</v>
      </c>
      <c r="BY214" s="7">
        <f t="shared" si="1256"/>
        <v>131133.35080000054</v>
      </c>
      <c r="BZ214" s="7">
        <f t="shared" si="1257"/>
        <v>129907.80080000054</v>
      </c>
      <c r="CA214" s="7">
        <f t="shared" si="1258"/>
        <v>128682.25080000053</v>
      </c>
      <c r="CB214" s="7">
        <f t="shared" si="1259"/>
        <v>127456.70080000053</v>
      </c>
      <c r="CC214" s="7">
        <f t="shared" si="1260"/>
        <v>126231.15080000053</v>
      </c>
      <c r="CD214" s="7">
        <f t="shared" si="1261"/>
        <v>125005.60080000052</v>
      </c>
      <c r="CE214" s="7">
        <f t="shared" si="1262"/>
        <v>123780.05080000052</v>
      </c>
      <c r="CF214" s="7">
        <f t="shared" si="1263"/>
        <v>122554.50080000052</v>
      </c>
      <c r="CG214" s="7">
        <f t="shared" si="1264"/>
        <v>121328.95080000052</v>
      </c>
      <c r="CH214" s="7">
        <f t="shared" si="1265"/>
        <v>120103.40080000051</v>
      </c>
      <c r="CI214" s="7">
        <f t="shared" si="1266"/>
        <v>118877.85080000051</v>
      </c>
      <c r="CJ214" s="7">
        <f t="shared" si="1267"/>
        <v>117652.30080000051</v>
      </c>
      <c r="CK214" s="236">
        <f t="shared" si="1234"/>
        <v>2750.1232176000112</v>
      </c>
      <c r="CL214" s="7">
        <v>1225.5499999999997</v>
      </c>
      <c r="CM214" s="39">
        <f t="shared" si="1268"/>
        <v>14706.599999999997</v>
      </c>
      <c r="CN214" s="7">
        <f t="shared" si="1269"/>
        <v>116426.7508000005</v>
      </c>
      <c r="CO214" s="7">
        <f t="shared" si="1270"/>
        <v>115201.2008000005</v>
      </c>
      <c r="CP214" s="7">
        <f t="shared" si="1271"/>
        <v>113975.6508000005</v>
      </c>
      <c r="CQ214" s="7">
        <f t="shared" si="1272"/>
        <v>112750.10080000049</v>
      </c>
      <c r="CR214" s="7">
        <f t="shared" si="1273"/>
        <v>111524.55080000049</v>
      </c>
      <c r="CS214" s="7">
        <f t="shared" si="1274"/>
        <v>110299.00080000049</v>
      </c>
      <c r="CT214" s="7">
        <f t="shared" si="1275"/>
        <v>109073.45080000049</v>
      </c>
      <c r="CU214" s="7">
        <f t="shared" si="1276"/>
        <v>107847.90080000048</v>
      </c>
      <c r="CV214" s="7">
        <f t="shared" si="1277"/>
        <v>106622.35080000048</v>
      </c>
      <c r="CW214" s="7">
        <f t="shared" si="1278"/>
        <v>105396.80080000048</v>
      </c>
      <c r="CX214" s="7">
        <f t="shared" si="1279"/>
        <v>104171.25080000047</v>
      </c>
      <c r="CY214" s="7">
        <f t="shared" si="1280"/>
        <v>102945.70080000047</v>
      </c>
      <c r="CZ214" s="236">
        <f t="shared" si="1236"/>
        <v>2426.5780176000108</v>
      </c>
    </row>
    <row r="215" spans="1:104" x14ac:dyDescent="0.2">
      <c r="A215" s="6" t="str">
        <f>'[1]2021 УГРЦТ'!A218</f>
        <v>Кабельная линия эл.передач 6кВ 10760 м</v>
      </c>
      <c r="B215" s="16" t="str">
        <f>'[1]2021 УГРЦТ'!B218</f>
        <v>000001843</v>
      </c>
      <c r="C215" t="str">
        <f>'[1]2021 УГРЦТ'!C218</f>
        <v>ПЕРЕДАЧА</v>
      </c>
      <c r="D215" t="str">
        <f>'[1]2021 УГРЦТ'!D218</f>
        <v>Сооружения</v>
      </c>
      <c r="E215" t="str">
        <f>'[1]2021 УГРЦТ'!E218</f>
        <v>14.04.2021</v>
      </c>
      <c r="F215" t="str">
        <f>'[1]2021 УГРЦТ'!F218</f>
        <v>Цех электрических сетей</v>
      </c>
      <c r="G215">
        <f>'[1]2021 УГРЦТ'!AC218</f>
        <v>180</v>
      </c>
      <c r="H215" s="7">
        <f>'[1]2021 УГРЦТ'!X218</f>
        <v>13999773.300000001</v>
      </c>
      <c r="I215" s="7">
        <f>'[1]2021 УГРЦТ'!Y218</f>
        <v>622212.14666666661</v>
      </c>
      <c r="J215" s="7">
        <f>'[1]2021 УГРЦТ'!Z218</f>
        <v>13377561.153333334</v>
      </c>
      <c r="K215" s="8">
        <v>1</v>
      </c>
      <c r="L215" s="7">
        <v>77776.52</v>
      </c>
      <c r="M215" s="7"/>
      <c r="N215" s="7">
        <f t="shared" si="1035"/>
        <v>933318.24</v>
      </c>
      <c r="O215" s="7">
        <f t="shared" si="1161"/>
        <v>13299784.633333335</v>
      </c>
      <c r="P215" s="7">
        <f t="shared" ref="P215:Z230" si="1281">O215-$L215</f>
        <v>13222008.113333335</v>
      </c>
      <c r="Q215" s="7">
        <f t="shared" si="1281"/>
        <v>13144231.593333336</v>
      </c>
      <c r="R215" s="7">
        <f t="shared" si="1281"/>
        <v>13066455.073333336</v>
      </c>
      <c r="S215" s="7">
        <f t="shared" si="1281"/>
        <v>12988678.553333336</v>
      </c>
      <c r="T215" s="7">
        <f t="shared" si="1281"/>
        <v>12910902.033333337</v>
      </c>
      <c r="U215" s="7">
        <f t="shared" si="1281"/>
        <v>12833125.513333337</v>
      </c>
      <c r="V215" s="7">
        <f t="shared" si="1281"/>
        <v>12755348.993333338</v>
      </c>
      <c r="W215" s="7">
        <f t="shared" si="1281"/>
        <v>12677572.473333338</v>
      </c>
      <c r="X215" s="7">
        <f t="shared" si="1281"/>
        <v>12599795.953333339</v>
      </c>
      <c r="Y215" s="7">
        <f t="shared" si="1281"/>
        <v>12522019.433333339</v>
      </c>
      <c r="Z215" s="7">
        <f t="shared" si="1281"/>
        <v>12444242.91333334</v>
      </c>
      <c r="AA215" s="7">
        <f t="shared" si="1237"/>
        <v>284039.84473333333</v>
      </c>
      <c r="AB215" s="7"/>
      <c r="AC215" s="7">
        <f t="shared" si="1162"/>
        <v>933318.24</v>
      </c>
      <c r="AD215" s="7">
        <f t="shared" si="1163"/>
        <v>12366466.39333334</v>
      </c>
      <c r="AE215" s="7">
        <f t="shared" ref="AE215:AO230" si="1282">AD215-$L215</f>
        <v>12288689.873333341</v>
      </c>
      <c r="AF215" s="7">
        <f t="shared" si="1282"/>
        <v>12210913.353333341</v>
      </c>
      <c r="AG215" s="7">
        <f t="shared" si="1282"/>
        <v>12133136.833333341</v>
      </c>
      <c r="AH215" s="7">
        <f t="shared" si="1282"/>
        <v>12055360.313333342</v>
      </c>
      <c r="AI215" s="7">
        <f t="shared" si="1282"/>
        <v>11977583.793333342</v>
      </c>
      <c r="AJ215" s="7">
        <f t="shared" si="1282"/>
        <v>11899807.273333343</v>
      </c>
      <c r="AK215" s="7">
        <f t="shared" si="1282"/>
        <v>11822030.753333343</v>
      </c>
      <c r="AL215" s="7">
        <f t="shared" si="1282"/>
        <v>11744254.233333344</v>
      </c>
      <c r="AM215" s="7">
        <f t="shared" si="1282"/>
        <v>11666477.713333344</v>
      </c>
      <c r="AN215" s="7">
        <f t="shared" si="1282"/>
        <v>11588701.193333345</v>
      </c>
      <c r="AO215" s="7">
        <f t="shared" si="1282"/>
        <v>11510924.673333345</v>
      </c>
      <c r="AP215" s="222">
        <f t="shared" si="1238"/>
        <v>263506.84345333348</v>
      </c>
      <c r="AQ215" s="7">
        <v>77776.52</v>
      </c>
      <c r="AR215" s="7">
        <f t="shared" si="1164"/>
        <v>77776.519999999553</v>
      </c>
      <c r="AS215" s="7">
        <f t="shared" si="1165"/>
        <v>-4.5110937207937241E-10</v>
      </c>
      <c r="AT215" s="7">
        <f t="shared" si="1239"/>
        <v>933318.24</v>
      </c>
      <c r="AU215" s="7">
        <f t="shared" si="1240"/>
        <v>11433148.153333345</v>
      </c>
      <c r="AV215" s="7">
        <f t="shared" si="1241"/>
        <v>11355371.633333346</v>
      </c>
      <c r="AW215" s="7">
        <f t="shared" si="1241"/>
        <v>11277595.113333346</v>
      </c>
      <c r="AX215" s="7">
        <f t="shared" si="1241"/>
        <v>11199818.593333347</v>
      </c>
      <c r="AY215" s="7">
        <f t="shared" si="1241"/>
        <v>11122042.073333347</v>
      </c>
      <c r="AZ215" s="7">
        <f t="shared" si="1241"/>
        <v>11044265.553333348</v>
      </c>
      <c r="BA215" s="7">
        <f t="shared" si="1241"/>
        <v>10966489.033333348</v>
      </c>
      <c r="BB215" s="7">
        <f t="shared" si="1241"/>
        <v>10888712.513333349</v>
      </c>
      <c r="BC215" s="7">
        <f t="shared" si="1241"/>
        <v>10810935.993333349</v>
      </c>
      <c r="BD215" s="7">
        <f t="shared" si="1241"/>
        <v>10733159.473333349</v>
      </c>
      <c r="BE215" s="7">
        <f t="shared" si="1241"/>
        <v>10655382.95333335</v>
      </c>
      <c r="BF215" s="7">
        <f t="shared" si="1241"/>
        <v>10577606.43333335</v>
      </c>
      <c r="BG215" s="236">
        <f t="shared" si="1158"/>
        <v>242973.8421733336</v>
      </c>
      <c r="BH215" s="7">
        <v>77776.52</v>
      </c>
      <c r="BI215" s="39">
        <f t="shared" si="1242"/>
        <v>933318.24</v>
      </c>
      <c r="BJ215" s="7">
        <f t="shared" si="1243"/>
        <v>10499829.913333351</v>
      </c>
      <c r="BK215" s="7">
        <f t="shared" si="1244"/>
        <v>10422053.393333351</v>
      </c>
      <c r="BL215" s="7">
        <f t="shared" si="1245"/>
        <v>10344276.873333352</v>
      </c>
      <c r="BM215" s="7">
        <f t="shared" si="1246"/>
        <v>10266500.353333352</v>
      </c>
      <c r="BN215" s="7">
        <f t="shared" si="1247"/>
        <v>10188723.833333353</v>
      </c>
      <c r="BO215" s="7">
        <f t="shared" si="1248"/>
        <v>10110947.313333353</v>
      </c>
      <c r="BP215" s="7">
        <f t="shared" si="1249"/>
        <v>10033170.793333353</v>
      </c>
      <c r="BQ215" s="7">
        <f t="shared" si="1250"/>
        <v>9955394.2733333539</v>
      </c>
      <c r="BR215" s="7">
        <f t="shared" si="1251"/>
        <v>9877617.7533333544</v>
      </c>
      <c r="BS215" s="7">
        <f t="shared" si="1252"/>
        <v>9799841.2333333548</v>
      </c>
      <c r="BT215" s="7">
        <f t="shared" si="1253"/>
        <v>9722064.7133333553</v>
      </c>
      <c r="BU215" s="7">
        <f t="shared" si="1254"/>
        <v>9644288.1933333557</v>
      </c>
      <c r="BV215" s="236">
        <f t="shared" si="1232"/>
        <v>222440.84089333375</v>
      </c>
      <c r="BW215" s="7">
        <v>77776.52</v>
      </c>
      <c r="BX215" s="39">
        <f t="shared" si="1255"/>
        <v>933318.24</v>
      </c>
      <c r="BY215" s="7">
        <f t="shared" si="1256"/>
        <v>9566511.6733333562</v>
      </c>
      <c r="BZ215" s="7">
        <f t="shared" si="1257"/>
        <v>9488735.1533333566</v>
      </c>
      <c r="CA215" s="7">
        <f t="shared" si="1258"/>
        <v>9410958.6333333571</v>
      </c>
      <c r="CB215" s="7">
        <f t="shared" si="1259"/>
        <v>9333182.1133333575</v>
      </c>
      <c r="CC215" s="7">
        <f t="shared" si="1260"/>
        <v>9255405.5933333579</v>
      </c>
      <c r="CD215" s="7">
        <f t="shared" si="1261"/>
        <v>9177629.0733333584</v>
      </c>
      <c r="CE215" s="7">
        <f t="shared" si="1262"/>
        <v>9099852.5533333588</v>
      </c>
      <c r="CF215" s="7">
        <f t="shared" si="1263"/>
        <v>9022076.0333333593</v>
      </c>
      <c r="CG215" s="7">
        <f t="shared" si="1264"/>
        <v>8944299.5133333597</v>
      </c>
      <c r="CH215" s="7">
        <f t="shared" si="1265"/>
        <v>8866522.9933333602</v>
      </c>
      <c r="CI215" s="7">
        <f t="shared" si="1266"/>
        <v>8788746.4733333606</v>
      </c>
      <c r="CJ215" s="7">
        <f t="shared" si="1267"/>
        <v>8710969.9533333611</v>
      </c>
      <c r="CK215" s="236">
        <f t="shared" si="1234"/>
        <v>201907.83961333387</v>
      </c>
      <c r="CL215" s="7">
        <v>77776.52</v>
      </c>
      <c r="CM215" s="39">
        <f t="shared" si="1268"/>
        <v>933318.24</v>
      </c>
      <c r="CN215" s="7">
        <f t="shared" si="1269"/>
        <v>8633193.4333333615</v>
      </c>
      <c r="CO215" s="7">
        <f t="shared" si="1270"/>
        <v>8555416.913333362</v>
      </c>
      <c r="CP215" s="7">
        <f t="shared" si="1271"/>
        <v>8477640.3933333624</v>
      </c>
      <c r="CQ215" s="7">
        <f t="shared" si="1272"/>
        <v>8399863.8733333629</v>
      </c>
      <c r="CR215" s="7">
        <f t="shared" si="1273"/>
        <v>8322087.3533333633</v>
      </c>
      <c r="CS215" s="7">
        <f t="shared" si="1274"/>
        <v>8244310.8333333638</v>
      </c>
      <c r="CT215" s="7">
        <f t="shared" si="1275"/>
        <v>8166534.3133333642</v>
      </c>
      <c r="CU215" s="7">
        <f t="shared" si="1276"/>
        <v>8088757.7933333647</v>
      </c>
      <c r="CV215" s="7">
        <f t="shared" si="1277"/>
        <v>8010981.2733333651</v>
      </c>
      <c r="CW215" s="7">
        <f t="shared" si="1278"/>
        <v>7933204.7533333655</v>
      </c>
      <c r="CX215" s="7">
        <f t="shared" si="1279"/>
        <v>7855428.233333366</v>
      </c>
      <c r="CY215" s="7">
        <f t="shared" si="1280"/>
        <v>7777651.7133333664</v>
      </c>
      <c r="CZ215" s="236">
        <f t="shared" si="1236"/>
        <v>181374.83833333399</v>
      </c>
    </row>
    <row r="216" spans="1:104" x14ac:dyDescent="0.2">
      <c r="A216" s="6" t="str">
        <f>'[1]2021 УГРЦТ'!A219</f>
        <v>Кабельная ЛЭП-6кВ РУ-6кВ ДЭС-ТП№24 фидера Город-1</v>
      </c>
      <c r="B216" t="str">
        <f>'[1]2021 УГРЦТ'!B219</f>
        <v>00001049</v>
      </c>
      <c r="C216" t="str">
        <f>'[1]2021 УГРЦТ'!C219</f>
        <v>ПЕРЕДАЧА</v>
      </c>
      <c r="D216" t="str">
        <f>'[1]2021 УГРЦТ'!D219</f>
        <v>Сооружения</v>
      </c>
      <c r="E216" t="str">
        <f>'[1]2021 УГРЦТ'!E219</f>
        <v>30.09.2007</v>
      </c>
      <c r="F216" t="str">
        <f>'[1]2021 УГРЦТ'!F219</f>
        <v>Цех электрических сетей</v>
      </c>
      <c r="G216">
        <f>'[1]2021 УГРЦТ'!AC219</f>
        <v>300</v>
      </c>
      <c r="H216" s="7">
        <f>'[1]2021 УГРЦТ'!X219</f>
        <v>654039.01</v>
      </c>
      <c r="I216" s="7">
        <f>'[1]2021 УГРЦТ'!Y219</f>
        <v>372802.2304</v>
      </c>
      <c r="J216" s="7">
        <f>'[1]2021 УГРЦТ'!Z219</f>
        <v>281236.77960000001</v>
      </c>
      <c r="K216" s="8">
        <v>1</v>
      </c>
      <c r="L216" s="7">
        <v>2180.1300000000006</v>
      </c>
      <c r="M216" s="7"/>
      <c r="N216" s="7">
        <f t="shared" si="1035"/>
        <v>26161.560000000005</v>
      </c>
      <c r="O216" s="7">
        <f t="shared" si="1161"/>
        <v>279056.6496</v>
      </c>
      <c r="P216" s="7">
        <f t="shared" si="1281"/>
        <v>276876.5196</v>
      </c>
      <c r="Q216" s="7">
        <f t="shared" si="1281"/>
        <v>274696.38959999999</v>
      </c>
      <c r="R216" s="7">
        <f t="shared" si="1281"/>
        <v>272516.25959999999</v>
      </c>
      <c r="S216" s="7">
        <f t="shared" si="1281"/>
        <v>270336.12959999999</v>
      </c>
      <c r="T216" s="7">
        <f t="shared" si="1281"/>
        <v>268155.99959999998</v>
      </c>
      <c r="U216" s="7">
        <f t="shared" si="1281"/>
        <v>265975.86959999998</v>
      </c>
      <c r="V216" s="7">
        <f t="shared" si="1281"/>
        <v>263795.73959999997</v>
      </c>
      <c r="W216" s="7">
        <f t="shared" si="1281"/>
        <v>261615.60959999997</v>
      </c>
      <c r="X216" s="7">
        <f t="shared" si="1281"/>
        <v>259435.47959999996</v>
      </c>
      <c r="Y216" s="7">
        <f t="shared" si="1281"/>
        <v>257255.34959999996</v>
      </c>
      <c r="Z216" s="7">
        <f t="shared" si="1281"/>
        <v>255075.21959999995</v>
      </c>
      <c r="AA216" s="7">
        <f t="shared" si="1237"/>
        <v>5899.4319911999992</v>
      </c>
      <c r="AB216" s="7"/>
      <c r="AC216" s="7">
        <f t="shared" si="1162"/>
        <v>26161.560000000005</v>
      </c>
      <c r="AD216" s="7">
        <f t="shared" si="1163"/>
        <v>252895.08959999995</v>
      </c>
      <c r="AE216" s="7">
        <f t="shared" si="1282"/>
        <v>250714.95959999994</v>
      </c>
      <c r="AF216" s="7">
        <f t="shared" si="1282"/>
        <v>248534.82959999994</v>
      </c>
      <c r="AG216" s="7">
        <f t="shared" si="1282"/>
        <v>246354.69959999993</v>
      </c>
      <c r="AH216" s="7">
        <f t="shared" si="1282"/>
        <v>244174.56959999993</v>
      </c>
      <c r="AI216" s="7">
        <f t="shared" si="1282"/>
        <v>241994.43959999993</v>
      </c>
      <c r="AJ216" s="7">
        <f t="shared" si="1282"/>
        <v>239814.30959999992</v>
      </c>
      <c r="AK216" s="7">
        <f t="shared" si="1282"/>
        <v>237634.17959999992</v>
      </c>
      <c r="AL216" s="7">
        <f t="shared" si="1282"/>
        <v>235454.04959999991</v>
      </c>
      <c r="AM216" s="7">
        <f t="shared" si="1282"/>
        <v>233273.91959999991</v>
      </c>
      <c r="AN216" s="7">
        <f t="shared" si="1282"/>
        <v>231093.7895999999</v>
      </c>
      <c r="AO216" s="7">
        <f t="shared" si="1282"/>
        <v>228913.6595999999</v>
      </c>
      <c r="AP216" s="222">
        <f t="shared" si="1238"/>
        <v>5323.8776711999972</v>
      </c>
      <c r="AQ216" s="7">
        <v>2180.1300000000006</v>
      </c>
      <c r="AR216" s="7">
        <f t="shared" si="1164"/>
        <v>2180.1300000000047</v>
      </c>
      <c r="AS216" s="7">
        <f t="shared" si="1165"/>
        <v>4.0927261579781771E-12</v>
      </c>
      <c r="AT216" s="7">
        <f t="shared" si="1239"/>
        <v>26161.560000000005</v>
      </c>
      <c r="AU216" s="7">
        <f t="shared" si="1240"/>
        <v>226733.52959999989</v>
      </c>
      <c r="AV216" s="7">
        <f t="shared" si="1241"/>
        <v>224553.39959999989</v>
      </c>
      <c r="AW216" s="7">
        <f t="shared" si="1241"/>
        <v>222373.26959999988</v>
      </c>
      <c r="AX216" s="7">
        <f t="shared" si="1241"/>
        <v>220193.13959999988</v>
      </c>
      <c r="AY216" s="7">
        <f t="shared" si="1241"/>
        <v>218013.00959999987</v>
      </c>
      <c r="AZ216" s="7">
        <f t="shared" si="1241"/>
        <v>215832.87959999987</v>
      </c>
      <c r="BA216" s="7">
        <f t="shared" si="1241"/>
        <v>213652.74959999986</v>
      </c>
      <c r="BB216" s="7">
        <f t="shared" si="1241"/>
        <v>211472.61959999986</v>
      </c>
      <c r="BC216" s="7">
        <f t="shared" si="1241"/>
        <v>209292.48959999986</v>
      </c>
      <c r="BD216" s="7">
        <f t="shared" si="1241"/>
        <v>207112.35959999985</v>
      </c>
      <c r="BE216" s="7">
        <f t="shared" si="1241"/>
        <v>204932.22959999985</v>
      </c>
      <c r="BF216" s="7">
        <f t="shared" si="1241"/>
        <v>202752.09959999984</v>
      </c>
      <c r="BG216" s="236">
        <f t="shared" si="1158"/>
        <v>4748.3233511999961</v>
      </c>
      <c r="BH216" s="7">
        <v>2180.1300000000006</v>
      </c>
      <c r="BI216" s="39">
        <f t="shared" si="1242"/>
        <v>26161.560000000005</v>
      </c>
      <c r="BJ216" s="7">
        <f t="shared" si="1243"/>
        <v>200571.96959999984</v>
      </c>
      <c r="BK216" s="7">
        <f t="shared" si="1244"/>
        <v>198391.83959999983</v>
      </c>
      <c r="BL216" s="7">
        <f t="shared" si="1245"/>
        <v>196211.70959999983</v>
      </c>
      <c r="BM216" s="7">
        <f t="shared" si="1246"/>
        <v>194031.57959999982</v>
      </c>
      <c r="BN216" s="7">
        <f t="shared" si="1247"/>
        <v>191851.44959999982</v>
      </c>
      <c r="BO216" s="7">
        <f t="shared" si="1248"/>
        <v>189671.31959999981</v>
      </c>
      <c r="BP216" s="7">
        <f t="shared" si="1249"/>
        <v>187491.18959999981</v>
      </c>
      <c r="BQ216" s="7">
        <f t="shared" si="1250"/>
        <v>185311.0595999998</v>
      </c>
      <c r="BR216" s="7">
        <f t="shared" si="1251"/>
        <v>183130.9295999998</v>
      </c>
      <c r="BS216" s="7">
        <f t="shared" si="1252"/>
        <v>180950.79959999979</v>
      </c>
      <c r="BT216" s="7">
        <f t="shared" si="1253"/>
        <v>178770.66959999979</v>
      </c>
      <c r="BU216" s="7">
        <f t="shared" si="1254"/>
        <v>176590.53959999979</v>
      </c>
      <c r="BV216" s="236">
        <f t="shared" si="1232"/>
        <v>4172.7690311999959</v>
      </c>
      <c r="BW216" s="7">
        <v>2180.1300000000006</v>
      </c>
      <c r="BX216" s="39">
        <f t="shared" si="1255"/>
        <v>26161.560000000005</v>
      </c>
      <c r="BY216" s="7">
        <f t="shared" si="1256"/>
        <v>174410.40959999978</v>
      </c>
      <c r="BZ216" s="7">
        <f t="shared" si="1257"/>
        <v>172230.27959999978</v>
      </c>
      <c r="CA216" s="7">
        <f t="shared" si="1258"/>
        <v>170050.14959999977</v>
      </c>
      <c r="CB216" s="7">
        <f t="shared" si="1259"/>
        <v>167870.01959999977</v>
      </c>
      <c r="CC216" s="7">
        <f t="shared" si="1260"/>
        <v>165689.88959999976</v>
      </c>
      <c r="CD216" s="7">
        <f t="shared" si="1261"/>
        <v>163509.75959999976</v>
      </c>
      <c r="CE216" s="7">
        <f t="shared" si="1262"/>
        <v>161329.62959999975</v>
      </c>
      <c r="CF216" s="7">
        <f t="shared" si="1263"/>
        <v>159149.49959999975</v>
      </c>
      <c r="CG216" s="7">
        <f t="shared" si="1264"/>
        <v>156969.36959999974</v>
      </c>
      <c r="CH216" s="7">
        <f t="shared" si="1265"/>
        <v>154789.23959999974</v>
      </c>
      <c r="CI216" s="7">
        <f t="shared" si="1266"/>
        <v>152609.10959999973</v>
      </c>
      <c r="CJ216" s="7">
        <f t="shared" si="1267"/>
        <v>150428.97959999973</v>
      </c>
      <c r="CK216" s="236">
        <f t="shared" si="1234"/>
        <v>3597.2147111999952</v>
      </c>
      <c r="CL216" s="7">
        <v>2180.1300000000006</v>
      </c>
      <c r="CM216" s="39">
        <f t="shared" si="1268"/>
        <v>26161.560000000005</v>
      </c>
      <c r="CN216" s="7">
        <f t="shared" si="1269"/>
        <v>148248.84959999972</v>
      </c>
      <c r="CO216" s="7">
        <f t="shared" si="1270"/>
        <v>146068.71959999972</v>
      </c>
      <c r="CP216" s="7">
        <f t="shared" si="1271"/>
        <v>143888.58959999972</v>
      </c>
      <c r="CQ216" s="7">
        <f t="shared" si="1272"/>
        <v>141708.45959999971</v>
      </c>
      <c r="CR216" s="7">
        <f t="shared" si="1273"/>
        <v>139528.32959999971</v>
      </c>
      <c r="CS216" s="7">
        <f t="shared" si="1274"/>
        <v>137348.1995999997</v>
      </c>
      <c r="CT216" s="7">
        <f t="shared" si="1275"/>
        <v>135168.0695999997</v>
      </c>
      <c r="CU216" s="7">
        <f t="shared" si="1276"/>
        <v>132987.93959999969</v>
      </c>
      <c r="CV216" s="7">
        <f t="shared" si="1277"/>
        <v>130807.80959999969</v>
      </c>
      <c r="CW216" s="7">
        <f t="shared" si="1278"/>
        <v>128627.67959999968</v>
      </c>
      <c r="CX216" s="7">
        <f t="shared" si="1279"/>
        <v>126447.54959999968</v>
      </c>
      <c r="CY216" s="7">
        <f t="shared" si="1280"/>
        <v>124267.41959999967</v>
      </c>
      <c r="CZ216" s="236">
        <f t="shared" si="1236"/>
        <v>3021.6603911999937</v>
      </c>
    </row>
    <row r="217" spans="1:104" x14ac:dyDescent="0.2">
      <c r="A217" s="6" t="str">
        <f>'[1]2021 УГРЦТ'!A220</f>
        <v>Кабельная ЛЭП-6кВ РУ-6кВ ДЭС-ТП№3 фидера Город-2</v>
      </c>
      <c r="B217" t="str">
        <f>'[1]2021 УГРЦТ'!B220</f>
        <v>00001050</v>
      </c>
      <c r="C217" t="str">
        <f>'[1]2021 УГРЦТ'!C220</f>
        <v>ПЕРЕДАЧА</v>
      </c>
      <c r="D217" t="str">
        <f>'[1]2021 УГРЦТ'!D220</f>
        <v>Сооружения</v>
      </c>
      <c r="E217" t="str">
        <f>'[1]2021 УГРЦТ'!E220</f>
        <v>30.09.2007</v>
      </c>
      <c r="F217" t="str">
        <f>'[1]2021 УГРЦТ'!F220</f>
        <v>Цех электрических сетей</v>
      </c>
      <c r="G217">
        <f>'[1]2021 УГРЦТ'!AC220</f>
        <v>300</v>
      </c>
      <c r="H217" s="7">
        <f>'[1]2021 УГРЦТ'!X220</f>
        <v>1466828.36</v>
      </c>
      <c r="I217" s="7">
        <f>'[1]2021 УГРЦТ'!Y220</f>
        <v>836092.50439999998</v>
      </c>
      <c r="J217" s="7">
        <f>'[1]2021 УГРЦТ'!Z220</f>
        <v>630735.85560000013</v>
      </c>
      <c r="K217" s="8">
        <v>1</v>
      </c>
      <c r="L217" s="7">
        <v>4889.43</v>
      </c>
      <c r="M217" s="7"/>
      <c r="N217" s="7">
        <f t="shared" si="1035"/>
        <v>58673.16</v>
      </c>
      <c r="O217" s="7">
        <f t="shared" si="1161"/>
        <v>625846.42560000008</v>
      </c>
      <c r="P217" s="7">
        <f t="shared" si="1281"/>
        <v>620956.99560000002</v>
      </c>
      <c r="Q217" s="7">
        <f t="shared" si="1281"/>
        <v>616067.56559999997</v>
      </c>
      <c r="R217" s="7">
        <f t="shared" si="1281"/>
        <v>611178.13559999992</v>
      </c>
      <c r="S217" s="7">
        <f t="shared" si="1281"/>
        <v>606288.70559999987</v>
      </c>
      <c r="T217" s="7">
        <f t="shared" si="1281"/>
        <v>601399.27559999982</v>
      </c>
      <c r="U217" s="7">
        <f t="shared" si="1281"/>
        <v>596509.84559999977</v>
      </c>
      <c r="V217" s="7">
        <f t="shared" si="1281"/>
        <v>591620.41559999972</v>
      </c>
      <c r="W217" s="7">
        <f t="shared" si="1281"/>
        <v>586730.98559999967</v>
      </c>
      <c r="X217" s="7">
        <f t="shared" si="1281"/>
        <v>581841.55559999961</v>
      </c>
      <c r="Y217" s="7">
        <f t="shared" si="1281"/>
        <v>576952.12559999956</v>
      </c>
      <c r="Z217" s="7">
        <f t="shared" si="1281"/>
        <v>572062.69559999951</v>
      </c>
      <c r="AA217" s="7">
        <f t="shared" si="1237"/>
        <v>13230.784063199995</v>
      </c>
      <c r="AB217" s="7"/>
      <c r="AC217" s="7">
        <f t="shared" si="1162"/>
        <v>58673.16</v>
      </c>
      <c r="AD217" s="7">
        <f t="shared" si="1163"/>
        <v>567173.26559999946</v>
      </c>
      <c r="AE217" s="7">
        <f t="shared" si="1282"/>
        <v>562283.83559999941</v>
      </c>
      <c r="AF217" s="7">
        <f t="shared" si="1282"/>
        <v>557394.40559999936</v>
      </c>
      <c r="AG217" s="7">
        <f t="shared" si="1282"/>
        <v>552504.97559999931</v>
      </c>
      <c r="AH217" s="7">
        <f t="shared" si="1282"/>
        <v>547615.54559999926</v>
      </c>
      <c r="AI217" s="7">
        <f t="shared" si="1282"/>
        <v>542726.1155999992</v>
      </c>
      <c r="AJ217" s="7">
        <f t="shared" si="1282"/>
        <v>537836.68559999915</v>
      </c>
      <c r="AK217" s="7">
        <f t="shared" si="1282"/>
        <v>532947.2555999991</v>
      </c>
      <c r="AL217" s="7">
        <f t="shared" si="1282"/>
        <v>528057.82559999905</v>
      </c>
      <c r="AM217" s="7">
        <f t="shared" si="1282"/>
        <v>523168.39559999906</v>
      </c>
      <c r="AN217" s="7">
        <f t="shared" si="1282"/>
        <v>518278.96559999906</v>
      </c>
      <c r="AO217" s="7">
        <f t="shared" si="1282"/>
        <v>513389.53559999907</v>
      </c>
      <c r="AP217" s="222">
        <f t="shared" si="1238"/>
        <v>11939.974543199982</v>
      </c>
      <c r="AQ217" s="7">
        <v>4889.43</v>
      </c>
      <c r="AR217" s="7">
        <f t="shared" si="1164"/>
        <v>4889.429999999993</v>
      </c>
      <c r="AS217" s="7">
        <f t="shared" si="1165"/>
        <v>-7.2759576141834259E-12</v>
      </c>
      <c r="AT217" s="7">
        <f t="shared" si="1239"/>
        <v>58673.16</v>
      </c>
      <c r="AU217" s="7">
        <f t="shared" si="1240"/>
        <v>508500.10559999908</v>
      </c>
      <c r="AV217" s="7">
        <f t="shared" si="1241"/>
        <v>503610.67559999909</v>
      </c>
      <c r="AW217" s="7">
        <f t="shared" si="1241"/>
        <v>498721.24559999909</v>
      </c>
      <c r="AX217" s="7">
        <f t="shared" si="1241"/>
        <v>493831.8155999991</v>
      </c>
      <c r="AY217" s="7">
        <f t="shared" si="1241"/>
        <v>488942.38559999911</v>
      </c>
      <c r="AZ217" s="7">
        <f t="shared" si="1241"/>
        <v>484052.95559999911</v>
      </c>
      <c r="BA217" s="7">
        <f t="shared" si="1241"/>
        <v>479163.52559999912</v>
      </c>
      <c r="BB217" s="7">
        <f t="shared" si="1241"/>
        <v>474274.09559999913</v>
      </c>
      <c r="BC217" s="7">
        <f t="shared" si="1241"/>
        <v>469384.66559999913</v>
      </c>
      <c r="BD217" s="7">
        <f t="shared" si="1241"/>
        <v>464495.23559999914</v>
      </c>
      <c r="BE217" s="7">
        <f t="shared" si="1241"/>
        <v>459605.80559999915</v>
      </c>
      <c r="BF217" s="7">
        <f t="shared" si="1241"/>
        <v>454716.37559999916</v>
      </c>
      <c r="BG217" s="236">
        <f t="shared" si="1158"/>
        <v>10649.165023199981</v>
      </c>
      <c r="BH217" s="7">
        <v>4889.43</v>
      </c>
      <c r="BI217" s="39">
        <f t="shared" si="1242"/>
        <v>58673.16</v>
      </c>
      <c r="BJ217" s="7">
        <f t="shared" si="1243"/>
        <v>449826.94559999916</v>
      </c>
      <c r="BK217" s="7">
        <f t="shared" si="1244"/>
        <v>444937.51559999917</v>
      </c>
      <c r="BL217" s="7">
        <f t="shared" si="1245"/>
        <v>440048.08559999918</v>
      </c>
      <c r="BM217" s="7">
        <f t="shared" si="1246"/>
        <v>435158.65559999918</v>
      </c>
      <c r="BN217" s="7">
        <f t="shared" si="1247"/>
        <v>430269.22559999919</v>
      </c>
      <c r="BO217" s="7">
        <f t="shared" si="1248"/>
        <v>425379.7955999992</v>
      </c>
      <c r="BP217" s="7">
        <f t="shared" si="1249"/>
        <v>420490.3655999992</v>
      </c>
      <c r="BQ217" s="7">
        <f t="shared" si="1250"/>
        <v>415600.93559999921</v>
      </c>
      <c r="BR217" s="7">
        <f t="shared" si="1251"/>
        <v>410711.50559999922</v>
      </c>
      <c r="BS217" s="7">
        <f t="shared" si="1252"/>
        <v>405822.07559999923</v>
      </c>
      <c r="BT217" s="7">
        <f t="shared" si="1253"/>
        <v>400932.64559999923</v>
      </c>
      <c r="BU217" s="7">
        <f t="shared" si="1254"/>
        <v>396043.21559999924</v>
      </c>
      <c r="BV217" s="236">
        <f t="shared" si="1232"/>
        <v>9358.3555031999822</v>
      </c>
      <c r="BW217" s="7">
        <v>4889.43</v>
      </c>
      <c r="BX217" s="39">
        <f t="shared" si="1255"/>
        <v>58673.16</v>
      </c>
      <c r="BY217" s="7">
        <f t="shared" si="1256"/>
        <v>391153.78559999925</v>
      </c>
      <c r="BZ217" s="7">
        <f t="shared" si="1257"/>
        <v>386264.35559999925</v>
      </c>
      <c r="CA217" s="7">
        <f t="shared" si="1258"/>
        <v>381374.92559999926</v>
      </c>
      <c r="CB217" s="7">
        <f t="shared" si="1259"/>
        <v>376485.49559999927</v>
      </c>
      <c r="CC217" s="7">
        <f t="shared" si="1260"/>
        <v>371596.06559999927</v>
      </c>
      <c r="CD217" s="7">
        <f t="shared" si="1261"/>
        <v>366706.63559999928</v>
      </c>
      <c r="CE217" s="7">
        <f t="shared" si="1262"/>
        <v>361817.20559999929</v>
      </c>
      <c r="CF217" s="7">
        <f t="shared" si="1263"/>
        <v>356927.7755999993</v>
      </c>
      <c r="CG217" s="7">
        <f t="shared" si="1264"/>
        <v>352038.3455999993</v>
      </c>
      <c r="CH217" s="7">
        <f t="shared" si="1265"/>
        <v>347148.91559999931</v>
      </c>
      <c r="CI217" s="7">
        <f t="shared" si="1266"/>
        <v>342259.48559999932</v>
      </c>
      <c r="CJ217" s="7">
        <f t="shared" si="1267"/>
        <v>337370.05559999932</v>
      </c>
      <c r="CK217" s="236">
        <f t="shared" si="1234"/>
        <v>8067.5459831999833</v>
      </c>
      <c r="CL217" s="7">
        <v>4889.43</v>
      </c>
      <c r="CM217" s="39">
        <f t="shared" si="1268"/>
        <v>58673.16</v>
      </c>
      <c r="CN217" s="7">
        <f t="shared" si="1269"/>
        <v>332480.62559999933</v>
      </c>
      <c r="CO217" s="7">
        <f t="shared" si="1270"/>
        <v>327591.19559999934</v>
      </c>
      <c r="CP217" s="7">
        <f t="shared" si="1271"/>
        <v>322701.76559999934</v>
      </c>
      <c r="CQ217" s="7">
        <f t="shared" si="1272"/>
        <v>317812.33559999935</v>
      </c>
      <c r="CR217" s="7">
        <f t="shared" si="1273"/>
        <v>312922.90559999936</v>
      </c>
      <c r="CS217" s="7">
        <f t="shared" si="1274"/>
        <v>308033.47559999936</v>
      </c>
      <c r="CT217" s="7">
        <f t="shared" si="1275"/>
        <v>303144.04559999937</v>
      </c>
      <c r="CU217" s="7">
        <f t="shared" si="1276"/>
        <v>298254.61559999938</v>
      </c>
      <c r="CV217" s="7">
        <f t="shared" si="1277"/>
        <v>293365.18559999939</v>
      </c>
      <c r="CW217" s="7">
        <f t="shared" si="1278"/>
        <v>288475.75559999939</v>
      </c>
      <c r="CX217" s="7">
        <f t="shared" si="1279"/>
        <v>283586.3255999994</v>
      </c>
      <c r="CY217" s="7">
        <f t="shared" si="1280"/>
        <v>278696.89559999941</v>
      </c>
      <c r="CZ217" s="236">
        <f t="shared" si="1236"/>
        <v>6776.7364631999853</v>
      </c>
    </row>
    <row r="218" spans="1:104" ht="22.5" x14ac:dyDescent="0.2">
      <c r="A218" s="6" t="str">
        <f>'[1]2021 УГРЦТ'!A221</f>
        <v>Кабельные линии 6 кВ в составе объекта "ТП-63/1 "Озерная 16" в районе ул. Озерная д.7а"</v>
      </c>
      <c r="B218" t="str">
        <f>'[1]2021 УГРЦТ'!B221</f>
        <v>000001838</v>
      </c>
      <c r="C218" t="str">
        <f>'[1]2021 УГРЦТ'!C221</f>
        <v>ПЕРЕДАЧА</v>
      </c>
      <c r="D218" t="str">
        <f>'[1]2021 УГРЦТ'!D221</f>
        <v>Сооружения</v>
      </c>
      <c r="E218" t="str">
        <f>'[1]2021 УГРЦТ'!E221</f>
        <v>30.12.2020</v>
      </c>
      <c r="F218" t="str">
        <f>'[1]2021 УГРЦТ'!F221</f>
        <v>Цех электрических сетей</v>
      </c>
      <c r="G218">
        <f>'[1]2021 УГРЦТ'!AC221</f>
        <v>300</v>
      </c>
      <c r="H218" s="7">
        <f>'[1]2021 УГРЦТ'!X221</f>
        <v>11990246.640000001</v>
      </c>
      <c r="I218" s="7">
        <f>'[1]2021 УГРЦТ'!Y221</f>
        <v>479609.86559999996</v>
      </c>
      <c r="J218" s="7">
        <f>'[1]2021 УГРЦТ'!Z221</f>
        <v>11510636.774400001</v>
      </c>
      <c r="K218" s="8">
        <v>1</v>
      </c>
      <c r="L218" s="7">
        <v>39967.49</v>
      </c>
      <c r="M218" s="7"/>
      <c r="N218" s="7">
        <f t="shared" si="1035"/>
        <v>479609.88</v>
      </c>
      <c r="O218" s="7">
        <f t="shared" si="1161"/>
        <v>11470669.284400001</v>
      </c>
      <c r="P218" s="7">
        <f t="shared" si="1281"/>
        <v>11430701.794400001</v>
      </c>
      <c r="Q218" s="7">
        <f t="shared" si="1281"/>
        <v>11390734.304400001</v>
      </c>
      <c r="R218" s="7">
        <f t="shared" si="1281"/>
        <v>11350766.8144</v>
      </c>
      <c r="S218" s="7">
        <f t="shared" si="1281"/>
        <v>11310799.3244</v>
      </c>
      <c r="T218" s="7">
        <f t="shared" si="1281"/>
        <v>11270831.8344</v>
      </c>
      <c r="U218" s="7">
        <f t="shared" si="1281"/>
        <v>11230864.3444</v>
      </c>
      <c r="V218" s="7">
        <f t="shared" si="1281"/>
        <v>11190896.8544</v>
      </c>
      <c r="W218" s="7">
        <f t="shared" si="1281"/>
        <v>11150929.364399999</v>
      </c>
      <c r="X218" s="7">
        <f t="shared" si="1281"/>
        <v>11110961.874399999</v>
      </c>
      <c r="Y218" s="7">
        <f t="shared" si="1281"/>
        <v>11070994.384399999</v>
      </c>
      <c r="Z218" s="7">
        <f t="shared" si="1281"/>
        <v>11031026.894399999</v>
      </c>
      <c r="AA218" s="7">
        <f t="shared" si="1237"/>
        <v>247958.3003568</v>
      </c>
      <c r="AB218" s="7"/>
      <c r="AC218" s="7">
        <f t="shared" si="1162"/>
        <v>479609.88</v>
      </c>
      <c r="AD218" s="7">
        <f t="shared" si="1163"/>
        <v>10991059.404399998</v>
      </c>
      <c r="AE218" s="7">
        <f t="shared" si="1282"/>
        <v>10951091.914399998</v>
      </c>
      <c r="AF218" s="7">
        <f t="shared" si="1282"/>
        <v>10911124.424399998</v>
      </c>
      <c r="AG218" s="7">
        <f t="shared" si="1282"/>
        <v>10871156.934399998</v>
      </c>
      <c r="AH218" s="7">
        <f t="shared" si="1282"/>
        <v>10831189.444399998</v>
      </c>
      <c r="AI218" s="7">
        <f t="shared" si="1282"/>
        <v>10791221.954399997</v>
      </c>
      <c r="AJ218" s="7">
        <f t="shared" si="1282"/>
        <v>10751254.464399997</v>
      </c>
      <c r="AK218" s="7">
        <f t="shared" si="1282"/>
        <v>10711286.974399997</v>
      </c>
      <c r="AL218" s="7">
        <f t="shared" si="1282"/>
        <v>10671319.484399997</v>
      </c>
      <c r="AM218" s="7">
        <f t="shared" si="1282"/>
        <v>10631351.994399996</v>
      </c>
      <c r="AN218" s="7">
        <f t="shared" si="1282"/>
        <v>10591384.504399996</v>
      </c>
      <c r="AO218" s="7">
        <f t="shared" si="1282"/>
        <v>10551417.014399996</v>
      </c>
      <c r="AP218" s="222">
        <f t="shared" si="1238"/>
        <v>237406.88299679989</v>
      </c>
      <c r="AQ218" s="7">
        <v>39967.49</v>
      </c>
      <c r="AR218" s="7">
        <f t="shared" si="1164"/>
        <v>39967.490000000224</v>
      </c>
      <c r="AS218" s="7">
        <f t="shared" si="1165"/>
        <v>2.255546860396862E-10</v>
      </c>
      <c r="AT218" s="7">
        <f t="shared" si="1239"/>
        <v>479609.88</v>
      </c>
      <c r="AU218" s="7">
        <f t="shared" si="1240"/>
        <v>10511449.524399996</v>
      </c>
      <c r="AV218" s="7">
        <f t="shared" ref="AV218:BF218" si="1283">AU218-$L218</f>
        <v>10471482.034399996</v>
      </c>
      <c r="AW218" s="7">
        <f t="shared" si="1283"/>
        <v>10431514.544399995</v>
      </c>
      <c r="AX218" s="7">
        <f t="shared" si="1283"/>
        <v>10391547.054399995</v>
      </c>
      <c r="AY218" s="7">
        <f t="shared" si="1283"/>
        <v>10351579.564399995</v>
      </c>
      <c r="AZ218" s="7">
        <f t="shared" si="1283"/>
        <v>10311612.074399995</v>
      </c>
      <c r="BA218" s="7">
        <f t="shared" si="1283"/>
        <v>10271644.584399994</v>
      </c>
      <c r="BB218" s="7">
        <f t="shared" si="1283"/>
        <v>10231677.094399994</v>
      </c>
      <c r="BC218" s="7">
        <f t="shared" si="1283"/>
        <v>10191709.604399994</v>
      </c>
      <c r="BD218" s="7">
        <f t="shared" si="1283"/>
        <v>10151742.114399994</v>
      </c>
      <c r="BE218" s="7">
        <f t="shared" si="1283"/>
        <v>10111774.624399994</v>
      </c>
      <c r="BF218" s="7">
        <f t="shared" si="1283"/>
        <v>10071807.134399993</v>
      </c>
      <c r="BG218" s="236">
        <f t="shared" si="1158"/>
        <v>226855.46563679987</v>
      </c>
      <c r="BH218" s="7">
        <v>39967.49</v>
      </c>
      <c r="BI218" s="39">
        <f t="shared" si="1242"/>
        <v>479609.88</v>
      </c>
      <c r="BJ218" s="7">
        <f t="shared" si="1243"/>
        <v>10031839.644399993</v>
      </c>
      <c r="BK218" s="7">
        <f t="shared" si="1244"/>
        <v>9991872.1543999929</v>
      </c>
      <c r="BL218" s="7">
        <f t="shared" si="1245"/>
        <v>9951904.6643999927</v>
      </c>
      <c r="BM218" s="7">
        <f t="shared" si="1246"/>
        <v>9911937.1743999925</v>
      </c>
      <c r="BN218" s="7">
        <f t="shared" si="1247"/>
        <v>9871969.6843999922</v>
      </c>
      <c r="BO218" s="7">
        <f t="shared" si="1248"/>
        <v>9832002.194399992</v>
      </c>
      <c r="BP218" s="7">
        <f t="shared" si="1249"/>
        <v>9792034.7043999918</v>
      </c>
      <c r="BQ218" s="7">
        <f t="shared" si="1250"/>
        <v>9752067.2143999916</v>
      </c>
      <c r="BR218" s="7">
        <f t="shared" si="1251"/>
        <v>9712099.7243999913</v>
      </c>
      <c r="BS218" s="7">
        <f t="shared" si="1252"/>
        <v>9672132.2343999911</v>
      </c>
      <c r="BT218" s="7">
        <f t="shared" si="1253"/>
        <v>9632164.7443999909</v>
      </c>
      <c r="BU218" s="7">
        <f t="shared" si="1254"/>
        <v>9592197.2543999907</v>
      </c>
      <c r="BV218" s="236">
        <f t="shared" si="1232"/>
        <v>216304.04827679982</v>
      </c>
      <c r="BW218" s="7">
        <v>39967.49</v>
      </c>
      <c r="BX218" s="39">
        <f t="shared" si="1255"/>
        <v>479609.88</v>
      </c>
      <c r="BY218" s="7">
        <f t="shared" si="1256"/>
        <v>9552229.7643999904</v>
      </c>
      <c r="BZ218" s="7">
        <f t="shared" si="1257"/>
        <v>9512262.2743999902</v>
      </c>
      <c r="CA218" s="7">
        <f t="shared" si="1258"/>
        <v>9472294.78439999</v>
      </c>
      <c r="CB218" s="7">
        <f t="shared" si="1259"/>
        <v>9432327.2943999898</v>
      </c>
      <c r="CC218" s="7">
        <f t="shared" si="1260"/>
        <v>9392359.8043999895</v>
      </c>
      <c r="CD218" s="7">
        <f t="shared" si="1261"/>
        <v>9352392.3143999893</v>
      </c>
      <c r="CE218" s="7">
        <f t="shared" si="1262"/>
        <v>9312424.8243999891</v>
      </c>
      <c r="CF218" s="7">
        <f t="shared" si="1263"/>
        <v>9272457.3343999889</v>
      </c>
      <c r="CG218" s="7">
        <f t="shared" si="1264"/>
        <v>9232489.8443999887</v>
      </c>
      <c r="CH218" s="7">
        <f t="shared" si="1265"/>
        <v>9192522.3543999884</v>
      </c>
      <c r="CI218" s="7">
        <f t="shared" si="1266"/>
        <v>9152554.8643999882</v>
      </c>
      <c r="CJ218" s="7">
        <f t="shared" si="1267"/>
        <v>9112587.374399988</v>
      </c>
      <c r="CK218" s="236">
        <f t="shared" si="1234"/>
        <v>205752.63091679974</v>
      </c>
      <c r="CL218" s="7">
        <v>39967.49</v>
      </c>
      <c r="CM218" s="39">
        <f t="shared" si="1268"/>
        <v>479609.88</v>
      </c>
      <c r="CN218" s="7">
        <f t="shared" si="1269"/>
        <v>9072619.8843999878</v>
      </c>
      <c r="CO218" s="7">
        <f t="shared" si="1270"/>
        <v>9032652.3943999875</v>
      </c>
      <c r="CP218" s="7">
        <f t="shared" si="1271"/>
        <v>8992684.9043999873</v>
      </c>
      <c r="CQ218" s="7">
        <f t="shared" si="1272"/>
        <v>8952717.4143999871</v>
      </c>
      <c r="CR218" s="7">
        <f t="shared" si="1273"/>
        <v>8912749.9243999869</v>
      </c>
      <c r="CS218" s="7">
        <f t="shared" si="1274"/>
        <v>8872782.4343999866</v>
      </c>
      <c r="CT218" s="7">
        <f t="shared" si="1275"/>
        <v>8832814.9443999864</v>
      </c>
      <c r="CU218" s="7">
        <f t="shared" si="1276"/>
        <v>8792847.4543999862</v>
      </c>
      <c r="CV218" s="7">
        <f t="shared" si="1277"/>
        <v>8752879.964399986</v>
      </c>
      <c r="CW218" s="7">
        <f t="shared" si="1278"/>
        <v>8712912.4743999857</v>
      </c>
      <c r="CX218" s="7">
        <f t="shared" si="1279"/>
        <v>8672944.9843999855</v>
      </c>
      <c r="CY218" s="7">
        <f t="shared" si="1280"/>
        <v>8632977.4943999853</v>
      </c>
      <c r="CZ218" s="236">
        <f t="shared" si="1236"/>
        <v>195201.21355679966</v>
      </c>
    </row>
    <row r="219" spans="1:104" x14ac:dyDescent="0.2">
      <c r="A219" s="6" t="str">
        <f>'[1]2021 УГРЦТ'!A222</f>
        <v>Камера  КСО-366 1996г.</v>
      </c>
      <c r="B219" t="str">
        <f>'[1]2021 УГРЦТ'!B222</f>
        <v>00000270</v>
      </c>
      <c r="C219" t="str">
        <f>'[1]2021 УГРЦТ'!C222</f>
        <v>ПЕРЕДАЧА</v>
      </c>
      <c r="D219" t="str">
        <f>'[1]2021 УГРЦТ'!D222</f>
        <v>Машины и оборудование (кроме офисного)</v>
      </c>
      <c r="E219" t="str">
        <f>'[1]2021 УГРЦТ'!E222</f>
        <v>30.12.1996</v>
      </c>
      <c r="F219" t="str">
        <f>'[1]2021 УГРЦТ'!F222</f>
        <v>Цех электрических сетей</v>
      </c>
      <c r="G219">
        <f>'[1]2021 УГРЦТ'!AC222</f>
        <v>276</v>
      </c>
      <c r="H219" s="7">
        <f>'[1]2021 УГРЦТ'!X222</f>
        <v>15254</v>
      </c>
      <c r="I219" s="7">
        <f>'[1]2021 УГРЦТ'!Y222</f>
        <v>13939.907391304348</v>
      </c>
      <c r="J219" s="7">
        <f>'[1]2021 УГРЦТ'!Z222</f>
        <v>1314.0926086956515</v>
      </c>
      <c r="K219" s="8">
        <v>0</v>
      </c>
      <c r="L219" s="7">
        <v>55.269999999999989</v>
      </c>
      <c r="M219" s="7"/>
      <c r="N219" s="7">
        <f t="shared" si="1035"/>
        <v>663.2399999999999</v>
      </c>
      <c r="O219" s="7">
        <f t="shared" si="1161"/>
        <v>1258.8226086956515</v>
      </c>
      <c r="P219" s="7">
        <f t="shared" si="1281"/>
        <v>1203.5526086956515</v>
      </c>
      <c r="Q219" s="7">
        <f t="shared" si="1281"/>
        <v>1148.2826086956516</v>
      </c>
      <c r="R219" s="7">
        <f t="shared" si="1281"/>
        <v>1093.0126086956516</v>
      </c>
      <c r="S219" s="7">
        <f t="shared" si="1281"/>
        <v>1037.7426086956516</v>
      </c>
      <c r="T219" s="7">
        <f t="shared" si="1281"/>
        <v>982.47260869565162</v>
      </c>
      <c r="U219" s="7">
        <f t="shared" si="1281"/>
        <v>927.20260869565163</v>
      </c>
      <c r="V219" s="7">
        <f t="shared" si="1281"/>
        <v>871.93260869565165</v>
      </c>
      <c r="W219" s="7">
        <f t="shared" si="1281"/>
        <v>816.66260869565167</v>
      </c>
      <c r="X219" s="7">
        <f t="shared" si="1281"/>
        <v>761.39260869565169</v>
      </c>
      <c r="Y219" s="7">
        <f t="shared" si="1281"/>
        <v>706.12260869565171</v>
      </c>
      <c r="Z219" s="7">
        <f t="shared" si="1281"/>
        <v>650.85260869565172</v>
      </c>
      <c r="AA219" s="7"/>
      <c r="AB219" s="7"/>
      <c r="AC219" s="7">
        <f>L219*12-12.39</f>
        <v>650.84999999999991</v>
      </c>
      <c r="AD219" s="7">
        <f t="shared" si="1163"/>
        <v>595.58260869565174</v>
      </c>
      <c r="AE219" s="7">
        <f t="shared" si="1282"/>
        <v>540.31260869565176</v>
      </c>
      <c r="AF219" s="7">
        <f t="shared" si="1282"/>
        <v>485.04260869565178</v>
      </c>
      <c r="AG219" s="7">
        <f t="shared" si="1282"/>
        <v>429.7726086956518</v>
      </c>
      <c r="AH219" s="7">
        <f t="shared" si="1282"/>
        <v>374.50260869565182</v>
      </c>
      <c r="AI219" s="7">
        <f t="shared" si="1282"/>
        <v>319.23260869565183</v>
      </c>
      <c r="AJ219" s="7">
        <f t="shared" si="1282"/>
        <v>263.96260869565185</v>
      </c>
      <c r="AK219" s="7">
        <f t="shared" si="1282"/>
        <v>208.69260869565187</v>
      </c>
      <c r="AL219" s="7">
        <f t="shared" si="1282"/>
        <v>153.42260869565189</v>
      </c>
      <c r="AM219" s="7">
        <f t="shared" si="1282"/>
        <v>98.152608695651907</v>
      </c>
      <c r="AN219" s="7">
        <f t="shared" si="1282"/>
        <v>42.882608695651918</v>
      </c>
      <c r="AO219" s="7">
        <f>AN219-$L219+12.39</f>
        <v>2.6086956519293381E-3</v>
      </c>
      <c r="AP219" s="222"/>
      <c r="AQ219" s="7">
        <v>55.269999999999989</v>
      </c>
      <c r="AR219" s="7"/>
      <c r="AS219" s="7"/>
      <c r="BG219" s="236">
        <f t="shared" si="1158"/>
        <v>0</v>
      </c>
      <c r="BH219" s="7">
        <v>55.269999999999989</v>
      </c>
      <c r="BV219" s="236">
        <f t="shared" si="1232"/>
        <v>0</v>
      </c>
      <c r="BW219" s="7">
        <v>55.269999999999989</v>
      </c>
      <c r="CK219" s="236">
        <f t="shared" si="1234"/>
        <v>0</v>
      </c>
      <c r="CL219" s="7">
        <v>55.269999999999989</v>
      </c>
      <c r="CZ219" s="236">
        <f t="shared" si="1236"/>
        <v>0</v>
      </c>
    </row>
    <row r="220" spans="1:104" x14ac:dyDescent="0.2">
      <c r="A220" s="6" t="str">
        <f>'[1]2021 УГРЦТ'!A223</f>
        <v>Камера в/в КСО 393 №1 01/09-827</v>
      </c>
      <c r="B220" t="str">
        <f>'[1]2021 УГРЦТ'!B223</f>
        <v>00001123</v>
      </c>
      <c r="C220" t="str">
        <f>'[1]2021 УГРЦТ'!C223</f>
        <v>ПЕРЕДАЧА</v>
      </c>
      <c r="D220" t="str">
        <f>'[1]2021 УГРЦТ'!D223</f>
        <v>Машины и оборудование (кроме офисного)</v>
      </c>
      <c r="E220" t="str">
        <f>'[1]2021 УГРЦТ'!E223</f>
        <v>31.07.2009</v>
      </c>
      <c r="F220" t="str">
        <f>'[1]2021 УГРЦТ'!F223</f>
        <v>Цех электрических сетей</v>
      </c>
      <c r="G220">
        <f>'[1]2021 УГРЦТ'!AC223</f>
        <v>180</v>
      </c>
      <c r="H220" s="7">
        <f>'[1]2021 УГРЦТ'!X223</f>
        <v>85301.6</v>
      </c>
      <c r="I220" s="7">
        <f>'[1]2021 УГРЦТ'!Y223</f>
        <v>70611.073333333334</v>
      </c>
      <c r="J220" s="7">
        <f>'[1]2021 УГРЦТ'!Z223</f>
        <v>14690.526666666672</v>
      </c>
      <c r="K220" s="8">
        <v>0</v>
      </c>
      <c r="L220" s="7">
        <v>473.89999999999992</v>
      </c>
      <c r="M220" s="7"/>
      <c r="N220" s="7">
        <f t="shared" si="1035"/>
        <v>5686.7999999999993</v>
      </c>
      <c r="O220" s="7">
        <f t="shared" si="1161"/>
        <v>14216.626666666672</v>
      </c>
      <c r="P220" s="7">
        <f t="shared" si="1281"/>
        <v>13742.726666666673</v>
      </c>
      <c r="Q220" s="7">
        <f t="shared" si="1281"/>
        <v>13268.826666666673</v>
      </c>
      <c r="R220" s="7">
        <f t="shared" si="1281"/>
        <v>12794.926666666674</v>
      </c>
      <c r="S220" s="7">
        <f t="shared" si="1281"/>
        <v>12321.026666666674</v>
      </c>
      <c r="T220" s="7">
        <f t="shared" si="1281"/>
        <v>11847.126666666674</v>
      </c>
      <c r="U220" s="7">
        <f t="shared" si="1281"/>
        <v>11373.226666666675</v>
      </c>
      <c r="V220" s="7">
        <f t="shared" si="1281"/>
        <v>10899.326666666675</v>
      </c>
      <c r="W220" s="7">
        <f t="shared" si="1281"/>
        <v>10425.426666666675</v>
      </c>
      <c r="X220" s="7">
        <f t="shared" si="1281"/>
        <v>9951.5266666666757</v>
      </c>
      <c r="Y220" s="7">
        <f t="shared" si="1281"/>
        <v>9477.6266666666761</v>
      </c>
      <c r="Z220" s="7">
        <f t="shared" si="1281"/>
        <v>9003.7266666666765</v>
      </c>
      <c r="AA220" s="7"/>
      <c r="AB220" s="7"/>
      <c r="AC220" s="7">
        <f t="shared" si="1162"/>
        <v>5686.7999999999993</v>
      </c>
      <c r="AD220" s="7">
        <f t="shared" si="1163"/>
        <v>8529.8266666666768</v>
      </c>
      <c r="AE220" s="7">
        <f t="shared" si="1282"/>
        <v>8055.9266666666772</v>
      </c>
      <c r="AF220" s="7">
        <f t="shared" si="1282"/>
        <v>7582.0266666666776</v>
      </c>
      <c r="AG220" s="7">
        <f t="shared" si="1282"/>
        <v>7108.1266666666779</v>
      </c>
      <c r="AH220" s="7">
        <f t="shared" si="1282"/>
        <v>6634.2266666666783</v>
      </c>
      <c r="AI220" s="7">
        <f t="shared" si="1282"/>
        <v>6160.3266666666786</v>
      </c>
      <c r="AJ220" s="7">
        <f t="shared" si="1282"/>
        <v>5686.426666666679</v>
      </c>
      <c r="AK220" s="7">
        <f t="shared" si="1282"/>
        <v>5212.5266666666794</v>
      </c>
      <c r="AL220" s="7">
        <f t="shared" si="1282"/>
        <v>4738.6266666666797</v>
      </c>
      <c r="AM220" s="7">
        <f t="shared" si="1282"/>
        <v>4264.7266666666801</v>
      </c>
      <c r="AN220" s="7">
        <f t="shared" si="1282"/>
        <v>3790.82666666668</v>
      </c>
      <c r="AO220" s="7">
        <f t="shared" si="1282"/>
        <v>3316.9266666666799</v>
      </c>
      <c r="AP220" s="222"/>
      <c r="AQ220" s="7">
        <v>473.89999999999992</v>
      </c>
      <c r="AR220" s="7">
        <f t="shared" si="1164"/>
        <v>473.90000000000009</v>
      </c>
      <c r="AS220" s="7">
        <f t="shared" si="1165"/>
        <v>0</v>
      </c>
      <c r="AT220" s="7">
        <f>L220*7-0.37</f>
        <v>3316.9299999999994</v>
      </c>
      <c r="AU220" s="7">
        <f>AO220-$L220</f>
        <v>2843.0266666666798</v>
      </c>
      <c r="AV220" s="7">
        <f t="shared" ref="AV220:BF222" si="1284">AU220-$L220</f>
        <v>2369.1266666666797</v>
      </c>
      <c r="AW220" s="7">
        <f t="shared" si="1284"/>
        <v>1895.2266666666799</v>
      </c>
      <c r="AX220" s="7">
        <f t="shared" si="1284"/>
        <v>1421.32666666668</v>
      </c>
      <c r="AY220" s="7">
        <f t="shared" si="1284"/>
        <v>947.42666666668015</v>
      </c>
      <c r="AZ220" s="7">
        <f t="shared" si="1284"/>
        <v>473.52666666668023</v>
      </c>
      <c r="BA220" s="7"/>
      <c r="BB220" s="7"/>
      <c r="BC220" s="7"/>
      <c r="BD220" s="7"/>
      <c r="BE220" s="7"/>
      <c r="BF220" s="7"/>
      <c r="BG220" s="236">
        <f t="shared" si="1158"/>
        <v>0</v>
      </c>
      <c r="BH220" s="7">
        <v>473.89999999999992</v>
      </c>
      <c r="BI220" s="39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236">
        <f t="shared" si="1232"/>
        <v>0</v>
      </c>
      <c r="BW220" s="7">
        <v>473.89999999999992</v>
      </c>
      <c r="BX220" s="39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236">
        <f t="shared" si="1234"/>
        <v>0</v>
      </c>
      <c r="CL220" s="7">
        <v>473.89999999999992</v>
      </c>
      <c r="CM220" s="39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236">
        <f t="shared" si="1236"/>
        <v>0</v>
      </c>
    </row>
    <row r="221" spans="1:104" x14ac:dyDescent="0.2">
      <c r="A221" s="6" t="str">
        <f>'[1]2021 УГРЦТ'!A224</f>
        <v>Камера КСО 298-6.1 ВВ-600, зав.№2235.1</v>
      </c>
      <c r="B221" t="str">
        <f>'[1]2021 УГРЦТ'!B224</f>
        <v>000001739</v>
      </c>
      <c r="C221" t="str">
        <f>'[1]2021 УГРЦТ'!C224</f>
        <v>ПЕРЕДАЧА</v>
      </c>
      <c r="D221" t="str">
        <f>'[1]2021 УГРЦТ'!D224</f>
        <v>Машины и оборудование (кроме офисного)</v>
      </c>
      <c r="E221" t="str">
        <f>'[1]2021 УГРЦТ'!E224</f>
        <v>31.07.2018</v>
      </c>
      <c r="F221" t="str">
        <f>'[1]2021 УГРЦТ'!F224</f>
        <v>Цех электрических сетей</v>
      </c>
      <c r="G221">
        <f>'[1]2021 УГРЦТ'!AC224</f>
        <v>240</v>
      </c>
      <c r="H221" s="7">
        <f>'[1]2021 УГРЦТ'!X224</f>
        <v>749690.38</v>
      </c>
      <c r="I221" s="7">
        <f>'[1]2021 УГРЦТ'!Y224</f>
        <v>128072.109</v>
      </c>
      <c r="J221" s="7">
        <f>'[1]2021 УГРЦТ'!Z224</f>
        <v>621618.27099999995</v>
      </c>
      <c r="K221" s="8">
        <v>0</v>
      </c>
      <c r="L221" s="7">
        <v>3123.7099999999996</v>
      </c>
      <c r="M221" s="7"/>
      <c r="N221" s="7">
        <f t="shared" si="1035"/>
        <v>37484.519999999997</v>
      </c>
      <c r="O221" s="7">
        <f t="shared" si="1161"/>
        <v>618494.56099999999</v>
      </c>
      <c r="P221" s="7">
        <f t="shared" si="1281"/>
        <v>615370.85100000002</v>
      </c>
      <c r="Q221" s="7">
        <f t="shared" si="1281"/>
        <v>612247.14100000006</v>
      </c>
      <c r="R221" s="7">
        <f t="shared" si="1281"/>
        <v>609123.4310000001</v>
      </c>
      <c r="S221" s="7">
        <f t="shared" si="1281"/>
        <v>605999.72100000014</v>
      </c>
      <c r="T221" s="7">
        <f t="shared" si="1281"/>
        <v>602876.01100000017</v>
      </c>
      <c r="U221" s="7">
        <f t="shared" si="1281"/>
        <v>599752.30100000021</v>
      </c>
      <c r="V221" s="7">
        <f t="shared" si="1281"/>
        <v>596628.59100000025</v>
      </c>
      <c r="W221" s="7">
        <f t="shared" si="1281"/>
        <v>593504.88100000028</v>
      </c>
      <c r="X221" s="7">
        <f t="shared" si="1281"/>
        <v>590381.17100000032</v>
      </c>
      <c r="Y221" s="7">
        <f t="shared" si="1281"/>
        <v>587257.46100000036</v>
      </c>
      <c r="Z221" s="7">
        <f t="shared" si="1281"/>
        <v>584133.7510000004</v>
      </c>
      <c r="AA221" s="7"/>
      <c r="AB221" s="7"/>
      <c r="AC221" s="7">
        <f t="shared" si="1162"/>
        <v>37484.519999999997</v>
      </c>
      <c r="AD221" s="7">
        <f t="shared" si="1163"/>
        <v>581010.04100000043</v>
      </c>
      <c r="AE221" s="7">
        <f t="shared" si="1282"/>
        <v>577886.33100000047</v>
      </c>
      <c r="AF221" s="7">
        <f t="shared" si="1282"/>
        <v>574762.62100000051</v>
      </c>
      <c r="AG221" s="7">
        <f t="shared" si="1282"/>
        <v>571638.91100000055</v>
      </c>
      <c r="AH221" s="7">
        <f t="shared" si="1282"/>
        <v>568515.20100000058</v>
      </c>
      <c r="AI221" s="7">
        <f t="shared" si="1282"/>
        <v>565391.49100000062</v>
      </c>
      <c r="AJ221" s="7">
        <f t="shared" si="1282"/>
        <v>562267.78100000066</v>
      </c>
      <c r="AK221" s="7">
        <f t="shared" si="1282"/>
        <v>559144.07100000069</v>
      </c>
      <c r="AL221" s="7">
        <f t="shared" si="1282"/>
        <v>556020.36100000073</v>
      </c>
      <c r="AM221" s="7">
        <f t="shared" si="1282"/>
        <v>552896.65100000077</v>
      </c>
      <c r="AN221" s="7">
        <f t="shared" si="1282"/>
        <v>549772.94100000081</v>
      </c>
      <c r="AO221" s="7">
        <f t="shared" si="1282"/>
        <v>546649.23100000084</v>
      </c>
      <c r="AP221" s="222"/>
      <c r="AQ221" s="7">
        <v>3123.7099999999996</v>
      </c>
      <c r="AR221" s="7">
        <f t="shared" si="1164"/>
        <v>3123.7099999999627</v>
      </c>
      <c r="AS221" s="7">
        <f t="shared" si="1165"/>
        <v>-3.6834535421803594E-11</v>
      </c>
      <c r="AT221" s="7">
        <f t="shared" ref="AT221:AT222" si="1285">L221*12</f>
        <v>37484.519999999997</v>
      </c>
      <c r="AU221" s="7">
        <f>AO221-$L221</f>
        <v>543525.52100000088</v>
      </c>
      <c r="AV221" s="7">
        <f t="shared" si="1284"/>
        <v>540401.81100000092</v>
      </c>
      <c r="AW221" s="7">
        <f t="shared" si="1284"/>
        <v>537278.10100000096</v>
      </c>
      <c r="AX221" s="7">
        <f t="shared" si="1284"/>
        <v>534154.39100000099</v>
      </c>
      <c r="AY221" s="7">
        <f t="shared" si="1284"/>
        <v>531030.68100000103</v>
      </c>
      <c r="AZ221" s="7">
        <f t="shared" si="1284"/>
        <v>527906.97100000107</v>
      </c>
      <c r="BA221" s="7">
        <f t="shared" si="1284"/>
        <v>524783.2610000011</v>
      </c>
      <c r="BB221" s="7">
        <f t="shared" si="1284"/>
        <v>521659.55100000108</v>
      </c>
      <c r="BC221" s="7">
        <f t="shared" si="1284"/>
        <v>518535.84100000106</v>
      </c>
      <c r="BD221" s="7">
        <f t="shared" si="1284"/>
        <v>515412.13100000104</v>
      </c>
      <c r="BE221" s="7">
        <f t="shared" si="1284"/>
        <v>512288.42100000102</v>
      </c>
      <c r="BF221" s="7">
        <f t="shared" si="1284"/>
        <v>509164.711000001</v>
      </c>
      <c r="BG221" s="236">
        <f t="shared" si="1158"/>
        <v>0</v>
      </c>
      <c r="BH221" s="7">
        <v>3123.7099999999996</v>
      </c>
      <c r="BI221" s="39">
        <f>BH221*12</f>
        <v>37484.519999999997</v>
      </c>
      <c r="BJ221" s="7">
        <f>BF221-BH221</f>
        <v>506041.00100000098</v>
      </c>
      <c r="BK221" s="7">
        <f t="shared" ref="BK221:BK222" si="1286">BJ221-$L221</f>
        <v>502917.29100000096</v>
      </c>
      <c r="BL221" s="7">
        <f t="shared" ref="BL221:BL222" si="1287">BK221-$L221</f>
        <v>499793.58100000094</v>
      </c>
      <c r="BM221" s="7">
        <f t="shared" ref="BM221:BM222" si="1288">BL221-$L221</f>
        <v>496669.87100000092</v>
      </c>
      <c r="BN221" s="7">
        <f t="shared" ref="BN221:BN222" si="1289">BM221-$L221</f>
        <v>493546.1610000009</v>
      </c>
      <c r="BO221" s="7">
        <f t="shared" ref="BO221:BO222" si="1290">BN221-$L221</f>
        <v>490422.45100000087</v>
      </c>
      <c r="BP221" s="7">
        <f t="shared" ref="BP221:BP222" si="1291">BO221-$L221</f>
        <v>487298.74100000085</v>
      </c>
      <c r="BQ221" s="7">
        <f t="shared" ref="BQ221:BQ222" si="1292">BP221-$L221</f>
        <v>484175.03100000083</v>
      </c>
      <c r="BR221" s="7">
        <f t="shared" ref="BR221:BR222" si="1293">BQ221-$L221</f>
        <v>481051.32100000081</v>
      </c>
      <c r="BS221" s="7">
        <f t="shared" ref="BS221:BS222" si="1294">BR221-$L221</f>
        <v>477927.61100000079</v>
      </c>
      <c r="BT221" s="7">
        <f t="shared" ref="BT221:BT222" si="1295">BS221-$L221</f>
        <v>474803.90100000077</v>
      </c>
      <c r="BU221" s="7">
        <f t="shared" ref="BU221:BU222" si="1296">BT221-$L221</f>
        <v>471680.19100000075</v>
      </c>
      <c r="BV221" s="236">
        <v>0</v>
      </c>
      <c r="BW221" s="7">
        <v>3123.7099999999996</v>
      </c>
      <c r="BX221" s="39">
        <f>BW221*12</f>
        <v>37484.519999999997</v>
      </c>
      <c r="BY221" s="7">
        <f>BU221-BW221</f>
        <v>468556.48100000073</v>
      </c>
      <c r="BZ221" s="7">
        <f t="shared" ref="BZ221:BZ222" si="1297">BY221-$L221</f>
        <v>465432.77100000071</v>
      </c>
      <c r="CA221" s="7">
        <f t="shared" ref="CA221:CA222" si="1298">BZ221-$L221</f>
        <v>462309.06100000069</v>
      </c>
      <c r="CB221" s="7">
        <f t="shared" ref="CB221:CB222" si="1299">CA221-$L221</f>
        <v>459185.35100000066</v>
      </c>
      <c r="CC221" s="7">
        <f t="shared" ref="CC221:CC222" si="1300">CB221-$L221</f>
        <v>456061.64100000064</v>
      </c>
      <c r="CD221" s="7">
        <f t="shared" ref="CD221:CD222" si="1301">CC221-$L221</f>
        <v>452937.93100000062</v>
      </c>
      <c r="CE221" s="7">
        <f t="shared" ref="CE221:CE222" si="1302">CD221-$L221</f>
        <v>449814.2210000006</v>
      </c>
      <c r="CF221" s="7">
        <f t="shared" ref="CF221:CF222" si="1303">CE221-$L221</f>
        <v>446690.51100000058</v>
      </c>
      <c r="CG221" s="7">
        <f t="shared" ref="CG221:CG222" si="1304">CF221-$L221</f>
        <v>443566.80100000056</v>
      </c>
      <c r="CH221" s="7">
        <f t="shared" ref="CH221:CH222" si="1305">CG221-$L221</f>
        <v>440443.09100000054</v>
      </c>
      <c r="CI221" s="7">
        <f t="shared" ref="CI221:CI222" si="1306">CH221-$L221</f>
        <v>437319.38100000052</v>
      </c>
      <c r="CJ221" s="7">
        <f t="shared" ref="CJ221:CJ222" si="1307">CI221-$L221</f>
        <v>434195.6710000005</v>
      </c>
      <c r="CK221" s="236">
        <v>0</v>
      </c>
      <c r="CL221" s="7">
        <v>3123.7099999999996</v>
      </c>
      <c r="CM221" s="39">
        <f>CL221*12</f>
        <v>37484.519999999997</v>
      </c>
      <c r="CN221" s="7">
        <f>CJ221-CL221</f>
        <v>431071.96100000048</v>
      </c>
      <c r="CO221" s="7">
        <f t="shared" ref="CO221:CO222" si="1308">CN221-$L221</f>
        <v>427948.25100000045</v>
      </c>
      <c r="CP221" s="7">
        <f t="shared" ref="CP221:CP222" si="1309">CO221-$L221</f>
        <v>424824.54100000043</v>
      </c>
      <c r="CQ221" s="7">
        <f t="shared" ref="CQ221:CQ222" si="1310">CP221-$L221</f>
        <v>421700.83100000041</v>
      </c>
      <c r="CR221" s="7">
        <f t="shared" ref="CR221:CR222" si="1311">CQ221-$L221</f>
        <v>418577.12100000039</v>
      </c>
      <c r="CS221" s="7">
        <f t="shared" ref="CS221:CS222" si="1312">CR221-$L221</f>
        <v>415453.41100000037</v>
      </c>
      <c r="CT221" s="7">
        <f t="shared" ref="CT221:CT222" si="1313">CS221-$L221</f>
        <v>412329.70100000035</v>
      </c>
      <c r="CU221" s="7">
        <f t="shared" ref="CU221:CU222" si="1314">CT221-$L221</f>
        <v>409205.99100000033</v>
      </c>
      <c r="CV221" s="7">
        <f t="shared" ref="CV221:CV222" si="1315">CU221-$L221</f>
        <v>406082.28100000031</v>
      </c>
      <c r="CW221" s="7">
        <f t="shared" ref="CW221:CW222" si="1316">CV221-$L221</f>
        <v>402958.57100000029</v>
      </c>
      <c r="CX221" s="7">
        <f t="shared" ref="CX221:CX222" si="1317">CW221-$L221</f>
        <v>399834.86100000027</v>
      </c>
      <c r="CY221" s="7">
        <f t="shared" ref="CY221:CY222" si="1318">CX221-$L221</f>
        <v>396711.15100000025</v>
      </c>
      <c r="CZ221" s="236">
        <v>0</v>
      </c>
    </row>
    <row r="222" spans="1:104" x14ac:dyDescent="0.2">
      <c r="A222" s="6" t="str">
        <f>'[1]2021 УГРЦТ'!A225</f>
        <v>Камера КСО 298-8.1 ВВ-600, зав.№2235.2</v>
      </c>
      <c r="B222" t="str">
        <f>'[1]2021 УГРЦТ'!B225</f>
        <v>000001740</v>
      </c>
      <c r="C222" t="str">
        <f>'[1]2021 УГРЦТ'!C225</f>
        <v>ПЕРЕДАЧА</v>
      </c>
      <c r="D222" t="str">
        <f>'[1]2021 УГРЦТ'!D225</f>
        <v>Машины и оборудование (кроме офисного)</v>
      </c>
      <c r="E222" t="str">
        <f>'[1]2021 УГРЦТ'!E225</f>
        <v>31.07.2018</v>
      </c>
      <c r="F222" t="str">
        <f>'[1]2021 УГРЦТ'!F225</f>
        <v>Цех электрических сетей</v>
      </c>
      <c r="G222">
        <f>'[1]2021 УГРЦТ'!AC225</f>
        <v>240</v>
      </c>
      <c r="H222" s="7">
        <f>'[1]2021 УГРЦТ'!X225</f>
        <v>720334.85</v>
      </c>
      <c r="I222" s="7">
        <f>'[1]2021 УГРЦТ'!Y225</f>
        <v>123057.34250000001</v>
      </c>
      <c r="J222" s="7">
        <f>'[1]2021 УГРЦТ'!Z225</f>
        <v>597277.50749999995</v>
      </c>
      <c r="K222" s="8">
        <v>0</v>
      </c>
      <c r="L222" s="7">
        <v>3001.39</v>
      </c>
      <c r="M222" s="7"/>
      <c r="N222" s="7">
        <f t="shared" si="1035"/>
        <v>36016.68</v>
      </c>
      <c r="O222" s="7">
        <f t="shared" si="1161"/>
        <v>594276.11749999993</v>
      </c>
      <c r="P222" s="7">
        <f t="shared" si="1281"/>
        <v>591274.72749999992</v>
      </c>
      <c r="Q222" s="7">
        <f t="shared" si="1281"/>
        <v>588273.33749999991</v>
      </c>
      <c r="R222" s="7">
        <f t="shared" si="1281"/>
        <v>585271.94749999989</v>
      </c>
      <c r="S222" s="7">
        <f t="shared" si="1281"/>
        <v>582270.55749999988</v>
      </c>
      <c r="T222" s="7">
        <f t="shared" si="1281"/>
        <v>579269.16749999986</v>
      </c>
      <c r="U222" s="7">
        <f t="shared" si="1281"/>
        <v>576267.77749999985</v>
      </c>
      <c r="V222" s="7">
        <f t="shared" si="1281"/>
        <v>573266.38749999984</v>
      </c>
      <c r="W222" s="7">
        <f t="shared" si="1281"/>
        <v>570264.99749999982</v>
      </c>
      <c r="X222" s="7">
        <f t="shared" si="1281"/>
        <v>567263.60749999981</v>
      </c>
      <c r="Y222" s="7">
        <f t="shared" si="1281"/>
        <v>564262.2174999998</v>
      </c>
      <c r="Z222" s="7">
        <f t="shared" si="1281"/>
        <v>561260.82749999978</v>
      </c>
      <c r="AA222" s="7"/>
      <c r="AB222" s="7"/>
      <c r="AC222" s="7">
        <f t="shared" si="1162"/>
        <v>36016.68</v>
      </c>
      <c r="AD222" s="7">
        <f t="shared" si="1163"/>
        <v>558259.43749999977</v>
      </c>
      <c r="AE222" s="7">
        <f t="shared" si="1282"/>
        <v>555258.04749999975</v>
      </c>
      <c r="AF222" s="7">
        <f t="shared" si="1282"/>
        <v>552256.65749999974</v>
      </c>
      <c r="AG222" s="7">
        <f t="shared" si="1282"/>
        <v>549255.26749999973</v>
      </c>
      <c r="AH222" s="7">
        <f t="shared" si="1282"/>
        <v>546253.87749999971</v>
      </c>
      <c r="AI222" s="7">
        <f t="shared" si="1282"/>
        <v>543252.4874999997</v>
      </c>
      <c r="AJ222" s="7">
        <f t="shared" si="1282"/>
        <v>540251.09749999968</v>
      </c>
      <c r="AK222" s="7">
        <f t="shared" si="1282"/>
        <v>537249.70749999967</v>
      </c>
      <c r="AL222" s="7">
        <f t="shared" si="1282"/>
        <v>534248.31749999966</v>
      </c>
      <c r="AM222" s="7">
        <f t="shared" si="1282"/>
        <v>531246.92749999964</v>
      </c>
      <c r="AN222" s="7">
        <f t="shared" si="1282"/>
        <v>528245.53749999963</v>
      </c>
      <c r="AO222" s="7">
        <f t="shared" si="1282"/>
        <v>525244.14749999961</v>
      </c>
      <c r="AP222" s="222"/>
      <c r="AQ222" s="7">
        <v>3001.39</v>
      </c>
      <c r="AR222" s="7">
        <f t="shared" si="1164"/>
        <v>3001.390000000014</v>
      </c>
      <c r="AS222" s="7">
        <f t="shared" si="1165"/>
        <v>1.4097167877480388E-11</v>
      </c>
      <c r="AT222" s="7">
        <f t="shared" si="1285"/>
        <v>36016.68</v>
      </c>
      <c r="AU222" s="7">
        <f>AO222-$L222</f>
        <v>522242.7574999996</v>
      </c>
      <c r="AV222" s="7">
        <f t="shared" si="1284"/>
        <v>519241.36749999959</v>
      </c>
      <c r="AW222" s="7">
        <f t="shared" si="1284"/>
        <v>516239.97749999957</v>
      </c>
      <c r="AX222" s="7">
        <f t="shared" si="1284"/>
        <v>513238.58749999956</v>
      </c>
      <c r="AY222" s="7">
        <f t="shared" si="1284"/>
        <v>510237.19749999954</v>
      </c>
      <c r="AZ222" s="7">
        <f t="shared" si="1284"/>
        <v>507235.80749999953</v>
      </c>
      <c r="BA222" s="7">
        <f t="shared" si="1284"/>
        <v>504234.41749999952</v>
      </c>
      <c r="BB222" s="7">
        <f t="shared" si="1284"/>
        <v>501233.0274999995</v>
      </c>
      <c r="BC222" s="7">
        <f t="shared" si="1284"/>
        <v>498231.63749999949</v>
      </c>
      <c r="BD222" s="7">
        <f t="shared" si="1284"/>
        <v>495230.24749999947</v>
      </c>
      <c r="BE222" s="7">
        <f t="shared" si="1284"/>
        <v>492228.85749999946</v>
      </c>
      <c r="BF222" s="7">
        <f t="shared" si="1284"/>
        <v>489227.46749999945</v>
      </c>
      <c r="BG222" s="236">
        <f t="shared" si="1158"/>
        <v>0</v>
      </c>
      <c r="BH222" s="7">
        <v>3001.39</v>
      </c>
      <c r="BI222" s="39">
        <f>BH222*12</f>
        <v>36016.68</v>
      </c>
      <c r="BJ222" s="7">
        <f>BF222-BH222</f>
        <v>486226.07749999943</v>
      </c>
      <c r="BK222" s="7">
        <f t="shared" si="1286"/>
        <v>483224.68749999942</v>
      </c>
      <c r="BL222" s="7">
        <f t="shared" si="1287"/>
        <v>480223.2974999994</v>
      </c>
      <c r="BM222" s="7">
        <f t="shared" si="1288"/>
        <v>477221.90749999939</v>
      </c>
      <c r="BN222" s="7">
        <f t="shared" si="1289"/>
        <v>474220.51749999938</v>
      </c>
      <c r="BO222" s="7">
        <f t="shared" si="1290"/>
        <v>471219.12749999936</v>
      </c>
      <c r="BP222" s="7">
        <f t="shared" si="1291"/>
        <v>468217.73749999935</v>
      </c>
      <c r="BQ222" s="7">
        <f t="shared" si="1292"/>
        <v>465216.34749999933</v>
      </c>
      <c r="BR222" s="7">
        <f t="shared" si="1293"/>
        <v>462214.95749999932</v>
      </c>
      <c r="BS222" s="7">
        <f t="shared" si="1294"/>
        <v>459213.56749999931</v>
      </c>
      <c r="BT222" s="7">
        <f t="shared" si="1295"/>
        <v>456212.17749999929</v>
      </c>
      <c r="BU222" s="7">
        <f t="shared" si="1296"/>
        <v>453210.78749999928</v>
      </c>
      <c r="BV222" s="236">
        <v>0</v>
      </c>
      <c r="BW222" s="7">
        <v>3001.39</v>
      </c>
      <c r="BX222" s="39">
        <f>BW222*12</f>
        <v>36016.68</v>
      </c>
      <c r="BY222" s="7">
        <f>BU222-BW222</f>
        <v>450209.39749999926</v>
      </c>
      <c r="BZ222" s="7">
        <f t="shared" si="1297"/>
        <v>447208.00749999925</v>
      </c>
      <c r="CA222" s="7">
        <f t="shared" si="1298"/>
        <v>444206.61749999924</v>
      </c>
      <c r="CB222" s="7">
        <f t="shared" si="1299"/>
        <v>441205.22749999922</v>
      </c>
      <c r="CC222" s="7">
        <f t="shared" si="1300"/>
        <v>438203.83749999921</v>
      </c>
      <c r="CD222" s="7">
        <f t="shared" si="1301"/>
        <v>435202.44749999919</v>
      </c>
      <c r="CE222" s="7">
        <f t="shared" si="1302"/>
        <v>432201.05749999918</v>
      </c>
      <c r="CF222" s="7">
        <f t="shared" si="1303"/>
        <v>429199.66749999917</v>
      </c>
      <c r="CG222" s="7">
        <f t="shared" si="1304"/>
        <v>426198.27749999915</v>
      </c>
      <c r="CH222" s="7">
        <f t="shared" si="1305"/>
        <v>423196.88749999914</v>
      </c>
      <c r="CI222" s="7">
        <f t="shared" si="1306"/>
        <v>420195.49749999912</v>
      </c>
      <c r="CJ222" s="7">
        <f t="shared" si="1307"/>
        <v>417194.10749999911</v>
      </c>
      <c r="CK222" s="236">
        <v>0</v>
      </c>
      <c r="CL222" s="7">
        <v>3001.39</v>
      </c>
      <c r="CM222" s="39">
        <f>CL222*12</f>
        <v>36016.68</v>
      </c>
      <c r="CN222" s="7">
        <f>CJ222-CL222</f>
        <v>414192.7174999991</v>
      </c>
      <c r="CO222" s="7">
        <f t="shared" si="1308"/>
        <v>411191.32749999908</v>
      </c>
      <c r="CP222" s="7">
        <f t="shared" si="1309"/>
        <v>408189.93749999907</v>
      </c>
      <c r="CQ222" s="7">
        <f t="shared" si="1310"/>
        <v>405188.54749999905</v>
      </c>
      <c r="CR222" s="7">
        <f t="shared" si="1311"/>
        <v>402187.15749999904</v>
      </c>
      <c r="CS222" s="7">
        <f t="shared" si="1312"/>
        <v>399185.76749999903</v>
      </c>
      <c r="CT222" s="7">
        <f t="shared" si="1313"/>
        <v>396184.37749999901</v>
      </c>
      <c r="CU222" s="7">
        <f t="shared" si="1314"/>
        <v>393182.987499999</v>
      </c>
      <c r="CV222" s="7">
        <f t="shared" si="1315"/>
        <v>390181.59749999898</v>
      </c>
      <c r="CW222" s="7">
        <f t="shared" si="1316"/>
        <v>387180.20749999897</v>
      </c>
      <c r="CX222" s="7">
        <f t="shared" si="1317"/>
        <v>384178.81749999896</v>
      </c>
      <c r="CY222" s="7">
        <f t="shared" si="1318"/>
        <v>381177.42749999894</v>
      </c>
      <c r="CZ222" s="236">
        <v>0</v>
      </c>
    </row>
    <row r="223" spans="1:104" x14ac:dyDescent="0.2">
      <c r="A223" s="6" t="str">
        <f>'[1]2021 УГРЦТ'!A226</f>
        <v>Камера КСО 393-03 № 1113</v>
      </c>
      <c r="B223" t="str">
        <f>'[1]2021 УГРЦТ'!B226</f>
        <v>00000911</v>
      </c>
      <c r="C223" t="str">
        <f>'[1]2021 УГРЦТ'!C226</f>
        <v>ПЕРЕДАЧА</v>
      </c>
      <c r="D223" t="str">
        <f>'[1]2021 УГРЦТ'!D226</f>
        <v>Машины и оборудование (кроме офисного)</v>
      </c>
      <c r="E223" t="str">
        <f>'[1]2021 УГРЦТ'!E226</f>
        <v>31.08.2006</v>
      </c>
      <c r="F223" t="str">
        <f>'[1]2021 УГРЦТ'!F226</f>
        <v>Цех электрических сетей</v>
      </c>
      <c r="G223">
        <f>'[1]2021 УГРЦТ'!AC226</f>
        <v>180</v>
      </c>
      <c r="H223" s="7">
        <f>'[1]2021 УГРЦТ'!X226</f>
        <v>26916</v>
      </c>
      <c r="I223" s="7">
        <f>'[1]2021 УГРЦТ'!Y226</f>
        <v>26916</v>
      </c>
      <c r="J223" s="7">
        <f>'[1]2021 УГРЦТ'!Z226</f>
        <v>0</v>
      </c>
      <c r="K223" s="8">
        <v>0</v>
      </c>
      <c r="L223" s="7">
        <v>0</v>
      </c>
      <c r="M223" s="7"/>
      <c r="N223" s="7">
        <f t="shared" si="1035"/>
        <v>0</v>
      </c>
      <c r="O223" s="7">
        <f t="shared" si="1161"/>
        <v>0</v>
      </c>
      <c r="P223" s="7">
        <f t="shared" si="1281"/>
        <v>0</v>
      </c>
      <c r="Q223" s="7">
        <f t="shared" si="1281"/>
        <v>0</v>
      </c>
      <c r="R223" s="7">
        <f t="shared" si="1281"/>
        <v>0</v>
      </c>
      <c r="S223" s="7">
        <f t="shared" si="1281"/>
        <v>0</v>
      </c>
      <c r="T223" s="7">
        <f t="shared" si="1281"/>
        <v>0</v>
      </c>
      <c r="U223" s="7">
        <f t="shared" si="1281"/>
        <v>0</v>
      </c>
      <c r="V223" s="7">
        <f t="shared" si="1281"/>
        <v>0</v>
      </c>
      <c r="W223" s="7">
        <f t="shared" si="1281"/>
        <v>0</v>
      </c>
      <c r="X223" s="7">
        <f t="shared" si="1281"/>
        <v>0</v>
      </c>
      <c r="Y223" s="7">
        <f t="shared" si="1281"/>
        <v>0</v>
      </c>
      <c r="Z223" s="7">
        <f t="shared" si="1281"/>
        <v>0</v>
      </c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222"/>
      <c r="AQ223" s="7">
        <v>0</v>
      </c>
      <c r="AR223" s="7">
        <f t="shared" si="1164"/>
        <v>0</v>
      </c>
      <c r="AS223" s="7">
        <f t="shared" si="1165"/>
        <v>0</v>
      </c>
      <c r="BG223" s="236">
        <f t="shared" si="1158"/>
        <v>0</v>
      </c>
      <c r="BH223" s="7">
        <v>0</v>
      </c>
      <c r="BI223" s="39"/>
      <c r="BV223" s="236">
        <f>IF(Z223&lt;1,0,SUM(BJ223:BU223,BF223)/13*$BG$1)</f>
        <v>0</v>
      </c>
      <c r="BW223" s="7">
        <v>0</v>
      </c>
      <c r="BX223" s="39"/>
      <c r="CK223" s="236">
        <f>IF(AO223&lt;1,0,SUM(BY223:CJ223,BU223)/13*$BG$1)</f>
        <v>0</v>
      </c>
      <c r="CL223" s="7">
        <v>0</v>
      </c>
      <c r="CM223" s="39"/>
      <c r="CZ223" s="236">
        <f>IF(BF223&lt;1,0,SUM(CN223:CY223,CJ223)/13*$BG$1)</f>
        <v>0</v>
      </c>
    </row>
    <row r="224" spans="1:104" x14ac:dyDescent="0.2">
      <c r="A224" s="6" t="str">
        <f>'[1]2021 УГРЦТ'!A227</f>
        <v>Камера КСО 393-03 №1</v>
      </c>
      <c r="B224" t="str">
        <f>'[1]2021 УГРЦТ'!B227</f>
        <v>00001240</v>
      </c>
      <c r="C224" t="str">
        <f>'[1]2021 УГРЦТ'!C227</f>
        <v>ПЕРЕДАЧА</v>
      </c>
      <c r="D224" t="str">
        <f>'[1]2021 УГРЦТ'!D227</f>
        <v>Машины и оборудование (кроме офисного)</v>
      </c>
      <c r="E224" t="str">
        <f>'[1]2021 УГРЦТ'!E227</f>
        <v>31.10.2010</v>
      </c>
      <c r="F224" t="str">
        <f>'[1]2021 УГРЦТ'!F227</f>
        <v>Цех электрических сетей</v>
      </c>
      <c r="G224">
        <f>'[1]2021 УГРЦТ'!AC227</f>
        <v>180</v>
      </c>
      <c r="H224" s="7">
        <f>'[1]2021 УГРЦТ'!X227</f>
        <v>29086.7</v>
      </c>
      <c r="I224" s="7">
        <f>'[1]2021 УГРЦТ'!Y227</f>
        <v>21653.093333333334</v>
      </c>
      <c r="J224" s="7">
        <f>'[1]2021 УГРЦТ'!Z227</f>
        <v>7433.6066666666666</v>
      </c>
      <c r="K224" s="8">
        <v>0</v>
      </c>
      <c r="L224" s="7">
        <v>161.6</v>
      </c>
      <c r="M224" s="7"/>
      <c r="N224" s="7">
        <f t="shared" si="1035"/>
        <v>1939.1999999999998</v>
      </c>
      <c r="O224" s="7">
        <f t="shared" si="1161"/>
        <v>7272.0066666666662</v>
      </c>
      <c r="P224" s="7">
        <f t="shared" si="1281"/>
        <v>7110.4066666666658</v>
      </c>
      <c r="Q224" s="7">
        <f t="shared" si="1281"/>
        <v>6948.8066666666655</v>
      </c>
      <c r="R224" s="7">
        <f t="shared" si="1281"/>
        <v>6787.2066666666651</v>
      </c>
      <c r="S224" s="7">
        <f t="shared" si="1281"/>
        <v>6625.6066666666648</v>
      </c>
      <c r="T224" s="7">
        <f t="shared" si="1281"/>
        <v>6464.0066666666644</v>
      </c>
      <c r="U224" s="7">
        <f t="shared" si="1281"/>
        <v>6302.406666666664</v>
      </c>
      <c r="V224" s="7">
        <f t="shared" si="1281"/>
        <v>6140.8066666666637</v>
      </c>
      <c r="W224" s="7">
        <f t="shared" si="1281"/>
        <v>5979.2066666666633</v>
      </c>
      <c r="X224" s="7">
        <f t="shared" si="1281"/>
        <v>5817.6066666666629</v>
      </c>
      <c r="Y224" s="7">
        <f t="shared" si="1281"/>
        <v>5656.0066666666626</v>
      </c>
      <c r="Z224" s="7">
        <f t="shared" si="1281"/>
        <v>5494.4066666666622</v>
      </c>
      <c r="AA224" s="7"/>
      <c r="AB224" s="7"/>
      <c r="AC224" s="7">
        <f t="shared" si="1162"/>
        <v>1939.1999999999998</v>
      </c>
      <c r="AD224" s="7">
        <f t="shared" si="1163"/>
        <v>5332.8066666666618</v>
      </c>
      <c r="AE224" s="7">
        <f t="shared" si="1282"/>
        <v>5171.2066666666615</v>
      </c>
      <c r="AF224" s="7">
        <f t="shared" si="1282"/>
        <v>5009.6066666666611</v>
      </c>
      <c r="AG224" s="7">
        <f t="shared" si="1282"/>
        <v>4848.0066666666607</v>
      </c>
      <c r="AH224" s="7">
        <f t="shared" si="1282"/>
        <v>4686.4066666666604</v>
      </c>
      <c r="AI224" s="7">
        <f t="shared" si="1282"/>
        <v>4524.80666666666</v>
      </c>
      <c r="AJ224" s="7">
        <f t="shared" si="1282"/>
        <v>4363.2066666666597</v>
      </c>
      <c r="AK224" s="7">
        <f t="shared" si="1282"/>
        <v>4201.6066666666593</v>
      </c>
      <c r="AL224" s="7">
        <f t="shared" si="1282"/>
        <v>4040.0066666666594</v>
      </c>
      <c r="AM224" s="7">
        <f t="shared" si="1282"/>
        <v>3878.4066666666595</v>
      </c>
      <c r="AN224" s="7">
        <f t="shared" si="1282"/>
        <v>3716.8066666666596</v>
      </c>
      <c r="AO224" s="7">
        <f t="shared" si="1282"/>
        <v>3555.2066666666597</v>
      </c>
      <c r="AP224" s="222"/>
      <c r="AQ224" s="7">
        <v>161.6</v>
      </c>
      <c r="AR224" s="7">
        <f t="shared" si="1164"/>
        <v>161.59999999999991</v>
      </c>
      <c r="AS224" s="7">
        <f t="shared" si="1165"/>
        <v>0</v>
      </c>
      <c r="AT224" s="7">
        <f>L224*12</f>
        <v>1939.1999999999998</v>
      </c>
      <c r="AU224" s="7">
        <f>AO224-$L224</f>
        <v>3393.6066666666597</v>
      </c>
      <c r="AV224" s="7">
        <f>AU224-$L224</f>
        <v>3232.0066666666598</v>
      </c>
      <c r="AW224" s="7">
        <f t="shared" ref="AW224:BF224" si="1319">AV224-$L224</f>
        <v>3070.4066666666599</v>
      </c>
      <c r="AX224" s="7">
        <f t="shared" si="1319"/>
        <v>2908.80666666666</v>
      </c>
      <c r="AY224" s="7">
        <f t="shared" si="1319"/>
        <v>2747.2066666666601</v>
      </c>
      <c r="AZ224" s="7">
        <f t="shared" si="1319"/>
        <v>2585.6066666666602</v>
      </c>
      <c r="BA224" s="7">
        <f t="shared" si="1319"/>
        <v>2424.0066666666603</v>
      </c>
      <c r="BB224" s="7">
        <f t="shared" si="1319"/>
        <v>2262.4066666666604</v>
      </c>
      <c r="BC224" s="7">
        <f t="shared" si="1319"/>
        <v>2100.8066666666605</v>
      </c>
      <c r="BD224" s="7">
        <f t="shared" si="1319"/>
        <v>1939.2066666666606</v>
      </c>
      <c r="BE224" s="7">
        <f t="shared" si="1319"/>
        <v>1777.6066666666607</v>
      </c>
      <c r="BF224" s="7">
        <f t="shared" si="1319"/>
        <v>1616.0066666666607</v>
      </c>
      <c r="BG224" s="236">
        <f t="shared" si="1158"/>
        <v>0</v>
      </c>
      <c r="BH224" s="7">
        <v>161.6</v>
      </c>
      <c r="BI224" s="39">
        <v>1616.01</v>
      </c>
      <c r="BJ224" s="7">
        <f>BF224-BH224</f>
        <v>1454.4066666666608</v>
      </c>
      <c r="BK224" s="7">
        <f>BJ224-$L224</f>
        <v>1292.8066666666609</v>
      </c>
      <c r="BL224" s="7">
        <f t="shared" ref="BL224" si="1320">BK224-$L224</f>
        <v>1131.206666666661</v>
      </c>
      <c r="BM224" s="7">
        <f t="shared" ref="BM224" si="1321">BL224-$L224</f>
        <v>969.606666666661</v>
      </c>
      <c r="BN224" s="7">
        <f t="shared" ref="BN224" si="1322">BM224-$L224</f>
        <v>808.00666666666098</v>
      </c>
      <c r="BO224" s="7">
        <f t="shared" ref="BO224" si="1323">BN224-$L224</f>
        <v>646.40666666666095</v>
      </c>
      <c r="BP224" s="7">
        <f t="shared" ref="BP224" si="1324">BO224-$L224</f>
        <v>484.80666666666093</v>
      </c>
      <c r="BQ224" s="7">
        <f t="shared" ref="BQ224" si="1325">BP224-$L224</f>
        <v>323.20666666666091</v>
      </c>
      <c r="BR224" s="7">
        <f t="shared" ref="BR224" si="1326">BQ224-$L224</f>
        <v>161.60666666666091</v>
      </c>
      <c r="BS224" s="7">
        <f t="shared" ref="BS224" si="1327">BR224-$L224</f>
        <v>6.6666666609194181E-3</v>
      </c>
      <c r="BT224" s="7"/>
      <c r="BU224" s="7"/>
      <c r="BV224" s="236">
        <v>0</v>
      </c>
      <c r="BW224" s="7">
        <v>161.6</v>
      </c>
      <c r="BX224" s="39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236">
        <v>0</v>
      </c>
      <c r="CL224" s="7">
        <v>161.6</v>
      </c>
      <c r="CM224" s="39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236">
        <v>0</v>
      </c>
    </row>
    <row r="225" spans="1:104" x14ac:dyDescent="0.2">
      <c r="A225" s="6" t="str">
        <f>'[1]2021 УГРЦТ'!A228</f>
        <v>Камера КСО 393-03 №1111</v>
      </c>
      <c r="B225" t="str">
        <f>'[1]2021 УГРЦТ'!B228</f>
        <v>00001005</v>
      </c>
      <c r="C225" t="str">
        <f>'[1]2021 УГРЦТ'!C228</f>
        <v>ПЕРЕДАЧА</v>
      </c>
      <c r="D225" t="str">
        <f>'[1]2021 УГРЦТ'!D228</f>
        <v>Машины и оборудование (кроме офисного)</v>
      </c>
      <c r="E225" t="str">
        <f>'[1]2021 УГРЦТ'!E228</f>
        <v>30.11.2006</v>
      </c>
      <c r="F225" t="str">
        <f>'[1]2021 УГРЦТ'!F228</f>
        <v>Цех электрических сетей</v>
      </c>
      <c r="G225">
        <f>'[1]2021 УГРЦТ'!AC228</f>
        <v>180</v>
      </c>
      <c r="H225" s="7">
        <f>'[1]2021 УГРЦТ'!X228</f>
        <v>26916</v>
      </c>
      <c r="I225" s="7">
        <f>'[1]2021 УГРЦТ'!Y228</f>
        <v>26915.996666666666</v>
      </c>
      <c r="J225" s="7">
        <f>'[1]2021 УГРЦТ'!Z228</f>
        <v>3.3333333340124227E-3</v>
      </c>
      <c r="K225" s="8">
        <v>0</v>
      </c>
      <c r="L225" s="7">
        <v>0</v>
      </c>
      <c r="M225" s="7"/>
      <c r="N225" s="7">
        <f t="shared" si="1035"/>
        <v>0</v>
      </c>
      <c r="O225" s="7">
        <f t="shared" si="1161"/>
        <v>3.3333333340124227E-3</v>
      </c>
      <c r="P225" s="7">
        <f t="shared" si="1281"/>
        <v>3.3333333340124227E-3</v>
      </c>
      <c r="Q225" s="7">
        <f t="shared" si="1281"/>
        <v>3.3333333340124227E-3</v>
      </c>
      <c r="R225" s="7">
        <f t="shared" si="1281"/>
        <v>3.3333333340124227E-3</v>
      </c>
      <c r="S225" s="7">
        <f t="shared" si="1281"/>
        <v>3.3333333340124227E-3</v>
      </c>
      <c r="T225" s="7">
        <f t="shared" si="1281"/>
        <v>3.3333333340124227E-3</v>
      </c>
      <c r="U225" s="7">
        <f t="shared" si="1281"/>
        <v>3.3333333340124227E-3</v>
      </c>
      <c r="V225" s="7">
        <f t="shared" si="1281"/>
        <v>3.3333333340124227E-3</v>
      </c>
      <c r="W225" s="7">
        <f t="shared" si="1281"/>
        <v>3.3333333340124227E-3</v>
      </c>
      <c r="X225" s="7">
        <f t="shared" si="1281"/>
        <v>3.3333333340124227E-3</v>
      </c>
      <c r="Y225" s="7">
        <f t="shared" si="1281"/>
        <v>3.3333333340124227E-3</v>
      </c>
      <c r="Z225" s="7">
        <f t="shared" si="1281"/>
        <v>3.3333333340124227E-3</v>
      </c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222"/>
      <c r="AQ225" s="7">
        <v>0</v>
      </c>
      <c r="AR225" s="7">
        <f t="shared" si="1164"/>
        <v>0</v>
      </c>
      <c r="AS225" s="7">
        <f t="shared" si="1165"/>
        <v>0</v>
      </c>
      <c r="BG225" s="236">
        <f t="shared" si="1158"/>
        <v>0</v>
      </c>
      <c r="BH225" s="7">
        <v>0</v>
      </c>
      <c r="BV225" s="236">
        <f>IF(Z225&lt;1,0,SUM(BJ225:BU225,BF225)/13*$BG$1)</f>
        <v>0</v>
      </c>
      <c r="BW225" s="7">
        <v>0</v>
      </c>
      <c r="CK225" s="236">
        <f>IF(AO225&lt;1,0,SUM(BY225:CJ225,BU225)/13*$BG$1)</f>
        <v>0</v>
      </c>
      <c r="CL225" s="7">
        <v>0</v>
      </c>
      <c r="CZ225" s="236">
        <f>IF(BF225&lt;1,0,SUM(CN225:CY225,CJ225)/13*$BG$1)</f>
        <v>0</v>
      </c>
    </row>
    <row r="226" spans="1:104" x14ac:dyDescent="0.2">
      <c r="A226" s="6" t="str">
        <f>'[1]2021 УГРЦТ'!A229</f>
        <v>Камера КСО 393-03 №1112</v>
      </c>
      <c r="B226" t="str">
        <f>'[1]2021 УГРЦТ'!B229</f>
        <v>00001006</v>
      </c>
      <c r="C226" t="str">
        <f>'[1]2021 УГРЦТ'!C229</f>
        <v>ПЕРЕДАЧА</v>
      </c>
      <c r="D226" t="str">
        <f>'[1]2021 УГРЦТ'!D229</f>
        <v>Машины и оборудование (кроме офисного)</v>
      </c>
      <c r="E226" t="str">
        <f>'[1]2021 УГРЦТ'!E229</f>
        <v>30.11.2006</v>
      </c>
      <c r="F226" t="str">
        <f>'[1]2021 УГРЦТ'!F229</f>
        <v>Цех электрических сетей</v>
      </c>
      <c r="G226">
        <f>'[1]2021 УГРЦТ'!AC229</f>
        <v>180</v>
      </c>
      <c r="H226" s="7">
        <f>'[1]2021 УГРЦТ'!X229</f>
        <v>26916</v>
      </c>
      <c r="I226" s="7">
        <f>'[1]2021 УГРЦТ'!Y229</f>
        <v>26915.996666666666</v>
      </c>
      <c r="J226" s="7">
        <f>'[1]2021 УГРЦТ'!Z229</f>
        <v>3.3333333340124227E-3</v>
      </c>
      <c r="K226" s="8">
        <v>0</v>
      </c>
      <c r="L226" s="7">
        <v>0</v>
      </c>
      <c r="M226" s="7"/>
      <c r="N226" s="7">
        <f t="shared" si="1035"/>
        <v>0</v>
      </c>
      <c r="O226" s="7">
        <f t="shared" si="1161"/>
        <v>3.3333333340124227E-3</v>
      </c>
      <c r="P226" s="7">
        <f t="shared" si="1281"/>
        <v>3.3333333340124227E-3</v>
      </c>
      <c r="Q226" s="7">
        <f t="shared" si="1281"/>
        <v>3.3333333340124227E-3</v>
      </c>
      <c r="R226" s="7">
        <f t="shared" si="1281"/>
        <v>3.3333333340124227E-3</v>
      </c>
      <c r="S226" s="7">
        <f t="shared" si="1281"/>
        <v>3.3333333340124227E-3</v>
      </c>
      <c r="T226" s="7">
        <f t="shared" si="1281"/>
        <v>3.3333333340124227E-3</v>
      </c>
      <c r="U226" s="7">
        <f t="shared" si="1281"/>
        <v>3.3333333340124227E-3</v>
      </c>
      <c r="V226" s="7">
        <f t="shared" si="1281"/>
        <v>3.3333333340124227E-3</v>
      </c>
      <c r="W226" s="7">
        <f t="shared" si="1281"/>
        <v>3.3333333340124227E-3</v>
      </c>
      <c r="X226" s="7">
        <f t="shared" si="1281"/>
        <v>3.3333333340124227E-3</v>
      </c>
      <c r="Y226" s="7">
        <f t="shared" si="1281"/>
        <v>3.3333333340124227E-3</v>
      </c>
      <c r="Z226" s="7">
        <f t="shared" si="1281"/>
        <v>3.3333333340124227E-3</v>
      </c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222"/>
      <c r="AQ226" s="7">
        <v>0</v>
      </c>
      <c r="AR226" s="7">
        <f t="shared" si="1164"/>
        <v>0</v>
      </c>
      <c r="AS226" s="7">
        <f t="shared" si="1165"/>
        <v>0</v>
      </c>
      <c r="BG226" s="236">
        <f t="shared" si="1158"/>
        <v>0</v>
      </c>
      <c r="BH226" s="7">
        <v>0</v>
      </c>
      <c r="BV226" s="236">
        <f>IF(Z226&lt;1,0,SUM(BJ226:BU226,BF226)/13*$BG$1)</f>
        <v>0</v>
      </c>
      <c r="BW226" s="7">
        <v>0</v>
      </c>
      <c r="CK226" s="236">
        <f>IF(AO226&lt;1,0,SUM(BY226:CJ226,BU226)/13*$BG$1)</f>
        <v>0</v>
      </c>
      <c r="CL226" s="7">
        <v>0</v>
      </c>
      <c r="CZ226" s="236">
        <f>IF(BF226&lt;1,0,SUM(CN226:CY226,CJ226)/13*$BG$1)</f>
        <v>0</v>
      </c>
    </row>
    <row r="227" spans="1:104" x14ac:dyDescent="0.2">
      <c r="A227" s="6" t="str">
        <f>'[1]2021 УГРЦТ'!A230</f>
        <v>Камера КСО 393-03 №2</v>
      </c>
      <c r="B227" t="str">
        <f>'[1]2021 УГРЦТ'!B230</f>
        <v>00001241</v>
      </c>
      <c r="C227" t="str">
        <f>'[1]2021 УГРЦТ'!C230</f>
        <v>ПЕРЕДАЧА</v>
      </c>
      <c r="D227" t="str">
        <f>'[1]2021 УГРЦТ'!D230</f>
        <v>Машины и оборудование (кроме офисного)</v>
      </c>
      <c r="E227" t="str">
        <f>'[1]2021 УГРЦТ'!E230</f>
        <v>31.10.2010</v>
      </c>
      <c r="F227" t="str">
        <f>'[1]2021 УГРЦТ'!F230</f>
        <v>Газотурбинный цех</v>
      </c>
      <c r="G227">
        <f>'[1]2021 УГРЦТ'!AC230</f>
        <v>180</v>
      </c>
      <c r="H227" s="7">
        <f>'[1]2021 УГРЦТ'!X230</f>
        <v>29086.7</v>
      </c>
      <c r="I227" s="7">
        <f>'[1]2021 УГРЦТ'!Y230</f>
        <v>21653.093333333334</v>
      </c>
      <c r="J227" s="7">
        <f>'[1]2021 УГРЦТ'!Z230</f>
        <v>7433.6066666666666</v>
      </c>
      <c r="K227" s="8">
        <v>0</v>
      </c>
      <c r="L227" s="7">
        <v>161.6</v>
      </c>
      <c r="M227" s="7"/>
      <c r="N227" s="7">
        <f t="shared" si="1035"/>
        <v>1939.1999999999998</v>
      </c>
      <c r="O227" s="7">
        <f t="shared" si="1161"/>
        <v>7272.0066666666662</v>
      </c>
      <c r="P227" s="7">
        <f t="shared" si="1281"/>
        <v>7110.4066666666658</v>
      </c>
      <c r="Q227" s="7">
        <f t="shared" si="1281"/>
        <v>6948.8066666666655</v>
      </c>
      <c r="R227" s="7">
        <f t="shared" si="1281"/>
        <v>6787.2066666666651</v>
      </c>
      <c r="S227" s="7">
        <f t="shared" si="1281"/>
        <v>6625.6066666666648</v>
      </c>
      <c r="T227" s="7">
        <f t="shared" si="1281"/>
        <v>6464.0066666666644</v>
      </c>
      <c r="U227" s="7">
        <f t="shared" si="1281"/>
        <v>6302.406666666664</v>
      </c>
      <c r="V227" s="7">
        <f t="shared" si="1281"/>
        <v>6140.8066666666637</v>
      </c>
      <c r="W227" s="7">
        <f t="shared" si="1281"/>
        <v>5979.2066666666633</v>
      </c>
      <c r="X227" s="7">
        <f t="shared" si="1281"/>
        <v>5817.6066666666629</v>
      </c>
      <c r="Y227" s="7">
        <f t="shared" si="1281"/>
        <v>5656.0066666666626</v>
      </c>
      <c r="Z227" s="7">
        <f t="shared" si="1281"/>
        <v>5494.4066666666622</v>
      </c>
      <c r="AA227" s="7"/>
      <c r="AB227" s="7"/>
      <c r="AC227" s="7">
        <f t="shared" si="1162"/>
        <v>1939.1999999999998</v>
      </c>
      <c r="AD227" s="7">
        <f t="shared" si="1163"/>
        <v>5332.8066666666618</v>
      </c>
      <c r="AE227" s="7">
        <f t="shared" si="1282"/>
        <v>5171.2066666666615</v>
      </c>
      <c r="AF227" s="7">
        <f t="shared" si="1282"/>
        <v>5009.6066666666611</v>
      </c>
      <c r="AG227" s="7">
        <f t="shared" si="1282"/>
        <v>4848.0066666666607</v>
      </c>
      <c r="AH227" s="7">
        <f t="shared" si="1282"/>
        <v>4686.4066666666604</v>
      </c>
      <c r="AI227" s="7">
        <f t="shared" si="1282"/>
        <v>4524.80666666666</v>
      </c>
      <c r="AJ227" s="7">
        <f t="shared" si="1282"/>
        <v>4363.2066666666597</v>
      </c>
      <c r="AK227" s="7">
        <f t="shared" si="1282"/>
        <v>4201.6066666666593</v>
      </c>
      <c r="AL227" s="7">
        <f t="shared" si="1282"/>
        <v>4040.0066666666594</v>
      </c>
      <c r="AM227" s="7">
        <f t="shared" si="1282"/>
        <v>3878.4066666666595</v>
      </c>
      <c r="AN227" s="7">
        <f t="shared" si="1282"/>
        <v>3716.8066666666596</v>
      </c>
      <c r="AO227" s="7">
        <f t="shared" si="1282"/>
        <v>3555.2066666666597</v>
      </c>
      <c r="AP227" s="222"/>
      <c r="AQ227" s="7">
        <v>161.6</v>
      </c>
      <c r="AR227" s="7">
        <f t="shared" si="1164"/>
        <v>161.59999999999991</v>
      </c>
      <c r="AS227" s="7">
        <f t="shared" si="1165"/>
        <v>0</v>
      </c>
      <c r="AT227" s="7">
        <f t="shared" ref="AT227:AT240" si="1328">L227*12</f>
        <v>1939.1999999999998</v>
      </c>
      <c r="AU227" s="7">
        <f t="shared" ref="AU227:AU242" si="1329">AO227-$L227</f>
        <v>3393.6066666666597</v>
      </c>
      <c r="AV227" s="7">
        <f t="shared" ref="AV227:BF242" si="1330">AU227-$L227</f>
        <v>3232.0066666666598</v>
      </c>
      <c r="AW227" s="7">
        <f t="shared" si="1330"/>
        <v>3070.4066666666599</v>
      </c>
      <c r="AX227" s="7">
        <f t="shared" si="1330"/>
        <v>2908.80666666666</v>
      </c>
      <c r="AY227" s="7">
        <f t="shared" si="1330"/>
        <v>2747.2066666666601</v>
      </c>
      <c r="AZ227" s="7">
        <f t="shared" si="1330"/>
        <v>2585.6066666666602</v>
      </c>
      <c r="BA227" s="7">
        <f t="shared" si="1330"/>
        <v>2424.0066666666603</v>
      </c>
      <c r="BB227" s="7">
        <f t="shared" si="1330"/>
        <v>2262.4066666666604</v>
      </c>
      <c r="BC227" s="7">
        <f t="shared" si="1330"/>
        <v>2100.8066666666605</v>
      </c>
      <c r="BD227" s="7">
        <f t="shared" si="1330"/>
        <v>1939.2066666666606</v>
      </c>
      <c r="BE227" s="7">
        <f t="shared" si="1330"/>
        <v>1777.6066666666607</v>
      </c>
      <c r="BF227" s="7">
        <f t="shared" si="1330"/>
        <v>1616.0066666666607</v>
      </c>
      <c r="BG227" s="236">
        <f t="shared" si="1158"/>
        <v>0</v>
      </c>
      <c r="BH227" s="7">
        <v>161.6</v>
      </c>
      <c r="BI227" s="39">
        <v>1616.01</v>
      </c>
      <c r="BJ227" s="7">
        <f t="shared" ref="BJ227:BJ240" si="1331">BF227-BH227</f>
        <v>1454.4066666666608</v>
      </c>
      <c r="BK227" s="7">
        <f t="shared" ref="BK227:BK240" si="1332">BJ227-$L227</f>
        <v>1292.8066666666609</v>
      </c>
      <c r="BL227" s="7">
        <f t="shared" ref="BL227:BL240" si="1333">BK227-$L227</f>
        <v>1131.206666666661</v>
      </c>
      <c r="BM227" s="7">
        <f t="shared" ref="BM227:BM240" si="1334">BL227-$L227</f>
        <v>969.606666666661</v>
      </c>
      <c r="BN227" s="7">
        <f t="shared" ref="BN227:BN240" si="1335">BM227-$L227</f>
        <v>808.00666666666098</v>
      </c>
      <c r="BO227" s="7">
        <f t="shared" ref="BO227:BO240" si="1336">BN227-$L227</f>
        <v>646.40666666666095</v>
      </c>
      <c r="BP227" s="7">
        <f t="shared" ref="BP227:BP240" si="1337">BO227-$L227</f>
        <v>484.80666666666093</v>
      </c>
      <c r="BQ227" s="7">
        <f t="shared" ref="BQ227:BQ240" si="1338">BP227-$L227</f>
        <v>323.20666666666091</v>
      </c>
      <c r="BR227" s="7">
        <f t="shared" ref="BR227:BR240" si="1339">BQ227-$L227</f>
        <v>161.60666666666091</v>
      </c>
      <c r="BS227" s="7">
        <f t="shared" ref="BS227:BS240" si="1340">BR227-$L227</f>
        <v>6.6666666609194181E-3</v>
      </c>
      <c r="BT227" s="7"/>
      <c r="BU227" s="7"/>
      <c r="BV227" s="236">
        <v>0</v>
      </c>
      <c r="BW227" s="7">
        <v>161.6</v>
      </c>
      <c r="BX227" s="39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236">
        <v>0</v>
      </c>
      <c r="CL227" s="7">
        <v>161.6</v>
      </c>
      <c r="CM227" s="39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236">
        <v>0</v>
      </c>
    </row>
    <row r="228" spans="1:104" x14ac:dyDescent="0.2">
      <c r="A228" s="6" t="str">
        <f>'[1]2021 УГРЦТ'!A231</f>
        <v>Камера КСО 393-03 №3</v>
      </c>
      <c r="B228" t="str">
        <f>'[1]2021 УГРЦТ'!B231</f>
        <v>00001242</v>
      </c>
      <c r="C228" t="str">
        <f>'[1]2021 УГРЦТ'!C231</f>
        <v>ПЕРЕДАЧА</v>
      </c>
      <c r="D228" t="str">
        <f>'[1]2021 УГРЦТ'!D231</f>
        <v>Машины и оборудование (кроме офисного)</v>
      </c>
      <c r="E228" t="str">
        <f>'[1]2021 УГРЦТ'!E231</f>
        <v>31.10.2010</v>
      </c>
      <c r="F228" t="str">
        <f>'[1]2021 УГРЦТ'!F231</f>
        <v>Газотурбинный цех</v>
      </c>
      <c r="G228">
        <f>'[1]2021 УГРЦТ'!AC231</f>
        <v>180</v>
      </c>
      <c r="H228" s="7">
        <f>'[1]2021 УГРЦТ'!X231</f>
        <v>29086.7</v>
      </c>
      <c r="I228" s="7">
        <f>'[1]2021 УГРЦТ'!Y231</f>
        <v>21653.093333333334</v>
      </c>
      <c r="J228" s="7">
        <f>'[1]2021 УГРЦТ'!Z231</f>
        <v>7433.6066666666666</v>
      </c>
      <c r="K228" s="8">
        <v>0</v>
      </c>
      <c r="L228" s="7">
        <v>161.6</v>
      </c>
      <c r="M228" s="7"/>
      <c r="N228" s="7">
        <f t="shared" si="1035"/>
        <v>1939.1999999999998</v>
      </c>
      <c r="O228" s="7">
        <f t="shared" si="1161"/>
        <v>7272.0066666666662</v>
      </c>
      <c r="P228" s="7">
        <f t="shared" si="1281"/>
        <v>7110.4066666666658</v>
      </c>
      <c r="Q228" s="7">
        <f t="shared" si="1281"/>
        <v>6948.8066666666655</v>
      </c>
      <c r="R228" s="7">
        <f t="shared" si="1281"/>
        <v>6787.2066666666651</v>
      </c>
      <c r="S228" s="7">
        <f t="shared" si="1281"/>
        <v>6625.6066666666648</v>
      </c>
      <c r="T228" s="7">
        <f t="shared" si="1281"/>
        <v>6464.0066666666644</v>
      </c>
      <c r="U228" s="7">
        <f t="shared" si="1281"/>
        <v>6302.406666666664</v>
      </c>
      <c r="V228" s="7">
        <f t="shared" si="1281"/>
        <v>6140.8066666666637</v>
      </c>
      <c r="W228" s="7">
        <f t="shared" si="1281"/>
        <v>5979.2066666666633</v>
      </c>
      <c r="X228" s="7">
        <f t="shared" si="1281"/>
        <v>5817.6066666666629</v>
      </c>
      <c r="Y228" s="7">
        <f t="shared" si="1281"/>
        <v>5656.0066666666626</v>
      </c>
      <c r="Z228" s="7">
        <f t="shared" si="1281"/>
        <v>5494.4066666666622</v>
      </c>
      <c r="AA228" s="7"/>
      <c r="AB228" s="7"/>
      <c r="AC228" s="7">
        <f t="shared" si="1162"/>
        <v>1939.1999999999998</v>
      </c>
      <c r="AD228" s="7">
        <f t="shared" si="1163"/>
        <v>5332.8066666666618</v>
      </c>
      <c r="AE228" s="7">
        <f t="shared" si="1282"/>
        <v>5171.2066666666615</v>
      </c>
      <c r="AF228" s="7">
        <f t="shared" si="1282"/>
        <v>5009.6066666666611</v>
      </c>
      <c r="AG228" s="7">
        <f t="shared" si="1282"/>
        <v>4848.0066666666607</v>
      </c>
      <c r="AH228" s="7">
        <f t="shared" si="1282"/>
        <v>4686.4066666666604</v>
      </c>
      <c r="AI228" s="7">
        <f t="shared" si="1282"/>
        <v>4524.80666666666</v>
      </c>
      <c r="AJ228" s="7">
        <f t="shared" si="1282"/>
        <v>4363.2066666666597</v>
      </c>
      <c r="AK228" s="7">
        <f t="shared" si="1282"/>
        <v>4201.6066666666593</v>
      </c>
      <c r="AL228" s="7">
        <f t="shared" si="1282"/>
        <v>4040.0066666666594</v>
      </c>
      <c r="AM228" s="7">
        <f t="shared" si="1282"/>
        <v>3878.4066666666595</v>
      </c>
      <c r="AN228" s="7">
        <f t="shared" si="1282"/>
        <v>3716.8066666666596</v>
      </c>
      <c r="AO228" s="7">
        <f t="shared" si="1282"/>
        <v>3555.2066666666597</v>
      </c>
      <c r="AP228" s="222"/>
      <c r="AQ228" s="7">
        <v>161.6</v>
      </c>
      <c r="AR228" s="7">
        <f t="shared" si="1164"/>
        <v>161.59999999999991</v>
      </c>
      <c r="AS228" s="7">
        <f t="shared" si="1165"/>
        <v>0</v>
      </c>
      <c r="AT228" s="7">
        <f t="shared" si="1328"/>
        <v>1939.1999999999998</v>
      </c>
      <c r="AU228" s="7">
        <f t="shared" si="1329"/>
        <v>3393.6066666666597</v>
      </c>
      <c r="AV228" s="7">
        <f t="shared" si="1330"/>
        <v>3232.0066666666598</v>
      </c>
      <c r="AW228" s="7">
        <f t="shared" si="1330"/>
        <v>3070.4066666666599</v>
      </c>
      <c r="AX228" s="7">
        <f t="shared" si="1330"/>
        <v>2908.80666666666</v>
      </c>
      <c r="AY228" s="7">
        <f t="shared" si="1330"/>
        <v>2747.2066666666601</v>
      </c>
      <c r="AZ228" s="7">
        <f t="shared" si="1330"/>
        <v>2585.6066666666602</v>
      </c>
      <c r="BA228" s="7">
        <f t="shared" si="1330"/>
        <v>2424.0066666666603</v>
      </c>
      <c r="BB228" s="7">
        <f t="shared" si="1330"/>
        <v>2262.4066666666604</v>
      </c>
      <c r="BC228" s="7">
        <f t="shared" si="1330"/>
        <v>2100.8066666666605</v>
      </c>
      <c r="BD228" s="7">
        <f t="shared" si="1330"/>
        <v>1939.2066666666606</v>
      </c>
      <c r="BE228" s="7">
        <f t="shared" si="1330"/>
        <v>1777.6066666666607</v>
      </c>
      <c r="BF228" s="7">
        <f t="shared" si="1330"/>
        <v>1616.0066666666607</v>
      </c>
      <c r="BG228" s="236">
        <f t="shared" si="1158"/>
        <v>0</v>
      </c>
      <c r="BH228" s="7">
        <v>161.6</v>
      </c>
      <c r="BI228" s="39">
        <v>1616.01</v>
      </c>
      <c r="BJ228" s="7">
        <f t="shared" si="1331"/>
        <v>1454.4066666666608</v>
      </c>
      <c r="BK228" s="7">
        <f t="shared" si="1332"/>
        <v>1292.8066666666609</v>
      </c>
      <c r="BL228" s="7">
        <f t="shared" si="1333"/>
        <v>1131.206666666661</v>
      </c>
      <c r="BM228" s="7">
        <f t="shared" si="1334"/>
        <v>969.606666666661</v>
      </c>
      <c r="BN228" s="7">
        <f t="shared" si="1335"/>
        <v>808.00666666666098</v>
      </c>
      <c r="BO228" s="7">
        <f t="shared" si="1336"/>
        <v>646.40666666666095</v>
      </c>
      <c r="BP228" s="7">
        <f t="shared" si="1337"/>
        <v>484.80666666666093</v>
      </c>
      <c r="BQ228" s="7">
        <f t="shared" si="1338"/>
        <v>323.20666666666091</v>
      </c>
      <c r="BR228" s="7">
        <f t="shared" si="1339"/>
        <v>161.60666666666091</v>
      </c>
      <c r="BS228" s="7">
        <f t="shared" si="1340"/>
        <v>6.6666666609194181E-3</v>
      </c>
      <c r="BT228" s="7"/>
      <c r="BU228" s="7"/>
      <c r="BV228" s="236">
        <v>0</v>
      </c>
      <c r="BW228" s="7">
        <v>161.6</v>
      </c>
      <c r="BX228" s="39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236">
        <v>0</v>
      </c>
      <c r="CL228" s="7">
        <v>161.6</v>
      </c>
      <c r="CM228" s="39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236">
        <v>0</v>
      </c>
    </row>
    <row r="229" spans="1:104" x14ac:dyDescent="0.2">
      <c r="A229" s="6" t="str">
        <f>'[1]2021 УГРЦТ'!A232</f>
        <v>Камера КСО 393-03 №4</v>
      </c>
      <c r="B229" t="str">
        <f>'[1]2021 УГРЦТ'!B232</f>
        <v>00001243</v>
      </c>
      <c r="C229" t="str">
        <f>'[1]2021 УГРЦТ'!C232</f>
        <v>ПЕРЕДАЧА</v>
      </c>
      <c r="D229" t="str">
        <f>'[1]2021 УГРЦТ'!D232</f>
        <v>Машины и оборудование (кроме офисного)</v>
      </c>
      <c r="E229" t="str">
        <f>'[1]2021 УГРЦТ'!E232</f>
        <v>31.10.2010</v>
      </c>
      <c r="F229" t="str">
        <f>'[1]2021 УГРЦТ'!F232</f>
        <v>Газотурбинный цех</v>
      </c>
      <c r="G229">
        <f>'[1]2021 УГРЦТ'!AC232</f>
        <v>180</v>
      </c>
      <c r="H229" s="7">
        <f>'[1]2021 УГРЦТ'!X232</f>
        <v>29086.7</v>
      </c>
      <c r="I229" s="7">
        <f>'[1]2021 УГРЦТ'!Y232</f>
        <v>21653.093333333334</v>
      </c>
      <c r="J229" s="7">
        <f>'[1]2021 УГРЦТ'!Z232</f>
        <v>7433.6066666666666</v>
      </c>
      <c r="K229" s="8">
        <v>0</v>
      </c>
      <c r="L229" s="7">
        <v>161.6</v>
      </c>
      <c r="M229" s="7"/>
      <c r="N229" s="7">
        <f t="shared" si="1035"/>
        <v>1939.1999999999998</v>
      </c>
      <c r="O229" s="7">
        <f t="shared" si="1161"/>
        <v>7272.0066666666662</v>
      </c>
      <c r="P229" s="7">
        <f t="shared" si="1281"/>
        <v>7110.4066666666658</v>
      </c>
      <c r="Q229" s="7">
        <f t="shared" si="1281"/>
        <v>6948.8066666666655</v>
      </c>
      <c r="R229" s="7">
        <f t="shared" si="1281"/>
        <v>6787.2066666666651</v>
      </c>
      <c r="S229" s="7">
        <f t="shared" si="1281"/>
        <v>6625.6066666666648</v>
      </c>
      <c r="T229" s="7">
        <f t="shared" si="1281"/>
        <v>6464.0066666666644</v>
      </c>
      <c r="U229" s="7">
        <f t="shared" si="1281"/>
        <v>6302.406666666664</v>
      </c>
      <c r="V229" s="7">
        <f t="shared" si="1281"/>
        <v>6140.8066666666637</v>
      </c>
      <c r="W229" s="7">
        <f t="shared" si="1281"/>
        <v>5979.2066666666633</v>
      </c>
      <c r="X229" s="7">
        <f t="shared" si="1281"/>
        <v>5817.6066666666629</v>
      </c>
      <c r="Y229" s="7">
        <f t="shared" si="1281"/>
        <v>5656.0066666666626</v>
      </c>
      <c r="Z229" s="7">
        <f t="shared" si="1281"/>
        <v>5494.4066666666622</v>
      </c>
      <c r="AA229" s="7"/>
      <c r="AB229" s="7"/>
      <c r="AC229" s="7">
        <f t="shared" si="1162"/>
        <v>1939.1999999999998</v>
      </c>
      <c r="AD229" s="7">
        <f t="shared" si="1163"/>
        <v>5332.8066666666618</v>
      </c>
      <c r="AE229" s="7">
        <f t="shared" si="1282"/>
        <v>5171.2066666666615</v>
      </c>
      <c r="AF229" s="7">
        <f t="shared" si="1282"/>
        <v>5009.6066666666611</v>
      </c>
      <c r="AG229" s="7">
        <f t="shared" si="1282"/>
        <v>4848.0066666666607</v>
      </c>
      <c r="AH229" s="7">
        <f t="shared" si="1282"/>
        <v>4686.4066666666604</v>
      </c>
      <c r="AI229" s="7">
        <f t="shared" si="1282"/>
        <v>4524.80666666666</v>
      </c>
      <c r="AJ229" s="7">
        <f t="shared" si="1282"/>
        <v>4363.2066666666597</v>
      </c>
      <c r="AK229" s="7">
        <f t="shared" si="1282"/>
        <v>4201.6066666666593</v>
      </c>
      <c r="AL229" s="7">
        <f t="shared" si="1282"/>
        <v>4040.0066666666594</v>
      </c>
      <c r="AM229" s="7">
        <f t="shared" si="1282"/>
        <v>3878.4066666666595</v>
      </c>
      <c r="AN229" s="7">
        <f t="shared" si="1282"/>
        <v>3716.8066666666596</v>
      </c>
      <c r="AO229" s="7">
        <f t="shared" si="1282"/>
        <v>3555.2066666666597</v>
      </c>
      <c r="AP229" s="222"/>
      <c r="AQ229" s="7">
        <v>161.6</v>
      </c>
      <c r="AR229" s="7">
        <f t="shared" si="1164"/>
        <v>161.59999999999991</v>
      </c>
      <c r="AS229" s="7">
        <f t="shared" si="1165"/>
        <v>0</v>
      </c>
      <c r="AT229" s="7">
        <f t="shared" si="1328"/>
        <v>1939.1999999999998</v>
      </c>
      <c r="AU229" s="7">
        <f t="shared" si="1329"/>
        <v>3393.6066666666597</v>
      </c>
      <c r="AV229" s="7">
        <f t="shared" si="1330"/>
        <v>3232.0066666666598</v>
      </c>
      <c r="AW229" s="7">
        <f t="shared" si="1330"/>
        <v>3070.4066666666599</v>
      </c>
      <c r="AX229" s="7">
        <f t="shared" si="1330"/>
        <v>2908.80666666666</v>
      </c>
      <c r="AY229" s="7">
        <f t="shared" si="1330"/>
        <v>2747.2066666666601</v>
      </c>
      <c r="AZ229" s="7">
        <f t="shared" si="1330"/>
        <v>2585.6066666666602</v>
      </c>
      <c r="BA229" s="7">
        <f t="shared" si="1330"/>
        <v>2424.0066666666603</v>
      </c>
      <c r="BB229" s="7">
        <f t="shared" si="1330"/>
        <v>2262.4066666666604</v>
      </c>
      <c r="BC229" s="7">
        <f t="shared" si="1330"/>
        <v>2100.8066666666605</v>
      </c>
      <c r="BD229" s="7">
        <f t="shared" si="1330"/>
        <v>1939.2066666666606</v>
      </c>
      <c r="BE229" s="7">
        <f t="shared" si="1330"/>
        <v>1777.6066666666607</v>
      </c>
      <c r="BF229" s="7">
        <f t="shared" si="1330"/>
        <v>1616.0066666666607</v>
      </c>
      <c r="BG229" s="236">
        <f t="shared" si="1158"/>
        <v>0</v>
      </c>
      <c r="BH229" s="7">
        <v>161.6</v>
      </c>
      <c r="BI229" s="39">
        <v>1616.01</v>
      </c>
      <c r="BJ229" s="7">
        <f t="shared" si="1331"/>
        <v>1454.4066666666608</v>
      </c>
      <c r="BK229" s="7">
        <f t="shared" si="1332"/>
        <v>1292.8066666666609</v>
      </c>
      <c r="BL229" s="7">
        <f t="shared" si="1333"/>
        <v>1131.206666666661</v>
      </c>
      <c r="BM229" s="7">
        <f t="shared" si="1334"/>
        <v>969.606666666661</v>
      </c>
      <c r="BN229" s="7">
        <f t="shared" si="1335"/>
        <v>808.00666666666098</v>
      </c>
      <c r="BO229" s="7">
        <f t="shared" si="1336"/>
        <v>646.40666666666095</v>
      </c>
      <c r="BP229" s="7">
        <f t="shared" si="1337"/>
        <v>484.80666666666093</v>
      </c>
      <c r="BQ229" s="7">
        <f t="shared" si="1338"/>
        <v>323.20666666666091</v>
      </c>
      <c r="BR229" s="7">
        <f t="shared" si="1339"/>
        <v>161.60666666666091</v>
      </c>
      <c r="BS229" s="7">
        <f t="shared" si="1340"/>
        <v>6.6666666609194181E-3</v>
      </c>
      <c r="BT229" s="7"/>
      <c r="BU229" s="7"/>
      <c r="BV229" s="236">
        <v>0</v>
      </c>
      <c r="BW229" s="7">
        <v>161.6</v>
      </c>
      <c r="BX229" s="39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236">
        <v>0</v>
      </c>
      <c r="CL229" s="7">
        <v>161.6</v>
      </c>
      <c r="CM229" s="39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236">
        <v>0</v>
      </c>
    </row>
    <row r="230" spans="1:104" x14ac:dyDescent="0.2">
      <c r="A230" s="6" t="str">
        <f>'[1]2021 УГРЦТ'!A233</f>
        <v>Камера КСО 393-03 №5</v>
      </c>
      <c r="B230" t="str">
        <f>'[1]2021 УГРЦТ'!B233</f>
        <v>00001244</v>
      </c>
      <c r="C230" t="str">
        <f>'[1]2021 УГРЦТ'!C233</f>
        <v>ПЕРЕДАЧА</v>
      </c>
      <c r="D230" t="str">
        <f>'[1]2021 УГРЦТ'!D233</f>
        <v>Машины и оборудование (кроме офисного)</v>
      </c>
      <c r="E230" t="str">
        <f>'[1]2021 УГРЦТ'!E233</f>
        <v>31.10.2010</v>
      </c>
      <c r="F230" t="str">
        <f>'[1]2021 УГРЦТ'!F233</f>
        <v>Цех электрических сетей</v>
      </c>
      <c r="G230">
        <f>'[1]2021 УГРЦТ'!AC233</f>
        <v>180</v>
      </c>
      <c r="H230" s="7">
        <f>'[1]2021 УГРЦТ'!X233</f>
        <v>29086.7</v>
      </c>
      <c r="I230" s="7">
        <f>'[1]2021 УГРЦТ'!Y233</f>
        <v>21653.059999999998</v>
      </c>
      <c r="J230" s="7">
        <f>'[1]2021 УГРЦТ'!Z233</f>
        <v>7433.6400000000031</v>
      </c>
      <c r="K230" s="8">
        <v>0</v>
      </c>
      <c r="L230" s="7">
        <v>161.6</v>
      </c>
      <c r="M230" s="7"/>
      <c r="N230" s="7">
        <f t="shared" si="1035"/>
        <v>1939.1999999999998</v>
      </c>
      <c r="O230" s="7">
        <f t="shared" si="1161"/>
        <v>7272.0400000000027</v>
      </c>
      <c r="P230" s="7">
        <f t="shared" si="1281"/>
        <v>7110.4400000000023</v>
      </c>
      <c r="Q230" s="7">
        <f t="shared" si="1281"/>
        <v>6948.840000000002</v>
      </c>
      <c r="R230" s="7">
        <f t="shared" si="1281"/>
        <v>6787.2400000000016</v>
      </c>
      <c r="S230" s="7">
        <f t="shared" si="1281"/>
        <v>6625.6400000000012</v>
      </c>
      <c r="T230" s="7">
        <f t="shared" si="1281"/>
        <v>6464.0400000000009</v>
      </c>
      <c r="U230" s="7">
        <f t="shared" si="1281"/>
        <v>6302.4400000000005</v>
      </c>
      <c r="V230" s="7">
        <f t="shared" si="1281"/>
        <v>6140.84</v>
      </c>
      <c r="W230" s="7">
        <f t="shared" si="1281"/>
        <v>5979.24</v>
      </c>
      <c r="X230" s="7">
        <f t="shared" si="1281"/>
        <v>5817.6399999999994</v>
      </c>
      <c r="Y230" s="7">
        <f t="shared" si="1281"/>
        <v>5656.0399999999991</v>
      </c>
      <c r="Z230" s="7">
        <f t="shared" si="1281"/>
        <v>5494.4399999999987</v>
      </c>
      <c r="AA230" s="7"/>
      <c r="AB230" s="7"/>
      <c r="AC230" s="7">
        <f t="shared" si="1162"/>
        <v>1939.1999999999998</v>
      </c>
      <c r="AD230" s="7">
        <f t="shared" si="1163"/>
        <v>5332.8399999999983</v>
      </c>
      <c r="AE230" s="7">
        <f t="shared" si="1282"/>
        <v>5171.239999999998</v>
      </c>
      <c r="AF230" s="7">
        <f t="shared" si="1282"/>
        <v>5009.6399999999976</v>
      </c>
      <c r="AG230" s="7">
        <f t="shared" si="1282"/>
        <v>4848.0399999999972</v>
      </c>
      <c r="AH230" s="7">
        <f t="shared" si="1282"/>
        <v>4686.4399999999969</v>
      </c>
      <c r="AI230" s="7">
        <f t="shared" si="1282"/>
        <v>4524.8399999999965</v>
      </c>
      <c r="AJ230" s="7">
        <f t="shared" si="1282"/>
        <v>4363.2399999999961</v>
      </c>
      <c r="AK230" s="7">
        <f t="shared" si="1282"/>
        <v>4201.6399999999958</v>
      </c>
      <c r="AL230" s="7">
        <f t="shared" si="1282"/>
        <v>4040.0399999999959</v>
      </c>
      <c r="AM230" s="7">
        <f t="shared" si="1282"/>
        <v>3878.439999999996</v>
      </c>
      <c r="AN230" s="7">
        <f t="shared" si="1282"/>
        <v>3716.8399999999961</v>
      </c>
      <c r="AO230" s="7">
        <f t="shared" si="1282"/>
        <v>3555.2399999999961</v>
      </c>
      <c r="AP230" s="222"/>
      <c r="AQ230" s="7">
        <v>161.6</v>
      </c>
      <c r="AR230" s="7">
        <f t="shared" si="1164"/>
        <v>161.59999999999991</v>
      </c>
      <c r="AS230" s="7">
        <f t="shared" si="1165"/>
        <v>0</v>
      </c>
      <c r="AT230" s="7">
        <f t="shared" si="1328"/>
        <v>1939.1999999999998</v>
      </c>
      <c r="AU230" s="7">
        <f t="shared" si="1329"/>
        <v>3393.6399999999962</v>
      </c>
      <c r="AV230" s="7">
        <f t="shared" si="1330"/>
        <v>3232.0399999999963</v>
      </c>
      <c r="AW230" s="7">
        <f t="shared" si="1330"/>
        <v>3070.4399999999964</v>
      </c>
      <c r="AX230" s="7">
        <f t="shared" si="1330"/>
        <v>2908.8399999999965</v>
      </c>
      <c r="AY230" s="7">
        <f t="shared" si="1330"/>
        <v>2747.2399999999966</v>
      </c>
      <c r="AZ230" s="7">
        <f t="shared" si="1330"/>
        <v>2585.6399999999967</v>
      </c>
      <c r="BA230" s="7">
        <f t="shared" si="1330"/>
        <v>2424.0399999999968</v>
      </c>
      <c r="BB230" s="7">
        <f t="shared" si="1330"/>
        <v>2262.4399999999969</v>
      </c>
      <c r="BC230" s="7">
        <f t="shared" si="1330"/>
        <v>2100.839999999997</v>
      </c>
      <c r="BD230" s="7">
        <f t="shared" si="1330"/>
        <v>1939.2399999999971</v>
      </c>
      <c r="BE230" s="7">
        <f t="shared" si="1330"/>
        <v>1777.6399999999971</v>
      </c>
      <c r="BF230" s="7">
        <f t="shared" si="1330"/>
        <v>1616.0399999999972</v>
      </c>
      <c r="BG230" s="236">
        <f t="shared" si="1158"/>
        <v>0</v>
      </c>
      <c r="BH230" s="7">
        <v>161.6</v>
      </c>
      <c r="BI230" s="39">
        <v>1616.01</v>
      </c>
      <c r="BJ230" s="7">
        <f t="shared" si="1331"/>
        <v>1454.4399999999973</v>
      </c>
      <c r="BK230" s="7">
        <f t="shared" si="1332"/>
        <v>1292.8399999999974</v>
      </c>
      <c r="BL230" s="7">
        <f t="shared" si="1333"/>
        <v>1131.2399999999975</v>
      </c>
      <c r="BM230" s="7">
        <f t="shared" si="1334"/>
        <v>969.63999999999749</v>
      </c>
      <c r="BN230" s="7">
        <f t="shared" si="1335"/>
        <v>808.03999999999746</v>
      </c>
      <c r="BO230" s="7">
        <f t="shared" si="1336"/>
        <v>646.43999999999744</v>
      </c>
      <c r="BP230" s="7">
        <f t="shared" si="1337"/>
        <v>484.83999999999742</v>
      </c>
      <c r="BQ230" s="7">
        <f t="shared" si="1338"/>
        <v>323.23999999999739</v>
      </c>
      <c r="BR230" s="7">
        <f t="shared" si="1339"/>
        <v>161.6399999999974</v>
      </c>
      <c r="BS230" s="7">
        <f t="shared" si="1340"/>
        <v>3.9999999997405666E-2</v>
      </c>
      <c r="BT230" s="7"/>
      <c r="BU230" s="7"/>
      <c r="BV230" s="236">
        <v>0</v>
      </c>
      <c r="BW230" s="7">
        <v>161.6</v>
      </c>
      <c r="BX230" s="39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236">
        <v>0</v>
      </c>
      <c r="CL230" s="7">
        <v>161.6</v>
      </c>
      <c r="CM230" s="39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236">
        <v>0</v>
      </c>
    </row>
    <row r="231" spans="1:104" x14ac:dyDescent="0.2">
      <c r="A231" s="6" t="str">
        <f>'[1]2021 УГРЦТ'!A234</f>
        <v>Камера КСО 393-03 №6</v>
      </c>
      <c r="B231" t="str">
        <f>'[1]2021 УГРЦТ'!B234</f>
        <v>00001245</v>
      </c>
      <c r="C231" t="str">
        <f>'[1]2021 УГРЦТ'!C234</f>
        <v>ПЕРЕДАЧА</v>
      </c>
      <c r="D231" t="str">
        <f>'[1]2021 УГРЦТ'!D234</f>
        <v>Машины и оборудование (кроме офисного)</v>
      </c>
      <c r="E231" t="str">
        <f>'[1]2021 УГРЦТ'!E234</f>
        <v>31.10.2010</v>
      </c>
      <c r="F231" t="str">
        <f>'[1]2021 УГРЦТ'!F234</f>
        <v>Цех электрических сетей</v>
      </c>
      <c r="G231">
        <f>'[1]2021 УГРЦТ'!AC234</f>
        <v>180</v>
      </c>
      <c r="H231" s="7">
        <f>'[1]2021 УГРЦТ'!X234</f>
        <v>29086.7</v>
      </c>
      <c r="I231" s="7">
        <f>'[1]2021 УГРЦТ'!Y234</f>
        <v>21653.093333333334</v>
      </c>
      <c r="J231" s="7">
        <f>'[1]2021 УГРЦТ'!Z234</f>
        <v>7433.6066666666666</v>
      </c>
      <c r="K231" s="8">
        <v>0</v>
      </c>
      <c r="L231" s="7">
        <v>161.6</v>
      </c>
      <c r="M231" s="7"/>
      <c r="N231" s="7">
        <f t="shared" ref="N231:N294" si="1341">L231*12</f>
        <v>1939.1999999999998</v>
      </c>
      <c r="O231" s="7">
        <f t="shared" si="1161"/>
        <v>7272.0066666666662</v>
      </c>
      <c r="P231" s="7">
        <f t="shared" ref="P231:Z246" si="1342">O231-$L231</f>
        <v>7110.4066666666658</v>
      </c>
      <c r="Q231" s="7">
        <f t="shared" si="1342"/>
        <v>6948.8066666666655</v>
      </c>
      <c r="R231" s="7">
        <f t="shared" si="1342"/>
        <v>6787.2066666666651</v>
      </c>
      <c r="S231" s="7">
        <f t="shared" si="1342"/>
        <v>6625.6066666666648</v>
      </c>
      <c r="T231" s="7">
        <f t="shared" si="1342"/>
        <v>6464.0066666666644</v>
      </c>
      <c r="U231" s="7">
        <f t="shared" si="1342"/>
        <v>6302.406666666664</v>
      </c>
      <c r="V231" s="7">
        <f t="shared" si="1342"/>
        <v>6140.8066666666637</v>
      </c>
      <c r="W231" s="7">
        <f t="shared" si="1342"/>
        <v>5979.2066666666633</v>
      </c>
      <c r="X231" s="7">
        <f t="shared" si="1342"/>
        <v>5817.6066666666629</v>
      </c>
      <c r="Y231" s="7">
        <f t="shared" si="1342"/>
        <v>5656.0066666666626</v>
      </c>
      <c r="Z231" s="7">
        <f t="shared" si="1342"/>
        <v>5494.4066666666622</v>
      </c>
      <c r="AA231" s="7"/>
      <c r="AB231" s="7"/>
      <c r="AC231" s="7">
        <f t="shared" si="1162"/>
        <v>1939.1999999999998</v>
      </c>
      <c r="AD231" s="7">
        <f t="shared" si="1163"/>
        <v>5332.8066666666618</v>
      </c>
      <c r="AE231" s="7">
        <f t="shared" ref="AE231:AO242" si="1343">AD231-$L231</f>
        <v>5171.2066666666615</v>
      </c>
      <c r="AF231" s="7">
        <f t="shared" si="1343"/>
        <v>5009.6066666666611</v>
      </c>
      <c r="AG231" s="7">
        <f t="shared" si="1343"/>
        <v>4848.0066666666607</v>
      </c>
      <c r="AH231" s="7">
        <f t="shared" si="1343"/>
        <v>4686.4066666666604</v>
      </c>
      <c r="AI231" s="7">
        <f t="shared" si="1343"/>
        <v>4524.80666666666</v>
      </c>
      <c r="AJ231" s="7">
        <f t="shared" si="1343"/>
        <v>4363.2066666666597</v>
      </c>
      <c r="AK231" s="7">
        <f t="shared" si="1343"/>
        <v>4201.6066666666593</v>
      </c>
      <c r="AL231" s="7">
        <f t="shared" si="1343"/>
        <v>4040.0066666666594</v>
      </c>
      <c r="AM231" s="7">
        <f t="shared" si="1343"/>
        <v>3878.4066666666595</v>
      </c>
      <c r="AN231" s="7">
        <f t="shared" si="1343"/>
        <v>3716.8066666666596</v>
      </c>
      <c r="AO231" s="7">
        <f t="shared" si="1343"/>
        <v>3555.2066666666597</v>
      </c>
      <c r="AP231" s="222"/>
      <c r="AQ231" s="7">
        <v>161.6</v>
      </c>
      <c r="AR231" s="7">
        <f t="shared" si="1164"/>
        <v>161.59999999999991</v>
      </c>
      <c r="AS231" s="7">
        <f t="shared" si="1165"/>
        <v>0</v>
      </c>
      <c r="AT231" s="7">
        <f t="shared" si="1328"/>
        <v>1939.1999999999998</v>
      </c>
      <c r="AU231" s="7">
        <f t="shared" si="1329"/>
        <v>3393.6066666666597</v>
      </c>
      <c r="AV231" s="7">
        <f t="shared" si="1330"/>
        <v>3232.0066666666598</v>
      </c>
      <c r="AW231" s="7">
        <f t="shared" si="1330"/>
        <v>3070.4066666666599</v>
      </c>
      <c r="AX231" s="7">
        <f t="shared" si="1330"/>
        <v>2908.80666666666</v>
      </c>
      <c r="AY231" s="7">
        <f t="shared" si="1330"/>
        <v>2747.2066666666601</v>
      </c>
      <c r="AZ231" s="7">
        <f t="shared" si="1330"/>
        <v>2585.6066666666602</v>
      </c>
      <c r="BA231" s="7">
        <f t="shared" si="1330"/>
        <v>2424.0066666666603</v>
      </c>
      <c r="BB231" s="7">
        <f t="shared" si="1330"/>
        <v>2262.4066666666604</v>
      </c>
      <c r="BC231" s="7">
        <f t="shared" si="1330"/>
        <v>2100.8066666666605</v>
      </c>
      <c r="BD231" s="7">
        <f t="shared" si="1330"/>
        <v>1939.2066666666606</v>
      </c>
      <c r="BE231" s="7">
        <f t="shared" si="1330"/>
        <v>1777.6066666666607</v>
      </c>
      <c r="BF231" s="7">
        <f t="shared" si="1330"/>
        <v>1616.0066666666607</v>
      </c>
      <c r="BG231" s="236">
        <f t="shared" si="1158"/>
        <v>0</v>
      </c>
      <c r="BH231" s="7">
        <v>161.6</v>
      </c>
      <c r="BI231" s="39">
        <v>1616.01</v>
      </c>
      <c r="BJ231" s="7">
        <f t="shared" si="1331"/>
        <v>1454.4066666666608</v>
      </c>
      <c r="BK231" s="7">
        <f t="shared" si="1332"/>
        <v>1292.8066666666609</v>
      </c>
      <c r="BL231" s="7">
        <f t="shared" si="1333"/>
        <v>1131.206666666661</v>
      </c>
      <c r="BM231" s="7">
        <f t="shared" si="1334"/>
        <v>969.606666666661</v>
      </c>
      <c r="BN231" s="7">
        <f t="shared" si="1335"/>
        <v>808.00666666666098</v>
      </c>
      <c r="BO231" s="7">
        <f t="shared" si="1336"/>
        <v>646.40666666666095</v>
      </c>
      <c r="BP231" s="7">
        <f t="shared" si="1337"/>
        <v>484.80666666666093</v>
      </c>
      <c r="BQ231" s="7">
        <f t="shared" si="1338"/>
        <v>323.20666666666091</v>
      </c>
      <c r="BR231" s="7">
        <f t="shared" si="1339"/>
        <v>161.60666666666091</v>
      </c>
      <c r="BS231" s="7">
        <f t="shared" si="1340"/>
        <v>6.6666666609194181E-3</v>
      </c>
      <c r="BT231" s="7"/>
      <c r="BU231" s="7"/>
      <c r="BV231" s="236">
        <v>0</v>
      </c>
      <c r="BW231" s="7">
        <v>161.6</v>
      </c>
      <c r="BX231" s="39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236">
        <v>0</v>
      </c>
      <c r="CL231" s="7">
        <v>161.6</v>
      </c>
      <c r="CM231" s="39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236">
        <v>0</v>
      </c>
    </row>
    <row r="232" spans="1:104" x14ac:dyDescent="0.2">
      <c r="A232" s="6" t="str">
        <f>'[1]2021 УГРЦТ'!A235</f>
        <v>Камера КСО 393-04 (панель трансформатора), зав.№2235.9</v>
      </c>
      <c r="B232" t="str">
        <f>'[1]2021 УГРЦТ'!B235</f>
        <v>000001741</v>
      </c>
      <c r="C232" t="str">
        <f>'[1]2021 УГРЦТ'!C235</f>
        <v>ПЕРЕДАЧА</v>
      </c>
      <c r="D232" t="str">
        <f>'[1]2021 УГРЦТ'!D235</f>
        <v>Машины и оборудование (кроме офисного)</v>
      </c>
      <c r="E232" t="str">
        <f>'[1]2021 УГРЦТ'!E235</f>
        <v>31.07.2018</v>
      </c>
      <c r="F232" t="str">
        <f>'[1]2021 УГРЦТ'!F235</f>
        <v>Цех электрических сетей</v>
      </c>
      <c r="G232">
        <f>'[1]2021 УГРЦТ'!AC235</f>
        <v>240</v>
      </c>
      <c r="H232" s="7">
        <f>'[1]2021 УГРЦТ'!X235</f>
        <v>43196.81</v>
      </c>
      <c r="I232" s="7">
        <f>'[1]2021 УГРЦТ'!Y235</f>
        <v>7379.5504999999994</v>
      </c>
      <c r="J232" s="7">
        <f>'[1]2021 УГРЦТ'!Z235</f>
        <v>35817.2595</v>
      </c>
      <c r="K232" s="8">
        <v>0</v>
      </c>
      <c r="L232" s="7">
        <v>179.99</v>
      </c>
      <c r="M232" s="7"/>
      <c r="N232" s="7">
        <f t="shared" si="1341"/>
        <v>2159.88</v>
      </c>
      <c r="O232" s="7">
        <f t="shared" si="1161"/>
        <v>35637.269500000002</v>
      </c>
      <c r="P232" s="7">
        <f t="shared" si="1342"/>
        <v>35457.279500000004</v>
      </c>
      <c r="Q232" s="7">
        <f t="shared" si="1342"/>
        <v>35277.289500000006</v>
      </c>
      <c r="R232" s="7">
        <f t="shared" si="1342"/>
        <v>35097.299500000008</v>
      </c>
      <c r="S232" s="7">
        <f t="shared" si="1342"/>
        <v>34917.30950000001</v>
      </c>
      <c r="T232" s="7">
        <f t="shared" si="1342"/>
        <v>34737.319500000012</v>
      </c>
      <c r="U232" s="7">
        <f t="shared" si="1342"/>
        <v>34557.329500000014</v>
      </c>
      <c r="V232" s="7">
        <f t="shared" si="1342"/>
        <v>34377.339500000016</v>
      </c>
      <c r="W232" s="7">
        <f t="shared" si="1342"/>
        <v>34197.349500000018</v>
      </c>
      <c r="X232" s="7">
        <f t="shared" si="1342"/>
        <v>34017.35950000002</v>
      </c>
      <c r="Y232" s="7">
        <f t="shared" si="1342"/>
        <v>33837.369500000023</v>
      </c>
      <c r="Z232" s="7">
        <f t="shared" si="1342"/>
        <v>33657.379500000025</v>
      </c>
      <c r="AA232" s="7"/>
      <c r="AB232" s="7"/>
      <c r="AC232" s="7">
        <f t="shared" si="1162"/>
        <v>2159.88</v>
      </c>
      <c r="AD232" s="7">
        <f t="shared" si="1163"/>
        <v>33477.389500000027</v>
      </c>
      <c r="AE232" s="7">
        <f t="shared" si="1343"/>
        <v>33297.399500000029</v>
      </c>
      <c r="AF232" s="7">
        <f t="shared" si="1343"/>
        <v>33117.409500000031</v>
      </c>
      <c r="AG232" s="7">
        <f t="shared" si="1343"/>
        <v>32937.419500000033</v>
      </c>
      <c r="AH232" s="7">
        <f t="shared" si="1343"/>
        <v>32757.429500000031</v>
      </c>
      <c r="AI232" s="7">
        <f t="shared" si="1343"/>
        <v>32577.43950000003</v>
      </c>
      <c r="AJ232" s="7">
        <f t="shared" si="1343"/>
        <v>32397.449500000028</v>
      </c>
      <c r="AK232" s="7">
        <f t="shared" si="1343"/>
        <v>32217.459500000026</v>
      </c>
      <c r="AL232" s="7">
        <f t="shared" si="1343"/>
        <v>32037.469500000025</v>
      </c>
      <c r="AM232" s="7">
        <f t="shared" si="1343"/>
        <v>31857.479500000023</v>
      </c>
      <c r="AN232" s="7">
        <f t="shared" si="1343"/>
        <v>31677.489500000022</v>
      </c>
      <c r="AO232" s="7">
        <f t="shared" si="1343"/>
        <v>31497.49950000002</v>
      </c>
      <c r="AP232" s="222"/>
      <c r="AQ232" s="7">
        <v>179.99</v>
      </c>
      <c r="AR232" s="7">
        <f t="shared" si="1164"/>
        <v>179.9900000000016</v>
      </c>
      <c r="AS232" s="7">
        <f t="shared" si="1165"/>
        <v>1.5916157281026244E-12</v>
      </c>
      <c r="AT232" s="7">
        <f t="shared" si="1328"/>
        <v>2159.88</v>
      </c>
      <c r="AU232" s="7">
        <f t="shared" si="1329"/>
        <v>31317.509500000018</v>
      </c>
      <c r="AV232" s="7">
        <f t="shared" si="1330"/>
        <v>31137.519500000017</v>
      </c>
      <c r="AW232" s="7">
        <f t="shared" si="1330"/>
        <v>30957.529500000015</v>
      </c>
      <c r="AX232" s="7">
        <f t="shared" si="1330"/>
        <v>30777.539500000014</v>
      </c>
      <c r="AY232" s="7">
        <f t="shared" si="1330"/>
        <v>30597.549500000012</v>
      </c>
      <c r="AZ232" s="7">
        <f t="shared" si="1330"/>
        <v>30417.55950000001</v>
      </c>
      <c r="BA232" s="7">
        <f t="shared" si="1330"/>
        <v>30237.569500000009</v>
      </c>
      <c r="BB232" s="7">
        <f t="shared" si="1330"/>
        <v>30057.579500000007</v>
      </c>
      <c r="BC232" s="7">
        <f t="shared" si="1330"/>
        <v>29877.589500000006</v>
      </c>
      <c r="BD232" s="7">
        <f t="shared" si="1330"/>
        <v>29697.599500000004</v>
      </c>
      <c r="BE232" s="7">
        <f t="shared" si="1330"/>
        <v>29517.609500000002</v>
      </c>
      <c r="BF232" s="7">
        <f t="shared" si="1330"/>
        <v>29337.619500000001</v>
      </c>
      <c r="BG232" s="236">
        <f t="shared" si="1158"/>
        <v>0</v>
      </c>
      <c r="BH232" s="7">
        <v>179.99</v>
      </c>
      <c r="BI232" s="39">
        <f>BH232*12</f>
        <v>2159.88</v>
      </c>
      <c r="BJ232" s="7">
        <f t="shared" si="1331"/>
        <v>29157.629499999999</v>
      </c>
      <c r="BK232" s="7">
        <f t="shared" si="1332"/>
        <v>28977.639499999997</v>
      </c>
      <c r="BL232" s="7">
        <f t="shared" si="1333"/>
        <v>28797.649499999996</v>
      </c>
      <c r="BM232" s="7">
        <f t="shared" si="1334"/>
        <v>28617.659499999994</v>
      </c>
      <c r="BN232" s="7">
        <f t="shared" si="1335"/>
        <v>28437.669499999993</v>
      </c>
      <c r="BO232" s="7">
        <f t="shared" si="1336"/>
        <v>28257.679499999991</v>
      </c>
      <c r="BP232" s="7">
        <f t="shared" si="1337"/>
        <v>28077.689499999989</v>
      </c>
      <c r="BQ232" s="7">
        <f t="shared" si="1338"/>
        <v>27897.699499999988</v>
      </c>
      <c r="BR232" s="7">
        <f t="shared" si="1339"/>
        <v>27717.709499999986</v>
      </c>
      <c r="BS232" s="7">
        <f t="shared" si="1340"/>
        <v>27537.719499999985</v>
      </c>
      <c r="BT232" s="7">
        <f t="shared" ref="BT232:BT240" si="1344">BS232-$L232</f>
        <v>27357.729499999983</v>
      </c>
      <c r="BU232" s="7">
        <f t="shared" ref="BU232:BU240" si="1345">BT232-$L232</f>
        <v>27177.739499999981</v>
      </c>
      <c r="BV232" s="236">
        <v>0</v>
      </c>
      <c r="BW232" s="7">
        <v>179.99</v>
      </c>
      <c r="BX232" s="39">
        <f>BW232*12</f>
        <v>2159.88</v>
      </c>
      <c r="BY232" s="7">
        <f>BU232-BW232</f>
        <v>26997.74949999998</v>
      </c>
      <c r="BZ232" s="7">
        <f t="shared" ref="BZ232:BZ240" si="1346">BY232-$L232</f>
        <v>26817.759499999978</v>
      </c>
      <c r="CA232" s="7">
        <f t="shared" ref="CA232:CA240" si="1347">BZ232-$L232</f>
        <v>26637.769499999977</v>
      </c>
      <c r="CB232" s="7">
        <f t="shared" ref="CB232:CB240" si="1348">CA232-$L232</f>
        <v>26457.779499999975</v>
      </c>
      <c r="CC232" s="7">
        <f t="shared" ref="CC232:CC240" si="1349">CB232-$L232</f>
        <v>26277.789499999973</v>
      </c>
      <c r="CD232" s="7">
        <f t="shared" ref="CD232:CD240" si="1350">CC232-$L232</f>
        <v>26097.799499999972</v>
      </c>
      <c r="CE232" s="7">
        <f t="shared" ref="CE232:CE240" si="1351">CD232-$L232</f>
        <v>25917.80949999997</v>
      </c>
      <c r="CF232" s="7">
        <f t="shared" ref="CF232:CF240" si="1352">CE232-$L232</f>
        <v>25737.819499999969</v>
      </c>
      <c r="CG232" s="7">
        <f t="shared" ref="CG232:CG240" si="1353">CF232-$L232</f>
        <v>25557.829499999967</v>
      </c>
      <c r="CH232" s="7">
        <f t="shared" ref="CH232:CH240" si="1354">CG232-$L232</f>
        <v>25377.839499999965</v>
      </c>
      <c r="CI232" s="7">
        <f t="shared" ref="CI232" si="1355">CH232-$L232</f>
        <v>25197.849499999964</v>
      </c>
      <c r="CJ232" s="7">
        <f t="shared" ref="CJ232" si="1356">CI232-$L232</f>
        <v>25017.859499999962</v>
      </c>
      <c r="CK232" s="236">
        <v>0</v>
      </c>
      <c r="CL232" s="7">
        <v>179.99</v>
      </c>
      <c r="CM232" s="39">
        <f>CL232*12</f>
        <v>2159.88</v>
      </c>
      <c r="CN232" s="7">
        <f>CJ232-CL232</f>
        <v>24837.869499999961</v>
      </c>
      <c r="CO232" s="7">
        <f t="shared" ref="CO232" si="1357">CN232-$L232</f>
        <v>24657.879499999959</v>
      </c>
      <c r="CP232" s="7">
        <f t="shared" ref="CP232" si="1358">CO232-$L232</f>
        <v>24477.889499999957</v>
      </c>
      <c r="CQ232" s="7">
        <f t="shared" ref="CQ232" si="1359">CP232-$L232</f>
        <v>24297.899499999956</v>
      </c>
      <c r="CR232" s="7">
        <f t="shared" ref="CR232" si="1360">CQ232-$L232</f>
        <v>24117.909499999954</v>
      </c>
      <c r="CS232" s="7">
        <f t="shared" ref="CS232" si="1361">CR232-$L232</f>
        <v>23937.919499999953</v>
      </c>
      <c r="CT232" s="7">
        <f t="shared" ref="CT232" si="1362">CS232-$L232</f>
        <v>23757.929499999951</v>
      </c>
      <c r="CU232" s="7">
        <f t="shared" ref="CU232" si="1363">CT232-$L232</f>
        <v>23577.939499999949</v>
      </c>
      <c r="CV232" s="7">
        <f t="shared" ref="CV232" si="1364">CU232-$L232</f>
        <v>23397.949499999948</v>
      </c>
      <c r="CW232" s="7">
        <f t="shared" ref="CW232" si="1365">CV232-$L232</f>
        <v>23217.959499999946</v>
      </c>
      <c r="CX232" s="7">
        <f t="shared" ref="CX232" si="1366">CW232-$L232</f>
        <v>23037.969499999945</v>
      </c>
      <c r="CY232" s="7">
        <f t="shared" ref="CY232" si="1367">CX232-$L232</f>
        <v>22857.979499999943</v>
      </c>
      <c r="CZ232" s="236">
        <v>0</v>
      </c>
    </row>
    <row r="233" spans="1:104" x14ac:dyDescent="0.2">
      <c r="A233" s="6" t="str">
        <f>'[1]2021 УГРЦТ'!A236</f>
        <v>Камера КСО 393-04 №1</v>
      </c>
      <c r="B233" t="str">
        <f>'[1]2021 УГРЦТ'!B236</f>
        <v>00001246</v>
      </c>
      <c r="C233" t="str">
        <f>'[1]2021 УГРЦТ'!C236</f>
        <v>ПЕРЕДАЧА</v>
      </c>
      <c r="D233" t="str">
        <f>'[1]2021 УГРЦТ'!D236</f>
        <v>Машины и оборудование (кроме офисного)</v>
      </c>
      <c r="E233" t="str">
        <f>'[1]2021 УГРЦТ'!E236</f>
        <v>31.10.2010</v>
      </c>
      <c r="F233" t="str">
        <f>'[1]2021 УГРЦТ'!F236</f>
        <v>Цех электрических сетей</v>
      </c>
      <c r="G233">
        <f>'[1]2021 УГРЦТ'!AC236</f>
        <v>180</v>
      </c>
      <c r="H233" s="7">
        <f>'[1]2021 УГРЦТ'!X236</f>
        <v>34199.17</v>
      </c>
      <c r="I233" s="7">
        <f>'[1]2021 УГРЦТ'!Y236</f>
        <v>25459.944666666666</v>
      </c>
      <c r="J233" s="7">
        <f>'[1]2021 УГРЦТ'!Z236</f>
        <v>8739.2253333333319</v>
      </c>
      <c r="K233" s="8">
        <v>0</v>
      </c>
      <c r="L233" s="7">
        <v>189.98</v>
      </c>
      <c r="M233" s="7"/>
      <c r="N233" s="7">
        <f t="shared" si="1341"/>
        <v>2279.7599999999998</v>
      </c>
      <c r="O233" s="7">
        <f t="shared" si="1161"/>
        <v>8549.2453333333324</v>
      </c>
      <c r="P233" s="7">
        <f t="shared" si="1342"/>
        <v>8359.2653333333328</v>
      </c>
      <c r="Q233" s="7">
        <f t="shared" si="1342"/>
        <v>8169.2853333333333</v>
      </c>
      <c r="R233" s="7">
        <f t="shared" si="1342"/>
        <v>7979.3053333333337</v>
      </c>
      <c r="S233" s="7">
        <f t="shared" si="1342"/>
        <v>7789.3253333333341</v>
      </c>
      <c r="T233" s="7">
        <f t="shared" si="1342"/>
        <v>7599.3453333333346</v>
      </c>
      <c r="U233" s="7">
        <f t="shared" si="1342"/>
        <v>7409.365333333335</v>
      </c>
      <c r="V233" s="7">
        <f t="shared" si="1342"/>
        <v>7219.3853333333354</v>
      </c>
      <c r="W233" s="7">
        <f t="shared" si="1342"/>
        <v>7029.4053333333359</v>
      </c>
      <c r="X233" s="7">
        <f t="shared" si="1342"/>
        <v>6839.4253333333363</v>
      </c>
      <c r="Y233" s="7">
        <f t="shared" si="1342"/>
        <v>6649.4453333333367</v>
      </c>
      <c r="Z233" s="7">
        <f t="shared" si="1342"/>
        <v>6459.4653333333372</v>
      </c>
      <c r="AA233" s="7"/>
      <c r="AB233" s="7"/>
      <c r="AC233" s="7">
        <f t="shared" si="1162"/>
        <v>2279.7599999999998</v>
      </c>
      <c r="AD233" s="7">
        <f t="shared" si="1163"/>
        <v>6269.4853333333376</v>
      </c>
      <c r="AE233" s="7">
        <f t="shared" si="1343"/>
        <v>6079.5053333333381</v>
      </c>
      <c r="AF233" s="7">
        <f t="shared" si="1343"/>
        <v>5889.5253333333385</v>
      </c>
      <c r="AG233" s="7">
        <f t="shared" si="1343"/>
        <v>5699.5453333333389</v>
      </c>
      <c r="AH233" s="7">
        <f t="shared" si="1343"/>
        <v>5509.5653333333394</v>
      </c>
      <c r="AI233" s="7">
        <f t="shared" si="1343"/>
        <v>5319.5853333333398</v>
      </c>
      <c r="AJ233" s="7">
        <f t="shared" si="1343"/>
        <v>5129.6053333333402</v>
      </c>
      <c r="AK233" s="7">
        <f t="shared" si="1343"/>
        <v>4939.6253333333407</v>
      </c>
      <c r="AL233" s="7">
        <f t="shared" si="1343"/>
        <v>4749.6453333333411</v>
      </c>
      <c r="AM233" s="7">
        <f t="shared" si="1343"/>
        <v>4559.6653333333416</v>
      </c>
      <c r="AN233" s="7">
        <f t="shared" si="1343"/>
        <v>4369.685333333342</v>
      </c>
      <c r="AO233" s="7">
        <f t="shared" si="1343"/>
        <v>4179.7053333333424</v>
      </c>
      <c r="AP233" s="222"/>
      <c r="AQ233" s="7">
        <v>189.98</v>
      </c>
      <c r="AR233" s="7">
        <f t="shared" si="1164"/>
        <v>189.97999999999956</v>
      </c>
      <c r="AS233" s="7">
        <f t="shared" si="1165"/>
        <v>-4.2632564145606011E-13</v>
      </c>
      <c r="AT233" s="7">
        <f t="shared" si="1328"/>
        <v>2279.7599999999998</v>
      </c>
      <c r="AU233" s="7">
        <f t="shared" si="1329"/>
        <v>3989.7253333333424</v>
      </c>
      <c r="AV233" s="7">
        <f t="shared" si="1330"/>
        <v>3799.7453333333424</v>
      </c>
      <c r="AW233" s="7">
        <f t="shared" si="1330"/>
        <v>3609.7653333333424</v>
      </c>
      <c r="AX233" s="7">
        <f t="shared" si="1330"/>
        <v>3419.7853333333424</v>
      </c>
      <c r="AY233" s="7">
        <f t="shared" si="1330"/>
        <v>3229.8053333333423</v>
      </c>
      <c r="AZ233" s="7">
        <f t="shared" si="1330"/>
        <v>3039.8253333333423</v>
      </c>
      <c r="BA233" s="7">
        <f t="shared" si="1330"/>
        <v>2849.8453333333423</v>
      </c>
      <c r="BB233" s="7">
        <f t="shared" si="1330"/>
        <v>2659.8653333333423</v>
      </c>
      <c r="BC233" s="7">
        <f t="shared" si="1330"/>
        <v>2469.8853333333423</v>
      </c>
      <c r="BD233" s="7">
        <f t="shared" si="1330"/>
        <v>2279.9053333333422</v>
      </c>
      <c r="BE233" s="7">
        <f t="shared" si="1330"/>
        <v>2089.9253333333422</v>
      </c>
      <c r="BF233" s="7">
        <f t="shared" si="1330"/>
        <v>1899.9453333333422</v>
      </c>
      <c r="BG233" s="236">
        <f t="shared" si="1158"/>
        <v>0</v>
      </c>
      <c r="BH233" s="7">
        <v>189.98</v>
      </c>
      <c r="BI233" s="39">
        <v>1899.95</v>
      </c>
      <c r="BJ233" s="7">
        <f t="shared" si="1331"/>
        <v>1709.9653333333422</v>
      </c>
      <c r="BK233" s="7">
        <f t="shared" si="1332"/>
        <v>1519.9853333333422</v>
      </c>
      <c r="BL233" s="7">
        <f t="shared" si="1333"/>
        <v>1330.0053333333422</v>
      </c>
      <c r="BM233" s="7">
        <f t="shared" si="1334"/>
        <v>1140.0253333333421</v>
      </c>
      <c r="BN233" s="7">
        <f t="shared" si="1335"/>
        <v>950.04533333334211</v>
      </c>
      <c r="BO233" s="7">
        <f t="shared" si="1336"/>
        <v>760.0653333333421</v>
      </c>
      <c r="BP233" s="7">
        <f t="shared" si="1337"/>
        <v>570.08533333334208</v>
      </c>
      <c r="BQ233" s="7">
        <f t="shared" si="1338"/>
        <v>380.10533333334206</v>
      </c>
      <c r="BR233" s="7">
        <f t="shared" si="1339"/>
        <v>190.12533333334207</v>
      </c>
      <c r="BS233" s="7">
        <f t="shared" si="1340"/>
        <v>0.1453333333420801</v>
      </c>
      <c r="BT233" s="7"/>
      <c r="BU233" s="7"/>
      <c r="BV233" s="236">
        <v>0</v>
      </c>
      <c r="BW233" s="7">
        <v>189.98</v>
      </c>
      <c r="BX233" s="39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236">
        <v>0</v>
      </c>
      <c r="CL233" s="7">
        <v>189.98</v>
      </c>
      <c r="CM233" s="39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236">
        <v>0</v>
      </c>
    </row>
    <row r="234" spans="1:104" x14ac:dyDescent="0.2">
      <c r="A234" s="6" t="str">
        <f>'[1]2021 УГРЦТ'!A237</f>
        <v>Камера КСО 393-04 №2</v>
      </c>
      <c r="B234" t="str">
        <f>'[1]2021 УГРЦТ'!B237</f>
        <v>00001247</v>
      </c>
      <c r="C234" t="str">
        <f>'[1]2021 УГРЦТ'!C237</f>
        <v>ПЕРЕДАЧА</v>
      </c>
      <c r="D234" t="str">
        <f>'[1]2021 УГРЦТ'!D237</f>
        <v>Машины и оборудование (кроме офисного)</v>
      </c>
      <c r="E234" t="str">
        <f>'[1]2021 УГРЦТ'!E237</f>
        <v>31.10.2010</v>
      </c>
      <c r="F234" t="str">
        <f>'[1]2021 УГРЦТ'!F237</f>
        <v>Газотурбинный цех</v>
      </c>
      <c r="G234">
        <f>'[1]2021 УГРЦТ'!AC237</f>
        <v>180</v>
      </c>
      <c r="H234" s="7">
        <f>'[1]2021 УГРЦТ'!X237</f>
        <v>34199.17</v>
      </c>
      <c r="I234" s="7">
        <f>'[1]2021 УГРЦТ'!Y237</f>
        <v>25459.944666666666</v>
      </c>
      <c r="J234" s="7">
        <f>'[1]2021 УГРЦТ'!Z237</f>
        <v>8739.2253333333319</v>
      </c>
      <c r="K234" s="8">
        <v>0</v>
      </c>
      <c r="L234" s="7">
        <v>189.98</v>
      </c>
      <c r="M234" s="7"/>
      <c r="N234" s="7">
        <f t="shared" si="1341"/>
        <v>2279.7599999999998</v>
      </c>
      <c r="O234" s="7">
        <f t="shared" si="1161"/>
        <v>8549.2453333333324</v>
      </c>
      <c r="P234" s="7">
        <f t="shared" si="1342"/>
        <v>8359.2653333333328</v>
      </c>
      <c r="Q234" s="7">
        <f t="shared" si="1342"/>
        <v>8169.2853333333333</v>
      </c>
      <c r="R234" s="7">
        <f t="shared" si="1342"/>
        <v>7979.3053333333337</v>
      </c>
      <c r="S234" s="7">
        <f t="shared" si="1342"/>
        <v>7789.3253333333341</v>
      </c>
      <c r="T234" s="7">
        <f t="shared" si="1342"/>
        <v>7599.3453333333346</v>
      </c>
      <c r="U234" s="7">
        <f t="shared" si="1342"/>
        <v>7409.365333333335</v>
      </c>
      <c r="V234" s="7">
        <f t="shared" si="1342"/>
        <v>7219.3853333333354</v>
      </c>
      <c r="W234" s="7">
        <f t="shared" si="1342"/>
        <v>7029.4053333333359</v>
      </c>
      <c r="X234" s="7">
        <f t="shared" si="1342"/>
        <v>6839.4253333333363</v>
      </c>
      <c r="Y234" s="7">
        <f t="shared" si="1342"/>
        <v>6649.4453333333367</v>
      </c>
      <c r="Z234" s="7">
        <f t="shared" si="1342"/>
        <v>6459.4653333333372</v>
      </c>
      <c r="AA234" s="7"/>
      <c r="AB234" s="7"/>
      <c r="AC234" s="7">
        <f t="shared" si="1162"/>
        <v>2279.7599999999998</v>
      </c>
      <c r="AD234" s="7">
        <f t="shared" si="1163"/>
        <v>6269.4853333333376</v>
      </c>
      <c r="AE234" s="7">
        <f t="shared" si="1343"/>
        <v>6079.5053333333381</v>
      </c>
      <c r="AF234" s="7">
        <f t="shared" si="1343"/>
        <v>5889.5253333333385</v>
      </c>
      <c r="AG234" s="7">
        <f t="shared" si="1343"/>
        <v>5699.5453333333389</v>
      </c>
      <c r="AH234" s="7">
        <f t="shared" si="1343"/>
        <v>5509.5653333333394</v>
      </c>
      <c r="AI234" s="7">
        <f t="shared" si="1343"/>
        <v>5319.5853333333398</v>
      </c>
      <c r="AJ234" s="7">
        <f t="shared" si="1343"/>
        <v>5129.6053333333402</v>
      </c>
      <c r="AK234" s="7">
        <f t="shared" si="1343"/>
        <v>4939.6253333333407</v>
      </c>
      <c r="AL234" s="7">
        <f t="shared" si="1343"/>
        <v>4749.6453333333411</v>
      </c>
      <c r="AM234" s="7">
        <f t="shared" si="1343"/>
        <v>4559.6653333333416</v>
      </c>
      <c r="AN234" s="7">
        <f t="shared" si="1343"/>
        <v>4369.685333333342</v>
      </c>
      <c r="AO234" s="7">
        <f t="shared" si="1343"/>
        <v>4179.7053333333424</v>
      </c>
      <c r="AP234" s="222"/>
      <c r="AQ234" s="7">
        <v>189.98</v>
      </c>
      <c r="AR234" s="7">
        <f t="shared" si="1164"/>
        <v>189.97999999999956</v>
      </c>
      <c r="AS234" s="7">
        <f t="shared" si="1165"/>
        <v>-4.2632564145606011E-13</v>
      </c>
      <c r="AT234" s="7">
        <f t="shared" si="1328"/>
        <v>2279.7599999999998</v>
      </c>
      <c r="AU234" s="7">
        <f t="shared" si="1329"/>
        <v>3989.7253333333424</v>
      </c>
      <c r="AV234" s="7">
        <f t="shared" si="1330"/>
        <v>3799.7453333333424</v>
      </c>
      <c r="AW234" s="7">
        <f t="shared" si="1330"/>
        <v>3609.7653333333424</v>
      </c>
      <c r="AX234" s="7">
        <f t="shared" si="1330"/>
        <v>3419.7853333333424</v>
      </c>
      <c r="AY234" s="7">
        <f t="shared" si="1330"/>
        <v>3229.8053333333423</v>
      </c>
      <c r="AZ234" s="7">
        <f t="shared" si="1330"/>
        <v>3039.8253333333423</v>
      </c>
      <c r="BA234" s="7">
        <f t="shared" si="1330"/>
        <v>2849.8453333333423</v>
      </c>
      <c r="BB234" s="7">
        <f t="shared" si="1330"/>
        <v>2659.8653333333423</v>
      </c>
      <c r="BC234" s="7">
        <f t="shared" si="1330"/>
        <v>2469.8853333333423</v>
      </c>
      <c r="BD234" s="7">
        <f t="shared" si="1330"/>
        <v>2279.9053333333422</v>
      </c>
      <c r="BE234" s="7">
        <f t="shared" si="1330"/>
        <v>2089.9253333333422</v>
      </c>
      <c r="BF234" s="7">
        <f t="shared" si="1330"/>
        <v>1899.9453333333422</v>
      </c>
      <c r="BG234" s="236">
        <f t="shared" si="1158"/>
        <v>0</v>
      </c>
      <c r="BH234" s="7">
        <v>189.98</v>
      </c>
      <c r="BI234" s="39">
        <v>1899.95</v>
      </c>
      <c r="BJ234" s="7">
        <f t="shared" si="1331"/>
        <v>1709.9653333333422</v>
      </c>
      <c r="BK234" s="7">
        <f t="shared" si="1332"/>
        <v>1519.9853333333422</v>
      </c>
      <c r="BL234" s="7">
        <f t="shared" si="1333"/>
        <v>1330.0053333333422</v>
      </c>
      <c r="BM234" s="7">
        <f t="shared" si="1334"/>
        <v>1140.0253333333421</v>
      </c>
      <c r="BN234" s="7">
        <f t="shared" si="1335"/>
        <v>950.04533333334211</v>
      </c>
      <c r="BO234" s="7">
        <f t="shared" si="1336"/>
        <v>760.0653333333421</v>
      </c>
      <c r="BP234" s="7">
        <f t="shared" si="1337"/>
        <v>570.08533333334208</v>
      </c>
      <c r="BQ234" s="7">
        <f t="shared" si="1338"/>
        <v>380.10533333334206</v>
      </c>
      <c r="BR234" s="7">
        <f t="shared" si="1339"/>
        <v>190.12533333334207</v>
      </c>
      <c r="BS234" s="7">
        <f t="shared" si="1340"/>
        <v>0.1453333333420801</v>
      </c>
      <c r="BT234" s="7"/>
      <c r="BU234" s="7"/>
      <c r="BV234" s="236">
        <v>0</v>
      </c>
      <c r="BW234" s="7">
        <v>189.98</v>
      </c>
      <c r="BX234" s="39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236">
        <v>0</v>
      </c>
      <c r="CL234" s="7">
        <v>189.98</v>
      </c>
      <c r="CM234" s="39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236">
        <v>0</v>
      </c>
    </row>
    <row r="235" spans="1:104" x14ac:dyDescent="0.2">
      <c r="A235" s="6" t="str">
        <f>'[1]2021 УГРЦТ'!A238</f>
        <v>Камера КСО 393-04 №3</v>
      </c>
      <c r="B235" t="str">
        <f>'[1]2021 УГРЦТ'!B238</f>
        <v>00001248</v>
      </c>
      <c r="C235" t="str">
        <f>'[1]2021 УГРЦТ'!C238</f>
        <v>ПЕРЕДАЧА</v>
      </c>
      <c r="D235" t="str">
        <f>'[1]2021 УГРЦТ'!D238</f>
        <v>Машины и оборудование (кроме офисного)</v>
      </c>
      <c r="E235" t="str">
        <f>'[1]2021 УГРЦТ'!E238</f>
        <v>31.10.2010</v>
      </c>
      <c r="F235" t="str">
        <f>'[1]2021 УГРЦТ'!F238</f>
        <v>Газотурбинный цех</v>
      </c>
      <c r="G235">
        <f>'[1]2021 УГРЦТ'!AC238</f>
        <v>180</v>
      </c>
      <c r="H235" s="7">
        <f>'[1]2021 УГРЦТ'!X238</f>
        <v>34199.17</v>
      </c>
      <c r="I235" s="7">
        <f>'[1]2021 УГРЦТ'!Y238</f>
        <v>25459.944666666666</v>
      </c>
      <c r="J235" s="7">
        <f>'[1]2021 УГРЦТ'!Z238</f>
        <v>8739.2253333333319</v>
      </c>
      <c r="K235" s="8">
        <v>0</v>
      </c>
      <c r="L235" s="7">
        <v>189.98</v>
      </c>
      <c r="M235" s="7"/>
      <c r="N235" s="7">
        <f t="shared" si="1341"/>
        <v>2279.7599999999998</v>
      </c>
      <c r="O235" s="7">
        <f t="shared" si="1161"/>
        <v>8549.2453333333324</v>
      </c>
      <c r="P235" s="7">
        <f t="shared" si="1342"/>
        <v>8359.2653333333328</v>
      </c>
      <c r="Q235" s="7">
        <f t="shared" si="1342"/>
        <v>8169.2853333333333</v>
      </c>
      <c r="R235" s="7">
        <f t="shared" si="1342"/>
        <v>7979.3053333333337</v>
      </c>
      <c r="S235" s="7">
        <f t="shared" si="1342"/>
        <v>7789.3253333333341</v>
      </c>
      <c r="T235" s="7">
        <f t="shared" si="1342"/>
        <v>7599.3453333333346</v>
      </c>
      <c r="U235" s="7">
        <f t="shared" si="1342"/>
        <v>7409.365333333335</v>
      </c>
      <c r="V235" s="7">
        <f t="shared" si="1342"/>
        <v>7219.3853333333354</v>
      </c>
      <c r="W235" s="7">
        <f t="shared" si="1342"/>
        <v>7029.4053333333359</v>
      </c>
      <c r="X235" s="7">
        <f t="shared" si="1342"/>
        <v>6839.4253333333363</v>
      </c>
      <c r="Y235" s="7">
        <f t="shared" si="1342"/>
        <v>6649.4453333333367</v>
      </c>
      <c r="Z235" s="7">
        <f t="shared" si="1342"/>
        <v>6459.4653333333372</v>
      </c>
      <c r="AA235" s="7"/>
      <c r="AB235" s="7"/>
      <c r="AC235" s="7">
        <f t="shared" si="1162"/>
        <v>2279.7599999999998</v>
      </c>
      <c r="AD235" s="7">
        <f t="shared" si="1163"/>
        <v>6269.4853333333376</v>
      </c>
      <c r="AE235" s="7">
        <f t="shared" si="1343"/>
        <v>6079.5053333333381</v>
      </c>
      <c r="AF235" s="7">
        <f t="shared" si="1343"/>
        <v>5889.5253333333385</v>
      </c>
      <c r="AG235" s="7">
        <f t="shared" si="1343"/>
        <v>5699.5453333333389</v>
      </c>
      <c r="AH235" s="7">
        <f t="shared" si="1343"/>
        <v>5509.5653333333394</v>
      </c>
      <c r="AI235" s="7">
        <f t="shared" si="1343"/>
        <v>5319.5853333333398</v>
      </c>
      <c r="AJ235" s="7">
        <f t="shared" si="1343"/>
        <v>5129.6053333333402</v>
      </c>
      <c r="AK235" s="7">
        <f t="shared" si="1343"/>
        <v>4939.6253333333407</v>
      </c>
      <c r="AL235" s="7">
        <f t="shared" si="1343"/>
        <v>4749.6453333333411</v>
      </c>
      <c r="AM235" s="7">
        <f t="shared" si="1343"/>
        <v>4559.6653333333416</v>
      </c>
      <c r="AN235" s="7">
        <f t="shared" si="1343"/>
        <v>4369.685333333342</v>
      </c>
      <c r="AO235" s="7">
        <f t="shared" si="1343"/>
        <v>4179.7053333333424</v>
      </c>
      <c r="AP235" s="222"/>
      <c r="AQ235" s="7">
        <v>189.98</v>
      </c>
      <c r="AR235" s="7">
        <f t="shared" si="1164"/>
        <v>189.97999999999956</v>
      </c>
      <c r="AS235" s="7">
        <f t="shared" si="1165"/>
        <v>-4.2632564145606011E-13</v>
      </c>
      <c r="AT235" s="7">
        <f t="shared" si="1328"/>
        <v>2279.7599999999998</v>
      </c>
      <c r="AU235" s="7">
        <f t="shared" si="1329"/>
        <v>3989.7253333333424</v>
      </c>
      <c r="AV235" s="7">
        <f t="shared" si="1330"/>
        <v>3799.7453333333424</v>
      </c>
      <c r="AW235" s="7">
        <f t="shared" si="1330"/>
        <v>3609.7653333333424</v>
      </c>
      <c r="AX235" s="7">
        <f t="shared" si="1330"/>
        <v>3419.7853333333424</v>
      </c>
      <c r="AY235" s="7">
        <f t="shared" si="1330"/>
        <v>3229.8053333333423</v>
      </c>
      <c r="AZ235" s="7">
        <f t="shared" si="1330"/>
        <v>3039.8253333333423</v>
      </c>
      <c r="BA235" s="7">
        <f t="shared" si="1330"/>
        <v>2849.8453333333423</v>
      </c>
      <c r="BB235" s="7">
        <f t="shared" si="1330"/>
        <v>2659.8653333333423</v>
      </c>
      <c r="BC235" s="7">
        <f t="shared" si="1330"/>
        <v>2469.8853333333423</v>
      </c>
      <c r="BD235" s="7">
        <f t="shared" si="1330"/>
        <v>2279.9053333333422</v>
      </c>
      <c r="BE235" s="7">
        <f t="shared" si="1330"/>
        <v>2089.9253333333422</v>
      </c>
      <c r="BF235" s="7">
        <f t="shared" si="1330"/>
        <v>1899.9453333333422</v>
      </c>
      <c r="BG235" s="236">
        <f t="shared" si="1158"/>
        <v>0</v>
      </c>
      <c r="BH235" s="7">
        <v>189.98</v>
      </c>
      <c r="BI235" s="39">
        <v>1899.95</v>
      </c>
      <c r="BJ235" s="7">
        <f t="shared" si="1331"/>
        <v>1709.9653333333422</v>
      </c>
      <c r="BK235" s="7">
        <f t="shared" si="1332"/>
        <v>1519.9853333333422</v>
      </c>
      <c r="BL235" s="7">
        <f t="shared" si="1333"/>
        <v>1330.0053333333422</v>
      </c>
      <c r="BM235" s="7">
        <f t="shared" si="1334"/>
        <v>1140.0253333333421</v>
      </c>
      <c r="BN235" s="7">
        <f t="shared" si="1335"/>
        <v>950.04533333334211</v>
      </c>
      <c r="BO235" s="7">
        <f t="shared" si="1336"/>
        <v>760.0653333333421</v>
      </c>
      <c r="BP235" s="7">
        <f t="shared" si="1337"/>
        <v>570.08533333334208</v>
      </c>
      <c r="BQ235" s="7">
        <f t="shared" si="1338"/>
        <v>380.10533333334206</v>
      </c>
      <c r="BR235" s="7">
        <f t="shared" si="1339"/>
        <v>190.12533333334207</v>
      </c>
      <c r="BS235" s="7">
        <f t="shared" si="1340"/>
        <v>0.1453333333420801</v>
      </c>
      <c r="BT235" s="7"/>
      <c r="BU235" s="7"/>
      <c r="BV235" s="236">
        <v>0</v>
      </c>
      <c r="BW235" s="7">
        <v>189.98</v>
      </c>
      <c r="BX235" s="39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236">
        <v>0</v>
      </c>
      <c r="CL235" s="7">
        <v>189.98</v>
      </c>
      <c r="CM235" s="39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236">
        <v>0</v>
      </c>
    </row>
    <row r="236" spans="1:104" x14ac:dyDescent="0.2">
      <c r="A236" s="6" t="str">
        <f>'[1]2021 УГРЦТ'!A239</f>
        <v>Камера КСО 393-04 №4</v>
      </c>
      <c r="B236" t="str">
        <f>'[1]2021 УГРЦТ'!B239</f>
        <v>00001249</v>
      </c>
      <c r="C236" t="str">
        <f>'[1]2021 УГРЦТ'!C239</f>
        <v>ПЕРЕДАЧА</v>
      </c>
      <c r="D236" t="str">
        <f>'[1]2021 УГРЦТ'!D239</f>
        <v>Машины и оборудование (кроме офисного)</v>
      </c>
      <c r="E236" t="str">
        <f>'[1]2021 УГРЦТ'!E239</f>
        <v>31.10.2010</v>
      </c>
      <c r="F236" t="str">
        <f>'[1]2021 УГРЦТ'!F239</f>
        <v>Газотурбинный цех</v>
      </c>
      <c r="G236">
        <f>'[1]2021 УГРЦТ'!AC239</f>
        <v>180</v>
      </c>
      <c r="H236" s="7">
        <f>'[1]2021 УГРЦТ'!X239</f>
        <v>34199.17</v>
      </c>
      <c r="I236" s="7">
        <f>'[1]2021 УГРЦТ'!Y239</f>
        <v>25459.944666666666</v>
      </c>
      <c r="J236" s="7">
        <f>'[1]2021 УГРЦТ'!Z239</f>
        <v>8739.2253333333319</v>
      </c>
      <c r="K236" s="8">
        <v>0</v>
      </c>
      <c r="L236" s="7">
        <v>189.98</v>
      </c>
      <c r="M236" s="7"/>
      <c r="N236" s="7">
        <f t="shared" si="1341"/>
        <v>2279.7599999999998</v>
      </c>
      <c r="O236" s="7">
        <f t="shared" si="1161"/>
        <v>8549.2453333333324</v>
      </c>
      <c r="P236" s="7">
        <f t="shared" si="1342"/>
        <v>8359.2653333333328</v>
      </c>
      <c r="Q236" s="7">
        <f t="shared" si="1342"/>
        <v>8169.2853333333333</v>
      </c>
      <c r="R236" s="7">
        <f t="shared" si="1342"/>
        <v>7979.3053333333337</v>
      </c>
      <c r="S236" s="7">
        <f t="shared" si="1342"/>
        <v>7789.3253333333341</v>
      </c>
      <c r="T236" s="7">
        <f t="shared" si="1342"/>
        <v>7599.3453333333346</v>
      </c>
      <c r="U236" s="7">
        <f t="shared" si="1342"/>
        <v>7409.365333333335</v>
      </c>
      <c r="V236" s="7">
        <f t="shared" si="1342"/>
        <v>7219.3853333333354</v>
      </c>
      <c r="W236" s="7">
        <f t="shared" si="1342"/>
        <v>7029.4053333333359</v>
      </c>
      <c r="X236" s="7">
        <f t="shared" si="1342"/>
        <v>6839.4253333333363</v>
      </c>
      <c r="Y236" s="7">
        <f t="shared" si="1342"/>
        <v>6649.4453333333367</v>
      </c>
      <c r="Z236" s="7">
        <f t="shared" si="1342"/>
        <v>6459.4653333333372</v>
      </c>
      <c r="AA236" s="7"/>
      <c r="AB236" s="7"/>
      <c r="AC236" s="7">
        <f t="shared" si="1162"/>
        <v>2279.7599999999998</v>
      </c>
      <c r="AD236" s="7">
        <f t="shared" si="1163"/>
        <v>6269.4853333333376</v>
      </c>
      <c r="AE236" s="7">
        <f t="shared" si="1343"/>
        <v>6079.5053333333381</v>
      </c>
      <c r="AF236" s="7">
        <f t="shared" si="1343"/>
        <v>5889.5253333333385</v>
      </c>
      <c r="AG236" s="7">
        <f t="shared" si="1343"/>
        <v>5699.5453333333389</v>
      </c>
      <c r="AH236" s="7">
        <f t="shared" si="1343"/>
        <v>5509.5653333333394</v>
      </c>
      <c r="AI236" s="7">
        <f t="shared" si="1343"/>
        <v>5319.5853333333398</v>
      </c>
      <c r="AJ236" s="7">
        <f t="shared" si="1343"/>
        <v>5129.6053333333402</v>
      </c>
      <c r="AK236" s="7">
        <f t="shared" si="1343"/>
        <v>4939.6253333333407</v>
      </c>
      <c r="AL236" s="7">
        <f t="shared" si="1343"/>
        <v>4749.6453333333411</v>
      </c>
      <c r="AM236" s="7">
        <f t="shared" si="1343"/>
        <v>4559.6653333333416</v>
      </c>
      <c r="AN236" s="7">
        <f t="shared" si="1343"/>
        <v>4369.685333333342</v>
      </c>
      <c r="AO236" s="7">
        <f t="shared" si="1343"/>
        <v>4179.7053333333424</v>
      </c>
      <c r="AP236" s="222"/>
      <c r="AQ236" s="7">
        <v>189.98</v>
      </c>
      <c r="AR236" s="7">
        <f t="shared" si="1164"/>
        <v>189.97999999999956</v>
      </c>
      <c r="AS236" s="7">
        <f t="shared" si="1165"/>
        <v>-4.2632564145606011E-13</v>
      </c>
      <c r="AT236" s="7">
        <f t="shared" si="1328"/>
        <v>2279.7599999999998</v>
      </c>
      <c r="AU236" s="7">
        <f t="shared" si="1329"/>
        <v>3989.7253333333424</v>
      </c>
      <c r="AV236" s="7">
        <f t="shared" si="1330"/>
        <v>3799.7453333333424</v>
      </c>
      <c r="AW236" s="7">
        <f t="shared" si="1330"/>
        <v>3609.7653333333424</v>
      </c>
      <c r="AX236" s="7">
        <f t="shared" si="1330"/>
        <v>3419.7853333333424</v>
      </c>
      <c r="AY236" s="7">
        <f t="shared" si="1330"/>
        <v>3229.8053333333423</v>
      </c>
      <c r="AZ236" s="7">
        <f t="shared" si="1330"/>
        <v>3039.8253333333423</v>
      </c>
      <c r="BA236" s="7">
        <f t="shared" si="1330"/>
        <v>2849.8453333333423</v>
      </c>
      <c r="BB236" s="7">
        <f t="shared" si="1330"/>
        <v>2659.8653333333423</v>
      </c>
      <c r="BC236" s="7">
        <f t="shared" si="1330"/>
        <v>2469.8853333333423</v>
      </c>
      <c r="BD236" s="7">
        <f t="shared" si="1330"/>
        <v>2279.9053333333422</v>
      </c>
      <c r="BE236" s="7">
        <f t="shared" si="1330"/>
        <v>2089.9253333333422</v>
      </c>
      <c r="BF236" s="7">
        <f t="shared" si="1330"/>
        <v>1899.9453333333422</v>
      </c>
      <c r="BG236" s="236">
        <f t="shared" si="1158"/>
        <v>0</v>
      </c>
      <c r="BH236" s="7">
        <v>189.98</v>
      </c>
      <c r="BI236" s="39">
        <v>1899.95</v>
      </c>
      <c r="BJ236" s="7">
        <f t="shared" si="1331"/>
        <v>1709.9653333333422</v>
      </c>
      <c r="BK236" s="7">
        <f t="shared" si="1332"/>
        <v>1519.9853333333422</v>
      </c>
      <c r="BL236" s="7">
        <f t="shared" si="1333"/>
        <v>1330.0053333333422</v>
      </c>
      <c r="BM236" s="7">
        <f t="shared" si="1334"/>
        <v>1140.0253333333421</v>
      </c>
      <c r="BN236" s="7">
        <f t="shared" si="1335"/>
        <v>950.04533333334211</v>
      </c>
      <c r="BO236" s="7">
        <f t="shared" si="1336"/>
        <v>760.0653333333421</v>
      </c>
      <c r="BP236" s="7">
        <f t="shared" si="1337"/>
        <v>570.08533333334208</v>
      </c>
      <c r="BQ236" s="7">
        <f t="shared" si="1338"/>
        <v>380.10533333334206</v>
      </c>
      <c r="BR236" s="7">
        <f t="shared" si="1339"/>
        <v>190.12533333334207</v>
      </c>
      <c r="BS236" s="7">
        <f t="shared" si="1340"/>
        <v>0.1453333333420801</v>
      </c>
      <c r="BT236" s="7"/>
      <c r="BU236" s="7"/>
      <c r="BV236" s="236">
        <v>0</v>
      </c>
      <c r="BW236" s="7">
        <v>189.98</v>
      </c>
      <c r="BX236" s="39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236">
        <v>0</v>
      </c>
      <c r="CL236" s="7">
        <v>189.98</v>
      </c>
      <c r="CM236" s="39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236">
        <v>0</v>
      </c>
    </row>
    <row r="237" spans="1:104" x14ac:dyDescent="0.2">
      <c r="A237" s="6" t="str">
        <f>'[1]2021 УГРЦТ'!A240</f>
        <v>Камера КСО 393-24УЗ №1</v>
      </c>
      <c r="B237" t="str">
        <f>'[1]2021 УГРЦТ'!B240</f>
        <v>00001373</v>
      </c>
      <c r="C237" t="str">
        <f>'[1]2021 УГРЦТ'!C240</f>
        <v>ПЕРЕДАЧА</v>
      </c>
      <c r="D237" t="str">
        <f>'[1]2021 УГРЦТ'!D240</f>
        <v>Машины и оборудование (кроме офисного)</v>
      </c>
      <c r="E237" t="str">
        <f>'[1]2021 УГРЦТ'!E240</f>
        <v>18.10.2011</v>
      </c>
      <c r="F237" t="str">
        <f>'[1]2021 УГРЦТ'!F240</f>
        <v>Цех электрических сетей</v>
      </c>
      <c r="G237">
        <f>'[1]2021 УГРЦТ'!AC240</f>
        <v>180</v>
      </c>
      <c r="H237" s="7">
        <f>'[1]2021 УГРЦТ'!X240</f>
        <v>87044.07</v>
      </c>
      <c r="I237" s="7">
        <f>'[1]2021 УГРЦТ'!Y240</f>
        <v>58996.738000000005</v>
      </c>
      <c r="J237" s="7">
        <f>'[1]2021 УГРЦТ'!Z240</f>
        <v>28047.332000000002</v>
      </c>
      <c r="K237" s="8">
        <v>0</v>
      </c>
      <c r="L237" s="7">
        <v>483.57166669999998</v>
      </c>
      <c r="M237" s="7"/>
      <c r="N237" s="7">
        <f t="shared" si="1341"/>
        <v>5802.8600004</v>
      </c>
      <c r="O237" s="7">
        <f t="shared" si="1161"/>
        <v>27563.760333300001</v>
      </c>
      <c r="P237" s="7">
        <f t="shared" si="1342"/>
        <v>27080.188666599999</v>
      </c>
      <c r="Q237" s="7">
        <f t="shared" si="1342"/>
        <v>26596.616999899998</v>
      </c>
      <c r="R237" s="7">
        <f t="shared" si="1342"/>
        <v>26113.045333199996</v>
      </c>
      <c r="S237" s="7">
        <f t="shared" si="1342"/>
        <v>25629.473666499995</v>
      </c>
      <c r="T237" s="7">
        <f t="shared" si="1342"/>
        <v>25145.901999799993</v>
      </c>
      <c r="U237" s="7">
        <f t="shared" si="1342"/>
        <v>24662.330333099992</v>
      </c>
      <c r="V237" s="7">
        <f t="shared" si="1342"/>
        <v>24178.75866639999</v>
      </c>
      <c r="W237" s="7">
        <f t="shared" si="1342"/>
        <v>23695.186999699989</v>
      </c>
      <c r="X237" s="7">
        <f t="shared" si="1342"/>
        <v>23211.615332999987</v>
      </c>
      <c r="Y237" s="7">
        <f t="shared" si="1342"/>
        <v>22728.043666299985</v>
      </c>
      <c r="Z237" s="7">
        <f t="shared" si="1342"/>
        <v>22244.471999599984</v>
      </c>
      <c r="AA237" s="7"/>
      <c r="AB237" s="7"/>
      <c r="AC237" s="7">
        <f t="shared" si="1162"/>
        <v>5802.8600004</v>
      </c>
      <c r="AD237" s="7">
        <f t="shared" si="1163"/>
        <v>21760.900332899982</v>
      </c>
      <c r="AE237" s="7">
        <f t="shared" si="1343"/>
        <v>21277.328666199981</v>
      </c>
      <c r="AF237" s="7">
        <f t="shared" si="1343"/>
        <v>20793.756999499979</v>
      </c>
      <c r="AG237" s="7">
        <f t="shared" si="1343"/>
        <v>20310.185332799978</v>
      </c>
      <c r="AH237" s="7">
        <f t="shared" si="1343"/>
        <v>19826.613666099976</v>
      </c>
      <c r="AI237" s="7">
        <f t="shared" si="1343"/>
        <v>19343.041999399975</v>
      </c>
      <c r="AJ237" s="7">
        <f t="shared" si="1343"/>
        <v>18859.470332699973</v>
      </c>
      <c r="AK237" s="7">
        <f t="shared" si="1343"/>
        <v>18375.898665999972</v>
      </c>
      <c r="AL237" s="7">
        <f t="shared" si="1343"/>
        <v>17892.32699929997</v>
      </c>
      <c r="AM237" s="7">
        <f t="shared" si="1343"/>
        <v>17408.755332599969</v>
      </c>
      <c r="AN237" s="7">
        <f t="shared" si="1343"/>
        <v>16925.183665899967</v>
      </c>
      <c r="AO237" s="7">
        <f t="shared" si="1343"/>
        <v>16441.611999199966</v>
      </c>
      <c r="AP237" s="222"/>
      <c r="AQ237" s="7">
        <v>483.57166669999998</v>
      </c>
      <c r="AR237" s="7">
        <f t="shared" si="1164"/>
        <v>483.57166670000151</v>
      </c>
      <c r="AS237" s="7">
        <f t="shared" si="1165"/>
        <v>1.5347723092418164E-12</v>
      </c>
      <c r="AT237" s="7">
        <f t="shared" si="1328"/>
        <v>5802.8600004</v>
      </c>
      <c r="AU237" s="7">
        <f t="shared" si="1329"/>
        <v>15958.040332499966</v>
      </c>
      <c r="AV237" s="7">
        <f t="shared" si="1330"/>
        <v>15474.468665799966</v>
      </c>
      <c r="AW237" s="7">
        <f t="shared" si="1330"/>
        <v>14990.896999099967</v>
      </c>
      <c r="AX237" s="7">
        <f t="shared" si="1330"/>
        <v>14507.325332399967</v>
      </c>
      <c r="AY237" s="7">
        <f t="shared" si="1330"/>
        <v>14023.753665699967</v>
      </c>
      <c r="AZ237" s="7">
        <f t="shared" si="1330"/>
        <v>13540.181998999968</v>
      </c>
      <c r="BA237" s="7">
        <f t="shared" si="1330"/>
        <v>13056.610332299968</v>
      </c>
      <c r="BB237" s="7">
        <f t="shared" si="1330"/>
        <v>12573.038665599968</v>
      </c>
      <c r="BC237" s="7">
        <f t="shared" si="1330"/>
        <v>12089.466998899969</v>
      </c>
      <c r="BD237" s="7">
        <f t="shared" si="1330"/>
        <v>11605.895332199969</v>
      </c>
      <c r="BE237" s="7">
        <f t="shared" si="1330"/>
        <v>11122.323665499969</v>
      </c>
      <c r="BF237" s="7">
        <f t="shared" si="1330"/>
        <v>10638.751998799969</v>
      </c>
      <c r="BG237" s="236">
        <f t="shared" si="1158"/>
        <v>0</v>
      </c>
      <c r="BH237" s="7">
        <v>483.57166669999998</v>
      </c>
      <c r="BI237" s="39">
        <f>BH237*12</f>
        <v>5802.8600004</v>
      </c>
      <c r="BJ237" s="7">
        <f t="shared" si="1331"/>
        <v>10155.18033209997</v>
      </c>
      <c r="BK237" s="7">
        <f t="shared" si="1332"/>
        <v>9671.6086653999701</v>
      </c>
      <c r="BL237" s="7">
        <f t="shared" si="1333"/>
        <v>9188.0369986999704</v>
      </c>
      <c r="BM237" s="7">
        <f t="shared" si="1334"/>
        <v>8704.4653319999707</v>
      </c>
      <c r="BN237" s="7">
        <f t="shared" si="1335"/>
        <v>8220.893665299971</v>
      </c>
      <c r="BO237" s="7">
        <f t="shared" si="1336"/>
        <v>7737.3219985999713</v>
      </c>
      <c r="BP237" s="7">
        <f t="shared" si="1337"/>
        <v>7253.7503318999716</v>
      </c>
      <c r="BQ237" s="7">
        <f t="shared" si="1338"/>
        <v>6770.1786651999719</v>
      </c>
      <c r="BR237" s="7">
        <f t="shared" si="1339"/>
        <v>6286.6069984999722</v>
      </c>
      <c r="BS237" s="7">
        <f t="shared" si="1340"/>
        <v>5803.0353317999725</v>
      </c>
      <c r="BT237" s="7">
        <f t="shared" si="1344"/>
        <v>5319.4636650999728</v>
      </c>
      <c r="BU237" s="7">
        <f t="shared" si="1345"/>
        <v>4835.8919983999731</v>
      </c>
      <c r="BV237" s="236">
        <v>0</v>
      </c>
      <c r="BW237" s="7">
        <v>483.57166669999998</v>
      </c>
      <c r="BX237" s="39">
        <v>4835.8900000000003</v>
      </c>
      <c r="BY237" s="7">
        <f>BU237-BW237</f>
        <v>4352.3203316999734</v>
      </c>
      <c r="BZ237" s="7">
        <f t="shared" si="1346"/>
        <v>3868.7486649999732</v>
      </c>
      <c r="CA237" s="7">
        <f t="shared" si="1347"/>
        <v>3385.1769982999731</v>
      </c>
      <c r="CB237" s="7">
        <f t="shared" si="1348"/>
        <v>2901.6053315999729</v>
      </c>
      <c r="CC237" s="7">
        <f t="shared" si="1349"/>
        <v>2418.0336648999728</v>
      </c>
      <c r="CD237" s="7">
        <f t="shared" si="1350"/>
        <v>1934.4619981999729</v>
      </c>
      <c r="CE237" s="7">
        <f t="shared" si="1351"/>
        <v>1450.8903314999729</v>
      </c>
      <c r="CF237" s="7">
        <f t="shared" si="1352"/>
        <v>967.31866479997302</v>
      </c>
      <c r="CG237" s="7">
        <f t="shared" si="1353"/>
        <v>483.74699809997304</v>
      </c>
      <c r="CH237" s="7">
        <f t="shared" si="1354"/>
        <v>0.1753313999730608</v>
      </c>
      <c r="CI237" s="7"/>
      <c r="CJ237" s="7"/>
      <c r="CK237" s="236">
        <v>0</v>
      </c>
      <c r="CL237" s="7">
        <v>483.57166669999998</v>
      </c>
      <c r="CM237" s="39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236">
        <v>0</v>
      </c>
    </row>
    <row r="238" spans="1:104" x14ac:dyDescent="0.2">
      <c r="A238" s="6" t="str">
        <f>'[1]2021 УГРЦТ'!A241</f>
        <v>Камера КСО 393-24УЗ №2</v>
      </c>
      <c r="B238" t="str">
        <f>'[1]2021 УГРЦТ'!B241</f>
        <v>00001374</v>
      </c>
      <c r="C238" t="str">
        <f>'[1]2021 УГРЦТ'!C241</f>
        <v>ПЕРЕДАЧА</v>
      </c>
      <c r="D238" t="str">
        <f>'[1]2021 УГРЦТ'!D241</f>
        <v>Машины и оборудование (кроме офисного)</v>
      </c>
      <c r="E238" t="str">
        <f>'[1]2021 УГРЦТ'!E241</f>
        <v>18.10.2011</v>
      </c>
      <c r="F238" t="str">
        <f>'[1]2021 УГРЦТ'!F241</f>
        <v>Цех электрических сетей</v>
      </c>
      <c r="G238">
        <f>'[1]2021 УГРЦТ'!AC241</f>
        <v>180</v>
      </c>
      <c r="H238" s="7">
        <f>'[1]2021 УГРЦТ'!X241</f>
        <v>87044.07</v>
      </c>
      <c r="I238" s="7">
        <f>'[1]2021 УГРЦТ'!Y241</f>
        <v>58996.738000000005</v>
      </c>
      <c r="J238" s="7">
        <f>'[1]2021 УГРЦТ'!Z241</f>
        <v>28047.332000000002</v>
      </c>
      <c r="K238" s="8">
        <v>0</v>
      </c>
      <c r="L238" s="7">
        <v>483.57166669999998</v>
      </c>
      <c r="M238" s="7"/>
      <c r="N238" s="7">
        <f t="shared" si="1341"/>
        <v>5802.8600004</v>
      </c>
      <c r="O238" s="7">
        <f t="shared" si="1161"/>
        <v>27563.760333300001</v>
      </c>
      <c r="P238" s="7">
        <f t="shared" si="1342"/>
        <v>27080.188666599999</v>
      </c>
      <c r="Q238" s="7">
        <f t="shared" si="1342"/>
        <v>26596.616999899998</v>
      </c>
      <c r="R238" s="7">
        <f t="shared" si="1342"/>
        <v>26113.045333199996</v>
      </c>
      <c r="S238" s="7">
        <f t="shared" si="1342"/>
        <v>25629.473666499995</v>
      </c>
      <c r="T238" s="7">
        <f t="shared" si="1342"/>
        <v>25145.901999799993</v>
      </c>
      <c r="U238" s="7">
        <f t="shared" si="1342"/>
        <v>24662.330333099992</v>
      </c>
      <c r="V238" s="7">
        <f t="shared" si="1342"/>
        <v>24178.75866639999</v>
      </c>
      <c r="W238" s="7">
        <f t="shared" si="1342"/>
        <v>23695.186999699989</v>
      </c>
      <c r="X238" s="7">
        <f t="shared" si="1342"/>
        <v>23211.615332999987</v>
      </c>
      <c r="Y238" s="7">
        <f t="shared" si="1342"/>
        <v>22728.043666299985</v>
      </c>
      <c r="Z238" s="7">
        <f t="shared" si="1342"/>
        <v>22244.471999599984</v>
      </c>
      <c r="AA238" s="7"/>
      <c r="AB238" s="7"/>
      <c r="AC238" s="7">
        <f t="shared" si="1162"/>
        <v>5802.8600004</v>
      </c>
      <c r="AD238" s="7">
        <f t="shared" si="1163"/>
        <v>21760.900332899982</v>
      </c>
      <c r="AE238" s="7">
        <f t="shared" si="1343"/>
        <v>21277.328666199981</v>
      </c>
      <c r="AF238" s="7">
        <f t="shared" si="1343"/>
        <v>20793.756999499979</v>
      </c>
      <c r="AG238" s="7">
        <f t="shared" si="1343"/>
        <v>20310.185332799978</v>
      </c>
      <c r="AH238" s="7">
        <f t="shared" si="1343"/>
        <v>19826.613666099976</v>
      </c>
      <c r="AI238" s="7">
        <f t="shared" si="1343"/>
        <v>19343.041999399975</v>
      </c>
      <c r="AJ238" s="7">
        <f t="shared" si="1343"/>
        <v>18859.470332699973</v>
      </c>
      <c r="AK238" s="7">
        <f t="shared" si="1343"/>
        <v>18375.898665999972</v>
      </c>
      <c r="AL238" s="7">
        <f t="shared" si="1343"/>
        <v>17892.32699929997</v>
      </c>
      <c r="AM238" s="7">
        <f t="shared" si="1343"/>
        <v>17408.755332599969</v>
      </c>
      <c r="AN238" s="7">
        <f t="shared" si="1343"/>
        <v>16925.183665899967</v>
      </c>
      <c r="AO238" s="7">
        <f t="shared" si="1343"/>
        <v>16441.611999199966</v>
      </c>
      <c r="AP238" s="222"/>
      <c r="AQ238" s="7">
        <v>483.57166669999998</v>
      </c>
      <c r="AR238" s="7">
        <f t="shared" si="1164"/>
        <v>483.57166670000151</v>
      </c>
      <c r="AS238" s="7">
        <f t="shared" si="1165"/>
        <v>1.5347723092418164E-12</v>
      </c>
      <c r="AT238" s="7">
        <f t="shared" si="1328"/>
        <v>5802.8600004</v>
      </c>
      <c r="AU238" s="7">
        <f t="shared" si="1329"/>
        <v>15958.040332499966</v>
      </c>
      <c r="AV238" s="7">
        <f t="shared" si="1330"/>
        <v>15474.468665799966</v>
      </c>
      <c r="AW238" s="7">
        <f t="shared" si="1330"/>
        <v>14990.896999099967</v>
      </c>
      <c r="AX238" s="7">
        <f t="shared" si="1330"/>
        <v>14507.325332399967</v>
      </c>
      <c r="AY238" s="7">
        <f t="shared" si="1330"/>
        <v>14023.753665699967</v>
      </c>
      <c r="AZ238" s="7">
        <f t="shared" si="1330"/>
        <v>13540.181998999968</v>
      </c>
      <c r="BA238" s="7">
        <f t="shared" si="1330"/>
        <v>13056.610332299968</v>
      </c>
      <c r="BB238" s="7">
        <f t="shared" si="1330"/>
        <v>12573.038665599968</v>
      </c>
      <c r="BC238" s="7">
        <f t="shared" si="1330"/>
        <v>12089.466998899969</v>
      </c>
      <c r="BD238" s="7">
        <f t="shared" si="1330"/>
        <v>11605.895332199969</v>
      </c>
      <c r="BE238" s="7">
        <f t="shared" si="1330"/>
        <v>11122.323665499969</v>
      </c>
      <c r="BF238" s="7">
        <f t="shared" si="1330"/>
        <v>10638.751998799969</v>
      </c>
      <c r="BG238" s="236">
        <f t="shared" si="1158"/>
        <v>0</v>
      </c>
      <c r="BH238" s="7">
        <v>483.57166669999998</v>
      </c>
      <c r="BI238" s="39">
        <f>BH238*12</f>
        <v>5802.8600004</v>
      </c>
      <c r="BJ238" s="7">
        <f t="shared" si="1331"/>
        <v>10155.18033209997</v>
      </c>
      <c r="BK238" s="7">
        <f t="shared" si="1332"/>
        <v>9671.6086653999701</v>
      </c>
      <c r="BL238" s="7">
        <f t="shared" si="1333"/>
        <v>9188.0369986999704</v>
      </c>
      <c r="BM238" s="7">
        <f t="shared" si="1334"/>
        <v>8704.4653319999707</v>
      </c>
      <c r="BN238" s="7">
        <f t="shared" si="1335"/>
        <v>8220.893665299971</v>
      </c>
      <c r="BO238" s="7">
        <f t="shared" si="1336"/>
        <v>7737.3219985999713</v>
      </c>
      <c r="BP238" s="7">
        <f t="shared" si="1337"/>
        <v>7253.7503318999716</v>
      </c>
      <c r="BQ238" s="7">
        <f t="shared" si="1338"/>
        <v>6770.1786651999719</v>
      </c>
      <c r="BR238" s="7">
        <f t="shared" si="1339"/>
        <v>6286.6069984999722</v>
      </c>
      <c r="BS238" s="7">
        <f t="shared" si="1340"/>
        <v>5803.0353317999725</v>
      </c>
      <c r="BT238" s="7">
        <f t="shared" si="1344"/>
        <v>5319.4636650999728</v>
      </c>
      <c r="BU238" s="7">
        <f t="shared" si="1345"/>
        <v>4835.8919983999731</v>
      </c>
      <c r="BV238" s="236">
        <v>0</v>
      </c>
      <c r="BW238" s="7">
        <v>483.57166669999998</v>
      </c>
      <c r="BX238" s="39">
        <v>4835.8900000000003</v>
      </c>
      <c r="BY238" s="7">
        <f>BU238-BW238</f>
        <v>4352.3203316999734</v>
      </c>
      <c r="BZ238" s="7">
        <f t="shared" si="1346"/>
        <v>3868.7486649999732</v>
      </c>
      <c r="CA238" s="7">
        <f t="shared" si="1347"/>
        <v>3385.1769982999731</v>
      </c>
      <c r="CB238" s="7">
        <f t="shared" si="1348"/>
        <v>2901.6053315999729</v>
      </c>
      <c r="CC238" s="7">
        <f t="shared" si="1349"/>
        <v>2418.0336648999728</v>
      </c>
      <c r="CD238" s="7">
        <f t="shared" si="1350"/>
        <v>1934.4619981999729</v>
      </c>
      <c r="CE238" s="7">
        <f t="shared" si="1351"/>
        <v>1450.8903314999729</v>
      </c>
      <c r="CF238" s="7">
        <f t="shared" si="1352"/>
        <v>967.31866479997302</v>
      </c>
      <c r="CG238" s="7">
        <f t="shared" si="1353"/>
        <v>483.74699809997304</v>
      </c>
      <c r="CH238" s="7">
        <f t="shared" si="1354"/>
        <v>0.1753313999730608</v>
      </c>
      <c r="CI238" s="7"/>
      <c r="CJ238" s="7"/>
      <c r="CK238" s="236">
        <v>0</v>
      </c>
      <c r="CL238" s="7">
        <v>483.57166669999998</v>
      </c>
      <c r="CM238" s="39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236">
        <v>0</v>
      </c>
    </row>
    <row r="239" spans="1:104" x14ac:dyDescent="0.2">
      <c r="A239" s="6" t="str">
        <f>'[1]2021 УГРЦТ'!A242</f>
        <v>Камера КСО 393-24УЗ №3</v>
      </c>
      <c r="B239" t="str">
        <f>'[1]2021 УГРЦТ'!B242</f>
        <v>00001375</v>
      </c>
      <c r="C239" t="str">
        <f>'[1]2021 УГРЦТ'!C242</f>
        <v>ПЕРЕДАЧА</v>
      </c>
      <c r="D239" t="str">
        <f>'[1]2021 УГРЦТ'!D242</f>
        <v>Машины и оборудование (кроме офисного)</v>
      </c>
      <c r="E239" t="str">
        <f>'[1]2021 УГРЦТ'!E242</f>
        <v>18.10.2011</v>
      </c>
      <c r="F239" t="str">
        <f>'[1]2021 УГРЦТ'!F242</f>
        <v>Цех электрических сетей</v>
      </c>
      <c r="G239">
        <f>'[1]2021 УГРЦТ'!AC242</f>
        <v>180</v>
      </c>
      <c r="H239" s="7">
        <f>'[1]2021 УГРЦТ'!X242</f>
        <v>87044.07</v>
      </c>
      <c r="I239" s="7">
        <f>'[1]2021 УГРЦТ'!Y242</f>
        <v>58996.738000000005</v>
      </c>
      <c r="J239" s="7">
        <f>'[1]2021 УГРЦТ'!Z242</f>
        <v>28047.332000000002</v>
      </c>
      <c r="K239" s="8">
        <v>0</v>
      </c>
      <c r="L239" s="7">
        <v>483.57166669999998</v>
      </c>
      <c r="M239" s="7"/>
      <c r="N239" s="7">
        <f t="shared" si="1341"/>
        <v>5802.8600004</v>
      </c>
      <c r="O239" s="7">
        <f t="shared" si="1161"/>
        <v>27563.760333300001</v>
      </c>
      <c r="P239" s="7">
        <f t="shared" si="1342"/>
        <v>27080.188666599999</v>
      </c>
      <c r="Q239" s="7">
        <f t="shared" si="1342"/>
        <v>26596.616999899998</v>
      </c>
      <c r="R239" s="7">
        <f t="shared" si="1342"/>
        <v>26113.045333199996</v>
      </c>
      <c r="S239" s="7">
        <f t="shared" si="1342"/>
        <v>25629.473666499995</v>
      </c>
      <c r="T239" s="7">
        <f t="shared" si="1342"/>
        <v>25145.901999799993</v>
      </c>
      <c r="U239" s="7">
        <f t="shared" si="1342"/>
        <v>24662.330333099992</v>
      </c>
      <c r="V239" s="7">
        <f t="shared" si="1342"/>
        <v>24178.75866639999</v>
      </c>
      <c r="W239" s="7">
        <f t="shared" si="1342"/>
        <v>23695.186999699989</v>
      </c>
      <c r="X239" s="7">
        <f t="shared" si="1342"/>
        <v>23211.615332999987</v>
      </c>
      <c r="Y239" s="7">
        <f t="shared" si="1342"/>
        <v>22728.043666299985</v>
      </c>
      <c r="Z239" s="7">
        <f t="shared" si="1342"/>
        <v>22244.471999599984</v>
      </c>
      <c r="AA239" s="7"/>
      <c r="AB239" s="7"/>
      <c r="AC239" s="7">
        <f t="shared" si="1162"/>
        <v>5802.8600004</v>
      </c>
      <c r="AD239" s="7">
        <f t="shared" si="1163"/>
        <v>21760.900332899982</v>
      </c>
      <c r="AE239" s="7">
        <f t="shared" si="1343"/>
        <v>21277.328666199981</v>
      </c>
      <c r="AF239" s="7">
        <f t="shared" si="1343"/>
        <v>20793.756999499979</v>
      </c>
      <c r="AG239" s="7">
        <f t="shared" si="1343"/>
        <v>20310.185332799978</v>
      </c>
      <c r="AH239" s="7">
        <f t="shared" si="1343"/>
        <v>19826.613666099976</v>
      </c>
      <c r="AI239" s="7">
        <f t="shared" si="1343"/>
        <v>19343.041999399975</v>
      </c>
      <c r="AJ239" s="7">
        <f t="shared" si="1343"/>
        <v>18859.470332699973</v>
      </c>
      <c r="AK239" s="7">
        <f t="shared" si="1343"/>
        <v>18375.898665999972</v>
      </c>
      <c r="AL239" s="7">
        <f t="shared" si="1343"/>
        <v>17892.32699929997</v>
      </c>
      <c r="AM239" s="7">
        <f t="shared" si="1343"/>
        <v>17408.755332599969</v>
      </c>
      <c r="AN239" s="7">
        <f t="shared" si="1343"/>
        <v>16925.183665899967</v>
      </c>
      <c r="AO239" s="7">
        <f t="shared" si="1343"/>
        <v>16441.611999199966</v>
      </c>
      <c r="AP239" s="222"/>
      <c r="AQ239" s="7">
        <v>483.57166669999998</v>
      </c>
      <c r="AR239" s="7">
        <f t="shared" si="1164"/>
        <v>483.57166670000151</v>
      </c>
      <c r="AS239" s="7">
        <f t="shared" si="1165"/>
        <v>1.5347723092418164E-12</v>
      </c>
      <c r="AT239" s="7">
        <f t="shared" si="1328"/>
        <v>5802.8600004</v>
      </c>
      <c r="AU239" s="7">
        <f t="shared" si="1329"/>
        <v>15958.040332499966</v>
      </c>
      <c r="AV239" s="7">
        <f t="shared" si="1330"/>
        <v>15474.468665799966</v>
      </c>
      <c r="AW239" s="7">
        <f t="shared" si="1330"/>
        <v>14990.896999099967</v>
      </c>
      <c r="AX239" s="7">
        <f t="shared" si="1330"/>
        <v>14507.325332399967</v>
      </c>
      <c r="AY239" s="7">
        <f t="shared" si="1330"/>
        <v>14023.753665699967</v>
      </c>
      <c r="AZ239" s="7">
        <f t="shared" si="1330"/>
        <v>13540.181998999968</v>
      </c>
      <c r="BA239" s="7">
        <f t="shared" si="1330"/>
        <v>13056.610332299968</v>
      </c>
      <c r="BB239" s="7">
        <f t="shared" si="1330"/>
        <v>12573.038665599968</v>
      </c>
      <c r="BC239" s="7">
        <f t="shared" si="1330"/>
        <v>12089.466998899969</v>
      </c>
      <c r="BD239" s="7">
        <f t="shared" si="1330"/>
        <v>11605.895332199969</v>
      </c>
      <c r="BE239" s="7">
        <f t="shared" si="1330"/>
        <v>11122.323665499969</v>
      </c>
      <c r="BF239" s="7">
        <f t="shared" si="1330"/>
        <v>10638.751998799969</v>
      </c>
      <c r="BG239" s="236">
        <f t="shared" si="1158"/>
        <v>0</v>
      </c>
      <c r="BH239" s="7">
        <v>483.57166669999998</v>
      </c>
      <c r="BI239" s="39">
        <f>BH239*12</f>
        <v>5802.8600004</v>
      </c>
      <c r="BJ239" s="7">
        <f t="shared" si="1331"/>
        <v>10155.18033209997</v>
      </c>
      <c r="BK239" s="7">
        <f t="shared" si="1332"/>
        <v>9671.6086653999701</v>
      </c>
      <c r="BL239" s="7">
        <f t="shared" si="1333"/>
        <v>9188.0369986999704</v>
      </c>
      <c r="BM239" s="7">
        <f t="shared" si="1334"/>
        <v>8704.4653319999707</v>
      </c>
      <c r="BN239" s="7">
        <f t="shared" si="1335"/>
        <v>8220.893665299971</v>
      </c>
      <c r="BO239" s="7">
        <f t="shared" si="1336"/>
        <v>7737.3219985999713</v>
      </c>
      <c r="BP239" s="7">
        <f t="shared" si="1337"/>
        <v>7253.7503318999716</v>
      </c>
      <c r="BQ239" s="7">
        <f t="shared" si="1338"/>
        <v>6770.1786651999719</v>
      </c>
      <c r="BR239" s="7">
        <f t="shared" si="1339"/>
        <v>6286.6069984999722</v>
      </c>
      <c r="BS239" s="7">
        <f t="shared" si="1340"/>
        <v>5803.0353317999725</v>
      </c>
      <c r="BT239" s="7">
        <f t="shared" si="1344"/>
        <v>5319.4636650999728</v>
      </c>
      <c r="BU239" s="7">
        <f t="shared" si="1345"/>
        <v>4835.8919983999731</v>
      </c>
      <c r="BV239" s="236">
        <v>0</v>
      </c>
      <c r="BW239" s="7">
        <v>483.57166669999998</v>
      </c>
      <c r="BX239" s="39">
        <v>4835.8900000000003</v>
      </c>
      <c r="BY239" s="7">
        <f>BU239-BW239</f>
        <v>4352.3203316999734</v>
      </c>
      <c r="BZ239" s="7">
        <f t="shared" si="1346"/>
        <v>3868.7486649999732</v>
      </c>
      <c r="CA239" s="7">
        <f t="shared" si="1347"/>
        <v>3385.1769982999731</v>
      </c>
      <c r="CB239" s="7">
        <f t="shared" si="1348"/>
        <v>2901.6053315999729</v>
      </c>
      <c r="CC239" s="7">
        <f t="shared" si="1349"/>
        <v>2418.0336648999728</v>
      </c>
      <c r="CD239" s="7">
        <f t="shared" si="1350"/>
        <v>1934.4619981999729</v>
      </c>
      <c r="CE239" s="7">
        <f t="shared" si="1351"/>
        <v>1450.8903314999729</v>
      </c>
      <c r="CF239" s="7">
        <f t="shared" si="1352"/>
        <v>967.31866479997302</v>
      </c>
      <c r="CG239" s="7">
        <f t="shared" si="1353"/>
        <v>483.74699809997304</v>
      </c>
      <c r="CH239" s="7">
        <f t="shared" si="1354"/>
        <v>0.1753313999730608</v>
      </c>
      <c r="CI239" s="7"/>
      <c r="CJ239" s="7"/>
      <c r="CK239" s="236">
        <v>0</v>
      </c>
      <c r="CL239" s="7">
        <v>483.57166669999998</v>
      </c>
      <c r="CM239" s="39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236">
        <v>0</v>
      </c>
    </row>
    <row r="240" spans="1:104" x14ac:dyDescent="0.2">
      <c r="A240" s="6" t="str">
        <f>'[1]2021 УГРЦТ'!A243</f>
        <v>Камера КСО 393-24УЗ №4</v>
      </c>
      <c r="B240" t="str">
        <f>'[1]2021 УГРЦТ'!B243</f>
        <v>00001376</v>
      </c>
      <c r="C240" t="str">
        <f>'[1]2021 УГРЦТ'!C243</f>
        <v>ПЕРЕДАЧА</v>
      </c>
      <c r="D240" t="str">
        <f>'[1]2021 УГРЦТ'!D243</f>
        <v>Машины и оборудование (кроме офисного)</v>
      </c>
      <c r="E240" t="str">
        <f>'[1]2021 УГРЦТ'!E243</f>
        <v>18.10.2011</v>
      </c>
      <c r="F240" t="str">
        <f>'[1]2021 УГРЦТ'!F243</f>
        <v>Цех электрических сетей</v>
      </c>
      <c r="G240">
        <f>'[1]2021 УГРЦТ'!AC243</f>
        <v>180</v>
      </c>
      <c r="H240" s="7">
        <f>'[1]2021 УГРЦТ'!X243</f>
        <v>87044.06</v>
      </c>
      <c r="I240" s="7">
        <f>'[1]2021 УГРЦТ'!Y243</f>
        <v>58996.737333333338</v>
      </c>
      <c r="J240" s="7">
        <f>'[1]2021 УГРЦТ'!Z243</f>
        <v>28047.32266666666</v>
      </c>
      <c r="K240" s="8">
        <v>0</v>
      </c>
      <c r="L240" s="7">
        <v>483.57166669999998</v>
      </c>
      <c r="M240" s="7"/>
      <c r="N240" s="7">
        <f t="shared" si="1341"/>
        <v>5802.8600004</v>
      </c>
      <c r="O240" s="7">
        <f t="shared" si="1161"/>
        <v>27563.750999966658</v>
      </c>
      <c r="P240" s="7">
        <f t="shared" si="1342"/>
        <v>27080.179333266657</v>
      </c>
      <c r="Q240" s="7">
        <f t="shared" si="1342"/>
        <v>26596.607666566655</v>
      </c>
      <c r="R240" s="7">
        <f t="shared" si="1342"/>
        <v>26113.035999866654</v>
      </c>
      <c r="S240" s="7">
        <f t="shared" si="1342"/>
        <v>25629.464333166652</v>
      </c>
      <c r="T240" s="7">
        <f t="shared" si="1342"/>
        <v>25145.892666466651</v>
      </c>
      <c r="U240" s="7">
        <f t="shared" si="1342"/>
        <v>24662.320999766649</v>
      </c>
      <c r="V240" s="7">
        <f t="shared" si="1342"/>
        <v>24178.749333066648</v>
      </c>
      <c r="W240" s="7">
        <f t="shared" si="1342"/>
        <v>23695.177666366646</v>
      </c>
      <c r="X240" s="7">
        <f t="shared" si="1342"/>
        <v>23211.605999666644</v>
      </c>
      <c r="Y240" s="7">
        <f t="shared" si="1342"/>
        <v>22728.034332966643</v>
      </c>
      <c r="Z240" s="7">
        <f t="shared" si="1342"/>
        <v>22244.462666266641</v>
      </c>
      <c r="AA240" s="7"/>
      <c r="AB240" s="7"/>
      <c r="AC240" s="7">
        <f t="shared" si="1162"/>
        <v>5802.8600004</v>
      </c>
      <c r="AD240" s="7">
        <f t="shared" si="1163"/>
        <v>21760.89099956664</v>
      </c>
      <c r="AE240" s="7">
        <f t="shared" si="1343"/>
        <v>21277.319332866638</v>
      </c>
      <c r="AF240" s="7">
        <f t="shared" si="1343"/>
        <v>20793.747666166637</v>
      </c>
      <c r="AG240" s="7">
        <f t="shared" si="1343"/>
        <v>20310.175999466635</v>
      </c>
      <c r="AH240" s="7">
        <f t="shared" si="1343"/>
        <v>19826.604332766634</v>
      </c>
      <c r="AI240" s="7">
        <f t="shared" si="1343"/>
        <v>19343.032666066632</v>
      </c>
      <c r="AJ240" s="7">
        <f t="shared" si="1343"/>
        <v>18859.460999366631</v>
      </c>
      <c r="AK240" s="7">
        <f t="shared" si="1343"/>
        <v>18375.889332666629</v>
      </c>
      <c r="AL240" s="7">
        <f t="shared" si="1343"/>
        <v>17892.317665966628</v>
      </c>
      <c r="AM240" s="7">
        <f t="shared" si="1343"/>
        <v>17408.745999266626</v>
      </c>
      <c r="AN240" s="7">
        <f t="shared" si="1343"/>
        <v>16925.174332566625</v>
      </c>
      <c r="AO240" s="7">
        <f t="shared" si="1343"/>
        <v>16441.602665866623</v>
      </c>
      <c r="AP240" s="222"/>
      <c r="AQ240" s="7">
        <v>483.57166669999998</v>
      </c>
      <c r="AR240" s="7">
        <f t="shared" si="1164"/>
        <v>483.57166670000151</v>
      </c>
      <c r="AS240" s="7">
        <f t="shared" si="1165"/>
        <v>1.5347723092418164E-12</v>
      </c>
      <c r="AT240" s="7">
        <f t="shared" si="1328"/>
        <v>5802.8600004</v>
      </c>
      <c r="AU240" s="7">
        <f t="shared" si="1329"/>
        <v>15958.030999166624</v>
      </c>
      <c r="AV240" s="7">
        <f t="shared" si="1330"/>
        <v>15474.459332466624</v>
      </c>
      <c r="AW240" s="7">
        <f t="shared" si="1330"/>
        <v>14990.887665766624</v>
      </c>
      <c r="AX240" s="7">
        <f t="shared" si="1330"/>
        <v>14507.315999066624</v>
      </c>
      <c r="AY240" s="7">
        <f t="shared" si="1330"/>
        <v>14023.744332366625</v>
      </c>
      <c r="AZ240" s="7">
        <f t="shared" si="1330"/>
        <v>13540.172665666625</v>
      </c>
      <c r="BA240" s="7">
        <f t="shared" si="1330"/>
        <v>13056.600998966625</v>
      </c>
      <c r="BB240" s="7">
        <f t="shared" si="1330"/>
        <v>12573.029332266626</v>
      </c>
      <c r="BC240" s="7">
        <f t="shared" si="1330"/>
        <v>12089.457665566626</v>
      </c>
      <c r="BD240" s="7">
        <f t="shared" si="1330"/>
        <v>11605.885998866626</v>
      </c>
      <c r="BE240" s="7">
        <f t="shared" si="1330"/>
        <v>11122.314332166627</v>
      </c>
      <c r="BF240" s="7">
        <f t="shared" si="1330"/>
        <v>10638.742665466627</v>
      </c>
      <c r="BG240" s="236">
        <f t="shared" si="1158"/>
        <v>0</v>
      </c>
      <c r="BH240" s="7">
        <v>483.57166669999998</v>
      </c>
      <c r="BI240" s="39">
        <f>BH240*12</f>
        <v>5802.8600004</v>
      </c>
      <c r="BJ240" s="7">
        <f t="shared" si="1331"/>
        <v>10155.170998766627</v>
      </c>
      <c r="BK240" s="7">
        <f t="shared" si="1332"/>
        <v>9671.5993320666275</v>
      </c>
      <c r="BL240" s="7">
        <f t="shared" si="1333"/>
        <v>9188.0276653666278</v>
      </c>
      <c r="BM240" s="7">
        <f t="shared" si="1334"/>
        <v>8704.4559986666281</v>
      </c>
      <c r="BN240" s="7">
        <f t="shared" si="1335"/>
        <v>8220.8843319666285</v>
      </c>
      <c r="BO240" s="7">
        <f t="shared" si="1336"/>
        <v>7737.3126652666288</v>
      </c>
      <c r="BP240" s="7">
        <f t="shared" si="1337"/>
        <v>7253.7409985666291</v>
      </c>
      <c r="BQ240" s="7">
        <f t="shared" si="1338"/>
        <v>6770.1693318666294</v>
      </c>
      <c r="BR240" s="7">
        <f t="shared" si="1339"/>
        <v>6286.5976651666297</v>
      </c>
      <c r="BS240" s="7">
        <f t="shared" si="1340"/>
        <v>5803.02599846663</v>
      </c>
      <c r="BT240" s="7">
        <f t="shared" si="1344"/>
        <v>5319.4543317666303</v>
      </c>
      <c r="BU240" s="7">
        <f t="shared" si="1345"/>
        <v>4835.8826650666306</v>
      </c>
      <c r="BV240" s="236">
        <v>0</v>
      </c>
      <c r="BW240" s="7">
        <v>483.57166669999998</v>
      </c>
      <c r="BX240" s="39">
        <v>4835.8900000000003</v>
      </c>
      <c r="BY240" s="7">
        <f>BU240-BW240</f>
        <v>4352.3109983666309</v>
      </c>
      <c r="BZ240" s="7">
        <f t="shared" si="1346"/>
        <v>3868.7393316666307</v>
      </c>
      <c r="CA240" s="7">
        <f t="shared" si="1347"/>
        <v>3385.1676649666306</v>
      </c>
      <c r="CB240" s="7">
        <f t="shared" si="1348"/>
        <v>2901.5959982666304</v>
      </c>
      <c r="CC240" s="7">
        <f t="shared" si="1349"/>
        <v>2418.0243315666303</v>
      </c>
      <c r="CD240" s="7">
        <f t="shared" si="1350"/>
        <v>1934.4526648666304</v>
      </c>
      <c r="CE240" s="7">
        <f t="shared" si="1351"/>
        <v>1450.8809981666304</v>
      </c>
      <c r="CF240" s="7">
        <f t="shared" si="1352"/>
        <v>967.30933146663051</v>
      </c>
      <c r="CG240" s="7">
        <f t="shared" si="1353"/>
        <v>483.73766476663053</v>
      </c>
      <c r="CH240" s="7">
        <f t="shared" si="1354"/>
        <v>0.16599806663055006</v>
      </c>
      <c r="CI240" s="7"/>
      <c r="CJ240" s="7"/>
      <c r="CK240" s="236">
        <v>0</v>
      </c>
      <c r="CL240" s="7">
        <v>483.57166669999998</v>
      </c>
      <c r="CM240" s="39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236">
        <v>0</v>
      </c>
    </row>
    <row r="241" spans="1:104" x14ac:dyDescent="0.2">
      <c r="A241" s="6" t="str">
        <f>'[1]2021 УГРЦТ'!A244</f>
        <v>Камера КСО-366-3 2001г</v>
      </c>
      <c r="B241" t="str">
        <f>'[1]2021 УГРЦТ'!B244</f>
        <v>00000318</v>
      </c>
      <c r="C241" t="str">
        <f>'[1]2021 УГРЦТ'!C244</f>
        <v>ПЕРЕДАЧА</v>
      </c>
      <c r="D241" t="str">
        <f>'[1]2021 УГРЦТ'!D244</f>
        <v>Машины и оборудование (кроме офисного)</v>
      </c>
      <c r="E241" t="str">
        <f>'[1]2021 УГРЦТ'!E244</f>
        <v>30.06.2001</v>
      </c>
      <c r="F241" t="str">
        <f>'[1]2021 УГРЦТ'!F244</f>
        <v>Цех электрических сетей</v>
      </c>
      <c r="G241">
        <f>'[1]2021 УГРЦТ'!AC244</f>
        <v>276</v>
      </c>
      <c r="H241" s="7">
        <f>'[1]2021 УГРЦТ'!X244</f>
        <v>15587.15</v>
      </c>
      <c r="I241" s="7">
        <f>'[1]2021 УГРЦТ'!Y244</f>
        <v>13673.482173913044</v>
      </c>
      <c r="J241" s="7">
        <f>'[1]2021 УГРЦТ'!Z244</f>
        <v>1913.6678260869558</v>
      </c>
      <c r="K241" s="8">
        <v>0</v>
      </c>
      <c r="L241" s="7">
        <v>56.480000000000011</v>
      </c>
      <c r="M241" s="7"/>
      <c r="N241" s="7">
        <f t="shared" si="1341"/>
        <v>677.7600000000001</v>
      </c>
      <c r="O241" s="7">
        <f t="shared" si="1161"/>
        <v>1857.1878260869557</v>
      </c>
      <c r="P241" s="7">
        <f t="shared" si="1342"/>
        <v>1800.7078260869557</v>
      </c>
      <c r="Q241" s="7">
        <f t="shared" si="1342"/>
        <v>1744.2278260869557</v>
      </c>
      <c r="R241" s="7">
        <f t="shared" si="1342"/>
        <v>1687.7478260869557</v>
      </c>
      <c r="S241" s="7">
        <f t="shared" si="1342"/>
        <v>1631.2678260869557</v>
      </c>
      <c r="T241" s="7">
        <f t="shared" si="1342"/>
        <v>1574.7878260869556</v>
      </c>
      <c r="U241" s="7">
        <f t="shared" si="1342"/>
        <v>1518.3078260869556</v>
      </c>
      <c r="V241" s="7">
        <f t="shared" si="1342"/>
        <v>1461.8278260869556</v>
      </c>
      <c r="W241" s="7">
        <f t="shared" si="1342"/>
        <v>1405.3478260869556</v>
      </c>
      <c r="X241" s="7">
        <f t="shared" si="1342"/>
        <v>1348.8678260869556</v>
      </c>
      <c r="Y241" s="7">
        <f t="shared" si="1342"/>
        <v>1292.3878260869556</v>
      </c>
      <c r="Z241" s="7">
        <f t="shared" si="1342"/>
        <v>1235.9078260869555</v>
      </c>
      <c r="AA241" s="7"/>
      <c r="AB241" s="7"/>
      <c r="AC241" s="7">
        <f t="shared" si="1162"/>
        <v>677.7600000000001</v>
      </c>
      <c r="AD241" s="7">
        <f t="shared" si="1163"/>
        <v>1179.4278260869555</v>
      </c>
      <c r="AE241" s="7">
        <f t="shared" si="1343"/>
        <v>1122.9478260869555</v>
      </c>
      <c r="AF241" s="7">
        <f t="shared" si="1343"/>
        <v>1066.4678260869555</v>
      </c>
      <c r="AG241" s="7">
        <f t="shared" si="1343"/>
        <v>1009.9878260869555</v>
      </c>
      <c r="AH241" s="7">
        <f t="shared" si="1343"/>
        <v>953.50782608695545</v>
      </c>
      <c r="AI241" s="7">
        <f t="shared" si="1343"/>
        <v>897.02782608695543</v>
      </c>
      <c r="AJ241" s="7">
        <f t="shared" si="1343"/>
        <v>840.54782608695541</v>
      </c>
      <c r="AK241" s="7">
        <f t="shared" si="1343"/>
        <v>784.06782608695539</v>
      </c>
      <c r="AL241" s="7">
        <f t="shared" si="1343"/>
        <v>727.58782608695537</v>
      </c>
      <c r="AM241" s="7">
        <f t="shared" si="1343"/>
        <v>671.10782608695536</v>
      </c>
      <c r="AN241" s="7">
        <f t="shared" si="1343"/>
        <v>614.62782608695534</v>
      </c>
      <c r="AO241" s="7">
        <f t="shared" si="1343"/>
        <v>558.14782608695532</v>
      </c>
      <c r="AP241" s="222"/>
      <c r="AQ241" s="7">
        <v>56.480000000000011</v>
      </c>
      <c r="AR241" s="7">
        <f t="shared" si="1164"/>
        <v>56.480000000000018</v>
      </c>
      <c r="AS241" s="7">
        <f t="shared" si="1165"/>
        <v>0</v>
      </c>
      <c r="AT241" s="7">
        <f>L241*10-6.65</f>
        <v>558.15000000000009</v>
      </c>
      <c r="AU241" s="7">
        <f t="shared" si="1329"/>
        <v>501.6678260869553</v>
      </c>
      <c r="AV241" s="7">
        <f t="shared" si="1330"/>
        <v>445.18782608695528</v>
      </c>
      <c r="AW241" s="7">
        <f t="shared" si="1330"/>
        <v>388.70782608695527</v>
      </c>
      <c r="AX241" s="7">
        <f t="shared" si="1330"/>
        <v>332.22782608695525</v>
      </c>
      <c r="AY241" s="7">
        <f t="shared" si="1330"/>
        <v>275.74782608695523</v>
      </c>
      <c r="AZ241" s="7">
        <f t="shared" si="1330"/>
        <v>219.26782608695521</v>
      </c>
      <c r="BA241" s="7">
        <f t="shared" si="1330"/>
        <v>162.78782608695519</v>
      </c>
      <c r="BB241" s="7">
        <f t="shared" si="1330"/>
        <v>106.30782608695517</v>
      </c>
      <c r="BC241" s="7">
        <f t="shared" si="1330"/>
        <v>49.827826086955163</v>
      </c>
      <c r="BD241" s="7">
        <f>BC241-$L241+6.65</f>
        <v>-2.1739130448477084E-3</v>
      </c>
      <c r="BE241" s="7">
        <f>BD241-$L241*0</f>
        <v>-2.1739130448477084E-3</v>
      </c>
      <c r="BF241" s="7">
        <f>BE241-$L241*0</f>
        <v>-2.1739130448477084E-3</v>
      </c>
      <c r="BG241" s="236">
        <f t="shared" si="1158"/>
        <v>0</v>
      </c>
      <c r="BH241" s="7">
        <v>56.480000000000011</v>
      </c>
      <c r="BI241" s="39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236">
        <f t="shared" ref="BV241:BV280" si="1368">IF(Z241&lt;1,0,SUM(BJ241:BU241,BF241)/13*$BG$1)</f>
        <v>-3.6789297682038144E-6</v>
      </c>
      <c r="BW241" s="7">
        <v>56.480000000000011</v>
      </c>
      <c r="BX241" s="39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236">
        <f t="shared" ref="CK241:CK280" si="1369">IF(AO241&lt;1,0,SUM(BY241:CJ241,BU241)/13*$BG$1)</f>
        <v>0</v>
      </c>
      <c r="CL241" s="7">
        <v>56.480000000000011</v>
      </c>
      <c r="CM241" s="39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236">
        <f t="shared" ref="CZ241:CZ280" si="1370">IF(BF241&lt;1,0,SUM(CN241:CY241,CJ241)/13*$BG$1)</f>
        <v>0</v>
      </c>
    </row>
    <row r="242" spans="1:104" x14ac:dyDescent="0.2">
      <c r="A242" s="6" t="str">
        <f>'[1]2021 УГРЦТ'!A245</f>
        <v>Камера КСО-386-1 2001г</v>
      </c>
      <c r="B242" t="str">
        <f>'[1]2021 УГРЦТ'!B245</f>
        <v>00000319</v>
      </c>
      <c r="C242" t="str">
        <f>'[1]2021 УГРЦТ'!C245</f>
        <v>ПЕРЕДАЧА</v>
      </c>
      <c r="D242" t="str">
        <f>'[1]2021 УГРЦТ'!D245</f>
        <v>Машины и оборудование (кроме офисного)</v>
      </c>
      <c r="E242" t="str">
        <f>'[1]2021 УГРЦТ'!E245</f>
        <v>30.06.2001</v>
      </c>
      <c r="F242" t="str">
        <f>'[1]2021 УГРЦТ'!F245</f>
        <v>Цех электрических сетей</v>
      </c>
      <c r="G242">
        <f>'[1]2021 УГРЦТ'!AC245</f>
        <v>276</v>
      </c>
      <c r="H242" s="7">
        <f>'[1]2021 УГРЦТ'!X245</f>
        <v>13306.52</v>
      </c>
      <c r="I242" s="7">
        <f>'[1]2021 УГРЦТ'!Y245</f>
        <v>11671.484347826088</v>
      </c>
      <c r="J242" s="7">
        <f>'[1]2021 УГРЦТ'!Z245</f>
        <v>1635.0356521739122</v>
      </c>
      <c r="K242" s="8">
        <v>0</v>
      </c>
      <c r="L242" s="7">
        <v>48.21</v>
      </c>
      <c r="M242" s="7"/>
      <c r="N242" s="7">
        <f t="shared" si="1341"/>
        <v>578.52</v>
      </c>
      <c r="O242" s="7">
        <f t="shared" si="1161"/>
        <v>1586.8256521739122</v>
      </c>
      <c r="P242" s="7">
        <f t="shared" si="1342"/>
        <v>1538.6156521739122</v>
      </c>
      <c r="Q242" s="7">
        <f t="shared" si="1342"/>
        <v>1490.4056521739121</v>
      </c>
      <c r="R242" s="7">
        <f t="shared" si="1342"/>
        <v>1442.1956521739121</v>
      </c>
      <c r="S242" s="7">
        <f t="shared" si="1342"/>
        <v>1393.9856521739121</v>
      </c>
      <c r="T242" s="7">
        <f t="shared" si="1342"/>
        <v>1345.775652173912</v>
      </c>
      <c r="U242" s="7">
        <f t="shared" si="1342"/>
        <v>1297.565652173912</v>
      </c>
      <c r="V242" s="7">
        <f t="shared" si="1342"/>
        <v>1249.3556521739119</v>
      </c>
      <c r="W242" s="7">
        <f t="shared" si="1342"/>
        <v>1201.1456521739119</v>
      </c>
      <c r="X242" s="7">
        <f t="shared" si="1342"/>
        <v>1152.9356521739119</v>
      </c>
      <c r="Y242" s="7">
        <f t="shared" si="1342"/>
        <v>1104.7256521739118</v>
      </c>
      <c r="Z242" s="7">
        <f t="shared" si="1342"/>
        <v>1056.5156521739118</v>
      </c>
      <c r="AA242" s="7"/>
      <c r="AB242" s="7"/>
      <c r="AC242" s="7">
        <f t="shared" si="1162"/>
        <v>578.52</v>
      </c>
      <c r="AD242" s="7">
        <f t="shared" si="1163"/>
        <v>1008.3056521739118</v>
      </c>
      <c r="AE242" s="7">
        <f t="shared" si="1343"/>
        <v>960.09565217391173</v>
      </c>
      <c r="AF242" s="7">
        <f t="shared" si="1343"/>
        <v>911.88565217391169</v>
      </c>
      <c r="AG242" s="7">
        <f t="shared" si="1343"/>
        <v>863.67565217391166</v>
      </c>
      <c r="AH242" s="7">
        <f t="shared" si="1343"/>
        <v>815.46565217391162</v>
      </c>
      <c r="AI242" s="7">
        <f t="shared" si="1343"/>
        <v>767.25565217391159</v>
      </c>
      <c r="AJ242" s="7">
        <f t="shared" si="1343"/>
        <v>719.04565217391155</v>
      </c>
      <c r="AK242" s="7">
        <f t="shared" si="1343"/>
        <v>670.83565217391151</v>
      </c>
      <c r="AL242" s="7">
        <f t="shared" si="1343"/>
        <v>622.62565217391148</v>
      </c>
      <c r="AM242" s="7">
        <f t="shared" si="1343"/>
        <v>574.41565217391144</v>
      </c>
      <c r="AN242" s="7">
        <f t="shared" si="1343"/>
        <v>526.2056521739114</v>
      </c>
      <c r="AO242" s="7">
        <f t="shared" si="1343"/>
        <v>477.99565217391142</v>
      </c>
      <c r="AP242" s="222"/>
      <c r="AQ242" s="7">
        <v>48.21</v>
      </c>
      <c r="AR242" s="7">
        <f t="shared" si="1164"/>
        <v>48.20999999999998</v>
      </c>
      <c r="AS242" s="7">
        <f t="shared" si="1165"/>
        <v>0</v>
      </c>
      <c r="AT242" s="7">
        <f>L242*10-4.1</f>
        <v>478</v>
      </c>
      <c r="AU242" s="7">
        <f t="shared" si="1329"/>
        <v>429.78565217391144</v>
      </c>
      <c r="AV242" s="7">
        <f t="shared" si="1330"/>
        <v>381.57565217391146</v>
      </c>
      <c r="AW242" s="7">
        <f t="shared" si="1330"/>
        <v>333.36565217391149</v>
      </c>
      <c r="AX242" s="7">
        <f t="shared" si="1330"/>
        <v>285.15565217391151</v>
      </c>
      <c r="AY242" s="7">
        <f t="shared" si="1330"/>
        <v>236.9456521739115</v>
      </c>
      <c r="AZ242" s="7">
        <f t="shared" si="1330"/>
        <v>188.73565217391149</v>
      </c>
      <c r="BA242" s="7">
        <f t="shared" si="1330"/>
        <v>140.52565217391148</v>
      </c>
      <c r="BB242" s="7">
        <f t="shared" si="1330"/>
        <v>92.315652173911474</v>
      </c>
      <c r="BC242" s="7">
        <f t="shared" si="1330"/>
        <v>44.105652173911473</v>
      </c>
      <c r="BD242" s="7">
        <f>BC242-$L242+4.1</f>
        <v>-4.3478260885283504E-3</v>
      </c>
      <c r="BE242" s="7">
        <f t="shared" ref="BE242:BF242" si="1371">BD242-$L242*0</f>
        <v>-4.3478260885283504E-3</v>
      </c>
      <c r="BF242" s="7">
        <f t="shared" si="1371"/>
        <v>-4.3478260885283504E-3</v>
      </c>
      <c r="BG242" s="236">
        <f t="shared" si="1158"/>
        <v>0</v>
      </c>
      <c r="BH242" s="7">
        <v>48.21</v>
      </c>
      <c r="BI242" s="39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236">
        <f t="shared" si="1368"/>
        <v>-7.3578595344325919E-6</v>
      </c>
      <c r="BW242" s="7">
        <v>48.21</v>
      </c>
      <c r="BX242" s="39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236">
        <f t="shared" si="1369"/>
        <v>0</v>
      </c>
      <c r="CL242" s="7">
        <v>48.21</v>
      </c>
      <c r="CM242" s="39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236">
        <f t="shared" si="1370"/>
        <v>0</v>
      </c>
    </row>
    <row r="243" spans="1:104" ht="22.5" x14ac:dyDescent="0.2">
      <c r="A243" s="6" t="str">
        <f>'[1]2021 УГРЦТ'!A246</f>
        <v>Камера сборная одностороннего обслуживания КСО-298-8ВВ-630-УЗ зав.№124-1</v>
      </c>
      <c r="B243" t="str">
        <f>'[1]2021 УГРЦТ'!B246</f>
        <v>000001483</v>
      </c>
      <c r="C243" t="str">
        <f>'[1]2021 УГРЦТ'!C246</f>
        <v>ПЕРЕДАЧА</v>
      </c>
      <c r="D243" t="str">
        <f>'[1]2021 УГРЦТ'!D246</f>
        <v>Машины и оборудование (кроме офисного)</v>
      </c>
      <c r="E243" t="str">
        <f>'[1]2021 УГРЦТ'!E246</f>
        <v>24.09.2012</v>
      </c>
      <c r="F243" t="str">
        <f>'[1]2021 УГРЦТ'!F246</f>
        <v>Цех электрических сетей</v>
      </c>
      <c r="G243">
        <f>'[1]2021 УГРЦТ'!AC246</f>
        <v>120</v>
      </c>
      <c r="H243" s="7">
        <f>'[1]2021 УГРЦТ'!X246</f>
        <v>451297.63</v>
      </c>
      <c r="I243" s="7">
        <f>'[1]2021 УГРЦТ'!Y246</f>
        <v>417449.95299999998</v>
      </c>
      <c r="J243" s="7">
        <f>'[1]2021 УГРЦТ'!Z246</f>
        <v>33847.677000000025</v>
      </c>
      <c r="K243" s="8">
        <v>0</v>
      </c>
      <c r="L243" s="7">
        <v>3760.8099999999995</v>
      </c>
      <c r="M243" s="7"/>
      <c r="N243" s="7">
        <f>L243*9+0.39</f>
        <v>33847.679999999993</v>
      </c>
      <c r="O243" s="7">
        <f t="shared" si="1161"/>
        <v>30086.867000000027</v>
      </c>
      <c r="P243" s="7">
        <f t="shared" si="1342"/>
        <v>26326.05700000003</v>
      </c>
      <c r="Q243" s="7">
        <f t="shared" si="1342"/>
        <v>22565.247000000032</v>
      </c>
      <c r="R243" s="7">
        <f t="shared" si="1342"/>
        <v>18804.437000000034</v>
      </c>
      <c r="S243" s="7">
        <f t="shared" si="1342"/>
        <v>15043.627000000035</v>
      </c>
      <c r="T243" s="7">
        <f t="shared" si="1342"/>
        <v>11282.817000000035</v>
      </c>
      <c r="U243" s="7">
        <f t="shared" si="1342"/>
        <v>7522.007000000036</v>
      </c>
      <c r="V243" s="7">
        <f t="shared" si="1342"/>
        <v>3761.1970000000365</v>
      </c>
      <c r="W243" s="7">
        <f t="shared" si="1342"/>
        <v>0.38700000003700552</v>
      </c>
      <c r="X243" s="7">
        <f>W243-0.39</f>
        <v>-2.9999999629944929E-3</v>
      </c>
      <c r="Y243" s="7">
        <f>X243-$L243*0</f>
        <v>-2.9999999629944929E-3</v>
      </c>
      <c r="Z243" s="7">
        <f>Y243-$L243*0</f>
        <v>-2.9999999629944929E-3</v>
      </c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222"/>
      <c r="AQ243" s="7">
        <v>0</v>
      </c>
      <c r="AR243" s="7">
        <f t="shared" si="1164"/>
        <v>0</v>
      </c>
      <c r="AS243" s="7">
        <f t="shared" si="1165"/>
        <v>0</v>
      </c>
      <c r="BG243" s="236">
        <f t="shared" si="1158"/>
        <v>0</v>
      </c>
      <c r="BH243" s="7">
        <v>0</v>
      </c>
      <c r="BV243" s="236">
        <f t="shared" si="1368"/>
        <v>0</v>
      </c>
      <c r="BW243" s="7">
        <v>0</v>
      </c>
      <c r="CK243" s="236">
        <f t="shared" si="1369"/>
        <v>0</v>
      </c>
      <c r="CL243" s="7">
        <v>0</v>
      </c>
      <c r="CZ243" s="236">
        <f t="shared" si="1370"/>
        <v>0</v>
      </c>
    </row>
    <row r="244" spans="1:104" ht="22.5" x14ac:dyDescent="0.2">
      <c r="A244" s="6" t="str">
        <f>'[1]2021 УГРЦТ'!A247</f>
        <v>Камера сборная одностороннего обслуживания КСО-298-8ВВ-630-УЗ зав.№124-2</v>
      </c>
      <c r="B244" t="str">
        <f>'[1]2021 УГРЦТ'!B247</f>
        <v>000001484</v>
      </c>
      <c r="C244" t="str">
        <f>'[1]2021 УГРЦТ'!C247</f>
        <v>ПЕРЕДАЧА</v>
      </c>
      <c r="D244" t="str">
        <f>'[1]2021 УГРЦТ'!D247</f>
        <v>Машины и оборудование (кроме офисного)</v>
      </c>
      <c r="E244" t="str">
        <f>'[1]2021 УГРЦТ'!E247</f>
        <v>24.09.2012</v>
      </c>
      <c r="F244" t="str">
        <f>'[1]2021 УГРЦТ'!F247</f>
        <v>Цех электрических сетей</v>
      </c>
      <c r="G244">
        <f>'[1]2021 УГРЦТ'!AC247</f>
        <v>120</v>
      </c>
      <c r="H244" s="7">
        <f>'[1]2021 УГРЦТ'!X247</f>
        <v>451297.63</v>
      </c>
      <c r="I244" s="7">
        <f>'[1]2021 УГРЦТ'!Y247</f>
        <v>417449.95299999998</v>
      </c>
      <c r="J244" s="7">
        <f>'[1]2021 УГРЦТ'!Z247</f>
        <v>33847.677000000025</v>
      </c>
      <c r="K244" s="8">
        <v>0</v>
      </c>
      <c r="L244" s="7">
        <v>3760.8099999999995</v>
      </c>
      <c r="M244" s="7"/>
      <c r="N244" s="7">
        <f t="shared" ref="N244:N247" si="1372">L244*9+0.39</f>
        <v>33847.679999999993</v>
      </c>
      <c r="O244" s="7">
        <f t="shared" si="1161"/>
        <v>30086.867000000027</v>
      </c>
      <c r="P244" s="7">
        <f t="shared" si="1342"/>
        <v>26326.05700000003</v>
      </c>
      <c r="Q244" s="7">
        <f t="shared" si="1342"/>
        <v>22565.247000000032</v>
      </c>
      <c r="R244" s="7">
        <f t="shared" si="1342"/>
        <v>18804.437000000034</v>
      </c>
      <c r="S244" s="7">
        <f t="shared" si="1342"/>
        <v>15043.627000000035</v>
      </c>
      <c r="T244" s="7">
        <f t="shared" si="1342"/>
        <v>11282.817000000035</v>
      </c>
      <c r="U244" s="7">
        <f t="shared" si="1342"/>
        <v>7522.007000000036</v>
      </c>
      <c r="V244" s="7">
        <f t="shared" si="1342"/>
        <v>3761.1970000000365</v>
      </c>
      <c r="W244" s="7">
        <f t="shared" si="1342"/>
        <v>0.38700000003700552</v>
      </c>
      <c r="X244" s="7">
        <f t="shared" ref="X244:X247" si="1373">W244-0.39</f>
        <v>-2.9999999629944929E-3</v>
      </c>
      <c r="Y244" s="7">
        <f t="shared" ref="Y244:Z247" si="1374">X244-$L244*0</f>
        <v>-2.9999999629944929E-3</v>
      </c>
      <c r="Z244" s="7">
        <f t="shared" si="1374"/>
        <v>-2.9999999629944929E-3</v>
      </c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222"/>
      <c r="AQ244" s="7">
        <v>0</v>
      </c>
      <c r="AR244" s="7">
        <f t="shared" si="1164"/>
        <v>0</v>
      </c>
      <c r="AS244" s="7">
        <f t="shared" si="1165"/>
        <v>0</v>
      </c>
      <c r="BG244" s="236">
        <f t="shared" si="1158"/>
        <v>0</v>
      </c>
      <c r="BH244" s="7">
        <v>0</v>
      </c>
      <c r="BV244" s="236">
        <f t="shared" si="1368"/>
        <v>0</v>
      </c>
      <c r="BW244" s="7">
        <v>0</v>
      </c>
      <c r="CK244" s="236">
        <f t="shared" si="1369"/>
        <v>0</v>
      </c>
      <c r="CL244" s="7">
        <v>0</v>
      </c>
      <c r="CZ244" s="236">
        <f t="shared" si="1370"/>
        <v>0</v>
      </c>
    </row>
    <row r="245" spans="1:104" ht="22.5" x14ac:dyDescent="0.2">
      <c r="A245" s="6" t="str">
        <f>'[1]2021 УГРЦТ'!A248</f>
        <v>Камера сборная одностороннего обслуживания КСО-298-8ВВ-630-УЗ зав.№124-3</v>
      </c>
      <c r="B245" t="str">
        <f>'[1]2021 УГРЦТ'!B248</f>
        <v>000001485</v>
      </c>
      <c r="C245" t="str">
        <f>'[1]2021 УГРЦТ'!C248</f>
        <v>ПЕРЕДАЧА</v>
      </c>
      <c r="D245" t="str">
        <f>'[1]2021 УГРЦТ'!D248</f>
        <v>Машины и оборудование (кроме офисного)</v>
      </c>
      <c r="E245" t="str">
        <f>'[1]2021 УГРЦТ'!E248</f>
        <v>24.09.2012</v>
      </c>
      <c r="F245" t="str">
        <f>'[1]2021 УГРЦТ'!F248</f>
        <v>Цех электрических сетей</v>
      </c>
      <c r="G245">
        <f>'[1]2021 УГРЦТ'!AC248</f>
        <v>120</v>
      </c>
      <c r="H245" s="7">
        <f>'[1]2021 УГРЦТ'!X248</f>
        <v>451297.63</v>
      </c>
      <c r="I245" s="7">
        <f>'[1]2021 УГРЦТ'!Y248</f>
        <v>417449.95299999998</v>
      </c>
      <c r="J245" s="7">
        <f>'[1]2021 УГРЦТ'!Z248</f>
        <v>33847.677000000025</v>
      </c>
      <c r="K245" s="8">
        <v>0</v>
      </c>
      <c r="L245" s="7">
        <v>3760.8099999999995</v>
      </c>
      <c r="M245" s="7"/>
      <c r="N245" s="7">
        <f t="shared" si="1372"/>
        <v>33847.679999999993</v>
      </c>
      <c r="O245" s="7">
        <f t="shared" si="1161"/>
        <v>30086.867000000027</v>
      </c>
      <c r="P245" s="7">
        <f t="shared" si="1342"/>
        <v>26326.05700000003</v>
      </c>
      <c r="Q245" s="7">
        <f t="shared" si="1342"/>
        <v>22565.247000000032</v>
      </c>
      <c r="R245" s="7">
        <f t="shared" si="1342"/>
        <v>18804.437000000034</v>
      </c>
      <c r="S245" s="7">
        <f t="shared" si="1342"/>
        <v>15043.627000000035</v>
      </c>
      <c r="T245" s="7">
        <f t="shared" si="1342"/>
        <v>11282.817000000035</v>
      </c>
      <c r="U245" s="7">
        <f t="shared" si="1342"/>
        <v>7522.007000000036</v>
      </c>
      <c r="V245" s="7">
        <f t="shared" si="1342"/>
        <v>3761.1970000000365</v>
      </c>
      <c r="W245" s="7">
        <f t="shared" si="1342"/>
        <v>0.38700000003700552</v>
      </c>
      <c r="X245" s="7">
        <f t="shared" si="1373"/>
        <v>-2.9999999629944929E-3</v>
      </c>
      <c r="Y245" s="7">
        <f t="shared" si="1374"/>
        <v>-2.9999999629944929E-3</v>
      </c>
      <c r="Z245" s="7">
        <f t="shared" si="1374"/>
        <v>-2.9999999629944929E-3</v>
      </c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222"/>
      <c r="AQ245" s="7">
        <v>0</v>
      </c>
      <c r="AR245" s="7">
        <f t="shared" si="1164"/>
        <v>0</v>
      </c>
      <c r="AS245" s="7">
        <f t="shared" si="1165"/>
        <v>0</v>
      </c>
      <c r="BG245" s="236">
        <f t="shared" si="1158"/>
        <v>0</v>
      </c>
      <c r="BH245" s="7">
        <v>0</v>
      </c>
      <c r="BV245" s="236">
        <f t="shared" si="1368"/>
        <v>0</v>
      </c>
      <c r="BW245" s="7">
        <v>0</v>
      </c>
      <c r="CK245" s="236">
        <f t="shared" si="1369"/>
        <v>0</v>
      </c>
      <c r="CL245" s="7">
        <v>0</v>
      </c>
      <c r="CZ245" s="236">
        <f t="shared" si="1370"/>
        <v>0</v>
      </c>
    </row>
    <row r="246" spans="1:104" ht="22.5" x14ac:dyDescent="0.2">
      <c r="A246" s="6" t="str">
        <f>'[1]2021 УГРЦТ'!A249</f>
        <v>Камера сборная одностороннего обслуживания КСО-298-8ВВ-630-УЗ зав.№124-4</v>
      </c>
      <c r="B246" t="str">
        <f>'[1]2021 УГРЦТ'!B249</f>
        <v>000001486</v>
      </c>
      <c r="C246" t="str">
        <f>'[1]2021 УГРЦТ'!C249</f>
        <v>ПЕРЕДАЧА</v>
      </c>
      <c r="D246" t="str">
        <f>'[1]2021 УГРЦТ'!D249</f>
        <v>Машины и оборудование (кроме офисного)</v>
      </c>
      <c r="E246" t="str">
        <f>'[1]2021 УГРЦТ'!E249</f>
        <v>24.09.2012</v>
      </c>
      <c r="F246" t="str">
        <f>'[1]2021 УГРЦТ'!F249</f>
        <v>Цех электрических сетей</v>
      </c>
      <c r="G246">
        <f>'[1]2021 УГРЦТ'!AC249</f>
        <v>120</v>
      </c>
      <c r="H246" s="7">
        <f>'[1]2021 УГРЦТ'!X249</f>
        <v>451297.63</v>
      </c>
      <c r="I246" s="7">
        <f>'[1]2021 УГРЦТ'!Y249</f>
        <v>417449.95299999998</v>
      </c>
      <c r="J246" s="7">
        <f>'[1]2021 УГРЦТ'!Z249</f>
        <v>33847.677000000025</v>
      </c>
      <c r="K246" s="8">
        <v>0</v>
      </c>
      <c r="L246" s="7">
        <v>3760.8099999999995</v>
      </c>
      <c r="M246" s="7"/>
      <c r="N246" s="7">
        <f t="shared" si="1372"/>
        <v>33847.679999999993</v>
      </c>
      <c r="O246" s="7">
        <f t="shared" si="1161"/>
        <v>30086.867000000027</v>
      </c>
      <c r="P246" s="7">
        <f t="shared" si="1342"/>
        <v>26326.05700000003</v>
      </c>
      <c r="Q246" s="7">
        <f t="shared" si="1342"/>
        <v>22565.247000000032</v>
      </c>
      <c r="R246" s="7">
        <f t="shared" si="1342"/>
        <v>18804.437000000034</v>
      </c>
      <c r="S246" s="7">
        <f t="shared" si="1342"/>
        <v>15043.627000000035</v>
      </c>
      <c r="T246" s="7">
        <f t="shared" si="1342"/>
        <v>11282.817000000035</v>
      </c>
      <c r="U246" s="7">
        <f t="shared" si="1342"/>
        <v>7522.007000000036</v>
      </c>
      <c r="V246" s="7">
        <f t="shared" si="1342"/>
        <v>3761.1970000000365</v>
      </c>
      <c r="W246" s="7">
        <f t="shared" si="1342"/>
        <v>0.38700000003700552</v>
      </c>
      <c r="X246" s="7">
        <f t="shared" si="1373"/>
        <v>-2.9999999629944929E-3</v>
      </c>
      <c r="Y246" s="7">
        <f t="shared" si="1374"/>
        <v>-2.9999999629944929E-3</v>
      </c>
      <c r="Z246" s="7">
        <f t="shared" si="1374"/>
        <v>-2.9999999629944929E-3</v>
      </c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222"/>
      <c r="AQ246" s="7">
        <v>0</v>
      </c>
      <c r="AR246" s="7">
        <f t="shared" si="1164"/>
        <v>0</v>
      </c>
      <c r="AS246" s="7">
        <f t="shared" si="1165"/>
        <v>0</v>
      </c>
      <c r="BG246" s="236">
        <f t="shared" si="1158"/>
        <v>0</v>
      </c>
      <c r="BH246" s="7">
        <v>0</v>
      </c>
      <c r="BV246" s="236">
        <f t="shared" si="1368"/>
        <v>0</v>
      </c>
      <c r="BW246" s="7">
        <v>0</v>
      </c>
      <c r="CK246" s="236">
        <f t="shared" si="1369"/>
        <v>0</v>
      </c>
      <c r="CL246" s="7">
        <v>0</v>
      </c>
      <c r="CZ246" s="236">
        <f t="shared" si="1370"/>
        <v>0</v>
      </c>
    </row>
    <row r="247" spans="1:104" ht="22.5" x14ac:dyDescent="0.2">
      <c r="A247" s="6" t="str">
        <f>'[1]2021 УГРЦТ'!A250</f>
        <v>Камера сборная одностороннего обслуживания КСО-298-8ВВ-630-УЗ зав.№124-5</v>
      </c>
      <c r="B247" t="str">
        <f>'[1]2021 УГРЦТ'!B250</f>
        <v>000001487</v>
      </c>
      <c r="C247" t="str">
        <f>'[1]2021 УГРЦТ'!C250</f>
        <v>ПЕРЕДАЧА</v>
      </c>
      <c r="D247" t="str">
        <f>'[1]2021 УГРЦТ'!D250</f>
        <v>Машины и оборудование (кроме офисного)</v>
      </c>
      <c r="E247" t="str">
        <f>'[1]2021 УГРЦТ'!E250</f>
        <v>24.09.2012</v>
      </c>
      <c r="F247" t="str">
        <f>'[1]2021 УГРЦТ'!F250</f>
        <v>Цех электрических сетей</v>
      </c>
      <c r="G247">
        <f>'[1]2021 УГРЦТ'!AC250</f>
        <v>120</v>
      </c>
      <c r="H247" s="7">
        <f>'[1]2021 УГРЦТ'!X250</f>
        <v>451297.63</v>
      </c>
      <c r="I247" s="7">
        <f>'[1]2021 УГРЦТ'!Y250</f>
        <v>417449.95299999998</v>
      </c>
      <c r="J247" s="7">
        <f>'[1]2021 УГРЦТ'!Z250</f>
        <v>33847.677000000025</v>
      </c>
      <c r="K247" s="8">
        <v>0</v>
      </c>
      <c r="L247" s="7">
        <v>3760.8099999999995</v>
      </c>
      <c r="M247" s="7"/>
      <c r="N247" s="7">
        <f t="shared" si="1372"/>
        <v>33847.679999999993</v>
      </c>
      <c r="O247" s="7">
        <f t="shared" si="1161"/>
        <v>30086.867000000027</v>
      </c>
      <c r="P247" s="7">
        <f t="shared" ref="P247:Z262" si="1375">O247-$L247</f>
        <v>26326.05700000003</v>
      </c>
      <c r="Q247" s="7">
        <f t="shared" si="1375"/>
        <v>22565.247000000032</v>
      </c>
      <c r="R247" s="7">
        <f t="shared" si="1375"/>
        <v>18804.437000000034</v>
      </c>
      <c r="S247" s="7">
        <f t="shared" si="1375"/>
        <v>15043.627000000035</v>
      </c>
      <c r="T247" s="7">
        <f t="shared" si="1375"/>
        <v>11282.817000000035</v>
      </c>
      <c r="U247" s="7">
        <f t="shared" si="1375"/>
        <v>7522.007000000036</v>
      </c>
      <c r="V247" s="7">
        <f t="shared" si="1375"/>
        <v>3761.1970000000365</v>
      </c>
      <c r="W247" s="7">
        <f t="shared" si="1375"/>
        <v>0.38700000003700552</v>
      </c>
      <c r="X247" s="7">
        <f t="shared" si="1373"/>
        <v>-2.9999999629944929E-3</v>
      </c>
      <c r="Y247" s="7">
        <f t="shared" si="1374"/>
        <v>-2.9999999629944929E-3</v>
      </c>
      <c r="Z247" s="7">
        <f t="shared" si="1374"/>
        <v>-2.9999999629944929E-3</v>
      </c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222"/>
      <c r="AQ247" s="7">
        <v>0</v>
      </c>
      <c r="AR247" s="7">
        <f t="shared" si="1164"/>
        <v>0</v>
      </c>
      <c r="AS247" s="7">
        <f t="shared" si="1165"/>
        <v>0</v>
      </c>
      <c r="BG247" s="236">
        <f t="shared" si="1158"/>
        <v>0</v>
      </c>
      <c r="BH247" s="7">
        <v>0</v>
      </c>
      <c r="BV247" s="236">
        <f t="shared" si="1368"/>
        <v>0</v>
      </c>
      <c r="BW247" s="7">
        <v>0</v>
      </c>
      <c r="CK247" s="236">
        <f t="shared" si="1369"/>
        <v>0</v>
      </c>
      <c r="CL247" s="7">
        <v>0</v>
      </c>
      <c r="CZ247" s="236">
        <f t="shared" si="1370"/>
        <v>0</v>
      </c>
    </row>
    <row r="248" spans="1:104" x14ac:dyDescent="0.2">
      <c r="A248" s="6" t="str">
        <f>'[1]2021 УГРЦТ'!A251</f>
        <v>Камеры в/в КСО 393 №2 01/09-828</v>
      </c>
      <c r="B248" t="str">
        <f>'[1]2021 УГРЦТ'!B251</f>
        <v>00001138</v>
      </c>
      <c r="C248" t="str">
        <f>'[1]2021 УГРЦТ'!C251</f>
        <v>ПЕРЕДАЧА</v>
      </c>
      <c r="D248" t="str">
        <f>'[1]2021 УГРЦТ'!D251</f>
        <v>Машины и оборудование (кроме офисного)</v>
      </c>
      <c r="E248" t="str">
        <f>'[1]2021 УГРЦТ'!E251</f>
        <v>31.07.2009</v>
      </c>
      <c r="F248" t="str">
        <f>'[1]2021 УГРЦТ'!F251</f>
        <v>Цех электрических сетей</v>
      </c>
      <c r="G248">
        <f>'[1]2021 УГРЦТ'!AC251</f>
        <v>180</v>
      </c>
      <c r="H248" s="7">
        <f>'[1]2021 УГРЦТ'!X251</f>
        <v>85301.6</v>
      </c>
      <c r="I248" s="7">
        <f>'[1]2021 УГРЦТ'!Y251</f>
        <v>70611.073333333334</v>
      </c>
      <c r="J248" s="7">
        <f>'[1]2021 УГРЦТ'!Z251</f>
        <v>14690.526666666672</v>
      </c>
      <c r="K248" s="8">
        <v>0</v>
      </c>
      <c r="L248" s="7">
        <v>473.89999999999992</v>
      </c>
      <c r="M248" s="7"/>
      <c r="N248" s="7">
        <f t="shared" si="1341"/>
        <v>5686.7999999999993</v>
      </c>
      <c r="O248" s="7">
        <f t="shared" si="1161"/>
        <v>14216.626666666672</v>
      </c>
      <c r="P248" s="7">
        <f t="shared" si="1375"/>
        <v>13742.726666666673</v>
      </c>
      <c r="Q248" s="7">
        <f t="shared" si="1375"/>
        <v>13268.826666666673</v>
      </c>
      <c r="R248" s="7">
        <f t="shared" si="1375"/>
        <v>12794.926666666674</v>
      </c>
      <c r="S248" s="7">
        <f t="shared" si="1375"/>
        <v>12321.026666666674</v>
      </c>
      <c r="T248" s="7">
        <f t="shared" si="1375"/>
        <v>11847.126666666674</v>
      </c>
      <c r="U248" s="7">
        <f t="shared" si="1375"/>
        <v>11373.226666666675</v>
      </c>
      <c r="V248" s="7">
        <f t="shared" si="1375"/>
        <v>10899.326666666675</v>
      </c>
      <c r="W248" s="7">
        <f t="shared" si="1375"/>
        <v>10425.426666666675</v>
      </c>
      <c r="X248" s="7">
        <f t="shared" si="1375"/>
        <v>9951.5266666666757</v>
      </c>
      <c r="Y248" s="7">
        <f t="shared" si="1375"/>
        <v>9477.6266666666761</v>
      </c>
      <c r="Z248" s="7">
        <f t="shared" si="1375"/>
        <v>9003.7266666666765</v>
      </c>
      <c r="AA248" s="7"/>
      <c r="AB248" s="7"/>
      <c r="AC248" s="7">
        <f t="shared" si="1162"/>
        <v>5686.7999999999993</v>
      </c>
      <c r="AD248" s="7">
        <f t="shared" si="1163"/>
        <v>8529.8266666666768</v>
      </c>
      <c r="AE248" s="7">
        <f t="shared" ref="AE248:AO263" si="1376">AD248-$L248</f>
        <v>8055.9266666666772</v>
      </c>
      <c r="AF248" s="7">
        <f t="shared" si="1376"/>
        <v>7582.0266666666776</v>
      </c>
      <c r="AG248" s="7">
        <f t="shared" si="1376"/>
        <v>7108.1266666666779</v>
      </c>
      <c r="AH248" s="7">
        <f t="shared" si="1376"/>
        <v>6634.2266666666783</v>
      </c>
      <c r="AI248" s="7">
        <f t="shared" si="1376"/>
        <v>6160.3266666666786</v>
      </c>
      <c r="AJ248" s="7">
        <f t="shared" si="1376"/>
        <v>5686.426666666679</v>
      </c>
      <c r="AK248" s="7">
        <f t="shared" si="1376"/>
        <v>5212.5266666666794</v>
      </c>
      <c r="AL248" s="7">
        <f t="shared" si="1376"/>
        <v>4738.6266666666797</v>
      </c>
      <c r="AM248" s="7">
        <f t="shared" si="1376"/>
        <v>4264.7266666666801</v>
      </c>
      <c r="AN248" s="7">
        <f t="shared" si="1376"/>
        <v>3790.82666666668</v>
      </c>
      <c r="AO248" s="7">
        <f t="shared" si="1376"/>
        <v>3316.9266666666799</v>
      </c>
      <c r="AP248" s="222"/>
      <c r="AQ248" s="7">
        <v>473.89999999999992</v>
      </c>
      <c r="AR248" s="7">
        <f t="shared" si="1164"/>
        <v>473.90000000000009</v>
      </c>
      <c r="AS248" s="7">
        <f t="shared" si="1165"/>
        <v>0</v>
      </c>
      <c r="AT248" s="7">
        <f>L248*7-0.37</f>
        <v>3316.9299999999994</v>
      </c>
      <c r="AU248" s="7">
        <f t="shared" ref="AU248:AU287" si="1377">AO248-$L248</f>
        <v>2843.0266666666798</v>
      </c>
      <c r="AV248" s="7">
        <f t="shared" ref="AV248:BF263" si="1378">AU248-$L248</f>
        <v>2369.1266666666797</v>
      </c>
      <c r="AW248" s="7">
        <f t="shared" si="1378"/>
        <v>1895.2266666666799</v>
      </c>
      <c r="AX248" s="7">
        <f t="shared" si="1378"/>
        <v>1421.32666666668</v>
      </c>
      <c r="AY248" s="7">
        <f t="shared" si="1378"/>
        <v>947.42666666668015</v>
      </c>
      <c r="AZ248" s="7">
        <f t="shared" si="1378"/>
        <v>473.52666666668023</v>
      </c>
      <c r="BA248" s="7"/>
      <c r="BB248" s="7"/>
      <c r="BC248" s="7"/>
      <c r="BD248" s="7"/>
      <c r="BE248" s="7"/>
      <c r="BF248" s="7"/>
      <c r="BG248" s="236">
        <f t="shared" si="1158"/>
        <v>0</v>
      </c>
      <c r="BH248" s="7">
        <v>473.89999999999992</v>
      </c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236">
        <f t="shared" si="1368"/>
        <v>0</v>
      </c>
      <c r="BW248" s="7">
        <v>473.89999999999992</v>
      </c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236">
        <f t="shared" si="1369"/>
        <v>0</v>
      </c>
      <c r="CL248" s="7">
        <v>473.89999999999992</v>
      </c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236">
        <f t="shared" si="1370"/>
        <v>0</v>
      </c>
    </row>
    <row r="249" spans="1:104" x14ac:dyDescent="0.2">
      <c r="A249" s="6" t="str">
        <f>'[1]2021 УГРЦТ'!A252</f>
        <v>Камеры в/в КСО 393 №3 01/09-829</v>
      </c>
      <c r="B249" t="str">
        <f>'[1]2021 УГРЦТ'!B252</f>
        <v>00001127</v>
      </c>
      <c r="C249" t="str">
        <f>'[1]2021 УГРЦТ'!C252</f>
        <v>ПЕРЕДАЧА</v>
      </c>
      <c r="D249" t="str">
        <f>'[1]2021 УГРЦТ'!D252</f>
        <v>Машины и оборудование (кроме офисного)</v>
      </c>
      <c r="E249" t="str">
        <f>'[1]2021 УГРЦТ'!E252</f>
        <v>31.07.2009</v>
      </c>
      <c r="F249" t="str">
        <f>'[1]2021 УГРЦТ'!F252</f>
        <v>Цех электрических сетей</v>
      </c>
      <c r="G249">
        <f>'[1]2021 УГРЦТ'!AC252</f>
        <v>180</v>
      </c>
      <c r="H249" s="7">
        <f>'[1]2021 УГРЦТ'!X252</f>
        <v>86139.6</v>
      </c>
      <c r="I249" s="7">
        <f>'[1]2021 УГРЦТ'!Y252</f>
        <v>71303.990000000005</v>
      </c>
      <c r="J249" s="7">
        <f>'[1]2021 УГРЦТ'!Z252</f>
        <v>14835.61</v>
      </c>
      <c r="K249" s="8">
        <v>0</v>
      </c>
      <c r="L249" s="7">
        <v>478.55000000000013</v>
      </c>
      <c r="M249" s="7"/>
      <c r="N249" s="7">
        <f t="shared" si="1341"/>
        <v>5742.6000000000013</v>
      </c>
      <c r="O249" s="7">
        <f t="shared" si="1161"/>
        <v>14357.060000000001</v>
      </c>
      <c r="P249" s="7">
        <f t="shared" si="1375"/>
        <v>13878.510000000002</v>
      </c>
      <c r="Q249" s="7">
        <f t="shared" si="1375"/>
        <v>13399.960000000003</v>
      </c>
      <c r="R249" s="7">
        <f t="shared" si="1375"/>
        <v>12921.410000000003</v>
      </c>
      <c r="S249" s="7">
        <f t="shared" si="1375"/>
        <v>12442.860000000004</v>
      </c>
      <c r="T249" s="7">
        <f t="shared" si="1375"/>
        <v>11964.310000000005</v>
      </c>
      <c r="U249" s="7">
        <f t="shared" si="1375"/>
        <v>11485.760000000006</v>
      </c>
      <c r="V249" s="7">
        <f t="shared" si="1375"/>
        <v>11007.210000000006</v>
      </c>
      <c r="W249" s="7">
        <f t="shared" si="1375"/>
        <v>10528.660000000007</v>
      </c>
      <c r="X249" s="7">
        <f t="shared" si="1375"/>
        <v>10050.110000000008</v>
      </c>
      <c r="Y249" s="7">
        <f t="shared" si="1375"/>
        <v>9571.5600000000086</v>
      </c>
      <c r="Z249" s="7">
        <f t="shared" si="1375"/>
        <v>9093.0100000000093</v>
      </c>
      <c r="AA249" s="7"/>
      <c r="AB249" s="7"/>
      <c r="AC249" s="7">
        <f t="shared" si="1162"/>
        <v>5742.6000000000013</v>
      </c>
      <c r="AD249" s="7">
        <f t="shared" si="1163"/>
        <v>8614.46000000001</v>
      </c>
      <c r="AE249" s="7">
        <f t="shared" si="1376"/>
        <v>8135.9100000000099</v>
      </c>
      <c r="AF249" s="7">
        <f t="shared" si="1376"/>
        <v>7657.3600000000097</v>
      </c>
      <c r="AG249" s="7">
        <f t="shared" si="1376"/>
        <v>7178.8100000000095</v>
      </c>
      <c r="AH249" s="7">
        <f t="shared" si="1376"/>
        <v>6700.2600000000093</v>
      </c>
      <c r="AI249" s="7">
        <f t="shared" si="1376"/>
        <v>6221.7100000000091</v>
      </c>
      <c r="AJ249" s="7">
        <f t="shared" si="1376"/>
        <v>5743.1600000000089</v>
      </c>
      <c r="AK249" s="7">
        <f t="shared" si="1376"/>
        <v>5264.6100000000088</v>
      </c>
      <c r="AL249" s="7">
        <f t="shared" si="1376"/>
        <v>4786.0600000000086</v>
      </c>
      <c r="AM249" s="7">
        <f t="shared" si="1376"/>
        <v>4307.5100000000084</v>
      </c>
      <c r="AN249" s="7">
        <f t="shared" si="1376"/>
        <v>3828.9600000000082</v>
      </c>
      <c r="AO249" s="7">
        <f t="shared" si="1376"/>
        <v>3350.410000000008</v>
      </c>
      <c r="AP249" s="222"/>
      <c r="AQ249" s="7">
        <v>478.55000000000013</v>
      </c>
      <c r="AR249" s="7">
        <f t="shared" si="1164"/>
        <v>478.55000000000018</v>
      </c>
      <c r="AS249" s="7">
        <f t="shared" si="1165"/>
        <v>0</v>
      </c>
      <c r="AT249" s="7">
        <f>L249*7+0.56</f>
        <v>3350.4100000000008</v>
      </c>
      <c r="AU249" s="7">
        <f t="shared" si="1377"/>
        <v>2871.8600000000079</v>
      </c>
      <c r="AV249" s="7">
        <f t="shared" si="1378"/>
        <v>2393.3100000000077</v>
      </c>
      <c r="AW249" s="7">
        <f t="shared" si="1378"/>
        <v>1914.7600000000075</v>
      </c>
      <c r="AX249" s="7">
        <f t="shared" si="1378"/>
        <v>1436.2100000000073</v>
      </c>
      <c r="AY249" s="7">
        <f t="shared" si="1378"/>
        <v>957.66000000000713</v>
      </c>
      <c r="AZ249" s="7">
        <f t="shared" si="1378"/>
        <v>479.11000000000701</v>
      </c>
      <c r="BA249" s="7">
        <f t="shared" si="1378"/>
        <v>0.56000000000688033</v>
      </c>
      <c r="BB249" s="7">
        <f>BA249-0.56</f>
        <v>6.8802741282070201E-12</v>
      </c>
      <c r="BC249" s="7">
        <f t="shared" ref="BC249:BF252" si="1379">BB249-$L249*0</f>
        <v>6.8802741282070201E-12</v>
      </c>
      <c r="BD249" s="7">
        <f t="shared" si="1379"/>
        <v>6.8802741282070201E-12</v>
      </c>
      <c r="BE249" s="7">
        <f t="shared" si="1379"/>
        <v>6.8802741282070201E-12</v>
      </c>
      <c r="BF249" s="7">
        <f t="shared" si="1379"/>
        <v>6.8802741282070201E-12</v>
      </c>
      <c r="BG249" s="236">
        <f t="shared" si="1158"/>
        <v>0</v>
      </c>
      <c r="BH249" s="7">
        <v>478.55000000000013</v>
      </c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236">
        <f t="shared" si="1368"/>
        <v>1.164354083235034E-14</v>
      </c>
      <c r="BW249" s="7">
        <v>478.55000000000013</v>
      </c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236">
        <f t="shared" si="1369"/>
        <v>0</v>
      </c>
      <c r="CL249" s="7">
        <v>478.55000000000013</v>
      </c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236">
        <f t="shared" si="1370"/>
        <v>0</v>
      </c>
    </row>
    <row r="250" spans="1:104" x14ac:dyDescent="0.2">
      <c r="A250" s="6" t="str">
        <f>'[1]2021 УГРЦТ'!A253</f>
        <v>Камеры в/в КСО 393 №4 01/09-825</v>
      </c>
      <c r="B250" t="str">
        <f>'[1]2021 УГРЦТ'!B253</f>
        <v>00001128</v>
      </c>
      <c r="C250" t="str">
        <f>'[1]2021 УГРЦТ'!C253</f>
        <v>ПЕРЕДАЧА</v>
      </c>
      <c r="D250" t="str">
        <f>'[1]2021 УГРЦТ'!D253</f>
        <v>Машины и оборудование (кроме офисного)</v>
      </c>
      <c r="E250" t="str">
        <f>'[1]2021 УГРЦТ'!E253</f>
        <v>31.07.2009</v>
      </c>
      <c r="F250" t="str">
        <f>'[1]2021 УГРЦТ'!F253</f>
        <v>Цех электрических сетей</v>
      </c>
      <c r="G250">
        <f>'[1]2021 УГРЦТ'!AC253</f>
        <v>180</v>
      </c>
      <c r="H250" s="7">
        <f>'[1]2021 УГРЦТ'!X253</f>
        <v>86139.6</v>
      </c>
      <c r="I250" s="7">
        <f>'[1]2021 УГРЦТ'!Y253</f>
        <v>71303.990000000005</v>
      </c>
      <c r="J250" s="7">
        <f>'[1]2021 УГРЦТ'!Z253</f>
        <v>14835.61</v>
      </c>
      <c r="K250" s="8">
        <v>0</v>
      </c>
      <c r="L250" s="7">
        <v>478.55000000000013</v>
      </c>
      <c r="M250" s="7"/>
      <c r="N250" s="7">
        <f t="shared" si="1341"/>
        <v>5742.6000000000013</v>
      </c>
      <c r="O250" s="7">
        <f t="shared" si="1161"/>
        <v>14357.060000000001</v>
      </c>
      <c r="P250" s="7">
        <f t="shared" si="1375"/>
        <v>13878.510000000002</v>
      </c>
      <c r="Q250" s="7">
        <f t="shared" si="1375"/>
        <v>13399.960000000003</v>
      </c>
      <c r="R250" s="7">
        <f t="shared" si="1375"/>
        <v>12921.410000000003</v>
      </c>
      <c r="S250" s="7">
        <f t="shared" si="1375"/>
        <v>12442.860000000004</v>
      </c>
      <c r="T250" s="7">
        <f t="shared" si="1375"/>
        <v>11964.310000000005</v>
      </c>
      <c r="U250" s="7">
        <f t="shared" si="1375"/>
        <v>11485.760000000006</v>
      </c>
      <c r="V250" s="7">
        <f t="shared" si="1375"/>
        <v>11007.210000000006</v>
      </c>
      <c r="W250" s="7">
        <f t="shared" si="1375"/>
        <v>10528.660000000007</v>
      </c>
      <c r="X250" s="7">
        <f t="shared" si="1375"/>
        <v>10050.110000000008</v>
      </c>
      <c r="Y250" s="7">
        <f t="shared" si="1375"/>
        <v>9571.5600000000086</v>
      </c>
      <c r="Z250" s="7">
        <f t="shared" si="1375"/>
        <v>9093.0100000000093</v>
      </c>
      <c r="AA250" s="7"/>
      <c r="AB250" s="7"/>
      <c r="AC250" s="7">
        <f t="shared" si="1162"/>
        <v>5742.6000000000013</v>
      </c>
      <c r="AD250" s="7">
        <f t="shared" si="1163"/>
        <v>8614.46000000001</v>
      </c>
      <c r="AE250" s="7">
        <f t="shared" si="1376"/>
        <v>8135.9100000000099</v>
      </c>
      <c r="AF250" s="7">
        <f t="shared" si="1376"/>
        <v>7657.3600000000097</v>
      </c>
      <c r="AG250" s="7">
        <f t="shared" si="1376"/>
        <v>7178.8100000000095</v>
      </c>
      <c r="AH250" s="7">
        <f t="shared" si="1376"/>
        <v>6700.2600000000093</v>
      </c>
      <c r="AI250" s="7">
        <f t="shared" si="1376"/>
        <v>6221.7100000000091</v>
      </c>
      <c r="AJ250" s="7">
        <f t="shared" si="1376"/>
        <v>5743.1600000000089</v>
      </c>
      <c r="AK250" s="7">
        <f t="shared" si="1376"/>
        <v>5264.6100000000088</v>
      </c>
      <c r="AL250" s="7">
        <f t="shared" si="1376"/>
        <v>4786.0600000000086</v>
      </c>
      <c r="AM250" s="7">
        <f t="shared" si="1376"/>
        <v>4307.5100000000084</v>
      </c>
      <c r="AN250" s="7">
        <f t="shared" si="1376"/>
        <v>3828.9600000000082</v>
      </c>
      <c r="AO250" s="7">
        <f t="shared" si="1376"/>
        <v>3350.410000000008</v>
      </c>
      <c r="AP250" s="222"/>
      <c r="AQ250" s="7">
        <v>478.55000000000013</v>
      </c>
      <c r="AR250" s="7">
        <f t="shared" si="1164"/>
        <v>478.55000000000018</v>
      </c>
      <c r="AS250" s="7">
        <f t="shared" si="1165"/>
        <v>0</v>
      </c>
      <c r="AT250" s="7">
        <f t="shared" ref="AT250:AT252" si="1380">L250*7+0.56</f>
        <v>3350.4100000000008</v>
      </c>
      <c r="AU250" s="7">
        <f t="shared" si="1377"/>
        <v>2871.8600000000079</v>
      </c>
      <c r="AV250" s="7">
        <f t="shared" si="1378"/>
        <v>2393.3100000000077</v>
      </c>
      <c r="AW250" s="7">
        <f t="shared" si="1378"/>
        <v>1914.7600000000075</v>
      </c>
      <c r="AX250" s="7">
        <f t="shared" si="1378"/>
        <v>1436.2100000000073</v>
      </c>
      <c r="AY250" s="7">
        <f t="shared" si="1378"/>
        <v>957.66000000000713</v>
      </c>
      <c r="AZ250" s="7">
        <f t="shared" si="1378"/>
        <v>479.11000000000701</v>
      </c>
      <c r="BA250" s="7">
        <f t="shared" si="1378"/>
        <v>0.56000000000688033</v>
      </c>
      <c r="BB250" s="7">
        <f t="shared" ref="BB250:BB252" si="1381">BA250-0.56</f>
        <v>6.8802741282070201E-12</v>
      </c>
      <c r="BC250" s="7">
        <f t="shared" si="1379"/>
        <v>6.8802741282070201E-12</v>
      </c>
      <c r="BD250" s="7">
        <f t="shared" si="1379"/>
        <v>6.8802741282070201E-12</v>
      </c>
      <c r="BE250" s="7">
        <f t="shared" si="1379"/>
        <v>6.8802741282070201E-12</v>
      </c>
      <c r="BF250" s="7">
        <f t="shared" si="1379"/>
        <v>6.8802741282070201E-12</v>
      </c>
      <c r="BG250" s="236">
        <f t="shared" si="1158"/>
        <v>0</v>
      </c>
      <c r="BH250" s="7">
        <v>478.55000000000013</v>
      </c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236">
        <f t="shared" si="1368"/>
        <v>1.164354083235034E-14</v>
      </c>
      <c r="BW250" s="7">
        <v>478.55000000000013</v>
      </c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236">
        <f t="shared" si="1369"/>
        <v>0</v>
      </c>
      <c r="CL250" s="7">
        <v>478.55000000000013</v>
      </c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236">
        <f t="shared" si="1370"/>
        <v>0</v>
      </c>
    </row>
    <row r="251" spans="1:104" x14ac:dyDescent="0.2">
      <c r="A251" s="6" t="str">
        <f>'[1]2021 УГРЦТ'!A254</f>
        <v>Камеры в/в КСО 393 №5 01/09-826</v>
      </c>
      <c r="B251" t="str">
        <f>'[1]2021 УГРЦТ'!B254</f>
        <v>00001129</v>
      </c>
      <c r="C251" t="str">
        <f>'[1]2021 УГРЦТ'!C254</f>
        <v>ПЕРЕДАЧА</v>
      </c>
      <c r="D251" t="str">
        <f>'[1]2021 УГРЦТ'!D254</f>
        <v>Машины и оборудование (кроме офисного)</v>
      </c>
      <c r="E251" t="str">
        <f>'[1]2021 УГРЦТ'!E254</f>
        <v>31.07.2009</v>
      </c>
      <c r="F251" t="str">
        <f>'[1]2021 УГРЦТ'!F254</f>
        <v>Цех электрических сетей</v>
      </c>
      <c r="G251">
        <f>'[1]2021 УГРЦТ'!AC254</f>
        <v>180</v>
      </c>
      <c r="H251" s="7">
        <f>'[1]2021 УГРЦТ'!X254</f>
        <v>86139.6</v>
      </c>
      <c r="I251" s="7">
        <f>'[1]2021 УГРЦТ'!Y254</f>
        <v>71303.990000000005</v>
      </c>
      <c r="J251" s="7">
        <f>'[1]2021 УГРЦТ'!Z254</f>
        <v>14835.61</v>
      </c>
      <c r="K251" s="8">
        <v>0</v>
      </c>
      <c r="L251" s="7">
        <v>478.55000000000013</v>
      </c>
      <c r="M251" s="7"/>
      <c r="N251" s="7">
        <f t="shared" si="1341"/>
        <v>5742.6000000000013</v>
      </c>
      <c r="O251" s="7">
        <f t="shared" si="1161"/>
        <v>14357.060000000001</v>
      </c>
      <c r="P251" s="7">
        <f t="shared" si="1375"/>
        <v>13878.510000000002</v>
      </c>
      <c r="Q251" s="7">
        <f t="shared" si="1375"/>
        <v>13399.960000000003</v>
      </c>
      <c r="R251" s="7">
        <f t="shared" si="1375"/>
        <v>12921.410000000003</v>
      </c>
      <c r="S251" s="7">
        <f t="shared" si="1375"/>
        <v>12442.860000000004</v>
      </c>
      <c r="T251" s="7">
        <f t="shared" si="1375"/>
        <v>11964.310000000005</v>
      </c>
      <c r="U251" s="7">
        <f t="shared" si="1375"/>
        <v>11485.760000000006</v>
      </c>
      <c r="V251" s="7">
        <f t="shared" si="1375"/>
        <v>11007.210000000006</v>
      </c>
      <c r="W251" s="7">
        <f t="shared" si="1375"/>
        <v>10528.660000000007</v>
      </c>
      <c r="X251" s="7">
        <f t="shared" si="1375"/>
        <v>10050.110000000008</v>
      </c>
      <c r="Y251" s="7">
        <f t="shared" si="1375"/>
        <v>9571.5600000000086</v>
      </c>
      <c r="Z251" s="7">
        <f t="shared" si="1375"/>
        <v>9093.0100000000093</v>
      </c>
      <c r="AA251" s="7"/>
      <c r="AB251" s="7"/>
      <c r="AC251" s="7">
        <f t="shared" si="1162"/>
        <v>5742.6000000000013</v>
      </c>
      <c r="AD251" s="7">
        <f t="shared" si="1163"/>
        <v>8614.46000000001</v>
      </c>
      <c r="AE251" s="7">
        <f t="shared" si="1376"/>
        <v>8135.9100000000099</v>
      </c>
      <c r="AF251" s="7">
        <f t="shared" si="1376"/>
        <v>7657.3600000000097</v>
      </c>
      <c r="AG251" s="7">
        <f t="shared" si="1376"/>
        <v>7178.8100000000095</v>
      </c>
      <c r="AH251" s="7">
        <f t="shared" si="1376"/>
        <v>6700.2600000000093</v>
      </c>
      <c r="AI251" s="7">
        <f t="shared" si="1376"/>
        <v>6221.7100000000091</v>
      </c>
      <c r="AJ251" s="7">
        <f t="shared" si="1376"/>
        <v>5743.1600000000089</v>
      </c>
      <c r="AK251" s="7">
        <f t="shared" si="1376"/>
        <v>5264.6100000000088</v>
      </c>
      <c r="AL251" s="7">
        <f t="shared" si="1376"/>
        <v>4786.0600000000086</v>
      </c>
      <c r="AM251" s="7">
        <f t="shared" si="1376"/>
        <v>4307.5100000000084</v>
      </c>
      <c r="AN251" s="7">
        <f t="shared" si="1376"/>
        <v>3828.9600000000082</v>
      </c>
      <c r="AO251" s="7">
        <f t="shared" si="1376"/>
        <v>3350.410000000008</v>
      </c>
      <c r="AP251" s="222"/>
      <c r="AQ251" s="7">
        <v>478.55000000000013</v>
      </c>
      <c r="AR251" s="7">
        <f t="shared" si="1164"/>
        <v>478.55000000000018</v>
      </c>
      <c r="AS251" s="7">
        <f t="shared" si="1165"/>
        <v>0</v>
      </c>
      <c r="AT251" s="7">
        <f t="shared" si="1380"/>
        <v>3350.4100000000008</v>
      </c>
      <c r="AU251" s="7">
        <f t="shared" si="1377"/>
        <v>2871.8600000000079</v>
      </c>
      <c r="AV251" s="7">
        <f t="shared" si="1378"/>
        <v>2393.3100000000077</v>
      </c>
      <c r="AW251" s="7">
        <f t="shared" si="1378"/>
        <v>1914.7600000000075</v>
      </c>
      <c r="AX251" s="7">
        <f t="shared" si="1378"/>
        <v>1436.2100000000073</v>
      </c>
      <c r="AY251" s="7">
        <f t="shared" si="1378"/>
        <v>957.66000000000713</v>
      </c>
      <c r="AZ251" s="7">
        <f t="shared" si="1378"/>
        <v>479.11000000000701</v>
      </c>
      <c r="BA251" s="7">
        <f t="shared" si="1378"/>
        <v>0.56000000000688033</v>
      </c>
      <c r="BB251" s="7">
        <f t="shared" si="1381"/>
        <v>6.8802741282070201E-12</v>
      </c>
      <c r="BC251" s="7">
        <f t="shared" si="1379"/>
        <v>6.8802741282070201E-12</v>
      </c>
      <c r="BD251" s="7">
        <f t="shared" si="1379"/>
        <v>6.8802741282070201E-12</v>
      </c>
      <c r="BE251" s="7">
        <f t="shared" si="1379"/>
        <v>6.8802741282070201E-12</v>
      </c>
      <c r="BF251" s="7">
        <f t="shared" si="1379"/>
        <v>6.8802741282070201E-12</v>
      </c>
      <c r="BG251" s="236">
        <f t="shared" si="1158"/>
        <v>0</v>
      </c>
      <c r="BH251" s="7">
        <v>478.55000000000013</v>
      </c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236">
        <f t="shared" si="1368"/>
        <v>1.164354083235034E-14</v>
      </c>
      <c r="BW251" s="7">
        <v>478.55000000000013</v>
      </c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236">
        <f t="shared" si="1369"/>
        <v>0</v>
      </c>
      <c r="CL251" s="7">
        <v>478.55000000000013</v>
      </c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236">
        <f t="shared" si="1370"/>
        <v>0</v>
      </c>
    </row>
    <row r="252" spans="1:104" x14ac:dyDescent="0.2">
      <c r="A252" s="6" t="str">
        <f>'[1]2021 УГРЦТ'!A255</f>
        <v>Камеры в/в КСО 393 №6 01/09-830</v>
      </c>
      <c r="B252" t="str">
        <f>'[1]2021 УГРЦТ'!B255</f>
        <v>00001130</v>
      </c>
      <c r="C252" t="str">
        <f>'[1]2021 УГРЦТ'!C255</f>
        <v>ПЕРЕДАЧА</v>
      </c>
      <c r="D252" t="str">
        <f>'[1]2021 УГРЦТ'!D255</f>
        <v>Машины и оборудование (кроме офисного)</v>
      </c>
      <c r="E252" t="str">
        <f>'[1]2021 УГРЦТ'!E255</f>
        <v>31.07.2009</v>
      </c>
      <c r="F252" t="str">
        <f>'[1]2021 УГРЦТ'!F255</f>
        <v>Цех электрических сетей</v>
      </c>
      <c r="G252">
        <f>'[1]2021 УГРЦТ'!AC255</f>
        <v>180</v>
      </c>
      <c r="H252" s="7">
        <f>'[1]2021 УГРЦТ'!X255</f>
        <v>86139.6</v>
      </c>
      <c r="I252" s="7">
        <f>'[1]2021 УГРЦТ'!Y255</f>
        <v>71303.990000000005</v>
      </c>
      <c r="J252" s="7">
        <f>'[1]2021 УГРЦТ'!Z255</f>
        <v>14835.61</v>
      </c>
      <c r="K252" s="8">
        <v>0</v>
      </c>
      <c r="L252" s="7">
        <v>478.55000000000013</v>
      </c>
      <c r="M252" s="7"/>
      <c r="N252" s="7">
        <f t="shared" si="1341"/>
        <v>5742.6000000000013</v>
      </c>
      <c r="O252" s="7">
        <f t="shared" si="1161"/>
        <v>14357.060000000001</v>
      </c>
      <c r="P252" s="7">
        <f t="shared" si="1375"/>
        <v>13878.510000000002</v>
      </c>
      <c r="Q252" s="7">
        <f t="shared" si="1375"/>
        <v>13399.960000000003</v>
      </c>
      <c r="R252" s="7">
        <f t="shared" si="1375"/>
        <v>12921.410000000003</v>
      </c>
      <c r="S252" s="7">
        <f t="shared" si="1375"/>
        <v>12442.860000000004</v>
      </c>
      <c r="T252" s="7">
        <f t="shared" si="1375"/>
        <v>11964.310000000005</v>
      </c>
      <c r="U252" s="7">
        <f t="shared" si="1375"/>
        <v>11485.760000000006</v>
      </c>
      <c r="V252" s="7">
        <f t="shared" si="1375"/>
        <v>11007.210000000006</v>
      </c>
      <c r="W252" s="7">
        <f t="shared" si="1375"/>
        <v>10528.660000000007</v>
      </c>
      <c r="X252" s="7">
        <f t="shared" si="1375"/>
        <v>10050.110000000008</v>
      </c>
      <c r="Y252" s="7">
        <f t="shared" si="1375"/>
        <v>9571.5600000000086</v>
      </c>
      <c r="Z252" s="7">
        <f t="shared" si="1375"/>
        <v>9093.0100000000093</v>
      </c>
      <c r="AA252" s="7"/>
      <c r="AB252" s="7"/>
      <c r="AC252" s="7">
        <f t="shared" si="1162"/>
        <v>5742.6000000000013</v>
      </c>
      <c r="AD252" s="7">
        <f t="shared" si="1163"/>
        <v>8614.46000000001</v>
      </c>
      <c r="AE252" s="7">
        <f t="shared" si="1376"/>
        <v>8135.9100000000099</v>
      </c>
      <c r="AF252" s="7">
        <f t="shared" si="1376"/>
        <v>7657.3600000000097</v>
      </c>
      <c r="AG252" s="7">
        <f t="shared" si="1376"/>
        <v>7178.8100000000095</v>
      </c>
      <c r="AH252" s="7">
        <f t="shared" si="1376"/>
        <v>6700.2600000000093</v>
      </c>
      <c r="AI252" s="7">
        <f t="shared" si="1376"/>
        <v>6221.7100000000091</v>
      </c>
      <c r="AJ252" s="7">
        <f t="shared" si="1376"/>
        <v>5743.1600000000089</v>
      </c>
      <c r="AK252" s="7">
        <f t="shared" si="1376"/>
        <v>5264.6100000000088</v>
      </c>
      <c r="AL252" s="7">
        <f t="shared" si="1376"/>
        <v>4786.0600000000086</v>
      </c>
      <c r="AM252" s="7">
        <f t="shared" si="1376"/>
        <v>4307.5100000000084</v>
      </c>
      <c r="AN252" s="7">
        <f t="shared" si="1376"/>
        <v>3828.9600000000082</v>
      </c>
      <c r="AO252" s="7">
        <f t="shared" si="1376"/>
        <v>3350.410000000008</v>
      </c>
      <c r="AP252" s="222"/>
      <c r="AQ252" s="7">
        <v>478.55000000000013</v>
      </c>
      <c r="AR252" s="7">
        <f t="shared" si="1164"/>
        <v>478.55000000000018</v>
      </c>
      <c r="AS252" s="7">
        <f t="shared" si="1165"/>
        <v>0</v>
      </c>
      <c r="AT252" s="7">
        <f t="shared" si="1380"/>
        <v>3350.4100000000008</v>
      </c>
      <c r="AU252" s="7">
        <f t="shared" si="1377"/>
        <v>2871.8600000000079</v>
      </c>
      <c r="AV252" s="7">
        <f t="shared" si="1378"/>
        <v>2393.3100000000077</v>
      </c>
      <c r="AW252" s="7">
        <f t="shared" si="1378"/>
        <v>1914.7600000000075</v>
      </c>
      <c r="AX252" s="7">
        <f t="shared" si="1378"/>
        <v>1436.2100000000073</v>
      </c>
      <c r="AY252" s="7">
        <f t="shared" si="1378"/>
        <v>957.66000000000713</v>
      </c>
      <c r="AZ252" s="7">
        <f t="shared" si="1378"/>
        <v>479.11000000000701</v>
      </c>
      <c r="BA252" s="7">
        <f t="shared" si="1378"/>
        <v>0.56000000000688033</v>
      </c>
      <c r="BB252" s="7">
        <f t="shared" si="1381"/>
        <v>6.8802741282070201E-12</v>
      </c>
      <c r="BC252" s="7">
        <f t="shared" si="1379"/>
        <v>6.8802741282070201E-12</v>
      </c>
      <c r="BD252" s="7">
        <f t="shared" si="1379"/>
        <v>6.8802741282070201E-12</v>
      </c>
      <c r="BE252" s="7">
        <f t="shared" si="1379"/>
        <v>6.8802741282070201E-12</v>
      </c>
      <c r="BF252" s="7">
        <f t="shared" si="1379"/>
        <v>6.8802741282070201E-12</v>
      </c>
      <c r="BG252" s="236">
        <f t="shared" si="1158"/>
        <v>0</v>
      </c>
      <c r="BH252" s="7">
        <v>478.55000000000013</v>
      </c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236">
        <f t="shared" si="1368"/>
        <v>1.164354083235034E-14</v>
      </c>
      <c r="BW252" s="7">
        <v>478.55000000000013</v>
      </c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236">
        <f t="shared" si="1369"/>
        <v>0</v>
      </c>
      <c r="CL252" s="7">
        <v>478.55000000000013</v>
      </c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236">
        <f t="shared" si="1370"/>
        <v>0</v>
      </c>
    </row>
    <row r="253" spans="1:104" x14ac:dyDescent="0.2">
      <c r="A253" s="6" t="str">
        <f>'[1]2021 УГРЦТ'!A256</f>
        <v>КЛ *- Каб.линия 6кв  2кабеля по 2,31 Жив компл 2000г</v>
      </c>
      <c r="B253" t="str">
        <f>'[1]2021 УГРЦТ'!B256</f>
        <v>00000265</v>
      </c>
      <c r="C253" t="str">
        <f>'[1]2021 УГРЦТ'!C256</f>
        <v>ПЕРЕДАЧА</v>
      </c>
      <c r="D253" t="str">
        <f>'[1]2021 УГРЦТ'!D256</f>
        <v>Сооружения</v>
      </c>
      <c r="E253" t="str">
        <f>'[1]2021 УГРЦТ'!E256</f>
        <v>01.05.2000</v>
      </c>
      <c r="F253" t="str">
        <f>'[1]2021 УГРЦТ'!F256</f>
        <v>Цех электрических сетей</v>
      </c>
      <c r="G253">
        <f>'[1]2021 УГРЦТ'!AC256</f>
        <v>300</v>
      </c>
      <c r="H253" s="7">
        <f>'[1]2021 УГРЦТ'!X256</f>
        <v>305800</v>
      </c>
      <c r="I253" s="7">
        <f>'[1]2021 УГРЦТ'!Y256</f>
        <v>264005.54000000004</v>
      </c>
      <c r="J253" s="7">
        <f>'[1]2021 УГРЦТ'!Z256</f>
        <v>41794.459999999963</v>
      </c>
      <c r="K253" s="8">
        <v>1</v>
      </c>
      <c r="L253" s="7">
        <v>1019.353333</v>
      </c>
      <c r="M253" s="7"/>
      <c r="N253" s="7">
        <f t="shared" si="1341"/>
        <v>12232.239996</v>
      </c>
      <c r="O253" s="7">
        <f t="shared" si="1161"/>
        <v>40775.106666999964</v>
      </c>
      <c r="P253" s="7">
        <f t="shared" si="1375"/>
        <v>39755.753333999965</v>
      </c>
      <c r="Q253" s="7">
        <f t="shared" si="1375"/>
        <v>38736.400000999965</v>
      </c>
      <c r="R253" s="7">
        <f t="shared" si="1375"/>
        <v>37717.046667999966</v>
      </c>
      <c r="S253" s="7">
        <f t="shared" si="1375"/>
        <v>36697.693334999967</v>
      </c>
      <c r="T253" s="7">
        <f t="shared" si="1375"/>
        <v>35678.340001999968</v>
      </c>
      <c r="U253" s="7">
        <f t="shared" si="1375"/>
        <v>34658.986668999969</v>
      </c>
      <c r="V253" s="7">
        <f t="shared" si="1375"/>
        <v>33639.63333599997</v>
      </c>
      <c r="W253" s="7">
        <f t="shared" si="1375"/>
        <v>32620.280002999971</v>
      </c>
      <c r="X253" s="7">
        <f t="shared" si="1375"/>
        <v>31600.926669999972</v>
      </c>
      <c r="Y253" s="7">
        <f t="shared" si="1375"/>
        <v>30581.573336999973</v>
      </c>
      <c r="Z253" s="7">
        <f t="shared" si="1375"/>
        <v>29562.220003999973</v>
      </c>
      <c r="AA253" s="7">
        <f t="shared" ref="AA253:AA280" si="1382">SUM(O253:Z253,J253)/13*$AA$1</f>
        <v>784.92348004399923</v>
      </c>
      <c r="AB253" s="7"/>
      <c r="AC253" s="7">
        <f t="shared" si="1162"/>
        <v>12232.239996</v>
      </c>
      <c r="AD253" s="7">
        <f t="shared" si="1163"/>
        <v>28542.866670999974</v>
      </c>
      <c r="AE253" s="7">
        <f t="shared" si="1376"/>
        <v>27523.513337999975</v>
      </c>
      <c r="AF253" s="7">
        <f t="shared" si="1376"/>
        <v>26504.160004999976</v>
      </c>
      <c r="AG253" s="7">
        <f t="shared" si="1376"/>
        <v>25484.806671999977</v>
      </c>
      <c r="AH253" s="7">
        <f t="shared" si="1376"/>
        <v>24465.453338999978</v>
      </c>
      <c r="AI253" s="7">
        <f t="shared" si="1376"/>
        <v>23446.100005999979</v>
      </c>
      <c r="AJ253" s="7">
        <f t="shared" si="1376"/>
        <v>22426.74667299998</v>
      </c>
      <c r="AK253" s="7">
        <f t="shared" si="1376"/>
        <v>21407.393339999981</v>
      </c>
      <c r="AL253" s="7">
        <f t="shared" si="1376"/>
        <v>20388.040006999981</v>
      </c>
      <c r="AM253" s="7">
        <f t="shared" si="1376"/>
        <v>19368.686673999982</v>
      </c>
      <c r="AN253" s="7">
        <f t="shared" si="1376"/>
        <v>18349.333340999983</v>
      </c>
      <c r="AO253" s="7">
        <f t="shared" si="1376"/>
        <v>17329.980007999984</v>
      </c>
      <c r="AP253" s="222">
        <f t="shared" ref="AP253:AP280" si="1383">IF(K253&lt;1,0,SUM(AD253:AO253,Z253)/13*$BG$1)</f>
        <v>515.81420013199954</v>
      </c>
      <c r="AQ253" s="7">
        <v>1019.353333</v>
      </c>
      <c r="AR253" s="7">
        <f t="shared" si="1164"/>
        <v>1019.3533329999991</v>
      </c>
      <c r="AS253" s="7">
        <f t="shared" si="1165"/>
        <v>-9.0949470177292824E-13</v>
      </c>
      <c r="AT253" s="7">
        <f t="shared" ref="AT253:AT287" si="1384">L253*12</f>
        <v>12232.239996</v>
      </c>
      <c r="AU253" s="7">
        <f t="shared" si="1377"/>
        <v>16310.626674999985</v>
      </c>
      <c r="AV253" s="7">
        <f t="shared" si="1378"/>
        <v>15291.273341999986</v>
      </c>
      <c r="AW253" s="7">
        <f t="shared" si="1378"/>
        <v>14271.920008999987</v>
      </c>
      <c r="AX253" s="7">
        <f t="shared" si="1378"/>
        <v>13252.566675999988</v>
      </c>
      <c r="AY253" s="7">
        <f t="shared" si="1378"/>
        <v>12233.213342999989</v>
      </c>
      <c r="AZ253" s="7">
        <f t="shared" si="1378"/>
        <v>11213.860009999989</v>
      </c>
      <c r="BA253" s="7">
        <f t="shared" si="1378"/>
        <v>10194.50667699999</v>
      </c>
      <c r="BB253" s="7">
        <f t="shared" si="1378"/>
        <v>9175.1533439999912</v>
      </c>
      <c r="BC253" s="7">
        <f t="shared" si="1378"/>
        <v>8155.8000109999912</v>
      </c>
      <c r="BD253" s="7">
        <f t="shared" si="1378"/>
        <v>7136.4466779999912</v>
      </c>
      <c r="BE253" s="7">
        <f t="shared" si="1378"/>
        <v>6117.0933449999911</v>
      </c>
      <c r="BF253" s="7">
        <f t="shared" si="1378"/>
        <v>5097.7400119999911</v>
      </c>
      <c r="BG253" s="236">
        <f t="shared" si="1158"/>
        <v>246.70492021999971</v>
      </c>
      <c r="BH253" s="7">
        <v>1019.353333</v>
      </c>
      <c r="BI253" s="7">
        <v>5097.74</v>
      </c>
      <c r="BJ253" s="7">
        <f t="shared" ref="BJ253:BJ287" si="1385">BF253-BH253</f>
        <v>4078.3866789999911</v>
      </c>
      <c r="BK253" s="7">
        <f t="shared" ref="BK253:BK287" si="1386">BJ253-$L253</f>
        <v>3059.0333459999911</v>
      </c>
      <c r="BL253" s="7">
        <f t="shared" ref="BL253:BL287" si="1387">BK253-$L253</f>
        <v>2039.680012999991</v>
      </c>
      <c r="BM253" s="7">
        <f t="shared" ref="BM253:BM287" si="1388">BL253-$L253</f>
        <v>1020.326679999991</v>
      </c>
      <c r="BN253" s="7">
        <f t="shared" ref="BN253:BN287" si="1389">BM253-$L253</f>
        <v>0.97334699999100849</v>
      </c>
      <c r="BO253" s="7"/>
      <c r="BP253" s="7"/>
      <c r="BQ253" s="7"/>
      <c r="BR253" s="7"/>
      <c r="BS253" s="7"/>
      <c r="BT253" s="7"/>
      <c r="BU253" s="7"/>
      <c r="BV253" s="236">
        <f t="shared" si="1368"/>
        <v>25.885775514922987</v>
      </c>
      <c r="BW253" s="7">
        <v>1019.353333</v>
      </c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236">
        <f t="shared" si="1369"/>
        <v>0</v>
      </c>
      <c r="CL253" s="7">
        <v>1019.353333</v>
      </c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236">
        <f t="shared" si="1370"/>
        <v>0</v>
      </c>
    </row>
    <row r="254" spans="1:104" x14ac:dyDescent="0.2">
      <c r="A254" s="6" t="str">
        <f>'[1]2021 УГРЦТ'!A257</f>
        <v>КЛ Каб линия  6кв от ТП10масло-д до ТП-32  1998г.</v>
      </c>
      <c r="B254" t="str">
        <f>'[1]2021 УГРЦТ'!B257</f>
        <v>00000260</v>
      </c>
      <c r="C254" t="str">
        <f>'[1]2021 УГРЦТ'!C257</f>
        <v>ПЕРЕДАЧА</v>
      </c>
      <c r="D254" t="str">
        <f>'[1]2021 УГРЦТ'!D257</f>
        <v>Сооружения</v>
      </c>
      <c r="E254" t="str">
        <f>'[1]2021 УГРЦТ'!E257</f>
        <v>01.09.1998</v>
      </c>
      <c r="F254" t="str">
        <f>'[1]2021 УГРЦТ'!F257</f>
        <v>Цех электрических сетей</v>
      </c>
      <c r="G254">
        <f>'[1]2021 УГРЦТ'!AC257</f>
        <v>300</v>
      </c>
      <c r="H254" s="7">
        <f>'[1]2021 УГРЦТ'!X257</f>
        <v>35457.019999999997</v>
      </c>
      <c r="I254" s="7">
        <f>'[1]2021 УГРЦТ'!Y257</f>
        <v>28365.6008</v>
      </c>
      <c r="J254" s="7">
        <f>'[1]2021 УГРЦТ'!Z257</f>
        <v>7091.4191999999966</v>
      </c>
      <c r="K254" s="8">
        <v>1</v>
      </c>
      <c r="L254" s="7">
        <v>118.19000000000004</v>
      </c>
      <c r="M254" s="7"/>
      <c r="N254" s="7">
        <f t="shared" si="1341"/>
        <v>1418.2800000000004</v>
      </c>
      <c r="O254" s="7">
        <f t="shared" si="1161"/>
        <v>6973.229199999997</v>
      </c>
      <c r="P254" s="7">
        <f t="shared" si="1375"/>
        <v>6855.0391999999974</v>
      </c>
      <c r="Q254" s="7">
        <f t="shared" si="1375"/>
        <v>6736.8491999999978</v>
      </c>
      <c r="R254" s="7">
        <f t="shared" si="1375"/>
        <v>6618.6591999999982</v>
      </c>
      <c r="S254" s="7">
        <f t="shared" si="1375"/>
        <v>6500.4691999999986</v>
      </c>
      <c r="T254" s="7">
        <f t="shared" si="1375"/>
        <v>6382.279199999999</v>
      </c>
      <c r="U254" s="7">
        <f t="shared" si="1375"/>
        <v>6264.0891999999994</v>
      </c>
      <c r="V254" s="7">
        <f t="shared" si="1375"/>
        <v>6145.8991999999998</v>
      </c>
      <c r="W254" s="7">
        <f t="shared" si="1375"/>
        <v>6027.7092000000002</v>
      </c>
      <c r="X254" s="7">
        <f t="shared" si="1375"/>
        <v>5909.5192000000006</v>
      </c>
      <c r="Y254" s="7">
        <f t="shared" si="1375"/>
        <v>5791.329200000001</v>
      </c>
      <c r="Z254" s="7">
        <f t="shared" si="1375"/>
        <v>5673.1392000000014</v>
      </c>
      <c r="AA254" s="7">
        <f t="shared" si="1382"/>
        <v>140.41014239999998</v>
      </c>
      <c r="AB254" s="7"/>
      <c r="AC254" s="7">
        <f t="shared" si="1162"/>
        <v>1418.2800000000004</v>
      </c>
      <c r="AD254" s="7">
        <f t="shared" si="1163"/>
        <v>5554.9492000000018</v>
      </c>
      <c r="AE254" s="7">
        <f t="shared" si="1376"/>
        <v>5436.7592000000022</v>
      </c>
      <c r="AF254" s="7">
        <f t="shared" si="1376"/>
        <v>5318.5692000000026</v>
      </c>
      <c r="AG254" s="7">
        <f t="shared" si="1376"/>
        <v>5200.379200000003</v>
      </c>
      <c r="AH254" s="7">
        <f t="shared" si="1376"/>
        <v>5082.1892000000034</v>
      </c>
      <c r="AI254" s="7">
        <f t="shared" si="1376"/>
        <v>4963.9992000000038</v>
      </c>
      <c r="AJ254" s="7">
        <f t="shared" si="1376"/>
        <v>4845.8092000000042</v>
      </c>
      <c r="AK254" s="7">
        <f t="shared" si="1376"/>
        <v>4727.6192000000046</v>
      </c>
      <c r="AL254" s="7">
        <f t="shared" si="1376"/>
        <v>4609.429200000005</v>
      </c>
      <c r="AM254" s="7">
        <f t="shared" si="1376"/>
        <v>4491.2392000000054</v>
      </c>
      <c r="AN254" s="7">
        <f t="shared" si="1376"/>
        <v>4373.0492000000058</v>
      </c>
      <c r="AO254" s="7">
        <f t="shared" si="1376"/>
        <v>4254.8592000000062</v>
      </c>
      <c r="AP254" s="222">
        <f t="shared" si="1383"/>
        <v>109.20798240000009</v>
      </c>
      <c r="AQ254" s="7">
        <v>118.19000000000004</v>
      </c>
      <c r="AR254" s="7">
        <f t="shared" si="1164"/>
        <v>118.1899999999996</v>
      </c>
      <c r="AS254" s="7">
        <f t="shared" si="1165"/>
        <v>-4.4053649617126212E-13</v>
      </c>
      <c r="AT254" s="7">
        <f t="shared" si="1384"/>
        <v>1418.2800000000004</v>
      </c>
      <c r="AU254" s="7">
        <f t="shared" si="1377"/>
        <v>4136.6692000000066</v>
      </c>
      <c r="AV254" s="7">
        <f t="shared" si="1378"/>
        <v>4018.4792000000066</v>
      </c>
      <c r="AW254" s="7">
        <f t="shared" si="1378"/>
        <v>3900.2892000000065</v>
      </c>
      <c r="AX254" s="7">
        <f t="shared" si="1378"/>
        <v>3782.0992000000065</v>
      </c>
      <c r="AY254" s="7">
        <f t="shared" si="1378"/>
        <v>3663.9092000000064</v>
      </c>
      <c r="AZ254" s="7">
        <f t="shared" si="1378"/>
        <v>3545.7192000000064</v>
      </c>
      <c r="BA254" s="7">
        <f t="shared" si="1378"/>
        <v>3427.5292000000063</v>
      </c>
      <c r="BB254" s="7">
        <f t="shared" si="1378"/>
        <v>3309.3392000000063</v>
      </c>
      <c r="BC254" s="7">
        <f t="shared" si="1378"/>
        <v>3191.1492000000062</v>
      </c>
      <c r="BD254" s="7">
        <f t="shared" si="1378"/>
        <v>3072.9592000000061</v>
      </c>
      <c r="BE254" s="7">
        <f t="shared" si="1378"/>
        <v>2954.7692000000061</v>
      </c>
      <c r="BF254" s="7">
        <f t="shared" si="1378"/>
        <v>2836.579200000006</v>
      </c>
      <c r="BG254" s="236">
        <f t="shared" si="1158"/>
        <v>78.005822400000127</v>
      </c>
      <c r="BH254" s="7">
        <v>118.19000000000004</v>
      </c>
      <c r="BI254" s="39">
        <f>BH254*12</f>
        <v>1418.2800000000004</v>
      </c>
      <c r="BJ254" s="7">
        <f t="shared" si="1385"/>
        <v>2718.389200000006</v>
      </c>
      <c r="BK254" s="7">
        <f t="shared" si="1386"/>
        <v>2600.1992000000059</v>
      </c>
      <c r="BL254" s="7">
        <f t="shared" si="1387"/>
        <v>2482.0092000000059</v>
      </c>
      <c r="BM254" s="7">
        <f t="shared" si="1388"/>
        <v>2363.8192000000058</v>
      </c>
      <c r="BN254" s="7">
        <f t="shared" si="1389"/>
        <v>2245.6292000000058</v>
      </c>
      <c r="BO254" s="7">
        <f t="shared" ref="BO254:BO287" si="1390">BN254-$L254</f>
        <v>2127.4392000000057</v>
      </c>
      <c r="BP254" s="7">
        <f t="shared" ref="BP254:BP287" si="1391">BO254-$L254</f>
        <v>2009.2492000000057</v>
      </c>
      <c r="BQ254" s="7">
        <f t="shared" ref="BQ254:BQ287" si="1392">BP254-$L254</f>
        <v>1891.0592000000056</v>
      </c>
      <c r="BR254" s="7">
        <f t="shared" ref="BR254:BR287" si="1393">BQ254-$L254</f>
        <v>1772.8692000000055</v>
      </c>
      <c r="BS254" s="7">
        <f t="shared" ref="BS254:BS287" si="1394">BR254-$L254</f>
        <v>1654.6792000000055</v>
      </c>
      <c r="BT254" s="7">
        <f t="shared" ref="BT254:BT287" si="1395">BS254-$L254</f>
        <v>1536.4892000000054</v>
      </c>
      <c r="BU254" s="7">
        <f t="shared" ref="BU254:BU287" si="1396">BT254-$L254</f>
        <v>1418.2992000000054</v>
      </c>
      <c r="BV254" s="236">
        <f t="shared" si="1368"/>
        <v>46.803662400000114</v>
      </c>
      <c r="BW254" s="7">
        <v>118.19000000000004</v>
      </c>
      <c r="BX254" s="39">
        <f>BW254*12</f>
        <v>1418.2800000000004</v>
      </c>
      <c r="BY254" s="7">
        <f>BU254-BW254</f>
        <v>1300.1092000000053</v>
      </c>
      <c r="BZ254" s="7">
        <f t="shared" ref="BZ254:BZ287" si="1397">BY254-$L254</f>
        <v>1181.9192000000053</v>
      </c>
      <c r="CA254" s="7">
        <f t="shared" ref="CA254:CA287" si="1398">BZ254-$L254</f>
        <v>1063.7292000000052</v>
      </c>
      <c r="CB254" s="7">
        <f t="shared" ref="CB254:CB287" si="1399">CA254-$L254</f>
        <v>945.53920000000517</v>
      </c>
      <c r="CC254" s="7">
        <f t="shared" ref="CC254" si="1400">CB254-$L254</f>
        <v>827.34920000000511</v>
      </c>
      <c r="CD254" s="7">
        <f t="shared" ref="CD254" si="1401">CC254-$L254</f>
        <v>709.15920000000506</v>
      </c>
      <c r="CE254" s="7">
        <f t="shared" ref="CE254" si="1402">CD254-$L254</f>
        <v>590.969200000005</v>
      </c>
      <c r="CF254" s="7">
        <f t="shared" ref="CF254" si="1403">CE254-$L254</f>
        <v>472.77920000000495</v>
      </c>
      <c r="CG254" s="7">
        <f t="shared" ref="CG254" si="1404">CF254-$L254</f>
        <v>354.58920000000489</v>
      </c>
      <c r="CH254" s="7">
        <f t="shared" ref="CH254" si="1405">CG254-$L254</f>
        <v>236.39920000000484</v>
      </c>
      <c r="CI254" s="7">
        <f t="shared" ref="CI254" si="1406">CH254-$L254</f>
        <v>118.2092000000048</v>
      </c>
      <c r="CJ254" s="7">
        <f t="shared" ref="CJ254" si="1407">CI254-$L254</f>
        <v>1.9200000004758522E-2</v>
      </c>
      <c r="CK254" s="236">
        <f t="shared" si="1369"/>
        <v>15.601502400000111</v>
      </c>
      <c r="CL254" s="7">
        <v>118.19000000000004</v>
      </c>
      <c r="CM254" s="39">
        <v>0.02</v>
      </c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236">
        <f t="shared" si="1370"/>
        <v>3.2492307700360573E-5</v>
      </c>
    </row>
    <row r="255" spans="1:104" x14ac:dyDescent="0.2">
      <c r="A255" s="6" t="str">
        <f>'[1]2021 УГРЦТ'!A258</f>
        <v>КЛ Кабельн линия 6кв от ТП36 до ТП51 ГОСНИ  1997г.</v>
      </c>
      <c r="B255" t="str">
        <f>'[1]2021 УГРЦТ'!B258</f>
        <v>00000187</v>
      </c>
      <c r="C255" t="str">
        <f>'[1]2021 УГРЦТ'!C258</f>
        <v>ПЕРЕДАЧА</v>
      </c>
      <c r="D255" t="str">
        <f>'[1]2021 УГРЦТ'!D258</f>
        <v>Сооружения</v>
      </c>
      <c r="E255" t="str">
        <f>'[1]2021 УГРЦТ'!E258</f>
        <v>01.12.1997</v>
      </c>
      <c r="F255" t="str">
        <f>'[1]2021 УГРЦТ'!F258</f>
        <v>Цех электрических сетей</v>
      </c>
      <c r="G255">
        <f>'[1]2021 УГРЦТ'!AC258</f>
        <v>300</v>
      </c>
      <c r="H255" s="7">
        <f>'[1]2021 УГРЦТ'!X258</f>
        <v>40341</v>
      </c>
      <c r="I255" s="7">
        <f>'[1]2021 УГРЦТ'!Y258</f>
        <v>34020.44</v>
      </c>
      <c r="J255" s="7">
        <f>'[1]2021 УГРЦТ'!Z258</f>
        <v>6320.5599999999977</v>
      </c>
      <c r="K255" s="8">
        <v>1</v>
      </c>
      <c r="L255" s="7">
        <v>134.47</v>
      </c>
      <c r="M255" s="7"/>
      <c r="N255" s="7">
        <f t="shared" si="1341"/>
        <v>1613.6399999999999</v>
      </c>
      <c r="O255" s="7">
        <f t="shared" si="1161"/>
        <v>6186.0899999999974</v>
      </c>
      <c r="P255" s="7">
        <f t="shared" si="1375"/>
        <v>6051.6199999999972</v>
      </c>
      <c r="Q255" s="7">
        <f t="shared" si="1375"/>
        <v>5917.1499999999969</v>
      </c>
      <c r="R255" s="7">
        <f t="shared" si="1375"/>
        <v>5782.6799999999967</v>
      </c>
      <c r="S255" s="7">
        <f t="shared" si="1375"/>
        <v>5648.2099999999964</v>
      </c>
      <c r="T255" s="7">
        <f t="shared" si="1375"/>
        <v>5513.7399999999961</v>
      </c>
      <c r="U255" s="7">
        <f t="shared" si="1375"/>
        <v>5379.2699999999959</v>
      </c>
      <c r="V255" s="7">
        <f t="shared" si="1375"/>
        <v>5244.7999999999956</v>
      </c>
      <c r="W255" s="7">
        <f t="shared" si="1375"/>
        <v>5110.3299999999954</v>
      </c>
      <c r="X255" s="7">
        <f t="shared" si="1375"/>
        <v>4975.8599999999951</v>
      </c>
      <c r="Y255" s="7">
        <f t="shared" si="1375"/>
        <v>4841.3899999999949</v>
      </c>
      <c r="Z255" s="7">
        <f t="shared" si="1375"/>
        <v>4706.9199999999946</v>
      </c>
      <c r="AA255" s="7">
        <f t="shared" si="1382"/>
        <v>121.30227999999991</v>
      </c>
      <c r="AB255" s="7"/>
      <c r="AC255" s="7">
        <f t="shared" si="1162"/>
        <v>1613.6399999999999</v>
      </c>
      <c r="AD255" s="7">
        <f t="shared" si="1163"/>
        <v>4572.4499999999944</v>
      </c>
      <c r="AE255" s="7">
        <f t="shared" si="1376"/>
        <v>4437.9799999999941</v>
      </c>
      <c r="AF255" s="7">
        <f t="shared" si="1376"/>
        <v>4303.5099999999939</v>
      </c>
      <c r="AG255" s="7">
        <f t="shared" si="1376"/>
        <v>4169.0399999999936</v>
      </c>
      <c r="AH255" s="7">
        <f t="shared" si="1376"/>
        <v>4034.5699999999938</v>
      </c>
      <c r="AI255" s="7">
        <f t="shared" si="1376"/>
        <v>3900.099999999994</v>
      </c>
      <c r="AJ255" s="7">
        <f t="shared" si="1376"/>
        <v>3765.6299999999942</v>
      </c>
      <c r="AK255" s="7">
        <f t="shared" si="1376"/>
        <v>3631.1599999999944</v>
      </c>
      <c r="AL255" s="7">
        <f t="shared" si="1376"/>
        <v>3496.6899999999946</v>
      </c>
      <c r="AM255" s="7">
        <f t="shared" si="1376"/>
        <v>3362.2199999999948</v>
      </c>
      <c r="AN255" s="7">
        <f t="shared" si="1376"/>
        <v>3227.749999999995</v>
      </c>
      <c r="AO255" s="7">
        <f t="shared" si="1376"/>
        <v>3093.2799999999952</v>
      </c>
      <c r="AP255" s="222">
        <f t="shared" si="1383"/>
        <v>85.802199999999871</v>
      </c>
      <c r="AQ255" s="7">
        <v>134.47</v>
      </c>
      <c r="AR255" s="7">
        <f t="shared" si="1164"/>
        <v>134.4699999999998</v>
      </c>
      <c r="AS255" s="7">
        <f t="shared" si="1165"/>
        <v>0</v>
      </c>
      <c r="AT255" s="7">
        <f t="shared" si="1384"/>
        <v>1613.6399999999999</v>
      </c>
      <c r="AU255" s="7">
        <f t="shared" si="1377"/>
        <v>2958.8099999999954</v>
      </c>
      <c r="AV255" s="7">
        <f t="shared" si="1378"/>
        <v>2824.3399999999956</v>
      </c>
      <c r="AW255" s="7">
        <f t="shared" si="1378"/>
        <v>2689.8699999999958</v>
      </c>
      <c r="AX255" s="7">
        <f t="shared" si="1378"/>
        <v>2555.399999999996</v>
      </c>
      <c r="AY255" s="7">
        <f t="shared" si="1378"/>
        <v>2420.9299999999962</v>
      </c>
      <c r="AZ255" s="7">
        <f t="shared" si="1378"/>
        <v>2286.4599999999964</v>
      </c>
      <c r="BA255" s="7">
        <f t="shared" si="1378"/>
        <v>2151.9899999999966</v>
      </c>
      <c r="BB255" s="7">
        <f t="shared" si="1378"/>
        <v>2017.5199999999966</v>
      </c>
      <c r="BC255" s="7">
        <f t="shared" si="1378"/>
        <v>1883.0499999999965</v>
      </c>
      <c r="BD255" s="7">
        <f t="shared" si="1378"/>
        <v>1748.5799999999965</v>
      </c>
      <c r="BE255" s="7">
        <f t="shared" si="1378"/>
        <v>1614.1099999999965</v>
      </c>
      <c r="BF255" s="7">
        <f t="shared" si="1378"/>
        <v>1479.6399999999965</v>
      </c>
      <c r="BG255" s="236">
        <f t="shared" si="1158"/>
        <v>50.302119999999917</v>
      </c>
      <c r="BH255" s="7">
        <v>134.47</v>
      </c>
      <c r="BI255" s="39">
        <v>1479</v>
      </c>
      <c r="BJ255" s="7">
        <f t="shared" si="1385"/>
        <v>1345.1699999999964</v>
      </c>
      <c r="BK255" s="7">
        <f t="shared" si="1386"/>
        <v>1210.6999999999964</v>
      </c>
      <c r="BL255" s="7">
        <f t="shared" si="1387"/>
        <v>1076.2299999999964</v>
      </c>
      <c r="BM255" s="7">
        <f t="shared" si="1388"/>
        <v>941.75999999999635</v>
      </c>
      <c r="BN255" s="7">
        <f t="shared" si="1389"/>
        <v>807.28999999999633</v>
      </c>
      <c r="BO255" s="7">
        <f t="shared" si="1390"/>
        <v>672.8199999999963</v>
      </c>
      <c r="BP255" s="7">
        <f t="shared" si="1391"/>
        <v>538.34999999999627</v>
      </c>
      <c r="BQ255" s="7">
        <f t="shared" si="1392"/>
        <v>403.87999999999624</v>
      </c>
      <c r="BR255" s="7">
        <f t="shared" si="1393"/>
        <v>269.40999999999622</v>
      </c>
      <c r="BS255" s="7">
        <f t="shared" si="1394"/>
        <v>134.93999999999622</v>
      </c>
      <c r="BT255" s="7">
        <f t="shared" si="1395"/>
        <v>0.46999999999621878</v>
      </c>
      <c r="BU255" s="7"/>
      <c r="BV255" s="236">
        <f t="shared" si="1368"/>
        <v>15.028809230769156</v>
      </c>
      <c r="BW255" s="7">
        <v>134.47</v>
      </c>
      <c r="BX255" s="39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236">
        <f t="shared" si="1369"/>
        <v>0</v>
      </c>
      <c r="CL255" s="7">
        <v>134.47</v>
      </c>
      <c r="CM255" s="39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236">
        <f t="shared" si="1370"/>
        <v>0</v>
      </c>
    </row>
    <row r="256" spans="1:104" x14ac:dyDescent="0.2">
      <c r="A256" s="6" t="str">
        <f>'[1]2021 УГРЦТ'!A259</f>
        <v>КЛ Кабельна линия 6кв  от ТП22 до ТП-67школа5</v>
      </c>
      <c r="B256" t="str">
        <f>'[1]2021 УГРЦТ'!B259</f>
        <v>00000263</v>
      </c>
      <c r="C256" t="str">
        <f>'[1]2021 УГРЦТ'!C259</f>
        <v>ПЕРЕДАЧА</v>
      </c>
      <c r="D256" t="str">
        <f>'[1]2021 УГРЦТ'!D259</f>
        <v>Сооружения</v>
      </c>
      <c r="E256" t="str">
        <f>'[1]2021 УГРЦТ'!E259</f>
        <v>01.05.2000</v>
      </c>
      <c r="F256" t="str">
        <f>'[1]2021 УГРЦТ'!F259</f>
        <v>Цех электрических сетей</v>
      </c>
      <c r="G256">
        <f>'[1]2021 УГРЦТ'!AC259</f>
        <v>300</v>
      </c>
      <c r="H256" s="7">
        <f>'[1]2021 УГРЦТ'!X259</f>
        <v>52749</v>
      </c>
      <c r="I256" s="7">
        <f>'[1]2021 УГРЦТ'!Y259</f>
        <v>45540.479999999996</v>
      </c>
      <c r="J256" s="7">
        <f>'[1]2021 УГРЦТ'!Z259</f>
        <v>7208.5200000000041</v>
      </c>
      <c r="K256" s="8">
        <v>1</v>
      </c>
      <c r="L256" s="7">
        <v>175.82999999999996</v>
      </c>
      <c r="M256" s="7"/>
      <c r="N256" s="7">
        <f t="shared" si="1341"/>
        <v>2109.9599999999996</v>
      </c>
      <c r="O256" s="7">
        <f t="shared" si="1161"/>
        <v>7032.6900000000041</v>
      </c>
      <c r="P256" s="7">
        <f t="shared" si="1375"/>
        <v>6856.8600000000042</v>
      </c>
      <c r="Q256" s="7">
        <f t="shared" si="1375"/>
        <v>6681.0300000000043</v>
      </c>
      <c r="R256" s="7">
        <f t="shared" si="1375"/>
        <v>6505.2000000000044</v>
      </c>
      <c r="S256" s="7">
        <f t="shared" si="1375"/>
        <v>6329.3700000000044</v>
      </c>
      <c r="T256" s="7">
        <f t="shared" si="1375"/>
        <v>6153.5400000000045</v>
      </c>
      <c r="U256" s="7">
        <f t="shared" si="1375"/>
        <v>5977.7100000000046</v>
      </c>
      <c r="V256" s="7">
        <f t="shared" si="1375"/>
        <v>5801.8800000000047</v>
      </c>
      <c r="W256" s="7">
        <f t="shared" si="1375"/>
        <v>5626.0500000000047</v>
      </c>
      <c r="X256" s="7">
        <f t="shared" si="1375"/>
        <v>5450.2200000000048</v>
      </c>
      <c r="Y256" s="7">
        <f t="shared" si="1375"/>
        <v>5274.3900000000049</v>
      </c>
      <c r="Z256" s="7">
        <f t="shared" si="1375"/>
        <v>5098.5600000000049</v>
      </c>
      <c r="AA256" s="7">
        <f t="shared" si="1382"/>
        <v>135.37788000000009</v>
      </c>
      <c r="AB256" s="7"/>
      <c r="AC256" s="7">
        <f t="shared" si="1162"/>
        <v>2109.9599999999996</v>
      </c>
      <c r="AD256" s="7">
        <f t="shared" si="1163"/>
        <v>4922.730000000005</v>
      </c>
      <c r="AE256" s="7">
        <f t="shared" si="1376"/>
        <v>4746.9000000000051</v>
      </c>
      <c r="AF256" s="7">
        <f t="shared" si="1376"/>
        <v>4571.0700000000052</v>
      </c>
      <c r="AG256" s="7">
        <f t="shared" si="1376"/>
        <v>4395.2400000000052</v>
      </c>
      <c r="AH256" s="7">
        <f t="shared" si="1376"/>
        <v>4219.4100000000053</v>
      </c>
      <c r="AI256" s="7">
        <f t="shared" si="1376"/>
        <v>4043.5800000000054</v>
      </c>
      <c r="AJ256" s="7">
        <f t="shared" si="1376"/>
        <v>3867.7500000000055</v>
      </c>
      <c r="AK256" s="7">
        <f t="shared" si="1376"/>
        <v>3691.9200000000055</v>
      </c>
      <c r="AL256" s="7">
        <f t="shared" si="1376"/>
        <v>3516.0900000000056</v>
      </c>
      <c r="AM256" s="7">
        <f t="shared" si="1376"/>
        <v>3340.2600000000057</v>
      </c>
      <c r="AN256" s="7">
        <f t="shared" si="1376"/>
        <v>3164.4300000000057</v>
      </c>
      <c r="AO256" s="7">
        <f t="shared" si="1376"/>
        <v>2988.6000000000058</v>
      </c>
      <c r="AP256" s="222">
        <f t="shared" si="1383"/>
        <v>88.958760000000126</v>
      </c>
      <c r="AQ256" s="7">
        <v>175.82999999999996</v>
      </c>
      <c r="AR256" s="7">
        <f t="shared" si="1164"/>
        <v>175.82999999999993</v>
      </c>
      <c r="AS256" s="7">
        <f t="shared" si="1165"/>
        <v>0</v>
      </c>
      <c r="AT256" s="7">
        <f t="shared" si="1384"/>
        <v>2109.9599999999996</v>
      </c>
      <c r="AU256" s="7">
        <f t="shared" si="1377"/>
        <v>2812.7700000000059</v>
      </c>
      <c r="AV256" s="7">
        <f t="shared" si="1378"/>
        <v>2636.940000000006</v>
      </c>
      <c r="AW256" s="7">
        <f t="shared" si="1378"/>
        <v>2461.110000000006</v>
      </c>
      <c r="AX256" s="7">
        <f t="shared" si="1378"/>
        <v>2285.2800000000061</v>
      </c>
      <c r="AY256" s="7">
        <f t="shared" si="1378"/>
        <v>2109.4500000000062</v>
      </c>
      <c r="AZ256" s="7">
        <f t="shared" si="1378"/>
        <v>1933.6200000000063</v>
      </c>
      <c r="BA256" s="7">
        <f t="shared" si="1378"/>
        <v>1757.7900000000063</v>
      </c>
      <c r="BB256" s="7">
        <f t="shared" si="1378"/>
        <v>1581.9600000000064</v>
      </c>
      <c r="BC256" s="7">
        <f t="shared" si="1378"/>
        <v>1406.1300000000065</v>
      </c>
      <c r="BD256" s="7">
        <f t="shared" si="1378"/>
        <v>1230.3000000000065</v>
      </c>
      <c r="BE256" s="7">
        <f t="shared" si="1378"/>
        <v>1054.4700000000066</v>
      </c>
      <c r="BF256" s="7">
        <f t="shared" si="1378"/>
        <v>878.64000000000669</v>
      </c>
      <c r="BG256" s="236">
        <f t="shared" si="1158"/>
        <v>42.539640000000134</v>
      </c>
      <c r="BH256" s="7">
        <v>175.82999999999996</v>
      </c>
      <c r="BI256" s="39">
        <v>878.64</v>
      </c>
      <c r="BJ256" s="7">
        <f t="shared" si="1385"/>
        <v>702.81000000000677</v>
      </c>
      <c r="BK256" s="7">
        <f t="shared" si="1386"/>
        <v>526.98000000000684</v>
      </c>
      <c r="BL256" s="7">
        <f t="shared" si="1387"/>
        <v>351.15000000000691</v>
      </c>
      <c r="BM256" s="7">
        <f t="shared" si="1388"/>
        <v>175.32000000000696</v>
      </c>
      <c r="BN256" s="7"/>
      <c r="BO256" s="7"/>
      <c r="BP256" s="7"/>
      <c r="BQ256" s="7"/>
      <c r="BR256" s="7"/>
      <c r="BS256" s="7"/>
      <c r="BT256" s="7"/>
      <c r="BU256" s="7"/>
      <c r="BV256" s="236">
        <f t="shared" si="1368"/>
        <v>4.4590615384615964</v>
      </c>
      <c r="BW256" s="7">
        <v>175.82999999999996</v>
      </c>
      <c r="BX256" s="39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236">
        <f t="shared" si="1369"/>
        <v>0</v>
      </c>
      <c r="CL256" s="7">
        <v>175.82999999999996</v>
      </c>
      <c r="CM256" s="39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236">
        <f t="shared" si="1370"/>
        <v>0</v>
      </c>
    </row>
    <row r="257" spans="1:104" x14ac:dyDescent="0.2">
      <c r="A257" s="6" t="str">
        <f>'[1]2021 УГРЦТ'!A260</f>
        <v>КЛ Кабельна линия 6кв от ТП4 до ТП 51 Госни 1997г.</v>
      </c>
      <c r="B257" t="str">
        <f>'[1]2021 УГРЦТ'!B260</f>
        <v>00000188</v>
      </c>
      <c r="C257" t="str">
        <f>'[1]2021 УГРЦТ'!C260</f>
        <v>ПЕРЕДАЧА</v>
      </c>
      <c r="D257" t="str">
        <f>'[1]2021 УГРЦТ'!D260</f>
        <v>Сооружения</v>
      </c>
      <c r="E257" t="str">
        <f>'[1]2021 УГРЦТ'!E260</f>
        <v>01.12.1997</v>
      </c>
      <c r="F257" t="str">
        <f>'[1]2021 УГРЦТ'!F260</f>
        <v>Цех электрических сетей</v>
      </c>
      <c r="G257">
        <f>'[1]2021 УГРЦТ'!AC260</f>
        <v>300</v>
      </c>
      <c r="H257" s="7">
        <f>'[1]2021 УГРЦТ'!X260</f>
        <v>64033</v>
      </c>
      <c r="I257" s="7">
        <f>'[1]2021 УГРЦТ'!Y260</f>
        <v>53999.94</v>
      </c>
      <c r="J257" s="7">
        <f>'[1]2021 УГРЦТ'!Z260</f>
        <v>10033.059999999998</v>
      </c>
      <c r="K257" s="8">
        <v>1</v>
      </c>
      <c r="L257" s="7">
        <v>213.44000000000003</v>
      </c>
      <c r="M257" s="7"/>
      <c r="N257" s="7">
        <f t="shared" si="1341"/>
        <v>2561.2800000000002</v>
      </c>
      <c r="O257" s="7">
        <f t="shared" si="1161"/>
        <v>9819.6199999999972</v>
      </c>
      <c r="P257" s="7">
        <f t="shared" si="1375"/>
        <v>9606.1799999999967</v>
      </c>
      <c r="Q257" s="7">
        <f t="shared" si="1375"/>
        <v>9392.7399999999961</v>
      </c>
      <c r="R257" s="7">
        <f t="shared" si="1375"/>
        <v>9179.2999999999956</v>
      </c>
      <c r="S257" s="7">
        <f t="shared" si="1375"/>
        <v>8965.8599999999951</v>
      </c>
      <c r="T257" s="7">
        <f t="shared" si="1375"/>
        <v>8752.4199999999946</v>
      </c>
      <c r="U257" s="7">
        <f t="shared" si="1375"/>
        <v>8538.9799999999941</v>
      </c>
      <c r="V257" s="7">
        <f t="shared" si="1375"/>
        <v>8325.5399999999936</v>
      </c>
      <c r="W257" s="7">
        <f t="shared" si="1375"/>
        <v>8112.099999999994</v>
      </c>
      <c r="X257" s="7">
        <f t="shared" si="1375"/>
        <v>7898.6599999999944</v>
      </c>
      <c r="Y257" s="7">
        <f t="shared" si="1375"/>
        <v>7685.2199999999948</v>
      </c>
      <c r="Z257" s="7">
        <f t="shared" si="1375"/>
        <v>7471.7799999999952</v>
      </c>
      <c r="AA257" s="7">
        <f t="shared" si="1382"/>
        <v>192.5532399999999</v>
      </c>
      <c r="AB257" s="7"/>
      <c r="AC257" s="7">
        <f t="shared" si="1162"/>
        <v>2561.2800000000002</v>
      </c>
      <c r="AD257" s="7">
        <f t="shared" si="1163"/>
        <v>7258.3399999999956</v>
      </c>
      <c r="AE257" s="7">
        <f t="shared" si="1376"/>
        <v>7044.899999999996</v>
      </c>
      <c r="AF257" s="7">
        <f t="shared" si="1376"/>
        <v>6831.4599999999964</v>
      </c>
      <c r="AG257" s="7">
        <f t="shared" si="1376"/>
        <v>6618.0199999999968</v>
      </c>
      <c r="AH257" s="7">
        <f t="shared" si="1376"/>
        <v>6404.5799999999972</v>
      </c>
      <c r="AI257" s="7">
        <f t="shared" si="1376"/>
        <v>6191.1399999999976</v>
      </c>
      <c r="AJ257" s="7">
        <f t="shared" si="1376"/>
        <v>5977.699999999998</v>
      </c>
      <c r="AK257" s="7">
        <f t="shared" si="1376"/>
        <v>5764.2599999999984</v>
      </c>
      <c r="AL257" s="7">
        <f t="shared" si="1376"/>
        <v>5550.8199999999988</v>
      </c>
      <c r="AM257" s="7">
        <f t="shared" si="1376"/>
        <v>5337.3799999999992</v>
      </c>
      <c r="AN257" s="7">
        <f t="shared" si="1376"/>
        <v>5123.9399999999996</v>
      </c>
      <c r="AO257" s="7">
        <f t="shared" si="1376"/>
        <v>4910.5</v>
      </c>
      <c r="AP257" s="222">
        <f t="shared" si="1383"/>
        <v>136.20507999999995</v>
      </c>
      <c r="AQ257" s="7">
        <v>213.44000000000003</v>
      </c>
      <c r="AR257" s="7">
        <f t="shared" si="1164"/>
        <v>213.4399999999996</v>
      </c>
      <c r="AS257" s="7">
        <f t="shared" si="1165"/>
        <v>-4.2632564145606011E-13</v>
      </c>
      <c r="AT257" s="7">
        <f t="shared" si="1384"/>
        <v>2561.2800000000002</v>
      </c>
      <c r="AU257" s="7">
        <f t="shared" si="1377"/>
        <v>4697.0600000000004</v>
      </c>
      <c r="AV257" s="7">
        <f t="shared" si="1378"/>
        <v>4483.6200000000008</v>
      </c>
      <c r="AW257" s="7">
        <f t="shared" si="1378"/>
        <v>4270.1800000000012</v>
      </c>
      <c r="AX257" s="7">
        <f t="shared" si="1378"/>
        <v>4056.7400000000011</v>
      </c>
      <c r="AY257" s="7">
        <f t="shared" si="1378"/>
        <v>3843.3000000000011</v>
      </c>
      <c r="AZ257" s="7">
        <f t="shared" si="1378"/>
        <v>3629.860000000001</v>
      </c>
      <c r="BA257" s="7">
        <f t="shared" si="1378"/>
        <v>3416.420000000001</v>
      </c>
      <c r="BB257" s="7">
        <f t="shared" si="1378"/>
        <v>3202.9800000000009</v>
      </c>
      <c r="BC257" s="7">
        <f t="shared" si="1378"/>
        <v>2989.5400000000009</v>
      </c>
      <c r="BD257" s="7">
        <f t="shared" si="1378"/>
        <v>2776.1000000000008</v>
      </c>
      <c r="BE257" s="7">
        <f t="shared" si="1378"/>
        <v>2562.6600000000008</v>
      </c>
      <c r="BF257" s="7">
        <f t="shared" si="1378"/>
        <v>2349.2200000000007</v>
      </c>
      <c r="BG257" s="236">
        <f t="shared" si="1158"/>
        <v>79.856920000000002</v>
      </c>
      <c r="BH257" s="7">
        <v>213.44000000000003</v>
      </c>
      <c r="BI257" s="39">
        <v>2349.2199999999998</v>
      </c>
      <c r="BJ257" s="7">
        <f t="shared" si="1385"/>
        <v>2135.7800000000007</v>
      </c>
      <c r="BK257" s="7">
        <f t="shared" si="1386"/>
        <v>1922.3400000000006</v>
      </c>
      <c r="BL257" s="7">
        <f t="shared" si="1387"/>
        <v>1708.9000000000005</v>
      </c>
      <c r="BM257" s="7">
        <f t="shared" si="1388"/>
        <v>1495.4600000000005</v>
      </c>
      <c r="BN257" s="7">
        <f t="shared" si="1389"/>
        <v>1282.0200000000004</v>
      </c>
      <c r="BO257" s="7">
        <f t="shared" si="1390"/>
        <v>1068.5800000000004</v>
      </c>
      <c r="BP257" s="7">
        <f t="shared" si="1391"/>
        <v>855.14000000000033</v>
      </c>
      <c r="BQ257" s="7">
        <f t="shared" si="1392"/>
        <v>641.70000000000027</v>
      </c>
      <c r="BR257" s="7">
        <f t="shared" si="1393"/>
        <v>428.26000000000022</v>
      </c>
      <c r="BS257" s="7">
        <f t="shared" si="1394"/>
        <v>214.82000000000019</v>
      </c>
      <c r="BT257" s="7">
        <f t="shared" si="1395"/>
        <v>1.380000000000166</v>
      </c>
      <c r="BU257" s="7"/>
      <c r="BV257" s="236">
        <f t="shared" si="1368"/>
        <v>23.867630769230782</v>
      </c>
      <c r="BW257" s="7">
        <v>213.44000000000003</v>
      </c>
      <c r="BX257" s="39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236">
        <f t="shared" si="1369"/>
        <v>0</v>
      </c>
      <c r="CL257" s="7">
        <v>213.44000000000003</v>
      </c>
      <c r="CM257" s="39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236">
        <f t="shared" si="1370"/>
        <v>0</v>
      </c>
    </row>
    <row r="258" spans="1:104" x14ac:dyDescent="0.2">
      <c r="A258" s="6" t="str">
        <f>'[1]2021 УГРЦТ'!A261</f>
        <v>КЛ Кабельная линия 6 кв от ТП43 до ТП67 школа5</v>
      </c>
      <c r="B258" t="str">
        <f>'[1]2021 УГРЦТ'!B261</f>
        <v>00000264</v>
      </c>
      <c r="C258" t="str">
        <f>'[1]2021 УГРЦТ'!C261</f>
        <v>ПЕРЕДАЧА</v>
      </c>
      <c r="D258" t="str">
        <f>'[1]2021 УГРЦТ'!D261</f>
        <v>Сооружения</v>
      </c>
      <c r="E258" t="str">
        <f>'[1]2021 УГРЦТ'!E261</f>
        <v>01.05.2000</v>
      </c>
      <c r="F258" t="str">
        <f>'[1]2021 УГРЦТ'!F261</f>
        <v>Цех электрических сетей</v>
      </c>
      <c r="G258">
        <f>'[1]2021 УГРЦТ'!AC261</f>
        <v>300</v>
      </c>
      <c r="H258" s="7">
        <f>'[1]2021 УГРЦТ'!X261</f>
        <v>216062</v>
      </c>
      <c r="I258" s="7">
        <f>'[1]2021 УГРЦТ'!Y261</f>
        <v>186533.7</v>
      </c>
      <c r="J258" s="7">
        <f>'[1]2021 УГРЦТ'!Z261</f>
        <v>29528.299999999988</v>
      </c>
      <c r="K258" s="8">
        <v>1</v>
      </c>
      <c r="L258" s="7">
        <v>720.1875</v>
      </c>
      <c r="M258" s="7"/>
      <c r="N258" s="7">
        <f t="shared" si="1341"/>
        <v>8642.25</v>
      </c>
      <c r="O258" s="7">
        <f t="shared" si="1161"/>
        <v>28808.112499999988</v>
      </c>
      <c r="P258" s="7">
        <f t="shared" si="1375"/>
        <v>28087.924999999988</v>
      </c>
      <c r="Q258" s="7">
        <f t="shared" si="1375"/>
        <v>27367.737499999988</v>
      </c>
      <c r="R258" s="7">
        <f t="shared" si="1375"/>
        <v>26647.549999999988</v>
      </c>
      <c r="S258" s="7">
        <f t="shared" si="1375"/>
        <v>25927.362499999988</v>
      </c>
      <c r="T258" s="7">
        <f t="shared" si="1375"/>
        <v>25207.174999999988</v>
      </c>
      <c r="U258" s="7">
        <f t="shared" si="1375"/>
        <v>24486.987499999988</v>
      </c>
      <c r="V258" s="7">
        <f t="shared" si="1375"/>
        <v>23766.799999999988</v>
      </c>
      <c r="W258" s="7">
        <f t="shared" si="1375"/>
        <v>23046.612499999988</v>
      </c>
      <c r="X258" s="7">
        <f t="shared" si="1375"/>
        <v>22326.424999999988</v>
      </c>
      <c r="Y258" s="7">
        <f t="shared" si="1375"/>
        <v>21606.237499999988</v>
      </c>
      <c r="Z258" s="7">
        <f t="shared" si="1375"/>
        <v>20886.049999999988</v>
      </c>
      <c r="AA258" s="7">
        <f t="shared" si="1382"/>
        <v>554.55784999999969</v>
      </c>
      <c r="AB258" s="7"/>
      <c r="AC258" s="7">
        <f t="shared" si="1162"/>
        <v>8642.25</v>
      </c>
      <c r="AD258" s="7">
        <f t="shared" si="1163"/>
        <v>20165.862499999988</v>
      </c>
      <c r="AE258" s="7">
        <f t="shared" si="1376"/>
        <v>19445.674999999988</v>
      </c>
      <c r="AF258" s="7">
        <f t="shared" si="1376"/>
        <v>18725.487499999988</v>
      </c>
      <c r="AG258" s="7">
        <f t="shared" si="1376"/>
        <v>18005.299999999988</v>
      </c>
      <c r="AH258" s="7">
        <f t="shared" si="1376"/>
        <v>17285.112499999988</v>
      </c>
      <c r="AI258" s="7">
        <f t="shared" si="1376"/>
        <v>16564.924999999988</v>
      </c>
      <c r="AJ258" s="7">
        <f t="shared" si="1376"/>
        <v>15844.737499999988</v>
      </c>
      <c r="AK258" s="7">
        <f t="shared" si="1376"/>
        <v>15124.549999999988</v>
      </c>
      <c r="AL258" s="7">
        <f t="shared" si="1376"/>
        <v>14404.362499999988</v>
      </c>
      <c r="AM258" s="7">
        <f t="shared" si="1376"/>
        <v>13684.174999999988</v>
      </c>
      <c r="AN258" s="7">
        <f t="shared" si="1376"/>
        <v>12963.987499999988</v>
      </c>
      <c r="AO258" s="7">
        <f t="shared" si="1376"/>
        <v>12243.799999999988</v>
      </c>
      <c r="AP258" s="222">
        <f t="shared" si="1383"/>
        <v>364.42834999999974</v>
      </c>
      <c r="AQ258" s="7">
        <v>720.1875</v>
      </c>
      <c r="AR258" s="7">
        <f t="shared" si="1164"/>
        <v>720.1875</v>
      </c>
      <c r="AS258" s="7">
        <f t="shared" si="1165"/>
        <v>0</v>
      </c>
      <c r="AT258" s="7">
        <f t="shared" si="1384"/>
        <v>8642.25</v>
      </c>
      <c r="AU258" s="7">
        <f t="shared" si="1377"/>
        <v>11523.612499999988</v>
      </c>
      <c r="AV258" s="7">
        <f t="shared" si="1378"/>
        <v>10803.424999999988</v>
      </c>
      <c r="AW258" s="7">
        <f t="shared" si="1378"/>
        <v>10083.237499999988</v>
      </c>
      <c r="AX258" s="7">
        <f t="shared" si="1378"/>
        <v>9363.0499999999884</v>
      </c>
      <c r="AY258" s="7">
        <f t="shared" si="1378"/>
        <v>8642.8624999999884</v>
      </c>
      <c r="AZ258" s="7">
        <f t="shared" si="1378"/>
        <v>7922.6749999999884</v>
      </c>
      <c r="BA258" s="7">
        <f t="shared" si="1378"/>
        <v>7202.4874999999884</v>
      </c>
      <c r="BB258" s="7">
        <f t="shared" si="1378"/>
        <v>6482.2999999999884</v>
      </c>
      <c r="BC258" s="7">
        <f t="shared" si="1378"/>
        <v>5762.1124999999884</v>
      </c>
      <c r="BD258" s="7">
        <f t="shared" si="1378"/>
        <v>5041.9249999999884</v>
      </c>
      <c r="BE258" s="7">
        <f t="shared" si="1378"/>
        <v>4321.7374999999884</v>
      </c>
      <c r="BF258" s="7">
        <f t="shared" si="1378"/>
        <v>3601.5499999999884</v>
      </c>
      <c r="BG258" s="236">
        <f t="shared" si="1158"/>
        <v>174.29884999999973</v>
      </c>
      <c r="BH258" s="7">
        <v>720.1875</v>
      </c>
      <c r="BI258" s="39">
        <v>3601.55</v>
      </c>
      <c r="BJ258" s="7">
        <f t="shared" si="1385"/>
        <v>2881.3624999999884</v>
      </c>
      <c r="BK258" s="7">
        <f t="shared" si="1386"/>
        <v>2161.1749999999884</v>
      </c>
      <c r="BL258" s="7">
        <f t="shared" si="1387"/>
        <v>1440.9874999999884</v>
      </c>
      <c r="BM258" s="7">
        <f t="shared" si="1388"/>
        <v>720.79999999998836</v>
      </c>
      <c r="BN258" s="7">
        <f t="shared" si="1389"/>
        <v>0.61249999998835847</v>
      </c>
      <c r="BO258" s="7"/>
      <c r="BP258" s="7"/>
      <c r="BQ258" s="7"/>
      <c r="BR258" s="7"/>
      <c r="BS258" s="7"/>
      <c r="BT258" s="7"/>
      <c r="BU258" s="7"/>
      <c r="BV258" s="236">
        <f t="shared" si="1368"/>
        <v>18.287901923076802</v>
      </c>
      <c r="BW258" s="7">
        <v>720.1875</v>
      </c>
      <c r="BX258" s="39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236">
        <f t="shared" si="1369"/>
        <v>0</v>
      </c>
      <c r="CL258" s="7">
        <v>720.1875</v>
      </c>
      <c r="CM258" s="39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236">
        <f t="shared" si="1370"/>
        <v>0</v>
      </c>
    </row>
    <row r="259" spans="1:104" x14ac:dyDescent="0.2">
      <c r="A259" s="6" t="str">
        <f>'[1]2021 УГРЦТ'!A262</f>
        <v>КЛ Кабельная линия от ТП10 Масл-д до ТП-12  1998г.</v>
      </c>
      <c r="B259" t="str">
        <f>'[1]2021 УГРЦТ'!B262</f>
        <v>00000259</v>
      </c>
      <c r="C259" t="str">
        <f>'[1]2021 УГРЦТ'!C262</f>
        <v>ПЕРЕДАЧА</v>
      </c>
      <c r="D259" t="str">
        <f>'[1]2021 УГРЦТ'!D262</f>
        <v>Сооружения</v>
      </c>
      <c r="E259" t="str">
        <f>'[1]2021 УГРЦТ'!E262</f>
        <v>01.09.1998</v>
      </c>
      <c r="F259" t="str">
        <f>'[1]2021 УГРЦТ'!F262</f>
        <v>Цех электрических сетей</v>
      </c>
      <c r="G259">
        <f>'[1]2021 УГРЦТ'!AC262</f>
        <v>300</v>
      </c>
      <c r="H259" s="7">
        <f>'[1]2021 УГРЦТ'!X262</f>
        <v>29010.3</v>
      </c>
      <c r="I259" s="7">
        <f>'[1]2021 УГРЦТ'!Y262</f>
        <v>23208.022000000001</v>
      </c>
      <c r="J259" s="7">
        <f>'[1]2021 УГРЦТ'!Z262</f>
        <v>5802.2779999999984</v>
      </c>
      <c r="K259" s="8">
        <v>1</v>
      </c>
      <c r="L259" s="7">
        <v>96.700000000000031</v>
      </c>
      <c r="M259" s="7"/>
      <c r="N259" s="7">
        <f t="shared" si="1341"/>
        <v>1160.4000000000003</v>
      </c>
      <c r="O259" s="7">
        <f t="shared" si="1161"/>
        <v>5705.5779999999986</v>
      </c>
      <c r="P259" s="7">
        <f t="shared" si="1375"/>
        <v>5608.8779999999988</v>
      </c>
      <c r="Q259" s="7">
        <f t="shared" si="1375"/>
        <v>5512.177999999999</v>
      </c>
      <c r="R259" s="7">
        <f t="shared" si="1375"/>
        <v>5415.4779999999992</v>
      </c>
      <c r="S259" s="7">
        <f t="shared" si="1375"/>
        <v>5318.7779999999993</v>
      </c>
      <c r="T259" s="7">
        <f t="shared" si="1375"/>
        <v>5222.0779999999995</v>
      </c>
      <c r="U259" s="7">
        <f t="shared" si="1375"/>
        <v>5125.3779999999997</v>
      </c>
      <c r="V259" s="7">
        <f t="shared" si="1375"/>
        <v>5028.6779999999999</v>
      </c>
      <c r="W259" s="7">
        <f t="shared" si="1375"/>
        <v>4931.9780000000001</v>
      </c>
      <c r="X259" s="7">
        <f t="shared" si="1375"/>
        <v>4835.2780000000002</v>
      </c>
      <c r="Y259" s="7">
        <f t="shared" si="1375"/>
        <v>4738.5780000000004</v>
      </c>
      <c r="Z259" s="7">
        <f t="shared" si="1375"/>
        <v>4641.8780000000006</v>
      </c>
      <c r="AA259" s="7">
        <f t="shared" si="1382"/>
        <v>114.88571599999999</v>
      </c>
      <c r="AB259" s="7"/>
      <c r="AC259" s="7">
        <f t="shared" si="1162"/>
        <v>1160.4000000000003</v>
      </c>
      <c r="AD259" s="7">
        <f t="shared" si="1163"/>
        <v>4545.1780000000008</v>
      </c>
      <c r="AE259" s="7">
        <f t="shared" si="1376"/>
        <v>4448.478000000001</v>
      </c>
      <c r="AF259" s="7">
        <f t="shared" si="1376"/>
        <v>4351.7780000000012</v>
      </c>
      <c r="AG259" s="7">
        <f t="shared" si="1376"/>
        <v>4255.0780000000013</v>
      </c>
      <c r="AH259" s="7">
        <f t="shared" si="1376"/>
        <v>4158.3780000000015</v>
      </c>
      <c r="AI259" s="7">
        <f t="shared" si="1376"/>
        <v>4061.6780000000017</v>
      </c>
      <c r="AJ259" s="7">
        <f t="shared" si="1376"/>
        <v>3964.9780000000019</v>
      </c>
      <c r="AK259" s="7">
        <f t="shared" si="1376"/>
        <v>3868.2780000000021</v>
      </c>
      <c r="AL259" s="7">
        <f t="shared" si="1376"/>
        <v>3771.5780000000022</v>
      </c>
      <c r="AM259" s="7">
        <f t="shared" si="1376"/>
        <v>3674.8780000000024</v>
      </c>
      <c r="AN259" s="7">
        <f t="shared" si="1376"/>
        <v>3578.1780000000026</v>
      </c>
      <c r="AO259" s="7">
        <f t="shared" si="1376"/>
        <v>3481.4780000000028</v>
      </c>
      <c r="AP259" s="222">
        <f t="shared" si="1383"/>
        <v>89.356916000000012</v>
      </c>
      <c r="AQ259" s="7">
        <v>96.700000000000031</v>
      </c>
      <c r="AR259" s="7">
        <f t="shared" si="1164"/>
        <v>96.699999999999818</v>
      </c>
      <c r="AS259" s="7">
        <f t="shared" si="1165"/>
        <v>-2.1316282072803006E-13</v>
      </c>
      <c r="AT259" s="7">
        <f t="shared" si="1384"/>
        <v>1160.4000000000003</v>
      </c>
      <c r="AU259" s="7">
        <f t="shared" si="1377"/>
        <v>3384.778000000003</v>
      </c>
      <c r="AV259" s="7">
        <f t="shared" si="1378"/>
        <v>3288.0780000000032</v>
      </c>
      <c r="AW259" s="7">
        <f t="shared" si="1378"/>
        <v>3191.3780000000033</v>
      </c>
      <c r="AX259" s="7">
        <f t="shared" si="1378"/>
        <v>3094.6780000000035</v>
      </c>
      <c r="AY259" s="7">
        <f t="shared" si="1378"/>
        <v>2997.9780000000037</v>
      </c>
      <c r="AZ259" s="7">
        <f t="shared" si="1378"/>
        <v>2901.2780000000039</v>
      </c>
      <c r="BA259" s="7">
        <f t="shared" si="1378"/>
        <v>2804.5780000000041</v>
      </c>
      <c r="BB259" s="7">
        <f t="shared" si="1378"/>
        <v>2707.8780000000042</v>
      </c>
      <c r="BC259" s="7">
        <f t="shared" si="1378"/>
        <v>2611.1780000000044</v>
      </c>
      <c r="BD259" s="7">
        <f t="shared" si="1378"/>
        <v>2514.4780000000046</v>
      </c>
      <c r="BE259" s="7">
        <f t="shared" si="1378"/>
        <v>2417.7780000000048</v>
      </c>
      <c r="BF259" s="7">
        <f t="shared" si="1378"/>
        <v>2321.078000000005</v>
      </c>
      <c r="BG259" s="236">
        <f t="shared" si="1158"/>
        <v>63.828116000000072</v>
      </c>
      <c r="BH259" s="7">
        <v>96.700000000000031</v>
      </c>
      <c r="BI259" s="39">
        <f t="shared" ref="BI259:BI287" si="1408">BH259*12</f>
        <v>1160.4000000000003</v>
      </c>
      <c r="BJ259" s="7">
        <f t="shared" si="1385"/>
        <v>2224.3780000000052</v>
      </c>
      <c r="BK259" s="7">
        <f t="shared" si="1386"/>
        <v>2127.6780000000053</v>
      </c>
      <c r="BL259" s="7">
        <f t="shared" si="1387"/>
        <v>2030.9780000000053</v>
      </c>
      <c r="BM259" s="7">
        <f t="shared" si="1388"/>
        <v>1934.2780000000052</v>
      </c>
      <c r="BN259" s="7">
        <f t="shared" si="1389"/>
        <v>1837.5780000000052</v>
      </c>
      <c r="BO259" s="7">
        <f t="shared" si="1390"/>
        <v>1740.8780000000052</v>
      </c>
      <c r="BP259" s="7">
        <f t="shared" si="1391"/>
        <v>1644.1780000000051</v>
      </c>
      <c r="BQ259" s="7">
        <f t="shared" si="1392"/>
        <v>1547.4780000000051</v>
      </c>
      <c r="BR259" s="7">
        <f t="shared" si="1393"/>
        <v>1450.778000000005</v>
      </c>
      <c r="BS259" s="7">
        <f t="shared" si="1394"/>
        <v>1354.078000000005</v>
      </c>
      <c r="BT259" s="7">
        <f t="shared" si="1395"/>
        <v>1257.3780000000049</v>
      </c>
      <c r="BU259" s="7">
        <f t="shared" si="1396"/>
        <v>1160.6780000000049</v>
      </c>
      <c r="BV259" s="236">
        <f t="shared" si="1368"/>
        <v>38.299316000000111</v>
      </c>
      <c r="BW259" s="7">
        <v>96.700000000000031</v>
      </c>
      <c r="BX259" s="39">
        <f t="shared" ref="BX259:BX287" si="1409">BW259*12</f>
        <v>1160.4000000000003</v>
      </c>
      <c r="BY259" s="7">
        <f t="shared" ref="BY259:BY287" si="1410">BU259-BW259</f>
        <v>1063.9780000000048</v>
      </c>
      <c r="BZ259" s="7">
        <f t="shared" si="1397"/>
        <v>967.27800000000479</v>
      </c>
      <c r="CA259" s="7">
        <f t="shared" si="1398"/>
        <v>870.57800000000475</v>
      </c>
      <c r="CB259" s="7">
        <f t="shared" si="1399"/>
        <v>773.8780000000047</v>
      </c>
      <c r="CC259" s="7">
        <f t="shared" ref="CC259:CC287" si="1411">CB259-$L259</f>
        <v>677.17800000000466</v>
      </c>
      <c r="CD259" s="7">
        <f t="shared" ref="CD259:CD287" si="1412">CC259-$L259</f>
        <v>580.47800000000461</v>
      </c>
      <c r="CE259" s="7">
        <f t="shared" ref="CE259:CE287" si="1413">CD259-$L259</f>
        <v>483.77800000000457</v>
      </c>
      <c r="CF259" s="7">
        <f t="shared" ref="CF259:CF287" si="1414">CE259-$L259</f>
        <v>387.07800000000452</v>
      </c>
      <c r="CG259" s="7">
        <f t="shared" ref="CG259:CG287" si="1415">CF259-$L259</f>
        <v>290.37800000000448</v>
      </c>
      <c r="CH259" s="7">
        <f t="shared" ref="CH259:CH287" si="1416">CG259-$L259</f>
        <v>193.67800000000443</v>
      </c>
      <c r="CI259" s="7">
        <f t="shared" ref="CI259:CI287" si="1417">CH259-$L259</f>
        <v>96.9780000000044</v>
      </c>
      <c r="CJ259" s="7">
        <f t="shared" ref="CJ259:CJ287" si="1418">CI259-$L259</f>
        <v>0.27800000000436853</v>
      </c>
      <c r="CK259" s="236">
        <f t="shared" si="1369"/>
        <v>12.770516000000104</v>
      </c>
      <c r="CL259" s="7">
        <v>96.700000000000031</v>
      </c>
      <c r="CM259" s="39">
        <v>0.28000000000000003</v>
      </c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236">
        <f t="shared" si="1370"/>
        <v>4.7046153846893132E-4</v>
      </c>
    </row>
    <row r="260" spans="1:104" x14ac:dyDescent="0.2">
      <c r="A260" s="6" t="str">
        <f>'[1]2021 УГРЦТ'!A263</f>
        <v>КЛ-0,4 кВ от ТП №108 до гаражей КОС</v>
      </c>
      <c r="B260" t="str">
        <f>'[1]2021 УГРЦТ'!B263</f>
        <v>000001649</v>
      </c>
      <c r="C260" t="str">
        <f>'[1]2021 УГРЦТ'!C263</f>
        <v>ПЕРЕДАЧА</v>
      </c>
      <c r="D260" t="str">
        <f>'[1]2021 УГРЦТ'!D263</f>
        <v>Сооружения</v>
      </c>
      <c r="E260" t="str">
        <f>'[1]2021 УГРЦТ'!E263</f>
        <v>31.12.2014</v>
      </c>
      <c r="F260" t="str">
        <f>'[1]2021 УГРЦТ'!F263</f>
        <v>Цех электрических сетей</v>
      </c>
      <c r="G260">
        <f>'[1]2021 УГРЦТ'!AC263</f>
        <v>300</v>
      </c>
      <c r="H260" s="7">
        <f>'[1]2021 УГРЦТ'!X263</f>
        <v>1587345.72</v>
      </c>
      <c r="I260" s="7">
        <f>'[1]2021 УГРЦТ'!Y263</f>
        <v>444456.62880000001</v>
      </c>
      <c r="J260" s="7">
        <f>'[1]2021 УГРЦТ'!Z263</f>
        <v>1142889.0911999999</v>
      </c>
      <c r="K260" s="8">
        <v>1</v>
      </c>
      <c r="L260" s="7">
        <v>5291.1500000000005</v>
      </c>
      <c r="M260" s="7"/>
      <c r="N260" s="7">
        <f t="shared" si="1341"/>
        <v>63493.8</v>
      </c>
      <c r="O260" s="7">
        <f t="shared" si="1161"/>
        <v>1137597.9412</v>
      </c>
      <c r="P260" s="7">
        <f t="shared" si="1375"/>
        <v>1132306.7912000001</v>
      </c>
      <c r="Q260" s="7">
        <f t="shared" si="1375"/>
        <v>1127015.6412000002</v>
      </c>
      <c r="R260" s="7">
        <f t="shared" si="1375"/>
        <v>1121724.4912000003</v>
      </c>
      <c r="S260" s="7">
        <f t="shared" si="1375"/>
        <v>1116433.3412000004</v>
      </c>
      <c r="T260" s="7">
        <f t="shared" si="1375"/>
        <v>1111142.1912000005</v>
      </c>
      <c r="U260" s="7">
        <f t="shared" si="1375"/>
        <v>1105851.0412000006</v>
      </c>
      <c r="V260" s="7">
        <f t="shared" si="1375"/>
        <v>1100559.8912000007</v>
      </c>
      <c r="W260" s="7">
        <f t="shared" si="1375"/>
        <v>1095268.7412000007</v>
      </c>
      <c r="X260" s="7">
        <f t="shared" si="1375"/>
        <v>1089977.5912000008</v>
      </c>
      <c r="Y260" s="7">
        <f t="shared" si="1375"/>
        <v>1084686.4412000009</v>
      </c>
      <c r="Z260" s="7">
        <f t="shared" si="1375"/>
        <v>1079395.291200001</v>
      </c>
      <c r="AA260" s="7">
        <f t="shared" si="1382"/>
        <v>24445.128206400008</v>
      </c>
      <c r="AB260" s="7"/>
      <c r="AC260" s="7">
        <f t="shared" si="1162"/>
        <v>63493.8</v>
      </c>
      <c r="AD260" s="7">
        <f t="shared" si="1163"/>
        <v>1074104.1412000011</v>
      </c>
      <c r="AE260" s="7">
        <f t="shared" si="1376"/>
        <v>1068812.9912000012</v>
      </c>
      <c r="AF260" s="7">
        <f t="shared" si="1376"/>
        <v>1063521.8412000013</v>
      </c>
      <c r="AG260" s="7">
        <f t="shared" si="1376"/>
        <v>1058230.6912000014</v>
      </c>
      <c r="AH260" s="7">
        <f t="shared" si="1376"/>
        <v>1052939.5412000015</v>
      </c>
      <c r="AI260" s="7">
        <f t="shared" si="1376"/>
        <v>1047648.3912000015</v>
      </c>
      <c r="AJ260" s="7">
        <f t="shared" si="1376"/>
        <v>1042357.2412000014</v>
      </c>
      <c r="AK260" s="7">
        <f t="shared" si="1376"/>
        <v>1037066.0912000014</v>
      </c>
      <c r="AL260" s="7">
        <f t="shared" si="1376"/>
        <v>1031774.9412000014</v>
      </c>
      <c r="AM260" s="7">
        <f t="shared" si="1376"/>
        <v>1026483.7912000014</v>
      </c>
      <c r="AN260" s="7">
        <f t="shared" si="1376"/>
        <v>1021192.6412000014</v>
      </c>
      <c r="AO260" s="7">
        <f t="shared" si="1376"/>
        <v>1015901.4912000013</v>
      </c>
      <c r="AP260" s="222">
        <f t="shared" si="1383"/>
        <v>23048.264606400026</v>
      </c>
      <c r="AQ260" s="7">
        <v>5291.1500000000005</v>
      </c>
      <c r="AR260" s="7">
        <f t="shared" si="1164"/>
        <v>5291.1500000000233</v>
      </c>
      <c r="AS260" s="7">
        <f t="shared" si="1165"/>
        <v>2.2737367544323206E-11</v>
      </c>
      <c r="AT260" s="7">
        <f t="shared" si="1384"/>
        <v>63493.8</v>
      </c>
      <c r="AU260" s="7">
        <f t="shared" si="1377"/>
        <v>1010610.3412000013</v>
      </c>
      <c r="AV260" s="7">
        <f t="shared" si="1378"/>
        <v>1005319.1912000013</v>
      </c>
      <c r="AW260" s="7">
        <f t="shared" si="1378"/>
        <v>1000028.0412000013</v>
      </c>
      <c r="AX260" s="7">
        <f t="shared" si="1378"/>
        <v>994736.89120000124</v>
      </c>
      <c r="AY260" s="7">
        <f t="shared" si="1378"/>
        <v>989445.74120000121</v>
      </c>
      <c r="AZ260" s="7">
        <f t="shared" si="1378"/>
        <v>984154.59120000119</v>
      </c>
      <c r="BA260" s="7">
        <f t="shared" si="1378"/>
        <v>978863.44120000117</v>
      </c>
      <c r="BB260" s="7">
        <f t="shared" si="1378"/>
        <v>973572.29120000114</v>
      </c>
      <c r="BC260" s="7">
        <f t="shared" si="1378"/>
        <v>968281.14120000112</v>
      </c>
      <c r="BD260" s="7">
        <f t="shared" si="1378"/>
        <v>962989.9912000011</v>
      </c>
      <c r="BE260" s="7">
        <f t="shared" si="1378"/>
        <v>957698.84120000107</v>
      </c>
      <c r="BF260" s="7">
        <f t="shared" si="1378"/>
        <v>952407.69120000105</v>
      </c>
      <c r="BG260" s="236">
        <f t="shared" ref="BG260:BG323" si="1419">IF(K260&lt;1,0,SUM(AU260:BF260,AO260)/13*$BG$1)</f>
        <v>21651.401006400029</v>
      </c>
      <c r="BH260" s="7">
        <v>5291.1500000000005</v>
      </c>
      <c r="BI260" s="39">
        <f t="shared" si="1408"/>
        <v>63493.8</v>
      </c>
      <c r="BJ260" s="7">
        <f t="shared" si="1385"/>
        <v>947116.54120000103</v>
      </c>
      <c r="BK260" s="7">
        <f t="shared" si="1386"/>
        <v>941825.391200001</v>
      </c>
      <c r="BL260" s="7">
        <f t="shared" si="1387"/>
        <v>936534.24120000098</v>
      </c>
      <c r="BM260" s="7">
        <f t="shared" si="1388"/>
        <v>931243.09120000096</v>
      </c>
      <c r="BN260" s="7">
        <f t="shared" si="1389"/>
        <v>925951.94120000093</v>
      </c>
      <c r="BO260" s="7">
        <f t="shared" si="1390"/>
        <v>920660.79120000091</v>
      </c>
      <c r="BP260" s="7">
        <f t="shared" si="1391"/>
        <v>915369.64120000089</v>
      </c>
      <c r="BQ260" s="7">
        <f t="shared" si="1392"/>
        <v>910078.49120000086</v>
      </c>
      <c r="BR260" s="7">
        <f t="shared" si="1393"/>
        <v>904787.34120000084</v>
      </c>
      <c r="BS260" s="7">
        <f t="shared" si="1394"/>
        <v>899496.19120000082</v>
      </c>
      <c r="BT260" s="7">
        <f t="shared" si="1395"/>
        <v>894205.04120000079</v>
      </c>
      <c r="BU260" s="7">
        <f t="shared" si="1396"/>
        <v>888913.89120000077</v>
      </c>
      <c r="BV260" s="236">
        <f t="shared" si="1368"/>
        <v>20254.537406400017</v>
      </c>
      <c r="BW260" s="7">
        <v>5291.1500000000005</v>
      </c>
      <c r="BX260" s="39">
        <f t="shared" si="1409"/>
        <v>63493.8</v>
      </c>
      <c r="BY260" s="7">
        <f t="shared" si="1410"/>
        <v>883622.74120000075</v>
      </c>
      <c r="BZ260" s="7">
        <f t="shared" si="1397"/>
        <v>878331.59120000072</v>
      </c>
      <c r="CA260" s="7">
        <f t="shared" si="1398"/>
        <v>873040.4412000007</v>
      </c>
      <c r="CB260" s="7">
        <f t="shared" si="1399"/>
        <v>867749.29120000068</v>
      </c>
      <c r="CC260" s="7">
        <f t="shared" si="1411"/>
        <v>862458.14120000065</v>
      </c>
      <c r="CD260" s="7">
        <f t="shared" si="1412"/>
        <v>857166.99120000063</v>
      </c>
      <c r="CE260" s="7">
        <f t="shared" si="1413"/>
        <v>851875.84120000061</v>
      </c>
      <c r="CF260" s="7">
        <f t="shared" si="1414"/>
        <v>846584.69120000058</v>
      </c>
      <c r="CG260" s="7">
        <f t="shared" si="1415"/>
        <v>841293.54120000056</v>
      </c>
      <c r="CH260" s="7">
        <f t="shared" si="1416"/>
        <v>836002.39120000054</v>
      </c>
      <c r="CI260" s="7">
        <f t="shared" si="1417"/>
        <v>830711.24120000051</v>
      </c>
      <c r="CJ260" s="7">
        <f t="shared" si="1418"/>
        <v>825420.09120000049</v>
      </c>
      <c r="CK260" s="236">
        <f t="shared" si="1369"/>
        <v>18857.673806400013</v>
      </c>
      <c r="CL260" s="7">
        <v>5291.1500000000005</v>
      </c>
      <c r="CM260" s="39">
        <f t="shared" ref="CM260:CM287" si="1420">CL260*12</f>
        <v>63493.8</v>
      </c>
      <c r="CN260" s="7">
        <f t="shared" ref="CN260:CN287" si="1421">CJ260-CL260</f>
        <v>820128.94120000047</v>
      </c>
      <c r="CO260" s="7">
        <f t="shared" ref="CO260:CO287" si="1422">CN260-$L260</f>
        <v>814837.79120000044</v>
      </c>
      <c r="CP260" s="7">
        <f t="shared" ref="CP260:CP287" si="1423">CO260-$L260</f>
        <v>809546.64120000042</v>
      </c>
      <c r="CQ260" s="7">
        <f t="shared" ref="CQ260:CQ287" si="1424">CP260-$L260</f>
        <v>804255.4912000004</v>
      </c>
      <c r="CR260" s="7">
        <f t="shared" ref="CR260:CR287" si="1425">CQ260-$L260</f>
        <v>798964.34120000037</v>
      </c>
      <c r="CS260" s="7">
        <f t="shared" ref="CS260:CS287" si="1426">CR260-$L260</f>
        <v>793673.19120000035</v>
      </c>
      <c r="CT260" s="7">
        <f t="shared" ref="CT260:CT287" si="1427">CS260-$L260</f>
        <v>788382.04120000033</v>
      </c>
      <c r="CU260" s="7">
        <f t="shared" ref="CU260:CU287" si="1428">CT260-$L260</f>
        <v>783090.8912000003</v>
      </c>
      <c r="CV260" s="7">
        <f t="shared" ref="CV260:CV287" si="1429">CU260-$L260</f>
        <v>777799.74120000028</v>
      </c>
      <c r="CW260" s="7">
        <f t="shared" ref="CW260:CW287" si="1430">CV260-$L260</f>
        <v>772508.59120000026</v>
      </c>
      <c r="CX260" s="7">
        <f t="shared" ref="CX260:CX287" si="1431">CW260-$L260</f>
        <v>767217.44120000023</v>
      </c>
      <c r="CY260" s="7">
        <f t="shared" ref="CY260:CY287" si="1432">CX260-$L260</f>
        <v>761926.29120000021</v>
      </c>
      <c r="CZ260" s="236">
        <f t="shared" si="1370"/>
        <v>17460.810206400005</v>
      </c>
    </row>
    <row r="261" spans="1:104" x14ac:dyDescent="0.2">
      <c r="A261" s="6" t="str">
        <f>'[1]2021 УГРЦТ'!A264</f>
        <v>КЛ-0,4 кВ от ТП №108 до телерадиовещательной компании</v>
      </c>
      <c r="B261" t="str">
        <f>'[1]2021 УГРЦТ'!B264</f>
        <v>000001650</v>
      </c>
      <c r="C261" t="str">
        <f>'[1]2021 УГРЦТ'!C264</f>
        <v>ПЕРЕДАЧА</v>
      </c>
      <c r="D261" t="str">
        <f>'[1]2021 УГРЦТ'!D264</f>
        <v>Сооружения</v>
      </c>
      <c r="E261" t="str">
        <f>'[1]2021 УГРЦТ'!E264</f>
        <v>31.12.2014</v>
      </c>
      <c r="F261" t="str">
        <f>'[1]2021 УГРЦТ'!F264</f>
        <v>Цех электрических сетей</v>
      </c>
      <c r="G261">
        <f>'[1]2021 УГРЦТ'!AC264</f>
        <v>300</v>
      </c>
      <c r="H261" s="7">
        <f>'[1]2021 УГРЦТ'!X264</f>
        <v>696158.11</v>
      </c>
      <c r="I261" s="7">
        <f>'[1]2021 УГРЦТ'!Y264</f>
        <v>194924.48439999999</v>
      </c>
      <c r="J261" s="7">
        <f>'[1]2021 УГРЦТ'!Z264</f>
        <v>501233.62560000003</v>
      </c>
      <c r="K261" s="8">
        <v>1</v>
      </c>
      <c r="L261" s="7">
        <v>2320.5299999999997</v>
      </c>
      <c r="M261" s="7"/>
      <c r="N261" s="7">
        <f t="shared" si="1341"/>
        <v>27846.359999999997</v>
      </c>
      <c r="O261" s="7">
        <f t="shared" ref="O261:O324" si="1433">J261-$L261</f>
        <v>498913.0956</v>
      </c>
      <c r="P261" s="7">
        <f t="shared" si="1375"/>
        <v>496592.56559999997</v>
      </c>
      <c r="Q261" s="7">
        <f t="shared" si="1375"/>
        <v>494272.03559999994</v>
      </c>
      <c r="R261" s="7">
        <f t="shared" si="1375"/>
        <v>491951.50559999992</v>
      </c>
      <c r="S261" s="7">
        <f t="shared" si="1375"/>
        <v>489630.97559999989</v>
      </c>
      <c r="T261" s="7">
        <f t="shared" si="1375"/>
        <v>487310.44559999986</v>
      </c>
      <c r="U261" s="7">
        <f t="shared" si="1375"/>
        <v>484989.91559999983</v>
      </c>
      <c r="V261" s="7">
        <f t="shared" si="1375"/>
        <v>482669.3855999998</v>
      </c>
      <c r="W261" s="7">
        <f t="shared" si="1375"/>
        <v>480348.85559999978</v>
      </c>
      <c r="X261" s="7">
        <f t="shared" si="1375"/>
        <v>478028.32559999975</v>
      </c>
      <c r="Y261" s="7">
        <f t="shared" si="1375"/>
        <v>475707.79559999972</v>
      </c>
      <c r="Z261" s="7">
        <f t="shared" si="1375"/>
        <v>473387.26559999969</v>
      </c>
      <c r="AA261" s="7">
        <f t="shared" si="1382"/>
        <v>10720.829803199997</v>
      </c>
      <c r="AB261" s="7"/>
      <c r="AC261" s="7">
        <f t="shared" ref="AC261:AC324" si="1434">L261*12</f>
        <v>27846.359999999997</v>
      </c>
      <c r="AD261" s="7">
        <f t="shared" ref="AD261:AD324" si="1435">Z261-$L261</f>
        <v>471066.73559999967</v>
      </c>
      <c r="AE261" s="7">
        <f t="shared" si="1376"/>
        <v>468746.20559999964</v>
      </c>
      <c r="AF261" s="7">
        <f t="shared" si="1376"/>
        <v>466425.67559999961</v>
      </c>
      <c r="AG261" s="7">
        <f t="shared" si="1376"/>
        <v>464105.14559999958</v>
      </c>
      <c r="AH261" s="7">
        <f t="shared" si="1376"/>
        <v>461784.61559999955</v>
      </c>
      <c r="AI261" s="7">
        <f t="shared" si="1376"/>
        <v>459464.08559999953</v>
      </c>
      <c r="AJ261" s="7">
        <f t="shared" si="1376"/>
        <v>457143.5555999995</v>
      </c>
      <c r="AK261" s="7">
        <f t="shared" si="1376"/>
        <v>454823.02559999947</v>
      </c>
      <c r="AL261" s="7">
        <f t="shared" si="1376"/>
        <v>452502.49559999944</v>
      </c>
      <c r="AM261" s="7">
        <f t="shared" si="1376"/>
        <v>450181.96559999941</v>
      </c>
      <c r="AN261" s="7">
        <f t="shared" si="1376"/>
        <v>447861.43559999939</v>
      </c>
      <c r="AO261" s="7">
        <f t="shared" si="1376"/>
        <v>445540.90559999936</v>
      </c>
      <c r="AP261" s="222">
        <f t="shared" si="1383"/>
        <v>10108.209883199988</v>
      </c>
      <c r="AQ261" s="7">
        <v>2320.5299999999997</v>
      </c>
      <c r="AR261" s="7">
        <f t="shared" ref="AR261:AR324" si="1436">AN261-AO261</f>
        <v>2320.5300000000279</v>
      </c>
      <c r="AS261" s="7">
        <f t="shared" ref="AS261:AS324" si="1437">AR261-AQ261</f>
        <v>2.8194335754960775E-11</v>
      </c>
      <c r="AT261" s="7">
        <f t="shared" si="1384"/>
        <v>27846.359999999997</v>
      </c>
      <c r="AU261" s="7">
        <f t="shared" si="1377"/>
        <v>443220.37559999933</v>
      </c>
      <c r="AV261" s="7">
        <f t="shared" si="1378"/>
        <v>440899.8455999993</v>
      </c>
      <c r="AW261" s="7">
        <f t="shared" si="1378"/>
        <v>438579.31559999927</v>
      </c>
      <c r="AX261" s="7">
        <f t="shared" si="1378"/>
        <v>436258.78559999925</v>
      </c>
      <c r="AY261" s="7">
        <f t="shared" si="1378"/>
        <v>433938.25559999922</v>
      </c>
      <c r="AZ261" s="7">
        <f t="shared" si="1378"/>
        <v>431617.72559999919</v>
      </c>
      <c r="BA261" s="7">
        <f t="shared" si="1378"/>
        <v>429297.19559999916</v>
      </c>
      <c r="BB261" s="7">
        <f t="shared" si="1378"/>
        <v>426976.66559999913</v>
      </c>
      <c r="BC261" s="7">
        <f t="shared" si="1378"/>
        <v>424656.13559999911</v>
      </c>
      <c r="BD261" s="7">
        <f t="shared" si="1378"/>
        <v>422335.60559999908</v>
      </c>
      <c r="BE261" s="7">
        <f t="shared" si="1378"/>
        <v>420015.07559999905</v>
      </c>
      <c r="BF261" s="7">
        <f t="shared" si="1378"/>
        <v>417694.54559999902</v>
      </c>
      <c r="BG261" s="236">
        <f t="shared" si="1419"/>
        <v>9495.5899631999819</v>
      </c>
      <c r="BH261" s="7">
        <v>2320.5299999999997</v>
      </c>
      <c r="BI261" s="39">
        <f t="shared" si="1408"/>
        <v>27846.359999999997</v>
      </c>
      <c r="BJ261" s="7">
        <f t="shared" si="1385"/>
        <v>415374.01559999899</v>
      </c>
      <c r="BK261" s="7">
        <f t="shared" si="1386"/>
        <v>413053.48559999897</v>
      </c>
      <c r="BL261" s="7">
        <f t="shared" si="1387"/>
        <v>410732.95559999894</v>
      </c>
      <c r="BM261" s="7">
        <f t="shared" si="1388"/>
        <v>408412.42559999891</v>
      </c>
      <c r="BN261" s="7">
        <f t="shared" si="1389"/>
        <v>406091.89559999888</v>
      </c>
      <c r="BO261" s="7">
        <f t="shared" si="1390"/>
        <v>403771.36559999886</v>
      </c>
      <c r="BP261" s="7">
        <f t="shared" si="1391"/>
        <v>401450.83559999883</v>
      </c>
      <c r="BQ261" s="7">
        <f t="shared" si="1392"/>
        <v>399130.3055999988</v>
      </c>
      <c r="BR261" s="7">
        <f t="shared" si="1393"/>
        <v>396809.77559999877</v>
      </c>
      <c r="BS261" s="7">
        <f t="shared" si="1394"/>
        <v>394489.24559999874</v>
      </c>
      <c r="BT261" s="7">
        <f t="shared" si="1395"/>
        <v>392168.71559999872</v>
      </c>
      <c r="BU261" s="7">
        <f t="shared" si="1396"/>
        <v>389848.18559999869</v>
      </c>
      <c r="BV261" s="236">
        <f t="shared" si="1368"/>
        <v>8882.9700431999736</v>
      </c>
      <c r="BW261" s="7">
        <v>2320.5299999999997</v>
      </c>
      <c r="BX261" s="39">
        <f t="shared" si="1409"/>
        <v>27846.359999999997</v>
      </c>
      <c r="BY261" s="7">
        <f t="shared" si="1410"/>
        <v>387527.65559999866</v>
      </c>
      <c r="BZ261" s="7">
        <f t="shared" si="1397"/>
        <v>385207.12559999863</v>
      </c>
      <c r="CA261" s="7">
        <f t="shared" si="1398"/>
        <v>382886.5955999986</v>
      </c>
      <c r="CB261" s="7">
        <f t="shared" si="1399"/>
        <v>380566.06559999858</v>
      </c>
      <c r="CC261" s="7">
        <f t="shared" si="1411"/>
        <v>378245.53559999855</v>
      </c>
      <c r="CD261" s="7">
        <f t="shared" si="1412"/>
        <v>375925.00559999852</v>
      </c>
      <c r="CE261" s="7">
        <f t="shared" si="1413"/>
        <v>373604.47559999849</v>
      </c>
      <c r="CF261" s="7">
        <f t="shared" si="1414"/>
        <v>371283.94559999846</v>
      </c>
      <c r="CG261" s="7">
        <f t="shared" si="1415"/>
        <v>368963.41559999844</v>
      </c>
      <c r="CH261" s="7">
        <f t="shared" si="1416"/>
        <v>366642.88559999841</v>
      </c>
      <c r="CI261" s="7">
        <f t="shared" si="1417"/>
        <v>364322.35559999838</v>
      </c>
      <c r="CJ261" s="7">
        <f t="shared" si="1418"/>
        <v>362001.82559999835</v>
      </c>
      <c r="CK261" s="236">
        <f t="shared" si="1369"/>
        <v>8270.3501231999671</v>
      </c>
      <c r="CL261" s="7">
        <v>2320.5299999999997</v>
      </c>
      <c r="CM261" s="39">
        <f t="shared" si="1420"/>
        <v>27846.359999999997</v>
      </c>
      <c r="CN261" s="7">
        <f t="shared" si="1421"/>
        <v>359681.29559999832</v>
      </c>
      <c r="CO261" s="7">
        <f t="shared" si="1422"/>
        <v>357360.7655999983</v>
      </c>
      <c r="CP261" s="7">
        <f t="shared" si="1423"/>
        <v>355040.23559999827</v>
      </c>
      <c r="CQ261" s="7">
        <f t="shared" si="1424"/>
        <v>352719.70559999824</v>
      </c>
      <c r="CR261" s="7">
        <f t="shared" si="1425"/>
        <v>350399.17559999821</v>
      </c>
      <c r="CS261" s="7">
        <f t="shared" si="1426"/>
        <v>348078.64559999818</v>
      </c>
      <c r="CT261" s="7">
        <f t="shared" si="1427"/>
        <v>345758.11559999816</v>
      </c>
      <c r="CU261" s="7">
        <f t="shared" si="1428"/>
        <v>343437.58559999813</v>
      </c>
      <c r="CV261" s="7">
        <f t="shared" si="1429"/>
        <v>341117.0555999981</v>
      </c>
      <c r="CW261" s="7">
        <f t="shared" si="1430"/>
        <v>338796.52559999807</v>
      </c>
      <c r="CX261" s="7">
        <f t="shared" si="1431"/>
        <v>336475.99559999804</v>
      </c>
      <c r="CY261" s="7">
        <f t="shared" si="1432"/>
        <v>334155.46559999802</v>
      </c>
      <c r="CZ261" s="236">
        <f t="shared" si="1370"/>
        <v>7657.7302031999598</v>
      </c>
    </row>
    <row r="262" spans="1:104" ht="22.5" x14ac:dyDescent="0.2">
      <c r="A262" s="6" t="str">
        <f>'[1]2021 УГРЦТ'!A265</f>
        <v>КЛ-0,4 кВ электроснабжение объекта "Ненецкая СББЖ г.Нарьян-Мара"</v>
      </c>
      <c r="B262" t="str">
        <f>'[1]2021 УГРЦТ'!B265</f>
        <v>000001671</v>
      </c>
      <c r="C262" t="str">
        <f>'[1]2021 УГРЦТ'!C265</f>
        <v>ПЕРЕДАЧА</v>
      </c>
      <c r="D262" t="str">
        <f>'[1]2021 УГРЦТ'!D265</f>
        <v>Сооружения</v>
      </c>
      <c r="E262" t="str">
        <f>'[1]2021 УГРЦТ'!E265</f>
        <v>31.12.2015</v>
      </c>
      <c r="F262" t="str">
        <f>'[1]2021 УГРЦТ'!F265</f>
        <v>Цех электрических сетей</v>
      </c>
      <c r="G262">
        <f>'[1]2021 УГРЦТ'!AC265</f>
        <v>300</v>
      </c>
      <c r="H262" s="7">
        <f>'[1]2021 УГРЦТ'!X265</f>
        <v>1216470.52</v>
      </c>
      <c r="I262" s="7">
        <f>'[1]2021 УГРЦТ'!Y265</f>
        <v>291952.82079999999</v>
      </c>
      <c r="J262" s="7">
        <f>'[1]2021 УГРЦТ'!Z265</f>
        <v>924517.69920000003</v>
      </c>
      <c r="K262" s="8">
        <v>1</v>
      </c>
      <c r="L262" s="7">
        <v>4054.900000000001</v>
      </c>
      <c r="M262" s="7"/>
      <c r="N262" s="7">
        <f t="shared" si="1341"/>
        <v>48658.80000000001</v>
      </c>
      <c r="O262" s="7">
        <f t="shared" si="1433"/>
        <v>920462.79920000001</v>
      </c>
      <c r="P262" s="7">
        <f t="shared" si="1375"/>
        <v>916407.89919999999</v>
      </c>
      <c r="Q262" s="7">
        <f t="shared" si="1375"/>
        <v>912352.99919999996</v>
      </c>
      <c r="R262" s="7">
        <f t="shared" si="1375"/>
        <v>908298.09919999994</v>
      </c>
      <c r="S262" s="7">
        <f t="shared" si="1375"/>
        <v>904243.19919999992</v>
      </c>
      <c r="T262" s="7">
        <f t="shared" si="1375"/>
        <v>900188.29919999989</v>
      </c>
      <c r="U262" s="7">
        <f t="shared" si="1375"/>
        <v>896133.39919999987</v>
      </c>
      <c r="V262" s="7">
        <f t="shared" si="1375"/>
        <v>892078.49919999985</v>
      </c>
      <c r="W262" s="7">
        <f t="shared" si="1375"/>
        <v>888023.59919999982</v>
      </c>
      <c r="X262" s="7">
        <f t="shared" si="1375"/>
        <v>883968.6991999998</v>
      </c>
      <c r="Y262" s="7">
        <f t="shared" si="1375"/>
        <v>879913.79919999978</v>
      </c>
      <c r="Z262" s="7">
        <f t="shared" si="1375"/>
        <v>875858.89919999975</v>
      </c>
      <c r="AA262" s="7">
        <f t="shared" si="1382"/>
        <v>19804.1425824</v>
      </c>
      <c r="AB262" s="7"/>
      <c r="AC262" s="7">
        <f t="shared" si="1434"/>
        <v>48658.80000000001</v>
      </c>
      <c r="AD262" s="7">
        <f t="shared" si="1435"/>
        <v>871803.99919999973</v>
      </c>
      <c r="AE262" s="7">
        <f t="shared" si="1376"/>
        <v>867749.09919999971</v>
      </c>
      <c r="AF262" s="7">
        <f t="shared" si="1376"/>
        <v>863694.19919999968</v>
      </c>
      <c r="AG262" s="7">
        <f t="shared" si="1376"/>
        <v>859639.29919999966</v>
      </c>
      <c r="AH262" s="7">
        <f t="shared" si="1376"/>
        <v>855584.39919999964</v>
      </c>
      <c r="AI262" s="7">
        <f t="shared" si="1376"/>
        <v>851529.49919999961</v>
      </c>
      <c r="AJ262" s="7">
        <f t="shared" si="1376"/>
        <v>847474.59919999959</v>
      </c>
      <c r="AK262" s="7">
        <f t="shared" si="1376"/>
        <v>843419.69919999957</v>
      </c>
      <c r="AL262" s="7">
        <f t="shared" si="1376"/>
        <v>839364.79919999954</v>
      </c>
      <c r="AM262" s="7">
        <f t="shared" si="1376"/>
        <v>835309.89919999952</v>
      </c>
      <c r="AN262" s="7">
        <f t="shared" si="1376"/>
        <v>831254.9991999995</v>
      </c>
      <c r="AO262" s="7">
        <f t="shared" si="1376"/>
        <v>827200.09919999947</v>
      </c>
      <c r="AP262" s="222">
        <f t="shared" si="1383"/>
        <v>18733.648982399991</v>
      </c>
      <c r="AQ262" s="7">
        <v>4054.900000000001</v>
      </c>
      <c r="AR262" s="7">
        <f t="shared" si="1436"/>
        <v>4054.9000000000233</v>
      </c>
      <c r="AS262" s="7">
        <f t="shared" si="1437"/>
        <v>2.2282620193436742E-11</v>
      </c>
      <c r="AT262" s="7">
        <f t="shared" si="1384"/>
        <v>48658.80000000001</v>
      </c>
      <c r="AU262" s="7">
        <f t="shared" si="1377"/>
        <v>823145.19919999945</v>
      </c>
      <c r="AV262" s="7">
        <f t="shared" si="1378"/>
        <v>819090.29919999943</v>
      </c>
      <c r="AW262" s="7">
        <f t="shared" si="1378"/>
        <v>815035.3991999994</v>
      </c>
      <c r="AX262" s="7">
        <f t="shared" si="1378"/>
        <v>810980.49919999938</v>
      </c>
      <c r="AY262" s="7">
        <f t="shared" si="1378"/>
        <v>806925.59919999936</v>
      </c>
      <c r="AZ262" s="7">
        <f t="shared" si="1378"/>
        <v>802870.69919999933</v>
      </c>
      <c r="BA262" s="7">
        <f t="shared" si="1378"/>
        <v>798815.79919999931</v>
      </c>
      <c r="BB262" s="7">
        <f t="shared" si="1378"/>
        <v>794760.89919999929</v>
      </c>
      <c r="BC262" s="7">
        <f t="shared" si="1378"/>
        <v>790705.99919999926</v>
      </c>
      <c r="BD262" s="7">
        <f t="shared" si="1378"/>
        <v>786651.09919999924</v>
      </c>
      <c r="BE262" s="7">
        <f t="shared" si="1378"/>
        <v>782596.19919999922</v>
      </c>
      <c r="BF262" s="7">
        <f t="shared" si="1378"/>
        <v>778541.29919999919</v>
      </c>
      <c r="BG262" s="236">
        <f t="shared" si="1419"/>
        <v>17663.155382399986</v>
      </c>
      <c r="BH262" s="7">
        <v>4054.900000000001</v>
      </c>
      <c r="BI262" s="39">
        <f t="shared" si="1408"/>
        <v>48658.80000000001</v>
      </c>
      <c r="BJ262" s="7">
        <f t="shared" si="1385"/>
        <v>774486.39919999917</v>
      </c>
      <c r="BK262" s="7">
        <f t="shared" si="1386"/>
        <v>770431.49919999915</v>
      </c>
      <c r="BL262" s="7">
        <f t="shared" si="1387"/>
        <v>766376.59919999912</v>
      </c>
      <c r="BM262" s="7">
        <f t="shared" si="1388"/>
        <v>762321.6991999991</v>
      </c>
      <c r="BN262" s="7">
        <f t="shared" si="1389"/>
        <v>758266.79919999908</v>
      </c>
      <c r="BO262" s="7">
        <f t="shared" si="1390"/>
        <v>754211.89919999905</v>
      </c>
      <c r="BP262" s="7">
        <f t="shared" si="1391"/>
        <v>750156.99919999903</v>
      </c>
      <c r="BQ262" s="7">
        <f t="shared" si="1392"/>
        <v>746102.09919999901</v>
      </c>
      <c r="BR262" s="7">
        <f t="shared" si="1393"/>
        <v>742047.19919999898</v>
      </c>
      <c r="BS262" s="7">
        <f t="shared" si="1394"/>
        <v>737992.29919999896</v>
      </c>
      <c r="BT262" s="7">
        <f t="shared" si="1395"/>
        <v>733937.39919999894</v>
      </c>
      <c r="BU262" s="7">
        <f t="shared" si="1396"/>
        <v>729882.49919999891</v>
      </c>
      <c r="BV262" s="236">
        <f t="shared" si="1368"/>
        <v>16592.661782399977</v>
      </c>
      <c r="BW262" s="7">
        <v>4054.900000000001</v>
      </c>
      <c r="BX262" s="39">
        <f t="shared" si="1409"/>
        <v>48658.80000000001</v>
      </c>
      <c r="BY262" s="7">
        <f t="shared" si="1410"/>
        <v>725827.59919999889</v>
      </c>
      <c r="BZ262" s="7">
        <f t="shared" si="1397"/>
        <v>721772.69919999887</v>
      </c>
      <c r="CA262" s="7">
        <f t="shared" si="1398"/>
        <v>717717.79919999884</v>
      </c>
      <c r="CB262" s="7">
        <f t="shared" si="1399"/>
        <v>713662.89919999882</v>
      </c>
      <c r="CC262" s="7">
        <f t="shared" si="1411"/>
        <v>709607.9991999988</v>
      </c>
      <c r="CD262" s="7">
        <f t="shared" si="1412"/>
        <v>705553.09919999877</v>
      </c>
      <c r="CE262" s="7">
        <f t="shared" si="1413"/>
        <v>701498.19919999875</v>
      </c>
      <c r="CF262" s="7">
        <f t="shared" si="1414"/>
        <v>697443.29919999873</v>
      </c>
      <c r="CG262" s="7">
        <f t="shared" si="1415"/>
        <v>693388.3991999987</v>
      </c>
      <c r="CH262" s="7">
        <f t="shared" si="1416"/>
        <v>689333.49919999868</v>
      </c>
      <c r="CI262" s="7">
        <f t="shared" si="1417"/>
        <v>685278.59919999866</v>
      </c>
      <c r="CJ262" s="7">
        <f t="shared" si="1418"/>
        <v>681223.69919999863</v>
      </c>
      <c r="CK262" s="236">
        <f t="shared" si="1369"/>
        <v>15522.168182399975</v>
      </c>
      <c r="CL262" s="7">
        <v>4054.900000000001</v>
      </c>
      <c r="CM262" s="39">
        <f t="shared" si="1420"/>
        <v>48658.80000000001</v>
      </c>
      <c r="CN262" s="7">
        <f t="shared" si="1421"/>
        <v>677168.79919999861</v>
      </c>
      <c r="CO262" s="7">
        <f t="shared" si="1422"/>
        <v>673113.89919999859</v>
      </c>
      <c r="CP262" s="7">
        <f t="shared" si="1423"/>
        <v>669058.99919999857</v>
      </c>
      <c r="CQ262" s="7">
        <f t="shared" si="1424"/>
        <v>665004.09919999854</v>
      </c>
      <c r="CR262" s="7">
        <f t="shared" si="1425"/>
        <v>660949.19919999852</v>
      </c>
      <c r="CS262" s="7">
        <f t="shared" si="1426"/>
        <v>656894.2991999985</v>
      </c>
      <c r="CT262" s="7">
        <f t="shared" si="1427"/>
        <v>652839.39919999847</v>
      </c>
      <c r="CU262" s="7">
        <f t="shared" si="1428"/>
        <v>648784.49919999845</v>
      </c>
      <c r="CV262" s="7">
        <f t="shared" si="1429"/>
        <v>644729.59919999843</v>
      </c>
      <c r="CW262" s="7">
        <f t="shared" si="1430"/>
        <v>640674.6991999984</v>
      </c>
      <c r="CX262" s="7">
        <f t="shared" si="1431"/>
        <v>636619.79919999838</v>
      </c>
      <c r="CY262" s="7">
        <f t="shared" si="1432"/>
        <v>632564.89919999836</v>
      </c>
      <c r="CZ262" s="236">
        <f t="shared" si="1370"/>
        <v>14451.674582399966</v>
      </c>
    </row>
    <row r="263" spans="1:104" x14ac:dyDescent="0.2">
      <c r="A263" s="6" t="str">
        <f>'[1]2021 УГРЦТ'!A266</f>
        <v>КЛ-0,4 кВ(от  ТП Бондарная до очистных) 40м</v>
      </c>
      <c r="B263" t="str">
        <f>'[1]2021 УГРЦТ'!B266</f>
        <v>00001222</v>
      </c>
      <c r="C263" t="str">
        <f>'[1]2021 УГРЦТ'!C266</f>
        <v>ПЕРЕДАЧА</v>
      </c>
      <c r="D263" t="str">
        <f>'[1]2021 УГРЦТ'!D266</f>
        <v>Сооружения</v>
      </c>
      <c r="E263" t="str">
        <f>'[1]2021 УГРЦТ'!E266</f>
        <v>30.06.2010</v>
      </c>
      <c r="F263" t="str">
        <f>'[1]2021 УГРЦТ'!F266</f>
        <v>Цех электрических сетей</v>
      </c>
      <c r="G263">
        <f>'[1]2021 УГРЦТ'!AC266</f>
        <v>300</v>
      </c>
      <c r="H263" s="7">
        <f>'[1]2021 УГРЦТ'!X266</f>
        <v>28330.05</v>
      </c>
      <c r="I263" s="7">
        <f>'[1]2021 УГРЦТ'!Y266</f>
        <v>13031.382</v>
      </c>
      <c r="J263" s="7">
        <f>'[1]2021 УГРЦТ'!Z266</f>
        <v>15298.668</v>
      </c>
      <c r="K263" s="8">
        <v>1</v>
      </c>
      <c r="L263" s="7">
        <v>94.44</v>
      </c>
      <c r="M263" s="7"/>
      <c r="N263" s="7">
        <f t="shared" si="1341"/>
        <v>1133.28</v>
      </c>
      <c r="O263" s="7">
        <f t="shared" si="1433"/>
        <v>15204.227999999999</v>
      </c>
      <c r="P263" s="7">
        <f t="shared" ref="P263:Z278" si="1438">O263-$L263</f>
        <v>15109.787999999999</v>
      </c>
      <c r="Q263" s="7">
        <f t="shared" si="1438"/>
        <v>15015.347999999998</v>
      </c>
      <c r="R263" s="7">
        <f t="shared" si="1438"/>
        <v>14920.907999999998</v>
      </c>
      <c r="S263" s="7">
        <f t="shared" si="1438"/>
        <v>14826.467999999997</v>
      </c>
      <c r="T263" s="7">
        <f t="shared" si="1438"/>
        <v>14732.027999999997</v>
      </c>
      <c r="U263" s="7">
        <f t="shared" si="1438"/>
        <v>14637.587999999996</v>
      </c>
      <c r="V263" s="7">
        <f t="shared" si="1438"/>
        <v>14543.147999999996</v>
      </c>
      <c r="W263" s="7">
        <f t="shared" si="1438"/>
        <v>14448.707999999995</v>
      </c>
      <c r="X263" s="7">
        <f t="shared" si="1438"/>
        <v>14354.267999999995</v>
      </c>
      <c r="Y263" s="7">
        <f t="shared" si="1438"/>
        <v>14259.827999999994</v>
      </c>
      <c r="Z263" s="7">
        <f t="shared" si="1438"/>
        <v>14165.387999999994</v>
      </c>
      <c r="AA263" s="7">
        <f t="shared" si="1382"/>
        <v>324.10461599999996</v>
      </c>
      <c r="AB263" s="7"/>
      <c r="AC263" s="7">
        <f t="shared" si="1434"/>
        <v>1133.28</v>
      </c>
      <c r="AD263" s="7">
        <f t="shared" si="1435"/>
        <v>14070.947999999993</v>
      </c>
      <c r="AE263" s="7">
        <f t="shared" si="1376"/>
        <v>13976.507999999993</v>
      </c>
      <c r="AF263" s="7">
        <f t="shared" si="1376"/>
        <v>13882.067999999992</v>
      </c>
      <c r="AG263" s="7">
        <f t="shared" si="1376"/>
        <v>13787.627999999992</v>
      </c>
      <c r="AH263" s="7">
        <f t="shared" si="1376"/>
        <v>13693.187999999991</v>
      </c>
      <c r="AI263" s="7">
        <f t="shared" si="1376"/>
        <v>13598.74799999999</v>
      </c>
      <c r="AJ263" s="7">
        <f t="shared" si="1376"/>
        <v>13504.30799999999</v>
      </c>
      <c r="AK263" s="7">
        <f t="shared" si="1376"/>
        <v>13409.867999999989</v>
      </c>
      <c r="AL263" s="7">
        <f t="shared" si="1376"/>
        <v>13315.427999999989</v>
      </c>
      <c r="AM263" s="7">
        <f t="shared" si="1376"/>
        <v>13220.987999999988</v>
      </c>
      <c r="AN263" s="7">
        <f t="shared" si="1376"/>
        <v>13126.547999999988</v>
      </c>
      <c r="AO263" s="7">
        <f t="shared" si="1376"/>
        <v>13032.107999999987</v>
      </c>
      <c r="AP263" s="222">
        <f t="shared" si="1383"/>
        <v>299.17245599999978</v>
      </c>
      <c r="AQ263" s="7">
        <v>94.44</v>
      </c>
      <c r="AR263" s="7">
        <f t="shared" si="1436"/>
        <v>94.440000000000509</v>
      </c>
      <c r="AS263" s="7">
        <f t="shared" si="1437"/>
        <v>5.1159076974727213E-13</v>
      </c>
      <c r="AT263" s="7">
        <f t="shared" si="1384"/>
        <v>1133.28</v>
      </c>
      <c r="AU263" s="7">
        <f t="shared" si="1377"/>
        <v>12937.667999999987</v>
      </c>
      <c r="AV263" s="7">
        <f t="shared" si="1378"/>
        <v>12843.227999999986</v>
      </c>
      <c r="AW263" s="7">
        <f t="shared" si="1378"/>
        <v>12748.787999999986</v>
      </c>
      <c r="AX263" s="7">
        <f t="shared" si="1378"/>
        <v>12654.347999999985</v>
      </c>
      <c r="AY263" s="7">
        <f t="shared" si="1378"/>
        <v>12559.907999999985</v>
      </c>
      <c r="AZ263" s="7">
        <f t="shared" si="1378"/>
        <v>12465.467999999984</v>
      </c>
      <c r="BA263" s="7">
        <f t="shared" si="1378"/>
        <v>12371.027999999984</v>
      </c>
      <c r="BB263" s="7">
        <f t="shared" si="1378"/>
        <v>12276.587999999983</v>
      </c>
      <c r="BC263" s="7">
        <f t="shared" si="1378"/>
        <v>12182.147999999983</v>
      </c>
      <c r="BD263" s="7">
        <f t="shared" si="1378"/>
        <v>12087.707999999982</v>
      </c>
      <c r="BE263" s="7">
        <f t="shared" si="1378"/>
        <v>11993.267999999982</v>
      </c>
      <c r="BF263" s="7">
        <f t="shared" si="1378"/>
        <v>11898.827999999981</v>
      </c>
      <c r="BG263" s="236">
        <f t="shared" si="1419"/>
        <v>274.24029599999966</v>
      </c>
      <c r="BH263" s="7">
        <v>94.44</v>
      </c>
      <c r="BI263" s="39">
        <f t="shared" si="1408"/>
        <v>1133.28</v>
      </c>
      <c r="BJ263" s="7">
        <f t="shared" si="1385"/>
        <v>11804.387999999981</v>
      </c>
      <c r="BK263" s="7">
        <f t="shared" si="1386"/>
        <v>11709.94799999998</v>
      </c>
      <c r="BL263" s="7">
        <f t="shared" si="1387"/>
        <v>11615.50799999998</v>
      </c>
      <c r="BM263" s="7">
        <f t="shared" si="1388"/>
        <v>11521.067999999979</v>
      </c>
      <c r="BN263" s="7">
        <f t="shared" si="1389"/>
        <v>11426.627999999979</v>
      </c>
      <c r="BO263" s="7">
        <f t="shared" si="1390"/>
        <v>11332.187999999978</v>
      </c>
      <c r="BP263" s="7">
        <f t="shared" si="1391"/>
        <v>11237.747999999978</v>
      </c>
      <c r="BQ263" s="7">
        <f t="shared" si="1392"/>
        <v>11143.307999999977</v>
      </c>
      <c r="BR263" s="7">
        <f t="shared" si="1393"/>
        <v>11048.867999999977</v>
      </c>
      <c r="BS263" s="7">
        <f t="shared" si="1394"/>
        <v>10954.427999999976</v>
      </c>
      <c r="BT263" s="7">
        <f t="shared" si="1395"/>
        <v>10859.987999999976</v>
      </c>
      <c r="BU263" s="7">
        <f t="shared" si="1396"/>
        <v>10765.547999999975</v>
      </c>
      <c r="BV263" s="236">
        <f t="shared" si="1368"/>
        <v>249.30813599999948</v>
      </c>
      <c r="BW263" s="7">
        <v>94.44</v>
      </c>
      <c r="BX263" s="39">
        <f t="shared" si="1409"/>
        <v>1133.28</v>
      </c>
      <c r="BY263" s="7">
        <f t="shared" si="1410"/>
        <v>10671.107999999975</v>
      </c>
      <c r="BZ263" s="7">
        <f t="shared" si="1397"/>
        <v>10576.667999999974</v>
      </c>
      <c r="CA263" s="7">
        <f t="shared" si="1398"/>
        <v>10482.227999999974</v>
      </c>
      <c r="CB263" s="7">
        <f t="shared" si="1399"/>
        <v>10387.787999999973</v>
      </c>
      <c r="CC263" s="7">
        <f t="shared" si="1411"/>
        <v>10293.347999999973</v>
      </c>
      <c r="CD263" s="7">
        <f t="shared" si="1412"/>
        <v>10198.907999999972</v>
      </c>
      <c r="CE263" s="7">
        <f t="shared" si="1413"/>
        <v>10104.467999999972</v>
      </c>
      <c r="CF263" s="7">
        <f t="shared" si="1414"/>
        <v>10010.027999999971</v>
      </c>
      <c r="CG263" s="7">
        <f t="shared" si="1415"/>
        <v>9915.5879999999706</v>
      </c>
      <c r="CH263" s="7">
        <f t="shared" si="1416"/>
        <v>9821.1479999999701</v>
      </c>
      <c r="CI263" s="7">
        <f t="shared" si="1417"/>
        <v>9726.7079999999696</v>
      </c>
      <c r="CJ263" s="7">
        <f t="shared" si="1418"/>
        <v>9632.2679999999691</v>
      </c>
      <c r="CK263" s="236">
        <f t="shared" si="1369"/>
        <v>224.37597599999941</v>
      </c>
      <c r="CL263" s="7">
        <v>94.44</v>
      </c>
      <c r="CM263" s="39">
        <f t="shared" si="1420"/>
        <v>1133.28</v>
      </c>
      <c r="CN263" s="7">
        <f t="shared" si="1421"/>
        <v>9537.8279999999686</v>
      </c>
      <c r="CO263" s="7">
        <f t="shared" si="1422"/>
        <v>9443.3879999999681</v>
      </c>
      <c r="CP263" s="7">
        <f t="shared" si="1423"/>
        <v>9348.9479999999676</v>
      </c>
      <c r="CQ263" s="7">
        <f t="shared" si="1424"/>
        <v>9254.5079999999671</v>
      </c>
      <c r="CR263" s="7">
        <f t="shared" si="1425"/>
        <v>9160.0679999999666</v>
      </c>
      <c r="CS263" s="7">
        <f t="shared" si="1426"/>
        <v>9065.6279999999661</v>
      </c>
      <c r="CT263" s="7">
        <f t="shared" si="1427"/>
        <v>8971.1879999999655</v>
      </c>
      <c r="CU263" s="7">
        <f t="shared" si="1428"/>
        <v>8876.747999999965</v>
      </c>
      <c r="CV263" s="7">
        <f t="shared" si="1429"/>
        <v>8782.3079999999645</v>
      </c>
      <c r="CW263" s="7">
        <f t="shared" si="1430"/>
        <v>8687.867999999964</v>
      </c>
      <c r="CX263" s="7">
        <f t="shared" si="1431"/>
        <v>8593.4279999999635</v>
      </c>
      <c r="CY263" s="7">
        <f t="shared" si="1432"/>
        <v>8498.987999999963</v>
      </c>
      <c r="CZ263" s="236">
        <f t="shared" si="1370"/>
        <v>199.44381599999923</v>
      </c>
    </row>
    <row r="264" spans="1:104" x14ac:dyDescent="0.2">
      <c r="A264" s="6" t="str">
        <f>'[1]2021 УГРЦТ'!A267</f>
        <v>КЛ-0,4кВ (от  ТП Бондарная до ЛЭП-0,4)  25м</v>
      </c>
      <c r="B264" t="str">
        <f>'[1]2021 УГРЦТ'!B267</f>
        <v>00001227</v>
      </c>
      <c r="C264" t="str">
        <f>'[1]2021 УГРЦТ'!C267</f>
        <v>ПЕРЕДАЧА</v>
      </c>
      <c r="D264" t="str">
        <f>'[1]2021 УГРЦТ'!D267</f>
        <v>Сооружения</v>
      </c>
      <c r="E264" t="str">
        <f>'[1]2021 УГРЦТ'!E267</f>
        <v>30.06.2010</v>
      </c>
      <c r="F264" t="str">
        <f>'[1]2021 УГРЦТ'!F267</f>
        <v>Цех электрических сетей</v>
      </c>
      <c r="G264">
        <f>'[1]2021 УГРЦТ'!AC267</f>
        <v>300</v>
      </c>
      <c r="H264" s="7">
        <f>'[1]2021 УГРЦТ'!X267</f>
        <v>10494.92</v>
      </c>
      <c r="I264" s="7">
        <f>'[1]2021 УГРЦТ'!Y267</f>
        <v>4827.2767999999996</v>
      </c>
      <c r="J264" s="7">
        <f>'[1]2021 УГРЦТ'!Z267</f>
        <v>5667.6432000000004</v>
      </c>
      <c r="K264" s="8">
        <v>1</v>
      </c>
      <c r="L264" s="7">
        <v>34.99</v>
      </c>
      <c r="M264" s="7"/>
      <c r="N264" s="7">
        <f t="shared" si="1341"/>
        <v>419.88</v>
      </c>
      <c r="O264" s="7">
        <f t="shared" si="1433"/>
        <v>5632.6532000000007</v>
      </c>
      <c r="P264" s="7">
        <f t="shared" si="1438"/>
        <v>5597.6632000000009</v>
      </c>
      <c r="Q264" s="7">
        <f t="shared" si="1438"/>
        <v>5562.6732000000011</v>
      </c>
      <c r="R264" s="7">
        <f t="shared" si="1438"/>
        <v>5527.6832000000013</v>
      </c>
      <c r="S264" s="7">
        <f t="shared" si="1438"/>
        <v>5492.6932000000015</v>
      </c>
      <c r="T264" s="7">
        <f t="shared" si="1438"/>
        <v>5457.7032000000017</v>
      </c>
      <c r="U264" s="7">
        <f t="shared" si="1438"/>
        <v>5422.713200000002</v>
      </c>
      <c r="V264" s="7">
        <f t="shared" si="1438"/>
        <v>5387.7232000000022</v>
      </c>
      <c r="W264" s="7">
        <f t="shared" si="1438"/>
        <v>5352.7332000000024</v>
      </c>
      <c r="X264" s="7">
        <f t="shared" si="1438"/>
        <v>5317.7432000000026</v>
      </c>
      <c r="Y264" s="7">
        <f t="shared" si="1438"/>
        <v>5282.7532000000028</v>
      </c>
      <c r="Z264" s="7">
        <f t="shared" si="1438"/>
        <v>5247.7632000000031</v>
      </c>
      <c r="AA264" s="7">
        <f t="shared" si="1382"/>
        <v>120.06947040000006</v>
      </c>
      <c r="AB264" s="7"/>
      <c r="AC264" s="7">
        <f t="shared" si="1434"/>
        <v>419.88</v>
      </c>
      <c r="AD264" s="7">
        <f t="shared" si="1435"/>
        <v>5212.7732000000033</v>
      </c>
      <c r="AE264" s="7">
        <f t="shared" ref="AE264:AO279" si="1439">AD264-$L264</f>
        <v>5177.7832000000035</v>
      </c>
      <c r="AF264" s="7">
        <f t="shared" si="1439"/>
        <v>5142.7932000000037</v>
      </c>
      <c r="AG264" s="7">
        <f t="shared" si="1439"/>
        <v>5107.8032000000039</v>
      </c>
      <c r="AH264" s="7">
        <f t="shared" si="1439"/>
        <v>5072.8132000000041</v>
      </c>
      <c r="AI264" s="7">
        <f t="shared" si="1439"/>
        <v>5037.8232000000044</v>
      </c>
      <c r="AJ264" s="7">
        <f t="shared" si="1439"/>
        <v>5002.8332000000046</v>
      </c>
      <c r="AK264" s="7">
        <f t="shared" si="1439"/>
        <v>4967.8432000000048</v>
      </c>
      <c r="AL264" s="7">
        <f t="shared" si="1439"/>
        <v>4932.853200000005</v>
      </c>
      <c r="AM264" s="7">
        <f t="shared" si="1439"/>
        <v>4897.8632000000052</v>
      </c>
      <c r="AN264" s="7">
        <f t="shared" si="1439"/>
        <v>4862.8732000000055</v>
      </c>
      <c r="AO264" s="7">
        <f t="shared" si="1439"/>
        <v>4827.8832000000057</v>
      </c>
      <c r="AP264" s="222">
        <f t="shared" si="1383"/>
        <v>110.83211040000009</v>
      </c>
      <c r="AQ264" s="7">
        <v>34.99</v>
      </c>
      <c r="AR264" s="7">
        <f t="shared" si="1436"/>
        <v>34.989999999999782</v>
      </c>
      <c r="AS264" s="7">
        <f t="shared" si="1437"/>
        <v>-2.2026824808563106E-13</v>
      </c>
      <c r="AT264" s="7">
        <f t="shared" si="1384"/>
        <v>419.88</v>
      </c>
      <c r="AU264" s="7">
        <f t="shared" si="1377"/>
        <v>4792.8932000000059</v>
      </c>
      <c r="AV264" s="7">
        <f t="shared" ref="AV264:BF279" si="1440">AU264-$L264</f>
        <v>4757.9032000000061</v>
      </c>
      <c r="AW264" s="7">
        <f t="shared" si="1440"/>
        <v>4722.9132000000063</v>
      </c>
      <c r="AX264" s="7">
        <f t="shared" si="1440"/>
        <v>4687.9232000000065</v>
      </c>
      <c r="AY264" s="7">
        <f t="shared" si="1440"/>
        <v>4652.9332000000068</v>
      </c>
      <c r="AZ264" s="7">
        <f t="shared" si="1440"/>
        <v>4617.943200000007</v>
      </c>
      <c r="BA264" s="7">
        <f t="shared" si="1440"/>
        <v>4582.9532000000072</v>
      </c>
      <c r="BB264" s="7">
        <f t="shared" si="1440"/>
        <v>4547.9632000000074</v>
      </c>
      <c r="BC264" s="7">
        <f t="shared" si="1440"/>
        <v>4512.9732000000076</v>
      </c>
      <c r="BD264" s="7">
        <f t="shared" si="1440"/>
        <v>4477.9832000000079</v>
      </c>
      <c r="BE264" s="7">
        <f t="shared" si="1440"/>
        <v>4442.9932000000081</v>
      </c>
      <c r="BF264" s="7">
        <f t="shared" si="1440"/>
        <v>4408.0032000000083</v>
      </c>
      <c r="BG264" s="236">
        <f t="shared" si="1419"/>
        <v>101.59475040000015</v>
      </c>
      <c r="BH264" s="7">
        <v>34.99</v>
      </c>
      <c r="BI264" s="39">
        <f t="shared" si="1408"/>
        <v>419.88</v>
      </c>
      <c r="BJ264" s="7">
        <f t="shared" si="1385"/>
        <v>4373.0132000000085</v>
      </c>
      <c r="BK264" s="7">
        <f t="shared" si="1386"/>
        <v>4338.0232000000087</v>
      </c>
      <c r="BL264" s="7">
        <f t="shared" si="1387"/>
        <v>4303.0332000000089</v>
      </c>
      <c r="BM264" s="7">
        <f t="shared" si="1388"/>
        <v>4268.0432000000092</v>
      </c>
      <c r="BN264" s="7">
        <f t="shared" si="1389"/>
        <v>4233.0532000000094</v>
      </c>
      <c r="BO264" s="7">
        <f t="shared" si="1390"/>
        <v>4198.0632000000096</v>
      </c>
      <c r="BP264" s="7">
        <f t="shared" si="1391"/>
        <v>4163.0732000000098</v>
      </c>
      <c r="BQ264" s="7">
        <f t="shared" si="1392"/>
        <v>4128.08320000001</v>
      </c>
      <c r="BR264" s="7">
        <f t="shared" si="1393"/>
        <v>4093.0932000000103</v>
      </c>
      <c r="BS264" s="7">
        <f t="shared" si="1394"/>
        <v>4058.1032000000105</v>
      </c>
      <c r="BT264" s="7">
        <f t="shared" si="1395"/>
        <v>4023.1132000000107</v>
      </c>
      <c r="BU264" s="7">
        <f t="shared" si="1396"/>
        <v>3988.1232000000109</v>
      </c>
      <c r="BV264" s="236">
        <f t="shared" si="1368"/>
        <v>92.357390400000199</v>
      </c>
      <c r="BW264" s="7">
        <v>34.99</v>
      </c>
      <c r="BX264" s="39">
        <f t="shared" si="1409"/>
        <v>419.88</v>
      </c>
      <c r="BY264" s="7">
        <f t="shared" si="1410"/>
        <v>3953.1332000000111</v>
      </c>
      <c r="BZ264" s="7">
        <f t="shared" si="1397"/>
        <v>3918.1432000000113</v>
      </c>
      <c r="CA264" s="7">
        <f t="shared" si="1398"/>
        <v>3883.1532000000116</v>
      </c>
      <c r="CB264" s="7">
        <f t="shared" si="1399"/>
        <v>3848.1632000000118</v>
      </c>
      <c r="CC264" s="7">
        <f t="shared" si="1411"/>
        <v>3813.173200000012</v>
      </c>
      <c r="CD264" s="7">
        <f t="shared" si="1412"/>
        <v>3778.1832000000122</v>
      </c>
      <c r="CE264" s="7">
        <f t="shared" si="1413"/>
        <v>3743.1932000000124</v>
      </c>
      <c r="CF264" s="7">
        <f t="shared" si="1414"/>
        <v>3708.2032000000127</v>
      </c>
      <c r="CG264" s="7">
        <f t="shared" si="1415"/>
        <v>3673.2132000000129</v>
      </c>
      <c r="CH264" s="7">
        <f t="shared" si="1416"/>
        <v>3638.2232000000131</v>
      </c>
      <c r="CI264" s="7">
        <f t="shared" si="1417"/>
        <v>3603.2332000000133</v>
      </c>
      <c r="CJ264" s="7">
        <f t="shared" si="1418"/>
        <v>3568.2432000000135</v>
      </c>
      <c r="CK264" s="236">
        <f t="shared" si="1369"/>
        <v>83.12003040000026</v>
      </c>
      <c r="CL264" s="7">
        <v>34.99</v>
      </c>
      <c r="CM264" s="39">
        <f t="shared" si="1420"/>
        <v>419.88</v>
      </c>
      <c r="CN264" s="7">
        <f t="shared" si="1421"/>
        <v>3533.2532000000137</v>
      </c>
      <c r="CO264" s="7">
        <f t="shared" si="1422"/>
        <v>3498.263200000014</v>
      </c>
      <c r="CP264" s="7">
        <f t="shared" si="1423"/>
        <v>3463.2732000000142</v>
      </c>
      <c r="CQ264" s="7">
        <f t="shared" si="1424"/>
        <v>3428.2832000000144</v>
      </c>
      <c r="CR264" s="7">
        <f t="shared" si="1425"/>
        <v>3393.2932000000146</v>
      </c>
      <c r="CS264" s="7">
        <f t="shared" si="1426"/>
        <v>3358.3032000000148</v>
      </c>
      <c r="CT264" s="7">
        <f t="shared" si="1427"/>
        <v>3323.3132000000151</v>
      </c>
      <c r="CU264" s="7">
        <f t="shared" si="1428"/>
        <v>3288.3232000000153</v>
      </c>
      <c r="CV264" s="7">
        <f t="shared" si="1429"/>
        <v>3253.3332000000155</v>
      </c>
      <c r="CW264" s="7">
        <f t="shared" si="1430"/>
        <v>3218.3432000000157</v>
      </c>
      <c r="CX264" s="7">
        <f t="shared" si="1431"/>
        <v>3183.3532000000159</v>
      </c>
      <c r="CY264" s="7">
        <f t="shared" si="1432"/>
        <v>3148.3632000000161</v>
      </c>
      <c r="CZ264" s="236">
        <f t="shared" si="1370"/>
        <v>73.882670400000308</v>
      </c>
    </row>
    <row r="265" spans="1:104" ht="22.5" x14ac:dyDescent="0.2">
      <c r="A265" s="6" t="str">
        <f>'[1]2021 УГРЦТ'!A268</f>
        <v>КЛ-0,4кВ (от ТП № 104  до КНС2)  ул. Авиаторов 2013г (450 м)</v>
      </c>
      <c r="B265" t="str">
        <f>'[1]2021 УГРЦТ'!B268</f>
        <v>000001613</v>
      </c>
      <c r="C265" t="str">
        <f>'[1]2021 УГРЦТ'!C268</f>
        <v>ПЕРЕДАЧА</v>
      </c>
      <c r="D265" t="str">
        <f>'[1]2021 УГРЦТ'!D268</f>
        <v>Сооружения</v>
      </c>
      <c r="E265" t="str">
        <f>'[1]2021 УГРЦТ'!E268</f>
        <v>31.01.2014</v>
      </c>
      <c r="F265" t="str">
        <f>'[1]2021 УГРЦТ'!F268</f>
        <v>Цех электрических сетей</v>
      </c>
      <c r="G265">
        <f>'[1]2021 УГРЦТ'!AC268</f>
        <v>300</v>
      </c>
      <c r="H265" s="7">
        <f>'[1]2021 УГРЦТ'!X268</f>
        <v>1207827.9099999999</v>
      </c>
      <c r="I265" s="7">
        <f>'[1]2021 УГРЦТ'!Y268</f>
        <v>381492.66639999999</v>
      </c>
      <c r="J265" s="7">
        <f>'[1]2021 УГРЦТ'!Z268</f>
        <v>826335.24359999993</v>
      </c>
      <c r="K265" s="8">
        <v>1</v>
      </c>
      <c r="L265" s="7">
        <v>4026.0899999999988</v>
      </c>
      <c r="M265" s="7"/>
      <c r="N265" s="7">
        <f t="shared" si="1341"/>
        <v>48313.079999999987</v>
      </c>
      <c r="O265" s="7">
        <f t="shared" si="1433"/>
        <v>822309.15359999996</v>
      </c>
      <c r="P265" s="7">
        <f t="shared" si="1438"/>
        <v>818283.06359999999</v>
      </c>
      <c r="Q265" s="7">
        <f t="shared" si="1438"/>
        <v>814256.97360000003</v>
      </c>
      <c r="R265" s="7">
        <f t="shared" si="1438"/>
        <v>810230.88360000006</v>
      </c>
      <c r="S265" s="7">
        <f t="shared" si="1438"/>
        <v>806204.79360000009</v>
      </c>
      <c r="T265" s="7">
        <f t="shared" si="1438"/>
        <v>802178.70360000012</v>
      </c>
      <c r="U265" s="7">
        <f t="shared" si="1438"/>
        <v>798152.61360000016</v>
      </c>
      <c r="V265" s="7">
        <f t="shared" si="1438"/>
        <v>794126.52360000019</v>
      </c>
      <c r="W265" s="7">
        <f t="shared" si="1438"/>
        <v>790100.43360000022</v>
      </c>
      <c r="X265" s="7">
        <f t="shared" si="1438"/>
        <v>786074.34360000025</v>
      </c>
      <c r="Y265" s="7">
        <f t="shared" si="1438"/>
        <v>782048.25360000029</v>
      </c>
      <c r="Z265" s="7">
        <f t="shared" si="1438"/>
        <v>778022.16360000032</v>
      </c>
      <c r="AA265" s="7">
        <f t="shared" si="1382"/>
        <v>17647.9314792</v>
      </c>
      <c r="AB265" s="7"/>
      <c r="AC265" s="7">
        <f t="shared" si="1434"/>
        <v>48313.079999999987</v>
      </c>
      <c r="AD265" s="7">
        <f t="shared" si="1435"/>
        <v>773996.07360000035</v>
      </c>
      <c r="AE265" s="7">
        <f t="shared" si="1439"/>
        <v>769969.98360000039</v>
      </c>
      <c r="AF265" s="7">
        <f t="shared" si="1439"/>
        <v>765943.89360000042</v>
      </c>
      <c r="AG265" s="7">
        <f t="shared" si="1439"/>
        <v>761917.80360000045</v>
      </c>
      <c r="AH265" s="7">
        <f t="shared" si="1439"/>
        <v>757891.71360000048</v>
      </c>
      <c r="AI265" s="7">
        <f t="shared" si="1439"/>
        <v>753865.62360000052</v>
      </c>
      <c r="AJ265" s="7">
        <f t="shared" si="1439"/>
        <v>749839.53360000055</v>
      </c>
      <c r="AK265" s="7">
        <f t="shared" si="1439"/>
        <v>745813.44360000058</v>
      </c>
      <c r="AL265" s="7">
        <f t="shared" si="1439"/>
        <v>741787.35360000061</v>
      </c>
      <c r="AM265" s="7">
        <f t="shared" si="1439"/>
        <v>737761.26360000065</v>
      </c>
      <c r="AN265" s="7">
        <f t="shared" si="1439"/>
        <v>733735.17360000068</v>
      </c>
      <c r="AO265" s="7">
        <f t="shared" si="1439"/>
        <v>729709.08360000071</v>
      </c>
      <c r="AP265" s="222">
        <f t="shared" si="1383"/>
        <v>16585.04371920001</v>
      </c>
      <c r="AQ265" s="7">
        <v>4026.0899999999988</v>
      </c>
      <c r="AR265" s="7">
        <f t="shared" si="1436"/>
        <v>4026.0899999999674</v>
      </c>
      <c r="AS265" s="7">
        <f t="shared" si="1437"/>
        <v>-3.1377567211166024E-11</v>
      </c>
      <c r="AT265" s="7">
        <f t="shared" si="1384"/>
        <v>48313.079999999987</v>
      </c>
      <c r="AU265" s="7">
        <f t="shared" si="1377"/>
        <v>725682.99360000074</v>
      </c>
      <c r="AV265" s="7">
        <f t="shared" si="1440"/>
        <v>721656.90360000078</v>
      </c>
      <c r="AW265" s="7">
        <f t="shared" si="1440"/>
        <v>717630.81360000081</v>
      </c>
      <c r="AX265" s="7">
        <f t="shared" si="1440"/>
        <v>713604.72360000084</v>
      </c>
      <c r="AY265" s="7">
        <f t="shared" si="1440"/>
        <v>709578.63360000087</v>
      </c>
      <c r="AZ265" s="7">
        <f t="shared" si="1440"/>
        <v>705552.54360000091</v>
      </c>
      <c r="BA265" s="7">
        <f t="shared" si="1440"/>
        <v>701526.45360000094</v>
      </c>
      <c r="BB265" s="7">
        <f t="shared" si="1440"/>
        <v>697500.36360000097</v>
      </c>
      <c r="BC265" s="7">
        <f t="shared" si="1440"/>
        <v>693474.273600001</v>
      </c>
      <c r="BD265" s="7">
        <f t="shared" si="1440"/>
        <v>689448.18360000104</v>
      </c>
      <c r="BE265" s="7">
        <f t="shared" si="1440"/>
        <v>685422.09360000107</v>
      </c>
      <c r="BF265" s="7">
        <f t="shared" si="1440"/>
        <v>681396.0036000011</v>
      </c>
      <c r="BG265" s="236">
        <f t="shared" si="1419"/>
        <v>15522.155959200019</v>
      </c>
      <c r="BH265" s="7">
        <v>4026.0899999999988</v>
      </c>
      <c r="BI265" s="39">
        <f t="shared" si="1408"/>
        <v>48313.079999999987</v>
      </c>
      <c r="BJ265" s="7">
        <f t="shared" si="1385"/>
        <v>677369.91360000113</v>
      </c>
      <c r="BK265" s="7">
        <f t="shared" si="1386"/>
        <v>673343.82360000117</v>
      </c>
      <c r="BL265" s="7">
        <f t="shared" si="1387"/>
        <v>669317.7336000012</v>
      </c>
      <c r="BM265" s="7">
        <f t="shared" si="1388"/>
        <v>665291.64360000123</v>
      </c>
      <c r="BN265" s="7">
        <f t="shared" si="1389"/>
        <v>661265.55360000127</v>
      </c>
      <c r="BO265" s="7">
        <f t="shared" si="1390"/>
        <v>657239.4636000013</v>
      </c>
      <c r="BP265" s="7">
        <f t="shared" si="1391"/>
        <v>653213.37360000133</v>
      </c>
      <c r="BQ265" s="7">
        <f t="shared" si="1392"/>
        <v>649187.28360000136</v>
      </c>
      <c r="BR265" s="7">
        <f t="shared" si="1393"/>
        <v>645161.1936000014</v>
      </c>
      <c r="BS265" s="7">
        <f t="shared" si="1394"/>
        <v>641135.10360000143</v>
      </c>
      <c r="BT265" s="7">
        <f t="shared" si="1395"/>
        <v>637109.01360000146</v>
      </c>
      <c r="BU265" s="7">
        <f t="shared" si="1396"/>
        <v>633082.92360000149</v>
      </c>
      <c r="BV265" s="236">
        <f t="shared" si="1368"/>
        <v>14459.268199200031</v>
      </c>
      <c r="BW265" s="7">
        <v>4026.0899999999988</v>
      </c>
      <c r="BX265" s="39">
        <f t="shared" si="1409"/>
        <v>48313.079999999987</v>
      </c>
      <c r="BY265" s="7">
        <f t="shared" si="1410"/>
        <v>629056.83360000153</v>
      </c>
      <c r="BZ265" s="7">
        <f t="shared" si="1397"/>
        <v>625030.74360000156</v>
      </c>
      <c r="CA265" s="7">
        <f t="shared" si="1398"/>
        <v>621004.65360000159</v>
      </c>
      <c r="CB265" s="7">
        <f t="shared" si="1399"/>
        <v>616978.56360000162</v>
      </c>
      <c r="CC265" s="7">
        <f t="shared" si="1411"/>
        <v>612952.47360000166</v>
      </c>
      <c r="CD265" s="7">
        <f t="shared" si="1412"/>
        <v>608926.38360000169</v>
      </c>
      <c r="CE265" s="7">
        <f t="shared" si="1413"/>
        <v>604900.29360000172</v>
      </c>
      <c r="CF265" s="7">
        <f t="shared" si="1414"/>
        <v>600874.20360000175</v>
      </c>
      <c r="CG265" s="7">
        <f t="shared" si="1415"/>
        <v>596848.11360000179</v>
      </c>
      <c r="CH265" s="7">
        <f t="shared" si="1416"/>
        <v>592822.02360000182</v>
      </c>
      <c r="CI265" s="7">
        <f t="shared" si="1417"/>
        <v>588795.93360000185</v>
      </c>
      <c r="CJ265" s="7">
        <f t="shared" si="1418"/>
        <v>584769.84360000188</v>
      </c>
      <c r="CK265" s="236">
        <f t="shared" si="1369"/>
        <v>13396.380439200037</v>
      </c>
      <c r="CL265" s="7">
        <v>4026.0899999999988</v>
      </c>
      <c r="CM265" s="39">
        <f t="shared" si="1420"/>
        <v>48313.079999999987</v>
      </c>
      <c r="CN265" s="7">
        <f t="shared" si="1421"/>
        <v>580743.75360000192</v>
      </c>
      <c r="CO265" s="7">
        <f t="shared" si="1422"/>
        <v>576717.66360000195</v>
      </c>
      <c r="CP265" s="7">
        <f t="shared" si="1423"/>
        <v>572691.57360000198</v>
      </c>
      <c r="CQ265" s="7">
        <f t="shared" si="1424"/>
        <v>568665.48360000202</v>
      </c>
      <c r="CR265" s="7">
        <f t="shared" si="1425"/>
        <v>564639.39360000205</v>
      </c>
      <c r="CS265" s="7">
        <f t="shared" si="1426"/>
        <v>560613.30360000208</v>
      </c>
      <c r="CT265" s="7">
        <f t="shared" si="1427"/>
        <v>556587.21360000211</v>
      </c>
      <c r="CU265" s="7">
        <f t="shared" si="1428"/>
        <v>552561.12360000215</v>
      </c>
      <c r="CV265" s="7">
        <f t="shared" si="1429"/>
        <v>548535.03360000218</v>
      </c>
      <c r="CW265" s="7">
        <f t="shared" si="1430"/>
        <v>544508.94360000221</v>
      </c>
      <c r="CX265" s="7">
        <f t="shared" si="1431"/>
        <v>540482.85360000224</v>
      </c>
      <c r="CY265" s="7">
        <f t="shared" si="1432"/>
        <v>536456.76360000228</v>
      </c>
      <c r="CZ265" s="236">
        <f t="shared" si="1370"/>
        <v>12333.492679200048</v>
      </c>
    </row>
    <row r="266" spans="1:104" ht="22.5" x14ac:dyDescent="0.2">
      <c r="A266" s="6" t="str">
        <f>'[1]2021 УГРЦТ'!A269</f>
        <v>КЛ-0,4кВ (от ТП № 104  до котельной)  ул. Авиаторов 2013г (50 м)</v>
      </c>
      <c r="B266" t="str">
        <f>'[1]2021 УГРЦТ'!B269</f>
        <v>000001612</v>
      </c>
      <c r="C266" t="str">
        <f>'[1]2021 УГРЦТ'!C269</f>
        <v>ПЕРЕДАЧА</v>
      </c>
      <c r="D266" t="str">
        <f>'[1]2021 УГРЦТ'!D269</f>
        <v>Сооружения</v>
      </c>
      <c r="E266" t="str">
        <f>'[1]2021 УГРЦТ'!E269</f>
        <v>31.01.2014</v>
      </c>
      <c r="F266" t="str">
        <f>'[1]2021 УГРЦТ'!F269</f>
        <v>Цех электрических сетей</v>
      </c>
      <c r="G266">
        <f>'[1]2021 УГРЦТ'!AC269</f>
        <v>300</v>
      </c>
      <c r="H266" s="7">
        <f>'[1]2021 УГРЦТ'!X269</f>
        <v>159632.63</v>
      </c>
      <c r="I266" s="7">
        <f>'[1]2021 УГРЦТ'!Y269</f>
        <v>53562.195200000002</v>
      </c>
      <c r="J266" s="7">
        <f>'[1]2021 УГРЦТ'!Z269</f>
        <v>106070.4348</v>
      </c>
      <c r="K266" s="8">
        <v>1</v>
      </c>
      <c r="L266" s="7">
        <v>532.1099999999999</v>
      </c>
      <c r="M266" s="7"/>
      <c r="N266" s="7">
        <f t="shared" si="1341"/>
        <v>6385.3199999999988</v>
      </c>
      <c r="O266" s="7">
        <f t="shared" si="1433"/>
        <v>105538.3248</v>
      </c>
      <c r="P266" s="7">
        <f t="shared" si="1438"/>
        <v>105006.2148</v>
      </c>
      <c r="Q266" s="7">
        <f t="shared" si="1438"/>
        <v>104474.1048</v>
      </c>
      <c r="R266" s="7">
        <f t="shared" si="1438"/>
        <v>103941.9948</v>
      </c>
      <c r="S266" s="7">
        <f t="shared" si="1438"/>
        <v>103409.8848</v>
      </c>
      <c r="T266" s="7">
        <f t="shared" si="1438"/>
        <v>102877.7748</v>
      </c>
      <c r="U266" s="7">
        <f t="shared" si="1438"/>
        <v>102345.6648</v>
      </c>
      <c r="V266" s="7">
        <f t="shared" si="1438"/>
        <v>101813.5548</v>
      </c>
      <c r="W266" s="7">
        <f t="shared" si="1438"/>
        <v>101281.4448</v>
      </c>
      <c r="X266" s="7">
        <f t="shared" si="1438"/>
        <v>100749.3348</v>
      </c>
      <c r="Y266" s="7">
        <f t="shared" si="1438"/>
        <v>100217.2248</v>
      </c>
      <c r="Z266" s="7">
        <f t="shared" si="1438"/>
        <v>99685.114799999996</v>
      </c>
      <c r="AA266" s="7">
        <f t="shared" si="1382"/>
        <v>2263.3110456000004</v>
      </c>
      <c r="AB266" s="7"/>
      <c r="AC266" s="7">
        <f t="shared" si="1434"/>
        <v>6385.3199999999988</v>
      </c>
      <c r="AD266" s="7">
        <f t="shared" si="1435"/>
        <v>99153.004799999995</v>
      </c>
      <c r="AE266" s="7">
        <f t="shared" si="1439"/>
        <v>98620.894799999995</v>
      </c>
      <c r="AF266" s="7">
        <f t="shared" si="1439"/>
        <v>98088.784799999994</v>
      </c>
      <c r="AG266" s="7">
        <f t="shared" si="1439"/>
        <v>97556.674799999993</v>
      </c>
      <c r="AH266" s="7">
        <f t="shared" si="1439"/>
        <v>97024.564799999993</v>
      </c>
      <c r="AI266" s="7">
        <f t="shared" si="1439"/>
        <v>96492.454799999992</v>
      </c>
      <c r="AJ266" s="7">
        <f t="shared" si="1439"/>
        <v>95960.344799999992</v>
      </c>
      <c r="AK266" s="7">
        <f t="shared" si="1439"/>
        <v>95428.234799999991</v>
      </c>
      <c r="AL266" s="7">
        <f t="shared" si="1439"/>
        <v>94896.124799999991</v>
      </c>
      <c r="AM266" s="7">
        <f t="shared" si="1439"/>
        <v>94364.01479999999</v>
      </c>
      <c r="AN266" s="7">
        <f t="shared" si="1439"/>
        <v>93831.904799999989</v>
      </c>
      <c r="AO266" s="7">
        <f t="shared" si="1439"/>
        <v>93299.794799999989</v>
      </c>
      <c r="AP266" s="222">
        <f t="shared" si="1383"/>
        <v>2122.8340056000002</v>
      </c>
      <c r="AQ266" s="7">
        <v>532.1099999999999</v>
      </c>
      <c r="AR266" s="7">
        <f t="shared" si="1436"/>
        <v>532.11000000000058</v>
      </c>
      <c r="AS266" s="7">
        <f t="shared" si="1437"/>
        <v>0</v>
      </c>
      <c r="AT266" s="7">
        <f t="shared" si="1384"/>
        <v>6385.3199999999988</v>
      </c>
      <c r="AU266" s="7">
        <f t="shared" si="1377"/>
        <v>92767.684799999988</v>
      </c>
      <c r="AV266" s="7">
        <f t="shared" si="1440"/>
        <v>92235.574799999988</v>
      </c>
      <c r="AW266" s="7">
        <f t="shared" si="1440"/>
        <v>91703.464799999987</v>
      </c>
      <c r="AX266" s="7">
        <f t="shared" si="1440"/>
        <v>91171.354799999986</v>
      </c>
      <c r="AY266" s="7">
        <f t="shared" si="1440"/>
        <v>90639.244799999986</v>
      </c>
      <c r="AZ266" s="7">
        <f t="shared" si="1440"/>
        <v>90107.134799999985</v>
      </c>
      <c r="BA266" s="7">
        <f t="shared" si="1440"/>
        <v>89575.024799999985</v>
      </c>
      <c r="BB266" s="7">
        <f t="shared" si="1440"/>
        <v>89042.914799999984</v>
      </c>
      <c r="BC266" s="7">
        <f t="shared" si="1440"/>
        <v>88510.804799999984</v>
      </c>
      <c r="BD266" s="7">
        <f t="shared" si="1440"/>
        <v>87978.694799999983</v>
      </c>
      <c r="BE266" s="7">
        <f t="shared" si="1440"/>
        <v>87446.584799999982</v>
      </c>
      <c r="BF266" s="7">
        <f t="shared" si="1440"/>
        <v>86914.474799999982</v>
      </c>
      <c r="BG266" s="236">
        <f t="shared" si="1419"/>
        <v>1982.3569655999995</v>
      </c>
      <c r="BH266" s="7">
        <v>532.1099999999999</v>
      </c>
      <c r="BI266" s="39">
        <f t="shared" si="1408"/>
        <v>6385.3199999999988</v>
      </c>
      <c r="BJ266" s="7">
        <f t="shared" si="1385"/>
        <v>86382.364799999981</v>
      </c>
      <c r="BK266" s="7">
        <f t="shared" si="1386"/>
        <v>85850.254799999981</v>
      </c>
      <c r="BL266" s="7">
        <f t="shared" si="1387"/>
        <v>85318.14479999998</v>
      </c>
      <c r="BM266" s="7">
        <f t="shared" si="1388"/>
        <v>84786.034799999979</v>
      </c>
      <c r="BN266" s="7">
        <f t="shared" si="1389"/>
        <v>84253.924799999979</v>
      </c>
      <c r="BO266" s="7">
        <f t="shared" si="1390"/>
        <v>83721.814799999978</v>
      </c>
      <c r="BP266" s="7">
        <f t="shared" si="1391"/>
        <v>83189.704799999978</v>
      </c>
      <c r="BQ266" s="7">
        <f t="shared" si="1392"/>
        <v>82657.594799999977</v>
      </c>
      <c r="BR266" s="7">
        <f t="shared" si="1393"/>
        <v>82125.484799999977</v>
      </c>
      <c r="BS266" s="7">
        <f t="shared" si="1394"/>
        <v>81593.374799999976</v>
      </c>
      <c r="BT266" s="7">
        <f t="shared" si="1395"/>
        <v>81061.264799999975</v>
      </c>
      <c r="BU266" s="7">
        <f t="shared" si="1396"/>
        <v>80529.154799999975</v>
      </c>
      <c r="BV266" s="236">
        <f t="shared" si="1368"/>
        <v>1841.8799255999998</v>
      </c>
      <c r="BW266" s="7">
        <v>532.1099999999999</v>
      </c>
      <c r="BX266" s="39">
        <f t="shared" si="1409"/>
        <v>6385.3199999999988</v>
      </c>
      <c r="BY266" s="7">
        <f t="shared" si="1410"/>
        <v>79997.044799999974</v>
      </c>
      <c r="BZ266" s="7">
        <f t="shared" si="1397"/>
        <v>79464.934799999974</v>
      </c>
      <c r="CA266" s="7">
        <f t="shared" si="1398"/>
        <v>78932.824799999973</v>
      </c>
      <c r="CB266" s="7">
        <f t="shared" si="1399"/>
        <v>78400.714799999972</v>
      </c>
      <c r="CC266" s="7">
        <f t="shared" si="1411"/>
        <v>77868.604799999972</v>
      </c>
      <c r="CD266" s="7">
        <f t="shared" si="1412"/>
        <v>77336.494799999971</v>
      </c>
      <c r="CE266" s="7">
        <f t="shared" si="1413"/>
        <v>76804.384799999971</v>
      </c>
      <c r="CF266" s="7">
        <f t="shared" si="1414"/>
        <v>76272.27479999997</v>
      </c>
      <c r="CG266" s="7">
        <f t="shared" si="1415"/>
        <v>75740.16479999997</v>
      </c>
      <c r="CH266" s="7">
        <f t="shared" si="1416"/>
        <v>75208.054799999969</v>
      </c>
      <c r="CI266" s="7">
        <f t="shared" si="1417"/>
        <v>74675.944799999968</v>
      </c>
      <c r="CJ266" s="7">
        <f t="shared" si="1418"/>
        <v>74143.834799999968</v>
      </c>
      <c r="CK266" s="236">
        <f t="shared" si="1369"/>
        <v>1701.4028855999993</v>
      </c>
      <c r="CL266" s="7">
        <v>532.1099999999999</v>
      </c>
      <c r="CM266" s="39">
        <f t="shared" si="1420"/>
        <v>6385.3199999999988</v>
      </c>
      <c r="CN266" s="7">
        <f t="shared" si="1421"/>
        <v>73611.724799999967</v>
      </c>
      <c r="CO266" s="7">
        <f t="shared" si="1422"/>
        <v>73079.614799999967</v>
      </c>
      <c r="CP266" s="7">
        <f t="shared" si="1423"/>
        <v>72547.504799999966</v>
      </c>
      <c r="CQ266" s="7">
        <f t="shared" si="1424"/>
        <v>72015.394799999965</v>
      </c>
      <c r="CR266" s="7">
        <f t="shared" si="1425"/>
        <v>71483.284799999965</v>
      </c>
      <c r="CS266" s="7">
        <f t="shared" si="1426"/>
        <v>70951.174799999964</v>
      </c>
      <c r="CT266" s="7">
        <f t="shared" si="1427"/>
        <v>70419.064799999964</v>
      </c>
      <c r="CU266" s="7">
        <f t="shared" si="1428"/>
        <v>69886.954799999963</v>
      </c>
      <c r="CV266" s="7">
        <f t="shared" si="1429"/>
        <v>69354.844799999963</v>
      </c>
      <c r="CW266" s="7">
        <f t="shared" si="1430"/>
        <v>68822.734799999962</v>
      </c>
      <c r="CX266" s="7">
        <f t="shared" si="1431"/>
        <v>68290.624799999961</v>
      </c>
      <c r="CY266" s="7">
        <f t="shared" si="1432"/>
        <v>67758.514799999961</v>
      </c>
      <c r="CZ266" s="236">
        <f t="shared" si="1370"/>
        <v>1560.9258455999995</v>
      </c>
    </row>
    <row r="267" spans="1:104" x14ac:dyDescent="0.2">
      <c r="A267" s="6" t="str">
        <f>'[1]2021 УГРЦТ'!A270</f>
        <v>КЛ-0,4кВ от ТП-61 до магазина "Арбат"</v>
      </c>
      <c r="B267" t="str">
        <f>'[1]2021 УГРЦТ'!B270</f>
        <v>00001357</v>
      </c>
      <c r="C267" t="str">
        <f>'[1]2021 УГРЦТ'!C270</f>
        <v>ПЕРЕДАЧА</v>
      </c>
      <c r="D267" t="str">
        <f>'[1]2021 УГРЦТ'!D270</f>
        <v>Сооружения</v>
      </c>
      <c r="E267" t="str">
        <f>'[1]2021 УГРЦТ'!E270</f>
        <v>30.06.2011</v>
      </c>
      <c r="F267" t="str">
        <f>'[1]2021 УГРЦТ'!F270</f>
        <v>Цех электрических сетей</v>
      </c>
      <c r="G267">
        <f>'[1]2021 УГРЦТ'!AC270</f>
        <v>300</v>
      </c>
      <c r="H267" s="7">
        <f>'[1]2021 УГРЦТ'!X270</f>
        <v>43118.239999999998</v>
      </c>
      <c r="I267" s="7">
        <f>'[1]2021 УГРЦТ'!Y270</f>
        <v>18109.9496</v>
      </c>
      <c r="J267" s="7">
        <f>'[1]2021 УГРЦТ'!Z270</f>
        <v>25008.290399999998</v>
      </c>
      <c r="K267" s="8">
        <v>1</v>
      </c>
      <c r="L267" s="7">
        <v>143.72999999999999</v>
      </c>
      <c r="M267" s="7"/>
      <c r="N267" s="7">
        <f t="shared" si="1341"/>
        <v>1724.7599999999998</v>
      </c>
      <c r="O267" s="7">
        <f t="shared" si="1433"/>
        <v>24864.560399999998</v>
      </c>
      <c r="P267" s="7">
        <f t="shared" si="1438"/>
        <v>24720.830399999999</v>
      </c>
      <c r="Q267" s="7">
        <f t="shared" si="1438"/>
        <v>24577.100399999999</v>
      </c>
      <c r="R267" s="7">
        <f t="shared" si="1438"/>
        <v>24433.3704</v>
      </c>
      <c r="S267" s="7">
        <f t="shared" si="1438"/>
        <v>24289.6404</v>
      </c>
      <c r="T267" s="7">
        <f t="shared" si="1438"/>
        <v>24145.910400000001</v>
      </c>
      <c r="U267" s="7">
        <f t="shared" si="1438"/>
        <v>24002.180400000001</v>
      </c>
      <c r="V267" s="7">
        <f t="shared" si="1438"/>
        <v>23858.450400000002</v>
      </c>
      <c r="W267" s="7">
        <f t="shared" si="1438"/>
        <v>23714.720400000002</v>
      </c>
      <c r="X267" s="7">
        <f t="shared" si="1438"/>
        <v>23570.990400000002</v>
      </c>
      <c r="Y267" s="7">
        <f t="shared" si="1438"/>
        <v>23427.260400000003</v>
      </c>
      <c r="Z267" s="7">
        <f t="shared" si="1438"/>
        <v>23283.530400000003</v>
      </c>
      <c r="AA267" s="7">
        <f t="shared" si="1382"/>
        <v>531.21002880000003</v>
      </c>
      <c r="AB267" s="7"/>
      <c r="AC267" s="7">
        <f t="shared" si="1434"/>
        <v>1724.7599999999998</v>
      </c>
      <c r="AD267" s="7">
        <f t="shared" si="1435"/>
        <v>23139.800400000004</v>
      </c>
      <c r="AE267" s="7">
        <f t="shared" si="1439"/>
        <v>22996.070400000004</v>
      </c>
      <c r="AF267" s="7">
        <f t="shared" si="1439"/>
        <v>22852.340400000005</v>
      </c>
      <c r="AG267" s="7">
        <f t="shared" si="1439"/>
        <v>22708.610400000005</v>
      </c>
      <c r="AH267" s="7">
        <f t="shared" si="1439"/>
        <v>22564.880400000005</v>
      </c>
      <c r="AI267" s="7">
        <f t="shared" si="1439"/>
        <v>22421.150400000006</v>
      </c>
      <c r="AJ267" s="7">
        <f t="shared" si="1439"/>
        <v>22277.420400000006</v>
      </c>
      <c r="AK267" s="7">
        <f t="shared" si="1439"/>
        <v>22133.690400000007</v>
      </c>
      <c r="AL267" s="7">
        <f t="shared" si="1439"/>
        <v>21989.960400000007</v>
      </c>
      <c r="AM267" s="7">
        <f t="shared" si="1439"/>
        <v>21846.230400000008</v>
      </c>
      <c r="AN267" s="7">
        <f t="shared" si="1439"/>
        <v>21702.500400000008</v>
      </c>
      <c r="AO267" s="7">
        <f t="shared" si="1439"/>
        <v>21558.770400000009</v>
      </c>
      <c r="AP267" s="222">
        <f t="shared" si="1383"/>
        <v>493.26530880000013</v>
      </c>
      <c r="AQ267" s="7">
        <v>143.72999999999999</v>
      </c>
      <c r="AR267" s="7">
        <f t="shared" si="1436"/>
        <v>143.72999999999956</v>
      </c>
      <c r="AS267" s="7">
        <f t="shared" si="1437"/>
        <v>-4.2632564145606011E-13</v>
      </c>
      <c r="AT267" s="7">
        <f t="shared" si="1384"/>
        <v>1724.7599999999998</v>
      </c>
      <c r="AU267" s="7">
        <f t="shared" si="1377"/>
        <v>21415.040400000009</v>
      </c>
      <c r="AV267" s="7">
        <f t="shared" si="1440"/>
        <v>21271.310400000009</v>
      </c>
      <c r="AW267" s="7">
        <f t="shared" si="1440"/>
        <v>21127.58040000001</v>
      </c>
      <c r="AX267" s="7">
        <f t="shared" si="1440"/>
        <v>20983.85040000001</v>
      </c>
      <c r="AY267" s="7">
        <f t="shared" si="1440"/>
        <v>20840.120400000011</v>
      </c>
      <c r="AZ267" s="7">
        <f t="shared" si="1440"/>
        <v>20696.390400000011</v>
      </c>
      <c r="BA267" s="7">
        <f t="shared" si="1440"/>
        <v>20552.660400000012</v>
      </c>
      <c r="BB267" s="7">
        <f t="shared" si="1440"/>
        <v>20408.930400000012</v>
      </c>
      <c r="BC267" s="7">
        <f t="shared" si="1440"/>
        <v>20265.200400000012</v>
      </c>
      <c r="BD267" s="7">
        <f t="shared" si="1440"/>
        <v>20121.470400000013</v>
      </c>
      <c r="BE267" s="7">
        <f t="shared" si="1440"/>
        <v>19977.740400000013</v>
      </c>
      <c r="BF267" s="7">
        <f t="shared" si="1440"/>
        <v>19834.010400000014</v>
      </c>
      <c r="BG267" s="236">
        <f t="shared" si="1419"/>
        <v>455.32058880000028</v>
      </c>
      <c r="BH267" s="7">
        <v>143.72999999999999</v>
      </c>
      <c r="BI267" s="39">
        <f t="shared" si="1408"/>
        <v>1724.7599999999998</v>
      </c>
      <c r="BJ267" s="7">
        <f t="shared" si="1385"/>
        <v>19690.280400000014</v>
      </c>
      <c r="BK267" s="7">
        <f t="shared" si="1386"/>
        <v>19546.550400000015</v>
      </c>
      <c r="BL267" s="7">
        <f t="shared" si="1387"/>
        <v>19402.820400000015</v>
      </c>
      <c r="BM267" s="7">
        <f t="shared" si="1388"/>
        <v>19259.090400000016</v>
      </c>
      <c r="BN267" s="7">
        <f t="shared" si="1389"/>
        <v>19115.360400000016</v>
      </c>
      <c r="BO267" s="7">
        <f t="shared" si="1390"/>
        <v>18971.630400000016</v>
      </c>
      <c r="BP267" s="7">
        <f t="shared" si="1391"/>
        <v>18827.900400000017</v>
      </c>
      <c r="BQ267" s="7">
        <f t="shared" si="1392"/>
        <v>18684.170400000017</v>
      </c>
      <c r="BR267" s="7">
        <f t="shared" si="1393"/>
        <v>18540.440400000018</v>
      </c>
      <c r="BS267" s="7">
        <f t="shared" si="1394"/>
        <v>18396.710400000018</v>
      </c>
      <c r="BT267" s="7">
        <f t="shared" si="1395"/>
        <v>18252.980400000019</v>
      </c>
      <c r="BU267" s="7">
        <f t="shared" si="1396"/>
        <v>18109.250400000019</v>
      </c>
      <c r="BV267" s="236">
        <f t="shared" si="1368"/>
        <v>417.37586880000043</v>
      </c>
      <c r="BW267" s="7">
        <v>143.72999999999999</v>
      </c>
      <c r="BX267" s="39">
        <f t="shared" si="1409"/>
        <v>1724.7599999999998</v>
      </c>
      <c r="BY267" s="7">
        <f t="shared" si="1410"/>
        <v>17965.520400000019</v>
      </c>
      <c r="BZ267" s="7">
        <f t="shared" si="1397"/>
        <v>17821.79040000002</v>
      </c>
      <c r="CA267" s="7">
        <f t="shared" si="1398"/>
        <v>17678.06040000002</v>
      </c>
      <c r="CB267" s="7">
        <f t="shared" si="1399"/>
        <v>17534.330400000021</v>
      </c>
      <c r="CC267" s="7">
        <f t="shared" si="1411"/>
        <v>17390.600400000021</v>
      </c>
      <c r="CD267" s="7">
        <f t="shared" si="1412"/>
        <v>17246.870400000022</v>
      </c>
      <c r="CE267" s="7">
        <f t="shared" si="1413"/>
        <v>17103.140400000022</v>
      </c>
      <c r="CF267" s="7">
        <f t="shared" si="1414"/>
        <v>16959.410400000022</v>
      </c>
      <c r="CG267" s="7">
        <f t="shared" si="1415"/>
        <v>16815.680400000023</v>
      </c>
      <c r="CH267" s="7">
        <f t="shared" si="1416"/>
        <v>16671.950400000023</v>
      </c>
      <c r="CI267" s="7">
        <f t="shared" si="1417"/>
        <v>16528.220400000024</v>
      </c>
      <c r="CJ267" s="7">
        <f t="shared" si="1418"/>
        <v>16384.490400000024</v>
      </c>
      <c r="CK267" s="236">
        <f t="shared" si="1369"/>
        <v>379.43114880000047</v>
      </c>
      <c r="CL267" s="7">
        <v>143.72999999999999</v>
      </c>
      <c r="CM267" s="39">
        <f t="shared" si="1420"/>
        <v>1724.7599999999998</v>
      </c>
      <c r="CN267" s="7">
        <f t="shared" si="1421"/>
        <v>16240.760400000025</v>
      </c>
      <c r="CO267" s="7">
        <f t="shared" si="1422"/>
        <v>16097.030400000025</v>
      </c>
      <c r="CP267" s="7">
        <f t="shared" si="1423"/>
        <v>15953.300400000026</v>
      </c>
      <c r="CQ267" s="7">
        <f t="shared" si="1424"/>
        <v>15809.570400000026</v>
      </c>
      <c r="CR267" s="7">
        <f t="shared" si="1425"/>
        <v>15665.840400000026</v>
      </c>
      <c r="CS267" s="7">
        <f t="shared" si="1426"/>
        <v>15522.110400000027</v>
      </c>
      <c r="CT267" s="7">
        <f t="shared" si="1427"/>
        <v>15378.380400000027</v>
      </c>
      <c r="CU267" s="7">
        <f t="shared" si="1428"/>
        <v>15234.650400000028</v>
      </c>
      <c r="CV267" s="7">
        <f t="shared" si="1429"/>
        <v>15090.920400000028</v>
      </c>
      <c r="CW267" s="7">
        <f t="shared" si="1430"/>
        <v>14947.190400000029</v>
      </c>
      <c r="CX267" s="7">
        <f t="shared" si="1431"/>
        <v>14803.460400000029</v>
      </c>
      <c r="CY267" s="7">
        <f t="shared" si="1432"/>
        <v>14659.730400000029</v>
      </c>
      <c r="CZ267" s="236">
        <f t="shared" si="1370"/>
        <v>341.48642880000057</v>
      </c>
    </row>
    <row r="268" spans="1:104" x14ac:dyDescent="0.2">
      <c r="A268" s="6" t="str">
        <f>'[1]2021 УГРЦТ'!A271</f>
        <v>КЛ-0,4кВ от ТП-98 до ВЛ-0,4кВ"ЛедовыйДворец"120м</v>
      </c>
      <c r="B268" t="str">
        <f>'[1]2021 УГРЦТ'!B271</f>
        <v>00001473</v>
      </c>
      <c r="C268" t="str">
        <f>'[1]2021 УГРЦТ'!C271</f>
        <v>ПЕРЕДАЧА</v>
      </c>
      <c r="D268" t="str">
        <f>'[1]2021 УГРЦТ'!D271</f>
        <v>Сооружения</v>
      </c>
      <c r="E268" t="str">
        <f>'[1]2021 УГРЦТ'!E271</f>
        <v>31.12.2011</v>
      </c>
      <c r="F268" t="str">
        <f>'[1]2021 УГРЦТ'!F271</f>
        <v>Цех электрических сетей</v>
      </c>
      <c r="G268">
        <f>'[1]2021 УГРЦТ'!AC271</f>
        <v>300</v>
      </c>
      <c r="H268" s="7">
        <f>'[1]2021 УГРЦТ'!X271</f>
        <v>160102.93</v>
      </c>
      <c r="I268" s="7">
        <f>'[1]2021 УГРЦТ'!Y271</f>
        <v>64041.557200000003</v>
      </c>
      <c r="J268" s="7">
        <f>'[1]2021 УГРЦТ'!Z271</f>
        <v>96061.372799999983</v>
      </c>
      <c r="K268" s="8">
        <v>1</v>
      </c>
      <c r="L268" s="7">
        <v>533.66999999999996</v>
      </c>
      <c r="M268" s="7"/>
      <c r="N268" s="7">
        <f t="shared" si="1341"/>
        <v>6404.0399999999991</v>
      </c>
      <c r="O268" s="7">
        <f t="shared" si="1433"/>
        <v>95527.702799999985</v>
      </c>
      <c r="P268" s="7">
        <f t="shared" si="1438"/>
        <v>94994.032799999986</v>
      </c>
      <c r="Q268" s="7">
        <f t="shared" si="1438"/>
        <v>94460.362799999988</v>
      </c>
      <c r="R268" s="7">
        <f t="shared" si="1438"/>
        <v>93926.69279999999</v>
      </c>
      <c r="S268" s="7">
        <f t="shared" si="1438"/>
        <v>93393.022799999992</v>
      </c>
      <c r="T268" s="7">
        <f t="shared" si="1438"/>
        <v>92859.352799999993</v>
      </c>
      <c r="U268" s="7">
        <f t="shared" si="1438"/>
        <v>92325.682799999995</v>
      </c>
      <c r="V268" s="7">
        <f t="shared" si="1438"/>
        <v>91792.012799999997</v>
      </c>
      <c r="W268" s="7">
        <f t="shared" si="1438"/>
        <v>91258.342799999999</v>
      </c>
      <c r="X268" s="7">
        <f t="shared" si="1438"/>
        <v>90724.6728</v>
      </c>
      <c r="Y268" s="7">
        <f t="shared" si="1438"/>
        <v>90191.002800000002</v>
      </c>
      <c r="Z268" s="7">
        <f t="shared" si="1438"/>
        <v>89657.332800000004</v>
      </c>
      <c r="AA268" s="7">
        <f t="shared" si="1382"/>
        <v>2042.9057616</v>
      </c>
      <c r="AB268" s="7"/>
      <c r="AC268" s="7">
        <f t="shared" si="1434"/>
        <v>6404.0399999999991</v>
      </c>
      <c r="AD268" s="7">
        <f t="shared" si="1435"/>
        <v>89123.662800000006</v>
      </c>
      <c r="AE268" s="7">
        <f t="shared" si="1439"/>
        <v>88589.992800000007</v>
      </c>
      <c r="AF268" s="7">
        <f t="shared" si="1439"/>
        <v>88056.322800000009</v>
      </c>
      <c r="AG268" s="7">
        <f t="shared" si="1439"/>
        <v>87522.652800000011</v>
      </c>
      <c r="AH268" s="7">
        <f t="shared" si="1439"/>
        <v>86988.982800000013</v>
      </c>
      <c r="AI268" s="7">
        <f t="shared" si="1439"/>
        <v>86455.312800000014</v>
      </c>
      <c r="AJ268" s="7">
        <f t="shared" si="1439"/>
        <v>85921.642800000016</v>
      </c>
      <c r="AK268" s="7">
        <f t="shared" si="1439"/>
        <v>85387.972800000018</v>
      </c>
      <c r="AL268" s="7">
        <f t="shared" si="1439"/>
        <v>84854.302800000019</v>
      </c>
      <c r="AM268" s="7">
        <f t="shared" si="1439"/>
        <v>84320.632800000021</v>
      </c>
      <c r="AN268" s="7">
        <f t="shared" si="1439"/>
        <v>83786.962800000023</v>
      </c>
      <c r="AO268" s="7">
        <f t="shared" si="1439"/>
        <v>83253.292800000025</v>
      </c>
      <c r="AP268" s="222">
        <f t="shared" si="1383"/>
        <v>1902.0168816000003</v>
      </c>
      <c r="AQ268" s="7">
        <v>533.66999999999996</v>
      </c>
      <c r="AR268" s="7">
        <f t="shared" si="1436"/>
        <v>533.66999999999825</v>
      </c>
      <c r="AS268" s="7">
        <f t="shared" si="1437"/>
        <v>-1.7053025658242404E-12</v>
      </c>
      <c r="AT268" s="7">
        <f t="shared" si="1384"/>
        <v>6404.0399999999991</v>
      </c>
      <c r="AU268" s="7">
        <f t="shared" si="1377"/>
        <v>82719.622800000026</v>
      </c>
      <c r="AV268" s="7">
        <f t="shared" si="1440"/>
        <v>82185.952800000028</v>
      </c>
      <c r="AW268" s="7">
        <f t="shared" si="1440"/>
        <v>81652.28280000003</v>
      </c>
      <c r="AX268" s="7">
        <f t="shared" si="1440"/>
        <v>81118.612800000032</v>
      </c>
      <c r="AY268" s="7">
        <f t="shared" si="1440"/>
        <v>80584.942800000033</v>
      </c>
      <c r="AZ268" s="7">
        <f t="shared" si="1440"/>
        <v>80051.272800000035</v>
      </c>
      <c r="BA268" s="7">
        <f t="shared" si="1440"/>
        <v>79517.602800000037</v>
      </c>
      <c r="BB268" s="7">
        <f t="shared" si="1440"/>
        <v>78983.932800000039</v>
      </c>
      <c r="BC268" s="7">
        <f t="shared" si="1440"/>
        <v>78450.26280000004</v>
      </c>
      <c r="BD268" s="7">
        <f t="shared" si="1440"/>
        <v>77916.592800000042</v>
      </c>
      <c r="BE268" s="7">
        <f t="shared" si="1440"/>
        <v>77382.922800000044</v>
      </c>
      <c r="BF268" s="7">
        <f t="shared" si="1440"/>
        <v>76849.252800000046</v>
      </c>
      <c r="BG268" s="236">
        <f t="shared" si="1419"/>
        <v>1761.128001600001</v>
      </c>
      <c r="BH268" s="7">
        <v>533.66999999999996</v>
      </c>
      <c r="BI268" s="39">
        <f t="shared" si="1408"/>
        <v>6404.0399999999991</v>
      </c>
      <c r="BJ268" s="7">
        <f t="shared" si="1385"/>
        <v>76315.582800000047</v>
      </c>
      <c r="BK268" s="7">
        <f t="shared" si="1386"/>
        <v>75781.912800000049</v>
      </c>
      <c r="BL268" s="7">
        <f t="shared" si="1387"/>
        <v>75248.242800000051</v>
      </c>
      <c r="BM268" s="7">
        <f t="shared" si="1388"/>
        <v>74714.572800000053</v>
      </c>
      <c r="BN268" s="7">
        <f t="shared" si="1389"/>
        <v>74180.902800000054</v>
      </c>
      <c r="BO268" s="7">
        <f t="shared" si="1390"/>
        <v>73647.232800000056</v>
      </c>
      <c r="BP268" s="7">
        <f t="shared" si="1391"/>
        <v>73113.562800000058</v>
      </c>
      <c r="BQ268" s="7">
        <f t="shared" si="1392"/>
        <v>72579.89280000006</v>
      </c>
      <c r="BR268" s="7">
        <f t="shared" si="1393"/>
        <v>72046.222800000061</v>
      </c>
      <c r="BS268" s="7">
        <f t="shared" si="1394"/>
        <v>71512.552800000063</v>
      </c>
      <c r="BT268" s="7">
        <f t="shared" si="1395"/>
        <v>70978.882800000065</v>
      </c>
      <c r="BU268" s="7">
        <f t="shared" si="1396"/>
        <v>70445.212800000067</v>
      </c>
      <c r="BV268" s="236">
        <f t="shared" si="1368"/>
        <v>1620.2391216000012</v>
      </c>
      <c r="BW268" s="7">
        <v>533.66999999999996</v>
      </c>
      <c r="BX268" s="39">
        <f t="shared" si="1409"/>
        <v>6404.0399999999991</v>
      </c>
      <c r="BY268" s="7">
        <f t="shared" si="1410"/>
        <v>69911.542800000068</v>
      </c>
      <c r="BZ268" s="7">
        <f t="shared" si="1397"/>
        <v>69377.87280000007</v>
      </c>
      <c r="CA268" s="7">
        <f t="shared" si="1398"/>
        <v>68844.202800000072</v>
      </c>
      <c r="CB268" s="7">
        <f t="shared" si="1399"/>
        <v>68310.532800000074</v>
      </c>
      <c r="CC268" s="7">
        <f t="shared" si="1411"/>
        <v>67776.862800000075</v>
      </c>
      <c r="CD268" s="7">
        <f t="shared" si="1412"/>
        <v>67243.192800000077</v>
      </c>
      <c r="CE268" s="7">
        <f t="shared" si="1413"/>
        <v>66709.522800000079</v>
      </c>
      <c r="CF268" s="7">
        <f t="shared" si="1414"/>
        <v>66175.852800000081</v>
      </c>
      <c r="CG268" s="7">
        <f t="shared" si="1415"/>
        <v>65642.182800000082</v>
      </c>
      <c r="CH268" s="7">
        <f t="shared" si="1416"/>
        <v>65108.512800000084</v>
      </c>
      <c r="CI268" s="7">
        <f t="shared" si="1417"/>
        <v>64574.842800000086</v>
      </c>
      <c r="CJ268" s="7">
        <f t="shared" si="1418"/>
        <v>64041.172800000088</v>
      </c>
      <c r="CK268" s="236">
        <f t="shared" si="1369"/>
        <v>1479.3502416000019</v>
      </c>
      <c r="CL268" s="7">
        <v>533.66999999999996</v>
      </c>
      <c r="CM268" s="39">
        <f t="shared" si="1420"/>
        <v>6404.0399999999991</v>
      </c>
      <c r="CN268" s="7">
        <f t="shared" si="1421"/>
        <v>63507.502800000089</v>
      </c>
      <c r="CO268" s="7">
        <f t="shared" si="1422"/>
        <v>62973.832800000091</v>
      </c>
      <c r="CP268" s="7">
        <f t="shared" si="1423"/>
        <v>62440.162800000093</v>
      </c>
      <c r="CQ268" s="7">
        <f t="shared" si="1424"/>
        <v>61906.492800000095</v>
      </c>
      <c r="CR268" s="7">
        <f t="shared" si="1425"/>
        <v>61372.822800000096</v>
      </c>
      <c r="CS268" s="7">
        <f t="shared" si="1426"/>
        <v>60839.152800000098</v>
      </c>
      <c r="CT268" s="7">
        <f t="shared" si="1427"/>
        <v>60305.4828000001</v>
      </c>
      <c r="CU268" s="7">
        <f t="shared" si="1428"/>
        <v>59771.812800000102</v>
      </c>
      <c r="CV268" s="7">
        <f t="shared" si="1429"/>
        <v>59238.142800000103</v>
      </c>
      <c r="CW268" s="7">
        <f t="shared" si="1430"/>
        <v>58704.472800000105</v>
      </c>
      <c r="CX268" s="7">
        <f t="shared" si="1431"/>
        <v>58170.802800000107</v>
      </c>
      <c r="CY268" s="7">
        <f t="shared" si="1432"/>
        <v>57637.132800000109</v>
      </c>
      <c r="CZ268" s="236">
        <f t="shared" si="1370"/>
        <v>1338.4613616000022</v>
      </c>
    </row>
    <row r="269" spans="1:104" x14ac:dyDescent="0.2">
      <c r="A269" s="6" t="str">
        <f>'[1]2021 УГРЦТ'!A272</f>
        <v>КЛ-6 кВ ввод в ТП №44</v>
      </c>
      <c r="B269" t="str">
        <f>'[1]2021 УГРЦТ'!B272</f>
        <v>000001670</v>
      </c>
      <c r="C269" t="str">
        <f>'[1]2021 УГРЦТ'!C272</f>
        <v>ПЕРЕДАЧА</v>
      </c>
      <c r="D269" t="str">
        <f>'[1]2021 УГРЦТ'!D272</f>
        <v>Сооружения</v>
      </c>
      <c r="E269" t="str">
        <f>'[1]2021 УГРЦТ'!E272</f>
        <v>31.12.2015</v>
      </c>
      <c r="F269" t="str">
        <f>'[1]2021 УГРЦТ'!F272</f>
        <v>Цех электрических сетей</v>
      </c>
      <c r="G269">
        <f>'[1]2021 УГРЦТ'!AC272</f>
        <v>300</v>
      </c>
      <c r="H269" s="7">
        <f>'[1]2021 УГРЦТ'!X272</f>
        <v>810099.76</v>
      </c>
      <c r="I269" s="7">
        <f>'[1]2021 УГРЦТ'!Y272</f>
        <v>194423.7904</v>
      </c>
      <c r="J269" s="7">
        <f>'[1]2021 УГРЦТ'!Z272</f>
        <v>615675.96959999995</v>
      </c>
      <c r="K269" s="8">
        <v>1</v>
      </c>
      <c r="L269" s="7">
        <v>2700.3300000000004</v>
      </c>
      <c r="M269" s="7"/>
      <c r="N269" s="7">
        <f t="shared" si="1341"/>
        <v>32403.960000000006</v>
      </c>
      <c r="O269" s="7">
        <f t="shared" si="1433"/>
        <v>612975.63959999999</v>
      </c>
      <c r="P269" s="7">
        <f t="shared" si="1438"/>
        <v>610275.30960000004</v>
      </c>
      <c r="Q269" s="7">
        <f t="shared" si="1438"/>
        <v>607574.97960000008</v>
      </c>
      <c r="R269" s="7">
        <f t="shared" si="1438"/>
        <v>604874.64960000012</v>
      </c>
      <c r="S269" s="7">
        <f t="shared" si="1438"/>
        <v>602174.31960000016</v>
      </c>
      <c r="T269" s="7">
        <f t="shared" si="1438"/>
        <v>599473.9896000002</v>
      </c>
      <c r="U269" s="7">
        <f t="shared" si="1438"/>
        <v>596773.65960000025</v>
      </c>
      <c r="V269" s="7">
        <f t="shared" si="1438"/>
        <v>594073.32960000029</v>
      </c>
      <c r="W269" s="7">
        <f t="shared" si="1438"/>
        <v>591372.99960000033</v>
      </c>
      <c r="X269" s="7">
        <f t="shared" si="1438"/>
        <v>588672.66960000037</v>
      </c>
      <c r="Y269" s="7">
        <f t="shared" si="1438"/>
        <v>585972.33960000041</v>
      </c>
      <c r="Z269" s="7">
        <f t="shared" si="1438"/>
        <v>583272.00960000046</v>
      </c>
      <c r="AA269" s="7">
        <f t="shared" si="1382"/>
        <v>13188.427771200004</v>
      </c>
      <c r="AB269" s="7"/>
      <c r="AC269" s="7">
        <f t="shared" si="1434"/>
        <v>32403.960000000006</v>
      </c>
      <c r="AD269" s="7">
        <f t="shared" si="1435"/>
        <v>580571.6796000005</v>
      </c>
      <c r="AE269" s="7">
        <f t="shared" si="1439"/>
        <v>577871.34960000054</v>
      </c>
      <c r="AF269" s="7">
        <f t="shared" si="1439"/>
        <v>575171.01960000058</v>
      </c>
      <c r="AG269" s="7">
        <f t="shared" si="1439"/>
        <v>572470.68960000062</v>
      </c>
      <c r="AH269" s="7">
        <f t="shared" si="1439"/>
        <v>569770.35960000067</v>
      </c>
      <c r="AI269" s="7">
        <f t="shared" si="1439"/>
        <v>567070.02960000071</v>
      </c>
      <c r="AJ269" s="7">
        <f t="shared" si="1439"/>
        <v>564369.69960000075</v>
      </c>
      <c r="AK269" s="7">
        <f t="shared" si="1439"/>
        <v>561669.36960000079</v>
      </c>
      <c r="AL269" s="7">
        <f t="shared" si="1439"/>
        <v>558969.03960000083</v>
      </c>
      <c r="AM269" s="7">
        <f t="shared" si="1439"/>
        <v>556268.70960000088</v>
      </c>
      <c r="AN269" s="7">
        <f t="shared" si="1439"/>
        <v>553568.37960000092</v>
      </c>
      <c r="AO269" s="7">
        <f t="shared" si="1439"/>
        <v>550868.04960000096</v>
      </c>
      <c r="AP269" s="222">
        <f t="shared" si="1383"/>
        <v>12475.540651200015</v>
      </c>
      <c r="AQ269" s="7">
        <v>2700.3300000000004</v>
      </c>
      <c r="AR269" s="7">
        <f t="shared" si="1436"/>
        <v>2700.3299999999581</v>
      </c>
      <c r="AS269" s="7">
        <f t="shared" si="1437"/>
        <v>-4.2291503632441163E-11</v>
      </c>
      <c r="AT269" s="7">
        <f t="shared" si="1384"/>
        <v>32403.960000000006</v>
      </c>
      <c r="AU269" s="7">
        <f t="shared" si="1377"/>
        <v>548167.719600001</v>
      </c>
      <c r="AV269" s="7">
        <f t="shared" si="1440"/>
        <v>545467.38960000104</v>
      </c>
      <c r="AW269" s="7">
        <f t="shared" si="1440"/>
        <v>542767.05960000108</v>
      </c>
      <c r="AX269" s="7">
        <f t="shared" si="1440"/>
        <v>540066.72960000113</v>
      </c>
      <c r="AY269" s="7">
        <f t="shared" si="1440"/>
        <v>537366.39960000117</v>
      </c>
      <c r="AZ269" s="7">
        <f t="shared" si="1440"/>
        <v>534666.06960000121</v>
      </c>
      <c r="BA269" s="7">
        <f t="shared" si="1440"/>
        <v>531965.73960000125</v>
      </c>
      <c r="BB269" s="7">
        <f t="shared" si="1440"/>
        <v>529265.40960000129</v>
      </c>
      <c r="BC269" s="7">
        <f t="shared" si="1440"/>
        <v>526565.07960000134</v>
      </c>
      <c r="BD269" s="7">
        <f t="shared" si="1440"/>
        <v>523864.74960000132</v>
      </c>
      <c r="BE269" s="7">
        <f t="shared" si="1440"/>
        <v>521164.4196000013</v>
      </c>
      <c r="BF269" s="7">
        <f t="shared" si="1440"/>
        <v>518464.08960000129</v>
      </c>
      <c r="BG269" s="236">
        <f t="shared" si="1419"/>
        <v>11762.653531200025</v>
      </c>
      <c r="BH269" s="7">
        <v>2700.3300000000004</v>
      </c>
      <c r="BI269" s="39">
        <f t="shared" si="1408"/>
        <v>32403.960000000006</v>
      </c>
      <c r="BJ269" s="7">
        <f t="shared" si="1385"/>
        <v>515763.75960000127</v>
      </c>
      <c r="BK269" s="7">
        <f t="shared" si="1386"/>
        <v>513063.42960000125</v>
      </c>
      <c r="BL269" s="7">
        <f t="shared" si="1387"/>
        <v>510363.09960000124</v>
      </c>
      <c r="BM269" s="7">
        <f t="shared" si="1388"/>
        <v>507662.76960000122</v>
      </c>
      <c r="BN269" s="7">
        <f t="shared" si="1389"/>
        <v>504962.43960000121</v>
      </c>
      <c r="BO269" s="7">
        <f t="shared" si="1390"/>
        <v>502262.10960000119</v>
      </c>
      <c r="BP269" s="7">
        <f t="shared" si="1391"/>
        <v>499561.77960000117</v>
      </c>
      <c r="BQ269" s="7">
        <f t="shared" si="1392"/>
        <v>496861.44960000116</v>
      </c>
      <c r="BR269" s="7">
        <f t="shared" si="1393"/>
        <v>494161.11960000114</v>
      </c>
      <c r="BS269" s="7">
        <f t="shared" si="1394"/>
        <v>491460.78960000112</v>
      </c>
      <c r="BT269" s="7">
        <f t="shared" si="1395"/>
        <v>488760.45960000111</v>
      </c>
      <c r="BU269" s="7">
        <f t="shared" si="1396"/>
        <v>486060.12960000109</v>
      </c>
      <c r="BV269" s="236">
        <f t="shared" si="1368"/>
        <v>11049.766411200024</v>
      </c>
      <c r="BW269" s="7">
        <v>2700.3300000000004</v>
      </c>
      <c r="BX269" s="39">
        <f t="shared" si="1409"/>
        <v>32403.960000000006</v>
      </c>
      <c r="BY269" s="7">
        <f t="shared" si="1410"/>
        <v>483359.79960000108</v>
      </c>
      <c r="BZ269" s="7">
        <f t="shared" si="1397"/>
        <v>480659.46960000106</v>
      </c>
      <c r="CA269" s="7">
        <f t="shared" si="1398"/>
        <v>477959.13960000104</v>
      </c>
      <c r="CB269" s="7">
        <f t="shared" si="1399"/>
        <v>475258.80960000103</v>
      </c>
      <c r="CC269" s="7">
        <f t="shared" si="1411"/>
        <v>472558.47960000101</v>
      </c>
      <c r="CD269" s="7">
        <f t="shared" si="1412"/>
        <v>469858.14960000099</v>
      </c>
      <c r="CE269" s="7">
        <f t="shared" si="1413"/>
        <v>467157.81960000098</v>
      </c>
      <c r="CF269" s="7">
        <f t="shared" si="1414"/>
        <v>464457.48960000096</v>
      </c>
      <c r="CG269" s="7">
        <f t="shared" si="1415"/>
        <v>461757.15960000094</v>
      </c>
      <c r="CH269" s="7">
        <f t="shared" si="1416"/>
        <v>459056.82960000093</v>
      </c>
      <c r="CI269" s="7">
        <f t="shared" si="1417"/>
        <v>456356.49960000091</v>
      </c>
      <c r="CJ269" s="7">
        <f t="shared" si="1418"/>
        <v>453656.1696000009</v>
      </c>
      <c r="CK269" s="236">
        <f t="shared" si="1369"/>
        <v>10336.879291200021</v>
      </c>
      <c r="CL269" s="7">
        <v>2700.3300000000004</v>
      </c>
      <c r="CM269" s="39">
        <f t="shared" si="1420"/>
        <v>32403.960000000006</v>
      </c>
      <c r="CN269" s="7">
        <f t="shared" si="1421"/>
        <v>450955.83960000088</v>
      </c>
      <c r="CO269" s="7">
        <f t="shared" si="1422"/>
        <v>448255.50960000086</v>
      </c>
      <c r="CP269" s="7">
        <f t="shared" si="1423"/>
        <v>445555.17960000085</v>
      </c>
      <c r="CQ269" s="7">
        <f t="shared" si="1424"/>
        <v>442854.84960000083</v>
      </c>
      <c r="CR269" s="7">
        <f t="shared" si="1425"/>
        <v>440154.51960000081</v>
      </c>
      <c r="CS269" s="7">
        <f t="shared" si="1426"/>
        <v>437454.1896000008</v>
      </c>
      <c r="CT269" s="7">
        <f t="shared" si="1427"/>
        <v>434753.85960000078</v>
      </c>
      <c r="CU269" s="7">
        <f t="shared" si="1428"/>
        <v>432053.52960000077</v>
      </c>
      <c r="CV269" s="7">
        <f t="shared" si="1429"/>
        <v>429353.19960000075</v>
      </c>
      <c r="CW269" s="7">
        <f t="shared" si="1430"/>
        <v>426652.86960000073</v>
      </c>
      <c r="CX269" s="7">
        <f t="shared" si="1431"/>
        <v>423952.53960000072</v>
      </c>
      <c r="CY269" s="7">
        <f t="shared" si="1432"/>
        <v>421252.2096000007</v>
      </c>
      <c r="CZ269" s="236">
        <f t="shared" si="1370"/>
        <v>9623.9921712000178</v>
      </c>
    </row>
    <row r="270" spans="1:104" x14ac:dyDescent="0.2">
      <c r="A270" s="6" t="str">
        <f>'[1]2021 УГРЦТ'!A273</f>
        <v>КЛ-6 кВ от ВЛ-6 кВ до ТП 57 "Геолог"</v>
      </c>
      <c r="B270" t="str">
        <f>'[1]2021 УГРЦТ'!B273</f>
        <v>000001858</v>
      </c>
      <c r="C270" t="str">
        <f>'[1]2021 УГРЦТ'!C273</f>
        <v>ПЕРЕДАЧА</v>
      </c>
      <c r="D270" t="str">
        <f>'[1]2021 УГРЦТ'!D273</f>
        <v>Сооружения</v>
      </c>
      <c r="E270" t="str">
        <f>'[1]2021 УГРЦТ'!E273</f>
        <v>11.06.2021</v>
      </c>
      <c r="F270" t="str">
        <f>'[1]2021 УГРЦТ'!F273</f>
        <v>Цех электрических сетей</v>
      </c>
      <c r="G270">
        <f>'[1]2021 УГРЦТ'!AC273</f>
        <v>300</v>
      </c>
      <c r="H270" s="7">
        <f>'[1]2021 УГРЦТ'!X273</f>
        <v>5154423.37</v>
      </c>
      <c r="I270" s="7">
        <f>'[1]2021 УГРЦТ'!Y273</f>
        <v>103088.46739999999</v>
      </c>
      <c r="J270" s="7">
        <f>'[1]2021 УГРЦТ'!Z273</f>
        <v>5051334.9025999997</v>
      </c>
      <c r="K270" s="8">
        <v>1</v>
      </c>
      <c r="L270" s="7">
        <v>17181.41</v>
      </c>
      <c r="M270" s="7"/>
      <c r="N270" s="7">
        <f t="shared" si="1341"/>
        <v>206176.91999999998</v>
      </c>
      <c r="O270" s="7">
        <f t="shared" si="1433"/>
        <v>5034153.4925999995</v>
      </c>
      <c r="P270" s="7">
        <f t="shared" si="1438"/>
        <v>5016972.0825999994</v>
      </c>
      <c r="Q270" s="7">
        <f t="shared" si="1438"/>
        <v>4999790.6725999992</v>
      </c>
      <c r="R270" s="7">
        <f t="shared" si="1438"/>
        <v>4982609.2625999991</v>
      </c>
      <c r="S270" s="7">
        <f t="shared" si="1438"/>
        <v>4965427.8525999989</v>
      </c>
      <c r="T270" s="7">
        <f t="shared" si="1438"/>
        <v>4948246.4425999988</v>
      </c>
      <c r="U270" s="7">
        <f t="shared" si="1438"/>
        <v>4931065.0325999986</v>
      </c>
      <c r="V270" s="7">
        <f t="shared" si="1438"/>
        <v>4913883.6225999985</v>
      </c>
      <c r="W270" s="7">
        <f t="shared" si="1438"/>
        <v>4896702.2125999983</v>
      </c>
      <c r="X270" s="7">
        <f t="shared" si="1438"/>
        <v>4879520.8025999982</v>
      </c>
      <c r="Y270" s="7">
        <f t="shared" si="1438"/>
        <v>4862339.392599998</v>
      </c>
      <c r="Z270" s="7">
        <f t="shared" si="1438"/>
        <v>4845157.9825999979</v>
      </c>
      <c r="AA270" s="7">
        <f t="shared" si="1382"/>
        <v>108861.42173719997</v>
      </c>
      <c r="AB270" s="7"/>
      <c r="AC270" s="7">
        <f t="shared" si="1434"/>
        <v>206176.91999999998</v>
      </c>
      <c r="AD270" s="7">
        <f t="shared" si="1435"/>
        <v>4827976.5725999977</v>
      </c>
      <c r="AE270" s="7">
        <f t="shared" si="1439"/>
        <v>4810795.1625999976</v>
      </c>
      <c r="AF270" s="7">
        <f t="shared" si="1439"/>
        <v>4793613.7525999974</v>
      </c>
      <c r="AG270" s="7">
        <f t="shared" si="1439"/>
        <v>4776432.3425999973</v>
      </c>
      <c r="AH270" s="7">
        <f t="shared" si="1439"/>
        <v>4759250.9325999971</v>
      </c>
      <c r="AI270" s="7">
        <f t="shared" si="1439"/>
        <v>4742069.522599997</v>
      </c>
      <c r="AJ270" s="7">
        <f t="shared" si="1439"/>
        <v>4724888.1125999968</v>
      </c>
      <c r="AK270" s="7">
        <f t="shared" si="1439"/>
        <v>4707706.7025999967</v>
      </c>
      <c r="AL270" s="7">
        <f t="shared" si="1439"/>
        <v>4690525.2925999966</v>
      </c>
      <c r="AM270" s="7">
        <f t="shared" si="1439"/>
        <v>4673343.8825999964</v>
      </c>
      <c r="AN270" s="7">
        <f t="shared" si="1439"/>
        <v>4656162.4725999963</v>
      </c>
      <c r="AO270" s="7">
        <f t="shared" si="1439"/>
        <v>4638981.0625999961</v>
      </c>
      <c r="AP270" s="222">
        <f t="shared" si="1383"/>
        <v>104325.52949719992</v>
      </c>
      <c r="AQ270" s="7">
        <v>17181.41</v>
      </c>
      <c r="AR270" s="7">
        <f t="shared" si="1436"/>
        <v>17181.410000000149</v>
      </c>
      <c r="AS270" s="7">
        <f t="shared" si="1437"/>
        <v>1.4915713109076023E-10</v>
      </c>
      <c r="AT270" s="7">
        <f t="shared" si="1384"/>
        <v>206176.91999999998</v>
      </c>
      <c r="AU270" s="7">
        <f t="shared" si="1377"/>
        <v>4621799.652599996</v>
      </c>
      <c r="AV270" s="7">
        <f t="shared" si="1440"/>
        <v>4604618.2425999958</v>
      </c>
      <c r="AW270" s="7">
        <f t="shared" si="1440"/>
        <v>4587436.8325999957</v>
      </c>
      <c r="AX270" s="7">
        <f t="shared" si="1440"/>
        <v>4570255.4225999955</v>
      </c>
      <c r="AY270" s="7">
        <f t="shared" si="1440"/>
        <v>4553074.0125999954</v>
      </c>
      <c r="AZ270" s="7">
        <f t="shared" si="1440"/>
        <v>4535892.6025999952</v>
      </c>
      <c r="BA270" s="7">
        <f t="shared" si="1440"/>
        <v>4518711.1925999951</v>
      </c>
      <c r="BB270" s="7">
        <f t="shared" si="1440"/>
        <v>4501529.7825999949</v>
      </c>
      <c r="BC270" s="7">
        <f t="shared" si="1440"/>
        <v>4484348.3725999948</v>
      </c>
      <c r="BD270" s="7">
        <f t="shared" si="1440"/>
        <v>4467166.9625999946</v>
      </c>
      <c r="BE270" s="7">
        <f t="shared" si="1440"/>
        <v>4449985.5525999945</v>
      </c>
      <c r="BF270" s="7">
        <f t="shared" si="1440"/>
        <v>4432804.1425999943</v>
      </c>
      <c r="BG270" s="236">
        <f t="shared" si="1419"/>
        <v>99789.637257199895</v>
      </c>
      <c r="BH270" s="7">
        <v>17181.41</v>
      </c>
      <c r="BI270" s="39">
        <f t="shared" si="1408"/>
        <v>206176.91999999998</v>
      </c>
      <c r="BJ270" s="7">
        <f t="shared" si="1385"/>
        <v>4415622.7325999942</v>
      </c>
      <c r="BK270" s="7">
        <f t="shared" si="1386"/>
        <v>4398441.322599994</v>
      </c>
      <c r="BL270" s="7">
        <f t="shared" si="1387"/>
        <v>4381259.9125999939</v>
      </c>
      <c r="BM270" s="7">
        <f t="shared" si="1388"/>
        <v>4364078.5025999937</v>
      </c>
      <c r="BN270" s="7">
        <f t="shared" si="1389"/>
        <v>4346897.0925999936</v>
      </c>
      <c r="BO270" s="7">
        <f t="shared" si="1390"/>
        <v>4329715.6825999934</v>
      </c>
      <c r="BP270" s="7">
        <f t="shared" si="1391"/>
        <v>4312534.2725999933</v>
      </c>
      <c r="BQ270" s="7">
        <f t="shared" si="1392"/>
        <v>4295352.8625999931</v>
      </c>
      <c r="BR270" s="7">
        <f t="shared" si="1393"/>
        <v>4278171.452599993</v>
      </c>
      <c r="BS270" s="7">
        <f t="shared" si="1394"/>
        <v>4260990.0425999928</v>
      </c>
      <c r="BT270" s="7">
        <f t="shared" si="1395"/>
        <v>4243808.6325999927</v>
      </c>
      <c r="BU270" s="7">
        <f t="shared" si="1396"/>
        <v>4226627.2225999925</v>
      </c>
      <c r="BV270" s="236">
        <f t="shared" si="1368"/>
        <v>95253.74501719985</v>
      </c>
      <c r="BW270" s="7">
        <v>17181.41</v>
      </c>
      <c r="BX270" s="39">
        <f t="shared" si="1409"/>
        <v>206176.91999999998</v>
      </c>
      <c r="BY270" s="7">
        <f t="shared" si="1410"/>
        <v>4209445.8125999924</v>
      </c>
      <c r="BZ270" s="7">
        <f t="shared" si="1397"/>
        <v>4192264.4025999922</v>
      </c>
      <c r="CA270" s="7">
        <f t="shared" si="1398"/>
        <v>4175082.9925999921</v>
      </c>
      <c r="CB270" s="7">
        <f t="shared" si="1399"/>
        <v>4157901.5825999919</v>
      </c>
      <c r="CC270" s="7">
        <f t="shared" si="1411"/>
        <v>4140720.1725999918</v>
      </c>
      <c r="CD270" s="7">
        <f t="shared" si="1412"/>
        <v>4123538.7625999916</v>
      </c>
      <c r="CE270" s="7">
        <f t="shared" si="1413"/>
        <v>4106357.3525999915</v>
      </c>
      <c r="CF270" s="7">
        <f t="shared" si="1414"/>
        <v>4089175.9425999913</v>
      </c>
      <c r="CG270" s="7">
        <f t="shared" si="1415"/>
        <v>4071994.5325999912</v>
      </c>
      <c r="CH270" s="7">
        <f t="shared" si="1416"/>
        <v>4054813.122599991</v>
      </c>
      <c r="CI270" s="7">
        <f t="shared" si="1417"/>
        <v>4037631.7125999909</v>
      </c>
      <c r="CJ270" s="7">
        <f t="shared" si="1418"/>
        <v>4020450.3025999907</v>
      </c>
      <c r="CK270" s="236">
        <f t="shared" si="1369"/>
        <v>90717.852777199805</v>
      </c>
      <c r="CL270" s="7">
        <v>17181.41</v>
      </c>
      <c r="CM270" s="39">
        <f t="shared" si="1420"/>
        <v>206176.91999999998</v>
      </c>
      <c r="CN270" s="7">
        <f t="shared" si="1421"/>
        <v>4003268.8925999906</v>
      </c>
      <c r="CO270" s="7">
        <f t="shared" si="1422"/>
        <v>3986087.4825999904</v>
      </c>
      <c r="CP270" s="7">
        <f t="shared" si="1423"/>
        <v>3968906.0725999903</v>
      </c>
      <c r="CQ270" s="7">
        <f t="shared" si="1424"/>
        <v>3951724.6625999901</v>
      </c>
      <c r="CR270" s="7">
        <f t="shared" si="1425"/>
        <v>3934543.25259999</v>
      </c>
      <c r="CS270" s="7">
        <f t="shared" si="1426"/>
        <v>3917361.8425999898</v>
      </c>
      <c r="CT270" s="7">
        <f t="shared" si="1427"/>
        <v>3900180.4325999897</v>
      </c>
      <c r="CU270" s="7">
        <f t="shared" si="1428"/>
        <v>3882999.0225999895</v>
      </c>
      <c r="CV270" s="7">
        <f t="shared" si="1429"/>
        <v>3865817.6125999894</v>
      </c>
      <c r="CW270" s="7">
        <f t="shared" si="1430"/>
        <v>3848636.2025999893</v>
      </c>
      <c r="CX270" s="7">
        <f t="shared" si="1431"/>
        <v>3831454.7925999891</v>
      </c>
      <c r="CY270" s="7">
        <f t="shared" si="1432"/>
        <v>3814273.382599989</v>
      </c>
      <c r="CZ270" s="236">
        <f t="shared" si="1370"/>
        <v>86181.960537199775</v>
      </c>
    </row>
    <row r="271" spans="1:104" x14ac:dyDescent="0.2">
      <c r="A271" s="6" t="str">
        <f>'[1]2021 УГРЦТ'!A274</f>
        <v>КЛ-6кВ "Малый Качгорт"</v>
      </c>
      <c r="B271" t="str">
        <f>'[1]2021 УГРЦТ'!B274</f>
        <v>000001697</v>
      </c>
      <c r="C271" t="str">
        <f>'[1]2021 УГРЦТ'!C274</f>
        <v>ПЕРЕДАЧА</v>
      </c>
      <c r="D271" t="str">
        <f>'[1]2021 УГРЦТ'!D274</f>
        <v>Сооружения</v>
      </c>
      <c r="E271" t="str">
        <f>'[1]2021 УГРЦТ'!E274</f>
        <v>09.12.2016</v>
      </c>
      <c r="F271" t="str">
        <f>'[1]2021 УГРЦТ'!F274</f>
        <v>Цех электрических сетей</v>
      </c>
      <c r="G271">
        <f>'[1]2021 УГРЦТ'!AC274</f>
        <v>300</v>
      </c>
      <c r="H271" s="7">
        <f>'[1]2021 УГРЦТ'!X274</f>
        <v>839595.6</v>
      </c>
      <c r="I271" s="7">
        <f>'[1]2021 УГРЦТ'!Y274</f>
        <v>167919.02400000003</v>
      </c>
      <c r="J271" s="7">
        <f>'[1]2021 УГРЦТ'!Z274</f>
        <v>671676.57599999988</v>
      </c>
      <c r="K271" s="8">
        <v>1</v>
      </c>
      <c r="L271" s="7">
        <v>2798.650000000001</v>
      </c>
      <c r="M271" s="7"/>
      <c r="N271" s="7">
        <f t="shared" si="1341"/>
        <v>33583.80000000001</v>
      </c>
      <c r="O271" s="7">
        <f t="shared" si="1433"/>
        <v>668877.92599999986</v>
      </c>
      <c r="P271" s="7">
        <f t="shared" si="1438"/>
        <v>666079.27599999984</v>
      </c>
      <c r="Q271" s="7">
        <f t="shared" si="1438"/>
        <v>663280.62599999981</v>
      </c>
      <c r="R271" s="7">
        <f t="shared" si="1438"/>
        <v>660481.97599999979</v>
      </c>
      <c r="S271" s="7">
        <f t="shared" si="1438"/>
        <v>657683.32599999977</v>
      </c>
      <c r="T271" s="7">
        <f t="shared" si="1438"/>
        <v>654884.67599999974</v>
      </c>
      <c r="U271" s="7">
        <f t="shared" si="1438"/>
        <v>652086.02599999972</v>
      </c>
      <c r="V271" s="7">
        <f t="shared" si="1438"/>
        <v>649287.3759999997</v>
      </c>
      <c r="W271" s="7">
        <f t="shared" si="1438"/>
        <v>646488.72599999967</v>
      </c>
      <c r="X271" s="7">
        <f t="shared" si="1438"/>
        <v>643690.07599999965</v>
      </c>
      <c r="Y271" s="7">
        <f t="shared" si="1438"/>
        <v>640891.42599999963</v>
      </c>
      <c r="Z271" s="7">
        <f t="shared" si="1438"/>
        <v>638092.77599999961</v>
      </c>
      <c r="AA271" s="7">
        <f t="shared" si="1382"/>
        <v>14407.462871999993</v>
      </c>
      <c r="AB271" s="7"/>
      <c r="AC271" s="7">
        <f t="shared" si="1434"/>
        <v>33583.80000000001</v>
      </c>
      <c r="AD271" s="7">
        <f t="shared" si="1435"/>
        <v>635294.12599999958</v>
      </c>
      <c r="AE271" s="7">
        <f t="shared" si="1439"/>
        <v>632495.47599999956</v>
      </c>
      <c r="AF271" s="7">
        <f t="shared" si="1439"/>
        <v>629696.82599999954</v>
      </c>
      <c r="AG271" s="7">
        <f t="shared" si="1439"/>
        <v>626898.17599999951</v>
      </c>
      <c r="AH271" s="7">
        <f t="shared" si="1439"/>
        <v>624099.52599999949</v>
      </c>
      <c r="AI271" s="7">
        <f t="shared" si="1439"/>
        <v>621300.87599999947</v>
      </c>
      <c r="AJ271" s="7">
        <f t="shared" si="1439"/>
        <v>618502.22599999944</v>
      </c>
      <c r="AK271" s="7">
        <f t="shared" si="1439"/>
        <v>615703.57599999942</v>
      </c>
      <c r="AL271" s="7">
        <f t="shared" si="1439"/>
        <v>612904.9259999994</v>
      </c>
      <c r="AM271" s="7">
        <f t="shared" si="1439"/>
        <v>610106.27599999937</v>
      </c>
      <c r="AN271" s="7">
        <f t="shared" si="1439"/>
        <v>607307.62599999935</v>
      </c>
      <c r="AO271" s="7">
        <f t="shared" si="1439"/>
        <v>604508.97599999933</v>
      </c>
      <c r="AP271" s="222">
        <f t="shared" si="1383"/>
        <v>13668.619271999987</v>
      </c>
      <c r="AQ271" s="7">
        <v>2798.650000000001</v>
      </c>
      <c r="AR271" s="7">
        <f t="shared" si="1436"/>
        <v>2798.6500000000233</v>
      </c>
      <c r="AS271" s="7">
        <f t="shared" si="1437"/>
        <v>2.2282620193436742E-11</v>
      </c>
      <c r="AT271" s="7">
        <f t="shared" si="1384"/>
        <v>33583.80000000001</v>
      </c>
      <c r="AU271" s="7">
        <f t="shared" si="1377"/>
        <v>601710.3259999993</v>
      </c>
      <c r="AV271" s="7">
        <f t="shared" si="1440"/>
        <v>598911.67599999928</v>
      </c>
      <c r="AW271" s="7">
        <f t="shared" si="1440"/>
        <v>596113.02599999926</v>
      </c>
      <c r="AX271" s="7">
        <f t="shared" si="1440"/>
        <v>593314.37599999923</v>
      </c>
      <c r="AY271" s="7">
        <f t="shared" si="1440"/>
        <v>590515.72599999921</v>
      </c>
      <c r="AZ271" s="7">
        <f t="shared" si="1440"/>
        <v>587717.07599999919</v>
      </c>
      <c r="BA271" s="7">
        <f t="shared" si="1440"/>
        <v>584918.42599999916</v>
      </c>
      <c r="BB271" s="7">
        <f t="shared" si="1440"/>
        <v>582119.77599999914</v>
      </c>
      <c r="BC271" s="7">
        <f t="shared" si="1440"/>
        <v>579321.12599999912</v>
      </c>
      <c r="BD271" s="7">
        <f t="shared" si="1440"/>
        <v>576522.47599999909</v>
      </c>
      <c r="BE271" s="7">
        <f t="shared" si="1440"/>
        <v>573723.82599999907</v>
      </c>
      <c r="BF271" s="7">
        <f t="shared" si="1440"/>
        <v>570925.17599999905</v>
      </c>
      <c r="BG271" s="236">
        <f t="shared" si="1419"/>
        <v>12929.775671999983</v>
      </c>
      <c r="BH271" s="7">
        <v>2798.650000000001</v>
      </c>
      <c r="BI271" s="39">
        <f t="shared" si="1408"/>
        <v>33583.80000000001</v>
      </c>
      <c r="BJ271" s="7">
        <f t="shared" si="1385"/>
        <v>568126.52599999902</v>
      </c>
      <c r="BK271" s="7">
        <f t="shared" si="1386"/>
        <v>565327.875999999</v>
      </c>
      <c r="BL271" s="7">
        <f t="shared" si="1387"/>
        <v>562529.22599999898</v>
      </c>
      <c r="BM271" s="7">
        <f t="shared" si="1388"/>
        <v>559730.57599999895</v>
      </c>
      <c r="BN271" s="7">
        <f t="shared" si="1389"/>
        <v>556931.92599999893</v>
      </c>
      <c r="BO271" s="7">
        <f t="shared" si="1390"/>
        <v>554133.27599999891</v>
      </c>
      <c r="BP271" s="7">
        <f t="shared" si="1391"/>
        <v>551334.62599999888</v>
      </c>
      <c r="BQ271" s="7">
        <f t="shared" si="1392"/>
        <v>548535.97599999886</v>
      </c>
      <c r="BR271" s="7">
        <f t="shared" si="1393"/>
        <v>545737.32599999884</v>
      </c>
      <c r="BS271" s="7">
        <f t="shared" si="1394"/>
        <v>542938.67599999881</v>
      </c>
      <c r="BT271" s="7">
        <f t="shared" si="1395"/>
        <v>540140.02599999879</v>
      </c>
      <c r="BU271" s="7">
        <f t="shared" si="1396"/>
        <v>537341.37599999877</v>
      </c>
      <c r="BV271" s="236">
        <f t="shared" si="1368"/>
        <v>12190.932071999976</v>
      </c>
      <c r="BW271" s="7">
        <v>2798.650000000001</v>
      </c>
      <c r="BX271" s="39">
        <f t="shared" si="1409"/>
        <v>33583.80000000001</v>
      </c>
      <c r="BY271" s="7">
        <f t="shared" si="1410"/>
        <v>534542.72599999874</v>
      </c>
      <c r="BZ271" s="7">
        <f t="shared" si="1397"/>
        <v>531744.07599999872</v>
      </c>
      <c r="CA271" s="7">
        <f t="shared" si="1398"/>
        <v>528945.4259999987</v>
      </c>
      <c r="CB271" s="7">
        <f t="shared" si="1399"/>
        <v>526146.77599999867</v>
      </c>
      <c r="CC271" s="7">
        <f t="shared" si="1411"/>
        <v>523348.12599999865</v>
      </c>
      <c r="CD271" s="7">
        <f t="shared" si="1412"/>
        <v>520549.47599999863</v>
      </c>
      <c r="CE271" s="7">
        <f t="shared" si="1413"/>
        <v>517750.8259999986</v>
      </c>
      <c r="CF271" s="7">
        <f t="shared" si="1414"/>
        <v>514952.17599999858</v>
      </c>
      <c r="CG271" s="7">
        <f t="shared" si="1415"/>
        <v>512153.52599999856</v>
      </c>
      <c r="CH271" s="7">
        <f t="shared" si="1416"/>
        <v>509354.87599999853</v>
      </c>
      <c r="CI271" s="7">
        <f t="shared" si="1417"/>
        <v>506556.22599999851</v>
      </c>
      <c r="CJ271" s="7">
        <f t="shared" si="1418"/>
        <v>503757.57599999849</v>
      </c>
      <c r="CK271" s="236">
        <f t="shared" si="1369"/>
        <v>11452.088471999969</v>
      </c>
      <c r="CL271" s="7">
        <v>2798.650000000001</v>
      </c>
      <c r="CM271" s="39">
        <f t="shared" si="1420"/>
        <v>33583.80000000001</v>
      </c>
      <c r="CN271" s="7">
        <f t="shared" si="1421"/>
        <v>500958.92599999846</v>
      </c>
      <c r="CO271" s="7">
        <f t="shared" si="1422"/>
        <v>498160.27599999844</v>
      </c>
      <c r="CP271" s="7">
        <f t="shared" si="1423"/>
        <v>495361.62599999842</v>
      </c>
      <c r="CQ271" s="7">
        <f t="shared" si="1424"/>
        <v>492562.97599999839</v>
      </c>
      <c r="CR271" s="7">
        <f t="shared" si="1425"/>
        <v>489764.32599999837</v>
      </c>
      <c r="CS271" s="7">
        <f t="shared" si="1426"/>
        <v>486965.67599999835</v>
      </c>
      <c r="CT271" s="7">
        <f t="shared" si="1427"/>
        <v>484167.02599999832</v>
      </c>
      <c r="CU271" s="7">
        <f t="shared" si="1428"/>
        <v>481368.3759999983</v>
      </c>
      <c r="CV271" s="7">
        <f t="shared" si="1429"/>
        <v>478569.72599999828</v>
      </c>
      <c r="CW271" s="7">
        <f t="shared" si="1430"/>
        <v>475771.07599999825</v>
      </c>
      <c r="CX271" s="7">
        <f t="shared" si="1431"/>
        <v>472972.42599999823</v>
      </c>
      <c r="CY271" s="7">
        <f t="shared" si="1432"/>
        <v>470173.77599999821</v>
      </c>
      <c r="CZ271" s="236">
        <f t="shared" si="1370"/>
        <v>10713.244871999965</v>
      </c>
    </row>
    <row r="272" spans="1:104" x14ac:dyDescent="0.2">
      <c r="A272" s="6" t="str">
        <f>'[1]2021 УГРЦТ'!A275</f>
        <v>КЛ-6кВ (от ВЛ до ТП Бондарная) 70м</v>
      </c>
      <c r="B272" t="str">
        <f>'[1]2021 УГРЦТ'!B275</f>
        <v>00001224</v>
      </c>
      <c r="C272" t="str">
        <f>'[1]2021 УГРЦТ'!C275</f>
        <v>ПЕРЕДАЧА</v>
      </c>
      <c r="D272" t="str">
        <f>'[1]2021 УГРЦТ'!D275</f>
        <v>Сооружения</v>
      </c>
      <c r="E272" t="str">
        <f>'[1]2021 УГРЦТ'!E275</f>
        <v>30.06.2010</v>
      </c>
      <c r="F272" t="str">
        <f>'[1]2021 УГРЦТ'!F275</f>
        <v>Цех электрических сетей</v>
      </c>
      <c r="G272">
        <f>'[1]2021 УГРЦТ'!AC275</f>
        <v>300</v>
      </c>
      <c r="H272" s="7">
        <f>'[1]2021 УГРЦТ'!X275</f>
        <v>78003.429999999993</v>
      </c>
      <c r="I272" s="7">
        <f>'[1]2021 УГРЦТ'!Y275</f>
        <v>35881.397199999999</v>
      </c>
      <c r="J272" s="7">
        <f>'[1]2021 УГРЦТ'!Z275</f>
        <v>42122.032799999994</v>
      </c>
      <c r="K272" s="8">
        <v>1</v>
      </c>
      <c r="L272" s="7">
        <v>260.01000000000005</v>
      </c>
      <c r="M272" s="7"/>
      <c r="N272" s="7">
        <f t="shared" si="1341"/>
        <v>3120.1200000000008</v>
      </c>
      <c r="O272" s="7">
        <f t="shared" si="1433"/>
        <v>41862.022799999992</v>
      </c>
      <c r="P272" s="7">
        <f t="shared" si="1438"/>
        <v>41602.01279999999</v>
      </c>
      <c r="Q272" s="7">
        <f t="shared" si="1438"/>
        <v>41342.002799999987</v>
      </c>
      <c r="R272" s="7">
        <f t="shared" si="1438"/>
        <v>41081.992799999985</v>
      </c>
      <c r="S272" s="7">
        <f t="shared" si="1438"/>
        <v>40821.982799999983</v>
      </c>
      <c r="T272" s="7">
        <f t="shared" si="1438"/>
        <v>40561.972799999981</v>
      </c>
      <c r="U272" s="7">
        <f t="shared" si="1438"/>
        <v>40301.962799999979</v>
      </c>
      <c r="V272" s="7">
        <f t="shared" si="1438"/>
        <v>40041.952799999977</v>
      </c>
      <c r="W272" s="7">
        <f t="shared" si="1438"/>
        <v>39781.942799999975</v>
      </c>
      <c r="X272" s="7">
        <f t="shared" si="1438"/>
        <v>39521.932799999973</v>
      </c>
      <c r="Y272" s="7">
        <f t="shared" si="1438"/>
        <v>39261.922799999971</v>
      </c>
      <c r="Z272" s="7">
        <f t="shared" si="1438"/>
        <v>39001.912799999969</v>
      </c>
      <c r="AA272" s="7">
        <f t="shared" si="1382"/>
        <v>892.36340159999952</v>
      </c>
      <c r="AB272" s="7"/>
      <c r="AC272" s="7">
        <f t="shared" si="1434"/>
        <v>3120.1200000000008</v>
      </c>
      <c r="AD272" s="7">
        <f t="shared" si="1435"/>
        <v>38741.902799999967</v>
      </c>
      <c r="AE272" s="7">
        <f t="shared" si="1439"/>
        <v>38481.892799999965</v>
      </c>
      <c r="AF272" s="7">
        <f t="shared" si="1439"/>
        <v>38221.882799999963</v>
      </c>
      <c r="AG272" s="7">
        <f t="shared" si="1439"/>
        <v>37961.872799999961</v>
      </c>
      <c r="AH272" s="7">
        <f t="shared" si="1439"/>
        <v>37701.862799999959</v>
      </c>
      <c r="AI272" s="7">
        <f t="shared" si="1439"/>
        <v>37441.852799999957</v>
      </c>
      <c r="AJ272" s="7">
        <f t="shared" si="1439"/>
        <v>37181.842799999955</v>
      </c>
      <c r="AK272" s="7">
        <f t="shared" si="1439"/>
        <v>36921.832799999953</v>
      </c>
      <c r="AL272" s="7">
        <f t="shared" si="1439"/>
        <v>36661.822799999951</v>
      </c>
      <c r="AM272" s="7">
        <f t="shared" si="1439"/>
        <v>36401.812799999949</v>
      </c>
      <c r="AN272" s="7">
        <f t="shared" si="1439"/>
        <v>36141.802799999947</v>
      </c>
      <c r="AO272" s="7">
        <f t="shared" si="1439"/>
        <v>35881.792799999945</v>
      </c>
      <c r="AP272" s="222">
        <f t="shared" si="1383"/>
        <v>823.72076159999915</v>
      </c>
      <c r="AQ272" s="7">
        <v>260.01000000000005</v>
      </c>
      <c r="AR272" s="7">
        <f t="shared" si="1436"/>
        <v>260.01000000000204</v>
      </c>
      <c r="AS272" s="7">
        <f t="shared" si="1437"/>
        <v>1.9895196601282805E-12</v>
      </c>
      <c r="AT272" s="7">
        <f t="shared" si="1384"/>
        <v>3120.1200000000008</v>
      </c>
      <c r="AU272" s="7">
        <f t="shared" si="1377"/>
        <v>35621.782799999943</v>
      </c>
      <c r="AV272" s="7">
        <f t="shared" si="1440"/>
        <v>35361.772799999941</v>
      </c>
      <c r="AW272" s="7">
        <f t="shared" si="1440"/>
        <v>35101.762799999939</v>
      </c>
      <c r="AX272" s="7">
        <f t="shared" si="1440"/>
        <v>34841.752799999937</v>
      </c>
      <c r="AY272" s="7">
        <f t="shared" si="1440"/>
        <v>34581.742799999935</v>
      </c>
      <c r="AZ272" s="7">
        <f t="shared" si="1440"/>
        <v>34321.732799999932</v>
      </c>
      <c r="BA272" s="7">
        <f t="shared" si="1440"/>
        <v>34061.72279999993</v>
      </c>
      <c r="BB272" s="7">
        <f t="shared" si="1440"/>
        <v>33801.712799999928</v>
      </c>
      <c r="BC272" s="7">
        <f t="shared" si="1440"/>
        <v>33541.702799999926</v>
      </c>
      <c r="BD272" s="7">
        <f t="shared" si="1440"/>
        <v>33281.692799999924</v>
      </c>
      <c r="BE272" s="7">
        <f t="shared" si="1440"/>
        <v>33021.682799999922</v>
      </c>
      <c r="BF272" s="7">
        <f t="shared" si="1440"/>
        <v>32761.672799999924</v>
      </c>
      <c r="BG272" s="236">
        <f t="shared" si="1419"/>
        <v>755.07812159999833</v>
      </c>
      <c r="BH272" s="7">
        <v>260.01000000000005</v>
      </c>
      <c r="BI272" s="39">
        <f t="shared" si="1408"/>
        <v>3120.1200000000008</v>
      </c>
      <c r="BJ272" s="7">
        <f t="shared" si="1385"/>
        <v>32501.662799999925</v>
      </c>
      <c r="BK272" s="7">
        <f t="shared" si="1386"/>
        <v>32241.652799999927</v>
      </c>
      <c r="BL272" s="7">
        <f t="shared" si="1387"/>
        <v>31981.642799999929</v>
      </c>
      <c r="BM272" s="7">
        <f t="shared" si="1388"/>
        <v>31721.63279999993</v>
      </c>
      <c r="BN272" s="7">
        <f t="shared" si="1389"/>
        <v>31461.622799999932</v>
      </c>
      <c r="BO272" s="7">
        <f t="shared" si="1390"/>
        <v>31201.612799999933</v>
      </c>
      <c r="BP272" s="7">
        <f t="shared" si="1391"/>
        <v>30941.602799999935</v>
      </c>
      <c r="BQ272" s="7">
        <f t="shared" si="1392"/>
        <v>30681.592799999937</v>
      </c>
      <c r="BR272" s="7">
        <f t="shared" si="1393"/>
        <v>30421.582799999938</v>
      </c>
      <c r="BS272" s="7">
        <f t="shared" si="1394"/>
        <v>30161.57279999994</v>
      </c>
      <c r="BT272" s="7">
        <f t="shared" si="1395"/>
        <v>29901.562799999941</v>
      </c>
      <c r="BU272" s="7">
        <f t="shared" si="1396"/>
        <v>29641.552799999943</v>
      </c>
      <c r="BV272" s="236">
        <f t="shared" si="1368"/>
        <v>686.43548159999864</v>
      </c>
      <c r="BW272" s="7">
        <v>260.01000000000005</v>
      </c>
      <c r="BX272" s="39">
        <f t="shared" si="1409"/>
        <v>3120.1200000000008</v>
      </c>
      <c r="BY272" s="7">
        <f t="shared" si="1410"/>
        <v>29381.542799999945</v>
      </c>
      <c r="BZ272" s="7">
        <f t="shared" si="1397"/>
        <v>29121.532799999946</v>
      </c>
      <c r="CA272" s="7">
        <f t="shared" si="1398"/>
        <v>28861.522799999948</v>
      </c>
      <c r="CB272" s="7">
        <f t="shared" si="1399"/>
        <v>28601.512799999949</v>
      </c>
      <c r="CC272" s="7">
        <f t="shared" si="1411"/>
        <v>28341.502799999951</v>
      </c>
      <c r="CD272" s="7">
        <f t="shared" si="1412"/>
        <v>28081.492799999953</v>
      </c>
      <c r="CE272" s="7">
        <f t="shared" si="1413"/>
        <v>27821.482799999954</v>
      </c>
      <c r="CF272" s="7">
        <f t="shared" si="1414"/>
        <v>27561.472799999956</v>
      </c>
      <c r="CG272" s="7">
        <f t="shared" si="1415"/>
        <v>27301.462799999957</v>
      </c>
      <c r="CH272" s="7">
        <f t="shared" si="1416"/>
        <v>27041.452799999959</v>
      </c>
      <c r="CI272" s="7">
        <f t="shared" si="1417"/>
        <v>26781.442799999961</v>
      </c>
      <c r="CJ272" s="7">
        <f t="shared" si="1418"/>
        <v>26521.432799999962</v>
      </c>
      <c r="CK272" s="236">
        <f t="shared" si="1369"/>
        <v>617.79284159999895</v>
      </c>
      <c r="CL272" s="7">
        <v>260.01000000000005</v>
      </c>
      <c r="CM272" s="39">
        <f t="shared" si="1420"/>
        <v>3120.1200000000008</v>
      </c>
      <c r="CN272" s="7">
        <f t="shared" si="1421"/>
        <v>26261.422799999964</v>
      </c>
      <c r="CO272" s="7">
        <f t="shared" si="1422"/>
        <v>26001.412799999966</v>
      </c>
      <c r="CP272" s="7">
        <f t="shared" si="1423"/>
        <v>25741.402799999967</v>
      </c>
      <c r="CQ272" s="7">
        <f t="shared" si="1424"/>
        <v>25481.392799999969</v>
      </c>
      <c r="CR272" s="7">
        <f t="shared" si="1425"/>
        <v>25221.38279999997</v>
      </c>
      <c r="CS272" s="7">
        <f t="shared" si="1426"/>
        <v>24961.372799999972</v>
      </c>
      <c r="CT272" s="7">
        <f t="shared" si="1427"/>
        <v>24701.362799999974</v>
      </c>
      <c r="CU272" s="7">
        <f t="shared" si="1428"/>
        <v>24441.352799999975</v>
      </c>
      <c r="CV272" s="7">
        <f t="shared" si="1429"/>
        <v>24181.342799999977</v>
      </c>
      <c r="CW272" s="7">
        <f t="shared" si="1430"/>
        <v>23921.332799999978</v>
      </c>
      <c r="CX272" s="7">
        <f t="shared" si="1431"/>
        <v>23661.32279999998</v>
      </c>
      <c r="CY272" s="7">
        <f t="shared" si="1432"/>
        <v>23401.312799999982</v>
      </c>
      <c r="CZ272" s="236">
        <f t="shared" si="1370"/>
        <v>549.15020159999938</v>
      </c>
    </row>
    <row r="273" spans="1:104" x14ac:dyDescent="0.2">
      <c r="A273" s="6" t="str">
        <f>'[1]2021 УГРЦТ'!A276</f>
        <v>КЛ-6кВ (от ГРУ до ТП № 104)  ул. Авиаторов 2013г (2320 м)</v>
      </c>
      <c r="B273" t="str">
        <f>'[1]2021 УГРЦТ'!B276</f>
        <v>000001609</v>
      </c>
      <c r="C273" t="str">
        <f>'[1]2021 УГРЦТ'!C276</f>
        <v>ПЕРЕДАЧА</v>
      </c>
      <c r="D273" t="str">
        <f>'[1]2021 УГРЦТ'!D276</f>
        <v>Сооружения</v>
      </c>
      <c r="E273" t="str">
        <f>'[1]2021 УГРЦТ'!E276</f>
        <v>31.01.2014</v>
      </c>
      <c r="F273" t="str">
        <f>'[1]2021 УГРЦТ'!F276</f>
        <v>Цех электрических сетей</v>
      </c>
      <c r="G273">
        <f>'[1]2021 УГРЦТ'!AC276</f>
        <v>300</v>
      </c>
      <c r="H273" s="7">
        <f>'[1]2021 УГРЦТ'!X276</f>
        <v>6108140.8300000001</v>
      </c>
      <c r="I273" s="7">
        <f>'[1]2021 УГРЦТ'!Y276</f>
        <v>1935361.8832</v>
      </c>
      <c r="J273" s="7">
        <f>'[1]2021 УГРЦТ'!Z276</f>
        <v>4172778.9468</v>
      </c>
      <c r="K273" s="8">
        <v>1</v>
      </c>
      <c r="L273" s="7">
        <v>20360.47</v>
      </c>
      <c r="M273" s="7"/>
      <c r="N273" s="7">
        <f t="shared" si="1341"/>
        <v>244325.64</v>
      </c>
      <c r="O273" s="7">
        <f t="shared" si="1433"/>
        <v>4152418.4767999998</v>
      </c>
      <c r="P273" s="7">
        <f t="shared" si="1438"/>
        <v>4132058.0067999996</v>
      </c>
      <c r="Q273" s="7">
        <f t="shared" si="1438"/>
        <v>4111697.5367999994</v>
      </c>
      <c r="R273" s="7">
        <f t="shared" si="1438"/>
        <v>4091337.0667999992</v>
      </c>
      <c r="S273" s="7">
        <f t="shared" si="1438"/>
        <v>4070976.596799999</v>
      </c>
      <c r="T273" s="7">
        <f t="shared" si="1438"/>
        <v>4050616.1267999988</v>
      </c>
      <c r="U273" s="7">
        <f t="shared" si="1438"/>
        <v>4030255.6567999986</v>
      </c>
      <c r="V273" s="7">
        <f t="shared" si="1438"/>
        <v>4009895.1867999984</v>
      </c>
      <c r="W273" s="7">
        <f t="shared" si="1438"/>
        <v>3989534.7167999982</v>
      </c>
      <c r="X273" s="7">
        <f t="shared" si="1438"/>
        <v>3969174.246799998</v>
      </c>
      <c r="Y273" s="7">
        <f t="shared" si="1438"/>
        <v>3948813.7767999978</v>
      </c>
      <c r="Z273" s="7">
        <f t="shared" si="1438"/>
        <v>3928453.3067999976</v>
      </c>
      <c r="AA273" s="7">
        <f t="shared" si="1382"/>
        <v>89113.554789599963</v>
      </c>
      <c r="AB273" s="7"/>
      <c r="AC273" s="7">
        <f t="shared" si="1434"/>
        <v>244325.64</v>
      </c>
      <c r="AD273" s="7">
        <f t="shared" si="1435"/>
        <v>3908092.8367999974</v>
      </c>
      <c r="AE273" s="7">
        <f t="shared" si="1439"/>
        <v>3887732.3667999972</v>
      </c>
      <c r="AF273" s="7">
        <f t="shared" si="1439"/>
        <v>3867371.896799997</v>
      </c>
      <c r="AG273" s="7">
        <f t="shared" si="1439"/>
        <v>3847011.4267999968</v>
      </c>
      <c r="AH273" s="7">
        <f t="shared" si="1439"/>
        <v>3826650.9567999966</v>
      </c>
      <c r="AI273" s="7">
        <f t="shared" si="1439"/>
        <v>3806290.4867999963</v>
      </c>
      <c r="AJ273" s="7">
        <f t="shared" si="1439"/>
        <v>3785930.0167999961</v>
      </c>
      <c r="AK273" s="7">
        <f t="shared" si="1439"/>
        <v>3765569.5467999959</v>
      </c>
      <c r="AL273" s="7">
        <f t="shared" si="1439"/>
        <v>3745209.0767999957</v>
      </c>
      <c r="AM273" s="7">
        <f t="shared" si="1439"/>
        <v>3724848.6067999955</v>
      </c>
      <c r="AN273" s="7">
        <f t="shared" si="1439"/>
        <v>3704488.1367999953</v>
      </c>
      <c r="AO273" s="7">
        <f t="shared" si="1439"/>
        <v>3684127.6667999951</v>
      </c>
      <c r="AP273" s="222">
        <f t="shared" si="1383"/>
        <v>83738.390709599931</v>
      </c>
      <c r="AQ273" s="7">
        <v>20360.47</v>
      </c>
      <c r="AR273" s="7">
        <f t="shared" si="1436"/>
        <v>20360.470000000205</v>
      </c>
      <c r="AS273" s="7">
        <f t="shared" si="1437"/>
        <v>2.0372681319713593E-10</v>
      </c>
      <c r="AT273" s="7">
        <f t="shared" si="1384"/>
        <v>244325.64</v>
      </c>
      <c r="AU273" s="7">
        <f t="shared" si="1377"/>
        <v>3663767.1967999949</v>
      </c>
      <c r="AV273" s="7">
        <f t="shared" si="1440"/>
        <v>3643406.7267999947</v>
      </c>
      <c r="AW273" s="7">
        <f t="shared" si="1440"/>
        <v>3623046.2567999945</v>
      </c>
      <c r="AX273" s="7">
        <f t="shared" si="1440"/>
        <v>3602685.7867999943</v>
      </c>
      <c r="AY273" s="7">
        <f t="shared" si="1440"/>
        <v>3582325.3167999941</v>
      </c>
      <c r="AZ273" s="7">
        <f t="shared" si="1440"/>
        <v>3561964.8467999939</v>
      </c>
      <c r="BA273" s="7">
        <f t="shared" si="1440"/>
        <v>3541604.3767999937</v>
      </c>
      <c r="BB273" s="7">
        <f t="shared" si="1440"/>
        <v>3521243.9067999935</v>
      </c>
      <c r="BC273" s="7">
        <f t="shared" si="1440"/>
        <v>3500883.4367999933</v>
      </c>
      <c r="BD273" s="7">
        <f t="shared" si="1440"/>
        <v>3480522.9667999931</v>
      </c>
      <c r="BE273" s="7">
        <f t="shared" si="1440"/>
        <v>3460162.4967999929</v>
      </c>
      <c r="BF273" s="7">
        <f t="shared" si="1440"/>
        <v>3439802.0267999927</v>
      </c>
      <c r="BG273" s="236">
        <f t="shared" si="1419"/>
        <v>78363.226629599842</v>
      </c>
      <c r="BH273" s="7">
        <v>20360.47</v>
      </c>
      <c r="BI273" s="39">
        <f t="shared" si="1408"/>
        <v>244325.64</v>
      </c>
      <c r="BJ273" s="7">
        <f t="shared" si="1385"/>
        <v>3419441.5567999925</v>
      </c>
      <c r="BK273" s="7">
        <f t="shared" si="1386"/>
        <v>3399081.0867999922</v>
      </c>
      <c r="BL273" s="7">
        <f t="shared" si="1387"/>
        <v>3378720.616799992</v>
      </c>
      <c r="BM273" s="7">
        <f t="shared" si="1388"/>
        <v>3358360.1467999918</v>
      </c>
      <c r="BN273" s="7">
        <f t="shared" si="1389"/>
        <v>3337999.6767999916</v>
      </c>
      <c r="BO273" s="7">
        <f t="shared" si="1390"/>
        <v>3317639.2067999914</v>
      </c>
      <c r="BP273" s="7">
        <f t="shared" si="1391"/>
        <v>3297278.7367999912</v>
      </c>
      <c r="BQ273" s="7">
        <f t="shared" si="1392"/>
        <v>3276918.266799991</v>
      </c>
      <c r="BR273" s="7">
        <f t="shared" si="1393"/>
        <v>3256557.7967999908</v>
      </c>
      <c r="BS273" s="7">
        <f t="shared" si="1394"/>
        <v>3236197.3267999906</v>
      </c>
      <c r="BT273" s="7">
        <f t="shared" si="1395"/>
        <v>3215836.8567999904</v>
      </c>
      <c r="BU273" s="7">
        <f t="shared" si="1396"/>
        <v>3195476.3867999902</v>
      </c>
      <c r="BV273" s="236">
        <f t="shared" si="1368"/>
        <v>72988.06254959981</v>
      </c>
      <c r="BW273" s="7">
        <v>20360.47</v>
      </c>
      <c r="BX273" s="39">
        <f t="shared" si="1409"/>
        <v>244325.64</v>
      </c>
      <c r="BY273" s="7">
        <f t="shared" si="1410"/>
        <v>3175115.91679999</v>
      </c>
      <c r="BZ273" s="7">
        <f t="shared" si="1397"/>
        <v>3154755.4467999898</v>
      </c>
      <c r="CA273" s="7">
        <f t="shared" si="1398"/>
        <v>3134394.9767999896</v>
      </c>
      <c r="CB273" s="7">
        <f t="shared" si="1399"/>
        <v>3114034.5067999894</v>
      </c>
      <c r="CC273" s="7">
        <f t="shared" si="1411"/>
        <v>3093674.0367999892</v>
      </c>
      <c r="CD273" s="7">
        <f t="shared" si="1412"/>
        <v>3073313.566799989</v>
      </c>
      <c r="CE273" s="7">
        <f t="shared" si="1413"/>
        <v>3052953.0967999888</v>
      </c>
      <c r="CF273" s="7">
        <f t="shared" si="1414"/>
        <v>3032592.6267999886</v>
      </c>
      <c r="CG273" s="7">
        <f t="shared" si="1415"/>
        <v>3012232.1567999884</v>
      </c>
      <c r="CH273" s="7">
        <f t="shared" si="1416"/>
        <v>2991871.6867999882</v>
      </c>
      <c r="CI273" s="7">
        <f t="shared" si="1417"/>
        <v>2971511.2167999879</v>
      </c>
      <c r="CJ273" s="7">
        <f t="shared" si="1418"/>
        <v>2951150.7467999877</v>
      </c>
      <c r="CK273" s="236">
        <f t="shared" si="1369"/>
        <v>67612.89846959975</v>
      </c>
      <c r="CL273" s="7">
        <v>20360.47</v>
      </c>
      <c r="CM273" s="39">
        <f t="shared" si="1420"/>
        <v>244325.64</v>
      </c>
      <c r="CN273" s="7">
        <f t="shared" si="1421"/>
        <v>2930790.2767999875</v>
      </c>
      <c r="CO273" s="7">
        <f t="shared" si="1422"/>
        <v>2910429.8067999873</v>
      </c>
      <c r="CP273" s="7">
        <f t="shared" si="1423"/>
        <v>2890069.3367999871</v>
      </c>
      <c r="CQ273" s="7">
        <f t="shared" si="1424"/>
        <v>2869708.8667999869</v>
      </c>
      <c r="CR273" s="7">
        <f t="shared" si="1425"/>
        <v>2849348.3967999867</v>
      </c>
      <c r="CS273" s="7">
        <f t="shared" si="1426"/>
        <v>2828987.9267999865</v>
      </c>
      <c r="CT273" s="7">
        <f t="shared" si="1427"/>
        <v>2808627.4567999863</v>
      </c>
      <c r="CU273" s="7">
        <f t="shared" si="1428"/>
        <v>2788266.9867999861</v>
      </c>
      <c r="CV273" s="7">
        <f t="shared" si="1429"/>
        <v>2767906.5167999859</v>
      </c>
      <c r="CW273" s="7">
        <f t="shared" si="1430"/>
        <v>2747546.0467999857</v>
      </c>
      <c r="CX273" s="7">
        <f t="shared" si="1431"/>
        <v>2727185.5767999855</v>
      </c>
      <c r="CY273" s="7">
        <f t="shared" si="1432"/>
        <v>2706825.1067999853</v>
      </c>
      <c r="CZ273" s="236">
        <f t="shared" si="1370"/>
        <v>62237.734389599711</v>
      </c>
    </row>
    <row r="274" spans="1:104" x14ac:dyDescent="0.2">
      <c r="A274" s="6" t="str">
        <f>'[1]2021 УГРЦТ'!A277</f>
        <v>КЛ-6кВ (от ГРУ до ТП № 105)  ул. Авиаторов 2013г (1850 м)</v>
      </c>
      <c r="B274" t="str">
        <f>'[1]2021 УГРЦТ'!B277</f>
        <v>000001610</v>
      </c>
      <c r="C274" t="str">
        <f>'[1]2021 УГРЦТ'!C277</f>
        <v>ПЕРЕДАЧА</v>
      </c>
      <c r="D274" t="str">
        <f>'[1]2021 УГРЦТ'!D277</f>
        <v>Сооружения</v>
      </c>
      <c r="E274" t="str">
        <f>'[1]2021 УГРЦТ'!E277</f>
        <v>31.01.2014</v>
      </c>
      <c r="F274" t="str">
        <f>'[1]2021 УГРЦТ'!F277</f>
        <v>Цех электрических сетей</v>
      </c>
      <c r="G274">
        <f>'[1]2021 УГРЦТ'!AC277</f>
        <v>300</v>
      </c>
      <c r="H274" s="7">
        <f>'[1]2021 УГРЦТ'!X277</f>
        <v>4876511.38</v>
      </c>
      <c r="I274" s="7">
        <f>'[1]2021 УГРЦТ'!Y277</f>
        <v>1545409.7952000001</v>
      </c>
      <c r="J274" s="7">
        <f>'[1]2021 УГРЦТ'!Z277</f>
        <v>3331101.5847999998</v>
      </c>
      <c r="K274" s="8">
        <v>1</v>
      </c>
      <c r="L274" s="7">
        <v>16255.040000000006</v>
      </c>
      <c r="M274" s="7"/>
      <c r="N274" s="7">
        <f t="shared" si="1341"/>
        <v>195060.48000000007</v>
      </c>
      <c r="O274" s="7">
        <f t="shared" si="1433"/>
        <v>3314846.5447999998</v>
      </c>
      <c r="P274" s="7">
        <f t="shared" si="1438"/>
        <v>3298591.5047999998</v>
      </c>
      <c r="Q274" s="7">
        <f t="shared" si="1438"/>
        <v>3282336.4647999997</v>
      </c>
      <c r="R274" s="7">
        <f t="shared" si="1438"/>
        <v>3266081.4247999997</v>
      </c>
      <c r="S274" s="7">
        <f t="shared" si="1438"/>
        <v>3249826.3847999997</v>
      </c>
      <c r="T274" s="7">
        <f t="shared" si="1438"/>
        <v>3233571.3447999996</v>
      </c>
      <c r="U274" s="7">
        <f t="shared" si="1438"/>
        <v>3217316.3047999996</v>
      </c>
      <c r="V274" s="7">
        <f t="shared" si="1438"/>
        <v>3201061.2647999995</v>
      </c>
      <c r="W274" s="7">
        <f t="shared" si="1438"/>
        <v>3184806.2247999995</v>
      </c>
      <c r="X274" s="7">
        <f t="shared" si="1438"/>
        <v>3168551.1847999995</v>
      </c>
      <c r="Y274" s="7">
        <f t="shared" si="1438"/>
        <v>3152296.1447999994</v>
      </c>
      <c r="Z274" s="7">
        <f t="shared" si="1438"/>
        <v>3136041.1047999994</v>
      </c>
      <c r="AA274" s="7">
        <f t="shared" si="1382"/>
        <v>71138.56958559998</v>
      </c>
      <c r="AB274" s="7"/>
      <c r="AC274" s="7">
        <f t="shared" si="1434"/>
        <v>195060.48000000007</v>
      </c>
      <c r="AD274" s="7">
        <f t="shared" si="1435"/>
        <v>3119786.0647999994</v>
      </c>
      <c r="AE274" s="7">
        <f t="shared" si="1439"/>
        <v>3103531.0247999993</v>
      </c>
      <c r="AF274" s="7">
        <f t="shared" si="1439"/>
        <v>3087275.9847999993</v>
      </c>
      <c r="AG274" s="7">
        <f t="shared" si="1439"/>
        <v>3071020.9447999992</v>
      </c>
      <c r="AH274" s="7">
        <f t="shared" si="1439"/>
        <v>3054765.9047999992</v>
      </c>
      <c r="AI274" s="7">
        <f t="shared" si="1439"/>
        <v>3038510.8647999992</v>
      </c>
      <c r="AJ274" s="7">
        <f t="shared" si="1439"/>
        <v>3022255.8247999991</v>
      </c>
      <c r="AK274" s="7">
        <f t="shared" si="1439"/>
        <v>3006000.7847999991</v>
      </c>
      <c r="AL274" s="7">
        <f t="shared" si="1439"/>
        <v>2989745.7447999991</v>
      </c>
      <c r="AM274" s="7">
        <f t="shared" si="1439"/>
        <v>2973490.704799999</v>
      </c>
      <c r="AN274" s="7">
        <f t="shared" si="1439"/>
        <v>2957235.664799999</v>
      </c>
      <c r="AO274" s="7">
        <f t="shared" si="1439"/>
        <v>2940980.6247999989</v>
      </c>
      <c r="AP274" s="222">
        <f t="shared" si="1383"/>
        <v>66847.239025599978</v>
      </c>
      <c r="AQ274" s="7">
        <v>16255.040000000006</v>
      </c>
      <c r="AR274" s="7">
        <f t="shared" si="1436"/>
        <v>16255.040000000037</v>
      </c>
      <c r="AS274" s="7">
        <f t="shared" si="1437"/>
        <v>3.092281986027956E-11</v>
      </c>
      <c r="AT274" s="7">
        <f t="shared" si="1384"/>
        <v>195060.48000000007</v>
      </c>
      <c r="AU274" s="7">
        <f t="shared" si="1377"/>
        <v>2924725.5847999989</v>
      </c>
      <c r="AV274" s="7">
        <f t="shared" si="1440"/>
        <v>2908470.5447999989</v>
      </c>
      <c r="AW274" s="7">
        <f t="shared" si="1440"/>
        <v>2892215.5047999988</v>
      </c>
      <c r="AX274" s="7">
        <f t="shared" si="1440"/>
        <v>2875960.4647999988</v>
      </c>
      <c r="AY274" s="7">
        <f t="shared" si="1440"/>
        <v>2859705.4247999988</v>
      </c>
      <c r="AZ274" s="7">
        <f t="shared" si="1440"/>
        <v>2843450.3847999987</v>
      </c>
      <c r="BA274" s="7">
        <f t="shared" si="1440"/>
        <v>2827195.3447999987</v>
      </c>
      <c r="BB274" s="7">
        <f t="shared" si="1440"/>
        <v>2810940.3047999986</v>
      </c>
      <c r="BC274" s="7">
        <f t="shared" si="1440"/>
        <v>2794685.2647999986</v>
      </c>
      <c r="BD274" s="7">
        <f t="shared" si="1440"/>
        <v>2778430.2247999986</v>
      </c>
      <c r="BE274" s="7">
        <f t="shared" si="1440"/>
        <v>2762175.1847999985</v>
      </c>
      <c r="BF274" s="7">
        <f t="shared" si="1440"/>
        <v>2745920.1447999985</v>
      </c>
      <c r="BG274" s="236">
        <f t="shared" si="1419"/>
        <v>62555.908465599969</v>
      </c>
      <c r="BH274" s="7">
        <v>16255.040000000006</v>
      </c>
      <c r="BI274" s="39">
        <f t="shared" si="1408"/>
        <v>195060.48000000007</v>
      </c>
      <c r="BJ274" s="7">
        <f t="shared" si="1385"/>
        <v>2729665.1047999985</v>
      </c>
      <c r="BK274" s="7">
        <f t="shared" si="1386"/>
        <v>2713410.0647999984</v>
      </c>
      <c r="BL274" s="7">
        <f t="shared" si="1387"/>
        <v>2697155.0247999984</v>
      </c>
      <c r="BM274" s="7">
        <f t="shared" si="1388"/>
        <v>2680899.9847999983</v>
      </c>
      <c r="BN274" s="7">
        <f t="shared" si="1389"/>
        <v>2664644.9447999983</v>
      </c>
      <c r="BO274" s="7">
        <f t="shared" si="1390"/>
        <v>2648389.9047999983</v>
      </c>
      <c r="BP274" s="7">
        <f t="shared" si="1391"/>
        <v>2632134.8647999982</v>
      </c>
      <c r="BQ274" s="7">
        <f t="shared" si="1392"/>
        <v>2615879.8247999982</v>
      </c>
      <c r="BR274" s="7">
        <f t="shared" si="1393"/>
        <v>2599624.7847999982</v>
      </c>
      <c r="BS274" s="7">
        <f t="shared" si="1394"/>
        <v>2583369.7447999981</v>
      </c>
      <c r="BT274" s="7">
        <f t="shared" si="1395"/>
        <v>2567114.7047999981</v>
      </c>
      <c r="BU274" s="7">
        <f t="shared" si="1396"/>
        <v>2550859.664799998</v>
      </c>
      <c r="BV274" s="236">
        <f t="shared" si="1368"/>
        <v>58264.577905599959</v>
      </c>
      <c r="BW274" s="7">
        <v>16255.040000000006</v>
      </c>
      <c r="BX274" s="39">
        <f t="shared" si="1409"/>
        <v>195060.48000000007</v>
      </c>
      <c r="BY274" s="7">
        <f t="shared" si="1410"/>
        <v>2534604.624799998</v>
      </c>
      <c r="BZ274" s="7">
        <f t="shared" si="1397"/>
        <v>2518349.584799998</v>
      </c>
      <c r="CA274" s="7">
        <f t="shared" si="1398"/>
        <v>2502094.5447999979</v>
      </c>
      <c r="CB274" s="7">
        <f t="shared" si="1399"/>
        <v>2485839.5047999979</v>
      </c>
      <c r="CC274" s="7">
        <f t="shared" si="1411"/>
        <v>2469584.4647999979</v>
      </c>
      <c r="CD274" s="7">
        <f t="shared" si="1412"/>
        <v>2453329.4247999978</v>
      </c>
      <c r="CE274" s="7">
        <f t="shared" si="1413"/>
        <v>2437074.3847999978</v>
      </c>
      <c r="CF274" s="7">
        <f t="shared" si="1414"/>
        <v>2420819.3447999978</v>
      </c>
      <c r="CG274" s="7">
        <f t="shared" si="1415"/>
        <v>2404564.3047999977</v>
      </c>
      <c r="CH274" s="7">
        <f t="shared" si="1416"/>
        <v>2388309.2647999977</v>
      </c>
      <c r="CI274" s="7">
        <f t="shared" si="1417"/>
        <v>2372054.2247999976</v>
      </c>
      <c r="CJ274" s="7">
        <f t="shared" si="1418"/>
        <v>2355799.1847999976</v>
      </c>
      <c r="CK274" s="236">
        <f t="shared" si="1369"/>
        <v>53973.24734559995</v>
      </c>
      <c r="CL274" s="7">
        <v>16255.040000000006</v>
      </c>
      <c r="CM274" s="39">
        <f t="shared" si="1420"/>
        <v>195060.48000000007</v>
      </c>
      <c r="CN274" s="7">
        <f t="shared" si="1421"/>
        <v>2339544.1447999976</v>
      </c>
      <c r="CO274" s="7">
        <f t="shared" si="1422"/>
        <v>2323289.1047999975</v>
      </c>
      <c r="CP274" s="7">
        <f t="shared" si="1423"/>
        <v>2307034.0647999975</v>
      </c>
      <c r="CQ274" s="7">
        <f t="shared" si="1424"/>
        <v>2290779.0247999975</v>
      </c>
      <c r="CR274" s="7">
        <f t="shared" si="1425"/>
        <v>2274523.9847999974</v>
      </c>
      <c r="CS274" s="7">
        <f t="shared" si="1426"/>
        <v>2258268.9447999974</v>
      </c>
      <c r="CT274" s="7">
        <f t="shared" si="1427"/>
        <v>2242013.9047999973</v>
      </c>
      <c r="CU274" s="7">
        <f t="shared" si="1428"/>
        <v>2225758.8647999973</v>
      </c>
      <c r="CV274" s="7">
        <f t="shared" si="1429"/>
        <v>2209503.8247999973</v>
      </c>
      <c r="CW274" s="7">
        <f t="shared" si="1430"/>
        <v>2193248.7847999972</v>
      </c>
      <c r="CX274" s="7">
        <f t="shared" si="1431"/>
        <v>2176993.7447999972</v>
      </c>
      <c r="CY274" s="7">
        <f t="shared" si="1432"/>
        <v>2160738.7047999972</v>
      </c>
      <c r="CZ274" s="236">
        <f t="shared" si="1370"/>
        <v>49681.91678559994</v>
      </c>
    </row>
    <row r="275" spans="1:104" ht="22.5" x14ac:dyDescent="0.2">
      <c r="A275" s="6" t="str">
        <f>'[1]2021 УГРЦТ'!A278</f>
        <v>КЛ-6кВ (от ТП № 104  до ТП № 105)  ул. Авиаторов 2013г (470 м)</v>
      </c>
      <c r="B275" t="str">
        <f>'[1]2021 УГРЦТ'!B278</f>
        <v>000001611</v>
      </c>
      <c r="C275" t="str">
        <f>'[1]2021 УГРЦТ'!C278</f>
        <v>ПЕРЕДАЧА</v>
      </c>
      <c r="D275" t="str">
        <f>'[1]2021 УГРЦТ'!D278</f>
        <v>Сооружения</v>
      </c>
      <c r="E275" t="str">
        <f>'[1]2021 УГРЦТ'!E278</f>
        <v>31.01.2014</v>
      </c>
      <c r="F275" t="str">
        <f>'[1]2021 УГРЦТ'!F278</f>
        <v>Цех электрических сетей</v>
      </c>
      <c r="G275">
        <f>'[1]2021 УГРЦТ'!AC278</f>
        <v>300</v>
      </c>
      <c r="H275" s="7">
        <f>'[1]2021 УГРЦТ'!X278</f>
        <v>1260237.67</v>
      </c>
      <c r="I275" s="7">
        <f>'[1]2021 УГРЦТ'!Y278</f>
        <v>400446.0968</v>
      </c>
      <c r="J275" s="7">
        <f>'[1]2021 УГРЦТ'!Z278</f>
        <v>859791.57319999998</v>
      </c>
      <c r="K275" s="8">
        <v>1</v>
      </c>
      <c r="L275" s="7">
        <v>4200.79</v>
      </c>
      <c r="M275" s="7"/>
      <c r="N275" s="7">
        <f t="shared" si="1341"/>
        <v>50409.479999999996</v>
      </c>
      <c r="O275" s="7">
        <f t="shared" si="1433"/>
        <v>855590.78319999995</v>
      </c>
      <c r="P275" s="7">
        <f t="shared" si="1438"/>
        <v>851389.99319999991</v>
      </c>
      <c r="Q275" s="7">
        <f t="shared" si="1438"/>
        <v>847189.20319999987</v>
      </c>
      <c r="R275" s="7">
        <f t="shared" si="1438"/>
        <v>842988.41319999984</v>
      </c>
      <c r="S275" s="7">
        <f t="shared" si="1438"/>
        <v>838787.6231999998</v>
      </c>
      <c r="T275" s="7">
        <f t="shared" si="1438"/>
        <v>834586.83319999976</v>
      </c>
      <c r="U275" s="7">
        <f t="shared" si="1438"/>
        <v>830386.04319999972</v>
      </c>
      <c r="V275" s="7">
        <f t="shared" si="1438"/>
        <v>826185.25319999969</v>
      </c>
      <c r="W275" s="7">
        <f t="shared" si="1438"/>
        <v>821984.46319999965</v>
      </c>
      <c r="X275" s="7">
        <f t="shared" si="1438"/>
        <v>817783.67319999961</v>
      </c>
      <c r="Y275" s="7">
        <f t="shared" si="1438"/>
        <v>813582.88319999957</v>
      </c>
      <c r="Z275" s="7">
        <f t="shared" si="1438"/>
        <v>809382.09319999954</v>
      </c>
      <c r="AA275" s="7">
        <f t="shared" si="1382"/>
        <v>18360.910330399995</v>
      </c>
      <c r="AB275" s="7"/>
      <c r="AC275" s="7">
        <f t="shared" si="1434"/>
        <v>50409.479999999996</v>
      </c>
      <c r="AD275" s="7">
        <f t="shared" si="1435"/>
        <v>805181.3031999995</v>
      </c>
      <c r="AE275" s="7">
        <f t="shared" si="1439"/>
        <v>800980.51319999946</v>
      </c>
      <c r="AF275" s="7">
        <f t="shared" si="1439"/>
        <v>796779.72319999943</v>
      </c>
      <c r="AG275" s="7">
        <f t="shared" si="1439"/>
        <v>792578.93319999939</v>
      </c>
      <c r="AH275" s="7">
        <f t="shared" si="1439"/>
        <v>788378.14319999935</v>
      </c>
      <c r="AI275" s="7">
        <f t="shared" si="1439"/>
        <v>784177.35319999931</v>
      </c>
      <c r="AJ275" s="7">
        <f t="shared" si="1439"/>
        <v>779976.56319999928</v>
      </c>
      <c r="AK275" s="7">
        <f t="shared" si="1439"/>
        <v>775775.77319999924</v>
      </c>
      <c r="AL275" s="7">
        <f t="shared" si="1439"/>
        <v>771574.9831999992</v>
      </c>
      <c r="AM275" s="7">
        <f t="shared" si="1439"/>
        <v>767374.19319999916</v>
      </c>
      <c r="AN275" s="7">
        <f t="shared" si="1439"/>
        <v>763173.40319999913</v>
      </c>
      <c r="AO275" s="7">
        <f t="shared" si="1439"/>
        <v>758972.61319999909</v>
      </c>
      <c r="AP275" s="222">
        <f t="shared" si="1383"/>
        <v>17251.901770399985</v>
      </c>
      <c r="AQ275" s="7">
        <v>4200.79</v>
      </c>
      <c r="AR275" s="7">
        <f t="shared" si="1436"/>
        <v>4200.7900000000373</v>
      </c>
      <c r="AS275" s="7">
        <f t="shared" si="1437"/>
        <v>3.7289282772690058E-11</v>
      </c>
      <c r="AT275" s="7">
        <f t="shared" si="1384"/>
        <v>50409.479999999996</v>
      </c>
      <c r="AU275" s="7">
        <f t="shared" si="1377"/>
        <v>754771.82319999905</v>
      </c>
      <c r="AV275" s="7">
        <f t="shared" si="1440"/>
        <v>750571.03319999902</v>
      </c>
      <c r="AW275" s="7">
        <f t="shared" si="1440"/>
        <v>746370.24319999898</v>
      </c>
      <c r="AX275" s="7">
        <f t="shared" si="1440"/>
        <v>742169.45319999894</v>
      </c>
      <c r="AY275" s="7">
        <f t="shared" si="1440"/>
        <v>737968.6631999989</v>
      </c>
      <c r="AZ275" s="7">
        <f t="shared" si="1440"/>
        <v>733767.87319999887</v>
      </c>
      <c r="BA275" s="7">
        <f t="shared" si="1440"/>
        <v>729567.08319999883</v>
      </c>
      <c r="BB275" s="7">
        <f t="shared" si="1440"/>
        <v>725366.29319999879</v>
      </c>
      <c r="BC275" s="7">
        <f t="shared" si="1440"/>
        <v>721165.50319999876</v>
      </c>
      <c r="BD275" s="7">
        <f t="shared" si="1440"/>
        <v>716964.71319999872</v>
      </c>
      <c r="BE275" s="7">
        <f t="shared" si="1440"/>
        <v>712763.92319999868</v>
      </c>
      <c r="BF275" s="7">
        <f t="shared" si="1440"/>
        <v>708563.13319999864</v>
      </c>
      <c r="BG275" s="236">
        <f t="shared" si="1419"/>
        <v>16142.893210399974</v>
      </c>
      <c r="BH275" s="7">
        <v>4200.79</v>
      </c>
      <c r="BI275" s="39">
        <f t="shared" si="1408"/>
        <v>50409.479999999996</v>
      </c>
      <c r="BJ275" s="7">
        <f t="shared" si="1385"/>
        <v>704362.34319999861</v>
      </c>
      <c r="BK275" s="7">
        <f t="shared" si="1386"/>
        <v>700161.55319999857</v>
      </c>
      <c r="BL275" s="7">
        <f t="shared" si="1387"/>
        <v>695960.76319999853</v>
      </c>
      <c r="BM275" s="7">
        <f t="shared" si="1388"/>
        <v>691759.97319999849</v>
      </c>
      <c r="BN275" s="7">
        <f t="shared" si="1389"/>
        <v>687559.18319999846</v>
      </c>
      <c r="BO275" s="7">
        <f t="shared" si="1390"/>
        <v>683358.39319999842</v>
      </c>
      <c r="BP275" s="7">
        <f t="shared" si="1391"/>
        <v>679157.60319999838</v>
      </c>
      <c r="BQ275" s="7">
        <f t="shared" si="1392"/>
        <v>674956.81319999835</v>
      </c>
      <c r="BR275" s="7">
        <f t="shared" si="1393"/>
        <v>670756.02319999831</v>
      </c>
      <c r="BS275" s="7">
        <f t="shared" si="1394"/>
        <v>666555.23319999827</v>
      </c>
      <c r="BT275" s="7">
        <f t="shared" si="1395"/>
        <v>662354.44319999823</v>
      </c>
      <c r="BU275" s="7">
        <f t="shared" si="1396"/>
        <v>658153.6531999982</v>
      </c>
      <c r="BV275" s="236">
        <f t="shared" si="1368"/>
        <v>15033.884650399965</v>
      </c>
      <c r="BW275" s="7">
        <v>4200.79</v>
      </c>
      <c r="BX275" s="39">
        <f t="shared" si="1409"/>
        <v>50409.479999999996</v>
      </c>
      <c r="BY275" s="7">
        <f t="shared" si="1410"/>
        <v>653952.86319999816</v>
      </c>
      <c r="BZ275" s="7">
        <f t="shared" si="1397"/>
        <v>649752.07319999812</v>
      </c>
      <c r="CA275" s="7">
        <f t="shared" si="1398"/>
        <v>645551.28319999808</v>
      </c>
      <c r="CB275" s="7">
        <f t="shared" si="1399"/>
        <v>641350.49319999805</v>
      </c>
      <c r="CC275" s="7">
        <f t="shared" si="1411"/>
        <v>637149.70319999801</v>
      </c>
      <c r="CD275" s="7">
        <f t="shared" si="1412"/>
        <v>632948.91319999797</v>
      </c>
      <c r="CE275" s="7">
        <f t="shared" si="1413"/>
        <v>628748.12319999794</v>
      </c>
      <c r="CF275" s="7">
        <f t="shared" si="1414"/>
        <v>624547.3331999979</v>
      </c>
      <c r="CG275" s="7">
        <f t="shared" si="1415"/>
        <v>620346.54319999786</v>
      </c>
      <c r="CH275" s="7">
        <f t="shared" si="1416"/>
        <v>616145.75319999782</v>
      </c>
      <c r="CI275" s="7">
        <f t="shared" si="1417"/>
        <v>611944.96319999779</v>
      </c>
      <c r="CJ275" s="7">
        <f t="shared" si="1418"/>
        <v>607744.17319999775</v>
      </c>
      <c r="CK275" s="236">
        <f t="shared" si="1369"/>
        <v>13924.876090399954</v>
      </c>
      <c r="CL275" s="7">
        <v>4200.79</v>
      </c>
      <c r="CM275" s="39">
        <f t="shared" si="1420"/>
        <v>50409.479999999996</v>
      </c>
      <c r="CN275" s="7">
        <f t="shared" si="1421"/>
        <v>603543.38319999771</v>
      </c>
      <c r="CO275" s="7">
        <f t="shared" si="1422"/>
        <v>599342.59319999767</v>
      </c>
      <c r="CP275" s="7">
        <f t="shared" si="1423"/>
        <v>595141.80319999764</v>
      </c>
      <c r="CQ275" s="7">
        <f t="shared" si="1424"/>
        <v>590941.0131999976</v>
      </c>
      <c r="CR275" s="7">
        <f t="shared" si="1425"/>
        <v>586740.22319999756</v>
      </c>
      <c r="CS275" s="7">
        <f t="shared" si="1426"/>
        <v>582539.43319999753</v>
      </c>
      <c r="CT275" s="7">
        <f t="shared" si="1427"/>
        <v>578338.64319999749</v>
      </c>
      <c r="CU275" s="7">
        <f t="shared" si="1428"/>
        <v>574137.85319999745</v>
      </c>
      <c r="CV275" s="7">
        <f t="shared" si="1429"/>
        <v>569937.06319999741</v>
      </c>
      <c r="CW275" s="7">
        <f t="shared" si="1430"/>
        <v>565736.27319999738</v>
      </c>
      <c r="CX275" s="7">
        <f t="shared" si="1431"/>
        <v>561535.48319999734</v>
      </c>
      <c r="CY275" s="7">
        <f t="shared" si="1432"/>
        <v>557334.6931999973</v>
      </c>
      <c r="CZ275" s="236">
        <f t="shared" si="1370"/>
        <v>12815.867530399944</v>
      </c>
    </row>
    <row r="276" spans="1:104" x14ac:dyDescent="0.2">
      <c r="A276" s="6" t="str">
        <f>'[1]2021 УГРЦТ'!A279</f>
        <v>КЛ-6кВ по улице Южная от ТП №34 до ТП №104</v>
      </c>
      <c r="B276" t="str">
        <f>'[1]2021 УГРЦТ'!B279</f>
        <v>000001691</v>
      </c>
      <c r="C276" t="str">
        <f>'[1]2021 УГРЦТ'!C279</f>
        <v>ПЕРЕДАЧА</v>
      </c>
      <c r="D276" t="str">
        <f>'[1]2021 УГРЦТ'!D279</f>
        <v>Сооружения</v>
      </c>
      <c r="E276" t="str">
        <f>'[1]2021 УГРЦТ'!E279</f>
        <v>30.11.2016</v>
      </c>
      <c r="F276" t="str">
        <f>'[1]2021 УГРЦТ'!F279</f>
        <v>Цех электрических сетей</v>
      </c>
      <c r="G276">
        <f>'[1]2021 УГРЦТ'!AC279</f>
        <v>300</v>
      </c>
      <c r="H276" s="7">
        <f>'[1]2021 УГРЦТ'!X279</f>
        <v>1603423.77</v>
      </c>
      <c r="I276" s="7">
        <f>'[1]2021 УГРЦТ'!Y279</f>
        <v>326029.70079999999</v>
      </c>
      <c r="J276" s="7">
        <f>'[1]2021 УГРЦТ'!Z279</f>
        <v>1277394.0692</v>
      </c>
      <c r="K276" s="8">
        <v>1</v>
      </c>
      <c r="L276" s="7">
        <v>5344.7425000000003</v>
      </c>
      <c r="M276" s="7"/>
      <c r="N276" s="7">
        <f t="shared" si="1341"/>
        <v>64136.91</v>
      </c>
      <c r="O276" s="7">
        <f t="shared" si="1433"/>
        <v>1272049.3267000001</v>
      </c>
      <c r="P276" s="7">
        <f t="shared" si="1438"/>
        <v>1266704.5842000002</v>
      </c>
      <c r="Q276" s="7">
        <f t="shared" si="1438"/>
        <v>1261359.8417000002</v>
      </c>
      <c r="R276" s="7">
        <f t="shared" si="1438"/>
        <v>1256015.0992000003</v>
      </c>
      <c r="S276" s="7">
        <f t="shared" si="1438"/>
        <v>1250670.3567000004</v>
      </c>
      <c r="T276" s="7">
        <f t="shared" si="1438"/>
        <v>1245325.6142000004</v>
      </c>
      <c r="U276" s="7">
        <f t="shared" si="1438"/>
        <v>1239980.8717000005</v>
      </c>
      <c r="V276" s="7">
        <f t="shared" si="1438"/>
        <v>1234636.1292000005</v>
      </c>
      <c r="W276" s="7">
        <f t="shared" si="1438"/>
        <v>1229291.3867000006</v>
      </c>
      <c r="X276" s="7">
        <f t="shared" si="1438"/>
        <v>1223946.6442000007</v>
      </c>
      <c r="Y276" s="7">
        <f t="shared" si="1438"/>
        <v>1218601.9017000007</v>
      </c>
      <c r="Z276" s="7">
        <f t="shared" si="1438"/>
        <v>1213257.1592000008</v>
      </c>
      <c r="AA276" s="7">
        <f t="shared" si="1382"/>
        <v>27397.163512400013</v>
      </c>
      <c r="AB276" s="7"/>
      <c r="AC276" s="7">
        <f t="shared" si="1434"/>
        <v>64136.91</v>
      </c>
      <c r="AD276" s="7">
        <f t="shared" si="1435"/>
        <v>1207912.4167000009</v>
      </c>
      <c r="AE276" s="7">
        <f t="shared" si="1439"/>
        <v>1202567.6742000009</v>
      </c>
      <c r="AF276" s="7">
        <f t="shared" si="1439"/>
        <v>1197222.931700001</v>
      </c>
      <c r="AG276" s="7">
        <f t="shared" si="1439"/>
        <v>1191878.1892000011</v>
      </c>
      <c r="AH276" s="7">
        <f t="shared" si="1439"/>
        <v>1186533.4467000011</v>
      </c>
      <c r="AI276" s="7">
        <f t="shared" si="1439"/>
        <v>1181188.7042000012</v>
      </c>
      <c r="AJ276" s="7">
        <f t="shared" si="1439"/>
        <v>1175843.9617000013</v>
      </c>
      <c r="AK276" s="7">
        <f t="shared" si="1439"/>
        <v>1170499.2192000013</v>
      </c>
      <c r="AL276" s="7">
        <f t="shared" si="1439"/>
        <v>1165154.4767000014</v>
      </c>
      <c r="AM276" s="7">
        <f t="shared" si="1439"/>
        <v>1159809.7342000015</v>
      </c>
      <c r="AN276" s="7">
        <f t="shared" si="1439"/>
        <v>1154464.9917000015</v>
      </c>
      <c r="AO276" s="7">
        <f t="shared" si="1439"/>
        <v>1149120.2492000016</v>
      </c>
      <c r="AP276" s="222">
        <f t="shared" si="1383"/>
        <v>25986.151492400026</v>
      </c>
      <c r="AQ276" s="7">
        <v>5344.7425000000003</v>
      </c>
      <c r="AR276" s="7">
        <f t="shared" si="1436"/>
        <v>5344.7424999999348</v>
      </c>
      <c r="AS276" s="7">
        <f t="shared" si="1437"/>
        <v>-6.5483618527650833E-11</v>
      </c>
      <c r="AT276" s="7">
        <f t="shared" si="1384"/>
        <v>64136.91</v>
      </c>
      <c r="AU276" s="7">
        <f t="shared" si="1377"/>
        <v>1143775.5067000017</v>
      </c>
      <c r="AV276" s="7">
        <f t="shared" si="1440"/>
        <v>1138430.7642000017</v>
      </c>
      <c r="AW276" s="7">
        <f t="shared" si="1440"/>
        <v>1133086.0217000018</v>
      </c>
      <c r="AX276" s="7">
        <f t="shared" si="1440"/>
        <v>1127741.2792000019</v>
      </c>
      <c r="AY276" s="7">
        <f t="shared" si="1440"/>
        <v>1122396.5367000019</v>
      </c>
      <c r="AZ276" s="7">
        <f t="shared" si="1440"/>
        <v>1117051.794200002</v>
      </c>
      <c r="BA276" s="7">
        <f t="shared" si="1440"/>
        <v>1111707.051700002</v>
      </c>
      <c r="BB276" s="7">
        <f t="shared" si="1440"/>
        <v>1106362.3092000021</v>
      </c>
      <c r="BC276" s="7">
        <f t="shared" si="1440"/>
        <v>1101017.5667000022</v>
      </c>
      <c r="BD276" s="7">
        <f t="shared" si="1440"/>
        <v>1095672.8242000022</v>
      </c>
      <c r="BE276" s="7">
        <f t="shared" si="1440"/>
        <v>1090328.0817000023</v>
      </c>
      <c r="BF276" s="7">
        <f t="shared" si="1440"/>
        <v>1084983.3392000024</v>
      </c>
      <c r="BG276" s="236">
        <f t="shared" si="1419"/>
        <v>24575.139472400046</v>
      </c>
      <c r="BH276" s="7">
        <v>5344.7425000000003</v>
      </c>
      <c r="BI276" s="39">
        <f t="shared" si="1408"/>
        <v>64136.91</v>
      </c>
      <c r="BJ276" s="7">
        <f t="shared" si="1385"/>
        <v>1079638.5967000024</v>
      </c>
      <c r="BK276" s="7">
        <f t="shared" si="1386"/>
        <v>1074293.8542000025</v>
      </c>
      <c r="BL276" s="7">
        <f t="shared" si="1387"/>
        <v>1068949.1117000026</v>
      </c>
      <c r="BM276" s="7">
        <f t="shared" si="1388"/>
        <v>1063604.3692000026</v>
      </c>
      <c r="BN276" s="7">
        <f t="shared" si="1389"/>
        <v>1058259.6267000027</v>
      </c>
      <c r="BO276" s="7">
        <f t="shared" si="1390"/>
        <v>1052914.8842000028</v>
      </c>
      <c r="BP276" s="7">
        <f t="shared" si="1391"/>
        <v>1047570.1417000027</v>
      </c>
      <c r="BQ276" s="7">
        <f t="shared" si="1392"/>
        <v>1042225.3992000027</v>
      </c>
      <c r="BR276" s="7">
        <f t="shared" si="1393"/>
        <v>1036880.6567000026</v>
      </c>
      <c r="BS276" s="7">
        <f t="shared" si="1394"/>
        <v>1031535.9142000026</v>
      </c>
      <c r="BT276" s="7">
        <f t="shared" si="1395"/>
        <v>1026191.1717000025</v>
      </c>
      <c r="BU276" s="7">
        <f t="shared" si="1396"/>
        <v>1020846.4292000025</v>
      </c>
      <c r="BV276" s="236">
        <f t="shared" si="1368"/>
        <v>23164.127452400055</v>
      </c>
      <c r="BW276" s="7">
        <v>5344.7425000000003</v>
      </c>
      <c r="BX276" s="39">
        <f t="shared" si="1409"/>
        <v>64136.91</v>
      </c>
      <c r="BY276" s="7">
        <f t="shared" si="1410"/>
        <v>1015501.6867000024</v>
      </c>
      <c r="BZ276" s="7">
        <f t="shared" si="1397"/>
        <v>1010156.9442000024</v>
      </c>
      <c r="CA276" s="7">
        <f t="shared" si="1398"/>
        <v>1004812.2017000023</v>
      </c>
      <c r="CB276" s="7">
        <f t="shared" si="1399"/>
        <v>999467.45920000225</v>
      </c>
      <c r="CC276" s="7">
        <f t="shared" si="1411"/>
        <v>994122.7167000022</v>
      </c>
      <c r="CD276" s="7">
        <f t="shared" si="1412"/>
        <v>988777.97420000215</v>
      </c>
      <c r="CE276" s="7">
        <f t="shared" si="1413"/>
        <v>983433.2317000021</v>
      </c>
      <c r="CF276" s="7">
        <f t="shared" si="1414"/>
        <v>978088.48920000205</v>
      </c>
      <c r="CG276" s="7">
        <f t="shared" si="1415"/>
        <v>972743.746700002</v>
      </c>
      <c r="CH276" s="7">
        <f t="shared" si="1416"/>
        <v>967399.00420000195</v>
      </c>
      <c r="CI276" s="7">
        <f t="shared" si="1417"/>
        <v>962054.26170000189</v>
      </c>
      <c r="CJ276" s="7">
        <f t="shared" si="1418"/>
        <v>956709.51920000184</v>
      </c>
      <c r="CK276" s="236">
        <f t="shared" si="1369"/>
        <v>21753.115432400045</v>
      </c>
      <c r="CL276" s="7">
        <v>5344.7425000000003</v>
      </c>
      <c r="CM276" s="39">
        <f t="shared" si="1420"/>
        <v>64136.91</v>
      </c>
      <c r="CN276" s="7">
        <f t="shared" si="1421"/>
        <v>951364.77670000179</v>
      </c>
      <c r="CO276" s="7">
        <f t="shared" si="1422"/>
        <v>946020.03420000174</v>
      </c>
      <c r="CP276" s="7">
        <f t="shared" si="1423"/>
        <v>940675.29170000169</v>
      </c>
      <c r="CQ276" s="7">
        <f t="shared" si="1424"/>
        <v>935330.54920000164</v>
      </c>
      <c r="CR276" s="7">
        <f t="shared" si="1425"/>
        <v>929985.80670000159</v>
      </c>
      <c r="CS276" s="7">
        <f t="shared" si="1426"/>
        <v>924641.06420000154</v>
      </c>
      <c r="CT276" s="7">
        <f t="shared" si="1427"/>
        <v>919296.32170000148</v>
      </c>
      <c r="CU276" s="7">
        <f t="shared" si="1428"/>
        <v>913951.57920000143</v>
      </c>
      <c r="CV276" s="7">
        <f t="shared" si="1429"/>
        <v>908606.83670000138</v>
      </c>
      <c r="CW276" s="7">
        <f t="shared" si="1430"/>
        <v>903262.09420000133</v>
      </c>
      <c r="CX276" s="7">
        <f t="shared" si="1431"/>
        <v>897917.35170000128</v>
      </c>
      <c r="CY276" s="7">
        <f t="shared" si="1432"/>
        <v>892572.60920000123</v>
      </c>
      <c r="CZ276" s="236">
        <f t="shared" si="1370"/>
        <v>20342.103412400033</v>
      </c>
    </row>
    <row r="277" spans="1:104" x14ac:dyDescent="0.2">
      <c r="A277" s="6" t="str">
        <f>'[1]2021 УГРЦТ'!A280</f>
        <v>КЛ-6кВ ТП №21-ТП №113 "Молодежный центр"</v>
      </c>
      <c r="B277" t="str">
        <f>'[1]2021 УГРЦТ'!B280</f>
        <v>000001693</v>
      </c>
      <c r="C277" t="str">
        <f>'[1]2021 УГРЦТ'!C280</f>
        <v>ПЕРЕДАЧА</v>
      </c>
      <c r="D277" t="str">
        <f>'[1]2021 УГРЦТ'!D280</f>
        <v>Сооружения</v>
      </c>
      <c r="E277" t="str">
        <f>'[1]2021 УГРЦТ'!E280</f>
        <v>30.11.2016</v>
      </c>
      <c r="F277" t="str">
        <f>'[1]2021 УГРЦТ'!F280</f>
        <v>Цех электрических сетей</v>
      </c>
      <c r="G277">
        <f>'[1]2021 УГРЦТ'!AC280</f>
        <v>300</v>
      </c>
      <c r="H277" s="7">
        <f>'[1]2021 УГРЦТ'!X280</f>
        <v>534839</v>
      </c>
      <c r="I277" s="7">
        <f>'[1]2021 УГРЦТ'!Y280</f>
        <v>108750.76</v>
      </c>
      <c r="J277" s="7">
        <f>'[1]2021 УГРЦТ'!Z280</f>
        <v>426088.24</v>
      </c>
      <c r="K277" s="8">
        <v>1</v>
      </c>
      <c r="L277" s="7">
        <v>1782.7999999999995</v>
      </c>
      <c r="M277" s="7"/>
      <c r="N277" s="7">
        <f t="shared" si="1341"/>
        <v>21393.599999999995</v>
      </c>
      <c r="O277" s="7">
        <f t="shared" si="1433"/>
        <v>424305.44</v>
      </c>
      <c r="P277" s="7">
        <f t="shared" si="1438"/>
        <v>422522.64</v>
      </c>
      <c r="Q277" s="7">
        <f t="shared" si="1438"/>
        <v>420739.84000000003</v>
      </c>
      <c r="R277" s="7">
        <f t="shared" si="1438"/>
        <v>418957.04000000004</v>
      </c>
      <c r="S277" s="7">
        <f t="shared" si="1438"/>
        <v>417174.24000000005</v>
      </c>
      <c r="T277" s="7">
        <f t="shared" si="1438"/>
        <v>415391.44000000006</v>
      </c>
      <c r="U277" s="7">
        <f t="shared" si="1438"/>
        <v>413608.64000000007</v>
      </c>
      <c r="V277" s="7">
        <f t="shared" si="1438"/>
        <v>411825.84000000008</v>
      </c>
      <c r="W277" s="7">
        <f t="shared" si="1438"/>
        <v>410043.0400000001</v>
      </c>
      <c r="X277" s="7">
        <f t="shared" si="1438"/>
        <v>408260.24000000011</v>
      </c>
      <c r="Y277" s="7">
        <f t="shared" si="1438"/>
        <v>406477.44000000012</v>
      </c>
      <c r="Z277" s="7">
        <f t="shared" si="1438"/>
        <v>404694.64000000013</v>
      </c>
      <c r="AA277" s="7">
        <f t="shared" si="1382"/>
        <v>9138.61168</v>
      </c>
      <c r="AB277" s="7"/>
      <c r="AC277" s="7">
        <f t="shared" si="1434"/>
        <v>21393.599999999995</v>
      </c>
      <c r="AD277" s="7">
        <f t="shared" si="1435"/>
        <v>402911.84000000014</v>
      </c>
      <c r="AE277" s="7">
        <f t="shared" si="1439"/>
        <v>401129.04000000015</v>
      </c>
      <c r="AF277" s="7">
        <f t="shared" si="1439"/>
        <v>399346.24000000017</v>
      </c>
      <c r="AG277" s="7">
        <f t="shared" si="1439"/>
        <v>397563.44000000018</v>
      </c>
      <c r="AH277" s="7">
        <f t="shared" si="1439"/>
        <v>395780.64000000019</v>
      </c>
      <c r="AI277" s="7">
        <f t="shared" si="1439"/>
        <v>393997.8400000002</v>
      </c>
      <c r="AJ277" s="7">
        <f t="shared" si="1439"/>
        <v>392215.04000000021</v>
      </c>
      <c r="AK277" s="7">
        <f t="shared" si="1439"/>
        <v>390432.24000000022</v>
      </c>
      <c r="AL277" s="7">
        <f t="shared" si="1439"/>
        <v>388649.44000000024</v>
      </c>
      <c r="AM277" s="7">
        <f t="shared" si="1439"/>
        <v>386866.64000000025</v>
      </c>
      <c r="AN277" s="7">
        <f t="shared" si="1439"/>
        <v>385083.84000000026</v>
      </c>
      <c r="AO277" s="7">
        <f t="shared" si="1439"/>
        <v>383301.04000000027</v>
      </c>
      <c r="AP277" s="222">
        <f t="shared" si="1383"/>
        <v>8667.9524800000017</v>
      </c>
      <c r="AQ277" s="7">
        <v>1782.7999999999995</v>
      </c>
      <c r="AR277" s="7">
        <f t="shared" si="1436"/>
        <v>1782.7999999999884</v>
      </c>
      <c r="AS277" s="7">
        <f t="shared" si="1437"/>
        <v>-1.1141310096718371E-11</v>
      </c>
      <c r="AT277" s="7">
        <f t="shared" si="1384"/>
        <v>21393.599999999995</v>
      </c>
      <c r="AU277" s="7">
        <f t="shared" si="1377"/>
        <v>381518.24000000028</v>
      </c>
      <c r="AV277" s="7">
        <f t="shared" si="1440"/>
        <v>379735.44000000029</v>
      </c>
      <c r="AW277" s="7">
        <f t="shared" si="1440"/>
        <v>377952.64000000031</v>
      </c>
      <c r="AX277" s="7">
        <f t="shared" si="1440"/>
        <v>376169.84000000032</v>
      </c>
      <c r="AY277" s="7">
        <f t="shared" si="1440"/>
        <v>374387.04000000033</v>
      </c>
      <c r="AZ277" s="7">
        <f t="shared" si="1440"/>
        <v>372604.24000000034</v>
      </c>
      <c r="BA277" s="7">
        <f t="shared" si="1440"/>
        <v>370821.44000000035</v>
      </c>
      <c r="BB277" s="7">
        <f t="shared" si="1440"/>
        <v>369038.64000000036</v>
      </c>
      <c r="BC277" s="7">
        <f t="shared" si="1440"/>
        <v>367255.84000000037</v>
      </c>
      <c r="BD277" s="7">
        <f t="shared" si="1440"/>
        <v>365473.04000000039</v>
      </c>
      <c r="BE277" s="7">
        <f t="shared" si="1440"/>
        <v>363690.2400000004</v>
      </c>
      <c r="BF277" s="7">
        <f t="shared" si="1440"/>
        <v>361907.44000000041</v>
      </c>
      <c r="BG277" s="236">
        <f t="shared" si="1419"/>
        <v>8197.2932800000053</v>
      </c>
      <c r="BH277" s="7">
        <v>1782.7999999999995</v>
      </c>
      <c r="BI277" s="39">
        <f t="shared" si="1408"/>
        <v>21393.599999999995</v>
      </c>
      <c r="BJ277" s="7">
        <f t="shared" si="1385"/>
        <v>360124.64000000042</v>
      </c>
      <c r="BK277" s="7">
        <f t="shared" si="1386"/>
        <v>358341.84000000043</v>
      </c>
      <c r="BL277" s="7">
        <f t="shared" si="1387"/>
        <v>356559.04000000044</v>
      </c>
      <c r="BM277" s="7">
        <f t="shared" si="1388"/>
        <v>354776.24000000046</v>
      </c>
      <c r="BN277" s="7">
        <f t="shared" si="1389"/>
        <v>352993.44000000047</v>
      </c>
      <c r="BO277" s="7">
        <f t="shared" si="1390"/>
        <v>351210.64000000048</v>
      </c>
      <c r="BP277" s="7">
        <f t="shared" si="1391"/>
        <v>349427.84000000049</v>
      </c>
      <c r="BQ277" s="7">
        <f t="shared" si="1392"/>
        <v>347645.0400000005</v>
      </c>
      <c r="BR277" s="7">
        <f t="shared" si="1393"/>
        <v>345862.24000000051</v>
      </c>
      <c r="BS277" s="7">
        <f t="shared" si="1394"/>
        <v>344079.44000000053</v>
      </c>
      <c r="BT277" s="7">
        <f t="shared" si="1395"/>
        <v>342296.64000000054</v>
      </c>
      <c r="BU277" s="7">
        <f t="shared" si="1396"/>
        <v>340513.84000000055</v>
      </c>
      <c r="BV277" s="236">
        <f t="shared" si="1368"/>
        <v>7726.6340800000098</v>
      </c>
      <c r="BW277" s="7">
        <v>1782.7999999999995</v>
      </c>
      <c r="BX277" s="39">
        <f t="shared" si="1409"/>
        <v>21393.599999999995</v>
      </c>
      <c r="BY277" s="7">
        <f t="shared" si="1410"/>
        <v>338731.04000000056</v>
      </c>
      <c r="BZ277" s="7">
        <f t="shared" si="1397"/>
        <v>336948.24000000057</v>
      </c>
      <c r="CA277" s="7">
        <f t="shared" si="1398"/>
        <v>335165.44000000058</v>
      </c>
      <c r="CB277" s="7">
        <f t="shared" si="1399"/>
        <v>333382.6400000006</v>
      </c>
      <c r="CC277" s="7">
        <f t="shared" si="1411"/>
        <v>331599.84000000061</v>
      </c>
      <c r="CD277" s="7">
        <f t="shared" si="1412"/>
        <v>329817.04000000062</v>
      </c>
      <c r="CE277" s="7">
        <f t="shared" si="1413"/>
        <v>328034.24000000063</v>
      </c>
      <c r="CF277" s="7">
        <f t="shared" si="1414"/>
        <v>326251.44000000064</v>
      </c>
      <c r="CG277" s="7">
        <f t="shared" si="1415"/>
        <v>324468.64000000065</v>
      </c>
      <c r="CH277" s="7">
        <f t="shared" si="1416"/>
        <v>322685.84000000067</v>
      </c>
      <c r="CI277" s="7">
        <f t="shared" si="1417"/>
        <v>320903.04000000068</v>
      </c>
      <c r="CJ277" s="7">
        <f t="shared" si="1418"/>
        <v>319120.24000000069</v>
      </c>
      <c r="CK277" s="236">
        <f t="shared" si="1369"/>
        <v>7255.9748800000134</v>
      </c>
      <c r="CL277" s="7">
        <v>1782.7999999999995</v>
      </c>
      <c r="CM277" s="39">
        <f t="shared" si="1420"/>
        <v>21393.599999999995</v>
      </c>
      <c r="CN277" s="7">
        <f t="shared" si="1421"/>
        <v>317337.4400000007</v>
      </c>
      <c r="CO277" s="7">
        <f t="shared" si="1422"/>
        <v>315554.64000000071</v>
      </c>
      <c r="CP277" s="7">
        <f t="shared" si="1423"/>
        <v>313771.84000000072</v>
      </c>
      <c r="CQ277" s="7">
        <f t="shared" si="1424"/>
        <v>311989.04000000074</v>
      </c>
      <c r="CR277" s="7">
        <f t="shared" si="1425"/>
        <v>310206.24000000075</v>
      </c>
      <c r="CS277" s="7">
        <f t="shared" si="1426"/>
        <v>308423.44000000076</v>
      </c>
      <c r="CT277" s="7">
        <f t="shared" si="1427"/>
        <v>306640.64000000077</v>
      </c>
      <c r="CU277" s="7">
        <f t="shared" si="1428"/>
        <v>304857.84000000078</v>
      </c>
      <c r="CV277" s="7">
        <f t="shared" si="1429"/>
        <v>303075.04000000079</v>
      </c>
      <c r="CW277" s="7">
        <f t="shared" si="1430"/>
        <v>301292.24000000081</v>
      </c>
      <c r="CX277" s="7">
        <f t="shared" si="1431"/>
        <v>299509.44000000082</v>
      </c>
      <c r="CY277" s="7">
        <f t="shared" si="1432"/>
        <v>297726.64000000083</v>
      </c>
      <c r="CZ277" s="236">
        <f t="shared" si="1370"/>
        <v>6785.3156800000161</v>
      </c>
    </row>
    <row r="278" spans="1:104" x14ac:dyDescent="0.2">
      <c r="A278" s="6" t="str">
        <f>'[1]2021 УГРЦТ'!A281</f>
        <v>КЛ-6кВ ТП №7-ТП №113 "Молодежный центр"</v>
      </c>
      <c r="B278" t="str">
        <f>'[1]2021 УГРЦТ'!B281</f>
        <v>000001692</v>
      </c>
      <c r="C278" t="str">
        <f>'[1]2021 УГРЦТ'!C281</f>
        <v>ПЕРЕДАЧА</v>
      </c>
      <c r="D278" t="str">
        <f>'[1]2021 УГРЦТ'!D281</f>
        <v>Сооружения</v>
      </c>
      <c r="E278" t="str">
        <f>'[1]2021 УГРЦТ'!E281</f>
        <v>30.11.2016</v>
      </c>
      <c r="F278" t="str">
        <f>'[1]2021 УГРЦТ'!F281</f>
        <v>Цех электрических сетей</v>
      </c>
      <c r="G278">
        <f>'[1]2021 УГРЦТ'!AC281</f>
        <v>300</v>
      </c>
      <c r="H278" s="7">
        <f>'[1]2021 УГРЦТ'!X281</f>
        <v>1839551</v>
      </c>
      <c r="I278" s="7">
        <f>'[1]2021 УГРЦТ'!Y281</f>
        <v>374042.2</v>
      </c>
      <c r="J278" s="7">
        <f>'[1]2021 УГРЦТ'!Z281</f>
        <v>1465508.8</v>
      </c>
      <c r="K278" s="8">
        <v>1</v>
      </c>
      <c r="L278" s="7">
        <v>6131.8399999999992</v>
      </c>
      <c r="M278" s="7"/>
      <c r="N278" s="7">
        <f t="shared" si="1341"/>
        <v>73582.079999999987</v>
      </c>
      <c r="O278" s="7">
        <f t="shared" si="1433"/>
        <v>1459376.96</v>
      </c>
      <c r="P278" s="7">
        <f t="shared" si="1438"/>
        <v>1453245.1199999999</v>
      </c>
      <c r="Q278" s="7">
        <f t="shared" si="1438"/>
        <v>1447113.2799999998</v>
      </c>
      <c r="R278" s="7">
        <f t="shared" si="1438"/>
        <v>1440981.4399999997</v>
      </c>
      <c r="S278" s="7">
        <f t="shared" si="1438"/>
        <v>1434849.5999999996</v>
      </c>
      <c r="T278" s="7">
        <f t="shared" si="1438"/>
        <v>1428717.7599999995</v>
      </c>
      <c r="U278" s="7">
        <f t="shared" si="1438"/>
        <v>1422585.9199999995</v>
      </c>
      <c r="V278" s="7">
        <f t="shared" si="1438"/>
        <v>1416454.0799999994</v>
      </c>
      <c r="W278" s="7">
        <f t="shared" si="1438"/>
        <v>1410322.2399999993</v>
      </c>
      <c r="X278" s="7">
        <f t="shared" si="1438"/>
        <v>1404190.3999999992</v>
      </c>
      <c r="Y278" s="7">
        <f t="shared" si="1438"/>
        <v>1398058.5599999991</v>
      </c>
      <c r="Z278" s="7">
        <f t="shared" si="1438"/>
        <v>1391926.719999999</v>
      </c>
      <c r="AA278" s="7">
        <f t="shared" si="1382"/>
        <v>31431.790719999986</v>
      </c>
      <c r="AB278" s="7"/>
      <c r="AC278" s="7">
        <f t="shared" si="1434"/>
        <v>73582.079999999987</v>
      </c>
      <c r="AD278" s="7">
        <f t="shared" si="1435"/>
        <v>1385794.879999999</v>
      </c>
      <c r="AE278" s="7">
        <f t="shared" si="1439"/>
        <v>1379663.0399999989</v>
      </c>
      <c r="AF278" s="7">
        <f t="shared" si="1439"/>
        <v>1373531.1999999988</v>
      </c>
      <c r="AG278" s="7">
        <f t="shared" si="1439"/>
        <v>1367399.3599999987</v>
      </c>
      <c r="AH278" s="7">
        <f t="shared" si="1439"/>
        <v>1361267.5199999986</v>
      </c>
      <c r="AI278" s="7">
        <f t="shared" si="1439"/>
        <v>1355135.6799999985</v>
      </c>
      <c r="AJ278" s="7">
        <f t="shared" si="1439"/>
        <v>1349003.8399999985</v>
      </c>
      <c r="AK278" s="7">
        <f t="shared" si="1439"/>
        <v>1342871.9999999984</v>
      </c>
      <c r="AL278" s="7">
        <f t="shared" si="1439"/>
        <v>1336740.1599999983</v>
      </c>
      <c r="AM278" s="7">
        <f t="shared" si="1439"/>
        <v>1330608.3199999982</v>
      </c>
      <c r="AN278" s="7">
        <f t="shared" si="1439"/>
        <v>1324476.4799999981</v>
      </c>
      <c r="AO278" s="7">
        <f t="shared" si="1439"/>
        <v>1318344.639999998</v>
      </c>
      <c r="AP278" s="222">
        <f t="shared" si="1383"/>
        <v>29812.984959999972</v>
      </c>
      <c r="AQ278" s="7">
        <v>6131.8399999999992</v>
      </c>
      <c r="AR278" s="7">
        <f t="shared" si="1436"/>
        <v>6131.8400000000838</v>
      </c>
      <c r="AS278" s="7">
        <f t="shared" si="1437"/>
        <v>8.4583007264882326E-11</v>
      </c>
      <c r="AT278" s="7">
        <f t="shared" si="1384"/>
        <v>73582.079999999987</v>
      </c>
      <c r="AU278" s="7">
        <f t="shared" si="1377"/>
        <v>1312212.799999998</v>
      </c>
      <c r="AV278" s="7">
        <f t="shared" si="1440"/>
        <v>1306080.9599999979</v>
      </c>
      <c r="AW278" s="7">
        <f t="shared" si="1440"/>
        <v>1299949.1199999978</v>
      </c>
      <c r="AX278" s="7">
        <f t="shared" si="1440"/>
        <v>1293817.2799999977</v>
      </c>
      <c r="AY278" s="7">
        <f t="shared" si="1440"/>
        <v>1287685.4399999976</v>
      </c>
      <c r="AZ278" s="7">
        <f t="shared" si="1440"/>
        <v>1281553.5999999975</v>
      </c>
      <c r="BA278" s="7">
        <f t="shared" si="1440"/>
        <v>1275421.7599999974</v>
      </c>
      <c r="BB278" s="7">
        <f t="shared" si="1440"/>
        <v>1269289.9199999974</v>
      </c>
      <c r="BC278" s="7">
        <f t="shared" si="1440"/>
        <v>1263158.0799999973</v>
      </c>
      <c r="BD278" s="7">
        <f t="shared" si="1440"/>
        <v>1257026.2399999972</v>
      </c>
      <c r="BE278" s="7">
        <f t="shared" si="1440"/>
        <v>1250894.3999999971</v>
      </c>
      <c r="BF278" s="7">
        <f t="shared" si="1440"/>
        <v>1244762.559999997</v>
      </c>
      <c r="BG278" s="236">
        <f t="shared" si="1419"/>
        <v>28194.179199999944</v>
      </c>
      <c r="BH278" s="7">
        <v>6131.8399999999992</v>
      </c>
      <c r="BI278" s="39">
        <f t="shared" si="1408"/>
        <v>73582.079999999987</v>
      </c>
      <c r="BJ278" s="7">
        <f t="shared" si="1385"/>
        <v>1238630.7199999969</v>
      </c>
      <c r="BK278" s="7">
        <f t="shared" si="1386"/>
        <v>1232498.8799999969</v>
      </c>
      <c r="BL278" s="7">
        <f t="shared" si="1387"/>
        <v>1226367.0399999968</v>
      </c>
      <c r="BM278" s="7">
        <f t="shared" si="1388"/>
        <v>1220235.1999999967</v>
      </c>
      <c r="BN278" s="7">
        <f t="shared" si="1389"/>
        <v>1214103.3599999966</v>
      </c>
      <c r="BO278" s="7">
        <f t="shared" si="1390"/>
        <v>1207971.5199999965</v>
      </c>
      <c r="BP278" s="7">
        <f t="shared" si="1391"/>
        <v>1201839.6799999964</v>
      </c>
      <c r="BQ278" s="7">
        <f t="shared" si="1392"/>
        <v>1195707.8399999964</v>
      </c>
      <c r="BR278" s="7">
        <f t="shared" si="1393"/>
        <v>1189575.9999999963</v>
      </c>
      <c r="BS278" s="7">
        <f t="shared" si="1394"/>
        <v>1183444.1599999962</v>
      </c>
      <c r="BT278" s="7">
        <f t="shared" si="1395"/>
        <v>1177312.3199999961</v>
      </c>
      <c r="BU278" s="7">
        <f t="shared" si="1396"/>
        <v>1171180.479999996</v>
      </c>
      <c r="BV278" s="236">
        <f t="shared" si="1368"/>
        <v>26575.373439999927</v>
      </c>
      <c r="BW278" s="7">
        <v>6131.8399999999992</v>
      </c>
      <c r="BX278" s="39">
        <f t="shared" si="1409"/>
        <v>73582.079999999987</v>
      </c>
      <c r="BY278" s="7">
        <f t="shared" si="1410"/>
        <v>1165048.6399999959</v>
      </c>
      <c r="BZ278" s="7">
        <f t="shared" si="1397"/>
        <v>1158916.7999999959</v>
      </c>
      <c r="CA278" s="7">
        <f t="shared" si="1398"/>
        <v>1152784.9599999958</v>
      </c>
      <c r="CB278" s="7">
        <f t="shared" si="1399"/>
        <v>1146653.1199999957</v>
      </c>
      <c r="CC278" s="7">
        <f t="shared" si="1411"/>
        <v>1140521.2799999956</v>
      </c>
      <c r="CD278" s="7">
        <f t="shared" si="1412"/>
        <v>1134389.4399999955</v>
      </c>
      <c r="CE278" s="7">
        <f t="shared" si="1413"/>
        <v>1128257.5999999954</v>
      </c>
      <c r="CF278" s="7">
        <f t="shared" si="1414"/>
        <v>1122125.7599999954</v>
      </c>
      <c r="CG278" s="7">
        <f t="shared" si="1415"/>
        <v>1115993.9199999953</v>
      </c>
      <c r="CH278" s="7">
        <f t="shared" si="1416"/>
        <v>1109862.0799999952</v>
      </c>
      <c r="CI278" s="7">
        <f t="shared" si="1417"/>
        <v>1103730.2399999951</v>
      </c>
      <c r="CJ278" s="7">
        <f t="shared" si="1418"/>
        <v>1097598.399999995</v>
      </c>
      <c r="CK278" s="236">
        <f t="shared" si="1369"/>
        <v>24956.567679999898</v>
      </c>
      <c r="CL278" s="7">
        <v>6131.8399999999992</v>
      </c>
      <c r="CM278" s="39">
        <f t="shared" si="1420"/>
        <v>73582.079999999987</v>
      </c>
      <c r="CN278" s="7">
        <f t="shared" si="1421"/>
        <v>1091466.5599999949</v>
      </c>
      <c r="CO278" s="7">
        <f t="shared" si="1422"/>
        <v>1085334.7199999948</v>
      </c>
      <c r="CP278" s="7">
        <f t="shared" si="1423"/>
        <v>1079202.8799999948</v>
      </c>
      <c r="CQ278" s="7">
        <f t="shared" si="1424"/>
        <v>1073071.0399999947</v>
      </c>
      <c r="CR278" s="7">
        <f t="shared" si="1425"/>
        <v>1066939.1999999946</v>
      </c>
      <c r="CS278" s="7">
        <f t="shared" si="1426"/>
        <v>1060807.3599999945</v>
      </c>
      <c r="CT278" s="7">
        <f t="shared" si="1427"/>
        <v>1054675.5199999944</v>
      </c>
      <c r="CU278" s="7">
        <f t="shared" si="1428"/>
        <v>1048543.6799999945</v>
      </c>
      <c r="CV278" s="7">
        <f t="shared" si="1429"/>
        <v>1042411.8399999945</v>
      </c>
      <c r="CW278" s="7">
        <f t="shared" si="1430"/>
        <v>1036279.9999999945</v>
      </c>
      <c r="CX278" s="7">
        <f t="shared" si="1431"/>
        <v>1030148.1599999946</v>
      </c>
      <c r="CY278" s="7">
        <f t="shared" si="1432"/>
        <v>1024016.3199999946</v>
      </c>
      <c r="CZ278" s="236">
        <f t="shared" si="1370"/>
        <v>23337.761919999884</v>
      </c>
    </row>
    <row r="279" spans="1:104" x14ac:dyDescent="0.2">
      <c r="A279" s="6" t="str">
        <f>'[1]2021 УГРЦТ'!A282</f>
        <v>Комплексная трансформаторная подстанция</v>
      </c>
      <c r="B279" s="16" t="str">
        <f>'[1]2021 УГРЦТ'!B282</f>
        <v>000001846</v>
      </c>
      <c r="C279" t="str">
        <f>'[1]2021 УГРЦТ'!C282</f>
        <v>ПЕРЕДАЧА</v>
      </c>
      <c r="D279" t="str">
        <f>'[1]2021 УГРЦТ'!D282</f>
        <v>Сооружения</v>
      </c>
      <c r="E279" t="str">
        <f>'[1]2021 УГРЦТ'!E282</f>
        <v>14.04.2021</v>
      </c>
      <c r="F279" t="str">
        <f>'[1]2021 УГРЦТ'!F282</f>
        <v>Цех электрических сетей</v>
      </c>
      <c r="G279">
        <f>'[1]2021 УГРЦТ'!AC282</f>
        <v>300</v>
      </c>
      <c r="H279" s="7">
        <f>'[1]2021 УГРЦТ'!X282</f>
        <v>13972965.5</v>
      </c>
      <c r="I279" s="7">
        <f>'[1]2021 УГРЦТ'!Y282</f>
        <v>372612.41333333333</v>
      </c>
      <c r="J279" s="7">
        <f>'[1]2021 УГРЦТ'!Z282</f>
        <v>13600353.086666666</v>
      </c>
      <c r="K279" s="8">
        <v>1</v>
      </c>
      <c r="L279" s="7">
        <v>46576.549999999996</v>
      </c>
      <c r="M279" s="7"/>
      <c r="N279" s="7">
        <f t="shared" si="1341"/>
        <v>558918.6</v>
      </c>
      <c r="O279" s="7">
        <f t="shared" si="1433"/>
        <v>13553776.536666665</v>
      </c>
      <c r="P279" s="7">
        <f t="shared" ref="P279:Z294" si="1441">O279-$L279</f>
        <v>13507199.986666664</v>
      </c>
      <c r="Q279" s="7">
        <f t="shared" si="1441"/>
        <v>13460623.436666664</v>
      </c>
      <c r="R279" s="7">
        <f t="shared" si="1441"/>
        <v>13414046.886666663</v>
      </c>
      <c r="S279" s="7">
        <f t="shared" si="1441"/>
        <v>13367470.336666662</v>
      </c>
      <c r="T279" s="7">
        <f t="shared" si="1441"/>
        <v>13320893.786666662</v>
      </c>
      <c r="U279" s="7">
        <f t="shared" si="1441"/>
        <v>13274317.236666661</v>
      </c>
      <c r="V279" s="7">
        <f t="shared" si="1441"/>
        <v>13227740.68666666</v>
      </c>
      <c r="W279" s="7">
        <f t="shared" si="1441"/>
        <v>13181164.136666659</v>
      </c>
      <c r="X279" s="7">
        <f t="shared" si="1441"/>
        <v>13134587.586666659</v>
      </c>
      <c r="Y279" s="7">
        <f t="shared" si="1441"/>
        <v>13088011.036666658</v>
      </c>
      <c r="Z279" s="7">
        <f t="shared" si="1441"/>
        <v>13041434.486666657</v>
      </c>
      <c r="AA279" s="7">
        <f t="shared" si="1382"/>
        <v>293059.66330666654</v>
      </c>
      <c r="AB279" s="7"/>
      <c r="AC279" s="7">
        <f t="shared" si="1434"/>
        <v>558918.6</v>
      </c>
      <c r="AD279" s="7">
        <f t="shared" si="1435"/>
        <v>12994857.936666656</v>
      </c>
      <c r="AE279" s="7">
        <f t="shared" si="1439"/>
        <v>12948281.386666656</v>
      </c>
      <c r="AF279" s="7">
        <f t="shared" si="1439"/>
        <v>12901704.836666655</v>
      </c>
      <c r="AG279" s="7">
        <f t="shared" si="1439"/>
        <v>12855128.286666654</v>
      </c>
      <c r="AH279" s="7">
        <f t="shared" si="1439"/>
        <v>12808551.736666653</v>
      </c>
      <c r="AI279" s="7">
        <f t="shared" si="1439"/>
        <v>12761975.186666653</v>
      </c>
      <c r="AJ279" s="7">
        <f t="shared" si="1439"/>
        <v>12715398.636666652</v>
      </c>
      <c r="AK279" s="7">
        <f t="shared" si="1439"/>
        <v>12668822.086666651</v>
      </c>
      <c r="AL279" s="7">
        <f t="shared" si="1439"/>
        <v>12622245.53666665</v>
      </c>
      <c r="AM279" s="7">
        <f t="shared" si="1439"/>
        <v>12575668.98666665</v>
      </c>
      <c r="AN279" s="7">
        <f t="shared" si="1439"/>
        <v>12529092.436666649</v>
      </c>
      <c r="AO279" s="7">
        <f t="shared" si="1439"/>
        <v>12482515.886666648</v>
      </c>
      <c r="AP279" s="222">
        <f t="shared" si="1383"/>
        <v>280763.45410666638</v>
      </c>
      <c r="AQ279" s="7">
        <v>46576.549999999996</v>
      </c>
      <c r="AR279" s="7">
        <f t="shared" si="1436"/>
        <v>46576.550000000745</v>
      </c>
      <c r="AS279" s="7">
        <f t="shared" si="1437"/>
        <v>7.4942363426089287E-10</v>
      </c>
      <c r="AT279" s="7">
        <f t="shared" si="1384"/>
        <v>558918.6</v>
      </c>
      <c r="AU279" s="7">
        <f t="shared" si="1377"/>
        <v>12435939.336666647</v>
      </c>
      <c r="AV279" s="7">
        <f t="shared" si="1440"/>
        <v>12389362.786666647</v>
      </c>
      <c r="AW279" s="7">
        <f t="shared" si="1440"/>
        <v>12342786.236666646</v>
      </c>
      <c r="AX279" s="7">
        <f t="shared" si="1440"/>
        <v>12296209.686666645</v>
      </c>
      <c r="AY279" s="7">
        <f t="shared" si="1440"/>
        <v>12249633.136666644</v>
      </c>
      <c r="AZ279" s="7">
        <f t="shared" si="1440"/>
        <v>12203056.586666644</v>
      </c>
      <c r="BA279" s="7">
        <f t="shared" si="1440"/>
        <v>12156480.036666643</v>
      </c>
      <c r="BB279" s="7">
        <f t="shared" si="1440"/>
        <v>12109903.486666642</v>
      </c>
      <c r="BC279" s="7">
        <f t="shared" si="1440"/>
        <v>12063326.936666641</v>
      </c>
      <c r="BD279" s="7">
        <f t="shared" si="1440"/>
        <v>12016750.386666641</v>
      </c>
      <c r="BE279" s="7">
        <f t="shared" si="1440"/>
        <v>11970173.83666664</v>
      </c>
      <c r="BF279" s="7">
        <f t="shared" si="1440"/>
        <v>11923597.286666639</v>
      </c>
      <c r="BG279" s="236">
        <f t="shared" si="1419"/>
        <v>268467.24490666616</v>
      </c>
      <c r="BH279" s="7">
        <v>46576.549999999996</v>
      </c>
      <c r="BI279" s="39">
        <f t="shared" si="1408"/>
        <v>558918.6</v>
      </c>
      <c r="BJ279" s="7">
        <f t="shared" si="1385"/>
        <v>11877020.736666638</v>
      </c>
      <c r="BK279" s="7">
        <f t="shared" si="1386"/>
        <v>11830444.186666638</v>
      </c>
      <c r="BL279" s="7">
        <f t="shared" si="1387"/>
        <v>11783867.636666637</v>
      </c>
      <c r="BM279" s="7">
        <f t="shared" si="1388"/>
        <v>11737291.086666636</v>
      </c>
      <c r="BN279" s="7">
        <f t="shared" si="1389"/>
        <v>11690714.536666635</v>
      </c>
      <c r="BO279" s="7">
        <f t="shared" si="1390"/>
        <v>11644137.986666635</v>
      </c>
      <c r="BP279" s="7">
        <f t="shared" si="1391"/>
        <v>11597561.436666634</v>
      </c>
      <c r="BQ279" s="7">
        <f t="shared" si="1392"/>
        <v>11550984.886666633</v>
      </c>
      <c r="BR279" s="7">
        <f t="shared" si="1393"/>
        <v>11504408.336666632</v>
      </c>
      <c r="BS279" s="7">
        <f t="shared" si="1394"/>
        <v>11457831.786666632</v>
      </c>
      <c r="BT279" s="7">
        <f t="shared" si="1395"/>
        <v>11411255.236666631</v>
      </c>
      <c r="BU279" s="7">
        <f t="shared" si="1396"/>
        <v>11364678.68666663</v>
      </c>
      <c r="BV279" s="236">
        <f t="shared" si="1368"/>
        <v>256171.03570666598</v>
      </c>
      <c r="BW279" s="7">
        <v>46576.549999999996</v>
      </c>
      <c r="BX279" s="39">
        <f t="shared" si="1409"/>
        <v>558918.6</v>
      </c>
      <c r="BY279" s="7">
        <f t="shared" si="1410"/>
        <v>11318102.136666629</v>
      </c>
      <c r="BZ279" s="7">
        <f t="shared" si="1397"/>
        <v>11271525.586666629</v>
      </c>
      <c r="CA279" s="7">
        <f t="shared" si="1398"/>
        <v>11224949.036666628</v>
      </c>
      <c r="CB279" s="7">
        <f t="shared" si="1399"/>
        <v>11178372.486666627</v>
      </c>
      <c r="CC279" s="7">
        <f t="shared" si="1411"/>
        <v>11131795.936666626</v>
      </c>
      <c r="CD279" s="7">
        <f t="shared" si="1412"/>
        <v>11085219.386666626</v>
      </c>
      <c r="CE279" s="7">
        <f t="shared" si="1413"/>
        <v>11038642.836666625</v>
      </c>
      <c r="CF279" s="7">
        <f t="shared" si="1414"/>
        <v>10992066.286666624</v>
      </c>
      <c r="CG279" s="7">
        <f t="shared" si="1415"/>
        <v>10945489.736666624</v>
      </c>
      <c r="CH279" s="7">
        <f t="shared" si="1416"/>
        <v>10898913.186666623</v>
      </c>
      <c r="CI279" s="7">
        <f t="shared" si="1417"/>
        <v>10852336.636666622</v>
      </c>
      <c r="CJ279" s="7">
        <f t="shared" si="1418"/>
        <v>10805760.086666621</v>
      </c>
      <c r="CK279" s="236">
        <f t="shared" si="1369"/>
        <v>243874.82650666579</v>
      </c>
      <c r="CL279" s="7">
        <v>46576.549999999996</v>
      </c>
      <c r="CM279" s="39">
        <f t="shared" si="1420"/>
        <v>558918.6</v>
      </c>
      <c r="CN279" s="7">
        <f t="shared" si="1421"/>
        <v>10759183.536666621</v>
      </c>
      <c r="CO279" s="7">
        <f t="shared" si="1422"/>
        <v>10712606.98666662</v>
      </c>
      <c r="CP279" s="7">
        <f t="shared" si="1423"/>
        <v>10666030.436666619</v>
      </c>
      <c r="CQ279" s="7">
        <f t="shared" si="1424"/>
        <v>10619453.886666618</v>
      </c>
      <c r="CR279" s="7">
        <f t="shared" si="1425"/>
        <v>10572877.336666618</v>
      </c>
      <c r="CS279" s="7">
        <f t="shared" si="1426"/>
        <v>10526300.786666617</v>
      </c>
      <c r="CT279" s="7">
        <f t="shared" si="1427"/>
        <v>10479724.236666616</v>
      </c>
      <c r="CU279" s="7">
        <f t="shared" si="1428"/>
        <v>10433147.686666615</v>
      </c>
      <c r="CV279" s="7">
        <f t="shared" si="1429"/>
        <v>10386571.136666615</v>
      </c>
      <c r="CW279" s="7">
        <f t="shared" si="1430"/>
        <v>10339994.586666614</v>
      </c>
      <c r="CX279" s="7">
        <f t="shared" si="1431"/>
        <v>10293418.036666613</v>
      </c>
      <c r="CY279" s="7">
        <f t="shared" si="1432"/>
        <v>10246841.486666612</v>
      </c>
      <c r="CZ279" s="236">
        <f t="shared" si="1370"/>
        <v>231578.6173066656</v>
      </c>
    </row>
    <row r="280" spans="1:104" x14ac:dyDescent="0.2">
      <c r="A280" s="6" t="str">
        <f>'[1]2021 УГРЦТ'!A283</f>
        <v>Комплексная трансформаторная подстанция ЗРУ-6кВ</v>
      </c>
      <c r="B280" t="str">
        <f>'[1]2021 УГРЦТ'!B283</f>
        <v>000001779</v>
      </c>
      <c r="C280" t="str">
        <f>'[1]2021 УГРЦТ'!C283</f>
        <v>ПЕРЕДАЧА</v>
      </c>
      <c r="D280" t="str">
        <f>'[1]2021 УГРЦТ'!D283</f>
        <v>Сооружения</v>
      </c>
      <c r="E280" t="str">
        <f>'[1]2021 УГРЦТ'!E283</f>
        <v>30.09.2019</v>
      </c>
      <c r="F280" t="str">
        <f>'[1]2021 УГРЦТ'!F283</f>
        <v>Цех электрических сетей</v>
      </c>
      <c r="G280">
        <f>'[1]2021 УГРЦТ'!AC283</f>
        <v>271</v>
      </c>
      <c r="H280" s="7">
        <f>'[1]2021 УГРЦТ'!X283</f>
        <v>4968188.32</v>
      </c>
      <c r="I280" s="7">
        <f>'[1]2021 УГРЦТ'!Y283</f>
        <v>494985.57874538738</v>
      </c>
      <c r="J280" s="7">
        <f>'[1]2021 УГРЦТ'!Z283</f>
        <v>4473202.7412546128</v>
      </c>
      <c r="K280" s="8">
        <v>1</v>
      </c>
      <c r="L280" s="7">
        <v>18332.799999999996</v>
      </c>
      <c r="M280" s="7"/>
      <c r="N280" s="7">
        <f t="shared" si="1341"/>
        <v>219993.59999999995</v>
      </c>
      <c r="O280" s="7">
        <f t="shared" si="1433"/>
        <v>4454869.941254613</v>
      </c>
      <c r="P280" s="7">
        <f t="shared" si="1441"/>
        <v>4436537.1412546132</v>
      </c>
      <c r="Q280" s="7">
        <f t="shared" si="1441"/>
        <v>4418204.3412546134</v>
      </c>
      <c r="R280" s="7">
        <f t="shared" si="1441"/>
        <v>4399871.5412546135</v>
      </c>
      <c r="S280" s="7">
        <f t="shared" si="1441"/>
        <v>4381538.7412546137</v>
      </c>
      <c r="T280" s="7">
        <f t="shared" si="1441"/>
        <v>4363205.9412546139</v>
      </c>
      <c r="U280" s="7">
        <f t="shared" si="1441"/>
        <v>4344873.1412546141</v>
      </c>
      <c r="V280" s="7">
        <f t="shared" si="1441"/>
        <v>4326540.3412546143</v>
      </c>
      <c r="W280" s="7">
        <f t="shared" si="1441"/>
        <v>4308207.5412546145</v>
      </c>
      <c r="X280" s="7">
        <f t="shared" si="1441"/>
        <v>4289874.7412546147</v>
      </c>
      <c r="Y280" s="7">
        <f t="shared" si="1441"/>
        <v>4271541.9412546149</v>
      </c>
      <c r="Z280" s="7">
        <f t="shared" si="1441"/>
        <v>4253209.141254615</v>
      </c>
      <c r="AA280" s="7">
        <f t="shared" si="1382"/>
        <v>95990.530707601501</v>
      </c>
      <c r="AB280" s="7"/>
      <c r="AC280" s="7">
        <f t="shared" si="1434"/>
        <v>219993.59999999995</v>
      </c>
      <c r="AD280" s="7">
        <f t="shared" si="1435"/>
        <v>4234876.3412546152</v>
      </c>
      <c r="AE280" s="7">
        <f t="shared" ref="AE280:AO295" si="1442">AD280-$L280</f>
        <v>4216543.5412546154</v>
      </c>
      <c r="AF280" s="7">
        <f t="shared" si="1442"/>
        <v>4198210.7412546156</v>
      </c>
      <c r="AG280" s="7">
        <f t="shared" si="1442"/>
        <v>4179877.9412546158</v>
      </c>
      <c r="AH280" s="7">
        <f t="shared" si="1442"/>
        <v>4161545.141254616</v>
      </c>
      <c r="AI280" s="7">
        <f t="shared" si="1442"/>
        <v>4143212.3412546162</v>
      </c>
      <c r="AJ280" s="7">
        <f t="shared" si="1442"/>
        <v>4124879.5412546163</v>
      </c>
      <c r="AK280" s="7">
        <f t="shared" si="1442"/>
        <v>4106546.7412546165</v>
      </c>
      <c r="AL280" s="7">
        <f t="shared" si="1442"/>
        <v>4088213.9412546167</v>
      </c>
      <c r="AM280" s="7">
        <f t="shared" si="1442"/>
        <v>4069881.1412546169</v>
      </c>
      <c r="AN280" s="7">
        <f t="shared" si="1442"/>
        <v>4051548.3412546171</v>
      </c>
      <c r="AO280" s="7">
        <f t="shared" si="1442"/>
        <v>4033215.5412546173</v>
      </c>
      <c r="AP280" s="222">
        <f t="shared" si="1383"/>
        <v>91150.671507601553</v>
      </c>
      <c r="AQ280" s="7">
        <v>18332.799999999996</v>
      </c>
      <c r="AR280" s="7">
        <f t="shared" si="1436"/>
        <v>18332.799999999814</v>
      </c>
      <c r="AS280" s="7">
        <f t="shared" si="1437"/>
        <v>-1.8189894035458565E-10</v>
      </c>
      <c r="AT280" s="7">
        <f t="shared" si="1384"/>
        <v>219993.59999999995</v>
      </c>
      <c r="AU280" s="7">
        <f t="shared" si="1377"/>
        <v>4014882.7412546175</v>
      </c>
      <c r="AV280" s="7">
        <f t="shared" ref="AV280:BF287" si="1443">AU280-$L280</f>
        <v>3996549.9412546176</v>
      </c>
      <c r="AW280" s="7">
        <f t="shared" si="1443"/>
        <v>3978217.1412546178</v>
      </c>
      <c r="AX280" s="7">
        <f t="shared" si="1443"/>
        <v>3959884.341254618</v>
      </c>
      <c r="AY280" s="7">
        <f t="shared" si="1443"/>
        <v>3941551.5412546182</v>
      </c>
      <c r="AZ280" s="7">
        <f t="shared" si="1443"/>
        <v>3923218.7412546184</v>
      </c>
      <c r="BA280" s="7">
        <f t="shared" si="1443"/>
        <v>3904885.9412546186</v>
      </c>
      <c r="BB280" s="7">
        <f t="shared" si="1443"/>
        <v>3886553.1412546188</v>
      </c>
      <c r="BC280" s="7">
        <f t="shared" si="1443"/>
        <v>3868220.341254619</v>
      </c>
      <c r="BD280" s="7">
        <f t="shared" si="1443"/>
        <v>3849887.5412546191</v>
      </c>
      <c r="BE280" s="7">
        <f t="shared" si="1443"/>
        <v>3831554.7412546193</v>
      </c>
      <c r="BF280" s="7">
        <f t="shared" si="1443"/>
        <v>3813221.9412546195</v>
      </c>
      <c r="BG280" s="236">
        <f t="shared" si="1419"/>
        <v>86310.812307601591</v>
      </c>
      <c r="BH280" s="7">
        <v>18332.799999999996</v>
      </c>
      <c r="BI280" s="39">
        <f t="shared" si="1408"/>
        <v>219993.59999999995</v>
      </c>
      <c r="BJ280" s="7">
        <f t="shared" si="1385"/>
        <v>3794889.1412546197</v>
      </c>
      <c r="BK280" s="7">
        <f t="shared" si="1386"/>
        <v>3776556.3412546199</v>
      </c>
      <c r="BL280" s="7">
        <f t="shared" si="1387"/>
        <v>3758223.5412546201</v>
      </c>
      <c r="BM280" s="7">
        <f t="shared" si="1388"/>
        <v>3739890.7412546203</v>
      </c>
      <c r="BN280" s="7">
        <f t="shared" si="1389"/>
        <v>3721557.9412546204</v>
      </c>
      <c r="BO280" s="7">
        <f t="shared" si="1390"/>
        <v>3703225.1412546206</v>
      </c>
      <c r="BP280" s="7">
        <f t="shared" si="1391"/>
        <v>3684892.3412546208</v>
      </c>
      <c r="BQ280" s="7">
        <f t="shared" si="1392"/>
        <v>3666559.541254621</v>
      </c>
      <c r="BR280" s="7">
        <f t="shared" si="1393"/>
        <v>3648226.7412546212</v>
      </c>
      <c r="BS280" s="7">
        <f t="shared" si="1394"/>
        <v>3629893.9412546214</v>
      </c>
      <c r="BT280" s="7">
        <f t="shared" si="1395"/>
        <v>3611561.1412546216</v>
      </c>
      <c r="BU280" s="7">
        <f t="shared" si="1396"/>
        <v>3593228.3412546217</v>
      </c>
      <c r="BV280" s="236">
        <f t="shared" si="1368"/>
        <v>81470.953107601628</v>
      </c>
      <c r="BW280" s="7">
        <v>18332.799999999996</v>
      </c>
      <c r="BX280" s="39">
        <f t="shared" si="1409"/>
        <v>219993.59999999995</v>
      </c>
      <c r="BY280" s="7">
        <f t="shared" si="1410"/>
        <v>3574895.5412546219</v>
      </c>
      <c r="BZ280" s="7">
        <f t="shared" si="1397"/>
        <v>3556562.7412546221</v>
      </c>
      <c r="CA280" s="7">
        <f t="shared" si="1398"/>
        <v>3538229.9412546223</v>
      </c>
      <c r="CB280" s="7">
        <f t="shared" si="1399"/>
        <v>3519897.1412546225</v>
      </c>
      <c r="CC280" s="7">
        <f t="shared" si="1411"/>
        <v>3501564.3412546227</v>
      </c>
      <c r="CD280" s="7">
        <f t="shared" si="1412"/>
        <v>3483231.5412546229</v>
      </c>
      <c r="CE280" s="7">
        <f t="shared" si="1413"/>
        <v>3464898.741254623</v>
      </c>
      <c r="CF280" s="7">
        <f t="shared" si="1414"/>
        <v>3446565.9412546232</v>
      </c>
      <c r="CG280" s="7">
        <f t="shared" si="1415"/>
        <v>3428233.1412546234</v>
      </c>
      <c r="CH280" s="7">
        <f t="shared" si="1416"/>
        <v>3409900.3412546236</v>
      </c>
      <c r="CI280" s="7">
        <f t="shared" si="1417"/>
        <v>3391567.5412546238</v>
      </c>
      <c r="CJ280" s="7">
        <f t="shared" si="1418"/>
        <v>3373234.741254624</v>
      </c>
      <c r="CK280" s="236">
        <f t="shared" si="1369"/>
        <v>76631.093907601695</v>
      </c>
      <c r="CL280" s="7">
        <v>18332.799999999996</v>
      </c>
      <c r="CM280" s="39">
        <f t="shared" si="1420"/>
        <v>219993.59999999995</v>
      </c>
      <c r="CN280" s="7">
        <f t="shared" si="1421"/>
        <v>3354901.9412546242</v>
      </c>
      <c r="CO280" s="7">
        <f t="shared" si="1422"/>
        <v>3336569.1412546244</v>
      </c>
      <c r="CP280" s="7">
        <f t="shared" si="1423"/>
        <v>3318236.3412546245</v>
      </c>
      <c r="CQ280" s="7">
        <f t="shared" si="1424"/>
        <v>3299903.5412546247</v>
      </c>
      <c r="CR280" s="7">
        <f t="shared" si="1425"/>
        <v>3281570.7412546249</v>
      </c>
      <c r="CS280" s="7">
        <f t="shared" si="1426"/>
        <v>3263237.9412546251</v>
      </c>
      <c r="CT280" s="7">
        <f t="shared" si="1427"/>
        <v>3244905.1412546253</v>
      </c>
      <c r="CU280" s="7">
        <f t="shared" si="1428"/>
        <v>3226572.3412546255</v>
      </c>
      <c r="CV280" s="7">
        <f t="shared" si="1429"/>
        <v>3208239.5412546257</v>
      </c>
      <c r="CW280" s="7">
        <f t="shared" si="1430"/>
        <v>3189906.7412546258</v>
      </c>
      <c r="CX280" s="7">
        <f t="shared" si="1431"/>
        <v>3171573.941254626</v>
      </c>
      <c r="CY280" s="7">
        <f t="shared" si="1432"/>
        <v>3153241.1412546262</v>
      </c>
      <c r="CZ280" s="236">
        <f t="shared" si="1370"/>
        <v>71791.234707601747</v>
      </c>
    </row>
    <row r="281" spans="1:104" x14ac:dyDescent="0.2">
      <c r="A281" s="6" t="str">
        <f>'[1]2021 УГРЦТ'!A284</f>
        <v>Комплект индикаторов короткого замыкания ИКЗ-В34Л-У3</v>
      </c>
      <c r="B281" t="str">
        <f>'[1]2021 УГРЦТ'!B284</f>
        <v>000001813</v>
      </c>
      <c r="C281" t="str">
        <f>'[1]2021 УГРЦТ'!C284</f>
        <v>ПЕРЕДАЧА</v>
      </c>
      <c r="D281" t="str">
        <f>'[1]2021 УГРЦТ'!D284</f>
        <v>Машины и оборудование (кроме офисного)</v>
      </c>
      <c r="E281" t="str">
        <f>'[1]2021 УГРЦТ'!E284</f>
        <v>16.06.2020</v>
      </c>
      <c r="F281" t="str">
        <f>'[1]2021 УГРЦТ'!F284</f>
        <v>Цех электрических сетей</v>
      </c>
      <c r="G281">
        <f>'[1]2021 УГРЦТ'!AC284</f>
        <v>84</v>
      </c>
      <c r="H281" s="7">
        <f>'[1]2021 УГРЦТ'!X284</f>
        <v>148800.01</v>
      </c>
      <c r="I281" s="7">
        <f>'[1]2021 УГРЦТ'!Y284</f>
        <v>31885.724285714285</v>
      </c>
      <c r="J281" s="7">
        <f>'[1]2021 УГРЦТ'!Z284</f>
        <v>116914.28571428572</v>
      </c>
      <c r="K281" s="8">
        <v>0</v>
      </c>
      <c r="L281" s="7">
        <v>1771.43</v>
      </c>
      <c r="M281" s="7"/>
      <c r="N281" s="7">
        <f t="shared" si="1341"/>
        <v>21257.16</v>
      </c>
      <c r="O281" s="7">
        <f t="shared" si="1433"/>
        <v>115142.85571428573</v>
      </c>
      <c r="P281" s="7">
        <f t="shared" si="1441"/>
        <v>113371.42571428574</v>
      </c>
      <c r="Q281" s="7">
        <f t="shared" si="1441"/>
        <v>111599.99571428575</v>
      </c>
      <c r="R281" s="7">
        <f t="shared" si="1441"/>
        <v>109828.56571428575</v>
      </c>
      <c r="S281" s="7">
        <f t="shared" si="1441"/>
        <v>108057.13571428576</v>
      </c>
      <c r="T281" s="7">
        <f t="shared" si="1441"/>
        <v>106285.70571428577</v>
      </c>
      <c r="U281" s="7">
        <f t="shared" si="1441"/>
        <v>104514.27571428577</v>
      </c>
      <c r="V281" s="7">
        <f t="shared" si="1441"/>
        <v>102742.84571428578</v>
      </c>
      <c r="W281" s="7">
        <f t="shared" si="1441"/>
        <v>100971.41571428579</v>
      </c>
      <c r="X281" s="7">
        <f t="shared" si="1441"/>
        <v>99199.985714285795</v>
      </c>
      <c r="Y281" s="7">
        <f t="shared" si="1441"/>
        <v>97428.555714285802</v>
      </c>
      <c r="Z281" s="7">
        <f t="shared" si="1441"/>
        <v>95657.125714285808</v>
      </c>
      <c r="AA281" s="7"/>
      <c r="AB281" s="7"/>
      <c r="AC281" s="7">
        <f t="shared" si="1434"/>
        <v>21257.16</v>
      </c>
      <c r="AD281" s="7">
        <f t="shared" si="1435"/>
        <v>93885.695714285815</v>
      </c>
      <c r="AE281" s="7">
        <f t="shared" si="1442"/>
        <v>92114.265714285822</v>
      </c>
      <c r="AF281" s="7">
        <f t="shared" si="1442"/>
        <v>90342.835714285829</v>
      </c>
      <c r="AG281" s="7">
        <f t="shared" si="1442"/>
        <v>88571.405714285836</v>
      </c>
      <c r="AH281" s="7">
        <f t="shared" si="1442"/>
        <v>86799.975714285843</v>
      </c>
      <c r="AI281" s="7">
        <f t="shared" si="1442"/>
        <v>85028.54571428585</v>
      </c>
      <c r="AJ281" s="7">
        <f t="shared" si="1442"/>
        <v>83257.115714285857</v>
      </c>
      <c r="AK281" s="7">
        <f t="shared" si="1442"/>
        <v>81485.685714285864</v>
      </c>
      <c r="AL281" s="7">
        <f t="shared" si="1442"/>
        <v>79714.255714285871</v>
      </c>
      <c r="AM281" s="7">
        <f t="shared" si="1442"/>
        <v>77942.825714285878</v>
      </c>
      <c r="AN281" s="7">
        <f t="shared" si="1442"/>
        <v>76171.395714285885</v>
      </c>
      <c r="AO281" s="7">
        <f t="shared" si="1442"/>
        <v>74399.965714285892</v>
      </c>
      <c r="AP281" s="222"/>
      <c r="AQ281" s="7">
        <v>1771.43</v>
      </c>
      <c r="AR281" s="7">
        <f t="shared" si="1436"/>
        <v>1771.429999999993</v>
      </c>
      <c r="AS281" s="7">
        <f t="shared" si="1437"/>
        <v>-7.0485839387401938E-12</v>
      </c>
      <c r="AT281" s="7">
        <f t="shared" si="1384"/>
        <v>21257.16</v>
      </c>
      <c r="AU281" s="7">
        <f t="shared" si="1377"/>
        <v>72628.535714285899</v>
      </c>
      <c r="AV281" s="7">
        <f t="shared" si="1443"/>
        <v>70857.105714285906</v>
      </c>
      <c r="AW281" s="7">
        <f t="shared" si="1443"/>
        <v>69085.675714285913</v>
      </c>
      <c r="AX281" s="7">
        <f t="shared" si="1443"/>
        <v>67314.24571428592</v>
      </c>
      <c r="AY281" s="7">
        <f t="shared" si="1443"/>
        <v>65542.815714285927</v>
      </c>
      <c r="AZ281" s="7">
        <f t="shared" si="1443"/>
        <v>63771.385714285927</v>
      </c>
      <c r="BA281" s="7">
        <f t="shared" si="1443"/>
        <v>61999.955714285927</v>
      </c>
      <c r="BB281" s="7">
        <f t="shared" si="1443"/>
        <v>60228.525714285926</v>
      </c>
      <c r="BC281" s="7">
        <f t="shared" si="1443"/>
        <v>58457.095714285926</v>
      </c>
      <c r="BD281" s="7">
        <f t="shared" si="1443"/>
        <v>56685.665714285926</v>
      </c>
      <c r="BE281" s="7">
        <f t="shared" si="1443"/>
        <v>54914.235714285925</v>
      </c>
      <c r="BF281" s="7">
        <f t="shared" si="1443"/>
        <v>53142.805714285925</v>
      </c>
      <c r="BG281" s="236">
        <f t="shared" si="1419"/>
        <v>0</v>
      </c>
      <c r="BH281" s="7">
        <v>1771.43</v>
      </c>
      <c r="BI281" s="39">
        <f t="shared" si="1408"/>
        <v>21257.16</v>
      </c>
      <c r="BJ281" s="7">
        <f t="shared" si="1385"/>
        <v>51371.375714285925</v>
      </c>
      <c r="BK281" s="7">
        <f t="shared" si="1386"/>
        <v>49599.945714285925</v>
      </c>
      <c r="BL281" s="7">
        <f t="shared" si="1387"/>
        <v>47828.515714285924</v>
      </c>
      <c r="BM281" s="7">
        <f t="shared" si="1388"/>
        <v>46057.085714285924</v>
      </c>
      <c r="BN281" s="7">
        <f t="shared" si="1389"/>
        <v>44285.655714285924</v>
      </c>
      <c r="BO281" s="7">
        <f t="shared" si="1390"/>
        <v>42514.225714285923</v>
      </c>
      <c r="BP281" s="7">
        <f t="shared" si="1391"/>
        <v>40742.795714285923</v>
      </c>
      <c r="BQ281" s="7">
        <f t="shared" si="1392"/>
        <v>38971.365714285923</v>
      </c>
      <c r="BR281" s="7">
        <f t="shared" si="1393"/>
        <v>37199.935714285923</v>
      </c>
      <c r="BS281" s="7">
        <f t="shared" si="1394"/>
        <v>35428.505714285922</v>
      </c>
      <c r="BT281" s="7">
        <f t="shared" si="1395"/>
        <v>33657.075714285922</v>
      </c>
      <c r="BU281" s="7">
        <f t="shared" si="1396"/>
        <v>31885.645714285922</v>
      </c>
      <c r="BV281" s="236">
        <v>0</v>
      </c>
      <c r="BW281" s="7">
        <v>1771.43</v>
      </c>
      <c r="BX281" s="39">
        <f t="shared" si="1409"/>
        <v>21257.16</v>
      </c>
      <c r="BY281" s="7">
        <f t="shared" si="1410"/>
        <v>30114.215714285921</v>
      </c>
      <c r="BZ281" s="7">
        <f t="shared" si="1397"/>
        <v>28342.785714285921</v>
      </c>
      <c r="CA281" s="7">
        <f t="shared" si="1398"/>
        <v>26571.355714285921</v>
      </c>
      <c r="CB281" s="7">
        <f t="shared" si="1399"/>
        <v>24799.925714285921</v>
      </c>
      <c r="CC281" s="7">
        <f t="shared" si="1411"/>
        <v>23028.49571428592</v>
      </c>
      <c r="CD281" s="7">
        <f t="shared" si="1412"/>
        <v>21257.06571428592</v>
      </c>
      <c r="CE281" s="7">
        <f t="shared" si="1413"/>
        <v>19485.63571428592</v>
      </c>
      <c r="CF281" s="7">
        <f t="shared" si="1414"/>
        <v>17714.205714285919</v>
      </c>
      <c r="CG281" s="7">
        <f t="shared" si="1415"/>
        <v>15942.775714285919</v>
      </c>
      <c r="CH281" s="7">
        <f t="shared" si="1416"/>
        <v>14171.345714285919</v>
      </c>
      <c r="CI281" s="7">
        <f t="shared" si="1417"/>
        <v>12399.915714285919</v>
      </c>
      <c r="CJ281" s="7">
        <f t="shared" si="1418"/>
        <v>10628.485714285918</v>
      </c>
      <c r="CK281" s="236">
        <v>0</v>
      </c>
      <c r="CL281" s="7">
        <v>1771.43</v>
      </c>
      <c r="CM281" s="39">
        <f t="shared" si="1420"/>
        <v>21257.16</v>
      </c>
      <c r="CN281" s="7">
        <f t="shared" si="1421"/>
        <v>8857.0557142859179</v>
      </c>
      <c r="CO281" s="7">
        <f t="shared" si="1422"/>
        <v>7085.6257142859176</v>
      </c>
      <c r="CP281" s="7">
        <f t="shared" si="1423"/>
        <v>5314.1957142859173</v>
      </c>
      <c r="CQ281" s="7">
        <f t="shared" si="1424"/>
        <v>3542.7657142859171</v>
      </c>
      <c r="CR281" s="7">
        <f t="shared" si="1425"/>
        <v>1771.335714285917</v>
      </c>
      <c r="CS281" s="7"/>
      <c r="CT281" s="7"/>
      <c r="CU281" s="7"/>
      <c r="CV281" s="7"/>
      <c r="CW281" s="7"/>
      <c r="CX281" s="7"/>
      <c r="CY281" s="7"/>
      <c r="CZ281" s="236">
        <v>0</v>
      </c>
    </row>
    <row r="282" spans="1:104" ht="22.5" x14ac:dyDescent="0.2">
      <c r="A282" s="6" t="str">
        <f>'[1]2021 УГРЦТ'!A285</f>
        <v>Комплектная трансф.подстанция 2КТПН-400 6-0,4 кВ ТП№108"район очистных сооружений"</v>
      </c>
      <c r="B282" t="str">
        <f>'[1]2021 УГРЦТ'!B285</f>
        <v>000001481</v>
      </c>
      <c r="C282" t="str">
        <f>'[1]2021 УГРЦТ'!C285</f>
        <v>ПЕРЕДАЧА</v>
      </c>
      <c r="D282" t="str">
        <f>'[1]2021 УГРЦТ'!D285</f>
        <v>Сооружения</v>
      </c>
      <c r="E282" t="str">
        <f>'[1]2021 УГРЦТ'!E285</f>
        <v>24.09.2012</v>
      </c>
      <c r="F282" t="str">
        <f>'[1]2021 УГРЦТ'!F285</f>
        <v>Цех электрических сетей</v>
      </c>
      <c r="G282">
        <f>'[1]2021 УГРЦТ'!AC285</f>
        <v>240</v>
      </c>
      <c r="H282" s="7">
        <f>'[1]2021 УГРЦТ'!X285</f>
        <v>4878439.33</v>
      </c>
      <c r="I282" s="7">
        <f>'[1]2021 УГРЦТ'!Y285</f>
        <v>2083140.57</v>
      </c>
      <c r="J282" s="7">
        <f>'[1]2021 УГРЦТ'!Z285</f>
        <v>2795298.76</v>
      </c>
      <c r="K282" s="8">
        <v>1</v>
      </c>
      <c r="L282" s="7">
        <v>21668.980000000003</v>
      </c>
      <c r="M282" s="7"/>
      <c r="N282" s="7">
        <f t="shared" si="1341"/>
        <v>260027.76000000004</v>
      </c>
      <c r="O282" s="7">
        <f t="shared" si="1433"/>
        <v>2773629.78</v>
      </c>
      <c r="P282" s="7">
        <f t="shared" si="1441"/>
        <v>2751960.8</v>
      </c>
      <c r="Q282" s="7">
        <f t="shared" si="1441"/>
        <v>2730291.82</v>
      </c>
      <c r="R282" s="7">
        <f t="shared" si="1441"/>
        <v>2708622.84</v>
      </c>
      <c r="S282" s="7">
        <f t="shared" si="1441"/>
        <v>2686953.86</v>
      </c>
      <c r="T282" s="7">
        <f t="shared" si="1441"/>
        <v>2665284.88</v>
      </c>
      <c r="U282" s="7">
        <f t="shared" si="1441"/>
        <v>2643615.9</v>
      </c>
      <c r="V282" s="7">
        <f t="shared" si="1441"/>
        <v>2621946.92</v>
      </c>
      <c r="W282" s="7">
        <f t="shared" si="1441"/>
        <v>2600277.94</v>
      </c>
      <c r="X282" s="7">
        <f t="shared" si="1441"/>
        <v>2578608.96</v>
      </c>
      <c r="Y282" s="7">
        <f t="shared" si="1441"/>
        <v>2556939.98</v>
      </c>
      <c r="Z282" s="7">
        <f t="shared" si="1441"/>
        <v>2535271</v>
      </c>
      <c r="AA282" s="7">
        <f t="shared" ref="AA282:AA286" si="1444">SUM(O282:Z282,J282)/13*$AA$1</f>
        <v>58636.267359999991</v>
      </c>
      <c r="AB282" s="7"/>
      <c r="AC282" s="7">
        <f t="shared" si="1434"/>
        <v>260027.76000000004</v>
      </c>
      <c r="AD282" s="7">
        <f t="shared" si="1435"/>
        <v>2513602.02</v>
      </c>
      <c r="AE282" s="7">
        <f t="shared" si="1442"/>
        <v>2491933.04</v>
      </c>
      <c r="AF282" s="7">
        <f t="shared" si="1442"/>
        <v>2470264.06</v>
      </c>
      <c r="AG282" s="7">
        <f t="shared" si="1442"/>
        <v>2448595.08</v>
      </c>
      <c r="AH282" s="7">
        <f t="shared" si="1442"/>
        <v>2426926.1</v>
      </c>
      <c r="AI282" s="7">
        <f t="shared" si="1442"/>
        <v>2405257.12</v>
      </c>
      <c r="AJ282" s="7">
        <f t="shared" si="1442"/>
        <v>2383588.14</v>
      </c>
      <c r="AK282" s="7">
        <f t="shared" si="1442"/>
        <v>2361919.16</v>
      </c>
      <c r="AL282" s="7">
        <f t="shared" si="1442"/>
        <v>2340250.1800000002</v>
      </c>
      <c r="AM282" s="7">
        <f t="shared" si="1442"/>
        <v>2318581.2000000002</v>
      </c>
      <c r="AN282" s="7">
        <f t="shared" si="1442"/>
        <v>2296912.2200000002</v>
      </c>
      <c r="AO282" s="7">
        <f t="shared" si="1442"/>
        <v>2275243.2400000002</v>
      </c>
      <c r="AP282" s="222">
        <f>IF(K282&lt;1,0,SUM(AD282:AO282,Z282)/13*$BG$1)</f>
        <v>52915.656640000001</v>
      </c>
      <c r="AQ282" s="7">
        <v>21668.980000000003</v>
      </c>
      <c r="AR282" s="7">
        <f t="shared" si="1436"/>
        <v>21668.979999999981</v>
      </c>
      <c r="AS282" s="7">
        <f t="shared" si="1437"/>
        <v>0</v>
      </c>
      <c r="AT282" s="7">
        <f t="shared" si="1384"/>
        <v>260027.76000000004</v>
      </c>
      <c r="AU282" s="7">
        <f t="shared" si="1377"/>
        <v>2253574.2600000002</v>
      </c>
      <c r="AV282" s="7">
        <f t="shared" si="1443"/>
        <v>2231905.2800000003</v>
      </c>
      <c r="AW282" s="7">
        <f t="shared" si="1443"/>
        <v>2210236.3000000003</v>
      </c>
      <c r="AX282" s="7">
        <f t="shared" si="1443"/>
        <v>2188567.3200000003</v>
      </c>
      <c r="AY282" s="7">
        <f t="shared" si="1443"/>
        <v>2166898.3400000003</v>
      </c>
      <c r="AZ282" s="7">
        <f t="shared" si="1443"/>
        <v>2145229.3600000003</v>
      </c>
      <c r="BA282" s="7">
        <f t="shared" si="1443"/>
        <v>2123560.3800000004</v>
      </c>
      <c r="BB282" s="7">
        <f t="shared" si="1443"/>
        <v>2101891.4000000004</v>
      </c>
      <c r="BC282" s="7">
        <f t="shared" si="1443"/>
        <v>2080222.4200000004</v>
      </c>
      <c r="BD282" s="7">
        <f t="shared" si="1443"/>
        <v>2058553.4400000004</v>
      </c>
      <c r="BE282" s="7">
        <f t="shared" si="1443"/>
        <v>2036884.4600000004</v>
      </c>
      <c r="BF282" s="7">
        <f t="shared" si="1443"/>
        <v>2015215.4800000004</v>
      </c>
      <c r="BG282" s="236">
        <f t="shared" si="1419"/>
        <v>47195.045920000004</v>
      </c>
      <c r="BH282" s="7">
        <v>21668.980000000003</v>
      </c>
      <c r="BI282" s="39">
        <f t="shared" si="1408"/>
        <v>260027.76000000004</v>
      </c>
      <c r="BJ282" s="7">
        <f t="shared" si="1385"/>
        <v>1993546.5000000005</v>
      </c>
      <c r="BK282" s="7">
        <f t="shared" si="1386"/>
        <v>1971877.5200000005</v>
      </c>
      <c r="BL282" s="7">
        <f t="shared" si="1387"/>
        <v>1950208.5400000005</v>
      </c>
      <c r="BM282" s="7">
        <f t="shared" si="1388"/>
        <v>1928539.5600000005</v>
      </c>
      <c r="BN282" s="7">
        <f t="shared" si="1389"/>
        <v>1906870.5800000005</v>
      </c>
      <c r="BO282" s="7">
        <f t="shared" si="1390"/>
        <v>1885201.6000000006</v>
      </c>
      <c r="BP282" s="7">
        <f t="shared" si="1391"/>
        <v>1863532.6200000006</v>
      </c>
      <c r="BQ282" s="7">
        <f t="shared" si="1392"/>
        <v>1841863.6400000006</v>
      </c>
      <c r="BR282" s="7">
        <f t="shared" si="1393"/>
        <v>1820194.6600000006</v>
      </c>
      <c r="BS282" s="7">
        <f t="shared" si="1394"/>
        <v>1798525.6800000006</v>
      </c>
      <c r="BT282" s="7">
        <f t="shared" si="1395"/>
        <v>1776856.7000000007</v>
      </c>
      <c r="BU282" s="7">
        <f t="shared" si="1396"/>
        <v>1755187.7200000007</v>
      </c>
      <c r="BV282" s="236">
        <f>IF(Z282&lt;1,0,SUM(BJ282:BU282,BF282)/13*$BG$1)</f>
        <v>41474.435200000007</v>
      </c>
      <c r="BW282" s="7">
        <v>21668.980000000003</v>
      </c>
      <c r="BX282" s="39">
        <f t="shared" si="1409"/>
        <v>260027.76000000004</v>
      </c>
      <c r="BY282" s="7">
        <f t="shared" si="1410"/>
        <v>1733518.7400000007</v>
      </c>
      <c r="BZ282" s="7">
        <f t="shared" si="1397"/>
        <v>1711849.7600000007</v>
      </c>
      <c r="CA282" s="7">
        <f t="shared" si="1398"/>
        <v>1690180.7800000007</v>
      </c>
      <c r="CB282" s="7">
        <f t="shared" si="1399"/>
        <v>1668511.8000000007</v>
      </c>
      <c r="CC282" s="7">
        <f t="shared" si="1411"/>
        <v>1646842.8200000008</v>
      </c>
      <c r="CD282" s="7">
        <f t="shared" si="1412"/>
        <v>1625173.8400000008</v>
      </c>
      <c r="CE282" s="7">
        <f t="shared" si="1413"/>
        <v>1603504.8600000008</v>
      </c>
      <c r="CF282" s="7">
        <f t="shared" si="1414"/>
        <v>1581835.8800000008</v>
      </c>
      <c r="CG282" s="7">
        <f t="shared" si="1415"/>
        <v>1560166.9000000008</v>
      </c>
      <c r="CH282" s="7">
        <f t="shared" si="1416"/>
        <v>1538497.9200000009</v>
      </c>
      <c r="CI282" s="7">
        <f t="shared" si="1417"/>
        <v>1516828.9400000009</v>
      </c>
      <c r="CJ282" s="7">
        <f t="shared" si="1418"/>
        <v>1495159.9600000009</v>
      </c>
      <c r="CK282" s="236">
        <f>IF(AO282&lt;1,0,SUM(BY282:CJ282,BU282)/13*$BG$1)</f>
        <v>35753.824480000018</v>
      </c>
      <c r="CL282" s="7">
        <v>21668.980000000003</v>
      </c>
      <c r="CM282" s="39">
        <f t="shared" si="1420"/>
        <v>260027.76000000004</v>
      </c>
      <c r="CN282" s="7">
        <f t="shared" si="1421"/>
        <v>1473490.9800000009</v>
      </c>
      <c r="CO282" s="7">
        <f t="shared" si="1422"/>
        <v>1451822.0000000009</v>
      </c>
      <c r="CP282" s="7">
        <f t="shared" si="1423"/>
        <v>1430153.0200000009</v>
      </c>
      <c r="CQ282" s="7">
        <f t="shared" si="1424"/>
        <v>1408484.040000001</v>
      </c>
      <c r="CR282" s="7">
        <f t="shared" si="1425"/>
        <v>1386815.060000001</v>
      </c>
      <c r="CS282" s="7">
        <f t="shared" si="1426"/>
        <v>1365146.080000001</v>
      </c>
      <c r="CT282" s="7">
        <f t="shared" si="1427"/>
        <v>1343477.100000001</v>
      </c>
      <c r="CU282" s="7">
        <f t="shared" si="1428"/>
        <v>1321808.120000001</v>
      </c>
      <c r="CV282" s="7">
        <f t="shared" si="1429"/>
        <v>1300139.1400000011</v>
      </c>
      <c r="CW282" s="7">
        <f t="shared" si="1430"/>
        <v>1278470.1600000011</v>
      </c>
      <c r="CX282" s="7">
        <f t="shared" si="1431"/>
        <v>1256801.1800000011</v>
      </c>
      <c r="CY282" s="7">
        <f t="shared" si="1432"/>
        <v>1235132.2000000011</v>
      </c>
      <c r="CZ282" s="236">
        <f>IF(BF282&lt;1,0,SUM(CN282:CY282,CJ282)/13*$BG$1)</f>
        <v>30033.213760000021</v>
      </c>
    </row>
    <row r="283" spans="1:104" ht="22.5" x14ac:dyDescent="0.2">
      <c r="A283" s="6" t="str">
        <f>'[1]2021 УГРЦТ'!A286</f>
        <v>Комплектная трансф.подстанция 2КТПН-400 6-0,4 кВ ТП№15 "СЭС"</v>
      </c>
      <c r="B283" t="str">
        <f>'[1]2021 УГРЦТ'!B286</f>
        <v>000001480</v>
      </c>
      <c r="C283" t="str">
        <f>'[1]2021 УГРЦТ'!C286</f>
        <v>ПЕРЕДАЧА</v>
      </c>
      <c r="D283" t="str">
        <f>'[1]2021 УГРЦТ'!D286</f>
        <v>Сооружения</v>
      </c>
      <c r="E283" t="str">
        <f>'[1]2021 УГРЦТ'!E286</f>
        <v>24.09.2012</v>
      </c>
      <c r="F283" t="str">
        <f>'[1]2021 УГРЦТ'!F286</f>
        <v>Цех электрических сетей</v>
      </c>
      <c r="G283">
        <f>'[1]2021 УГРЦТ'!AC286</f>
        <v>240</v>
      </c>
      <c r="H283" s="7">
        <f>'[1]2021 УГРЦТ'!X286</f>
        <v>3311006.56</v>
      </c>
      <c r="I283" s="7">
        <f>'[1]2021 УГРЦТ'!Y286</f>
        <v>1470484.0699999998</v>
      </c>
      <c r="J283" s="7">
        <f>'[1]2021 УГРЦТ'!Z286</f>
        <v>1840522.4900000002</v>
      </c>
      <c r="K283" s="8">
        <v>1</v>
      </c>
      <c r="L283" s="7">
        <v>14267.619999999997</v>
      </c>
      <c r="M283" s="7"/>
      <c r="N283" s="7">
        <f t="shared" si="1341"/>
        <v>171211.43999999997</v>
      </c>
      <c r="O283" s="7">
        <f t="shared" si="1433"/>
        <v>1826254.87</v>
      </c>
      <c r="P283" s="7">
        <f t="shared" si="1441"/>
        <v>1811987.25</v>
      </c>
      <c r="Q283" s="7">
        <f t="shared" si="1441"/>
        <v>1797719.63</v>
      </c>
      <c r="R283" s="7">
        <f t="shared" si="1441"/>
        <v>1783452.0099999998</v>
      </c>
      <c r="S283" s="7">
        <f t="shared" si="1441"/>
        <v>1769184.3899999997</v>
      </c>
      <c r="T283" s="7">
        <f t="shared" si="1441"/>
        <v>1754916.7699999996</v>
      </c>
      <c r="U283" s="7">
        <f t="shared" si="1441"/>
        <v>1740649.1499999994</v>
      </c>
      <c r="V283" s="7">
        <f t="shared" si="1441"/>
        <v>1726381.5299999993</v>
      </c>
      <c r="W283" s="7">
        <f t="shared" si="1441"/>
        <v>1712113.9099999992</v>
      </c>
      <c r="X283" s="7">
        <f t="shared" si="1441"/>
        <v>1697846.2899999991</v>
      </c>
      <c r="Y283" s="7">
        <f t="shared" si="1441"/>
        <v>1683578.669999999</v>
      </c>
      <c r="Z283" s="7">
        <f t="shared" si="1441"/>
        <v>1669311.0499999989</v>
      </c>
      <c r="AA283" s="7">
        <f t="shared" si="1444"/>
        <v>38608.168939999981</v>
      </c>
      <c r="AB283" s="7"/>
      <c r="AC283" s="7">
        <f t="shared" si="1434"/>
        <v>171211.43999999997</v>
      </c>
      <c r="AD283" s="7">
        <f t="shared" si="1435"/>
        <v>1655043.4299999988</v>
      </c>
      <c r="AE283" s="7">
        <f t="shared" si="1442"/>
        <v>1640775.8099999987</v>
      </c>
      <c r="AF283" s="7">
        <f t="shared" si="1442"/>
        <v>1626508.1899999985</v>
      </c>
      <c r="AG283" s="7">
        <f t="shared" si="1442"/>
        <v>1612240.5699999984</v>
      </c>
      <c r="AH283" s="7">
        <f t="shared" si="1442"/>
        <v>1597972.9499999983</v>
      </c>
      <c r="AI283" s="7">
        <f t="shared" si="1442"/>
        <v>1583705.3299999982</v>
      </c>
      <c r="AJ283" s="7">
        <f t="shared" si="1442"/>
        <v>1569437.7099999981</v>
      </c>
      <c r="AK283" s="7">
        <f t="shared" si="1442"/>
        <v>1555170.089999998</v>
      </c>
      <c r="AL283" s="7">
        <f t="shared" si="1442"/>
        <v>1540902.4699999979</v>
      </c>
      <c r="AM283" s="7">
        <f t="shared" si="1442"/>
        <v>1526634.8499999978</v>
      </c>
      <c r="AN283" s="7">
        <f t="shared" si="1442"/>
        <v>1512367.2299999977</v>
      </c>
      <c r="AO283" s="7">
        <f t="shared" si="1442"/>
        <v>1498099.6099999975</v>
      </c>
      <c r="AP283" s="222">
        <f>IF(K283&lt;1,0,SUM(AD283:AO283,Z283)/13*$BG$1)</f>
        <v>34841.51725999995</v>
      </c>
      <c r="AQ283" s="7">
        <v>14267.619999999997</v>
      </c>
      <c r="AR283" s="7">
        <f t="shared" si="1436"/>
        <v>14267.620000000112</v>
      </c>
      <c r="AS283" s="7">
        <f t="shared" si="1437"/>
        <v>1.1459633242338896E-10</v>
      </c>
      <c r="AT283" s="7">
        <f t="shared" si="1384"/>
        <v>171211.43999999997</v>
      </c>
      <c r="AU283" s="7">
        <f t="shared" si="1377"/>
        <v>1483831.9899999974</v>
      </c>
      <c r="AV283" s="7">
        <f t="shared" si="1443"/>
        <v>1469564.3699999973</v>
      </c>
      <c r="AW283" s="7">
        <f t="shared" si="1443"/>
        <v>1455296.7499999972</v>
      </c>
      <c r="AX283" s="7">
        <f t="shared" si="1443"/>
        <v>1441029.1299999971</v>
      </c>
      <c r="AY283" s="7">
        <f t="shared" si="1443"/>
        <v>1426761.509999997</v>
      </c>
      <c r="AZ283" s="7">
        <f t="shared" si="1443"/>
        <v>1412493.8899999969</v>
      </c>
      <c r="BA283" s="7">
        <f t="shared" si="1443"/>
        <v>1398226.2699999968</v>
      </c>
      <c r="BB283" s="7">
        <f t="shared" si="1443"/>
        <v>1383958.6499999966</v>
      </c>
      <c r="BC283" s="7">
        <f t="shared" si="1443"/>
        <v>1369691.0299999965</v>
      </c>
      <c r="BD283" s="7">
        <f t="shared" si="1443"/>
        <v>1355423.4099999964</v>
      </c>
      <c r="BE283" s="7">
        <f t="shared" si="1443"/>
        <v>1341155.7899999963</v>
      </c>
      <c r="BF283" s="7">
        <f t="shared" si="1443"/>
        <v>1326888.1699999962</v>
      </c>
      <c r="BG283" s="236">
        <f t="shared" si="1419"/>
        <v>31074.865579999925</v>
      </c>
      <c r="BH283" s="7">
        <v>14267.619999999997</v>
      </c>
      <c r="BI283" s="39">
        <f t="shared" si="1408"/>
        <v>171211.43999999997</v>
      </c>
      <c r="BJ283" s="7">
        <f t="shared" si="1385"/>
        <v>1312620.5499999961</v>
      </c>
      <c r="BK283" s="7">
        <f t="shared" si="1386"/>
        <v>1298352.929999996</v>
      </c>
      <c r="BL283" s="7">
        <f t="shared" si="1387"/>
        <v>1284085.3099999959</v>
      </c>
      <c r="BM283" s="7">
        <f t="shared" si="1388"/>
        <v>1269817.6899999958</v>
      </c>
      <c r="BN283" s="7">
        <f t="shared" si="1389"/>
        <v>1255550.0699999956</v>
      </c>
      <c r="BO283" s="7">
        <f t="shared" si="1390"/>
        <v>1241282.4499999955</v>
      </c>
      <c r="BP283" s="7">
        <f t="shared" si="1391"/>
        <v>1227014.8299999954</v>
      </c>
      <c r="BQ283" s="7">
        <f t="shared" si="1392"/>
        <v>1212747.2099999953</v>
      </c>
      <c r="BR283" s="7">
        <f t="shared" si="1393"/>
        <v>1198479.5899999952</v>
      </c>
      <c r="BS283" s="7">
        <f t="shared" si="1394"/>
        <v>1184211.9699999951</v>
      </c>
      <c r="BT283" s="7">
        <f t="shared" si="1395"/>
        <v>1169944.349999995</v>
      </c>
      <c r="BU283" s="7">
        <f t="shared" si="1396"/>
        <v>1155676.7299999949</v>
      </c>
      <c r="BV283" s="236">
        <f>IF(Z283&lt;1,0,SUM(BJ283:BU283,BF283)/13*$BG$1)</f>
        <v>27308.213899999901</v>
      </c>
      <c r="BW283" s="7">
        <v>14267.619999999997</v>
      </c>
      <c r="BX283" s="39">
        <f t="shared" si="1409"/>
        <v>171211.43999999997</v>
      </c>
      <c r="BY283" s="7">
        <f t="shared" si="1410"/>
        <v>1141409.1099999947</v>
      </c>
      <c r="BZ283" s="7">
        <f t="shared" si="1397"/>
        <v>1127141.4899999946</v>
      </c>
      <c r="CA283" s="7">
        <f t="shared" si="1398"/>
        <v>1112873.8699999945</v>
      </c>
      <c r="CB283" s="7">
        <f t="shared" si="1399"/>
        <v>1098606.2499999944</v>
      </c>
      <c r="CC283" s="7">
        <f t="shared" si="1411"/>
        <v>1084338.6299999943</v>
      </c>
      <c r="CD283" s="7">
        <f t="shared" si="1412"/>
        <v>1070071.0099999942</v>
      </c>
      <c r="CE283" s="7">
        <f t="shared" si="1413"/>
        <v>1055803.3899999941</v>
      </c>
      <c r="CF283" s="7">
        <f t="shared" si="1414"/>
        <v>1041535.7699999941</v>
      </c>
      <c r="CG283" s="7">
        <f t="shared" si="1415"/>
        <v>1027268.1499999941</v>
      </c>
      <c r="CH283" s="7">
        <f t="shared" si="1416"/>
        <v>1013000.5299999941</v>
      </c>
      <c r="CI283" s="7">
        <f t="shared" si="1417"/>
        <v>998732.9099999941</v>
      </c>
      <c r="CJ283" s="7">
        <f t="shared" si="1418"/>
        <v>984465.2899999941</v>
      </c>
      <c r="CK283" s="236">
        <f>IF(AO283&lt;1,0,SUM(BY283:CJ283,BU283)/13*$BG$1)</f>
        <v>23541.562219999876</v>
      </c>
      <c r="CL283" s="7">
        <v>14267.619999999997</v>
      </c>
      <c r="CM283" s="39">
        <f t="shared" si="1420"/>
        <v>171211.43999999997</v>
      </c>
      <c r="CN283" s="7">
        <f t="shared" si="1421"/>
        <v>970197.6699999941</v>
      </c>
      <c r="CO283" s="7">
        <f t="shared" si="1422"/>
        <v>955930.04999999411</v>
      </c>
      <c r="CP283" s="7">
        <f t="shared" si="1423"/>
        <v>941662.42999999411</v>
      </c>
      <c r="CQ283" s="7">
        <f t="shared" si="1424"/>
        <v>927394.80999999412</v>
      </c>
      <c r="CR283" s="7">
        <f t="shared" si="1425"/>
        <v>913127.18999999412</v>
      </c>
      <c r="CS283" s="7">
        <f t="shared" si="1426"/>
        <v>898859.56999999413</v>
      </c>
      <c r="CT283" s="7">
        <f t="shared" si="1427"/>
        <v>884591.94999999413</v>
      </c>
      <c r="CU283" s="7">
        <f t="shared" si="1428"/>
        <v>870324.32999999414</v>
      </c>
      <c r="CV283" s="7">
        <f t="shared" si="1429"/>
        <v>856056.70999999414</v>
      </c>
      <c r="CW283" s="7">
        <f t="shared" si="1430"/>
        <v>841789.08999999415</v>
      </c>
      <c r="CX283" s="7">
        <f t="shared" si="1431"/>
        <v>827521.46999999415</v>
      </c>
      <c r="CY283" s="7">
        <f t="shared" si="1432"/>
        <v>813253.84999999416</v>
      </c>
      <c r="CZ283" s="236">
        <f>IF(BF283&lt;1,0,SUM(CN283:CY283,CJ283)/13*$BG$1)</f>
        <v>19774.91053999987</v>
      </c>
    </row>
    <row r="284" spans="1:104" ht="22.5" x14ac:dyDescent="0.2">
      <c r="A284" s="6" t="str">
        <f>'[1]2021 УГРЦТ'!A287</f>
        <v>Комплектная трансф.подстанция 2КТПН-400 6-0,4 кВ ТП№61 "поликлиника"</v>
      </c>
      <c r="B284" t="str">
        <f>'[1]2021 УГРЦТ'!B287</f>
        <v>000001482</v>
      </c>
      <c r="C284" t="str">
        <f>'[1]2021 УГРЦТ'!C287</f>
        <v>ПЕРЕДАЧА</v>
      </c>
      <c r="D284" t="str">
        <f>'[1]2021 УГРЦТ'!D287</f>
        <v>Сооружения</v>
      </c>
      <c r="E284" t="str">
        <f>'[1]2021 УГРЦТ'!E287</f>
        <v>24.09.2012</v>
      </c>
      <c r="F284" t="str">
        <f>'[1]2021 УГРЦТ'!F287</f>
        <v>Цех электрических сетей</v>
      </c>
      <c r="G284">
        <f>'[1]2021 УГРЦТ'!AC287</f>
        <v>240</v>
      </c>
      <c r="H284" s="7">
        <f>'[1]2021 УГРЦТ'!X287</f>
        <v>2507189.35</v>
      </c>
      <c r="I284" s="7">
        <f>'[1]2021 УГРЦТ'!Y287</f>
        <v>1153618.3500000001</v>
      </c>
      <c r="J284" s="7">
        <f>'[1]2021 УГРЦТ'!Z287</f>
        <v>1353571</v>
      </c>
      <c r="K284" s="8">
        <v>1</v>
      </c>
      <c r="L284" s="7">
        <v>10492.800000000001</v>
      </c>
      <c r="M284" s="7"/>
      <c r="N284" s="7">
        <f t="shared" si="1341"/>
        <v>125913.60000000001</v>
      </c>
      <c r="O284" s="7">
        <f t="shared" si="1433"/>
        <v>1343078.2</v>
      </c>
      <c r="P284" s="7">
        <f t="shared" si="1441"/>
        <v>1332585.3999999999</v>
      </c>
      <c r="Q284" s="7">
        <f t="shared" si="1441"/>
        <v>1322092.5999999999</v>
      </c>
      <c r="R284" s="7">
        <f t="shared" si="1441"/>
        <v>1311599.7999999998</v>
      </c>
      <c r="S284" s="7">
        <f t="shared" si="1441"/>
        <v>1301106.9999999998</v>
      </c>
      <c r="T284" s="7">
        <f t="shared" si="1441"/>
        <v>1290614.1999999997</v>
      </c>
      <c r="U284" s="7">
        <f t="shared" si="1441"/>
        <v>1280121.3999999997</v>
      </c>
      <c r="V284" s="7">
        <f t="shared" si="1441"/>
        <v>1269628.5999999996</v>
      </c>
      <c r="W284" s="7">
        <f t="shared" si="1441"/>
        <v>1259135.7999999996</v>
      </c>
      <c r="X284" s="7">
        <f t="shared" si="1441"/>
        <v>1248642.9999999995</v>
      </c>
      <c r="Y284" s="7">
        <f t="shared" si="1441"/>
        <v>1238150.1999999995</v>
      </c>
      <c r="Z284" s="7">
        <f t="shared" si="1441"/>
        <v>1227657.3999999994</v>
      </c>
      <c r="AA284" s="7">
        <f t="shared" si="1444"/>
        <v>28393.512399999992</v>
      </c>
      <c r="AB284" s="7"/>
      <c r="AC284" s="7">
        <f t="shared" si="1434"/>
        <v>125913.60000000001</v>
      </c>
      <c r="AD284" s="7">
        <f t="shared" si="1435"/>
        <v>1217164.5999999994</v>
      </c>
      <c r="AE284" s="7">
        <f t="shared" si="1442"/>
        <v>1206671.7999999993</v>
      </c>
      <c r="AF284" s="7">
        <f t="shared" si="1442"/>
        <v>1196178.9999999993</v>
      </c>
      <c r="AG284" s="7">
        <f t="shared" si="1442"/>
        <v>1185686.1999999993</v>
      </c>
      <c r="AH284" s="7">
        <f t="shared" si="1442"/>
        <v>1175193.3999999992</v>
      </c>
      <c r="AI284" s="7">
        <f t="shared" si="1442"/>
        <v>1164700.5999999992</v>
      </c>
      <c r="AJ284" s="7">
        <f t="shared" si="1442"/>
        <v>1154207.7999999991</v>
      </c>
      <c r="AK284" s="7">
        <f t="shared" si="1442"/>
        <v>1143714.9999999991</v>
      </c>
      <c r="AL284" s="7">
        <f t="shared" si="1442"/>
        <v>1133222.199999999</v>
      </c>
      <c r="AM284" s="7">
        <f t="shared" si="1442"/>
        <v>1122729.399999999</v>
      </c>
      <c r="AN284" s="7">
        <f t="shared" si="1442"/>
        <v>1112236.5999999989</v>
      </c>
      <c r="AO284" s="7">
        <f t="shared" si="1442"/>
        <v>1101743.7999999989</v>
      </c>
      <c r="AP284" s="222">
        <f>IF(K284&lt;1,0,SUM(AD284:AO284,Z284)/13*$BG$1)</f>
        <v>25623.413199999981</v>
      </c>
      <c r="AQ284" s="7">
        <v>10492.800000000001</v>
      </c>
      <c r="AR284" s="7">
        <f t="shared" si="1436"/>
        <v>10492.800000000047</v>
      </c>
      <c r="AS284" s="7">
        <f t="shared" si="1437"/>
        <v>4.5474735088646412E-11</v>
      </c>
      <c r="AT284" s="7">
        <f t="shared" si="1384"/>
        <v>125913.60000000001</v>
      </c>
      <c r="AU284" s="7">
        <f t="shared" si="1377"/>
        <v>1091250.9999999988</v>
      </c>
      <c r="AV284" s="7">
        <f t="shared" si="1443"/>
        <v>1080758.1999999988</v>
      </c>
      <c r="AW284" s="7">
        <f t="shared" si="1443"/>
        <v>1070265.3999999987</v>
      </c>
      <c r="AX284" s="7">
        <f t="shared" si="1443"/>
        <v>1059772.5999999987</v>
      </c>
      <c r="AY284" s="7">
        <f t="shared" si="1443"/>
        <v>1049279.7999999986</v>
      </c>
      <c r="AZ284" s="7">
        <f t="shared" si="1443"/>
        <v>1038786.9999999986</v>
      </c>
      <c r="BA284" s="7">
        <f t="shared" si="1443"/>
        <v>1028294.1999999986</v>
      </c>
      <c r="BB284" s="7">
        <f t="shared" si="1443"/>
        <v>1017801.3999999985</v>
      </c>
      <c r="BC284" s="7">
        <f t="shared" si="1443"/>
        <v>1007308.5999999985</v>
      </c>
      <c r="BD284" s="7">
        <f t="shared" si="1443"/>
        <v>996815.79999999842</v>
      </c>
      <c r="BE284" s="7">
        <f t="shared" si="1443"/>
        <v>986322.99999999837</v>
      </c>
      <c r="BF284" s="7">
        <f t="shared" si="1443"/>
        <v>975830.19999999832</v>
      </c>
      <c r="BG284" s="236">
        <f t="shared" si="1419"/>
        <v>22853.313999999969</v>
      </c>
      <c r="BH284" s="7">
        <v>10492.800000000001</v>
      </c>
      <c r="BI284" s="39">
        <f t="shared" si="1408"/>
        <v>125913.60000000001</v>
      </c>
      <c r="BJ284" s="7">
        <f t="shared" si="1385"/>
        <v>965337.39999999828</v>
      </c>
      <c r="BK284" s="7">
        <f t="shared" si="1386"/>
        <v>954844.59999999823</v>
      </c>
      <c r="BL284" s="7">
        <f t="shared" si="1387"/>
        <v>944351.79999999818</v>
      </c>
      <c r="BM284" s="7">
        <f t="shared" si="1388"/>
        <v>933858.99999999814</v>
      </c>
      <c r="BN284" s="7">
        <f t="shared" si="1389"/>
        <v>923366.19999999809</v>
      </c>
      <c r="BO284" s="7">
        <f t="shared" si="1390"/>
        <v>912873.39999999804</v>
      </c>
      <c r="BP284" s="7">
        <f t="shared" si="1391"/>
        <v>902380.599999998</v>
      </c>
      <c r="BQ284" s="7">
        <f t="shared" si="1392"/>
        <v>891887.79999999795</v>
      </c>
      <c r="BR284" s="7">
        <f t="shared" si="1393"/>
        <v>881394.9999999979</v>
      </c>
      <c r="BS284" s="7">
        <f t="shared" si="1394"/>
        <v>870902.19999999786</v>
      </c>
      <c r="BT284" s="7">
        <f t="shared" si="1395"/>
        <v>860409.39999999781</v>
      </c>
      <c r="BU284" s="7">
        <f t="shared" si="1396"/>
        <v>849916.59999999776</v>
      </c>
      <c r="BV284" s="236">
        <f>IF(Z284&lt;1,0,SUM(BJ284:BU284,BF284)/13*$BG$1)</f>
        <v>20083.214799999962</v>
      </c>
      <c r="BW284" s="7">
        <v>10492.800000000001</v>
      </c>
      <c r="BX284" s="39">
        <f t="shared" si="1409"/>
        <v>125913.60000000001</v>
      </c>
      <c r="BY284" s="7">
        <f t="shared" si="1410"/>
        <v>839423.79999999772</v>
      </c>
      <c r="BZ284" s="7">
        <f t="shared" si="1397"/>
        <v>828930.99999999767</v>
      </c>
      <c r="CA284" s="7">
        <f t="shared" si="1398"/>
        <v>818438.19999999763</v>
      </c>
      <c r="CB284" s="7">
        <f t="shared" si="1399"/>
        <v>807945.39999999758</v>
      </c>
      <c r="CC284" s="7">
        <f t="shared" si="1411"/>
        <v>797452.59999999753</v>
      </c>
      <c r="CD284" s="7">
        <f t="shared" si="1412"/>
        <v>786959.79999999749</v>
      </c>
      <c r="CE284" s="7">
        <f t="shared" si="1413"/>
        <v>776466.99999999744</v>
      </c>
      <c r="CF284" s="7">
        <f t="shared" si="1414"/>
        <v>765974.19999999739</v>
      </c>
      <c r="CG284" s="7">
        <f t="shared" si="1415"/>
        <v>755481.39999999735</v>
      </c>
      <c r="CH284" s="7">
        <f t="shared" si="1416"/>
        <v>744988.5999999973</v>
      </c>
      <c r="CI284" s="7">
        <f t="shared" si="1417"/>
        <v>734495.79999999725</v>
      </c>
      <c r="CJ284" s="7">
        <f t="shared" si="1418"/>
        <v>724002.99999999721</v>
      </c>
      <c r="CK284" s="236">
        <f>IF(AO284&lt;1,0,SUM(BY284:CJ284,BU284)/13*$BG$1)</f>
        <v>17313.115599999946</v>
      </c>
      <c r="CL284" s="7">
        <v>10492.800000000001</v>
      </c>
      <c r="CM284" s="39">
        <f t="shared" si="1420"/>
        <v>125913.60000000001</v>
      </c>
      <c r="CN284" s="7">
        <f t="shared" si="1421"/>
        <v>713510.19999999716</v>
      </c>
      <c r="CO284" s="7">
        <f t="shared" si="1422"/>
        <v>703017.39999999711</v>
      </c>
      <c r="CP284" s="7">
        <f t="shared" si="1423"/>
        <v>692524.59999999707</v>
      </c>
      <c r="CQ284" s="7">
        <f t="shared" si="1424"/>
        <v>682031.79999999702</v>
      </c>
      <c r="CR284" s="7">
        <f t="shared" si="1425"/>
        <v>671538.99999999697</v>
      </c>
      <c r="CS284" s="7">
        <f t="shared" si="1426"/>
        <v>661046.19999999693</v>
      </c>
      <c r="CT284" s="7">
        <f t="shared" si="1427"/>
        <v>650553.39999999688</v>
      </c>
      <c r="CU284" s="7">
        <f t="shared" si="1428"/>
        <v>640060.59999999683</v>
      </c>
      <c r="CV284" s="7">
        <f t="shared" si="1429"/>
        <v>629567.79999999679</v>
      </c>
      <c r="CW284" s="7">
        <f t="shared" si="1430"/>
        <v>619074.99999999674</v>
      </c>
      <c r="CX284" s="7">
        <f t="shared" si="1431"/>
        <v>608582.19999999669</v>
      </c>
      <c r="CY284" s="7">
        <f t="shared" si="1432"/>
        <v>598089.39999999665</v>
      </c>
      <c r="CZ284" s="236">
        <f>IF(BF284&lt;1,0,SUM(CN284:CY284,CJ284)/13*$BG$1)</f>
        <v>14543.016399999931</v>
      </c>
    </row>
    <row r="285" spans="1:104" x14ac:dyDescent="0.2">
      <c r="A285" s="6" t="str">
        <f>'[1]2021 УГРЦТ'!A288</f>
        <v>Комплектная трансформаторная подстанция 6/0,4 кВ</v>
      </c>
      <c r="B285" t="str">
        <f>'[1]2021 УГРЦТ'!B288</f>
        <v>000001886</v>
      </c>
      <c r="C285" t="str">
        <f>'[1]2021 УГРЦТ'!C288</f>
        <v>ПЕРЕДАЧА</v>
      </c>
      <c r="D285" t="str">
        <f>'[1]2021 УГРЦТ'!D288</f>
        <v>Здания</v>
      </c>
      <c r="E285" s="4">
        <f>'[1]2021 УГРЦТ'!E288</f>
        <v>44560</v>
      </c>
      <c r="F285" t="str">
        <f>'[1]2021 УГРЦТ'!F288</f>
        <v>Цех электрических сетей</v>
      </c>
      <c r="G285">
        <f>'[1]2021 УГРЦТ'!AC288</f>
        <v>360</v>
      </c>
      <c r="H285" s="7">
        <f>'[1]2021 УГРЦТ'!X288</f>
        <v>3745581.16</v>
      </c>
      <c r="I285" s="7" t="e">
        <f>'[1]2021 УГРЦТ'!Y288</f>
        <v>#REF!</v>
      </c>
      <c r="J285" s="7">
        <f>'[1]2021 УГРЦТ'!Z288</f>
        <v>3745581.16</v>
      </c>
      <c r="K285" s="8">
        <v>1</v>
      </c>
      <c r="L285" s="7">
        <v>10404.392111111112</v>
      </c>
      <c r="M285" s="7"/>
      <c r="N285" s="7">
        <f t="shared" si="1341"/>
        <v>124852.70533333335</v>
      </c>
      <c r="O285" s="7">
        <f t="shared" si="1433"/>
        <v>3735176.7678888892</v>
      </c>
      <c r="P285" s="7">
        <f t="shared" si="1441"/>
        <v>3724772.3757777782</v>
      </c>
      <c r="Q285" s="7">
        <f t="shared" si="1441"/>
        <v>3714367.9836666672</v>
      </c>
      <c r="R285" s="7">
        <f t="shared" si="1441"/>
        <v>3703963.5915555563</v>
      </c>
      <c r="S285" s="7">
        <f t="shared" si="1441"/>
        <v>3693559.1994444453</v>
      </c>
      <c r="T285" s="7">
        <f t="shared" si="1441"/>
        <v>3683154.8073333343</v>
      </c>
      <c r="U285" s="7">
        <f t="shared" si="1441"/>
        <v>3672750.4152222234</v>
      </c>
      <c r="V285" s="7">
        <f t="shared" si="1441"/>
        <v>3662346.0231111124</v>
      </c>
      <c r="W285" s="7">
        <f t="shared" si="1441"/>
        <v>3651941.6310000014</v>
      </c>
      <c r="X285" s="7">
        <f t="shared" si="1441"/>
        <v>3641537.2388888905</v>
      </c>
      <c r="Y285" s="7">
        <f t="shared" si="1441"/>
        <v>3631132.8467777795</v>
      </c>
      <c r="Z285" s="7">
        <f t="shared" si="1441"/>
        <v>3620728.4546666685</v>
      </c>
      <c r="AA285" s="7">
        <f t="shared" si="1444"/>
        <v>81029.405761333357</v>
      </c>
      <c r="AB285" s="7"/>
      <c r="AC285" s="7">
        <f t="shared" si="1434"/>
        <v>124852.70533333335</v>
      </c>
      <c r="AD285" s="7">
        <f t="shared" si="1435"/>
        <v>3610324.0625555576</v>
      </c>
      <c r="AE285" s="7">
        <f t="shared" si="1442"/>
        <v>3599919.6704444466</v>
      </c>
      <c r="AF285" s="7">
        <f t="shared" si="1442"/>
        <v>3589515.2783333356</v>
      </c>
      <c r="AG285" s="7">
        <f t="shared" si="1442"/>
        <v>3579110.8862222247</v>
      </c>
      <c r="AH285" s="7">
        <f t="shared" si="1442"/>
        <v>3568706.4941111137</v>
      </c>
      <c r="AI285" s="7">
        <f t="shared" si="1442"/>
        <v>3558302.1020000027</v>
      </c>
      <c r="AJ285" s="7">
        <f t="shared" si="1442"/>
        <v>3547897.7098888918</v>
      </c>
      <c r="AK285" s="7">
        <f t="shared" si="1442"/>
        <v>3537493.3177777808</v>
      </c>
      <c r="AL285" s="7">
        <f t="shared" si="1442"/>
        <v>3527088.9256666698</v>
      </c>
      <c r="AM285" s="7">
        <f t="shared" si="1442"/>
        <v>3516684.5335555589</v>
      </c>
      <c r="AN285" s="7">
        <f t="shared" si="1442"/>
        <v>3506280.1414444479</v>
      </c>
      <c r="AO285" s="7">
        <f t="shared" si="1442"/>
        <v>3495875.7493333369</v>
      </c>
      <c r="AP285" s="222">
        <f>IF(K285&lt;1,0,SUM(AD285:AO285,Z285)/13*$BG$1)</f>
        <v>78282.646244000047</v>
      </c>
      <c r="AQ285" s="7">
        <v>10404.392111111112</v>
      </c>
      <c r="AR285" s="7">
        <f t="shared" si="1436"/>
        <v>10404.392111110967</v>
      </c>
      <c r="AS285" s="7">
        <f t="shared" si="1437"/>
        <v>-1.4551915228366852E-10</v>
      </c>
      <c r="AT285" s="7">
        <f t="shared" si="1384"/>
        <v>124852.70533333335</v>
      </c>
      <c r="AU285" s="7">
        <f t="shared" si="1377"/>
        <v>3485471.357222226</v>
      </c>
      <c r="AV285" s="7">
        <f t="shared" si="1443"/>
        <v>3475066.965111115</v>
      </c>
      <c r="AW285" s="7">
        <f t="shared" si="1443"/>
        <v>3464662.573000004</v>
      </c>
      <c r="AX285" s="7">
        <f t="shared" si="1443"/>
        <v>3454258.1808888931</v>
      </c>
      <c r="AY285" s="7">
        <f t="shared" si="1443"/>
        <v>3443853.7887777821</v>
      </c>
      <c r="AZ285" s="7">
        <f t="shared" si="1443"/>
        <v>3433449.3966666711</v>
      </c>
      <c r="BA285" s="7">
        <f t="shared" si="1443"/>
        <v>3423045.0045555602</v>
      </c>
      <c r="BB285" s="7">
        <f t="shared" si="1443"/>
        <v>3412640.6124444492</v>
      </c>
      <c r="BC285" s="7">
        <f t="shared" si="1443"/>
        <v>3402236.2203333382</v>
      </c>
      <c r="BD285" s="7">
        <f t="shared" si="1443"/>
        <v>3391831.8282222273</v>
      </c>
      <c r="BE285" s="7">
        <f t="shared" si="1443"/>
        <v>3381427.4361111163</v>
      </c>
      <c r="BF285" s="7">
        <f t="shared" si="1443"/>
        <v>3371023.0440000053</v>
      </c>
      <c r="BG285" s="236">
        <f t="shared" si="1419"/>
        <v>75535.886726666766</v>
      </c>
      <c r="BH285" s="7">
        <v>10404.392111111112</v>
      </c>
      <c r="BI285" s="39">
        <f t="shared" si="1408"/>
        <v>124852.70533333335</v>
      </c>
      <c r="BJ285" s="7">
        <f t="shared" si="1385"/>
        <v>3360618.6518888944</v>
      </c>
      <c r="BK285" s="7">
        <f t="shared" si="1386"/>
        <v>3350214.2597777834</v>
      </c>
      <c r="BL285" s="7">
        <f t="shared" si="1387"/>
        <v>3339809.8676666724</v>
      </c>
      <c r="BM285" s="7">
        <f t="shared" si="1388"/>
        <v>3329405.4755555615</v>
      </c>
      <c r="BN285" s="7">
        <f t="shared" si="1389"/>
        <v>3319001.0834444505</v>
      </c>
      <c r="BO285" s="7">
        <f t="shared" si="1390"/>
        <v>3308596.6913333395</v>
      </c>
      <c r="BP285" s="7">
        <f t="shared" si="1391"/>
        <v>3298192.2992222286</v>
      </c>
      <c r="BQ285" s="7">
        <f t="shared" si="1392"/>
        <v>3287787.9071111176</v>
      </c>
      <c r="BR285" s="7">
        <f t="shared" si="1393"/>
        <v>3277383.5150000066</v>
      </c>
      <c r="BS285" s="7">
        <f t="shared" si="1394"/>
        <v>3266979.1228888957</v>
      </c>
      <c r="BT285" s="7">
        <f t="shared" si="1395"/>
        <v>3256574.7307777847</v>
      </c>
      <c r="BU285" s="7">
        <f t="shared" si="1396"/>
        <v>3246170.3386666737</v>
      </c>
      <c r="BV285" s="236">
        <f>IF(Z285&lt;1,0,SUM(BJ285:BU285,BF285)/13*$BG$1)</f>
        <v>72789.127209333456</v>
      </c>
      <c r="BW285" s="7">
        <v>10404.392111111112</v>
      </c>
      <c r="BX285" s="39">
        <f t="shared" si="1409"/>
        <v>124852.70533333335</v>
      </c>
      <c r="BY285" s="7">
        <f t="shared" si="1410"/>
        <v>3235765.9465555628</v>
      </c>
      <c r="BZ285" s="7">
        <f t="shared" si="1397"/>
        <v>3225361.5544444518</v>
      </c>
      <c r="CA285" s="7">
        <f t="shared" si="1398"/>
        <v>3214957.1623333408</v>
      </c>
      <c r="CB285" s="7">
        <f t="shared" si="1399"/>
        <v>3204552.7702222299</v>
      </c>
      <c r="CC285" s="7">
        <f t="shared" si="1411"/>
        <v>3194148.3781111189</v>
      </c>
      <c r="CD285" s="7">
        <f t="shared" si="1412"/>
        <v>3183743.9860000079</v>
      </c>
      <c r="CE285" s="7">
        <f t="shared" si="1413"/>
        <v>3173339.593888897</v>
      </c>
      <c r="CF285" s="7">
        <f t="shared" si="1414"/>
        <v>3162935.201777786</v>
      </c>
      <c r="CG285" s="7">
        <f t="shared" si="1415"/>
        <v>3152530.809666675</v>
      </c>
      <c r="CH285" s="7">
        <f t="shared" si="1416"/>
        <v>3142126.4175555641</v>
      </c>
      <c r="CI285" s="7">
        <f t="shared" si="1417"/>
        <v>3131722.0254444531</v>
      </c>
      <c r="CJ285" s="7">
        <f t="shared" si="1418"/>
        <v>3121317.6333333421</v>
      </c>
      <c r="CK285" s="236">
        <f>IF(AO285&lt;1,0,SUM(BY285:CJ285,BU285)/13*$BG$1)</f>
        <v>70042.367692000174</v>
      </c>
      <c r="CL285" s="7">
        <v>10404.392111111112</v>
      </c>
      <c r="CM285" s="39">
        <f t="shared" si="1420"/>
        <v>124852.70533333335</v>
      </c>
      <c r="CN285" s="7">
        <f t="shared" si="1421"/>
        <v>3110913.2412222312</v>
      </c>
      <c r="CO285" s="7">
        <f t="shared" si="1422"/>
        <v>3100508.8491111202</v>
      </c>
      <c r="CP285" s="7">
        <f t="shared" si="1423"/>
        <v>3090104.4570000092</v>
      </c>
      <c r="CQ285" s="7">
        <f t="shared" si="1424"/>
        <v>3079700.0648888983</v>
      </c>
      <c r="CR285" s="7">
        <f t="shared" si="1425"/>
        <v>3069295.6727777873</v>
      </c>
      <c r="CS285" s="7">
        <f t="shared" si="1426"/>
        <v>3058891.2806666763</v>
      </c>
      <c r="CT285" s="7">
        <f t="shared" si="1427"/>
        <v>3048486.8885555654</v>
      </c>
      <c r="CU285" s="7">
        <f t="shared" si="1428"/>
        <v>3038082.4964444544</v>
      </c>
      <c r="CV285" s="7">
        <f t="shared" si="1429"/>
        <v>3027678.1043333434</v>
      </c>
      <c r="CW285" s="7">
        <f t="shared" si="1430"/>
        <v>3017273.7122222325</v>
      </c>
      <c r="CX285" s="7">
        <f t="shared" si="1431"/>
        <v>3006869.3201111215</v>
      </c>
      <c r="CY285" s="7">
        <f t="shared" si="1432"/>
        <v>2996464.9280000106</v>
      </c>
      <c r="CZ285" s="236">
        <f>IF(BF285&lt;1,0,SUM(CN285:CY285,CJ285)/13*$BG$1)</f>
        <v>67295.608174666879</v>
      </c>
    </row>
    <row r="286" spans="1:104" x14ac:dyDescent="0.2">
      <c r="A286" s="6" t="str">
        <f>'[1]2021 УГРЦТ'!A289</f>
        <v>Комплектная трансформаторная подстанция КТП2×400/6/0,4</v>
      </c>
      <c r="B286" t="str">
        <f>'[1]2021 УГРЦТ'!B289</f>
        <v>000001827</v>
      </c>
      <c r="C286" t="str">
        <f>'[1]2021 УГРЦТ'!C289</f>
        <v>ПЕРЕДАЧА</v>
      </c>
      <c r="D286" t="str">
        <f>'[1]2021 УГРЦТ'!D289</f>
        <v>Здания</v>
      </c>
      <c r="E286" t="str">
        <f>'[1]2021 УГРЦТ'!E289</f>
        <v>30.12.2020</v>
      </c>
      <c r="F286" t="str">
        <f>'[1]2021 УГРЦТ'!F289</f>
        <v>Цех электрических сетей</v>
      </c>
      <c r="G286">
        <f>'[1]2021 УГРЦТ'!AC289</f>
        <v>360</v>
      </c>
      <c r="H286" s="7">
        <f>'[1]2021 УГРЦТ'!X289</f>
        <v>6249519.9500000002</v>
      </c>
      <c r="I286" s="7">
        <f>'[1]2021 УГРЦТ'!Y289</f>
        <v>208317.33166666667</v>
      </c>
      <c r="J286" s="7">
        <f>'[1]2021 УГРЦТ'!Z289</f>
        <v>6041202.6183333332</v>
      </c>
      <c r="K286" s="8">
        <v>1</v>
      </c>
      <c r="L286" s="7">
        <v>17359.78</v>
      </c>
      <c r="M286" s="7"/>
      <c r="N286" s="7">
        <f t="shared" si="1341"/>
        <v>208317.36</v>
      </c>
      <c r="O286" s="7">
        <f t="shared" si="1433"/>
        <v>6023842.8383333329</v>
      </c>
      <c r="P286" s="7">
        <f t="shared" si="1441"/>
        <v>6006483.0583333327</v>
      </c>
      <c r="Q286" s="7">
        <f t="shared" si="1441"/>
        <v>5989123.2783333324</v>
      </c>
      <c r="R286" s="7">
        <f t="shared" si="1441"/>
        <v>5971763.4983333321</v>
      </c>
      <c r="S286" s="7">
        <f t="shared" si="1441"/>
        <v>5954403.7183333319</v>
      </c>
      <c r="T286" s="7">
        <f t="shared" si="1441"/>
        <v>5937043.9383333316</v>
      </c>
      <c r="U286" s="7">
        <f t="shared" si="1441"/>
        <v>5919684.1583333313</v>
      </c>
      <c r="V286" s="7">
        <f t="shared" si="1441"/>
        <v>5902324.3783333311</v>
      </c>
      <c r="W286" s="7">
        <f t="shared" si="1441"/>
        <v>5884964.5983333308</v>
      </c>
      <c r="X286" s="7">
        <f t="shared" si="1441"/>
        <v>5867604.8183333306</v>
      </c>
      <c r="Y286" s="7">
        <f t="shared" si="1441"/>
        <v>5850245.0383333303</v>
      </c>
      <c r="Z286" s="7">
        <f t="shared" si="1441"/>
        <v>5832885.25833333</v>
      </c>
      <c r="AA286" s="7">
        <f t="shared" si="1444"/>
        <v>130614.96664333329</v>
      </c>
      <c r="AB286" s="7"/>
      <c r="AC286" s="7">
        <f t="shared" si="1434"/>
        <v>208317.36</v>
      </c>
      <c r="AD286" s="7">
        <f t="shared" si="1435"/>
        <v>5815525.4783333298</v>
      </c>
      <c r="AE286" s="7">
        <f t="shared" si="1442"/>
        <v>5798165.6983333295</v>
      </c>
      <c r="AF286" s="7">
        <f t="shared" si="1442"/>
        <v>5780805.9183333293</v>
      </c>
      <c r="AG286" s="7">
        <f t="shared" si="1442"/>
        <v>5763446.138333329</v>
      </c>
      <c r="AH286" s="7">
        <f t="shared" si="1442"/>
        <v>5746086.3583333287</v>
      </c>
      <c r="AI286" s="7">
        <f t="shared" si="1442"/>
        <v>5728726.5783333285</v>
      </c>
      <c r="AJ286" s="7">
        <f t="shared" si="1442"/>
        <v>5711366.7983333282</v>
      </c>
      <c r="AK286" s="7">
        <f t="shared" si="1442"/>
        <v>5694007.018333328</v>
      </c>
      <c r="AL286" s="7">
        <f t="shared" si="1442"/>
        <v>5676647.2383333277</v>
      </c>
      <c r="AM286" s="7">
        <f t="shared" si="1442"/>
        <v>5659287.4583333274</v>
      </c>
      <c r="AN286" s="7">
        <f t="shared" si="1442"/>
        <v>5641927.6783333272</v>
      </c>
      <c r="AO286" s="7">
        <f t="shared" si="1442"/>
        <v>5624567.8983333269</v>
      </c>
      <c r="AP286" s="222">
        <f>IF(K286&lt;1,0,SUM(AD286:AO286,Z286)/13*$BG$1)</f>
        <v>126031.98472333323</v>
      </c>
      <c r="AQ286" s="7">
        <v>17359.78</v>
      </c>
      <c r="AR286" s="7">
        <f t="shared" si="1436"/>
        <v>17359.780000000261</v>
      </c>
      <c r="AS286" s="7">
        <f t="shared" si="1437"/>
        <v>2.6193447411060333E-10</v>
      </c>
      <c r="AT286" s="7">
        <f t="shared" si="1384"/>
        <v>208317.36</v>
      </c>
      <c r="AU286" s="7">
        <f t="shared" si="1377"/>
        <v>5607208.1183333267</v>
      </c>
      <c r="AV286" s="7">
        <f t="shared" si="1443"/>
        <v>5589848.3383333264</v>
      </c>
      <c r="AW286" s="7">
        <f t="shared" si="1443"/>
        <v>5572488.5583333261</v>
      </c>
      <c r="AX286" s="7">
        <f t="shared" si="1443"/>
        <v>5555128.7783333259</v>
      </c>
      <c r="AY286" s="7">
        <f t="shared" si="1443"/>
        <v>5537768.9983333256</v>
      </c>
      <c r="AZ286" s="7">
        <f t="shared" si="1443"/>
        <v>5520409.2183333253</v>
      </c>
      <c r="BA286" s="7">
        <f t="shared" si="1443"/>
        <v>5503049.4383333251</v>
      </c>
      <c r="BB286" s="7">
        <f t="shared" si="1443"/>
        <v>5485689.6583333248</v>
      </c>
      <c r="BC286" s="7">
        <f t="shared" si="1443"/>
        <v>5468329.8783333246</v>
      </c>
      <c r="BD286" s="7">
        <f t="shared" si="1443"/>
        <v>5450970.0983333243</v>
      </c>
      <c r="BE286" s="7">
        <f t="shared" si="1443"/>
        <v>5433610.318333324</v>
      </c>
      <c r="BF286" s="7">
        <f t="shared" si="1443"/>
        <v>5416250.5383333238</v>
      </c>
      <c r="BG286" s="236">
        <f t="shared" si="1419"/>
        <v>121449.00280333313</v>
      </c>
      <c r="BH286" s="7">
        <v>17359.78</v>
      </c>
      <c r="BI286" s="39">
        <f t="shared" si="1408"/>
        <v>208317.36</v>
      </c>
      <c r="BJ286" s="7">
        <f t="shared" si="1385"/>
        <v>5398890.7583333235</v>
      </c>
      <c r="BK286" s="7">
        <f t="shared" si="1386"/>
        <v>5381530.9783333233</v>
      </c>
      <c r="BL286" s="7">
        <f t="shared" si="1387"/>
        <v>5364171.198333323</v>
      </c>
      <c r="BM286" s="7">
        <f t="shared" si="1388"/>
        <v>5346811.4183333227</v>
      </c>
      <c r="BN286" s="7">
        <f t="shared" si="1389"/>
        <v>5329451.6383333225</v>
      </c>
      <c r="BO286" s="7">
        <f t="shared" si="1390"/>
        <v>5312091.8583333222</v>
      </c>
      <c r="BP286" s="7">
        <f t="shared" si="1391"/>
        <v>5294732.078333322</v>
      </c>
      <c r="BQ286" s="7">
        <f t="shared" si="1392"/>
        <v>5277372.2983333217</v>
      </c>
      <c r="BR286" s="7">
        <f t="shared" si="1393"/>
        <v>5260012.5183333214</v>
      </c>
      <c r="BS286" s="7">
        <f t="shared" si="1394"/>
        <v>5242652.7383333212</v>
      </c>
      <c r="BT286" s="7">
        <f t="shared" si="1395"/>
        <v>5225292.9583333209</v>
      </c>
      <c r="BU286" s="7">
        <f t="shared" si="1396"/>
        <v>5207933.1783333207</v>
      </c>
      <c r="BV286" s="236">
        <f>IF(Z286&lt;1,0,SUM(BJ286:BU286,BF286)/13*$BG$1)</f>
        <v>116866.0208833331</v>
      </c>
      <c r="BW286" s="7">
        <v>17359.78</v>
      </c>
      <c r="BX286" s="39">
        <f t="shared" si="1409"/>
        <v>208317.36</v>
      </c>
      <c r="BY286" s="7">
        <f t="shared" si="1410"/>
        <v>5190573.3983333204</v>
      </c>
      <c r="BZ286" s="7">
        <f t="shared" si="1397"/>
        <v>5173213.6183333201</v>
      </c>
      <c r="CA286" s="7">
        <f t="shared" si="1398"/>
        <v>5155853.8383333199</v>
      </c>
      <c r="CB286" s="7">
        <f t="shared" si="1399"/>
        <v>5138494.0583333196</v>
      </c>
      <c r="CC286" s="7">
        <f t="shared" si="1411"/>
        <v>5121134.2783333194</v>
      </c>
      <c r="CD286" s="7">
        <f t="shared" si="1412"/>
        <v>5103774.4983333191</v>
      </c>
      <c r="CE286" s="7">
        <f t="shared" si="1413"/>
        <v>5086414.7183333188</v>
      </c>
      <c r="CF286" s="7">
        <f t="shared" si="1414"/>
        <v>5069054.9383333186</v>
      </c>
      <c r="CG286" s="7">
        <f t="shared" si="1415"/>
        <v>5051695.1583333183</v>
      </c>
      <c r="CH286" s="7">
        <f t="shared" si="1416"/>
        <v>5034335.378333318</v>
      </c>
      <c r="CI286" s="7">
        <f t="shared" si="1417"/>
        <v>5016975.5983333178</v>
      </c>
      <c r="CJ286" s="7">
        <f t="shared" si="1418"/>
        <v>4999615.8183333175</v>
      </c>
      <c r="CK286" s="236">
        <f>IF(AO286&lt;1,0,SUM(BY286:CJ286,BU286)/13*$BG$1)</f>
        <v>112283.03896333302</v>
      </c>
      <c r="CL286" s="7">
        <v>17359.78</v>
      </c>
      <c r="CM286" s="39">
        <f t="shared" si="1420"/>
        <v>208317.36</v>
      </c>
      <c r="CN286" s="7">
        <f t="shared" si="1421"/>
        <v>4982256.0383333173</v>
      </c>
      <c r="CO286" s="7">
        <f t="shared" si="1422"/>
        <v>4964896.258333317</v>
      </c>
      <c r="CP286" s="7">
        <f t="shared" si="1423"/>
        <v>4947536.4783333167</v>
      </c>
      <c r="CQ286" s="7">
        <f t="shared" si="1424"/>
        <v>4930176.6983333165</v>
      </c>
      <c r="CR286" s="7">
        <f t="shared" si="1425"/>
        <v>4912816.9183333162</v>
      </c>
      <c r="CS286" s="7">
        <f t="shared" si="1426"/>
        <v>4895457.138333316</v>
      </c>
      <c r="CT286" s="7">
        <f t="shared" si="1427"/>
        <v>4878097.3583333157</v>
      </c>
      <c r="CU286" s="7">
        <f t="shared" si="1428"/>
        <v>4860737.5783333154</v>
      </c>
      <c r="CV286" s="7">
        <f t="shared" si="1429"/>
        <v>4843377.7983333152</v>
      </c>
      <c r="CW286" s="7">
        <f t="shared" si="1430"/>
        <v>4826018.0183333149</v>
      </c>
      <c r="CX286" s="7">
        <f t="shared" si="1431"/>
        <v>4808658.2383333147</v>
      </c>
      <c r="CY286" s="7">
        <f t="shared" si="1432"/>
        <v>4791298.4583333144</v>
      </c>
      <c r="CZ286" s="236">
        <f>IF(BF286&lt;1,0,SUM(CN286:CY286,CJ286)/13*$BG$1)</f>
        <v>107700.05704333297</v>
      </c>
    </row>
    <row r="287" spans="1:104" x14ac:dyDescent="0.2">
      <c r="A287" s="6" t="str">
        <f>'[1]2021 УГРЦТ'!A290</f>
        <v>Компрессор поршневой К2</v>
      </c>
      <c r="B287" t="str">
        <f>'[1]2021 УГРЦТ'!B290</f>
        <v>000001840</v>
      </c>
      <c r="C287" t="str">
        <f>'[1]2021 УГРЦТ'!C290</f>
        <v>ПЕРЕДАЧА</v>
      </c>
      <c r="D287" t="str">
        <f>'[1]2021 УГРЦТ'!D290</f>
        <v>Машины и оборудование (кроме офисного)</v>
      </c>
      <c r="E287" t="str">
        <f>'[1]2021 УГРЦТ'!E290</f>
        <v>16.03.2021</v>
      </c>
      <c r="F287" t="str">
        <f>'[1]2021 УГРЦТ'!F290</f>
        <v>Автотранспортный цех</v>
      </c>
      <c r="G287">
        <f>'[1]2021 УГРЦТ'!AC290</f>
        <v>120</v>
      </c>
      <c r="H287" s="7">
        <f>'[1]2021 УГРЦТ'!X290</f>
        <v>82916.67</v>
      </c>
      <c r="I287" s="7">
        <f>'[1]2021 УГРЦТ'!Y290</f>
        <v>6218.7502499999991</v>
      </c>
      <c r="J287" s="7">
        <f>'[1]2021 УГРЦТ'!Z290</f>
        <v>76697.919750000001</v>
      </c>
      <c r="K287" s="8">
        <v>0</v>
      </c>
      <c r="L287" s="7">
        <v>690.97000000000014</v>
      </c>
      <c r="M287" s="7"/>
      <c r="N287" s="7">
        <f t="shared" si="1341"/>
        <v>8291.6400000000012</v>
      </c>
      <c r="O287" s="7">
        <f t="shared" si="1433"/>
        <v>76006.94975</v>
      </c>
      <c r="P287" s="7">
        <f t="shared" si="1441"/>
        <v>75315.979749999999</v>
      </c>
      <c r="Q287" s="7">
        <f t="shared" si="1441"/>
        <v>74625.009749999997</v>
      </c>
      <c r="R287" s="7">
        <f t="shared" si="1441"/>
        <v>73934.039749999996</v>
      </c>
      <c r="S287" s="7">
        <f t="shared" si="1441"/>
        <v>73243.069749999995</v>
      </c>
      <c r="T287" s="7">
        <f t="shared" si="1441"/>
        <v>72552.099749999994</v>
      </c>
      <c r="U287" s="7">
        <f t="shared" si="1441"/>
        <v>71861.129749999993</v>
      </c>
      <c r="V287" s="7">
        <f t="shared" si="1441"/>
        <v>71170.159749999992</v>
      </c>
      <c r="W287" s="7">
        <f t="shared" si="1441"/>
        <v>70479.18974999999</v>
      </c>
      <c r="X287" s="7">
        <f t="shared" si="1441"/>
        <v>69788.219749999989</v>
      </c>
      <c r="Y287" s="7">
        <f t="shared" si="1441"/>
        <v>69097.249749999988</v>
      </c>
      <c r="Z287" s="7">
        <f t="shared" si="1441"/>
        <v>68406.279749999987</v>
      </c>
      <c r="AA287" s="7"/>
      <c r="AB287" s="7"/>
      <c r="AC287" s="7">
        <f t="shared" si="1434"/>
        <v>8291.6400000000012</v>
      </c>
      <c r="AD287" s="7">
        <f t="shared" si="1435"/>
        <v>67715.309749999986</v>
      </c>
      <c r="AE287" s="7">
        <f t="shared" si="1442"/>
        <v>67024.339749999985</v>
      </c>
      <c r="AF287" s="7">
        <f t="shared" si="1442"/>
        <v>66333.369749999983</v>
      </c>
      <c r="AG287" s="7">
        <f t="shared" si="1442"/>
        <v>65642.399749999982</v>
      </c>
      <c r="AH287" s="7">
        <f t="shared" si="1442"/>
        <v>64951.429749999981</v>
      </c>
      <c r="AI287" s="7">
        <f t="shared" si="1442"/>
        <v>64260.45974999998</v>
      </c>
      <c r="AJ287" s="7">
        <f t="shared" si="1442"/>
        <v>63569.489749999979</v>
      </c>
      <c r="AK287" s="7">
        <f t="shared" si="1442"/>
        <v>62878.519749999978</v>
      </c>
      <c r="AL287" s="7">
        <f t="shared" si="1442"/>
        <v>62187.549749999976</v>
      </c>
      <c r="AM287" s="7">
        <f t="shared" si="1442"/>
        <v>61496.579749999975</v>
      </c>
      <c r="AN287" s="7">
        <f t="shared" si="1442"/>
        <v>60805.609749999974</v>
      </c>
      <c r="AO287" s="7">
        <f t="shared" si="1442"/>
        <v>60114.639749999973</v>
      </c>
      <c r="AP287" s="222"/>
      <c r="AQ287" s="7">
        <v>690.97000000000014</v>
      </c>
      <c r="AR287" s="7">
        <f t="shared" si="1436"/>
        <v>690.97000000000116</v>
      </c>
      <c r="AS287" s="7">
        <f t="shared" si="1437"/>
        <v>1.0231815394945443E-12</v>
      </c>
      <c r="AT287" s="7">
        <f t="shared" si="1384"/>
        <v>8291.6400000000012</v>
      </c>
      <c r="AU287" s="7">
        <f t="shared" si="1377"/>
        <v>59423.669749999972</v>
      </c>
      <c r="AV287" s="7">
        <f t="shared" si="1443"/>
        <v>58732.699749999971</v>
      </c>
      <c r="AW287" s="7">
        <f t="shared" si="1443"/>
        <v>58041.729749999969</v>
      </c>
      <c r="AX287" s="7">
        <f t="shared" si="1443"/>
        <v>57350.759749999968</v>
      </c>
      <c r="AY287" s="7">
        <f t="shared" si="1443"/>
        <v>56659.789749999967</v>
      </c>
      <c r="AZ287" s="7">
        <f t="shared" si="1443"/>
        <v>55968.819749999966</v>
      </c>
      <c r="BA287" s="7">
        <f t="shared" si="1443"/>
        <v>55277.849749999965</v>
      </c>
      <c r="BB287" s="7">
        <f t="shared" si="1443"/>
        <v>54586.879749999964</v>
      </c>
      <c r="BC287" s="7">
        <f t="shared" si="1443"/>
        <v>53895.909749999963</v>
      </c>
      <c r="BD287" s="7">
        <f t="shared" si="1443"/>
        <v>53204.939749999961</v>
      </c>
      <c r="BE287" s="7">
        <f t="shared" si="1443"/>
        <v>52513.96974999996</v>
      </c>
      <c r="BF287" s="7">
        <f t="shared" si="1443"/>
        <v>51822.999749999959</v>
      </c>
      <c r="BG287" s="236">
        <f t="shared" si="1419"/>
        <v>0</v>
      </c>
      <c r="BH287" s="7">
        <v>690.97000000000014</v>
      </c>
      <c r="BI287" s="39">
        <f t="shared" si="1408"/>
        <v>8291.6400000000012</v>
      </c>
      <c r="BJ287" s="7">
        <f t="shared" si="1385"/>
        <v>51132.029749999958</v>
      </c>
      <c r="BK287" s="7">
        <f t="shared" si="1386"/>
        <v>50441.059749999957</v>
      </c>
      <c r="BL287" s="7">
        <f t="shared" si="1387"/>
        <v>49750.089749999956</v>
      </c>
      <c r="BM287" s="7">
        <f t="shared" si="1388"/>
        <v>49059.119749999954</v>
      </c>
      <c r="BN287" s="7">
        <f t="shared" si="1389"/>
        <v>48368.149749999953</v>
      </c>
      <c r="BO287" s="7">
        <f t="shared" si="1390"/>
        <v>47677.179749999952</v>
      </c>
      <c r="BP287" s="7">
        <f t="shared" si="1391"/>
        <v>46986.209749999951</v>
      </c>
      <c r="BQ287" s="7">
        <f t="shared" si="1392"/>
        <v>46295.23974999995</v>
      </c>
      <c r="BR287" s="7">
        <f t="shared" si="1393"/>
        <v>45604.269749999949</v>
      </c>
      <c r="BS287" s="7">
        <f t="shared" si="1394"/>
        <v>44913.299749999947</v>
      </c>
      <c r="BT287" s="7">
        <f t="shared" si="1395"/>
        <v>44222.329749999946</v>
      </c>
      <c r="BU287" s="7">
        <f t="shared" si="1396"/>
        <v>43531.359749999945</v>
      </c>
      <c r="BV287" s="236">
        <v>0</v>
      </c>
      <c r="BW287" s="7">
        <v>690.97000000000014</v>
      </c>
      <c r="BX287" s="39">
        <f t="shared" si="1409"/>
        <v>8291.6400000000012</v>
      </c>
      <c r="BY287" s="7">
        <f t="shared" si="1410"/>
        <v>42840.389749999944</v>
      </c>
      <c r="BZ287" s="7">
        <f t="shared" si="1397"/>
        <v>42149.419749999943</v>
      </c>
      <c r="CA287" s="7">
        <f t="shared" si="1398"/>
        <v>41458.449749999942</v>
      </c>
      <c r="CB287" s="7">
        <f t="shared" si="1399"/>
        <v>40767.47974999994</v>
      </c>
      <c r="CC287" s="7">
        <f t="shared" si="1411"/>
        <v>40076.509749999939</v>
      </c>
      <c r="CD287" s="7">
        <f t="shared" si="1412"/>
        <v>39385.539749999938</v>
      </c>
      <c r="CE287" s="7">
        <f t="shared" si="1413"/>
        <v>38694.569749999937</v>
      </c>
      <c r="CF287" s="7">
        <f t="shared" si="1414"/>
        <v>38003.599749999936</v>
      </c>
      <c r="CG287" s="7">
        <f t="shared" si="1415"/>
        <v>37312.629749999935</v>
      </c>
      <c r="CH287" s="7">
        <f t="shared" si="1416"/>
        <v>36621.659749999933</v>
      </c>
      <c r="CI287" s="7">
        <f t="shared" si="1417"/>
        <v>35930.689749999932</v>
      </c>
      <c r="CJ287" s="7">
        <f t="shared" si="1418"/>
        <v>35239.719749999931</v>
      </c>
      <c r="CK287" s="236">
        <v>0</v>
      </c>
      <c r="CL287" s="7">
        <v>690.97000000000014</v>
      </c>
      <c r="CM287" s="39">
        <f t="shared" si="1420"/>
        <v>8291.6400000000012</v>
      </c>
      <c r="CN287" s="7">
        <f t="shared" si="1421"/>
        <v>34548.74974999993</v>
      </c>
      <c r="CO287" s="7">
        <f t="shared" si="1422"/>
        <v>33857.779749999929</v>
      </c>
      <c r="CP287" s="7">
        <f t="shared" si="1423"/>
        <v>33166.809749999928</v>
      </c>
      <c r="CQ287" s="7">
        <f t="shared" si="1424"/>
        <v>32475.839749999926</v>
      </c>
      <c r="CR287" s="7">
        <f t="shared" si="1425"/>
        <v>31784.869749999925</v>
      </c>
      <c r="CS287" s="7">
        <f t="shared" si="1426"/>
        <v>31093.899749999924</v>
      </c>
      <c r="CT287" s="7">
        <f t="shared" si="1427"/>
        <v>30402.929749999923</v>
      </c>
      <c r="CU287" s="7">
        <f t="shared" si="1428"/>
        <v>29711.959749999922</v>
      </c>
      <c r="CV287" s="7">
        <f t="shared" si="1429"/>
        <v>29020.989749999921</v>
      </c>
      <c r="CW287" s="7">
        <f t="shared" si="1430"/>
        <v>28330.019749999919</v>
      </c>
      <c r="CX287" s="7">
        <f t="shared" si="1431"/>
        <v>27639.049749999918</v>
      </c>
      <c r="CY287" s="7">
        <f t="shared" si="1432"/>
        <v>26948.079749999917</v>
      </c>
      <c r="CZ287" s="236">
        <v>0</v>
      </c>
    </row>
    <row r="288" spans="1:104" x14ac:dyDescent="0.2">
      <c r="A288" s="6" t="str">
        <f>'[1]2021 УГРЦТ'!A291</f>
        <v>КСО 393 030660 УЗ ВНА №1</v>
      </c>
      <c r="B288" t="str">
        <f>'[1]2021 УГРЦТ'!B291</f>
        <v>00000988</v>
      </c>
      <c r="C288" t="str">
        <f>'[1]2021 УГРЦТ'!C291</f>
        <v>ПЕРЕДАЧА</v>
      </c>
      <c r="D288" t="str">
        <f>'[1]2021 УГРЦТ'!D291</f>
        <v>Машины и оборудование (кроме офисного)</v>
      </c>
      <c r="E288" t="str">
        <f>'[1]2021 УГРЦТ'!E291</f>
        <v>31.08.2006</v>
      </c>
      <c r="F288" t="str">
        <f>'[1]2021 УГРЦТ'!F291</f>
        <v>Цех электрических сетей</v>
      </c>
      <c r="G288">
        <f>'[1]2021 УГРЦТ'!AC291</f>
        <v>180</v>
      </c>
      <c r="H288" s="7">
        <f>'[1]2021 УГРЦТ'!X291</f>
        <v>30807.5</v>
      </c>
      <c r="I288" s="7">
        <f>'[1]2021 УГРЦТ'!Y291</f>
        <v>30807.5</v>
      </c>
      <c r="J288" s="7">
        <f>'[1]2021 УГРЦТ'!Z291</f>
        <v>0</v>
      </c>
      <c r="K288" s="8">
        <v>0</v>
      </c>
      <c r="L288" s="7">
        <v>0</v>
      </c>
      <c r="M288" s="7"/>
      <c r="N288" s="7">
        <f t="shared" si="1341"/>
        <v>0</v>
      </c>
      <c r="O288" s="7">
        <f t="shared" si="1433"/>
        <v>0</v>
      </c>
      <c r="P288" s="7">
        <f t="shared" si="1441"/>
        <v>0</v>
      </c>
      <c r="Q288" s="7">
        <f t="shared" si="1441"/>
        <v>0</v>
      </c>
      <c r="R288" s="7">
        <f t="shared" si="1441"/>
        <v>0</v>
      </c>
      <c r="S288" s="7">
        <f t="shared" si="1441"/>
        <v>0</v>
      </c>
      <c r="T288" s="7">
        <f t="shared" si="1441"/>
        <v>0</v>
      </c>
      <c r="U288" s="7">
        <f t="shared" si="1441"/>
        <v>0</v>
      </c>
      <c r="V288" s="7">
        <f t="shared" si="1441"/>
        <v>0</v>
      </c>
      <c r="W288" s="7">
        <f t="shared" si="1441"/>
        <v>0</v>
      </c>
      <c r="X288" s="7">
        <f t="shared" si="1441"/>
        <v>0</v>
      </c>
      <c r="Y288" s="7">
        <f t="shared" si="1441"/>
        <v>0</v>
      </c>
      <c r="Z288" s="7">
        <f t="shared" si="1441"/>
        <v>0</v>
      </c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222"/>
      <c r="AQ288" s="7">
        <v>0</v>
      </c>
      <c r="AR288" s="7">
        <f t="shared" si="1436"/>
        <v>0</v>
      </c>
      <c r="AS288" s="7">
        <f t="shared" si="1437"/>
        <v>0</v>
      </c>
      <c r="BG288" s="236">
        <f t="shared" si="1419"/>
        <v>0</v>
      </c>
      <c r="BH288" s="7">
        <v>0</v>
      </c>
      <c r="BV288" s="236">
        <f>IF(Z288&lt;1,0,SUM(BJ288:BU288,BF288)/13*$BG$1)</f>
        <v>0</v>
      </c>
      <c r="BW288" s="7">
        <v>0</v>
      </c>
      <c r="CK288" s="236">
        <f>IF(AO288&lt;1,0,SUM(BY288:CJ288,BU288)/13*$BG$1)</f>
        <v>0</v>
      </c>
      <c r="CL288" s="7">
        <v>0</v>
      </c>
      <c r="CZ288" s="236">
        <f>IF(BF288&lt;1,0,SUM(CN288:CY288,CJ288)/13*$BG$1)</f>
        <v>0</v>
      </c>
    </row>
    <row r="289" spans="1:104" x14ac:dyDescent="0.2">
      <c r="A289" s="6" t="str">
        <f>'[1]2021 УГРЦТ'!A292</f>
        <v>КСО 393 030660 УЗ ВНА №2</v>
      </c>
      <c r="B289" t="str">
        <f>'[1]2021 УГРЦТ'!B292</f>
        <v>00000985</v>
      </c>
      <c r="C289" t="str">
        <f>'[1]2021 УГРЦТ'!C292</f>
        <v>ПЕРЕДАЧА</v>
      </c>
      <c r="D289" t="str">
        <f>'[1]2021 УГРЦТ'!D292</f>
        <v>Машины и оборудование (кроме офисного)</v>
      </c>
      <c r="E289" t="str">
        <f>'[1]2021 УГРЦТ'!E292</f>
        <v>31.08.2006</v>
      </c>
      <c r="F289" t="str">
        <f>'[1]2021 УГРЦТ'!F292</f>
        <v>Цех электрических сетей</v>
      </c>
      <c r="G289">
        <f>'[1]2021 УГРЦТ'!AC292</f>
        <v>180</v>
      </c>
      <c r="H289" s="7">
        <f>'[1]2021 УГРЦТ'!X292</f>
        <v>30807.5</v>
      </c>
      <c r="I289" s="7">
        <f>'[1]2021 УГРЦТ'!Y292</f>
        <v>30807.5</v>
      </c>
      <c r="J289" s="7">
        <f>'[1]2021 УГРЦТ'!Z292</f>
        <v>0</v>
      </c>
      <c r="K289" s="8">
        <v>0</v>
      </c>
      <c r="L289" s="7">
        <v>0</v>
      </c>
      <c r="M289" s="7"/>
      <c r="N289" s="7">
        <f t="shared" si="1341"/>
        <v>0</v>
      </c>
      <c r="O289" s="7">
        <f t="shared" si="1433"/>
        <v>0</v>
      </c>
      <c r="P289" s="7">
        <f t="shared" si="1441"/>
        <v>0</v>
      </c>
      <c r="Q289" s="7">
        <f t="shared" si="1441"/>
        <v>0</v>
      </c>
      <c r="R289" s="7">
        <f t="shared" si="1441"/>
        <v>0</v>
      </c>
      <c r="S289" s="7">
        <f t="shared" si="1441"/>
        <v>0</v>
      </c>
      <c r="T289" s="7">
        <f t="shared" si="1441"/>
        <v>0</v>
      </c>
      <c r="U289" s="7">
        <f t="shared" si="1441"/>
        <v>0</v>
      </c>
      <c r="V289" s="7">
        <f t="shared" si="1441"/>
        <v>0</v>
      </c>
      <c r="W289" s="7">
        <f t="shared" si="1441"/>
        <v>0</v>
      </c>
      <c r="X289" s="7">
        <f t="shared" si="1441"/>
        <v>0</v>
      </c>
      <c r="Y289" s="7">
        <f t="shared" si="1441"/>
        <v>0</v>
      </c>
      <c r="Z289" s="7">
        <f t="shared" si="1441"/>
        <v>0</v>
      </c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222"/>
      <c r="AQ289" s="7">
        <v>0</v>
      </c>
      <c r="AR289" s="7">
        <f t="shared" si="1436"/>
        <v>0</v>
      </c>
      <c r="AS289" s="7">
        <f t="shared" si="1437"/>
        <v>0</v>
      </c>
      <c r="BG289" s="236">
        <f t="shared" si="1419"/>
        <v>0</v>
      </c>
      <c r="BH289" s="7">
        <v>0</v>
      </c>
      <c r="BV289" s="236">
        <f>IF(Z289&lt;1,0,SUM(BJ289:BU289,BF289)/13*$BG$1)</f>
        <v>0</v>
      </c>
      <c r="BW289" s="7">
        <v>0</v>
      </c>
      <c r="CK289" s="236">
        <f>IF(AO289&lt;1,0,SUM(BY289:CJ289,BU289)/13*$BG$1)</f>
        <v>0</v>
      </c>
      <c r="CL289" s="7">
        <v>0</v>
      </c>
      <c r="CZ289" s="236">
        <f>IF(BF289&lt;1,0,SUM(CN289:CY289,CJ289)/13*$BG$1)</f>
        <v>0</v>
      </c>
    </row>
    <row r="290" spans="1:104" x14ac:dyDescent="0.2">
      <c r="A290" s="6" t="str">
        <f>'[1]2021 УГРЦТ'!A293</f>
        <v>КСО 393 030660 УЗ ВНА №3</v>
      </c>
      <c r="B290" t="str">
        <f>'[1]2021 УГРЦТ'!B293</f>
        <v>00000986</v>
      </c>
      <c r="C290" t="str">
        <f>'[1]2021 УГРЦТ'!C293</f>
        <v>ПЕРЕДАЧА</v>
      </c>
      <c r="D290" t="str">
        <f>'[1]2021 УГРЦТ'!D293</f>
        <v>Машины и оборудование (кроме офисного)</v>
      </c>
      <c r="E290" t="str">
        <f>'[1]2021 УГРЦТ'!E293</f>
        <v>31.08.2006</v>
      </c>
      <c r="F290" t="str">
        <f>'[1]2021 УГРЦТ'!F293</f>
        <v>Цех электрических сетей</v>
      </c>
      <c r="G290">
        <f>'[1]2021 УГРЦТ'!AC293</f>
        <v>180</v>
      </c>
      <c r="H290" s="7">
        <f>'[1]2021 УГРЦТ'!X293</f>
        <v>30807.5</v>
      </c>
      <c r="I290" s="7">
        <f>'[1]2021 УГРЦТ'!Y293</f>
        <v>30807.5</v>
      </c>
      <c r="J290" s="7">
        <f>'[1]2021 УГРЦТ'!Z293</f>
        <v>0</v>
      </c>
      <c r="K290" s="8">
        <v>0</v>
      </c>
      <c r="L290" s="7">
        <v>0</v>
      </c>
      <c r="M290" s="7"/>
      <c r="N290" s="7">
        <f t="shared" si="1341"/>
        <v>0</v>
      </c>
      <c r="O290" s="7">
        <f t="shared" si="1433"/>
        <v>0</v>
      </c>
      <c r="P290" s="7">
        <f t="shared" si="1441"/>
        <v>0</v>
      </c>
      <c r="Q290" s="7">
        <f t="shared" si="1441"/>
        <v>0</v>
      </c>
      <c r="R290" s="7">
        <f t="shared" si="1441"/>
        <v>0</v>
      </c>
      <c r="S290" s="7">
        <f t="shared" si="1441"/>
        <v>0</v>
      </c>
      <c r="T290" s="7">
        <f t="shared" si="1441"/>
        <v>0</v>
      </c>
      <c r="U290" s="7">
        <f t="shared" si="1441"/>
        <v>0</v>
      </c>
      <c r="V290" s="7">
        <f t="shared" si="1441"/>
        <v>0</v>
      </c>
      <c r="W290" s="7">
        <f t="shared" si="1441"/>
        <v>0</v>
      </c>
      <c r="X290" s="7">
        <f t="shared" si="1441"/>
        <v>0</v>
      </c>
      <c r="Y290" s="7">
        <f t="shared" si="1441"/>
        <v>0</v>
      </c>
      <c r="Z290" s="7">
        <f t="shared" si="1441"/>
        <v>0</v>
      </c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222"/>
      <c r="AQ290" s="7">
        <v>0</v>
      </c>
      <c r="AR290" s="7">
        <f t="shared" si="1436"/>
        <v>0</v>
      </c>
      <c r="AS290" s="7">
        <f t="shared" si="1437"/>
        <v>0</v>
      </c>
      <c r="BG290" s="236">
        <f t="shared" si="1419"/>
        <v>0</v>
      </c>
      <c r="BH290" s="7">
        <v>0</v>
      </c>
      <c r="BV290" s="236">
        <f>IF(Z290&lt;1,0,SUM(BJ290:BU290,BF290)/13*$BG$1)</f>
        <v>0</v>
      </c>
      <c r="BW290" s="7">
        <v>0</v>
      </c>
      <c r="CK290" s="236">
        <f>IF(AO290&lt;1,0,SUM(BY290:CJ290,BU290)/13*$BG$1)</f>
        <v>0</v>
      </c>
      <c r="CL290" s="7">
        <v>0</v>
      </c>
      <c r="CZ290" s="236">
        <f>IF(BF290&lt;1,0,SUM(CN290:CY290,CJ290)/13*$BG$1)</f>
        <v>0</v>
      </c>
    </row>
    <row r="291" spans="1:104" x14ac:dyDescent="0.2">
      <c r="A291" s="6" t="str">
        <f>'[1]2021 УГРЦТ'!A294</f>
        <v>КСО 393 030660 УЗ ВНА №4</v>
      </c>
      <c r="B291" t="str">
        <f>'[1]2021 УГРЦТ'!B294</f>
        <v>00000987</v>
      </c>
      <c r="C291" t="str">
        <f>'[1]2021 УГРЦТ'!C294</f>
        <v>ПЕРЕДАЧА</v>
      </c>
      <c r="D291" t="str">
        <f>'[1]2021 УГРЦТ'!D294</f>
        <v>Машины и оборудование (кроме офисного)</v>
      </c>
      <c r="E291" t="str">
        <f>'[1]2021 УГРЦТ'!E294</f>
        <v>31.08.2006</v>
      </c>
      <c r="F291" t="str">
        <f>'[1]2021 УГРЦТ'!F294</f>
        <v>Цех электрических сетей</v>
      </c>
      <c r="G291">
        <f>'[1]2021 УГРЦТ'!AC294</f>
        <v>180</v>
      </c>
      <c r="H291" s="7">
        <f>'[1]2021 УГРЦТ'!X294</f>
        <v>30807.5</v>
      </c>
      <c r="I291" s="7">
        <f>'[1]2021 УГРЦТ'!Y294</f>
        <v>30807.5</v>
      </c>
      <c r="J291" s="7">
        <f>'[1]2021 УГРЦТ'!Z294</f>
        <v>0</v>
      </c>
      <c r="K291" s="8">
        <v>0</v>
      </c>
      <c r="L291" s="7">
        <v>0</v>
      </c>
      <c r="M291" s="7"/>
      <c r="N291" s="7">
        <f t="shared" si="1341"/>
        <v>0</v>
      </c>
      <c r="O291" s="7">
        <f t="shared" si="1433"/>
        <v>0</v>
      </c>
      <c r="P291" s="7">
        <f t="shared" si="1441"/>
        <v>0</v>
      </c>
      <c r="Q291" s="7">
        <f t="shared" si="1441"/>
        <v>0</v>
      </c>
      <c r="R291" s="7">
        <f t="shared" si="1441"/>
        <v>0</v>
      </c>
      <c r="S291" s="7">
        <f t="shared" si="1441"/>
        <v>0</v>
      </c>
      <c r="T291" s="7">
        <f t="shared" si="1441"/>
        <v>0</v>
      </c>
      <c r="U291" s="7">
        <f t="shared" si="1441"/>
        <v>0</v>
      </c>
      <c r="V291" s="7">
        <f t="shared" si="1441"/>
        <v>0</v>
      </c>
      <c r="W291" s="7">
        <f t="shared" si="1441"/>
        <v>0</v>
      </c>
      <c r="X291" s="7">
        <f t="shared" si="1441"/>
        <v>0</v>
      </c>
      <c r="Y291" s="7">
        <f t="shared" si="1441"/>
        <v>0</v>
      </c>
      <c r="Z291" s="7">
        <f t="shared" si="1441"/>
        <v>0</v>
      </c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222"/>
      <c r="AQ291" s="7">
        <v>0</v>
      </c>
      <c r="AR291" s="7">
        <f t="shared" si="1436"/>
        <v>0</v>
      </c>
      <c r="AS291" s="7">
        <f t="shared" si="1437"/>
        <v>0</v>
      </c>
      <c r="BG291" s="236">
        <f t="shared" si="1419"/>
        <v>0</v>
      </c>
      <c r="BH291" s="7">
        <v>0</v>
      </c>
      <c r="BV291" s="236">
        <f>IF(Z291&lt;1,0,SUM(BJ291:BU291,BF291)/13*$BG$1)</f>
        <v>0</v>
      </c>
      <c r="BW291" s="7">
        <v>0</v>
      </c>
      <c r="CK291" s="236">
        <f>IF(AO291&lt;1,0,SUM(BY291:CJ291,BU291)/13*$BG$1)</f>
        <v>0</v>
      </c>
      <c r="CL291" s="7">
        <v>0</v>
      </c>
      <c r="CZ291" s="236">
        <f>IF(BF291&lt;1,0,SUM(CN291:CY291,CJ291)/13*$BG$1)</f>
        <v>0</v>
      </c>
    </row>
    <row r="292" spans="1:104" x14ac:dyDescent="0.2">
      <c r="A292" s="6" t="str">
        <f>'[1]2021 УГРЦТ'!A295</f>
        <v>КТП-40  ТП-59 школа№6  1995г.</v>
      </c>
      <c r="B292" t="str">
        <f>'[1]2021 УГРЦТ'!B295</f>
        <v>00000230</v>
      </c>
      <c r="C292" t="str">
        <f>'[1]2021 УГРЦТ'!C295</f>
        <v>ПЕРЕДАЧА</v>
      </c>
      <c r="D292" t="str">
        <f>'[1]2021 УГРЦТ'!D295</f>
        <v>Машины и оборудование (кроме офисного)</v>
      </c>
      <c r="E292" t="str">
        <f>'[1]2021 УГРЦТ'!E295</f>
        <v>01.01.1995</v>
      </c>
      <c r="F292" t="str">
        <f>'[1]2021 УГРЦТ'!F295</f>
        <v>Цех электрических сетей</v>
      </c>
      <c r="G292">
        <f>'[1]2021 УГРЦТ'!AC295</f>
        <v>539</v>
      </c>
      <c r="H292" s="7">
        <f>'[1]2021 УГРЦТ'!X295</f>
        <v>1922264.54</v>
      </c>
      <c r="I292" s="7">
        <f>'[1]2021 УГРЦТ'!Y295</f>
        <v>249513.28000000003</v>
      </c>
      <c r="J292" s="7">
        <f>'[1]2021 УГРЦТ'!Z295</f>
        <v>1672751.26</v>
      </c>
      <c r="K292" s="8">
        <v>0</v>
      </c>
      <c r="L292" s="7">
        <v>7744.22</v>
      </c>
      <c r="M292" s="7"/>
      <c r="N292" s="7">
        <f t="shared" si="1341"/>
        <v>92930.64</v>
      </c>
      <c r="O292" s="7">
        <f t="shared" si="1433"/>
        <v>1665007.04</v>
      </c>
      <c r="P292" s="7">
        <f t="shared" si="1441"/>
        <v>1657262.82</v>
      </c>
      <c r="Q292" s="7">
        <f t="shared" si="1441"/>
        <v>1649518.6</v>
      </c>
      <c r="R292" s="7">
        <f t="shared" si="1441"/>
        <v>1641774.3800000001</v>
      </c>
      <c r="S292" s="7">
        <f t="shared" si="1441"/>
        <v>1634030.1600000001</v>
      </c>
      <c r="T292" s="7">
        <f t="shared" si="1441"/>
        <v>1626285.9400000002</v>
      </c>
      <c r="U292" s="7">
        <f t="shared" si="1441"/>
        <v>1618541.7200000002</v>
      </c>
      <c r="V292" s="7">
        <f t="shared" si="1441"/>
        <v>1610797.5000000002</v>
      </c>
      <c r="W292" s="7">
        <f t="shared" si="1441"/>
        <v>1603053.2800000003</v>
      </c>
      <c r="X292" s="7">
        <f t="shared" si="1441"/>
        <v>1595309.0600000003</v>
      </c>
      <c r="Y292" s="7">
        <f t="shared" si="1441"/>
        <v>1587564.8400000003</v>
      </c>
      <c r="Z292" s="7">
        <f t="shared" si="1441"/>
        <v>1579820.6200000003</v>
      </c>
      <c r="AA292" s="7"/>
      <c r="AB292" s="7"/>
      <c r="AC292" s="7">
        <f t="shared" si="1434"/>
        <v>92930.64</v>
      </c>
      <c r="AD292" s="7">
        <f t="shared" si="1435"/>
        <v>1572076.4000000004</v>
      </c>
      <c r="AE292" s="7">
        <f t="shared" si="1442"/>
        <v>1564332.1800000004</v>
      </c>
      <c r="AF292" s="7">
        <f t="shared" si="1442"/>
        <v>1556587.9600000004</v>
      </c>
      <c r="AG292" s="7">
        <f t="shared" si="1442"/>
        <v>1548843.7400000005</v>
      </c>
      <c r="AH292" s="7">
        <f t="shared" si="1442"/>
        <v>1541099.5200000005</v>
      </c>
      <c r="AI292" s="7">
        <f t="shared" si="1442"/>
        <v>1533355.3000000005</v>
      </c>
      <c r="AJ292" s="7">
        <f t="shared" si="1442"/>
        <v>1525611.0800000005</v>
      </c>
      <c r="AK292" s="7">
        <f t="shared" si="1442"/>
        <v>1517866.8600000006</v>
      </c>
      <c r="AL292" s="7">
        <f t="shared" si="1442"/>
        <v>1510122.6400000006</v>
      </c>
      <c r="AM292" s="7">
        <f t="shared" si="1442"/>
        <v>1502378.4200000006</v>
      </c>
      <c r="AN292" s="7">
        <f t="shared" si="1442"/>
        <v>1494634.2000000007</v>
      </c>
      <c r="AO292" s="7">
        <f t="shared" si="1442"/>
        <v>1486889.9800000007</v>
      </c>
      <c r="AP292" s="222"/>
      <c r="AQ292" s="7">
        <v>7744.22</v>
      </c>
      <c r="AR292" s="7">
        <f t="shared" si="1436"/>
        <v>7744.2199999999721</v>
      </c>
      <c r="AS292" s="7">
        <f t="shared" si="1437"/>
        <v>-2.8194335754960775E-11</v>
      </c>
      <c r="AT292" s="7">
        <f t="shared" ref="AT292:AT300" si="1445">L292*12</f>
        <v>92930.64</v>
      </c>
      <c r="AU292" s="7">
        <f t="shared" ref="AU292:AU300" si="1446">AO292-$L292</f>
        <v>1479145.7600000007</v>
      </c>
      <c r="AV292" s="7">
        <f t="shared" ref="AV292:BF300" si="1447">AU292-$L292</f>
        <v>1471401.5400000007</v>
      </c>
      <c r="AW292" s="7">
        <f t="shared" si="1447"/>
        <v>1463657.3200000008</v>
      </c>
      <c r="AX292" s="7">
        <f t="shared" si="1447"/>
        <v>1455913.1000000008</v>
      </c>
      <c r="AY292" s="7">
        <f t="shared" si="1447"/>
        <v>1448168.8800000008</v>
      </c>
      <c r="AZ292" s="7">
        <f t="shared" si="1447"/>
        <v>1440424.6600000008</v>
      </c>
      <c r="BA292" s="7">
        <f t="shared" si="1447"/>
        <v>1432680.4400000009</v>
      </c>
      <c r="BB292" s="7">
        <f t="shared" si="1447"/>
        <v>1424936.2200000009</v>
      </c>
      <c r="BC292" s="7">
        <f t="shared" si="1447"/>
        <v>1417192.0000000009</v>
      </c>
      <c r="BD292" s="7">
        <f t="shared" si="1447"/>
        <v>1409447.780000001</v>
      </c>
      <c r="BE292" s="7">
        <f t="shared" si="1447"/>
        <v>1401703.560000001</v>
      </c>
      <c r="BF292" s="7">
        <f t="shared" si="1447"/>
        <v>1393959.340000001</v>
      </c>
      <c r="BG292" s="236">
        <f t="shared" si="1419"/>
        <v>0</v>
      </c>
      <c r="BH292" s="7">
        <v>7744.22</v>
      </c>
      <c r="BI292" s="39">
        <f t="shared" ref="BI292:BI300" si="1448">BH292*12</f>
        <v>92930.64</v>
      </c>
      <c r="BJ292" s="7">
        <f t="shared" ref="BJ292:BJ300" si="1449">BF292-BH292</f>
        <v>1386215.120000001</v>
      </c>
      <c r="BK292" s="7">
        <f t="shared" ref="BK292:BK300" si="1450">BJ292-$L292</f>
        <v>1378470.9000000011</v>
      </c>
      <c r="BL292" s="7">
        <f t="shared" ref="BL292:BL300" si="1451">BK292-$L292</f>
        <v>1370726.6800000011</v>
      </c>
      <c r="BM292" s="7">
        <f t="shared" ref="BM292:BM300" si="1452">BL292-$L292</f>
        <v>1362982.4600000011</v>
      </c>
      <c r="BN292" s="7">
        <f t="shared" ref="BN292:BN300" si="1453">BM292-$L292</f>
        <v>1355238.2400000012</v>
      </c>
      <c r="BO292" s="7">
        <f t="shared" ref="BO292:BO300" si="1454">BN292-$L292</f>
        <v>1347494.0200000012</v>
      </c>
      <c r="BP292" s="7">
        <f t="shared" ref="BP292:BP300" si="1455">BO292-$L292</f>
        <v>1339749.8000000012</v>
      </c>
      <c r="BQ292" s="7">
        <f t="shared" ref="BQ292:BQ300" si="1456">BP292-$L292</f>
        <v>1332005.5800000012</v>
      </c>
      <c r="BR292" s="7">
        <f t="shared" ref="BR292:BR300" si="1457">BQ292-$L292</f>
        <v>1324261.3600000013</v>
      </c>
      <c r="BS292" s="7">
        <f t="shared" ref="BS292:BS300" si="1458">BR292-$L292</f>
        <v>1316517.1400000013</v>
      </c>
      <c r="BT292" s="7">
        <f t="shared" ref="BT292:BT300" si="1459">BS292-$L292</f>
        <v>1308772.9200000013</v>
      </c>
      <c r="BU292" s="7">
        <f t="shared" ref="BU292:BU300" si="1460">BT292-$L292</f>
        <v>1301028.7000000014</v>
      </c>
      <c r="BV292" s="236">
        <v>0</v>
      </c>
      <c r="BW292" s="7">
        <v>7744.22</v>
      </c>
      <c r="BX292" s="39">
        <f t="shared" ref="BX292:BX300" si="1461">BW292*12</f>
        <v>92930.64</v>
      </c>
      <c r="BY292" s="7">
        <f t="shared" ref="BY292:BY300" si="1462">BU292-BW292</f>
        <v>1293284.4800000014</v>
      </c>
      <c r="BZ292" s="7">
        <f t="shared" ref="BZ292:BZ300" si="1463">BY292-$L292</f>
        <v>1285540.2600000014</v>
      </c>
      <c r="CA292" s="7">
        <f t="shared" ref="CA292:CA300" si="1464">BZ292-$L292</f>
        <v>1277796.0400000014</v>
      </c>
      <c r="CB292" s="7">
        <f t="shared" ref="CB292:CB300" si="1465">CA292-$L292</f>
        <v>1270051.8200000015</v>
      </c>
      <c r="CC292" s="7">
        <f t="shared" ref="CC292:CC300" si="1466">CB292-$L292</f>
        <v>1262307.6000000015</v>
      </c>
      <c r="CD292" s="7">
        <f t="shared" ref="CD292:CD300" si="1467">CC292-$L292</f>
        <v>1254563.3800000015</v>
      </c>
      <c r="CE292" s="7">
        <f t="shared" ref="CE292:CE300" si="1468">CD292-$L292</f>
        <v>1246819.1600000015</v>
      </c>
      <c r="CF292" s="7">
        <f t="shared" ref="CF292:CF300" si="1469">CE292-$L292</f>
        <v>1239074.9400000016</v>
      </c>
      <c r="CG292" s="7">
        <f t="shared" ref="CG292:CG300" si="1470">CF292-$L292</f>
        <v>1231330.7200000016</v>
      </c>
      <c r="CH292" s="7">
        <f t="shared" ref="CH292:CH300" si="1471">CG292-$L292</f>
        <v>1223586.5000000016</v>
      </c>
      <c r="CI292" s="7">
        <f t="shared" ref="CI292:CI300" si="1472">CH292-$L292</f>
        <v>1215842.2800000017</v>
      </c>
      <c r="CJ292" s="7">
        <f t="shared" ref="CJ292:CJ300" si="1473">CI292-$L292</f>
        <v>1208098.0600000017</v>
      </c>
      <c r="CK292" s="236">
        <v>0</v>
      </c>
      <c r="CL292" s="7">
        <v>7744.22</v>
      </c>
      <c r="CM292" s="39">
        <f t="shared" ref="CM292:CM300" si="1474">CL292*12</f>
        <v>92930.64</v>
      </c>
      <c r="CN292" s="7">
        <f t="shared" ref="CN292:CN300" si="1475">CJ292-CL292</f>
        <v>1200353.8400000017</v>
      </c>
      <c r="CO292" s="7">
        <f t="shared" ref="CO292:CO300" si="1476">CN292-$L292</f>
        <v>1192609.6200000017</v>
      </c>
      <c r="CP292" s="7">
        <f t="shared" ref="CP292:CP300" si="1477">CO292-$L292</f>
        <v>1184865.4000000018</v>
      </c>
      <c r="CQ292" s="7">
        <f t="shared" ref="CQ292:CQ300" si="1478">CP292-$L292</f>
        <v>1177121.1800000018</v>
      </c>
      <c r="CR292" s="7">
        <f t="shared" ref="CR292:CR300" si="1479">CQ292-$L292</f>
        <v>1169376.9600000018</v>
      </c>
      <c r="CS292" s="7">
        <f t="shared" ref="CS292:CS300" si="1480">CR292-$L292</f>
        <v>1161632.7400000019</v>
      </c>
      <c r="CT292" s="7">
        <f t="shared" ref="CT292:CT300" si="1481">CS292-$L292</f>
        <v>1153888.5200000019</v>
      </c>
      <c r="CU292" s="7">
        <f t="shared" ref="CU292:CU300" si="1482">CT292-$L292</f>
        <v>1146144.3000000019</v>
      </c>
      <c r="CV292" s="7">
        <f t="shared" ref="CV292:CV300" si="1483">CU292-$L292</f>
        <v>1138400.0800000019</v>
      </c>
      <c r="CW292" s="7">
        <f t="shared" ref="CW292:CW300" si="1484">CV292-$L292</f>
        <v>1130655.860000002</v>
      </c>
      <c r="CX292" s="7">
        <f t="shared" ref="CX292:CX300" si="1485">CW292-$L292</f>
        <v>1122911.640000002</v>
      </c>
      <c r="CY292" s="7">
        <f t="shared" ref="CY292:CY300" si="1486">CX292-$L292</f>
        <v>1115167.420000002</v>
      </c>
      <c r="CZ292" s="236">
        <v>0</v>
      </c>
    </row>
    <row r="293" spans="1:104" ht="22.5" x14ac:dyDescent="0.2">
      <c r="A293" s="6" t="str">
        <f>'[1]2021 УГРЦТ'!A296</f>
        <v>Лабораторно-диагностический корпус для ГУЗ "Ненецкая окружная больница". Трансформаторная подстанция</v>
      </c>
      <c r="B293" t="str">
        <f>'[1]2021 УГРЦТ'!B296</f>
        <v>000001713</v>
      </c>
      <c r="C293" t="str">
        <f>'[1]2021 УГРЦТ'!C296</f>
        <v>ПЕРЕДАЧА</v>
      </c>
      <c r="D293" t="str">
        <f>'[1]2021 УГРЦТ'!D296</f>
        <v>Сооружения</v>
      </c>
      <c r="E293" t="str">
        <f>'[1]2021 УГРЦТ'!E296</f>
        <v>05.09.2017</v>
      </c>
      <c r="F293" t="str">
        <f>'[1]2021 УГРЦТ'!F296</f>
        <v>Цех электрических сетей</v>
      </c>
      <c r="G293">
        <f>'[1]2021 УГРЦТ'!AC296</f>
        <v>360</v>
      </c>
      <c r="H293" s="7">
        <f>'[1]2021 УГРЦТ'!X296</f>
        <v>3378256.22</v>
      </c>
      <c r="I293" s="7">
        <f>'[1]2021 УГРЦТ'!Y296</f>
        <v>478586.49066666671</v>
      </c>
      <c r="J293" s="7">
        <f>'[1]2021 УГРЦТ'!Z296</f>
        <v>2899669.7293333337</v>
      </c>
      <c r="K293" s="8">
        <v>1</v>
      </c>
      <c r="L293" s="7">
        <v>9384.0500000000011</v>
      </c>
      <c r="M293" s="7"/>
      <c r="N293" s="7">
        <f t="shared" si="1341"/>
        <v>112608.6</v>
      </c>
      <c r="O293" s="7">
        <f t="shared" si="1433"/>
        <v>2890285.6793333339</v>
      </c>
      <c r="P293" s="7">
        <f t="shared" si="1441"/>
        <v>2880901.629333334</v>
      </c>
      <c r="Q293" s="7">
        <f t="shared" si="1441"/>
        <v>2871517.5793333342</v>
      </c>
      <c r="R293" s="7">
        <f t="shared" si="1441"/>
        <v>2862133.5293333344</v>
      </c>
      <c r="S293" s="7">
        <f t="shared" si="1441"/>
        <v>2852749.4793333346</v>
      </c>
      <c r="T293" s="7">
        <f t="shared" si="1441"/>
        <v>2843365.4293333348</v>
      </c>
      <c r="U293" s="7">
        <f t="shared" si="1441"/>
        <v>2833981.379333335</v>
      </c>
      <c r="V293" s="7">
        <f t="shared" si="1441"/>
        <v>2824597.3293333352</v>
      </c>
      <c r="W293" s="7">
        <f t="shared" si="1441"/>
        <v>2815213.2793333353</v>
      </c>
      <c r="X293" s="7">
        <f t="shared" si="1441"/>
        <v>2805829.2293333355</v>
      </c>
      <c r="Y293" s="7">
        <f t="shared" si="1441"/>
        <v>2796445.1793333357</v>
      </c>
      <c r="Z293" s="7">
        <f t="shared" si="1441"/>
        <v>2787061.1293333359</v>
      </c>
      <c r="AA293" s="7">
        <f t="shared" ref="AA293:AA308" si="1487">SUM(O293:Z293,J293)/13*$AA$1</f>
        <v>62554.03944533335</v>
      </c>
      <c r="AB293" s="7"/>
      <c r="AC293" s="7">
        <f t="shared" si="1434"/>
        <v>112608.6</v>
      </c>
      <c r="AD293" s="7">
        <f t="shared" si="1435"/>
        <v>2777677.0793333361</v>
      </c>
      <c r="AE293" s="7">
        <f t="shared" si="1442"/>
        <v>2768293.0293333363</v>
      </c>
      <c r="AF293" s="7">
        <f t="shared" si="1442"/>
        <v>2758908.9793333365</v>
      </c>
      <c r="AG293" s="7">
        <f t="shared" si="1442"/>
        <v>2749524.9293333367</v>
      </c>
      <c r="AH293" s="7">
        <f t="shared" si="1442"/>
        <v>2740140.8793333368</v>
      </c>
      <c r="AI293" s="7">
        <f t="shared" si="1442"/>
        <v>2730756.829333337</v>
      </c>
      <c r="AJ293" s="7">
        <f t="shared" si="1442"/>
        <v>2721372.7793333372</v>
      </c>
      <c r="AK293" s="7">
        <f t="shared" si="1442"/>
        <v>2711988.7293333374</v>
      </c>
      <c r="AL293" s="7">
        <f t="shared" si="1442"/>
        <v>2702604.6793333376</v>
      </c>
      <c r="AM293" s="7">
        <f t="shared" si="1442"/>
        <v>2693220.6293333378</v>
      </c>
      <c r="AN293" s="7">
        <f t="shared" si="1442"/>
        <v>2683836.579333338</v>
      </c>
      <c r="AO293" s="7">
        <f t="shared" si="1442"/>
        <v>2674452.5293333381</v>
      </c>
      <c r="AP293" s="222">
        <f t="shared" ref="AP293:AP300" si="1488">IF(K293&lt;1,0,SUM(AD293:AO293,Z293)/13*$BG$1)</f>
        <v>60076.650245333411</v>
      </c>
      <c r="AQ293" s="7">
        <v>9384.0500000000011</v>
      </c>
      <c r="AR293" s="7">
        <f t="shared" si="1436"/>
        <v>9384.0499999998137</v>
      </c>
      <c r="AS293" s="7">
        <f t="shared" si="1437"/>
        <v>-1.8735590856522322E-10</v>
      </c>
      <c r="AT293" s="7">
        <f t="shared" si="1445"/>
        <v>112608.6</v>
      </c>
      <c r="AU293" s="7">
        <f t="shared" si="1446"/>
        <v>2665068.4793333383</v>
      </c>
      <c r="AV293" s="7">
        <f t="shared" si="1447"/>
        <v>2655684.4293333385</v>
      </c>
      <c r="AW293" s="7">
        <f t="shared" si="1447"/>
        <v>2646300.3793333387</v>
      </c>
      <c r="AX293" s="7">
        <f t="shared" si="1447"/>
        <v>2636916.3293333389</v>
      </c>
      <c r="AY293" s="7">
        <f t="shared" si="1447"/>
        <v>2627532.2793333391</v>
      </c>
      <c r="AZ293" s="7">
        <f t="shared" si="1447"/>
        <v>2618148.2293333393</v>
      </c>
      <c r="BA293" s="7">
        <f t="shared" si="1447"/>
        <v>2608764.1793333394</v>
      </c>
      <c r="BB293" s="7">
        <f t="shared" si="1447"/>
        <v>2599380.1293333396</v>
      </c>
      <c r="BC293" s="7">
        <f t="shared" si="1447"/>
        <v>2589996.0793333398</v>
      </c>
      <c r="BD293" s="7">
        <f t="shared" si="1447"/>
        <v>2580612.02933334</v>
      </c>
      <c r="BE293" s="7">
        <f t="shared" si="1447"/>
        <v>2571227.9793333402</v>
      </c>
      <c r="BF293" s="7">
        <f t="shared" si="1447"/>
        <v>2561843.9293333404</v>
      </c>
      <c r="BG293" s="236">
        <f t="shared" si="1419"/>
        <v>57599.261045333449</v>
      </c>
      <c r="BH293" s="7">
        <v>9384.0500000000011</v>
      </c>
      <c r="BI293" s="39">
        <f t="shared" si="1448"/>
        <v>112608.6</v>
      </c>
      <c r="BJ293" s="7">
        <f t="shared" si="1449"/>
        <v>2552459.8793333406</v>
      </c>
      <c r="BK293" s="7">
        <f t="shared" si="1450"/>
        <v>2543075.8293333407</v>
      </c>
      <c r="BL293" s="7">
        <f t="shared" si="1451"/>
        <v>2533691.7793333409</v>
      </c>
      <c r="BM293" s="7">
        <f t="shared" si="1452"/>
        <v>2524307.7293333411</v>
      </c>
      <c r="BN293" s="7">
        <f t="shared" si="1453"/>
        <v>2514923.6793333413</v>
      </c>
      <c r="BO293" s="7">
        <f t="shared" si="1454"/>
        <v>2505539.6293333415</v>
      </c>
      <c r="BP293" s="7">
        <f t="shared" si="1455"/>
        <v>2496155.5793333417</v>
      </c>
      <c r="BQ293" s="7">
        <f t="shared" si="1456"/>
        <v>2486771.5293333419</v>
      </c>
      <c r="BR293" s="7">
        <f t="shared" si="1457"/>
        <v>2477387.4793333421</v>
      </c>
      <c r="BS293" s="7">
        <f t="shared" si="1458"/>
        <v>2468003.4293333422</v>
      </c>
      <c r="BT293" s="7">
        <f t="shared" si="1459"/>
        <v>2458619.3793333424</v>
      </c>
      <c r="BU293" s="7">
        <f t="shared" si="1460"/>
        <v>2449235.3293333426</v>
      </c>
      <c r="BV293" s="236">
        <f t="shared" ref="BV293:BV308" si="1489">IF(Z293&lt;1,0,SUM(BJ293:BU293,BF293)/13*$BG$1)</f>
        <v>55121.87184533351</v>
      </c>
      <c r="BW293" s="7">
        <v>9384.0500000000011</v>
      </c>
      <c r="BX293" s="39">
        <f t="shared" si="1461"/>
        <v>112608.6</v>
      </c>
      <c r="BY293" s="7">
        <f t="shared" si="1462"/>
        <v>2439851.2793333428</v>
      </c>
      <c r="BZ293" s="7">
        <f t="shared" si="1463"/>
        <v>2430467.229333343</v>
      </c>
      <c r="CA293" s="7">
        <f t="shared" si="1464"/>
        <v>2421083.1793333432</v>
      </c>
      <c r="CB293" s="7">
        <f t="shared" si="1465"/>
        <v>2411699.1293333434</v>
      </c>
      <c r="CC293" s="7">
        <f t="shared" si="1466"/>
        <v>2402315.0793333435</v>
      </c>
      <c r="CD293" s="7">
        <f t="shared" si="1467"/>
        <v>2392931.0293333437</v>
      </c>
      <c r="CE293" s="7">
        <f t="shared" si="1468"/>
        <v>2383546.9793333439</v>
      </c>
      <c r="CF293" s="7">
        <f t="shared" si="1469"/>
        <v>2374162.9293333441</v>
      </c>
      <c r="CG293" s="7">
        <f t="shared" si="1470"/>
        <v>2364778.8793333443</v>
      </c>
      <c r="CH293" s="7">
        <f t="shared" si="1471"/>
        <v>2355394.8293333445</v>
      </c>
      <c r="CI293" s="7">
        <f t="shared" si="1472"/>
        <v>2346010.7793333447</v>
      </c>
      <c r="CJ293" s="7">
        <f t="shared" si="1473"/>
        <v>2336626.7293333448</v>
      </c>
      <c r="CK293" s="236">
        <f t="shared" ref="CK293:CK308" si="1490">IF(AO293&lt;1,0,SUM(BY293:CJ293,BU293)/13*$BG$1)</f>
        <v>52644.482645333555</v>
      </c>
      <c r="CL293" s="7">
        <v>9384.0500000000011</v>
      </c>
      <c r="CM293" s="39">
        <f t="shared" si="1474"/>
        <v>112608.6</v>
      </c>
      <c r="CN293" s="7">
        <f t="shared" si="1475"/>
        <v>2327242.679333345</v>
      </c>
      <c r="CO293" s="7">
        <f t="shared" si="1476"/>
        <v>2317858.6293333452</v>
      </c>
      <c r="CP293" s="7">
        <f t="shared" si="1477"/>
        <v>2308474.5793333454</v>
      </c>
      <c r="CQ293" s="7">
        <f t="shared" si="1478"/>
        <v>2299090.5293333456</v>
      </c>
      <c r="CR293" s="7">
        <f t="shared" si="1479"/>
        <v>2289706.4793333458</v>
      </c>
      <c r="CS293" s="7">
        <f t="shared" si="1480"/>
        <v>2280322.429333346</v>
      </c>
      <c r="CT293" s="7">
        <f t="shared" si="1481"/>
        <v>2270938.3793333462</v>
      </c>
      <c r="CU293" s="7">
        <f t="shared" si="1482"/>
        <v>2261554.3293333463</v>
      </c>
      <c r="CV293" s="7">
        <f t="shared" si="1483"/>
        <v>2252170.2793333465</v>
      </c>
      <c r="CW293" s="7">
        <f t="shared" si="1484"/>
        <v>2242786.2293333467</v>
      </c>
      <c r="CX293" s="7">
        <f t="shared" si="1485"/>
        <v>2233402.1793333469</v>
      </c>
      <c r="CY293" s="7">
        <f t="shared" si="1486"/>
        <v>2224018.1293333471</v>
      </c>
      <c r="CZ293" s="236">
        <f t="shared" ref="CZ293:CZ308" si="1491">IF(BF293&lt;1,0,SUM(CN293:CY293,CJ293)/13*$BG$1)</f>
        <v>50167.093445333609</v>
      </c>
    </row>
    <row r="294" spans="1:104" x14ac:dyDescent="0.2">
      <c r="A294" s="6" t="str">
        <f>'[1]2021 УГРЦТ'!A297</f>
        <v>Линия электропередач - 0,4 кВ. в с. Тельвиска</v>
      </c>
      <c r="B294" s="16" t="str">
        <f>'[1]2021 УГРЦТ'!B297</f>
        <v>000001842</v>
      </c>
      <c r="C294" t="str">
        <f>'[1]2021 УГРЦТ'!C297</f>
        <v>ПЕРЕДАЧА</v>
      </c>
      <c r="D294" t="str">
        <f>'[1]2021 УГРЦТ'!D297</f>
        <v>Сооружения</v>
      </c>
      <c r="E294" t="str">
        <f>'[1]2021 УГРЦТ'!E297</f>
        <v>14.04.2021</v>
      </c>
      <c r="F294" t="str">
        <f>'[1]2021 УГРЦТ'!F297</f>
        <v>Цех электрических сетей</v>
      </c>
      <c r="G294">
        <f>'[1]2021 УГРЦТ'!AC297</f>
        <v>420</v>
      </c>
      <c r="H294" s="7">
        <f>'[1]2021 УГРЦТ'!X297</f>
        <v>8912257.2300000004</v>
      </c>
      <c r="I294" s="7">
        <f>'[1]2021 УГРЦТ'!Y297</f>
        <v>169757.28057142859</v>
      </c>
      <c r="J294" s="7">
        <f>'[1]2021 УГРЦТ'!Z297</f>
        <v>8742499.9494285714</v>
      </c>
      <c r="K294" s="8">
        <v>1</v>
      </c>
      <c r="L294" s="7">
        <v>21219.66</v>
      </c>
      <c r="M294" s="7"/>
      <c r="N294" s="7">
        <f t="shared" si="1341"/>
        <v>254635.91999999998</v>
      </c>
      <c r="O294" s="7">
        <f t="shared" si="1433"/>
        <v>8721280.2894285712</v>
      </c>
      <c r="P294" s="7">
        <f t="shared" si="1441"/>
        <v>8700060.6294285711</v>
      </c>
      <c r="Q294" s="7">
        <f t="shared" si="1441"/>
        <v>8678840.9694285709</v>
      </c>
      <c r="R294" s="7">
        <f t="shared" si="1441"/>
        <v>8657621.3094285708</v>
      </c>
      <c r="S294" s="7">
        <f t="shared" si="1441"/>
        <v>8636401.6494285706</v>
      </c>
      <c r="T294" s="7">
        <f t="shared" si="1441"/>
        <v>8615181.9894285705</v>
      </c>
      <c r="U294" s="7">
        <f t="shared" si="1441"/>
        <v>8593962.3294285703</v>
      </c>
      <c r="V294" s="7">
        <f t="shared" si="1441"/>
        <v>8572742.6694285702</v>
      </c>
      <c r="W294" s="7">
        <f t="shared" si="1441"/>
        <v>8551523.00942857</v>
      </c>
      <c r="X294" s="7">
        <f t="shared" si="1441"/>
        <v>8530303.3494285699</v>
      </c>
      <c r="Y294" s="7">
        <f t="shared" si="1441"/>
        <v>8509083.6894285697</v>
      </c>
      <c r="Z294" s="7">
        <f t="shared" si="1441"/>
        <v>8487864.0294285696</v>
      </c>
      <c r="AA294" s="7">
        <f t="shared" si="1487"/>
        <v>189534.00376742854</v>
      </c>
      <c r="AB294" s="7"/>
      <c r="AC294" s="7">
        <f t="shared" si="1434"/>
        <v>254635.91999999998</v>
      </c>
      <c r="AD294" s="7">
        <f t="shared" si="1435"/>
        <v>8466644.3694285695</v>
      </c>
      <c r="AE294" s="7">
        <f t="shared" si="1442"/>
        <v>8445424.7094285693</v>
      </c>
      <c r="AF294" s="7">
        <f t="shared" si="1442"/>
        <v>8424205.0494285692</v>
      </c>
      <c r="AG294" s="7">
        <f t="shared" si="1442"/>
        <v>8402985.389428569</v>
      </c>
      <c r="AH294" s="7">
        <f t="shared" si="1442"/>
        <v>8381765.7294285689</v>
      </c>
      <c r="AI294" s="7">
        <f t="shared" si="1442"/>
        <v>8360546.0694285687</v>
      </c>
      <c r="AJ294" s="7">
        <f t="shared" si="1442"/>
        <v>8339326.4094285686</v>
      </c>
      <c r="AK294" s="7">
        <f t="shared" si="1442"/>
        <v>8318106.7494285684</v>
      </c>
      <c r="AL294" s="7">
        <f t="shared" si="1442"/>
        <v>8296887.0894285683</v>
      </c>
      <c r="AM294" s="7">
        <f t="shared" si="1442"/>
        <v>8275667.4294285681</v>
      </c>
      <c r="AN294" s="7">
        <f t="shared" si="1442"/>
        <v>8254447.769428568</v>
      </c>
      <c r="AO294" s="7">
        <f t="shared" si="1442"/>
        <v>8233228.1094285678</v>
      </c>
      <c r="AP294" s="222">
        <f t="shared" si="1488"/>
        <v>183932.0135274285</v>
      </c>
      <c r="AQ294" s="7">
        <v>21219.66</v>
      </c>
      <c r="AR294" s="7">
        <f t="shared" si="1436"/>
        <v>21219.660000000149</v>
      </c>
      <c r="AS294" s="7">
        <f t="shared" si="1437"/>
        <v>1.4915713109076023E-10</v>
      </c>
      <c r="AT294" s="7">
        <f t="shared" si="1445"/>
        <v>254635.91999999998</v>
      </c>
      <c r="AU294" s="7">
        <f t="shared" si="1446"/>
        <v>8212008.4494285677</v>
      </c>
      <c r="AV294" s="7">
        <f t="shared" si="1447"/>
        <v>8190788.7894285675</v>
      </c>
      <c r="AW294" s="7">
        <f t="shared" si="1447"/>
        <v>8169569.1294285674</v>
      </c>
      <c r="AX294" s="7">
        <f t="shared" si="1447"/>
        <v>8148349.4694285672</v>
      </c>
      <c r="AY294" s="7">
        <f t="shared" si="1447"/>
        <v>8127129.8094285671</v>
      </c>
      <c r="AZ294" s="7">
        <f t="shared" si="1447"/>
        <v>8105910.1494285669</v>
      </c>
      <c r="BA294" s="7">
        <f t="shared" si="1447"/>
        <v>8084690.4894285668</v>
      </c>
      <c r="BB294" s="7">
        <f t="shared" si="1447"/>
        <v>8063470.8294285666</v>
      </c>
      <c r="BC294" s="7">
        <f t="shared" si="1447"/>
        <v>8042251.1694285665</v>
      </c>
      <c r="BD294" s="7">
        <f t="shared" si="1447"/>
        <v>8021031.5094285663</v>
      </c>
      <c r="BE294" s="7">
        <f t="shared" si="1447"/>
        <v>7999811.8494285662</v>
      </c>
      <c r="BF294" s="7">
        <f t="shared" si="1447"/>
        <v>7978592.189428566</v>
      </c>
      <c r="BG294" s="236">
        <f t="shared" si="1419"/>
        <v>178330.02328742846</v>
      </c>
      <c r="BH294" s="7">
        <v>21219.66</v>
      </c>
      <c r="BI294" s="39">
        <f t="shared" si="1448"/>
        <v>254635.91999999998</v>
      </c>
      <c r="BJ294" s="7">
        <f t="shared" si="1449"/>
        <v>7957372.5294285659</v>
      </c>
      <c r="BK294" s="7">
        <f t="shared" si="1450"/>
        <v>7936152.8694285657</v>
      </c>
      <c r="BL294" s="7">
        <f t="shared" si="1451"/>
        <v>7914933.2094285656</v>
      </c>
      <c r="BM294" s="7">
        <f t="shared" si="1452"/>
        <v>7893713.5494285654</v>
      </c>
      <c r="BN294" s="7">
        <f t="shared" si="1453"/>
        <v>7872493.8894285653</v>
      </c>
      <c r="BO294" s="7">
        <f t="shared" si="1454"/>
        <v>7851274.2294285651</v>
      </c>
      <c r="BP294" s="7">
        <f t="shared" si="1455"/>
        <v>7830054.569428565</v>
      </c>
      <c r="BQ294" s="7">
        <f t="shared" si="1456"/>
        <v>7808834.9094285648</v>
      </c>
      <c r="BR294" s="7">
        <f t="shared" si="1457"/>
        <v>7787615.2494285647</v>
      </c>
      <c r="BS294" s="7">
        <f t="shared" si="1458"/>
        <v>7766395.5894285645</v>
      </c>
      <c r="BT294" s="7">
        <f t="shared" si="1459"/>
        <v>7745175.9294285644</v>
      </c>
      <c r="BU294" s="7">
        <f t="shared" si="1460"/>
        <v>7723956.2694285642</v>
      </c>
      <c r="BV294" s="236">
        <f t="shared" si="1489"/>
        <v>172728.03304742841</v>
      </c>
      <c r="BW294" s="7">
        <v>21219.66</v>
      </c>
      <c r="BX294" s="39">
        <f t="shared" si="1461"/>
        <v>254635.91999999998</v>
      </c>
      <c r="BY294" s="7">
        <f t="shared" si="1462"/>
        <v>7702736.6094285641</v>
      </c>
      <c r="BZ294" s="7">
        <f t="shared" si="1463"/>
        <v>7681516.9494285639</v>
      </c>
      <c r="CA294" s="7">
        <f t="shared" si="1464"/>
        <v>7660297.2894285638</v>
      </c>
      <c r="CB294" s="7">
        <f t="shared" si="1465"/>
        <v>7639077.6294285636</v>
      </c>
      <c r="CC294" s="7">
        <f t="shared" si="1466"/>
        <v>7617857.9694285635</v>
      </c>
      <c r="CD294" s="7">
        <f t="shared" si="1467"/>
        <v>7596638.3094285633</v>
      </c>
      <c r="CE294" s="7">
        <f t="shared" si="1468"/>
        <v>7575418.6494285632</v>
      </c>
      <c r="CF294" s="7">
        <f t="shared" si="1469"/>
        <v>7554198.989428563</v>
      </c>
      <c r="CG294" s="7">
        <f t="shared" si="1470"/>
        <v>7532979.3294285629</v>
      </c>
      <c r="CH294" s="7">
        <f t="shared" si="1471"/>
        <v>7511759.6694285627</v>
      </c>
      <c r="CI294" s="7">
        <f t="shared" si="1472"/>
        <v>7490540.0094285626</v>
      </c>
      <c r="CJ294" s="7">
        <f t="shared" si="1473"/>
        <v>7469320.3494285624</v>
      </c>
      <c r="CK294" s="236">
        <f t="shared" si="1490"/>
        <v>167126.04280742837</v>
      </c>
      <c r="CL294" s="7">
        <v>21219.66</v>
      </c>
      <c r="CM294" s="39">
        <f t="shared" si="1474"/>
        <v>254635.91999999998</v>
      </c>
      <c r="CN294" s="7">
        <f t="shared" si="1475"/>
        <v>7448100.6894285623</v>
      </c>
      <c r="CO294" s="7">
        <f t="shared" si="1476"/>
        <v>7426881.0294285621</v>
      </c>
      <c r="CP294" s="7">
        <f t="shared" si="1477"/>
        <v>7405661.369428562</v>
      </c>
      <c r="CQ294" s="7">
        <f t="shared" si="1478"/>
        <v>7384441.7094285619</v>
      </c>
      <c r="CR294" s="7">
        <f t="shared" si="1479"/>
        <v>7363222.0494285617</v>
      </c>
      <c r="CS294" s="7">
        <f t="shared" si="1480"/>
        <v>7342002.3894285616</v>
      </c>
      <c r="CT294" s="7">
        <f t="shared" si="1481"/>
        <v>7320782.7294285614</v>
      </c>
      <c r="CU294" s="7">
        <f t="shared" si="1482"/>
        <v>7299563.0694285613</v>
      </c>
      <c r="CV294" s="7">
        <f t="shared" si="1483"/>
        <v>7278343.4094285611</v>
      </c>
      <c r="CW294" s="7">
        <f t="shared" si="1484"/>
        <v>7257123.749428561</v>
      </c>
      <c r="CX294" s="7">
        <f t="shared" si="1485"/>
        <v>7235904.0894285608</v>
      </c>
      <c r="CY294" s="7">
        <f t="shared" si="1486"/>
        <v>7214684.4294285607</v>
      </c>
      <c r="CZ294" s="236">
        <f t="shared" si="1491"/>
        <v>161524.05256742836</v>
      </c>
    </row>
    <row r="295" spans="1:104" x14ac:dyDescent="0.2">
      <c r="A295" s="6" t="str">
        <f>'[1]2021 УГРЦТ'!A298</f>
        <v>Линия электропередач - 0,4 кВ. в с. Тельвиска</v>
      </c>
      <c r="B295" s="16" t="str">
        <f>'[1]2021 УГРЦТ'!B298</f>
        <v>000001845</v>
      </c>
      <c r="C295" t="str">
        <f>'[1]2021 УГРЦТ'!C298</f>
        <v>ПЕРЕДАЧА</v>
      </c>
      <c r="D295" t="str">
        <f>'[1]2021 УГРЦТ'!D298</f>
        <v>Сооружения</v>
      </c>
      <c r="E295" t="str">
        <f>'[1]2021 УГРЦТ'!E298</f>
        <v>14.04.2021</v>
      </c>
      <c r="F295" t="str">
        <f>'[1]2021 УГРЦТ'!F298</f>
        <v>Цех электрических сетей</v>
      </c>
      <c r="G295">
        <f>'[1]2021 УГРЦТ'!AC298</f>
        <v>420</v>
      </c>
      <c r="H295" s="7">
        <f>'[1]2021 УГРЦТ'!X298</f>
        <v>5418041.1200000001</v>
      </c>
      <c r="I295" s="7">
        <f>'[1]2021 УГРЦТ'!Y298</f>
        <v>103200.78323809525</v>
      </c>
      <c r="J295" s="7">
        <f>'[1]2021 УГРЦТ'!Z298</f>
        <v>5314840.3367619049</v>
      </c>
      <c r="K295" s="8">
        <v>1</v>
      </c>
      <c r="L295" s="7">
        <v>12900.1</v>
      </c>
      <c r="M295" s="7"/>
      <c r="N295" s="7">
        <f t="shared" ref="N295:N358" si="1492">L295*12</f>
        <v>154801.20000000001</v>
      </c>
      <c r="O295" s="7">
        <f t="shared" si="1433"/>
        <v>5301940.2367619053</v>
      </c>
      <c r="P295" s="7">
        <f t="shared" ref="P295:Z310" si="1493">O295-$L295</f>
        <v>5289040.1367619056</v>
      </c>
      <c r="Q295" s="7">
        <f t="shared" si="1493"/>
        <v>5276140.036761906</v>
      </c>
      <c r="R295" s="7">
        <f t="shared" si="1493"/>
        <v>5263239.9367619064</v>
      </c>
      <c r="S295" s="7">
        <f t="shared" si="1493"/>
        <v>5250339.8367619067</v>
      </c>
      <c r="T295" s="7">
        <f t="shared" si="1493"/>
        <v>5237439.7367619071</v>
      </c>
      <c r="U295" s="7">
        <f t="shared" si="1493"/>
        <v>5224539.6367619075</v>
      </c>
      <c r="V295" s="7">
        <f t="shared" si="1493"/>
        <v>5211639.5367619079</v>
      </c>
      <c r="W295" s="7">
        <f t="shared" si="1493"/>
        <v>5198739.4367619082</v>
      </c>
      <c r="X295" s="7">
        <f t="shared" si="1493"/>
        <v>5185839.3367619086</v>
      </c>
      <c r="Y295" s="7">
        <f t="shared" si="1493"/>
        <v>5172939.236761909</v>
      </c>
      <c r="Z295" s="7">
        <f t="shared" si="1493"/>
        <v>5160039.1367619094</v>
      </c>
      <c r="AA295" s="7">
        <f t="shared" si="1487"/>
        <v>115223.67420876195</v>
      </c>
      <c r="AB295" s="7"/>
      <c r="AC295" s="7">
        <f t="shared" si="1434"/>
        <v>154801.20000000001</v>
      </c>
      <c r="AD295" s="7">
        <f t="shared" si="1435"/>
        <v>5147139.0367619097</v>
      </c>
      <c r="AE295" s="7">
        <f t="shared" si="1442"/>
        <v>5134238.9367619101</v>
      </c>
      <c r="AF295" s="7">
        <f t="shared" si="1442"/>
        <v>5121338.8367619105</v>
      </c>
      <c r="AG295" s="7">
        <f t="shared" si="1442"/>
        <v>5108438.7367619108</v>
      </c>
      <c r="AH295" s="7">
        <f t="shared" si="1442"/>
        <v>5095538.6367619112</v>
      </c>
      <c r="AI295" s="7">
        <f t="shared" si="1442"/>
        <v>5082638.5367619116</v>
      </c>
      <c r="AJ295" s="7">
        <f t="shared" si="1442"/>
        <v>5069738.436761912</v>
      </c>
      <c r="AK295" s="7">
        <f t="shared" si="1442"/>
        <v>5056838.3367619123</v>
      </c>
      <c r="AL295" s="7">
        <f t="shared" si="1442"/>
        <v>5043938.2367619127</v>
      </c>
      <c r="AM295" s="7">
        <f t="shared" si="1442"/>
        <v>5031038.1367619131</v>
      </c>
      <c r="AN295" s="7">
        <f t="shared" si="1442"/>
        <v>5018138.0367619134</v>
      </c>
      <c r="AO295" s="7">
        <f t="shared" si="1442"/>
        <v>5005237.9367619138</v>
      </c>
      <c r="AP295" s="222">
        <f t="shared" si="1488"/>
        <v>111818.04780876204</v>
      </c>
      <c r="AQ295" s="7">
        <v>12900.1</v>
      </c>
      <c r="AR295" s="7">
        <f t="shared" si="1436"/>
        <v>12900.099999999627</v>
      </c>
      <c r="AS295" s="7">
        <f t="shared" si="1437"/>
        <v>-3.7289282772690058E-10</v>
      </c>
      <c r="AT295" s="7">
        <f t="shared" si="1445"/>
        <v>154801.20000000001</v>
      </c>
      <c r="AU295" s="7">
        <f t="shared" si="1446"/>
        <v>4992337.8367619142</v>
      </c>
      <c r="AV295" s="7">
        <f t="shared" si="1447"/>
        <v>4979437.7367619146</v>
      </c>
      <c r="AW295" s="7">
        <f t="shared" si="1447"/>
        <v>4966537.6367619149</v>
      </c>
      <c r="AX295" s="7">
        <f t="shared" si="1447"/>
        <v>4953637.5367619153</v>
      </c>
      <c r="AY295" s="7">
        <f t="shared" si="1447"/>
        <v>4940737.4367619157</v>
      </c>
      <c r="AZ295" s="7">
        <f t="shared" si="1447"/>
        <v>4927837.3367619161</v>
      </c>
      <c r="BA295" s="7">
        <f t="shared" si="1447"/>
        <v>4914937.2367619164</v>
      </c>
      <c r="BB295" s="7">
        <f t="shared" si="1447"/>
        <v>4902037.1367619168</v>
      </c>
      <c r="BC295" s="7">
        <f t="shared" si="1447"/>
        <v>4889137.0367619172</v>
      </c>
      <c r="BD295" s="7">
        <f t="shared" si="1447"/>
        <v>4876236.9367619175</v>
      </c>
      <c r="BE295" s="7">
        <f t="shared" si="1447"/>
        <v>4863336.8367619179</v>
      </c>
      <c r="BF295" s="7">
        <f t="shared" si="1447"/>
        <v>4850436.7367619183</v>
      </c>
      <c r="BG295" s="236">
        <f t="shared" si="1419"/>
        <v>108412.42140876215</v>
      </c>
      <c r="BH295" s="7">
        <v>12900.1</v>
      </c>
      <c r="BI295" s="39">
        <f t="shared" si="1448"/>
        <v>154801.20000000001</v>
      </c>
      <c r="BJ295" s="7">
        <f t="shared" si="1449"/>
        <v>4837536.6367619187</v>
      </c>
      <c r="BK295" s="7">
        <f t="shared" si="1450"/>
        <v>4824636.536761919</v>
      </c>
      <c r="BL295" s="7">
        <f t="shared" si="1451"/>
        <v>4811736.4367619194</v>
      </c>
      <c r="BM295" s="7">
        <f t="shared" si="1452"/>
        <v>4798836.3367619198</v>
      </c>
      <c r="BN295" s="7">
        <f t="shared" si="1453"/>
        <v>4785936.2367619202</v>
      </c>
      <c r="BO295" s="7">
        <f t="shared" si="1454"/>
        <v>4773036.1367619205</v>
      </c>
      <c r="BP295" s="7">
        <f t="shared" si="1455"/>
        <v>4760136.0367619209</v>
      </c>
      <c r="BQ295" s="7">
        <f t="shared" si="1456"/>
        <v>4747235.9367619213</v>
      </c>
      <c r="BR295" s="7">
        <f t="shared" si="1457"/>
        <v>4734335.8367619216</v>
      </c>
      <c r="BS295" s="7">
        <f t="shared" si="1458"/>
        <v>4721435.736761922</v>
      </c>
      <c r="BT295" s="7">
        <f t="shared" si="1459"/>
        <v>4708535.6367619224</v>
      </c>
      <c r="BU295" s="7">
        <f t="shared" si="1460"/>
        <v>4695635.5367619228</v>
      </c>
      <c r="BV295" s="236">
        <f t="shared" si="1489"/>
        <v>105006.79500876224</v>
      </c>
      <c r="BW295" s="7">
        <v>12900.1</v>
      </c>
      <c r="BX295" s="39">
        <f t="shared" si="1461"/>
        <v>154801.20000000001</v>
      </c>
      <c r="BY295" s="7">
        <f t="shared" si="1462"/>
        <v>4682735.4367619231</v>
      </c>
      <c r="BZ295" s="7">
        <f t="shared" si="1463"/>
        <v>4669835.3367619235</v>
      </c>
      <c r="CA295" s="7">
        <f t="shared" si="1464"/>
        <v>4656935.2367619239</v>
      </c>
      <c r="CB295" s="7">
        <f t="shared" si="1465"/>
        <v>4644035.1367619243</v>
      </c>
      <c r="CC295" s="7">
        <f t="shared" si="1466"/>
        <v>4631135.0367619246</v>
      </c>
      <c r="CD295" s="7">
        <f t="shared" si="1467"/>
        <v>4618234.936761925</v>
      </c>
      <c r="CE295" s="7">
        <f t="shared" si="1468"/>
        <v>4605334.8367619254</v>
      </c>
      <c r="CF295" s="7">
        <f t="shared" si="1469"/>
        <v>4592434.7367619257</v>
      </c>
      <c r="CG295" s="7">
        <f t="shared" si="1470"/>
        <v>4579534.6367619261</v>
      </c>
      <c r="CH295" s="7">
        <f t="shared" si="1471"/>
        <v>4566634.5367619265</v>
      </c>
      <c r="CI295" s="7">
        <f t="shared" si="1472"/>
        <v>4553734.4367619269</v>
      </c>
      <c r="CJ295" s="7">
        <f t="shared" si="1473"/>
        <v>4540834.3367619272</v>
      </c>
      <c r="CK295" s="236">
        <f t="shared" si="1490"/>
        <v>101601.16860876234</v>
      </c>
      <c r="CL295" s="7">
        <v>12900.1</v>
      </c>
      <c r="CM295" s="39">
        <f t="shared" si="1474"/>
        <v>154801.20000000001</v>
      </c>
      <c r="CN295" s="7">
        <f t="shared" si="1475"/>
        <v>4527934.2367619276</v>
      </c>
      <c r="CO295" s="7">
        <f t="shared" si="1476"/>
        <v>4515034.136761928</v>
      </c>
      <c r="CP295" s="7">
        <f t="shared" si="1477"/>
        <v>4502134.0367619283</v>
      </c>
      <c r="CQ295" s="7">
        <f t="shared" si="1478"/>
        <v>4489233.9367619287</v>
      </c>
      <c r="CR295" s="7">
        <f t="shared" si="1479"/>
        <v>4476333.8367619291</v>
      </c>
      <c r="CS295" s="7">
        <f t="shared" si="1480"/>
        <v>4463433.7367619295</v>
      </c>
      <c r="CT295" s="7">
        <f t="shared" si="1481"/>
        <v>4450533.6367619298</v>
      </c>
      <c r="CU295" s="7">
        <f t="shared" si="1482"/>
        <v>4437633.5367619302</v>
      </c>
      <c r="CV295" s="7">
        <f t="shared" si="1483"/>
        <v>4424733.4367619306</v>
      </c>
      <c r="CW295" s="7">
        <f t="shared" si="1484"/>
        <v>4411833.336761931</v>
      </c>
      <c r="CX295" s="7">
        <f t="shared" si="1485"/>
        <v>4398933.2367619313</v>
      </c>
      <c r="CY295" s="7">
        <f t="shared" si="1486"/>
        <v>4386033.1367619317</v>
      </c>
      <c r="CZ295" s="236">
        <f t="shared" si="1491"/>
        <v>98195.542208762447</v>
      </c>
    </row>
    <row r="296" spans="1:104" x14ac:dyDescent="0.2">
      <c r="A296" s="6" t="str">
        <f>'[1]2021 УГРЦТ'!A299</f>
        <v>Линия электропередач 20 кВ "г.Нарьян-Мар-Красное"</v>
      </c>
      <c r="B296" t="str">
        <f>'[1]2021 УГРЦТ'!B299</f>
        <v>000001570</v>
      </c>
      <c r="C296" t="str">
        <f>'[1]2021 УГРЦТ'!C299</f>
        <v>ПЕРЕДАЧА</v>
      </c>
      <c r="D296" t="str">
        <f>'[1]2021 УГРЦТ'!D299</f>
        <v>Сооружения</v>
      </c>
      <c r="E296" t="str">
        <f>'[1]2021 УГРЦТ'!E299</f>
        <v>31.12.2013</v>
      </c>
      <c r="F296" t="str">
        <f>'[1]2021 УГРЦТ'!F299</f>
        <v>Цех электрических сетей</v>
      </c>
      <c r="G296">
        <f>'[1]2021 УГРЦТ'!AC299</f>
        <v>300</v>
      </c>
      <c r="H296" s="7">
        <f>'[1]2021 УГРЦТ'!X299</f>
        <v>118705028.09999999</v>
      </c>
      <c r="I296" s="7">
        <f>'[1]2021 УГРЦТ'!Y299</f>
        <v>37928348.519999996</v>
      </c>
      <c r="J296" s="7">
        <f>'[1]2021 УГРЦТ'!Z299</f>
        <v>80776679.579999998</v>
      </c>
      <c r="K296" s="8">
        <v>1</v>
      </c>
      <c r="L296" s="7">
        <v>395964.10999999993</v>
      </c>
      <c r="M296" s="7"/>
      <c r="N296" s="7">
        <f t="shared" si="1492"/>
        <v>4751569.3199999994</v>
      </c>
      <c r="O296" s="7">
        <f t="shared" si="1433"/>
        <v>80380715.469999999</v>
      </c>
      <c r="P296" s="7">
        <f t="shared" si="1493"/>
        <v>79984751.359999999</v>
      </c>
      <c r="Q296" s="7">
        <f t="shared" si="1493"/>
        <v>79588787.25</v>
      </c>
      <c r="R296" s="7">
        <f t="shared" si="1493"/>
        <v>79192823.140000001</v>
      </c>
      <c r="S296" s="7">
        <f t="shared" si="1493"/>
        <v>78796859.030000001</v>
      </c>
      <c r="T296" s="7">
        <f t="shared" si="1493"/>
        <v>78400894.920000002</v>
      </c>
      <c r="U296" s="7">
        <f t="shared" si="1493"/>
        <v>78004930.810000002</v>
      </c>
      <c r="V296" s="7">
        <f t="shared" si="1493"/>
        <v>77608966.700000003</v>
      </c>
      <c r="W296" s="7">
        <f t="shared" si="1493"/>
        <v>77213002.590000004</v>
      </c>
      <c r="X296" s="7">
        <f t="shared" si="1493"/>
        <v>76817038.480000004</v>
      </c>
      <c r="Y296" s="7">
        <f t="shared" si="1493"/>
        <v>76421074.370000005</v>
      </c>
      <c r="Z296" s="7">
        <f t="shared" si="1493"/>
        <v>76025110.260000005</v>
      </c>
      <c r="AA296" s="7">
        <f t="shared" si="1487"/>
        <v>1724819.6882400003</v>
      </c>
      <c r="AB296" s="7"/>
      <c r="AC296" s="7">
        <f t="shared" si="1434"/>
        <v>4751569.3199999994</v>
      </c>
      <c r="AD296" s="7">
        <f t="shared" si="1435"/>
        <v>75629146.150000006</v>
      </c>
      <c r="AE296" s="7">
        <f t="shared" ref="AE296:AO300" si="1494">AD296-$L296</f>
        <v>75233182.040000007</v>
      </c>
      <c r="AF296" s="7">
        <f t="shared" si="1494"/>
        <v>74837217.930000007</v>
      </c>
      <c r="AG296" s="7">
        <f t="shared" si="1494"/>
        <v>74441253.820000008</v>
      </c>
      <c r="AH296" s="7">
        <f t="shared" si="1494"/>
        <v>74045289.710000008</v>
      </c>
      <c r="AI296" s="7">
        <f t="shared" si="1494"/>
        <v>73649325.600000009</v>
      </c>
      <c r="AJ296" s="7">
        <f t="shared" si="1494"/>
        <v>73253361.49000001</v>
      </c>
      <c r="AK296" s="7">
        <f t="shared" si="1494"/>
        <v>72857397.38000001</v>
      </c>
      <c r="AL296" s="7">
        <f t="shared" si="1494"/>
        <v>72461433.270000011</v>
      </c>
      <c r="AM296" s="7">
        <f t="shared" si="1494"/>
        <v>72065469.160000011</v>
      </c>
      <c r="AN296" s="7">
        <f t="shared" si="1494"/>
        <v>71669505.050000012</v>
      </c>
      <c r="AO296" s="7">
        <f t="shared" si="1494"/>
        <v>71273540.940000013</v>
      </c>
      <c r="AP296" s="222">
        <f t="shared" si="1488"/>
        <v>1620285.1631999998</v>
      </c>
      <c r="AQ296" s="7">
        <v>395964.10999999993</v>
      </c>
      <c r="AR296" s="7">
        <f t="shared" si="1436"/>
        <v>395964.1099999994</v>
      </c>
      <c r="AS296" s="7">
        <f t="shared" si="1437"/>
        <v>-5.2386894822120667E-10</v>
      </c>
      <c r="AT296" s="7">
        <f t="shared" si="1445"/>
        <v>4751569.3199999994</v>
      </c>
      <c r="AU296" s="7">
        <f t="shared" si="1446"/>
        <v>70877576.830000013</v>
      </c>
      <c r="AV296" s="7">
        <f t="shared" si="1447"/>
        <v>70481612.720000014</v>
      </c>
      <c r="AW296" s="7">
        <f t="shared" si="1447"/>
        <v>70085648.610000014</v>
      </c>
      <c r="AX296" s="7">
        <f t="shared" si="1447"/>
        <v>69689684.500000015</v>
      </c>
      <c r="AY296" s="7">
        <f t="shared" si="1447"/>
        <v>69293720.390000015</v>
      </c>
      <c r="AZ296" s="7">
        <f t="shared" si="1447"/>
        <v>68897756.280000016</v>
      </c>
      <c r="BA296" s="7">
        <f t="shared" si="1447"/>
        <v>68501792.170000017</v>
      </c>
      <c r="BB296" s="7">
        <f t="shared" si="1447"/>
        <v>68105828.060000017</v>
      </c>
      <c r="BC296" s="7">
        <f t="shared" si="1447"/>
        <v>67709863.950000018</v>
      </c>
      <c r="BD296" s="7">
        <f t="shared" si="1447"/>
        <v>67313899.840000018</v>
      </c>
      <c r="BE296" s="7">
        <f t="shared" si="1447"/>
        <v>66917935.730000019</v>
      </c>
      <c r="BF296" s="7">
        <f t="shared" si="1447"/>
        <v>66521971.62000002</v>
      </c>
      <c r="BG296" s="236">
        <f t="shared" si="1419"/>
        <v>1515750.6381600006</v>
      </c>
      <c r="BH296" s="7">
        <v>395964.10999999993</v>
      </c>
      <c r="BI296" s="39">
        <f t="shared" si="1448"/>
        <v>4751569.3199999994</v>
      </c>
      <c r="BJ296" s="7">
        <f t="shared" si="1449"/>
        <v>66126007.51000002</v>
      </c>
      <c r="BK296" s="7">
        <f t="shared" si="1450"/>
        <v>65730043.400000021</v>
      </c>
      <c r="BL296" s="7">
        <f t="shared" si="1451"/>
        <v>65334079.290000021</v>
      </c>
      <c r="BM296" s="7">
        <f t="shared" si="1452"/>
        <v>64938115.180000022</v>
      </c>
      <c r="BN296" s="7">
        <f t="shared" si="1453"/>
        <v>64542151.070000023</v>
      </c>
      <c r="BO296" s="7">
        <f t="shared" si="1454"/>
        <v>64146186.960000023</v>
      </c>
      <c r="BP296" s="7">
        <f t="shared" si="1455"/>
        <v>63750222.850000024</v>
      </c>
      <c r="BQ296" s="7">
        <f t="shared" si="1456"/>
        <v>63354258.740000024</v>
      </c>
      <c r="BR296" s="7">
        <f t="shared" si="1457"/>
        <v>62958294.630000025</v>
      </c>
      <c r="BS296" s="7">
        <f t="shared" si="1458"/>
        <v>62562330.520000026</v>
      </c>
      <c r="BT296" s="7">
        <f t="shared" si="1459"/>
        <v>62166366.410000026</v>
      </c>
      <c r="BU296" s="7">
        <f t="shared" si="1460"/>
        <v>61770402.300000027</v>
      </c>
      <c r="BV296" s="236">
        <f t="shared" si="1489"/>
        <v>1411216.1131200003</v>
      </c>
      <c r="BW296" s="7">
        <v>395964.10999999993</v>
      </c>
      <c r="BX296" s="39">
        <f t="shared" si="1461"/>
        <v>4751569.3199999994</v>
      </c>
      <c r="BY296" s="7">
        <f t="shared" si="1462"/>
        <v>61374438.190000027</v>
      </c>
      <c r="BZ296" s="7">
        <f t="shared" si="1463"/>
        <v>60978474.080000028</v>
      </c>
      <c r="CA296" s="7">
        <f t="shared" si="1464"/>
        <v>60582509.970000029</v>
      </c>
      <c r="CB296" s="7">
        <f t="shared" si="1465"/>
        <v>60186545.860000029</v>
      </c>
      <c r="CC296" s="7">
        <f t="shared" si="1466"/>
        <v>59790581.75000003</v>
      </c>
      <c r="CD296" s="7">
        <f t="shared" si="1467"/>
        <v>59394617.64000003</v>
      </c>
      <c r="CE296" s="7">
        <f t="shared" si="1468"/>
        <v>58998653.530000031</v>
      </c>
      <c r="CF296" s="7">
        <f t="shared" si="1469"/>
        <v>58602689.420000032</v>
      </c>
      <c r="CG296" s="7">
        <f t="shared" si="1470"/>
        <v>58206725.310000032</v>
      </c>
      <c r="CH296" s="7">
        <f t="shared" si="1471"/>
        <v>57810761.200000033</v>
      </c>
      <c r="CI296" s="7">
        <f t="shared" si="1472"/>
        <v>57414797.090000033</v>
      </c>
      <c r="CJ296" s="7">
        <f t="shared" si="1473"/>
        <v>57018832.980000034</v>
      </c>
      <c r="CK296" s="236">
        <f t="shared" si="1490"/>
        <v>1306681.5880800006</v>
      </c>
      <c r="CL296" s="7">
        <v>395964.10999999993</v>
      </c>
      <c r="CM296" s="39">
        <f t="shared" si="1474"/>
        <v>4751569.3199999994</v>
      </c>
      <c r="CN296" s="7">
        <f t="shared" si="1475"/>
        <v>56622868.870000035</v>
      </c>
      <c r="CO296" s="7">
        <f t="shared" si="1476"/>
        <v>56226904.760000035</v>
      </c>
      <c r="CP296" s="7">
        <f t="shared" si="1477"/>
        <v>55830940.650000036</v>
      </c>
      <c r="CQ296" s="7">
        <f t="shared" si="1478"/>
        <v>55434976.540000036</v>
      </c>
      <c r="CR296" s="7">
        <f t="shared" si="1479"/>
        <v>55039012.430000037</v>
      </c>
      <c r="CS296" s="7">
        <f t="shared" si="1480"/>
        <v>54643048.320000038</v>
      </c>
      <c r="CT296" s="7">
        <f t="shared" si="1481"/>
        <v>54247084.210000038</v>
      </c>
      <c r="CU296" s="7">
        <f t="shared" si="1482"/>
        <v>53851120.100000039</v>
      </c>
      <c r="CV296" s="7">
        <f t="shared" si="1483"/>
        <v>53455155.990000039</v>
      </c>
      <c r="CW296" s="7">
        <f t="shared" si="1484"/>
        <v>53059191.88000004</v>
      </c>
      <c r="CX296" s="7">
        <f t="shared" si="1485"/>
        <v>52663227.770000041</v>
      </c>
      <c r="CY296" s="7">
        <f t="shared" si="1486"/>
        <v>52267263.660000041</v>
      </c>
      <c r="CZ296" s="236">
        <f t="shared" si="1491"/>
        <v>1202147.0630400004</v>
      </c>
    </row>
    <row r="297" spans="1:104" ht="22.5" x14ac:dyDescent="0.2">
      <c r="A297" s="6" t="str">
        <f>'[1]2021 УГРЦТ'!A300</f>
        <v>Линия электропередач 6 кВ "г.Нарьян-Мар - с.Тельвиска" НАО</v>
      </c>
      <c r="B297" t="str">
        <f>'[1]2021 УГРЦТ'!B300</f>
        <v>000001507</v>
      </c>
      <c r="C297" t="str">
        <f>'[1]2021 УГРЦТ'!C300</f>
        <v>ПЕРЕДАЧА</v>
      </c>
      <c r="D297" t="str">
        <f>'[1]2021 УГРЦТ'!D300</f>
        <v>Сооружения</v>
      </c>
      <c r="E297" t="str">
        <f>'[1]2021 УГРЦТ'!E300</f>
        <v>21.12.2012</v>
      </c>
      <c r="F297" t="str">
        <f>'[1]2021 УГРЦТ'!F300</f>
        <v>Цех электрических сетей</v>
      </c>
      <c r="G297">
        <f>'[1]2021 УГРЦТ'!AC300</f>
        <v>300</v>
      </c>
      <c r="H297" s="7">
        <f>'[1]2021 УГРЦТ'!X300</f>
        <v>108203150.86</v>
      </c>
      <c r="I297" s="7">
        <f>'[1]2021 УГРЦТ'!Y300</f>
        <v>38914966.764399998</v>
      </c>
      <c r="J297" s="7">
        <f>'[1]2021 УГРЦТ'!Z300</f>
        <v>69288184.095600009</v>
      </c>
      <c r="K297" s="8">
        <v>1</v>
      </c>
      <c r="L297" s="7">
        <v>360677.17</v>
      </c>
      <c r="M297" s="7"/>
      <c r="N297" s="7">
        <f t="shared" si="1492"/>
        <v>4328126.04</v>
      </c>
      <c r="O297" s="7">
        <f t="shared" si="1433"/>
        <v>68927506.925600007</v>
      </c>
      <c r="P297" s="7">
        <f t="shared" si="1493"/>
        <v>68566829.755600005</v>
      </c>
      <c r="Q297" s="7">
        <f t="shared" si="1493"/>
        <v>68206152.585600004</v>
      </c>
      <c r="R297" s="7">
        <f t="shared" si="1493"/>
        <v>67845475.415600002</v>
      </c>
      <c r="S297" s="7">
        <f t="shared" si="1493"/>
        <v>67484798.2456</v>
      </c>
      <c r="T297" s="7">
        <f t="shared" si="1493"/>
        <v>67124121.075599998</v>
      </c>
      <c r="U297" s="7">
        <f t="shared" si="1493"/>
        <v>66763443.905599996</v>
      </c>
      <c r="V297" s="7">
        <f t="shared" si="1493"/>
        <v>66402766.735599995</v>
      </c>
      <c r="W297" s="7">
        <f t="shared" si="1493"/>
        <v>66042089.565599993</v>
      </c>
      <c r="X297" s="7">
        <f t="shared" si="1493"/>
        <v>65681412.395599991</v>
      </c>
      <c r="Y297" s="7">
        <f t="shared" si="1493"/>
        <v>65320735.225599989</v>
      </c>
      <c r="Z297" s="7">
        <f t="shared" si="1493"/>
        <v>64960058.055599988</v>
      </c>
      <c r="AA297" s="7">
        <f t="shared" si="1487"/>
        <v>1476730.6636631999</v>
      </c>
      <c r="AB297" s="7"/>
      <c r="AC297" s="7">
        <f t="shared" si="1434"/>
        <v>4328126.04</v>
      </c>
      <c r="AD297" s="7">
        <f t="shared" si="1435"/>
        <v>64599380.885599986</v>
      </c>
      <c r="AE297" s="7">
        <f t="shared" si="1494"/>
        <v>64238703.715599984</v>
      </c>
      <c r="AF297" s="7">
        <f t="shared" si="1494"/>
        <v>63878026.545599982</v>
      </c>
      <c r="AG297" s="7">
        <f t="shared" si="1494"/>
        <v>63517349.37559998</v>
      </c>
      <c r="AH297" s="7">
        <f t="shared" si="1494"/>
        <v>63156672.205599979</v>
      </c>
      <c r="AI297" s="7">
        <f t="shared" si="1494"/>
        <v>62795995.035599977</v>
      </c>
      <c r="AJ297" s="7">
        <f t="shared" si="1494"/>
        <v>62435317.865599975</v>
      </c>
      <c r="AK297" s="7">
        <f t="shared" si="1494"/>
        <v>62074640.695599973</v>
      </c>
      <c r="AL297" s="7">
        <f t="shared" si="1494"/>
        <v>61713963.525599971</v>
      </c>
      <c r="AM297" s="7">
        <f t="shared" si="1494"/>
        <v>61353286.35559997</v>
      </c>
      <c r="AN297" s="7">
        <f t="shared" si="1494"/>
        <v>60992609.185599968</v>
      </c>
      <c r="AO297" s="7">
        <f t="shared" si="1494"/>
        <v>60631932.015599966</v>
      </c>
      <c r="AP297" s="222">
        <f t="shared" si="1488"/>
        <v>1381511.8907831996</v>
      </c>
      <c r="AQ297" s="7">
        <v>360677.17</v>
      </c>
      <c r="AR297" s="7">
        <f t="shared" si="1436"/>
        <v>360677.17000000179</v>
      </c>
      <c r="AS297" s="7">
        <f t="shared" si="1437"/>
        <v>1.8044374883174896E-9</v>
      </c>
      <c r="AT297" s="7">
        <f t="shared" si="1445"/>
        <v>4328126.04</v>
      </c>
      <c r="AU297" s="7">
        <f t="shared" si="1446"/>
        <v>60271254.845599964</v>
      </c>
      <c r="AV297" s="7">
        <f t="shared" si="1447"/>
        <v>59910577.675599962</v>
      </c>
      <c r="AW297" s="7">
        <f t="shared" si="1447"/>
        <v>59549900.505599961</v>
      </c>
      <c r="AX297" s="7">
        <f t="shared" si="1447"/>
        <v>59189223.335599959</v>
      </c>
      <c r="AY297" s="7">
        <f t="shared" si="1447"/>
        <v>58828546.165599957</v>
      </c>
      <c r="AZ297" s="7">
        <f t="shared" si="1447"/>
        <v>58467868.995599955</v>
      </c>
      <c r="BA297" s="7">
        <f t="shared" si="1447"/>
        <v>58107191.825599954</v>
      </c>
      <c r="BB297" s="7">
        <f t="shared" si="1447"/>
        <v>57746514.655599952</v>
      </c>
      <c r="BC297" s="7">
        <f t="shared" si="1447"/>
        <v>57385837.48559995</v>
      </c>
      <c r="BD297" s="7">
        <f t="shared" si="1447"/>
        <v>57025160.315599948</v>
      </c>
      <c r="BE297" s="7">
        <f t="shared" si="1447"/>
        <v>56664483.145599946</v>
      </c>
      <c r="BF297" s="7">
        <f t="shared" si="1447"/>
        <v>56303805.975599945</v>
      </c>
      <c r="BG297" s="236">
        <f t="shared" si="1419"/>
        <v>1286293.1179031988</v>
      </c>
      <c r="BH297" s="7">
        <v>360677.17</v>
      </c>
      <c r="BI297" s="39">
        <f t="shared" si="1448"/>
        <v>4328126.04</v>
      </c>
      <c r="BJ297" s="7">
        <f t="shared" si="1449"/>
        <v>55943128.805599943</v>
      </c>
      <c r="BK297" s="7">
        <f t="shared" si="1450"/>
        <v>55582451.635599941</v>
      </c>
      <c r="BL297" s="7">
        <f t="shared" si="1451"/>
        <v>55221774.465599939</v>
      </c>
      <c r="BM297" s="7">
        <f t="shared" si="1452"/>
        <v>54861097.295599937</v>
      </c>
      <c r="BN297" s="7">
        <f t="shared" si="1453"/>
        <v>54500420.125599936</v>
      </c>
      <c r="BO297" s="7">
        <f t="shared" si="1454"/>
        <v>54139742.955599934</v>
      </c>
      <c r="BP297" s="7">
        <f t="shared" si="1455"/>
        <v>53779065.785599932</v>
      </c>
      <c r="BQ297" s="7">
        <f t="shared" si="1456"/>
        <v>53418388.61559993</v>
      </c>
      <c r="BR297" s="7">
        <f t="shared" si="1457"/>
        <v>53057711.445599928</v>
      </c>
      <c r="BS297" s="7">
        <f t="shared" si="1458"/>
        <v>52697034.275599927</v>
      </c>
      <c r="BT297" s="7">
        <f t="shared" si="1459"/>
        <v>52336357.105599925</v>
      </c>
      <c r="BU297" s="7">
        <f t="shared" si="1460"/>
        <v>51975679.935599923</v>
      </c>
      <c r="BV297" s="236">
        <f t="shared" si="1489"/>
        <v>1191074.3450231985</v>
      </c>
      <c r="BW297" s="7">
        <v>360677.17</v>
      </c>
      <c r="BX297" s="39">
        <f t="shared" si="1461"/>
        <v>4328126.04</v>
      </c>
      <c r="BY297" s="7">
        <f t="shared" si="1462"/>
        <v>51615002.765599921</v>
      </c>
      <c r="BZ297" s="7">
        <f t="shared" si="1463"/>
        <v>51254325.59559992</v>
      </c>
      <c r="CA297" s="7">
        <f t="shared" si="1464"/>
        <v>50893648.425599918</v>
      </c>
      <c r="CB297" s="7">
        <f t="shared" si="1465"/>
        <v>50532971.255599916</v>
      </c>
      <c r="CC297" s="7">
        <f t="shared" si="1466"/>
        <v>50172294.085599914</v>
      </c>
      <c r="CD297" s="7">
        <f t="shared" si="1467"/>
        <v>49811616.915599912</v>
      </c>
      <c r="CE297" s="7">
        <f t="shared" si="1468"/>
        <v>49450939.745599911</v>
      </c>
      <c r="CF297" s="7">
        <f t="shared" si="1469"/>
        <v>49090262.575599909</v>
      </c>
      <c r="CG297" s="7">
        <f t="shared" si="1470"/>
        <v>48729585.405599907</v>
      </c>
      <c r="CH297" s="7">
        <f t="shared" si="1471"/>
        <v>48368908.235599905</v>
      </c>
      <c r="CI297" s="7">
        <f t="shared" si="1472"/>
        <v>48008231.065599903</v>
      </c>
      <c r="CJ297" s="7">
        <f t="shared" si="1473"/>
        <v>47647553.895599902</v>
      </c>
      <c r="CK297" s="236">
        <f t="shared" si="1490"/>
        <v>1095855.5721431978</v>
      </c>
      <c r="CL297" s="7">
        <v>360677.17</v>
      </c>
      <c r="CM297" s="39">
        <f t="shared" si="1474"/>
        <v>4328126.04</v>
      </c>
      <c r="CN297" s="7">
        <f t="shared" si="1475"/>
        <v>47286876.7255999</v>
      </c>
      <c r="CO297" s="7">
        <f t="shared" si="1476"/>
        <v>46926199.555599898</v>
      </c>
      <c r="CP297" s="7">
        <f t="shared" si="1477"/>
        <v>46565522.385599896</v>
      </c>
      <c r="CQ297" s="7">
        <f t="shared" si="1478"/>
        <v>46204845.215599895</v>
      </c>
      <c r="CR297" s="7">
        <f t="shared" si="1479"/>
        <v>45844168.045599893</v>
      </c>
      <c r="CS297" s="7">
        <f t="shared" si="1480"/>
        <v>45483490.875599891</v>
      </c>
      <c r="CT297" s="7">
        <f t="shared" si="1481"/>
        <v>45122813.705599889</v>
      </c>
      <c r="CU297" s="7">
        <f t="shared" si="1482"/>
        <v>44762136.535599887</v>
      </c>
      <c r="CV297" s="7">
        <f t="shared" si="1483"/>
        <v>44401459.365599886</v>
      </c>
      <c r="CW297" s="7">
        <f t="shared" si="1484"/>
        <v>44040782.195599884</v>
      </c>
      <c r="CX297" s="7">
        <f t="shared" si="1485"/>
        <v>43680105.025599882</v>
      </c>
      <c r="CY297" s="7">
        <f t="shared" si="1486"/>
        <v>43319427.85559988</v>
      </c>
      <c r="CZ297" s="236">
        <f t="shared" si="1491"/>
        <v>1000636.7992631972</v>
      </c>
    </row>
    <row r="298" spans="1:104" x14ac:dyDescent="0.2">
      <c r="A298" s="6" t="str">
        <f>'[1]2021 УГРЦТ'!A301</f>
        <v xml:space="preserve">Линия электропередач ВЛИ 0,4кВ </v>
      </c>
      <c r="B298" t="str">
        <f>'[1]2021 УГРЦТ'!B301</f>
        <v>000001887</v>
      </c>
      <c r="C298" t="str">
        <f>'[1]2021 УГРЦТ'!C301</f>
        <v>ПЕРЕДАЧА</v>
      </c>
      <c r="D298" t="str">
        <f>'[1]2021 УГРЦТ'!D301</f>
        <v>Сооружения</v>
      </c>
      <c r="E298" s="4">
        <f>'[1]2021 УГРЦТ'!E301</f>
        <v>44561</v>
      </c>
      <c r="F298" t="str">
        <f>'[1]2021 УГРЦТ'!F301</f>
        <v>Цех электрических сетей</v>
      </c>
      <c r="G298">
        <f>'[1]2021 УГРЦТ'!AC301</f>
        <v>480</v>
      </c>
      <c r="H298" s="7">
        <f>'[1]2021 УГРЦТ'!X301</f>
        <v>2771439.99</v>
      </c>
      <c r="I298" s="7" t="e">
        <f>'[1]2021 УГРЦТ'!Y301</f>
        <v>#REF!</v>
      </c>
      <c r="J298" s="7">
        <f>'[1]2021 УГРЦТ'!Z301</f>
        <v>2771439.99</v>
      </c>
      <c r="K298" s="8">
        <v>1</v>
      </c>
      <c r="L298" s="7">
        <v>5773.8333125000008</v>
      </c>
      <c r="M298" s="7"/>
      <c r="N298" s="7">
        <f t="shared" si="1492"/>
        <v>69285.999750000017</v>
      </c>
      <c r="O298" s="7">
        <f t="shared" si="1433"/>
        <v>2765666.1566875004</v>
      </c>
      <c r="P298" s="7">
        <f t="shared" si="1493"/>
        <v>2759892.3233750006</v>
      </c>
      <c r="Q298" s="7">
        <f t="shared" si="1493"/>
        <v>2754118.4900625008</v>
      </c>
      <c r="R298" s="7">
        <f t="shared" si="1493"/>
        <v>2748344.656750001</v>
      </c>
      <c r="S298" s="7">
        <f t="shared" si="1493"/>
        <v>2742570.8234375012</v>
      </c>
      <c r="T298" s="7">
        <f t="shared" si="1493"/>
        <v>2736796.9901250014</v>
      </c>
      <c r="U298" s="7">
        <f t="shared" si="1493"/>
        <v>2731023.1568125016</v>
      </c>
      <c r="V298" s="7">
        <f t="shared" si="1493"/>
        <v>2725249.3235000018</v>
      </c>
      <c r="W298" s="7">
        <f t="shared" si="1493"/>
        <v>2719475.490187502</v>
      </c>
      <c r="X298" s="7">
        <f t="shared" si="1493"/>
        <v>2713701.6568750022</v>
      </c>
      <c r="Y298" s="7">
        <f t="shared" si="1493"/>
        <v>2707927.8235625024</v>
      </c>
      <c r="Z298" s="7">
        <f t="shared" si="1493"/>
        <v>2702153.9902500026</v>
      </c>
      <c r="AA298" s="7">
        <f t="shared" si="1487"/>
        <v>60209.533782750026</v>
      </c>
      <c r="AB298" s="7"/>
      <c r="AC298" s="7">
        <f t="shared" si="1434"/>
        <v>69285.999750000017</v>
      </c>
      <c r="AD298" s="7">
        <f t="shared" si="1435"/>
        <v>2696380.1569375028</v>
      </c>
      <c r="AE298" s="7">
        <f t="shared" si="1494"/>
        <v>2690606.323625003</v>
      </c>
      <c r="AF298" s="7">
        <f t="shared" si="1494"/>
        <v>2684832.4903125032</v>
      </c>
      <c r="AG298" s="7">
        <f t="shared" si="1494"/>
        <v>2679058.6570000034</v>
      </c>
      <c r="AH298" s="7">
        <f t="shared" si="1494"/>
        <v>2673284.8236875036</v>
      </c>
      <c r="AI298" s="7">
        <f t="shared" si="1494"/>
        <v>2667510.9903750038</v>
      </c>
      <c r="AJ298" s="7">
        <f t="shared" si="1494"/>
        <v>2661737.157062504</v>
      </c>
      <c r="AK298" s="7">
        <f t="shared" si="1494"/>
        <v>2655963.3237500042</v>
      </c>
      <c r="AL298" s="7">
        <f t="shared" si="1494"/>
        <v>2650189.4904375044</v>
      </c>
      <c r="AM298" s="7">
        <f t="shared" si="1494"/>
        <v>2644415.6571250046</v>
      </c>
      <c r="AN298" s="7">
        <f t="shared" si="1494"/>
        <v>2638641.8238125048</v>
      </c>
      <c r="AO298" s="7">
        <f t="shared" si="1494"/>
        <v>2632867.990500005</v>
      </c>
      <c r="AP298" s="222">
        <f t="shared" si="1488"/>
        <v>58685.241788250089</v>
      </c>
      <c r="AQ298" s="7">
        <v>5773.8333125000008</v>
      </c>
      <c r="AR298" s="7">
        <f t="shared" si="1436"/>
        <v>5773.8333124998026</v>
      </c>
      <c r="AS298" s="7">
        <f t="shared" si="1437"/>
        <v>-1.9826984498649836E-10</v>
      </c>
      <c r="AT298" s="7">
        <f t="shared" si="1445"/>
        <v>69285.999750000017</v>
      </c>
      <c r="AU298" s="7">
        <f t="shared" si="1446"/>
        <v>2627094.1571875052</v>
      </c>
      <c r="AV298" s="7">
        <f t="shared" si="1447"/>
        <v>2621320.3238750054</v>
      </c>
      <c r="AW298" s="7">
        <f t="shared" si="1447"/>
        <v>2615546.4905625056</v>
      </c>
      <c r="AX298" s="7">
        <f t="shared" si="1447"/>
        <v>2609772.6572500058</v>
      </c>
      <c r="AY298" s="7">
        <f t="shared" si="1447"/>
        <v>2603998.8239375059</v>
      </c>
      <c r="AZ298" s="7">
        <f t="shared" si="1447"/>
        <v>2598224.9906250061</v>
      </c>
      <c r="BA298" s="7">
        <f t="shared" si="1447"/>
        <v>2592451.1573125063</v>
      </c>
      <c r="BB298" s="7">
        <f t="shared" si="1447"/>
        <v>2586677.3240000065</v>
      </c>
      <c r="BC298" s="7">
        <f t="shared" si="1447"/>
        <v>2580903.4906875067</v>
      </c>
      <c r="BD298" s="7">
        <f t="shared" si="1447"/>
        <v>2575129.6573750069</v>
      </c>
      <c r="BE298" s="7">
        <f t="shared" si="1447"/>
        <v>2569355.8240625071</v>
      </c>
      <c r="BF298" s="7">
        <f t="shared" si="1447"/>
        <v>2563581.9907500073</v>
      </c>
      <c r="BG298" s="236">
        <f t="shared" si="1419"/>
        <v>57160.949793750129</v>
      </c>
      <c r="BH298" s="7">
        <v>5773.8333125000008</v>
      </c>
      <c r="BI298" s="39">
        <f t="shared" si="1448"/>
        <v>69285.999750000017</v>
      </c>
      <c r="BJ298" s="7">
        <f t="shared" si="1449"/>
        <v>2557808.1574375075</v>
      </c>
      <c r="BK298" s="7">
        <f t="shared" si="1450"/>
        <v>2552034.3241250077</v>
      </c>
      <c r="BL298" s="7">
        <f t="shared" si="1451"/>
        <v>2546260.4908125079</v>
      </c>
      <c r="BM298" s="7">
        <f t="shared" si="1452"/>
        <v>2540486.6575000081</v>
      </c>
      <c r="BN298" s="7">
        <f t="shared" si="1453"/>
        <v>2534712.8241875083</v>
      </c>
      <c r="BO298" s="7">
        <f t="shared" si="1454"/>
        <v>2528938.9908750085</v>
      </c>
      <c r="BP298" s="7">
        <f t="shared" si="1455"/>
        <v>2523165.1575625087</v>
      </c>
      <c r="BQ298" s="7">
        <f t="shared" si="1456"/>
        <v>2517391.3242500089</v>
      </c>
      <c r="BR298" s="7">
        <f t="shared" si="1457"/>
        <v>2511617.4909375091</v>
      </c>
      <c r="BS298" s="7">
        <f t="shared" si="1458"/>
        <v>2505843.6576250093</v>
      </c>
      <c r="BT298" s="7">
        <f t="shared" si="1459"/>
        <v>2500069.8243125095</v>
      </c>
      <c r="BU298" s="7">
        <f t="shared" si="1460"/>
        <v>2494295.9910000097</v>
      </c>
      <c r="BV298" s="236">
        <f t="shared" si="1489"/>
        <v>55636.657799250184</v>
      </c>
      <c r="BW298" s="7">
        <v>5773.8333125000008</v>
      </c>
      <c r="BX298" s="39">
        <f t="shared" si="1461"/>
        <v>69285.999750000017</v>
      </c>
      <c r="BY298" s="7">
        <f t="shared" si="1462"/>
        <v>2488522.1576875099</v>
      </c>
      <c r="BZ298" s="7">
        <f t="shared" si="1463"/>
        <v>2482748.3243750101</v>
      </c>
      <c r="CA298" s="7">
        <f t="shared" si="1464"/>
        <v>2476974.4910625103</v>
      </c>
      <c r="CB298" s="7">
        <f t="shared" si="1465"/>
        <v>2471200.6577500105</v>
      </c>
      <c r="CC298" s="7">
        <f t="shared" si="1466"/>
        <v>2465426.8244375107</v>
      </c>
      <c r="CD298" s="7">
        <f t="shared" si="1467"/>
        <v>2459652.9911250109</v>
      </c>
      <c r="CE298" s="7">
        <f t="shared" si="1468"/>
        <v>2453879.1578125111</v>
      </c>
      <c r="CF298" s="7">
        <f t="shared" si="1469"/>
        <v>2448105.3245000113</v>
      </c>
      <c r="CG298" s="7">
        <f t="shared" si="1470"/>
        <v>2442331.4911875115</v>
      </c>
      <c r="CH298" s="7">
        <f t="shared" si="1471"/>
        <v>2436557.6578750117</v>
      </c>
      <c r="CI298" s="7">
        <f t="shared" si="1472"/>
        <v>2430783.8245625119</v>
      </c>
      <c r="CJ298" s="7">
        <f t="shared" si="1473"/>
        <v>2425009.9912500121</v>
      </c>
      <c r="CK298" s="236">
        <f t="shared" si="1490"/>
        <v>54112.365804750239</v>
      </c>
      <c r="CL298" s="7">
        <v>5773.8333125000008</v>
      </c>
      <c r="CM298" s="39">
        <f t="shared" si="1474"/>
        <v>69285.999750000017</v>
      </c>
      <c r="CN298" s="7">
        <f t="shared" si="1475"/>
        <v>2419236.1579375123</v>
      </c>
      <c r="CO298" s="7">
        <f t="shared" si="1476"/>
        <v>2413462.3246250125</v>
      </c>
      <c r="CP298" s="7">
        <f t="shared" si="1477"/>
        <v>2407688.4913125127</v>
      </c>
      <c r="CQ298" s="7">
        <f t="shared" si="1478"/>
        <v>2401914.6580000129</v>
      </c>
      <c r="CR298" s="7">
        <f t="shared" si="1479"/>
        <v>2396140.8246875131</v>
      </c>
      <c r="CS298" s="7">
        <f t="shared" si="1480"/>
        <v>2390366.9913750133</v>
      </c>
      <c r="CT298" s="7">
        <f t="shared" si="1481"/>
        <v>2384593.1580625135</v>
      </c>
      <c r="CU298" s="7">
        <f t="shared" si="1482"/>
        <v>2378819.3247500136</v>
      </c>
      <c r="CV298" s="7">
        <f t="shared" si="1483"/>
        <v>2373045.4914375138</v>
      </c>
      <c r="CW298" s="7">
        <f t="shared" si="1484"/>
        <v>2367271.658125014</v>
      </c>
      <c r="CX298" s="7">
        <f t="shared" si="1485"/>
        <v>2361497.8248125142</v>
      </c>
      <c r="CY298" s="7">
        <f t="shared" si="1486"/>
        <v>2355723.9915000144</v>
      </c>
      <c r="CZ298" s="236">
        <f t="shared" si="1491"/>
        <v>52588.073810250287</v>
      </c>
    </row>
    <row r="299" spans="1:104" x14ac:dyDescent="0.2">
      <c r="A299" s="6" t="str">
        <f>'[1]2021 УГРЦТ'!A302</f>
        <v xml:space="preserve">Линия электропередач КЛ 0,4 кВ </v>
      </c>
      <c r="B299" t="str">
        <f>'[1]2021 УГРЦТ'!B302</f>
        <v>000001889</v>
      </c>
      <c r="C299" t="str">
        <f>'[1]2021 УГРЦТ'!C302</f>
        <v>ПЕРЕДАЧА</v>
      </c>
      <c r="D299" t="str">
        <f>'[1]2021 УГРЦТ'!D302</f>
        <v>Сооружения</v>
      </c>
      <c r="E299" s="4">
        <f>'[1]2021 УГРЦТ'!E302</f>
        <v>44560</v>
      </c>
      <c r="F299" t="str">
        <f>'[1]2021 УГРЦТ'!F302</f>
        <v>Цех электрических сетей</v>
      </c>
      <c r="G299">
        <f>'[1]2021 УГРЦТ'!AC302</f>
        <v>300</v>
      </c>
      <c r="H299" s="7">
        <f>'[1]2021 УГРЦТ'!X302</f>
        <v>1893457.69</v>
      </c>
      <c r="I299" s="7" t="e">
        <f>'[1]2021 УГРЦТ'!Y302</f>
        <v>#REF!</v>
      </c>
      <c r="J299" s="7">
        <f>'[1]2021 УГРЦТ'!Z302</f>
        <v>1893457.69</v>
      </c>
      <c r="K299" s="8">
        <v>1</v>
      </c>
      <c r="L299" s="7">
        <v>6311.5256333333327</v>
      </c>
      <c r="M299" s="7"/>
      <c r="N299" s="7">
        <f t="shared" si="1492"/>
        <v>75738.3076</v>
      </c>
      <c r="O299" s="7">
        <f t="shared" si="1433"/>
        <v>1887146.1643666667</v>
      </c>
      <c r="P299" s="7">
        <f t="shared" si="1493"/>
        <v>1880834.6387333334</v>
      </c>
      <c r="Q299" s="7">
        <f t="shared" si="1493"/>
        <v>1874523.1131000002</v>
      </c>
      <c r="R299" s="7">
        <f t="shared" si="1493"/>
        <v>1868211.5874666669</v>
      </c>
      <c r="S299" s="7">
        <f t="shared" si="1493"/>
        <v>1861900.0618333337</v>
      </c>
      <c r="T299" s="7">
        <f t="shared" si="1493"/>
        <v>1855588.5362000004</v>
      </c>
      <c r="U299" s="7">
        <f t="shared" si="1493"/>
        <v>1849277.0105666672</v>
      </c>
      <c r="V299" s="7">
        <f t="shared" si="1493"/>
        <v>1842965.4849333339</v>
      </c>
      <c r="W299" s="7">
        <f t="shared" si="1493"/>
        <v>1836653.9593000007</v>
      </c>
      <c r="X299" s="7">
        <f t="shared" si="1493"/>
        <v>1830342.4336666674</v>
      </c>
      <c r="Y299" s="7">
        <f t="shared" si="1493"/>
        <v>1824030.9080333342</v>
      </c>
      <c r="Z299" s="7">
        <f t="shared" si="1493"/>
        <v>1817719.3824000009</v>
      </c>
      <c r="AA299" s="7">
        <f t="shared" si="1487"/>
        <v>40822.947796400011</v>
      </c>
      <c r="AB299" s="7"/>
      <c r="AC299" s="7">
        <f t="shared" si="1434"/>
        <v>75738.3076</v>
      </c>
      <c r="AD299" s="7">
        <f t="shared" si="1435"/>
        <v>1811407.8567666677</v>
      </c>
      <c r="AE299" s="7">
        <f t="shared" si="1494"/>
        <v>1805096.3311333344</v>
      </c>
      <c r="AF299" s="7">
        <f t="shared" si="1494"/>
        <v>1798784.8055000012</v>
      </c>
      <c r="AG299" s="7">
        <f t="shared" si="1494"/>
        <v>1792473.2798666679</v>
      </c>
      <c r="AH299" s="7">
        <f t="shared" si="1494"/>
        <v>1786161.7542333347</v>
      </c>
      <c r="AI299" s="7">
        <f t="shared" si="1494"/>
        <v>1779850.2286000014</v>
      </c>
      <c r="AJ299" s="7">
        <f t="shared" si="1494"/>
        <v>1773538.7029666682</v>
      </c>
      <c r="AK299" s="7">
        <f t="shared" si="1494"/>
        <v>1767227.1773333349</v>
      </c>
      <c r="AL299" s="7">
        <f t="shared" si="1494"/>
        <v>1760915.6517000017</v>
      </c>
      <c r="AM299" s="7">
        <f t="shared" si="1494"/>
        <v>1754604.1260666684</v>
      </c>
      <c r="AN299" s="7">
        <f t="shared" si="1494"/>
        <v>1748292.6004333352</v>
      </c>
      <c r="AO299" s="7">
        <f t="shared" si="1494"/>
        <v>1741981.0748000019</v>
      </c>
      <c r="AP299" s="222">
        <f t="shared" si="1488"/>
        <v>39156.705029200028</v>
      </c>
      <c r="AQ299" s="7">
        <v>6311.5256333333327</v>
      </c>
      <c r="AR299" s="7">
        <f t="shared" si="1436"/>
        <v>6311.5256333332509</v>
      </c>
      <c r="AS299" s="7">
        <f t="shared" si="1437"/>
        <v>-8.1854523159563541E-11</v>
      </c>
      <c r="AT299" s="7">
        <f t="shared" si="1445"/>
        <v>75738.3076</v>
      </c>
      <c r="AU299" s="7">
        <f t="shared" si="1446"/>
        <v>1735669.5491666687</v>
      </c>
      <c r="AV299" s="7">
        <f t="shared" si="1447"/>
        <v>1729358.0235333354</v>
      </c>
      <c r="AW299" s="7">
        <f t="shared" si="1447"/>
        <v>1723046.4979000022</v>
      </c>
      <c r="AX299" s="7">
        <f t="shared" si="1447"/>
        <v>1716734.9722666689</v>
      </c>
      <c r="AY299" s="7">
        <f t="shared" si="1447"/>
        <v>1710423.4466333357</v>
      </c>
      <c r="AZ299" s="7">
        <f t="shared" si="1447"/>
        <v>1704111.9210000024</v>
      </c>
      <c r="BA299" s="7">
        <f t="shared" si="1447"/>
        <v>1697800.3953666692</v>
      </c>
      <c r="BB299" s="7">
        <f t="shared" si="1447"/>
        <v>1691488.8697333359</v>
      </c>
      <c r="BC299" s="7">
        <f t="shared" si="1447"/>
        <v>1685177.3441000027</v>
      </c>
      <c r="BD299" s="7">
        <f t="shared" si="1447"/>
        <v>1678865.8184666694</v>
      </c>
      <c r="BE299" s="7">
        <f t="shared" si="1447"/>
        <v>1672554.2928333362</v>
      </c>
      <c r="BF299" s="7">
        <f t="shared" si="1447"/>
        <v>1666242.7672000029</v>
      </c>
      <c r="BG299" s="236">
        <f t="shared" si="1419"/>
        <v>37490.462262000052</v>
      </c>
      <c r="BH299" s="7">
        <v>6311.5256333333327</v>
      </c>
      <c r="BI299" s="39">
        <f t="shared" si="1448"/>
        <v>75738.3076</v>
      </c>
      <c r="BJ299" s="7">
        <f t="shared" si="1449"/>
        <v>1659931.2415666697</v>
      </c>
      <c r="BK299" s="7">
        <f t="shared" si="1450"/>
        <v>1653619.7159333364</v>
      </c>
      <c r="BL299" s="7">
        <f t="shared" si="1451"/>
        <v>1647308.1903000032</v>
      </c>
      <c r="BM299" s="7">
        <f t="shared" si="1452"/>
        <v>1640996.6646666699</v>
      </c>
      <c r="BN299" s="7">
        <f t="shared" si="1453"/>
        <v>1634685.1390333367</v>
      </c>
      <c r="BO299" s="7">
        <f t="shared" si="1454"/>
        <v>1628373.6134000034</v>
      </c>
      <c r="BP299" s="7">
        <f t="shared" si="1455"/>
        <v>1622062.0877666702</v>
      </c>
      <c r="BQ299" s="7">
        <f t="shared" si="1456"/>
        <v>1615750.5621333369</v>
      </c>
      <c r="BR299" s="7">
        <f t="shared" si="1457"/>
        <v>1609439.0365000037</v>
      </c>
      <c r="BS299" s="7">
        <f t="shared" si="1458"/>
        <v>1603127.5108666704</v>
      </c>
      <c r="BT299" s="7">
        <f t="shared" si="1459"/>
        <v>1596815.9852333372</v>
      </c>
      <c r="BU299" s="7">
        <f t="shared" si="1460"/>
        <v>1590504.4596000039</v>
      </c>
      <c r="BV299" s="236">
        <f t="shared" si="1489"/>
        <v>35824.219494800076</v>
      </c>
      <c r="BW299" s="7">
        <v>6311.5256333333327</v>
      </c>
      <c r="BX299" s="39">
        <f t="shared" si="1461"/>
        <v>75738.3076</v>
      </c>
      <c r="BY299" s="7">
        <f t="shared" si="1462"/>
        <v>1584192.9339666707</v>
      </c>
      <c r="BZ299" s="7">
        <f t="shared" si="1463"/>
        <v>1577881.4083333374</v>
      </c>
      <c r="CA299" s="7">
        <f t="shared" si="1464"/>
        <v>1571569.8827000041</v>
      </c>
      <c r="CB299" s="7">
        <f t="shared" si="1465"/>
        <v>1565258.3570666709</v>
      </c>
      <c r="CC299" s="7">
        <f t="shared" si="1466"/>
        <v>1558946.8314333376</v>
      </c>
      <c r="CD299" s="7">
        <f t="shared" si="1467"/>
        <v>1552635.3058000044</v>
      </c>
      <c r="CE299" s="7">
        <f t="shared" si="1468"/>
        <v>1546323.7801666711</v>
      </c>
      <c r="CF299" s="7">
        <f t="shared" si="1469"/>
        <v>1540012.2545333379</v>
      </c>
      <c r="CG299" s="7">
        <f t="shared" si="1470"/>
        <v>1533700.7289000046</v>
      </c>
      <c r="CH299" s="7">
        <f t="shared" si="1471"/>
        <v>1527389.2032666714</v>
      </c>
      <c r="CI299" s="7">
        <f t="shared" si="1472"/>
        <v>1521077.6776333381</v>
      </c>
      <c r="CJ299" s="7">
        <f t="shared" si="1473"/>
        <v>1514766.1520000049</v>
      </c>
      <c r="CK299" s="236">
        <f t="shared" si="1490"/>
        <v>34157.976727600093</v>
      </c>
      <c r="CL299" s="7">
        <v>6311.5256333333327</v>
      </c>
      <c r="CM299" s="39">
        <f t="shared" si="1474"/>
        <v>75738.3076</v>
      </c>
      <c r="CN299" s="7">
        <f t="shared" si="1475"/>
        <v>1508454.6263666716</v>
      </c>
      <c r="CO299" s="7">
        <f t="shared" si="1476"/>
        <v>1502143.1007333384</v>
      </c>
      <c r="CP299" s="7">
        <f t="shared" si="1477"/>
        <v>1495831.5751000051</v>
      </c>
      <c r="CQ299" s="7">
        <f t="shared" si="1478"/>
        <v>1489520.0494666719</v>
      </c>
      <c r="CR299" s="7">
        <f t="shared" si="1479"/>
        <v>1483208.5238333386</v>
      </c>
      <c r="CS299" s="7">
        <f t="shared" si="1480"/>
        <v>1476896.9982000054</v>
      </c>
      <c r="CT299" s="7">
        <f t="shared" si="1481"/>
        <v>1470585.4725666721</v>
      </c>
      <c r="CU299" s="7">
        <f t="shared" si="1482"/>
        <v>1464273.9469333389</v>
      </c>
      <c r="CV299" s="7">
        <f t="shared" si="1483"/>
        <v>1457962.4213000056</v>
      </c>
      <c r="CW299" s="7">
        <f t="shared" si="1484"/>
        <v>1451650.8956666724</v>
      </c>
      <c r="CX299" s="7">
        <f t="shared" si="1485"/>
        <v>1445339.3700333391</v>
      </c>
      <c r="CY299" s="7">
        <f t="shared" si="1486"/>
        <v>1439027.8444000059</v>
      </c>
      <c r="CZ299" s="236">
        <f t="shared" si="1491"/>
        <v>32491.733960400117</v>
      </c>
    </row>
    <row r="300" spans="1:104" x14ac:dyDescent="0.2">
      <c r="A300" s="6" t="str">
        <f>'[1]2021 УГРЦТ'!A303</f>
        <v>Линия электропередач КЛ 6 кВ</v>
      </c>
      <c r="B300" t="str">
        <f>'[1]2021 УГРЦТ'!B303</f>
        <v>000001888</v>
      </c>
      <c r="C300" t="str">
        <f>'[1]2021 УГРЦТ'!C303</f>
        <v>ПЕРЕДАЧА</v>
      </c>
      <c r="D300" t="str">
        <f>'[1]2021 УГРЦТ'!D303</f>
        <v>Сооружения</v>
      </c>
      <c r="E300" s="4">
        <f>'[1]2021 УГРЦТ'!E303</f>
        <v>44560</v>
      </c>
      <c r="F300" t="str">
        <f>'[1]2021 УГРЦТ'!F303</f>
        <v>Цех электрических сетей</v>
      </c>
      <c r="G300">
        <f>'[1]2021 УГРЦТ'!AC303</f>
        <v>300</v>
      </c>
      <c r="H300" s="7">
        <f>'[1]2021 УГРЦТ'!X303</f>
        <v>1308034.49</v>
      </c>
      <c r="I300" s="7" t="e">
        <f>'[1]2021 УГРЦТ'!Y303</f>
        <v>#REF!</v>
      </c>
      <c r="J300" s="7">
        <f>'[1]2021 УГРЦТ'!Z303</f>
        <v>1308034.49</v>
      </c>
      <c r="K300" s="8">
        <v>1</v>
      </c>
      <c r="L300" s="7">
        <v>4360.114966666667</v>
      </c>
      <c r="M300" s="7"/>
      <c r="N300" s="7">
        <f t="shared" si="1492"/>
        <v>52321.3796</v>
      </c>
      <c r="O300" s="7">
        <f t="shared" si="1433"/>
        <v>1303674.3750333334</v>
      </c>
      <c r="P300" s="7">
        <f t="shared" si="1493"/>
        <v>1299314.2600666669</v>
      </c>
      <c r="Q300" s="7">
        <f t="shared" si="1493"/>
        <v>1294954.1451000003</v>
      </c>
      <c r="R300" s="7">
        <f t="shared" si="1493"/>
        <v>1290594.0301333338</v>
      </c>
      <c r="S300" s="7">
        <f t="shared" si="1493"/>
        <v>1286233.9151666672</v>
      </c>
      <c r="T300" s="7">
        <f t="shared" si="1493"/>
        <v>1281873.8002000006</v>
      </c>
      <c r="U300" s="7">
        <f t="shared" si="1493"/>
        <v>1277513.6852333341</v>
      </c>
      <c r="V300" s="7">
        <f t="shared" si="1493"/>
        <v>1273153.5702666675</v>
      </c>
      <c r="W300" s="7">
        <f t="shared" si="1493"/>
        <v>1268793.455300001</v>
      </c>
      <c r="X300" s="7">
        <f t="shared" si="1493"/>
        <v>1264433.3403333344</v>
      </c>
      <c r="Y300" s="7">
        <f t="shared" si="1493"/>
        <v>1260073.2253666678</v>
      </c>
      <c r="Z300" s="7">
        <f t="shared" si="1493"/>
        <v>1255713.1104000013</v>
      </c>
      <c r="AA300" s="7">
        <f t="shared" si="1487"/>
        <v>28201.223604400013</v>
      </c>
      <c r="AB300" s="7"/>
      <c r="AC300" s="7">
        <f t="shared" si="1434"/>
        <v>52321.3796</v>
      </c>
      <c r="AD300" s="7">
        <f t="shared" si="1435"/>
        <v>1251352.9954333347</v>
      </c>
      <c r="AE300" s="7">
        <f t="shared" si="1494"/>
        <v>1246992.8804666682</v>
      </c>
      <c r="AF300" s="7">
        <f t="shared" si="1494"/>
        <v>1242632.7655000016</v>
      </c>
      <c r="AG300" s="7">
        <f t="shared" si="1494"/>
        <v>1238272.6505333351</v>
      </c>
      <c r="AH300" s="7">
        <f t="shared" si="1494"/>
        <v>1233912.5355666685</v>
      </c>
      <c r="AI300" s="7">
        <f t="shared" si="1494"/>
        <v>1229552.4206000019</v>
      </c>
      <c r="AJ300" s="7">
        <f t="shared" si="1494"/>
        <v>1225192.3056333354</v>
      </c>
      <c r="AK300" s="7">
        <f t="shared" si="1494"/>
        <v>1220832.1906666688</v>
      </c>
      <c r="AL300" s="7">
        <f t="shared" si="1494"/>
        <v>1216472.0757000023</v>
      </c>
      <c r="AM300" s="7">
        <f t="shared" si="1494"/>
        <v>1212111.9607333357</v>
      </c>
      <c r="AN300" s="7">
        <f t="shared" si="1494"/>
        <v>1207751.8457666691</v>
      </c>
      <c r="AO300" s="7">
        <f t="shared" si="1494"/>
        <v>1203391.7308000026</v>
      </c>
      <c r="AP300" s="222">
        <f t="shared" si="1488"/>
        <v>27050.153253200035</v>
      </c>
      <c r="AQ300" s="7">
        <v>4360.114966666667</v>
      </c>
      <c r="AR300" s="7">
        <f t="shared" si="1436"/>
        <v>4360.1149666665588</v>
      </c>
      <c r="AS300" s="7">
        <f t="shared" si="1437"/>
        <v>-1.0822986951097846E-10</v>
      </c>
      <c r="AT300" s="7">
        <f t="shared" si="1445"/>
        <v>52321.3796</v>
      </c>
      <c r="AU300" s="7">
        <f t="shared" si="1446"/>
        <v>1199031.615833336</v>
      </c>
      <c r="AV300" s="7">
        <f t="shared" si="1447"/>
        <v>1194671.5008666695</v>
      </c>
      <c r="AW300" s="7">
        <f t="shared" si="1447"/>
        <v>1190311.3859000029</v>
      </c>
      <c r="AX300" s="7">
        <f t="shared" si="1447"/>
        <v>1185951.2709333363</v>
      </c>
      <c r="AY300" s="7">
        <f t="shared" si="1447"/>
        <v>1181591.1559666698</v>
      </c>
      <c r="AZ300" s="7">
        <f t="shared" si="1447"/>
        <v>1177231.0410000032</v>
      </c>
      <c r="BA300" s="7">
        <f t="shared" si="1447"/>
        <v>1172870.9260333367</v>
      </c>
      <c r="BB300" s="7">
        <f t="shared" si="1447"/>
        <v>1168510.8110666701</v>
      </c>
      <c r="BC300" s="7">
        <f t="shared" si="1447"/>
        <v>1164150.6961000036</v>
      </c>
      <c r="BD300" s="7">
        <f t="shared" si="1447"/>
        <v>1159790.581133337</v>
      </c>
      <c r="BE300" s="7">
        <f t="shared" si="1447"/>
        <v>1155430.4661666704</v>
      </c>
      <c r="BF300" s="7">
        <f t="shared" si="1447"/>
        <v>1151070.3512000039</v>
      </c>
      <c r="BG300" s="236">
        <f t="shared" si="1419"/>
        <v>25899.082902000075</v>
      </c>
      <c r="BH300" s="7">
        <v>4360.114966666667</v>
      </c>
      <c r="BI300" s="39">
        <f t="shared" si="1448"/>
        <v>52321.3796</v>
      </c>
      <c r="BJ300" s="7">
        <f t="shared" si="1449"/>
        <v>1146710.2362333373</v>
      </c>
      <c r="BK300" s="7">
        <f t="shared" si="1450"/>
        <v>1142350.1212666708</v>
      </c>
      <c r="BL300" s="7">
        <f t="shared" si="1451"/>
        <v>1137990.0063000042</v>
      </c>
      <c r="BM300" s="7">
        <f t="shared" si="1452"/>
        <v>1133629.8913333376</v>
      </c>
      <c r="BN300" s="7">
        <f t="shared" si="1453"/>
        <v>1129269.7763666711</v>
      </c>
      <c r="BO300" s="7">
        <f t="shared" si="1454"/>
        <v>1124909.6614000045</v>
      </c>
      <c r="BP300" s="7">
        <f t="shared" si="1455"/>
        <v>1120549.546433338</v>
      </c>
      <c r="BQ300" s="7">
        <f t="shared" si="1456"/>
        <v>1116189.4314666714</v>
      </c>
      <c r="BR300" s="7">
        <f t="shared" si="1457"/>
        <v>1111829.3165000048</v>
      </c>
      <c r="BS300" s="7">
        <f t="shared" si="1458"/>
        <v>1107469.2015333383</v>
      </c>
      <c r="BT300" s="7">
        <f t="shared" si="1459"/>
        <v>1103109.0865666717</v>
      </c>
      <c r="BU300" s="7">
        <f t="shared" si="1460"/>
        <v>1098748.9716000052</v>
      </c>
      <c r="BV300" s="236">
        <f t="shared" si="1489"/>
        <v>24748.012550800093</v>
      </c>
      <c r="BW300" s="7">
        <v>4360.114966666667</v>
      </c>
      <c r="BX300" s="39">
        <f t="shared" si="1461"/>
        <v>52321.3796</v>
      </c>
      <c r="BY300" s="7">
        <f t="shared" si="1462"/>
        <v>1094388.8566333386</v>
      </c>
      <c r="BZ300" s="7">
        <f t="shared" si="1463"/>
        <v>1090028.7416666721</v>
      </c>
      <c r="CA300" s="7">
        <f t="shared" si="1464"/>
        <v>1085668.6267000055</v>
      </c>
      <c r="CB300" s="7">
        <f t="shared" si="1465"/>
        <v>1081308.5117333389</v>
      </c>
      <c r="CC300" s="7">
        <f t="shared" si="1466"/>
        <v>1076948.3967666724</v>
      </c>
      <c r="CD300" s="7">
        <f t="shared" si="1467"/>
        <v>1072588.2818000058</v>
      </c>
      <c r="CE300" s="7">
        <f t="shared" si="1468"/>
        <v>1068228.1668333393</v>
      </c>
      <c r="CF300" s="7">
        <f t="shared" si="1469"/>
        <v>1063868.0518666727</v>
      </c>
      <c r="CG300" s="7">
        <f t="shared" si="1470"/>
        <v>1059507.9369000061</v>
      </c>
      <c r="CH300" s="7">
        <f t="shared" si="1471"/>
        <v>1055147.8219333396</v>
      </c>
      <c r="CI300" s="7">
        <f t="shared" si="1472"/>
        <v>1050787.706966673</v>
      </c>
      <c r="CJ300" s="7">
        <f t="shared" si="1473"/>
        <v>1046427.5920000063</v>
      </c>
      <c r="CK300" s="236">
        <f t="shared" si="1490"/>
        <v>23596.942199600126</v>
      </c>
      <c r="CL300" s="7">
        <v>4360.114966666667</v>
      </c>
      <c r="CM300" s="39">
        <f t="shared" si="1474"/>
        <v>52321.3796</v>
      </c>
      <c r="CN300" s="7">
        <f t="shared" si="1475"/>
        <v>1042067.4770333397</v>
      </c>
      <c r="CO300" s="7">
        <f t="shared" si="1476"/>
        <v>1037707.362066673</v>
      </c>
      <c r="CP300" s="7">
        <f t="shared" si="1477"/>
        <v>1033347.2471000063</v>
      </c>
      <c r="CQ300" s="7">
        <f t="shared" si="1478"/>
        <v>1028987.1321333396</v>
      </c>
      <c r="CR300" s="7">
        <f t="shared" si="1479"/>
        <v>1024627.017166673</v>
      </c>
      <c r="CS300" s="7">
        <f t="shared" si="1480"/>
        <v>1020266.9022000063</v>
      </c>
      <c r="CT300" s="7">
        <f t="shared" si="1481"/>
        <v>1015906.7872333396</v>
      </c>
      <c r="CU300" s="7">
        <f t="shared" si="1482"/>
        <v>1011546.6722666729</v>
      </c>
      <c r="CV300" s="7">
        <f t="shared" si="1483"/>
        <v>1007186.5573000063</v>
      </c>
      <c r="CW300" s="7">
        <f t="shared" si="1484"/>
        <v>1002826.4423333396</v>
      </c>
      <c r="CX300" s="7">
        <f t="shared" si="1485"/>
        <v>998466.32736667292</v>
      </c>
      <c r="CY300" s="7">
        <f t="shared" si="1486"/>
        <v>994106.21240000625</v>
      </c>
      <c r="CZ300" s="236">
        <f t="shared" si="1491"/>
        <v>22445.871848400133</v>
      </c>
    </row>
    <row r="301" spans="1:104" x14ac:dyDescent="0.2">
      <c r="A301" s="6" t="str">
        <f>'[1]2021 УГРЦТ'!A304</f>
        <v>ЛЭП-6кВ "ЗРУ 6кВ-выход ф.Факел-2" 2007г</v>
      </c>
      <c r="B301" t="str">
        <f>'[1]2021 УГРЦТ'!B304</f>
        <v>00001036</v>
      </c>
      <c r="C301" t="str">
        <f>'[1]2021 УГРЦТ'!C304</f>
        <v>ПЕРЕДАЧА</v>
      </c>
      <c r="D301" t="str">
        <f>'[1]2021 УГРЦТ'!D304</f>
        <v>Сооружения</v>
      </c>
      <c r="E301" t="str">
        <f>'[1]2021 УГРЦТ'!E304</f>
        <v>30.05.2007</v>
      </c>
      <c r="F301" t="str">
        <f>'[1]2021 УГРЦТ'!F304</f>
        <v>Цех электрических сетей</v>
      </c>
      <c r="G301">
        <f>'[1]2021 УГРЦТ'!AC304</f>
        <v>180</v>
      </c>
      <c r="H301" s="7">
        <f>'[1]2021 УГРЦТ'!X304</f>
        <v>103682.93</v>
      </c>
      <c r="I301" s="7">
        <f>'[1]2021 УГРЦТ'!Y304</f>
        <v>100803.45533333333</v>
      </c>
      <c r="J301" s="7">
        <f>'[1]2021 УГРЦТ'!Z304</f>
        <v>2879.4746666666615</v>
      </c>
      <c r="K301" s="8">
        <v>1</v>
      </c>
      <c r="L301" s="7">
        <v>576.0200000000001</v>
      </c>
      <c r="M301" s="7"/>
      <c r="N301" s="7">
        <f>L301*5-0.63</f>
        <v>2879.4700000000003</v>
      </c>
      <c r="O301" s="7">
        <f t="shared" si="1433"/>
        <v>2303.4546666666615</v>
      </c>
      <c r="P301" s="7">
        <f t="shared" si="1493"/>
        <v>1727.4346666666615</v>
      </c>
      <c r="Q301" s="7">
        <f t="shared" si="1493"/>
        <v>1151.4146666666616</v>
      </c>
      <c r="R301" s="7">
        <f t="shared" si="1493"/>
        <v>575.39466666666146</v>
      </c>
      <c r="S301" s="7">
        <f>R301-$L301+0.63</f>
        <v>4.6666666613691676E-3</v>
      </c>
      <c r="T301" s="7">
        <f>S301-$L301*0</f>
        <v>4.6666666613691676E-3</v>
      </c>
      <c r="U301" s="7">
        <f t="shared" ref="U301:Z302" si="1495">T301-$L301*0</f>
        <v>4.6666666613691676E-3</v>
      </c>
      <c r="V301" s="7">
        <f t="shared" si="1495"/>
        <v>4.6666666613691676E-3</v>
      </c>
      <c r="W301" s="7">
        <f t="shared" si="1495"/>
        <v>4.6666666613691676E-3</v>
      </c>
      <c r="X301" s="7">
        <f t="shared" si="1495"/>
        <v>4.6666666613691676E-3</v>
      </c>
      <c r="Y301" s="7">
        <f t="shared" si="1495"/>
        <v>4.6666666613691676E-3</v>
      </c>
      <c r="Z301" s="7">
        <f t="shared" si="1495"/>
        <v>4.6666666613691676E-3</v>
      </c>
      <c r="AA301" s="7">
        <f t="shared" si="1487"/>
        <v>14.616818051281932</v>
      </c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222"/>
      <c r="AQ301" s="7">
        <v>576.0200000000001</v>
      </c>
      <c r="AR301" s="7"/>
      <c r="AS301" s="7"/>
      <c r="BG301" s="236">
        <f t="shared" si="1419"/>
        <v>0</v>
      </c>
      <c r="BH301" s="7">
        <v>576.0200000000001</v>
      </c>
      <c r="BV301" s="236">
        <f t="shared" si="1489"/>
        <v>0</v>
      </c>
      <c r="BW301" s="7">
        <v>576.0200000000001</v>
      </c>
      <c r="CK301" s="236">
        <f t="shared" si="1490"/>
        <v>0</v>
      </c>
      <c r="CL301" s="7">
        <v>576.0200000000001</v>
      </c>
      <c r="CZ301" s="236">
        <f t="shared" si="1491"/>
        <v>0</v>
      </c>
    </row>
    <row r="302" spans="1:104" x14ac:dyDescent="0.2">
      <c r="A302" s="6" t="str">
        <f>'[1]2021 УГРЦТ'!A305</f>
        <v>ЛЭП-6кВ ЗРУ6кВ-выход ф. Искателей-1</v>
      </c>
      <c r="B302" t="str">
        <f>'[1]2021 УГРЦТ'!B305</f>
        <v>00001023</v>
      </c>
      <c r="C302" t="str">
        <f>'[1]2021 УГРЦТ'!C305</f>
        <v>ПЕРЕДАЧА</v>
      </c>
      <c r="D302" t="str">
        <f>'[1]2021 УГРЦТ'!D305</f>
        <v>Сооружения</v>
      </c>
      <c r="E302" t="str">
        <f>'[1]2021 УГРЦТ'!E305</f>
        <v>31.07.2007</v>
      </c>
      <c r="F302" t="str">
        <f>'[1]2021 УГРЦТ'!F305</f>
        <v>Цех электрических сетей</v>
      </c>
      <c r="G302">
        <f>'[1]2021 УГРЦТ'!AC305</f>
        <v>180</v>
      </c>
      <c r="H302" s="7">
        <f>'[1]2021 УГРЦТ'!X305</f>
        <v>174104.86</v>
      </c>
      <c r="I302" s="7">
        <f>'[1]2021 УГРЦТ'!Y305</f>
        <v>167334.24066666668</v>
      </c>
      <c r="J302" s="7">
        <f>'[1]2021 УГРЦТ'!Z305</f>
        <v>6770.6193333333067</v>
      </c>
      <c r="K302" s="8">
        <v>1</v>
      </c>
      <c r="L302" s="7">
        <v>967.25</v>
      </c>
      <c r="M302" s="7"/>
      <c r="N302" s="7">
        <f>L302*7-0.13</f>
        <v>6770.62</v>
      </c>
      <c r="O302" s="7">
        <f t="shared" si="1433"/>
        <v>5803.3693333333067</v>
      </c>
      <c r="P302" s="7">
        <f t="shared" si="1493"/>
        <v>4836.1193333333067</v>
      </c>
      <c r="Q302" s="7">
        <f t="shared" si="1493"/>
        <v>3868.8693333333067</v>
      </c>
      <c r="R302" s="7">
        <f t="shared" si="1493"/>
        <v>2901.6193333333067</v>
      </c>
      <c r="S302" s="7">
        <f t="shared" si="1493"/>
        <v>1934.3693333333067</v>
      </c>
      <c r="T302" s="7">
        <f t="shared" si="1493"/>
        <v>967.11933333330671</v>
      </c>
      <c r="U302" s="7">
        <f>T302-$L302+0.13</f>
        <v>-6.6666669328696582E-4</v>
      </c>
      <c r="V302" s="7">
        <f>U302-$L302*0</f>
        <v>-6.6666669328696582E-4</v>
      </c>
      <c r="W302" s="7">
        <f t="shared" si="1495"/>
        <v>-6.6666669328696582E-4</v>
      </c>
      <c r="X302" s="7">
        <f t="shared" si="1495"/>
        <v>-6.6666669328696582E-4</v>
      </c>
      <c r="Y302" s="7">
        <f t="shared" si="1495"/>
        <v>-6.6666669328696582E-4</v>
      </c>
      <c r="Z302" s="7">
        <f t="shared" si="1495"/>
        <v>-6.6666669328696582E-4</v>
      </c>
      <c r="AA302" s="7">
        <f t="shared" si="1487"/>
        <v>45.831214564101984</v>
      </c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222"/>
      <c r="AQ302" s="7">
        <v>0</v>
      </c>
      <c r="AR302" s="7">
        <f t="shared" si="1436"/>
        <v>0</v>
      </c>
      <c r="AS302" s="7">
        <f t="shared" si="1437"/>
        <v>0</v>
      </c>
      <c r="BG302" s="236">
        <f t="shared" si="1419"/>
        <v>0</v>
      </c>
      <c r="BH302" s="7">
        <v>0</v>
      </c>
      <c r="BV302" s="236">
        <f t="shared" si="1489"/>
        <v>0</v>
      </c>
      <c r="BW302" s="7">
        <v>0</v>
      </c>
      <c r="CK302" s="236">
        <f t="shared" si="1490"/>
        <v>0</v>
      </c>
      <c r="CL302" s="7">
        <v>0</v>
      </c>
      <c r="CZ302" s="236">
        <f t="shared" si="1491"/>
        <v>0</v>
      </c>
    </row>
    <row r="303" spans="1:104" x14ac:dyDescent="0.2">
      <c r="A303" s="6" t="str">
        <f>'[1]2021 УГРЦТ'!A306</f>
        <v>ЛЭП-6кВ по ул. Авиаторов</v>
      </c>
      <c r="B303" t="str">
        <f>'[1]2021 УГРЦТ'!B306</f>
        <v>000001421</v>
      </c>
      <c r="C303" t="str">
        <f>'[1]2021 УГРЦТ'!C306</f>
        <v>ПЕРЕДАЧА</v>
      </c>
      <c r="D303" t="str">
        <f>'[1]2021 УГРЦТ'!D306</f>
        <v>Сооружения</v>
      </c>
      <c r="E303" t="str">
        <f>'[1]2021 УГРЦТ'!E306</f>
        <v>31.05.2012</v>
      </c>
      <c r="F303" t="str">
        <f>'[1]2021 УГРЦТ'!F306</f>
        <v>Цех электрических сетей</v>
      </c>
      <c r="G303">
        <f>'[1]2021 УГРЦТ'!AC306</f>
        <v>180</v>
      </c>
      <c r="H303" s="7">
        <f>'[1]2021 УГРЦТ'!X306</f>
        <v>56375.26</v>
      </c>
      <c r="I303" s="7">
        <f>'[1]2021 УГРЦТ'!Y306</f>
        <v>35662.44</v>
      </c>
      <c r="J303" s="7">
        <f>'[1]2021 УГРЦТ'!Z306</f>
        <v>20712.82</v>
      </c>
      <c r="K303" s="8">
        <v>1</v>
      </c>
      <c r="L303" s="7">
        <v>318.65999999999997</v>
      </c>
      <c r="M303" s="7"/>
      <c r="N303" s="7">
        <f t="shared" si="1492"/>
        <v>3823.9199999999996</v>
      </c>
      <c r="O303" s="7">
        <f t="shared" si="1433"/>
        <v>20394.16</v>
      </c>
      <c r="P303" s="7">
        <f t="shared" si="1493"/>
        <v>20075.5</v>
      </c>
      <c r="Q303" s="7">
        <f t="shared" si="1493"/>
        <v>19756.84</v>
      </c>
      <c r="R303" s="7">
        <f t="shared" si="1493"/>
        <v>19438.18</v>
      </c>
      <c r="S303" s="7">
        <f t="shared" si="1493"/>
        <v>19119.52</v>
      </c>
      <c r="T303" s="7">
        <f t="shared" si="1493"/>
        <v>18800.86</v>
      </c>
      <c r="U303" s="7">
        <f t="shared" si="1493"/>
        <v>18482.2</v>
      </c>
      <c r="V303" s="7">
        <f t="shared" si="1493"/>
        <v>18163.54</v>
      </c>
      <c r="W303" s="7">
        <f t="shared" si="1493"/>
        <v>17844.88</v>
      </c>
      <c r="X303" s="7">
        <f t="shared" si="1493"/>
        <v>17526.22</v>
      </c>
      <c r="Y303" s="7">
        <f t="shared" si="1493"/>
        <v>17207.560000000001</v>
      </c>
      <c r="Z303" s="7">
        <f t="shared" si="1493"/>
        <v>16888.900000000001</v>
      </c>
      <c r="AA303" s="7">
        <f t="shared" si="1487"/>
        <v>413.61892</v>
      </c>
      <c r="AB303" s="7"/>
      <c r="AC303" s="7">
        <f t="shared" si="1434"/>
        <v>3823.9199999999996</v>
      </c>
      <c r="AD303" s="7">
        <f t="shared" si="1435"/>
        <v>16570.240000000002</v>
      </c>
      <c r="AE303" s="7">
        <f t="shared" ref="AE303:AO317" si="1496">AD303-$L303</f>
        <v>16251.580000000002</v>
      </c>
      <c r="AF303" s="7">
        <f t="shared" si="1496"/>
        <v>15932.920000000002</v>
      </c>
      <c r="AG303" s="7">
        <f t="shared" si="1496"/>
        <v>15614.260000000002</v>
      </c>
      <c r="AH303" s="7">
        <f t="shared" si="1496"/>
        <v>15295.600000000002</v>
      </c>
      <c r="AI303" s="7">
        <f t="shared" si="1496"/>
        <v>14976.940000000002</v>
      </c>
      <c r="AJ303" s="7">
        <f t="shared" si="1496"/>
        <v>14658.280000000002</v>
      </c>
      <c r="AK303" s="7">
        <f t="shared" si="1496"/>
        <v>14339.620000000003</v>
      </c>
      <c r="AL303" s="7">
        <f t="shared" si="1496"/>
        <v>14020.960000000003</v>
      </c>
      <c r="AM303" s="7">
        <f t="shared" si="1496"/>
        <v>13702.300000000003</v>
      </c>
      <c r="AN303" s="7">
        <f t="shared" si="1496"/>
        <v>13383.640000000003</v>
      </c>
      <c r="AO303" s="7">
        <f t="shared" si="1496"/>
        <v>13064.980000000003</v>
      </c>
      <c r="AP303" s="222">
        <f t="shared" ref="AP303:AP308" si="1497">IF(K303&lt;1,0,SUM(AD303:AO303,Z303)/13*$BG$1)</f>
        <v>329.49268000000001</v>
      </c>
      <c r="AQ303" s="7">
        <v>318.65999999999997</v>
      </c>
      <c r="AR303" s="7">
        <f t="shared" si="1436"/>
        <v>318.65999999999985</v>
      </c>
      <c r="AS303" s="7">
        <f t="shared" si="1437"/>
        <v>0</v>
      </c>
      <c r="AT303" s="7">
        <f t="shared" ref="AT303:AT317" si="1498">L303*12</f>
        <v>3823.9199999999996</v>
      </c>
      <c r="AU303" s="7">
        <f t="shared" ref="AU303:AU317" si="1499">AO303-$L303</f>
        <v>12746.320000000003</v>
      </c>
      <c r="AV303" s="7">
        <f t="shared" ref="AV303:BF317" si="1500">AU303-$L303</f>
        <v>12427.660000000003</v>
      </c>
      <c r="AW303" s="7">
        <f t="shared" si="1500"/>
        <v>12109.000000000004</v>
      </c>
      <c r="AX303" s="7">
        <f t="shared" si="1500"/>
        <v>11790.340000000004</v>
      </c>
      <c r="AY303" s="7">
        <f t="shared" si="1500"/>
        <v>11471.680000000004</v>
      </c>
      <c r="AZ303" s="7">
        <f t="shared" si="1500"/>
        <v>11153.020000000004</v>
      </c>
      <c r="BA303" s="7">
        <f t="shared" si="1500"/>
        <v>10834.360000000004</v>
      </c>
      <c r="BB303" s="7">
        <f t="shared" si="1500"/>
        <v>10515.700000000004</v>
      </c>
      <c r="BC303" s="7">
        <f t="shared" si="1500"/>
        <v>10197.040000000005</v>
      </c>
      <c r="BD303" s="7">
        <f t="shared" si="1500"/>
        <v>9878.3800000000047</v>
      </c>
      <c r="BE303" s="7">
        <f t="shared" si="1500"/>
        <v>9559.7200000000048</v>
      </c>
      <c r="BF303" s="7">
        <f t="shared" si="1500"/>
        <v>9241.0600000000049</v>
      </c>
      <c r="BG303" s="236">
        <f t="shared" si="1419"/>
        <v>245.36644000000004</v>
      </c>
      <c r="BH303" s="7">
        <v>318.65999999999997</v>
      </c>
      <c r="BI303" s="39">
        <f>BH303*12</f>
        <v>3823.9199999999996</v>
      </c>
      <c r="BJ303" s="7">
        <f t="shared" ref="BJ303:BJ317" si="1501">BF303-BH303</f>
        <v>8922.4000000000051</v>
      </c>
      <c r="BK303" s="7">
        <f t="shared" ref="BK303:BK317" si="1502">BJ303-$L303</f>
        <v>8603.7400000000052</v>
      </c>
      <c r="BL303" s="7">
        <f t="shared" ref="BL303:BL317" si="1503">BK303-$L303</f>
        <v>8285.0800000000054</v>
      </c>
      <c r="BM303" s="7">
        <f t="shared" ref="BM303:BM317" si="1504">BL303-$L303</f>
        <v>7966.4200000000055</v>
      </c>
      <c r="BN303" s="7">
        <f t="shared" ref="BN303:BN317" si="1505">BM303-$L303</f>
        <v>7647.7600000000057</v>
      </c>
      <c r="BO303" s="7">
        <f t="shared" ref="BO303:BO317" si="1506">BN303-$L303</f>
        <v>7329.1000000000058</v>
      </c>
      <c r="BP303" s="7">
        <f t="shared" ref="BP303:BP317" si="1507">BO303-$L303</f>
        <v>7010.440000000006</v>
      </c>
      <c r="BQ303" s="7">
        <f t="shared" ref="BQ303:BQ317" si="1508">BP303-$L303</f>
        <v>6691.7800000000061</v>
      </c>
      <c r="BR303" s="7">
        <f t="shared" ref="BR303:BR312" si="1509">BQ303-$L303</f>
        <v>6373.1200000000063</v>
      </c>
      <c r="BS303" s="7">
        <f t="shared" ref="BS303:BS317" si="1510">BR303-$L303</f>
        <v>6054.4600000000064</v>
      </c>
      <c r="BT303" s="7">
        <f t="shared" ref="BT303:BT317" si="1511">BS303-$L303</f>
        <v>5735.8000000000065</v>
      </c>
      <c r="BU303" s="7">
        <f t="shared" ref="BU303:BU312" si="1512">BT303-$L303</f>
        <v>5417.1400000000067</v>
      </c>
      <c r="BV303" s="236">
        <f t="shared" si="1489"/>
        <v>161.24020000000007</v>
      </c>
      <c r="BW303" s="7">
        <v>318.65999999999997</v>
      </c>
      <c r="BX303" s="39">
        <f>BW303*12</f>
        <v>3823.9199999999996</v>
      </c>
      <c r="BY303" s="7">
        <f>BU303-BW303</f>
        <v>5098.4800000000068</v>
      </c>
      <c r="BZ303" s="7">
        <f t="shared" ref="BZ303:BZ317" si="1513">BY303-$L303</f>
        <v>4779.820000000007</v>
      </c>
      <c r="CA303" s="7">
        <f t="shared" ref="CA303:CA317" si="1514">BZ303-$L303</f>
        <v>4461.1600000000071</v>
      </c>
      <c r="CB303" s="7">
        <f t="shared" ref="CB303:CB317" si="1515">CA303-$L303</f>
        <v>4142.5000000000073</v>
      </c>
      <c r="CC303" s="7">
        <f t="shared" ref="CC303:CC317" si="1516">CB303-$L303</f>
        <v>3823.8400000000074</v>
      </c>
      <c r="CD303" s="7">
        <f t="shared" ref="CD303:CD317" si="1517">CC303-$L303</f>
        <v>3505.1800000000076</v>
      </c>
      <c r="CE303" s="7">
        <f t="shared" ref="CE303:CE317" si="1518">CD303-$L303</f>
        <v>3186.5200000000077</v>
      </c>
      <c r="CF303" s="7">
        <f t="shared" ref="CF303:CF317" si="1519">CE303-$L303</f>
        <v>2867.8600000000079</v>
      </c>
      <c r="CG303" s="7">
        <f t="shared" ref="CG303:CG312" si="1520">CF303-$L303</f>
        <v>2549.200000000008</v>
      </c>
      <c r="CH303" s="7">
        <f t="shared" ref="CH303:CH317" si="1521">CG303-$L303</f>
        <v>2230.5400000000081</v>
      </c>
      <c r="CI303" s="7">
        <f t="shared" ref="CI303:CI305" si="1522">CH303-$L303</f>
        <v>1911.8800000000083</v>
      </c>
      <c r="CJ303" s="7">
        <f t="shared" ref="CJ303:CJ305" si="1523">CI303-$L303</f>
        <v>1593.2200000000084</v>
      </c>
      <c r="CK303" s="236">
        <f t="shared" si="1490"/>
        <v>77.113960000000162</v>
      </c>
      <c r="CL303" s="7">
        <v>318.65999999999997</v>
      </c>
      <c r="CM303" s="39">
        <v>1593.22</v>
      </c>
      <c r="CN303" s="7">
        <f>CJ303-CL303</f>
        <v>1274.5600000000086</v>
      </c>
      <c r="CO303" s="7">
        <f t="shared" ref="CO303:CO305" si="1524">CN303-$L303</f>
        <v>955.90000000000862</v>
      </c>
      <c r="CP303" s="7">
        <f t="shared" ref="CP303:CP305" si="1525">CO303-$L303</f>
        <v>637.24000000000865</v>
      </c>
      <c r="CQ303" s="7">
        <f t="shared" ref="CQ303:CQ305" si="1526">CP303-$L303</f>
        <v>318.58000000000868</v>
      </c>
      <c r="CR303" s="7"/>
      <c r="CS303" s="7"/>
      <c r="CT303" s="7"/>
      <c r="CU303" s="7"/>
      <c r="CV303" s="7"/>
      <c r="CW303" s="7"/>
      <c r="CX303" s="7"/>
      <c r="CY303" s="7"/>
      <c r="CZ303" s="236">
        <f t="shared" si="1491"/>
        <v>8.0883846153846886</v>
      </c>
    </row>
    <row r="304" spans="1:104" ht="22.5" x14ac:dyDescent="0.2">
      <c r="A304" s="6" t="str">
        <f>'[1]2021 УГРЦТ'!A307</f>
        <v>Многоквартирный жилой дом по ул. Пионерской г.Нарьян-Мар. Наружные сети электроснабжения</v>
      </c>
      <c r="B304" t="str">
        <f>'[1]2021 УГРЦТ'!B307</f>
        <v>000001873</v>
      </c>
      <c r="C304" t="str">
        <f>'[1]2021 УГРЦТ'!C307</f>
        <v>ПЕРЕДАЧА</v>
      </c>
      <c r="D304" t="str">
        <f>'[1]2021 УГРЦТ'!D307</f>
        <v>Сооружения</v>
      </c>
      <c r="E304" s="4">
        <f>'[1]2021 УГРЦТ'!E307</f>
        <v>44560</v>
      </c>
      <c r="F304" t="str">
        <f>'[1]2021 УГРЦТ'!F307</f>
        <v>Цех электрических сетей</v>
      </c>
      <c r="G304">
        <f>'[1]2021 УГРЦТ'!AC307</f>
        <v>420</v>
      </c>
      <c r="H304" s="7">
        <f>'[1]2021 УГРЦТ'!X307</f>
        <v>1064000</v>
      </c>
      <c r="I304" s="7" t="e">
        <f>'[1]2021 УГРЦТ'!Y307</f>
        <v>#REF!</v>
      </c>
      <c r="J304" s="7">
        <f>'[1]2021 УГРЦТ'!Z307</f>
        <v>1064000</v>
      </c>
      <c r="K304" s="8">
        <v>1</v>
      </c>
      <c r="L304" s="7">
        <v>2533.3333333333335</v>
      </c>
      <c r="M304" s="7"/>
      <c r="N304" s="7">
        <f t="shared" si="1492"/>
        <v>30400</v>
      </c>
      <c r="O304" s="7">
        <f t="shared" si="1433"/>
        <v>1061466.6666666667</v>
      </c>
      <c r="P304" s="7">
        <f t="shared" si="1493"/>
        <v>1058933.3333333335</v>
      </c>
      <c r="Q304" s="7">
        <f t="shared" si="1493"/>
        <v>1056400.0000000002</v>
      </c>
      <c r="R304" s="7">
        <f t="shared" si="1493"/>
        <v>1053866.666666667</v>
      </c>
      <c r="S304" s="7">
        <f t="shared" si="1493"/>
        <v>1051333.3333333337</v>
      </c>
      <c r="T304" s="7">
        <f t="shared" si="1493"/>
        <v>1048800.0000000005</v>
      </c>
      <c r="U304" s="7">
        <f t="shared" si="1493"/>
        <v>1046266.6666666671</v>
      </c>
      <c r="V304" s="7">
        <f t="shared" si="1493"/>
        <v>1043733.3333333337</v>
      </c>
      <c r="W304" s="7">
        <f t="shared" si="1493"/>
        <v>1041200.0000000003</v>
      </c>
      <c r="X304" s="7">
        <f t="shared" si="1493"/>
        <v>1038666.666666667</v>
      </c>
      <c r="Y304" s="7">
        <f t="shared" si="1493"/>
        <v>1036133.3333333336</v>
      </c>
      <c r="Z304" s="7">
        <f t="shared" si="1493"/>
        <v>1033600.0000000002</v>
      </c>
      <c r="AA304" s="7">
        <f t="shared" si="1487"/>
        <v>23073.600000000002</v>
      </c>
      <c r="AB304" s="7"/>
      <c r="AC304" s="7">
        <f t="shared" si="1434"/>
        <v>30400</v>
      </c>
      <c r="AD304" s="7">
        <f t="shared" si="1435"/>
        <v>1031066.6666666669</v>
      </c>
      <c r="AE304" s="7">
        <f t="shared" si="1496"/>
        <v>1028533.3333333335</v>
      </c>
      <c r="AF304" s="7">
        <f t="shared" si="1496"/>
        <v>1026000.0000000001</v>
      </c>
      <c r="AG304" s="7">
        <f t="shared" si="1496"/>
        <v>1023466.6666666667</v>
      </c>
      <c r="AH304" s="7">
        <f t="shared" si="1496"/>
        <v>1020933.3333333334</v>
      </c>
      <c r="AI304" s="7">
        <f t="shared" si="1496"/>
        <v>1018400</v>
      </c>
      <c r="AJ304" s="7">
        <f t="shared" si="1496"/>
        <v>1015866.6666666666</v>
      </c>
      <c r="AK304" s="7">
        <f t="shared" si="1496"/>
        <v>1013333.3333333333</v>
      </c>
      <c r="AL304" s="7">
        <f t="shared" si="1496"/>
        <v>1010799.9999999999</v>
      </c>
      <c r="AM304" s="7">
        <f t="shared" si="1496"/>
        <v>1008266.6666666665</v>
      </c>
      <c r="AN304" s="7">
        <f t="shared" si="1496"/>
        <v>1005733.3333333331</v>
      </c>
      <c r="AO304" s="7">
        <f t="shared" si="1496"/>
        <v>1003199.9999999998</v>
      </c>
      <c r="AP304" s="222">
        <f t="shared" si="1497"/>
        <v>22404.799999999999</v>
      </c>
      <c r="AQ304" s="7">
        <v>2533.3333333333335</v>
      </c>
      <c r="AR304" s="7">
        <f t="shared" si="1436"/>
        <v>2533.3333333333721</v>
      </c>
      <c r="AS304" s="7">
        <f t="shared" si="1437"/>
        <v>3.865352482534945E-11</v>
      </c>
      <c r="AT304" s="7">
        <f t="shared" si="1498"/>
        <v>30400</v>
      </c>
      <c r="AU304" s="7">
        <f t="shared" si="1499"/>
        <v>1000666.6666666664</v>
      </c>
      <c r="AV304" s="7">
        <f t="shared" si="1500"/>
        <v>998133.33333333302</v>
      </c>
      <c r="AW304" s="7">
        <f t="shared" si="1500"/>
        <v>995599.99999999965</v>
      </c>
      <c r="AX304" s="7">
        <f t="shared" si="1500"/>
        <v>993066.66666666628</v>
      </c>
      <c r="AY304" s="7">
        <f t="shared" si="1500"/>
        <v>990533.33333333291</v>
      </c>
      <c r="AZ304" s="7">
        <f t="shared" si="1500"/>
        <v>987999.99999999953</v>
      </c>
      <c r="BA304" s="7">
        <f t="shared" si="1500"/>
        <v>985466.66666666616</v>
      </c>
      <c r="BB304" s="7">
        <f t="shared" si="1500"/>
        <v>982933.33333333279</v>
      </c>
      <c r="BC304" s="7">
        <f t="shared" si="1500"/>
        <v>980399.99999999942</v>
      </c>
      <c r="BD304" s="7">
        <f t="shared" si="1500"/>
        <v>977866.66666666605</v>
      </c>
      <c r="BE304" s="7">
        <f t="shared" si="1500"/>
        <v>975333.33333333267</v>
      </c>
      <c r="BF304" s="7">
        <f t="shared" si="1500"/>
        <v>972799.9999999993</v>
      </c>
      <c r="BG304" s="236">
        <f t="shared" si="1419"/>
        <v>21735.999999999989</v>
      </c>
      <c r="BH304" s="7">
        <v>2533.3333333333335</v>
      </c>
      <c r="BI304" s="39">
        <f>BH304*12</f>
        <v>30400</v>
      </c>
      <c r="BJ304" s="7">
        <f t="shared" si="1501"/>
        <v>970266.66666666593</v>
      </c>
      <c r="BK304" s="7">
        <f t="shared" si="1502"/>
        <v>967733.33333333256</v>
      </c>
      <c r="BL304" s="7">
        <f t="shared" si="1503"/>
        <v>965199.99999999919</v>
      </c>
      <c r="BM304" s="7">
        <f t="shared" si="1504"/>
        <v>962666.66666666581</v>
      </c>
      <c r="BN304" s="7">
        <f t="shared" si="1505"/>
        <v>960133.33333333244</v>
      </c>
      <c r="BO304" s="7">
        <f t="shared" si="1506"/>
        <v>957599.99999999907</v>
      </c>
      <c r="BP304" s="7">
        <f t="shared" si="1507"/>
        <v>955066.6666666657</v>
      </c>
      <c r="BQ304" s="7">
        <f t="shared" si="1508"/>
        <v>952533.33333333232</v>
      </c>
      <c r="BR304" s="7">
        <f t="shared" si="1509"/>
        <v>949999.99999999895</v>
      </c>
      <c r="BS304" s="7">
        <f t="shared" si="1510"/>
        <v>947466.66666666558</v>
      </c>
      <c r="BT304" s="7">
        <f t="shared" si="1511"/>
        <v>944933.33333333221</v>
      </c>
      <c r="BU304" s="7">
        <f t="shared" si="1512"/>
        <v>942399.99999999884</v>
      </c>
      <c r="BV304" s="236">
        <f t="shared" si="1489"/>
        <v>21067.199999999975</v>
      </c>
      <c r="BW304" s="7">
        <v>2533.3333333333335</v>
      </c>
      <c r="BX304" s="39">
        <f>BW304*12</f>
        <v>30400</v>
      </c>
      <c r="BY304" s="7">
        <f>BU304-BW304</f>
        <v>939866.66666666546</v>
      </c>
      <c r="BZ304" s="7">
        <f t="shared" si="1513"/>
        <v>937333.33333333209</v>
      </c>
      <c r="CA304" s="7">
        <f t="shared" si="1514"/>
        <v>934799.99999999872</v>
      </c>
      <c r="CB304" s="7">
        <f t="shared" si="1515"/>
        <v>932266.66666666535</v>
      </c>
      <c r="CC304" s="7">
        <f t="shared" si="1516"/>
        <v>929733.33333333198</v>
      </c>
      <c r="CD304" s="7">
        <f t="shared" si="1517"/>
        <v>927199.9999999986</v>
      </c>
      <c r="CE304" s="7">
        <f t="shared" si="1518"/>
        <v>924666.66666666523</v>
      </c>
      <c r="CF304" s="7">
        <f t="shared" si="1519"/>
        <v>922133.33333333186</v>
      </c>
      <c r="CG304" s="7">
        <f t="shared" si="1520"/>
        <v>919599.99999999849</v>
      </c>
      <c r="CH304" s="7">
        <f t="shared" si="1521"/>
        <v>917066.66666666511</v>
      </c>
      <c r="CI304" s="7">
        <f t="shared" si="1522"/>
        <v>914533.33333333174</v>
      </c>
      <c r="CJ304" s="7">
        <f t="shared" si="1523"/>
        <v>911999.99999999837</v>
      </c>
      <c r="CK304" s="236">
        <f t="shared" si="1490"/>
        <v>20398.399999999969</v>
      </c>
      <c r="CL304" s="7">
        <v>2533.3333333333335</v>
      </c>
      <c r="CM304" s="39">
        <f>CL304*12</f>
        <v>30400</v>
      </c>
      <c r="CN304" s="7">
        <f>CJ304-CL304</f>
        <v>909466.666666665</v>
      </c>
      <c r="CO304" s="7">
        <f t="shared" si="1524"/>
        <v>906933.33333333163</v>
      </c>
      <c r="CP304" s="7">
        <f t="shared" si="1525"/>
        <v>904399.99999999825</v>
      </c>
      <c r="CQ304" s="7">
        <f t="shared" si="1526"/>
        <v>901866.66666666488</v>
      </c>
      <c r="CR304" s="7">
        <f t="shared" ref="CR304:CR305" si="1527">CQ304-$L304</f>
        <v>899333.33333333151</v>
      </c>
      <c r="CS304" s="7">
        <f t="shared" ref="CS304:CS305" si="1528">CR304-$L304</f>
        <v>896799.99999999814</v>
      </c>
      <c r="CT304" s="7">
        <f t="shared" ref="CT304:CT305" si="1529">CS304-$L304</f>
        <v>894266.66666666477</v>
      </c>
      <c r="CU304" s="7">
        <f t="shared" ref="CU304:CU305" si="1530">CT304-$L304</f>
        <v>891733.33333333139</v>
      </c>
      <c r="CV304" s="7">
        <f t="shared" ref="CV304:CV305" si="1531">CU304-$L304</f>
        <v>889199.99999999802</v>
      </c>
      <c r="CW304" s="7">
        <f t="shared" ref="CW304:CW305" si="1532">CV304-$L304</f>
        <v>886666.66666666465</v>
      </c>
      <c r="CX304" s="7">
        <f t="shared" ref="CX304:CX305" si="1533">CW304-$L304</f>
        <v>884133.33333333128</v>
      </c>
      <c r="CY304" s="7">
        <f t="shared" ref="CY304:CY305" si="1534">CX304-$L304</f>
        <v>881599.9999999979</v>
      </c>
      <c r="CZ304" s="236">
        <f t="shared" si="1491"/>
        <v>19729.599999999959</v>
      </c>
    </row>
    <row r="305" spans="1:104" x14ac:dyDescent="0.2">
      <c r="A305" s="6" t="str">
        <f>'[1]2021 УГРЦТ'!A308</f>
        <v>Модуль УВН КТПГС-6кВ (ЗРУ-6кВ)</v>
      </c>
      <c r="B305" t="str">
        <f>'[1]2021 УГРЦТ'!B308</f>
        <v>00001099</v>
      </c>
      <c r="C305" t="str">
        <f>'[1]2021 УГРЦТ'!C308</f>
        <v>ПЕРЕДАЧА</v>
      </c>
      <c r="D305" t="str">
        <f>'[1]2021 УГРЦТ'!D308</f>
        <v>Сооружения</v>
      </c>
      <c r="E305" t="str">
        <f>'[1]2021 УГРЦТ'!E308</f>
        <v>31.10.2010</v>
      </c>
      <c r="F305" t="str">
        <f>'[1]2021 УГРЦТ'!F308</f>
        <v>Цех электрических сетей</v>
      </c>
      <c r="G305">
        <f>'[1]2021 УГРЦТ'!AC308</f>
        <v>240</v>
      </c>
      <c r="H305" s="7">
        <f>'[1]2021 УГРЦТ'!X308</f>
        <v>2085041.06</v>
      </c>
      <c r="I305" s="7">
        <f>'[1]2021 УГРЦТ'!Y308</f>
        <v>1198807.5599999998</v>
      </c>
      <c r="J305" s="7">
        <f>'[1]2021 УГРЦТ'!Z308</f>
        <v>886233.50000000023</v>
      </c>
      <c r="K305" s="8">
        <v>1</v>
      </c>
      <c r="L305" s="7">
        <v>8360.6999999999989</v>
      </c>
      <c r="M305" s="7"/>
      <c r="N305" s="7">
        <f t="shared" si="1492"/>
        <v>100328.4</v>
      </c>
      <c r="O305" s="7">
        <f t="shared" si="1433"/>
        <v>877872.80000000028</v>
      </c>
      <c r="P305" s="7">
        <f t="shared" si="1493"/>
        <v>869512.10000000033</v>
      </c>
      <c r="Q305" s="7">
        <f t="shared" si="1493"/>
        <v>861151.40000000037</v>
      </c>
      <c r="R305" s="7">
        <f t="shared" si="1493"/>
        <v>852790.70000000042</v>
      </c>
      <c r="S305" s="7">
        <f t="shared" si="1493"/>
        <v>844430.00000000047</v>
      </c>
      <c r="T305" s="7">
        <f t="shared" si="1493"/>
        <v>836069.30000000051</v>
      </c>
      <c r="U305" s="7">
        <f t="shared" si="1493"/>
        <v>827708.60000000056</v>
      </c>
      <c r="V305" s="7">
        <f t="shared" si="1493"/>
        <v>819347.90000000061</v>
      </c>
      <c r="W305" s="7">
        <f t="shared" si="1493"/>
        <v>810987.20000000065</v>
      </c>
      <c r="X305" s="7">
        <f t="shared" si="1493"/>
        <v>802626.5000000007</v>
      </c>
      <c r="Y305" s="7">
        <f t="shared" si="1493"/>
        <v>794265.80000000075</v>
      </c>
      <c r="Z305" s="7">
        <f t="shared" si="1493"/>
        <v>785905.10000000079</v>
      </c>
      <c r="AA305" s="7">
        <f t="shared" si="1487"/>
        <v>18393.524600000012</v>
      </c>
      <c r="AB305" s="7"/>
      <c r="AC305" s="7">
        <f t="shared" si="1434"/>
        <v>100328.4</v>
      </c>
      <c r="AD305" s="7">
        <f t="shared" si="1435"/>
        <v>777544.40000000084</v>
      </c>
      <c r="AE305" s="7">
        <f t="shared" si="1496"/>
        <v>769183.70000000088</v>
      </c>
      <c r="AF305" s="7">
        <f t="shared" si="1496"/>
        <v>760823.00000000093</v>
      </c>
      <c r="AG305" s="7">
        <f t="shared" si="1496"/>
        <v>752462.30000000098</v>
      </c>
      <c r="AH305" s="7">
        <f t="shared" si="1496"/>
        <v>744101.60000000102</v>
      </c>
      <c r="AI305" s="7">
        <f t="shared" si="1496"/>
        <v>735740.90000000107</v>
      </c>
      <c r="AJ305" s="7">
        <f t="shared" si="1496"/>
        <v>727380.20000000112</v>
      </c>
      <c r="AK305" s="7">
        <f t="shared" si="1496"/>
        <v>719019.50000000116</v>
      </c>
      <c r="AL305" s="7">
        <f t="shared" si="1496"/>
        <v>710658.80000000121</v>
      </c>
      <c r="AM305" s="7">
        <f t="shared" si="1496"/>
        <v>702298.10000000126</v>
      </c>
      <c r="AN305" s="7">
        <f t="shared" si="1496"/>
        <v>693937.4000000013</v>
      </c>
      <c r="AO305" s="7">
        <f t="shared" si="1496"/>
        <v>685576.70000000135</v>
      </c>
      <c r="AP305" s="222">
        <f t="shared" si="1497"/>
        <v>16186.299800000023</v>
      </c>
      <c r="AQ305" s="7">
        <v>8360.6999999999989</v>
      </c>
      <c r="AR305" s="7">
        <f t="shared" si="1436"/>
        <v>8360.6999999999534</v>
      </c>
      <c r="AS305" s="7">
        <f t="shared" si="1437"/>
        <v>-4.5474735088646412E-11</v>
      </c>
      <c r="AT305" s="7">
        <f t="shared" si="1498"/>
        <v>100328.4</v>
      </c>
      <c r="AU305" s="7">
        <f t="shared" si="1499"/>
        <v>677216.0000000014</v>
      </c>
      <c r="AV305" s="7">
        <f t="shared" si="1500"/>
        <v>668855.30000000144</v>
      </c>
      <c r="AW305" s="7">
        <f t="shared" si="1500"/>
        <v>660494.60000000149</v>
      </c>
      <c r="AX305" s="7">
        <f t="shared" si="1500"/>
        <v>652133.90000000154</v>
      </c>
      <c r="AY305" s="7">
        <f t="shared" si="1500"/>
        <v>643773.20000000158</v>
      </c>
      <c r="AZ305" s="7">
        <f t="shared" si="1500"/>
        <v>635412.50000000163</v>
      </c>
      <c r="BA305" s="7">
        <f t="shared" si="1500"/>
        <v>627051.80000000168</v>
      </c>
      <c r="BB305" s="7">
        <f t="shared" si="1500"/>
        <v>618691.10000000172</v>
      </c>
      <c r="BC305" s="7">
        <f t="shared" si="1500"/>
        <v>610330.40000000177</v>
      </c>
      <c r="BD305" s="7">
        <f t="shared" si="1500"/>
        <v>601969.70000000182</v>
      </c>
      <c r="BE305" s="7">
        <f t="shared" si="1500"/>
        <v>593609.00000000186</v>
      </c>
      <c r="BF305" s="7">
        <f t="shared" si="1500"/>
        <v>585248.30000000191</v>
      </c>
      <c r="BG305" s="236">
        <f t="shared" si="1419"/>
        <v>13979.075000000035</v>
      </c>
      <c r="BH305" s="7">
        <v>8360.6999999999989</v>
      </c>
      <c r="BI305" s="39">
        <f>BH305*12</f>
        <v>100328.4</v>
      </c>
      <c r="BJ305" s="7">
        <f t="shared" si="1501"/>
        <v>576887.60000000196</v>
      </c>
      <c r="BK305" s="7">
        <f t="shared" si="1502"/>
        <v>568526.900000002</v>
      </c>
      <c r="BL305" s="7">
        <f t="shared" si="1503"/>
        <v>560166.20000000205</v>
      </c>
      <c r="BM305" s="7">
        <f t="shared" si="1504"/>
        <v>551805.5000000021</v>
      </c>
      <c r="BN305" s="7">
        <f t="shared" si="1505"/>
        <v>543444.80000000214</v>
      </c>
      <c r="BO305" s="7">
        <f t="shared" si="1506"/>
        <v>535084.10000000219</v>
      </c>
      <c r="BP305" s="7">
        <f t="shared" si="1507"/>
        <v>526723.40000000224</v>
      </c>
      <c r="BQ305" s="7">
        <f t="shared" si="1508"/>
        <v>518362.70000000222</v>
      </c>
      <c r="BR305" s="7">
        <f t="shared" si="1509"/>
        <v>510002.00000000221</v>
      </c>
      <c r="BS305" s="7">
        <f t="shared" si="1510"/>
        <v>501641.3000000022</v>
      </c>
      <c r="BT305" s="7">
        <f t="shared" si="1511"/>
        <v>493280.60000000219</v>
      </c>
      <c r="BU305" s="7">
        <f t="shared" si="1512"/>
        <v>484919.90000000218</v>
      </c>
      <c r="BV305" s="236">
        <f t="shared" si="1489"/>
        <v>11771.850200000048</v>
      </c>
      <c r="BW305" s="7">
        <v>8360.6999999999989</v>
      </c>
      <c r="BX305" s="39">
        <f>BW305*12</f>
        <v>100328.4</v>
      </c>
      <c r="BY305" s="7">
        <f>BU305-BW305</f>
        <v>476559.20000000217</v>
      </c>
      <c r="BZ305" s="7">
        <f t="shared" si="1513"/>
        <v>468198.50000000215</v>
      </c>
      <c r="CA305" s="7">
        <f t="shared" si="1514"/>
        <v>459837.80000000214</v>
      </c>
      <c r="CB305" s="7">
        <f t="shared" si="1515"/>
        <v>451477.10000000213</v>
      </c>
      <c r="CC305" s="7">
        <f t="shared" si="1516"/>
        <v>443116.40000000212</v>
      </c>
      <c r="CD305" s="7">
        <f t="shared" si="1517"/>
        <v>434755.70000000211</v>
      </c>
      <c r="CE305" s="7">
        <f t="shared" si="1518"/>
        <v>426395.0000000021</v>
      </c>
      <c r="CF305" s="7">
        <f t="shared" si="1519"/>
        <v>418034.30000000208</v>
      </c>
      <c r="CG305" s="7">
        <f t="shared" si="1520"/>
        <v>409673.60000000207</v>
      </c>
      <c r="CH305" s="7">
        <f t="shared" si="1521"/>
        <v>401312.90000000206</v>
      </c>
      <c r="CI305" s="7">
        <f t="shared" si="1522"/>
        <v>392952.20000000205</v>
      </c>
      <c r="CJ305" s="7">
        <f t="shared" si="1523"/>
        <v>384591.50000000204</v>
      </c>
      <c r="CK305" s="236">
        <f t="shared" si="1490"/>
        <v>9564.6254000000463</v>
      </c>
      <c r="CL305" s="7">
        <v>8360.6999999999989</v>
      </c>
      <c r="CM305" s="39">
        <f>CL305*12</f>
        <v>100328.4</v>
      </c>
      <c r="CN305" s="7">
        <f>CJ305-CL305</f>
        <v>376230.80000000203</v>
      </c>
      <c r="CO305" s="7">
        <f t="shared" si="1524"/>
        <v>367870.10000000201</v>
      </c>
      <c r="CP305" s="7">
        <f t="shared" si="1525"/>
        <v>359509.400000002</v>
      </c>
      <c r="CQ305" s="7">
        <f t="shared" si="1526"/>
        <v>351148.70000000199</v>
      </c>
      <c r="CR305" s="7">
        <f t="shared" si="1527"/>
        <v>342788.00000000198</v>
      </c>
      <c r="CS305" s="7">
        <f t="shared" si="1528"/>
        <v>334427.30000000197</v>
      </c>
      <c r="CT305" s="7">
        <f t="shared" si="1529"/>
        <v>326066.60000000196</v>
      </c>
      <c r="CU305" s="7">
        <f t="shared" si="1530"/>
        <v>317705.90000000194</v>
      </c>
      <c r="CV305" s="7">
        <f t="shared" si="1531"/>
        <v>309345.20000000193</v>
      </c>
      <c r="CW305" s="7">
        <f t="shared" si="1532"/>
        <v>300984.50000000192</v>
      </c>
      <c r="CX305" s="7">
        <f t="shared" si="1533"/>
        <v>292623.80000000191</v>
      </c>
      <c r="CY305" s="7">
        <f t="shared" si="1534"/>
        <v>284263.1000000019</v>
      </c>
      <c r="CZ305" s="236">
        <f t="shared" si="1491"/>
        <v>7357.4006000000445</v>
      </c>
    </row>
    <row r="306" spans="1:104" x14ac:dyDescent="0.2">
      <c r="A306" s="6" t="str">
        <f>'[1]2021 УГРЦТ'!A309</f>
        <v>Н/в каб от ТП-20, 10 до банка Поморск 117м  96г</v>
      </c>
      <c r="B306" t="str">
        <f>'[1]2021 УГРЦТ'!B309</f>
        <v>00000179</v>
      </c>
      <c r="C306" t="str">
        <f>'[1]2021 УГРЦТ'!C309</f>
        <v>ПЕРЕДАЧА</v>
      </c>
      <c r="D306" t="str">
        <f>'[1]2021 УГРЦТ'!D309</f>
        <v>Сооружения</v>
      </c>
      <c r="E306" t="str">
        <f>'[1]2021 УГРЦТ'!E309</f>
        <v>01.01.1996</v>
      </c>
      <c r="F306" t="str">
        <f>'[1]2021 УГРЦТ'!F309</f>
        <v>Цех электрических сетей</v>
      </c>
      <c r="G306">
        <f>'[1]2021 УГРЦТ'!AC309</f>
        <v>300</v>
      </c>
      <c r="H306" s="7">
        <f>'[1]2021 УГРЦТ'!X309</f>
        <v>34350</v>
      </c>
      <c r="I306" s="7">
        <f>'[1]2021 УГРЦТ'!Y309</f>
        <v>28969</v>
      </c>
      <c r="J306" s="7">
        <f>'[1]2021 УГРЦТ'!Z309</f>
        <v>5381</v>
      </c>
      <c r="K306" s="8">
        <v>1</v>
      </c>
      <c r="L306" s="7">
        <v>114.5</v>
      </c>
      <c r="M306" s="7"/>
      <c r="N306" s="7">
        <f t="shared" si="1492"/>
        <v>1374</v>
      </c>
      <c r="O306" s="7">
        <f t="shared" si="1433"/>
        <v>5266.5</v>
      </c>
      <c r="P306" s="7">
        <f t="shared" si="1493"/>
        <v>5152</v>
      </c>
      <c r="Q306" s="7">
        <f t="shared" si="1493"/>
        <v>5037.5</v>
      </c>
      <c r="R306" s="7">
        <f t="shared" si="1493"/>
        <v>4923</v>
      </c>
      <c r="S306" s="7">
        <f t="shared" si="1493"/>
        <v>4808.5</v>
      </c>
      <c r="T306" s="7">
        <f t="shared" si="1493"/>
        <v>4694</v>
      </c>
      <c r="U306" s="7">
        <f t="shared" si="1493"/>
        <v>4579.5</v>
      </c>
      <c r="V306" s="7">
        <f t="shared" si="1493"/>
        <v>4465</v>
      </c>
      <c r="W306" s="7">
        <f t="shared" si="1493"/>
        <v>4350.5</v>
      </c>
      <c r="X306" s="7">
        <f t="shared" si="1493"/>
        <v>4236</v>
      </c>
      <c r="Y306" s="7">
        <f t="shared" si="1493"/>
        <v>4121.5</v>
      </c>
      <c r="Z306" s="7">
        <f t="shared" si="1493"/>
        <v>4007</v>
      </c>
      <c r="AA306" s="7">
        <f t="shared" si="1487"/>
        <v>103.268</v>
      </c>
      <c r="AB306" s="7"/>
      <c r="AC306" s="7">
        <f t="shared" si="1434"/>
        <v>1374</v>
      </c>
      <c r="AD306" s="7">
        <f t="shared" si="1435"/>
        <v>3892.5</v>
      </c>
      <c r="AE306" s="7">
        <f t="shared" si="1496"/>
        <v>3778</v>
      </c>
      <c r="AF306" s="7">
        <f t="shared" si="1496"/>
        <v>3663.5</v>
      </c>
      <c r="AG306" s="7">
        <f t="shared" si="1496"/>
        <v>3549</v>
      </c>
      <c r="AH306" s="7">
        <f t="shared" si="1496"/>
        <v>3434.5</v>
      </c>
      <c r="AI306" s="7">
        <f t="shared" si="1496"/>
        <v>3320</v>
      </c>
      <c r="AJ306" s="7">
        <f t="shared" si="1496"/>
        <v>3205.5</v>
      </c>
      <c r="AK306" s="7">
        <f t="shared" si="1496"/>
        <v>3091</v>
      </c>
      <c r="AL306" s="7">
        <f t="shared" si="1496"/>
        <v>2976.5</v>
      </c>
      <c r="AM306" s="7">
        <f t="shared" si="1496"/>
        <v>2862</v>
      </c>
      <c r="AN306" s="7">
        <f t="shared" si="1496"/>
        <v>2747.5</v>
      </c>
      <c r="AO306" s="7">
        <f t="shared" si="1496"/>
        <v>2633</v>
      </c>
      <c r="AP306" s="222">
        <f t="shared" si="1497"/>
        <v>73.039999999999992</v>
      </c>
      <c r="AQ306" s="7">
        <v>114.5</v>
      </c>
      <c r="AR306" s="7">
        <f t="shared" si="1436"/>
        <v>114.5</v>
      </c>
      <c r="AS306" s="7">
        <f t="shared" si="1437"/>
        <v>0</v>
      </c>
      <c r="AT306" s="7">
        <f t="shared" si="1498"/>
        <v>1374</v>
      </c>
      <c r="AU306" s="7">
        <f t="shared" si="1499"/>
        <v>2518.5</v>
      </c>
      <c r="AV306" s="7">
        <f t="shared" si="1500"/>
        <v>2404</v>
      </c>
      <c r="AW306" s="7">
        <f t="shared" si="1500"/>
        <v>2289.5</v>
      </c>
      <c r="AX306" s="7">
        <f t="shared" si="1500"/>
        <v>2175</v>
      </c>
      <c r="AY306" s="7">
        <f t="shared" si="1500"/>
        <v>2060.5</v>
      </c>
      <c r="AZ306" s="7">
        <f t="shared" si="1500"/>
        <v>1946</v>
      </c>
      <c r="BA306" s="7">
        <f t="shared" si="1500"/>
        <v>1831.5</v>
      </c>
      <c r="BB306" s="7">
        <f t="shared" si="1500"/>
        <v>1717</v>
      </c>
      <c r="BC306" s="7">
        <f t="shared" si="1500"/>
        <v>1602.5</v>
      </c>
      <c r="BD306" s="7">
        <f t="shared" si="1500"/>
        <v>1488</v>
      </c>
      <c r="BE306" s="7">
        <f t="shared" si="1500"/>
        <v>1373.5</v>
      </c>
      <c r="BF306" s="7">
        <f t="shared" si="1500"/>
        <v>1259</v>
      </c>
      <c r="BG306" s="236">
        <f t="shared" si="1419"/>
        <v>42.811999999999998</v>
      </c>
      <c r="BH306" s="7">
        <v>114.5</v>
      </c>
      <c r="BI306" s="39">
        <v>1259</v>
      </c>
      <c r="BJ306" s="7">
        <f t="shared" si="1501"/>
        <v>1144.5</v>
      </c>
      <c r="BK306" s="7">
        <f t="shared" si="1502"/>
        <v>1030</v>
      </c>
      <c r="BL306" s="7">
        <f t="shared" si="1503"/>
        <v>915.5</v>
      </c>
      <c r="BM306" s="7">
        <f t="shared" si="1504"/>
        <v>801</v>
      </c>
      <c r="BN306" s="7">
        <f t="shared" si="1505"/>
        <v>686.5</v>
      </c>
      <c r="BO306" s="7">
        <f t="shared" si="1506"/>
        <v>572</v>
      </c>
      <c r="BP306" s="7">
        <f t="shared" si="1507"/>
        <v>457.5</v>
      </c>
      <c r="BQ306" s="7">
        <f t="shared" si="1508"/>
        <v>343</v>
      </c>
      <c r="BR306" s="7">
        <f t="shared" si="1509"/>
        <v>228.5</v>
      </c>
      <c r="BS306" s="7">
        <f t="shared" si="1510"/>
        <v>114</v>
      </c>
      <c r="BT306" s="7"/>
      <c r="BU306" s="7"/>
      <c r="BV306" s="236">
        <f t="shared" si="1489"/>
        <v>12.779461538461538</v>
      </c>
      <c r="BW306" s="7">
        <v>114.5</v>
      </c>
      <c r="BX306" s="39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236">
        <f t="shared" si="1490"/>
        <v>0</v>
      </c>
      <c r="CL306" s="7">
        <v>114.5</v>
      </c>
      <c r="CM306" s="39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236">
        <f t="shared" si="1491"/>
        <v>0</v>
      </c>
    </row>
    <row r="307" spans="1:104" ht="22.5" x14ac:dyDescent="0.2">
      <c r="A307" s="6" t="str">
        <f>'[1]2021 УГРЦТ'!A310</f>
        <v>Наружные высоковольтные сети эл/снаб. 600 м м-н Старый аэропорт (ТП №90)</v>
      </c>
      <c r="B307" t="str">
        <f>'[1]2021 УГРЦТ'!B310</f>
        <v>000001493</v>
      </c>
      <c r="C307" t="str">
        <f>'[1]2021 УГРЦТ'!C310</f>
        <v>ПЕРЕДАЧА</v>
      </c>
      <c r="D307" t="str">
        <f>'[1]2021 УГРЦТ'!D310</f>
        <v>Сооружения</v>
      </c>
      <c r="E307" t="str">
        <f>'[1]2021 УГРЦТ'!E310</f>
        <v>31.10.2012</v>
      </c>
      <c r="F307" t="str">
        <f>'[1]2021 УГРЦТ'!F310</f>
        <v>Цех электрических сетей</v>
      </c>
      <c r="G307">
        <f>'[1]2021 УГРЦТ'!AC310</f>
        <v>356</v>
      </c>
      <c r="H307" s="7">
        <f>'[1]2021 УГРЦТ'!X310</f>
        <v>2061087.67</v>
      </c>
      <c r="I307" s="7">
        <f>'[1]2021 УГРЦТ'!Y310</f>
        <v>636852.72528089886</v>
      </c>
      <c r="J307" s="7">
        <f>'[1]2021 УГРЦТ'!Z310</f>
        <v>1424234.9447191011</v>
      </c>
      <c r="K307" s="8">
        <v>1</v>
      </c>
      <c r="L307" s="7">
        <v>5789.57</v>
      </c>
      <c r="M307" s="7"/>
      <c r="N307" s="7">
        <f t="shared" si="1492"/>
        <v>69474.84</v>
      </c>
      <c r="O307" s="7">
        <f t="shared" si="1433"/>
        <v>1418445.374719101</v>
      </c>
      <c r="P307" s="7">
        <f t="shared" si="1493"/>
        <v>1412655.8047191009</v>
      </c>
      <c r="Q307" s="7">
        <f t="shared" si="1493"/>
        <v>1406866.2347191009</v>
      </c>
      <c r="R307" s="7">
        <f t="shared" si="1493"/>
        <v>1401076.6647191008</v>
      </c>
      <c r="S307" s="7">
        <f t="shared" si="1493"/>
        <v>1395287.0947191007</v>
      </c>
      <c r="T307" s="7">
        <f t="shared" si="1493"/>
        <v>1389497.5247191007</v>
      </c>
      <c r="U307" s="7">
        <f t="shared" si="1493"/>
        <v>1383707.9547191006</v>
      </c>
      <c r="V307" s="7">
        <f t="shared" si="1493"/>
        <v>1377918.3847191005</v>
      </c>
      <c r="W307" s="7">
        <f t="shared" si="1493"/>
        <v>1372128.8147191005</v>
      </c>
      <c r="X307" s="7">
        <f t="shared" si="1493"/>
        <v>1366339.2447191004</v>
      </c>
      <c r="Y307" s="7">
        <f t="shared" si="1493"/>
        <v>1360549.6747191004</v>
      </c>
      <c r="Z307" s="7">
        <f t="shared" si="1493"/>
        <v>1354760.1047191003</v>
      </c>
      <c r="AA307" s="7">
        <f t="shared" si="1487"/>
        <v>30568.945543820213</v>
      </c>
      <c r="AB307" s="7"/>
      <c r="AC307" s="7">
        <f t="shared" si="1434"/>
        <v>69474.84</v>
      </c>
      <c r="AD307" s="7">
        <f t="shared" si="1435"/>
        <v>1348970.5347191002</v>
      </c>
      <c r="AE307" s="7">
        <f t="shared" si="1496"/>
        <v>1343180.9647191002</v>
      </c>
      <c r="AF307" s="7">
        <f t="shared" si="1496"/>
        <v>1337391.3947191001</v>
      </c>
      <c r="AG307" s="7">
        <f t="shared" si="1496"/>
        <v>1331601.8247191</v>
      </c>
      <c r="AH307" s="7">
        <f t="shared" si="1496"/>
        <v>1325812.2547191</v>
      </c>
      <c r="AI307" s="7">
        <f t="shared" si="1496"/>
        <v>1320022.6847190999</v>
      </c>
      <c r="AJ307" s="7">
        <f t="shared" si="1496"/>
        <v>1314233.1147190998</v>
      </c>
      <c r="AK307" s="7">
        <f t="shared" si="1496"/>
        <v>1308443.5447190998</v>
      </c>
      <c r="AL307" s="7">
        <f t="shared" si="1496"/>
        <v>1302653.9747190997</v>
      </c>
      <c r="AM307" s="7">
        <f t="shared" si="1496"/>
        <v>1296864.4047190996</v>
      </c>
      <c r="AN307" s="7">
        <f t="shared" si="1496"/>
        <v>1291074.8347190996</v>
      </c>
      <c r="AO307" s="7">
        <f t="shared" si="1496"/>
        <v>1285285.2647190995</v>
      </c>
      <c r="AP307" s="222">
        <f t="shared" si="1497"/>
        <v>29040.499063820193</v>
      </c>
      <c r="AQ307" s="7">
        <v>5789.57</v>
      </c>
      <c r="AR307" s="7">
        <f t="shared" si="1436"/>
        <v>5789.5700000000652</v>
      </c>
      <c r="AS307" s="7">
        <f t="shared" si="1437"/>
        <v>6.5483618527650833E-11</v>
      </c>
      <c r="AT307" s="7">
        <f t="shared" si="1498"/>
        <v>69474.84</v>
      </c>
      <c r="AU307" s="7">
        <f t="shared" si="1499"/>
        <v>1279495.6947190994</v>
      </c>
      <c r="AV307" s="7">
        <f t="shared" si="1500"/>
        <v>1273706.1247190994</v>
      </c>
      <c r="AW307" s="7">
        <f t="shared" si="1500"/>
        <v>1267916.5547190993</v>
      </c>
      <c r="AX307" s="7">
        <f t="shared" si="1500"/>
        <v>1262126.9847190992</v>
      </c>
      <c r="AY307" s="7">
        <f t="shared" si="1500"/>
        <v>1256337.4147190992</v>
      </c>
      <c r="AZ307" s="7">
        <f t="shared" si="1500"/>
        <v>1250547.8447190991</v>
      </c>
      <c r="BA307" s="7">
        <f t="shared" si="1500"/>
        <v>1244758.274719099</v>
      </c>
      <c r="BB307" s="7">
        <f t="shared" si="1500"/>
        <v>1238968.704719099</v>
      </c>
      <c r="BC307" s="7">
        <f t="shared" si="1500"/>
        <v>1233179.1347190989</v>
      </c>
      <c r="BD307" s="7">
        <f t="shared" si="1500"/>
        <v>1227389.5647190989</v>
      </c>
      <c r="BE307" s="7">
        <f t="shared" si="1500"/>
        <v>1221599.9947190988</v>
      </c>
      <c r="BF307" s="7">
        <f t="shared" si="1500"/>
        <v>1215810.4247190987</v>
      </c>
      <c r="BG307" s="236">
        <f t="shared" si="1419"/>
        <v>27512.052583820179</v>
      </c>
      <c r="BH307" s="7">
        <v>5789.57</v>
      </c>
      <c r="BI307" s="39">
        <f t="shared" ref="BI307:BI317" si="1535">BH307*12</f>
        <v>69474.84</v>
      </c>
      <c r="BJ307" s="7">
        <f t="shared" si="1501"/>
        <v>1210020.8547190987</v>
      </c>
      <c r="BK307" s="7">
        <f t="shared" si="1502"/>
        <v>1204231.2847190986</v>
      </c>
      <c r="BL307" s="7">
        <f t="shared" si="1503"/>
        <v>1198441.7147190985</v>
      </c>
      <c r="BM307" s="7">
        <f t="shared" si="1504"/>
        <v>1192652.1447190985</v>
      </c>
      <c r="BN307" s="7">
        <f t="shared" si="1505"/>
        <v>1186862.5747190984</v>
      </c>
      <c r="BO307" s="7">
        <f t="shared" si="1506"/>
        <v>1181073.0047190983</v>
      </c>
      <c r="BP307" s="7">
        <f t="shared" si="1507"/>
        <v>1175283.4347190983</v>
      </c>
      <c r="BQ307" s="7">
        <f t="shared" si="1508"/>
        <v>1169493.8647190982</v>
      </c>
      <c r="BR307" s="7">
        <f t="shared" si="1509"/>
        <v>1163704.2947190981</v>
      </c>
      <c r="BS307" s="7">
        <f t="shared" si="1510"/>
        <v>1157914.7247190981</v>
      </c>
      <c r="BT307" s="7">
        <f t="shared" si="1511"/>
        <v>1152125.154719098</v>
      </c>
      <c r="BU307" s="7">
        <f t="shared" si="1512"/>
        <v>1146335.5847190979</v>
      </c>
      <c r="BV307" s="236">
        <f t="shared" si="1489"/>
        <v>25983.606103820155</v>
      </c>
      <c r="BW307" s="7">
        <v>5789.57</v>
      </c>
      <c r="BX307" s="39">
        <f t="shared" ref="BX307:BX317" si="1536">BW307*12</f>
        <v>69474.84</v>
      </c>
      <c r="BY307" s="7">
        <f t="shared" ref="BY307:BY317" si="1537">BU307-BW307</f>
        <v>1140546.0147190979</v>
      </c>
      <c r="BZ307" s="7">
        <f t="shared" si="1513"/>
        <v>1134756.4447190978</v>
      </c>
      <c r="CA307" s="7">
        <f t="shared" si="1514"/>
        <v>1128966.8747190977</v>
      </c>
      <c r="CB307" s="7">
        <f t="shared" si="1515"/>
        <v>1123177.3047190977</v>
      </c>
      <c r="CC307" s="7">
        <f t="shared" si="1516"/>
        <v>1117387.7347190976</v>
      </c>
      <c r="CD307" s="7">
        <f t="shared" si="1517"/>
        <v>1111598.1647190975</v>
      </c>
      <c r="CE307" s="7">
        <f t="shared" si="1518"/>
        <v>1105808.5947190975</v>
      </c>
      <c r="CF307" s="7">
        <f t="shared" si="1519"/>
        <v>1100019.0247190974</v>
      </c>
      <c r="CG307" s="7">
        <f t="shared" si="1520"/>
        <v>1094229.4547190974</v>
      </c>
      <c r="CH307" s="7">
        <f t="shared" si="1521"/>
        <v>1088439.8847190973</v>
      </c>
      <c r="CI307" s="7">
        <f t="shared" ref="CI307:CI317" si="1538">CH307-$L307</f>
        <v>1082650.3147190972</v>
      </c>
      <c r="CJ307" s="7">
        <f t="shared" ref="CJ307:CJ312" si="1539">CI307-$L307</f>
        <v>1076860.7447190972</v>
      </c>
      <c r="CK307" s="236">
        <f t="shared" si="1490"/>
        <v>24455.159623820145</v>
      </c>
      <c r="CL307" s="7">
        <v>5789.57</v>
      </c>
      <c r="CM307" s="39">
        <f t="shared" ref="CM307:CM317" si="1540">CL307*12</f>
        <v>69474.84</v>
      </c>
      <c r="CN307" s="7">
        <f t="shared" ref="CN307:CN317" si="1541">CJ307-CL307</f>
        <v>1071071.1747190971</v>
      </c>
      <c r="CO307" s="7">
        <f t="shared" ref="CO307:CO317" si="1542">CN307-$L307</f>
        <v>1065281.604719097</v>
      </c>
      <c r="CP307" s="7">
        <f t="shared" ref="CP307:CP317" si="1543">CO307-$L307</f>
        <v>1059492.034719097</v>
      </c>
      <c r="CQ307" s="7">
        <f t="shared" ref="CQ307:CQ317" si="1544">CP307-$L307</f>
        <v>1053702.4647190969</v>
      </c>
      <c r="CR307" s="7">
        <f t="shared" ref="CR307:CR317" si="1545">CQ307-$L307</f>
        <v>1047912.8947190969</v>
      </c>
      <c r="CS307" s="7">
        <f t="shared" ref="CS307:CS317" si="1546">CR307-$L307</f>
        <v>1042123.324719097</v>
      </c>
      <c r="CT307" s="7">
        <f t="shared" ref="CT307:CT317" si="1547">CS307-$L307</f>
        <v>1036333.7547190971</v>
      </c>
      <c r="CU307" s="7">
        <f t="shared" ref="CU307:CU317" si="1548">CT307-$L307</f>
        <v>1030544.1847190971</v>
      </c>
      <c r="CV307" s="7">
        <f t="shared" ref="CV307:CV312" si="1549">CU307-$L307</f>
        <v>1024754.6147190972</v>
      </c>
      <c r="CW307" s="7">
        <f t="shared" ref="CW307:CW317" si="1550">CV307-$L307</f>
        <v>1018965.0447190972</v>
      </c>
      <c r="CX307" s="7">
        <f t="shared" ref="CX307:CX317" si="1551">CW307-$L307</f>
        <v>1013175.4747190973</v>
      </c>
      <c r="CY307" s="7">
        <f t="shared" ref="CY307:CY312" si="1552">CX307-$L307</f>
        <v>1007385.9047190973</v>
      </c>
      <c r="CZ307" s="236">
        <f t="shared" si="1491"/>
        <v>22926.713143820132</v>
      </c>
    </row>
    <row r="308" spans="1:104" x14ac:dyDescent="0.2">
      <c r="A308" s="6" t="str">
        <f>'[1]2021 УГРЦТ'!A311</f>
        <v xml:space="preserve">Наружные эл сети по ул Озерная </v>
      </c>
      <c r="B308" t="str">
        <f>'[1]2021 УГРЦТ'!B311</f>
        <v>00000257</v>
      </c>
      <c r="C308" t="str">
        <f>'[1]2021 УГРЦТ'!C311</f>
        <v>ПЕРЕДАЧА</v>
      </c>
      <c r="D308" t="str">
        <f>'[1]2021 УГРЦТ'!D311</f>
        <v>Сооружения</v>
      </c>
      <c r="E308" t="str">
        <f>'[1]2021 УГРЦТ'!E311</f>
        <v>01.09.1998</v>
      </c>
      <c r="F308" t="str">
        <f>'[1]2021 УГРЦТ'!F311</f>
        <v>Цех электрических сетей</v>
      </c>
      <c r="G308">
        <f>'[1]2021 УГРЦТ'!AC311</f>
        <v>384</v>
      </c>
      <c r="H308" s="7">
        <f>'[1]2021 УГРЦТ'!X311</f>
        <v>374534.37</v>
      </c>
      <c r="I308" s="7">
        <f>'[1]2021 УГРЦТ'!Y311</f>
        <v>180934.45</v>
      </c>
      <c r="J308" s="7">
        <f>'[1]2021 УГРЦТ'!Z311</f>
        <v>193599.91999999998</v>
      </c>
      <c r="K308" s="8">
        <v>1</v>
      </c>
      <c r="L308" s="7">
        <v>1862.1199999999992</v>
      </c>
      <c r="M308" s="7"/>
      <c r="N308" s="7">
        <f t="shared" si="1492"/>
        <v>22345.439999999991</v>
      </c>
      <c r="O308" s="7">
        <f t="shared" si="1433"/>
        <v>191737.8</v>
      </c>
      <c r="P308" s="7">
        <f t="shared" si="1493"/>
        <v>189875.68</v>
      </c>
      <c r="Q308" s="7">
        <f t="shared" si="1493"/>
        <v>188013.56</v>
      </c>
      <c r="R308" s="7">
        <f t="shared" si="1493"/>
        <v>186151.44</v>
      </c>
      <c r="S308" s="7">
        <f t="shared" si="1493"/>
        <v>184289.32</v>
      </c>
      <c r="T308" s="7">
        <f t="shared" si="1493"/>
        <v>182427.2</v>
      </c>
      <c r="U308" s="7">
        <f t="shared" si="1493"/>
        <v>180565.08000000002</v>
      </c>
      <c r="V308" s="7">
        <f t="shared" si="1493"/>
        <v>178702.96000000002</v>
      </c>
      <c r="W308" s="7">
        <f t="shared" si="1493"/>
        <v>176840.84000000003</v>
      </c>
      <c r="X308" s="7">
        <f t="shared" si="1493"/>
        <v>174978.72000000003</v>
      </c>
      <c r="Y308" s="7">
        <f t="shared" si="1493"/>
        <v>173116.60000000003</v>
      </c>
      <c r="Z308" s="7">
        <f t="shared" si="1493"/>
        <v>171254.48000000004</v>
      </c>
      <c r="AA308" s="7">
        <f t="shared" si="1487"/>
        <v>4013.3984</v>
      </c>
      <c r="AB308" s="7"/>
      <c r="AC308" s="7">
        <f t="shared" si="1434"/>
        <v>22345.439999999991</v>
      </c>
      <c r="AD308" s="7">
        <f t="shared" si="1435"/>
        <v>169392.36000000004</v>
      </c>
      <c r="AE308" s="7">
        <f t="shared" si="1496"/>
        <v>167530.24000000005</v>
      </c>
      <c r="AF308" s="7">
        <f t="shared" si="1496"/>
        <v>165668.12000000005</v>
      </c>
      <c r="AG308" s="7">
        <f t="shared" si="1496"/>
        <v>163806.00000000006</v>
      </c>
      <c r="AH308" s="7">
        <f t="shared" si="1496"/>
        <v>161943.88000000006</v>
      </c>
      <c r="AI308" s="7">
        <f t="shared" si="1496"/>
        <v>160081.76000000007</v>
      </c>
      <c r="AJ308" s="7">
        <f t="shared" si="1496"/>
        <v>158219.64000000007</v>
      </c>
      <c r="AK308" s="7">
        <f t="shared" si="1496"/>
        <v>156357.52000000008</v>
      </c>
      <c r="AL308" s="7">
        <f t="shared" si="1496"/>
        <v>154495.40000000008</v>
      </c>
      <c r="AM308" s="7">
        <f t="shared" si="1496"/>
        <v>152633.28000000009</v>
      </c>
      <c r="AN308" s="7">
        <f t="shared" si="1496"/>
        <v>150771.16000000009</v>
      </c>
      <c r="AO308" s="7">
        <f t="shared" si="1496"/>
        <v>148909.0400000001</v>
      </c>
      <c r="AP308" s="222">
        <f t="shared" si="1497"/>
        <v>3521.7987200000011</v>
      </c>
      <c r="AQ308" s="7">
        <v>1862.1199999999992</v>
      </c>
      <c r="AR308" s="7">
        <f t="shared" si="1436"/>
        <v>1862.1199999999953</v>
      </c>
      <c r="AS308" s="7">
        <f t="shared" si="1437"/>
        <v>-3.865352482534945E-12</v>
      </c>
      <c r="AT308" s="7">
        <f t="shared" si="1498"/>
        <v>22345.439999999991</v>
      </c>
      <c r="AU308" s="7">
        <f t="shared" si="1499"/>
        <v>147046.9200000001</v>
      </c>
      <c r="AV308" s="7">
        <f t="shared" si="1500"/>
        <v>145184.8000000001</v>
      </c>
      <c r="AW308" s="7">
        <f t="shared" si="1500"/>
        <v>143322.68000000011</v>
      </c>
      <c r="AX308" s="7">
        <f t="shared" si="1500"/>
        <v>141460.56000000011</v>
      </c>
      <c r="AY308" s="7">
        <f t="shared" si="1500"/>
        <v>139598.44000000012</v>
      </c>
      <c r="AZ308" s="7">
        <f t="shared" si="1500"/>
        <v>137736.32000000012</v>
      </c>
      <c r="BA308" s="7">
        <f t="shared" si="1500"/>
        <v>135874.20000000013</v>
      </c>
      <c r="BB308" s="7">
        <f t="shared" si="1500"/>
        <v>134012.08000000013</v>
      </c>
      <c r="BC308" s="7">
        <f t="shared" si="1500"/>
        <v>132149.96000000014</v>
      </c>
      <c r="BD308" s="7">
        <f t="shared" si="1500"/>
        <v>130287.84000000014</v>
      </c>
      <c r="BE308" s="7">
        <f t="shared" si="1500"/>
        <v>128425.72000000015</v>
      </c>
      <c r="BF308" s="7">
        <f t="shared" si="1500"/>
        <v>126563.60000000015</v>
      </c>
      <c r="BG308" s="236">
        <f t="shared" si="1419"/>
        <v>3030.1990400000027</v>
      </c>
      <c r="BH308" s="7">
        <v>1862.1199999999992</v>
      </c>
      <c r="BI308" s="39">
        <f t="shared" si="1535"/>
        <v>22345.439999999991</v>
      </c>
      <c r="BJ308" s="7">
        <f t="shared" si="1501"/>
        <v>124701.48000000016</v>
      </c>
      <c r="BK308" s="7">
        <f t="shared" si="1502"/>
        <v>122839.36000000016</v>
      </c>
      <c r="BL308" s="7">
        <f t="shared" si="1503"/>
        <v>120977.24000000017</v>
      </c>
      <c r="BM308" s="7">
        <f t="shared" si="1504"/>
        <v>119115.12000000017</v>
      </c>
      <c r="BN308" s="7">
        <f t="shared" si="1505"/>
        <v>117253.00000000017</v>
      </c>
      <c r="BO308" s="7">
        <f t="shared" si="1506"/>
        <v>115390.88000000018</v>
      </c>
      <c r="BP308" s="7">
        <f t="shared" si="1507"/>
        <v>113528.76000000018</v>
      </c>
      <c r="BQ308" s="7">
        <f t="shared" si="1508"/>
        <v>111666.64000000019</v>
      </c>
      <c r="BR308" s="7">
        <f t="shared" si="1509"/>
        <v>109804.52000000019</v>
      </c>
      <c r="BS308" s="7">
        <f t="shared" si="1510"/>
        <v>107942.4000000002</v>
      </c>
      <c r="BT308" s="7">
        <f t="shared" si="1511"/>
        <v>106080.2800000002</v>
      </c>
      <c r="BU308" s="7">
        <f t="shared" si="1512"/>
        <v>104218.16000000021</v>
      </c>
      <c r="BV308" s="236">
        <f t="shared" si="1489"/>
        <v>2538.5993600000038</v>
      </c>
      <c r="BW308" s="7">
        <v>1862.1199999999992</v>
      </c>
      <c r="BX308" s="39">
        <f t="shared" si="1536"/>
        <v>22345.439999999991</v>
      </c>
      <c r="BY308" s="7">
        <f t="shared" si="1537"/>
        <v>102356.04000000021</v>
      </c>
      <c r="BZ308" s="7">
        <f t="shared" si="1513"/>
        <v>100493.92000000022</v>
      </c>
      <c r="CA308" s="7">
        <f t="shared" si="1514"/>
        <v>98631.800000000221</v>
      </c>
      <c r="CB308" s="7">
        <f t="shared" si="1515"/>
        <v>96769.680000000226</v>
      </c>
      <c r="CC308" s="7">
        <f t="shared" si="1516"/>
        <v>94907.560000000231</v>
      </c>
      <c r="CD308" s="7">
        <f t="shared" si="1517"/>
        <v>93045.440000000235</v>
      </c>
      <c r="CE308" s="7">
        <f t="shared" si="1518"/>
        <v>91183.32000000024</v>
      </c>
      <c r="CF308" s="7">
        <f t="shared" si="1519"/>
        <v>89321.200000000244</v>
      </c>
      <c r="CG308" s="7">
        <f t="shared" si="1520"/>
        <v>87459.080000000249</v>
      </c>
      <c r="CH308" s="7">
        <f t="shared" si="1521"/>
        <v>85596.960000000254</v>
      </c>
      <c r="CI308" s="7">
        <f t="shared" si="1538"/>
        <v>83734.840000000258</v>
      </c>
      <c r="CJ308" s="7">
        <f t="shared" si="1539"/>
        <v>81872.720000000263</v>
      </c>
      <c r="CK308" s="236">
        <f t="shared" si="1490"/>
        <v>2046.9996800000051</v>
      </c>
      <c r="CL308" s="7">
        <v>1862.1199999999992</v>
      </c>
      <c r="CM308" s="39">
        <f t="shared" si="1540"/>
        <v>22345.439999999991</v>
      </c>
      <c r="CN308" s="7">
        <f t="shared" si="1541"/>
        <v>80010.600000000268</v>
      </c>
      <c r="CO308" s="7">
        <f t="shared" si="1542"/>
        <v>78148.480000000272</v>
      </c>
      <c r="CP308" s="7">
        <f t="shared" si="1543"/>
        <v>76286.360000000277</v>
      </c>
      <c r="CQ308" s="7">
        <f t="shared" si="1544"/>
        <v>74424.240000000282</v>
      </c>
      <c r="CR308" s="7">
        <f t="shared" si="1545"/>
        <v>72562.120000000286</v>
      </c>
      <c r="CS308" s="7">
        <f t="shared" si="1546"/>
        <v>70700.000000000291</v>
      </c>
      <c r="CT308" s="7">
        <f t="shared" si="1547"/>
        <v>68837.880000000296</v>
      </c>
      <c r="CU308" s="7">
        <f t="shared" si="1548"/>
        <v>66975.7600000003</v>
      </c>
      <c r="CV308" s="7">
        <f t="shared" si="1549"/>
        <v>65113.640000000298</v>
      </c>
      <c r="CW308" s="7">
        <f t="shared" si="1550"/>
        <v>63251.520000000295</v>
      </c>
      <c r="CX308" s="7">
        <f t="shared" si="1551"/>
        <v>61389.400000000292</v>
      </c>
      <c r="CY308" s="7">
        <f t="shared" si="1552"/>
        <v>59527.28000000029</v>
      </c>
      <c r="CZ308" s="236">
        <f t="shared" si="1491"/>
        <v>1555.4000000000058</v>
      </c>
    </row>
    <row r="309" spans="1:104" x14ac:dyDescent="0.2">
      <c r="A309" s="6" t="str">
        <f>'[1]2021 УГРЦТ'!A312</f>
        <v>Оборудование ТП №83 "Теплица"</v>
      </c>
      <c r="B309" t="str">
        <f>'[1]2021 УГРЦТ'!B312</f>
        <v>000001648</v>
      </c>
      <c r="C309" t="str">
        <f>'[1]2021 УГРЦТ'!C312</f>
        <v>ПЕРЕДАЧА</v>
      </c>
      <c r="D309" t="str">
        <f>'[1]2021 УГРЦТ'!D312</f>
        <v>Машины и оборудование (кроме офисного)</v>
      </c>
      <c r="E309" t="str">
        <f>'[1]2021 УГРЦТ'!E312</f>
        <v>31.12.2014</v>
      </c>
      <c r="F309" t="str">
        <f>'[1]2021 УГРЦТ'!F312</f>
        <v>Цех электрических сетей</v>
      </c>
      <c r="G309">
        <f>'[1]2021 УГРЦТ'!AC312</f>
        <v>240</v>
      </c>
      <c r="H309" s="7">
        <f>'[1]2021 УГРЦТ'!X312</f>
        <v>15492697.810000001</v>
      </c>
      <c r="I309" s="7">
        <f>'[1]2021 УГРЦТ'!Y312</f>
        <v>5422444.4104999993</v>
      </c>
      <c r="J309" s="7">
        <f>'[1]2021 УГРЦТ'!Z312</f>
        <v>10070253.399500001</v>
      </c>
      <c r="K309" s="8">
        <v>0</v>
      </c>
      <c r="L309" s="7">
        <v>64552.910000000025</v>
      </c>
      <c r="M309" s="7"/>
      <c r="N309" s="7">
        <f t="shared" si="1492"/>
        <v>774634.92000000027</v>
      </c>
      <c r="O309" s="7">
        <f t="shared" si="1433"/>
        <v>10005700.489500001</v>
      </c>
      <c r="P309" s="7">
        <f t="shared" si="1493"/>
        <v>9941147.5795000009</v>
      </c>
      <c r="Q309" s="7">
        <f t="shared" si="1493"/>
        <v>9876594.6695000008</v>
      </c>
      <c r="R309" s="7">
        <f t="shared" si="1493"/>
        <v>9812041.7595000006</v>
      </c>
      <c r="S309" s="7">
        <f t="shared" si="1493"/>
        <v>9747488.8495000005</v>
      </c>
      <c r="T309" s="7">
        <f t="shared" si="1493"/>
        <v>9682935.9395000003</v>
      </c>
      <c r="U309" s="7">
        <f t="shared" si="1493"/>
        <v>9618383.0295000002</v>
      </c>
      <c r="V309" s="7">
        <f t="shared" si="1493"/>
        <v>9553830.1195</v>
      </c>
      <c r="W309" s="7">
        <f t="shared" si="1493"/>
        <v>9489277.2094999999</v>
      </c>
      <c r="X309" s="7">
        <f t="shared" si="1493"/>
        <v>9424724.2994999997</v>
      </c>
      <c r="Y309" s="7">
        <f t="shared" si="1493"/>
        <v>9360171.3894999996</v>
      </c>
      <c r="Z309" s="7">
        <f t="shared" si="1493"/>
        <v>9295618.4794999994</v>
      </c>
      <c r="AA309" s="7"/>
      <c r="AB309" s="7"/>
      <c r="AC309" s="7">
        <f t="shared" si="1434"/>
        <v>774634.92000000027</v>
      </c>
      <c r="AD309" s="7">
        <f t="shared" si="1435"/>
        <v>9231065.5694999993</v>
      </c>
      <c r="AE309" s="7">
        <f t="shared" si="1496"/>
        <v>9166512.6594999991</v>
      </c>
      <c r="AF309" s="7">
        <f t="shared" si="1496"/>
        <v>9101959.749499999</v>
      </c>
      <c r="AG309" s="7">
        <f t="shared" si="1496"/>
        <v>9037406.8394999988</v>
      </c>
      <c r="AH309" s="7">
        <f t="shared" si="1496"/>
        <v>8972853.9294999987</v>
      </c>
      <c r="AI309" s="7">
        <f t="shared" si="1496"/>
        <v>8908301.0194999985</v>
      </c>
      <c r="AJ309" s="7">
        <f t="shared" si="1496"/>
        <v>8843748.1094999984</v>
      </c>
      <c r="AK309" s="7">
        <f t="shared" si="1496"/>
        <v>8779195.1994999982</v>
      </c>
      <c r="AL309" s="7">
        <f t="shared" si="1496"/>
        <v>8714642.2894999981</v>
      </c>
      <c r="AM309" s="7">
        <f t="shared" si="1496"/>
        <v>8650089.3794999979</v>
      </c>
      <c r="AN309" s="7">
        <f t="shared" si="1496"/>
        <v>8585536.4694999978</v>
      </c>
      <c r="AO309" s="7">
        <f t="shared" si="1496"/>
        <v>8520983.5594999976</v>
      </c>
      <c r="AP309" s="222"/>
      <c r="AQ309" s="7">
        <v>64552.910000000025</v>
      </c>
      <c r="AR309" s="7">
        <f t="shared" si="1436"/>
        <v>64552.910000000149</v>
      </c>
      <c r="AS309" s="7">
        <f t="shared" si="1437"/>
        <v>1.2369127944111824E-10</v>
      </c>
      <c r="AT309" s="7">
        <f t="shared" si="1498"/>
        <v>774634.92000000027</v>
      </c>
      <c r="AU309" s="7">
        <f t="shared" si="1499"/>
        <v>8456430.6494999975</v>
      </c>
      <c r="AV309" s="7">
        <f t="shared" si="1500"/>
        <v>8391877.7394999973</v>
      </c>
      <c r="AW309" s="7">
        <f t="shared" si="1500"/>
        <v>8327324.8294999972</v>
      </c>
      <c r="AX309" s="7">
        <f t="shared" si="1500"/>
        <v>8262771.919499997</v>
      </c>
      <c r="AY309" s="7">
        <f t="shared" si="1500"/>
        <v>8198219.0094999969</v>
      </c>
      <c r="AZ309" s="7">
        <f t="shared" si="1500"/>
        <v>8133666.0994999968</v>
      </c>
      <c r="BA309" s="7">
        <f t="shared" si="1500"/>
        <v>8069113.1894999966</v>
      </c>
      <c r="BB309" s="7">
        <f t="shared" si="1500"/>
        <v>8004560.2794999965</v>
      </c>
      <c r="BC309" s="7">
        <f t="shared" si="1500"/>
        <v>7940007.3694999963</v>
      </c>
      <c r="BD309" s="7">
        <f t="shared" si="1500"/>
        <v>7875454.4594999962</v>
      </c>
      <c r="BE309" s="7">
        <f t="shared" si="1500"/>
        <v>7810901.549499996</v>
      </c>
      <c r="BF309" s="7">
        <f t="shared" si="1500"/>
        <v>7746348.6394999959</v>
      </c>
      <c r="BG309" s="236">
        <f t="shared" si="1419"/>
        <v>0</v>
      </c>
      <c r="BH309" s="7">
        <v>64552.910000000025</v>
      </c>
      <c r="BI309" s="39">
        <f t="shared" si="1535"/>
        <v>774634.92000000027</v>
      </c>
      <c r="BJ309" s="7">
        <f t="shared" si="1501"/>
        <v>7681795.7294999957</v>
      </c>
      <c r="BK309" s="7">
        <f t="shared" si="1502"/>
        <v>7617242.8194999956</v>
      </c>
      <c r="BL309" s="7">
        <f t="shared" si="1503"/>
        <v>7552689.9094999954</v>
      </c>
      <c r="BM309" s="7">
        <f t="shared" si="1504"/>
        <v>7488136.9994999953</v>
      </c>
      <c r="BN309" s="7">
        <f t="shared" si="1505"/>
        <v>7423584.0894999951</v>
      </c>
      <c r="BO309" s="7">
        <f t="shared" si="1506"/>
        <v>7359031.179499995</v>
      </c>
      <c r="BP309" s="7">
        <f t="shared" si="1507"/>
        <v>7294478.2694999948</v>
      </c>
      <c r="BQ309" s="7">
        <f t="shared" si="1508"/>
        <v>7229925.3594999947</v>
      </c>
      <c r="BR309" s="7">
        <f t="shared" si="1509"/>
        <v>7165372.4494999945</v>
      </c>
      <c r="BS309" s="7">
        <f t="shared" si="1510"/>
        <v>7100819.5394999944</v>
      </c>
      <c r="BT309" s="7">
        <f t="shared" si="1511"/>
        <v>7036266.6294999942</v>
      </c>
      <c r="BU309" s="7">
        <f t="shared" si="1512"/>
        <v>6971713.7194999941</v>
      </c>
      <c r="BV309" s="236">
        <v>0</v>
      </c>
      <c r="BW309" s="7">
        <v>64552.910000000025</v>
      </c>
      <c r="BX309" s="39">
        <f t="shared" si="1536"/>
        <v>774634.92000000027</v>
      </c>
      <c r="BY309" s="7">
        <f t="shared" si="1537"/>
        <v>6907160.8094999939</v>
      </c>
      <c r="BZ309" s="7">
        <f t="shared" si="1513"/>
        <v>6842607.8994999938</v>
      </c>
      <c r="CA309" s="7">
        <f t="shared" si="1514"/>
        <v>6778054.9894999936</v>
      </c>
      <c r="CB309" s="7">
        <f t="shared" si="1515"/>
        <v>6713502.0794999935</v>
      </c>
      <c r="CC309" s="7">
        <f t="shared" si="1516"/>
        <v>6648949.1694999933</v>
      </c>
      <c r="CD309" s="7">
        <f t="shared" si="1517"/>
        <v>6584396.2594999932</v>
      </c>
      <c r="CE309" s="7">
        <f t="shared" si="1518"/>
        <v>6519843.349499993</v>
      </c>
      <c r="CF309" s="7">
        <f t="shared" si="1519"/>
        <v>6455290.4394999929</v>
      </c>
      <c r="CG309" s="7">
        <f t="shared" si="1520"/>
        <v>6390737.5294999927</v>
      </c>
      <c r="CH309" s="7">
        <f t="shared" si="1521"/>
        <v>6326184.6194999926</v>
      </c>
      <c r="CI309" s="7">
        <f t="shared" si="1538"/>
        <v>6261631.7094999924</v>
      </c>
      <c r="CJ309" s="7">
        <f t="shared" si="1539"/>
        <v>6197078.7994999923</v>
      </c>
      <c r="CK309" s="236">
        <v>0</v>
      </c>
      <c r="CL309" s="7">
        <v>64552.910000000025</v>
      </c>
      <c r="CM309" s="39">
        <f t="shared" si="1540"/>
        <v>774634.92000000027</v>
      </c>
      <c r="CN309" s="7">
        <f t="shared" si="1541"/>
        <v>6132525.8894999921</v>
      </c>
      <c r="CO309" s="7">
        <f t="shared" si="1542"/>
        <v>6067972.979499992</v>
      </c>
      <c r="CP309" s="7">
        <f t="shared" si="1543"/>
        <v>6003420.0694999918</v>
      </c>
      <c r="CQ309" s="7">
        <f t="shared" si="1544"/>
        <v>5938867.1594999917</v>
      </c>
      <c r="CR309" s="7">
        <f t="shared" si="1545"/>
        <v>5874314.2494999915</v>
      </c>
      <c r="CS309" s="7">
        <f t="shared" si="1546"/>
        <v>5809761.3394999914</v>
      </c>
      <c r="CT309" s="7">
        <f t="shared" si="1547"/>
        <v>5745208.4294999912</v>
      </c>
      <c r="CU309" s="7">
        <f t="shared" si="1548"/>
        <v>5680655.5194999911</v>
      </c>
      <c r="CV309" s="7">
        <f t="shared" si="1549"/>
        <v>5616102.6094999909</v>
      </c>
      <c r="CW309" s="7">
        <f t="shared" si="1550"/>
        <v>5551549.6994999908</v>
      </c>
      <c r="CX309" s="7">
        <f t="shared" si="1551"/>
        <v>5486996.7894999906</v>
      </c>
      <c r="CY309" s="7">
        <f t="shared" si="1552"/>
        <v>5422443.8794999905</v>
      </c>
      <c r="CZ309" s="236">
        <v>0</v>
      </c>
    </row>
    <row r="310" spans="1:104" x14ac:dyDescent="0.2">
      <c r="A310" s="6" t="str">
        <f>'[1]2021 УГРЦТ'!A313</f>
        <v>Оборудование ТП-18 ул 60 лет СССР 5</v>
      </c>
      <c r="B310" t="str">
        <f>'[1]2021 УГРЦТ'!B313</f>
        <v>00000569</v>
      </c>
      <c r="C310" t="str">
        <f>'[1]2021 УГРЦТ'!C313</f>
        <v>ПЕРЕДАЧА</v>
      </c>
      <c r="D310" t="str">
        <f>'[1]2021 УГРЦТ'!D313</f>
        <v>Машины и оборудование (кроме офисного)</v>
      </c>
      <c r="E310" t="str">
        <f>'[1]2021 УГРЦТ'!E313</f>
        <v>01.01.1981</v>
      </c>
      <c r="F310" t="str">
        <f>'[1]2021 УГРЦТ'!F313</f>
        <v>Цех электрических сетей</v>
      </c>
      <c r="G310">
        <f>'[1]2021 УГРЦТ'!AC313</f>
        <v>581</v>
      </c>
      <c r="H310" s="7">
        <f>'[1]2021 УГРЦТ'!X313</f>
        <v>655370.73</v>
      </c>
      <c r="I310" s="7">
        <f>'[1]2021 УГРЦТ'!Y313</f>
        <v>222562.69999999998</v>
      </c>
      <c r="J310" s="7">
        <f>'[1]2021 УГРЦТ'!Z313</f>
        <v>432808.03</v>
      </c>
      <c r="K310" s="8">
        <v>0</v>
      </c>
      <c r="L310" s="7">
        <v>4808.9799999999987</v>
      </c>
      <c r="M310" s="7"/>
      <c r="N310" s="7">
        <f t="shared" si="1492"/>
        <v>57707.75999999998</v>
      </c>
      <c r="O310" s="7">
        <f t="shared" si="1433"/>
        <v>427999.05000000005</v>
      </c>
      <c r="P310" s="7">
        <f t="shared" si="1493"/>
        <v>423190.07000000007</v>
      </c>
      <c r="Q310" s="7">
        <f t="shared" si="1493"/>
        <v>418381.09000000008</v>
      </c>
      <c r="R310" s="7">
        <f t="shared" si="1493"/>
        <v>413572.1100000001</v>
      </c>
      <c r="S310" s="7">
        <f t="shared" si="1493"/>
        <v>408763.13000000012</v>
      </c>
      <c r="T310" s="7">
        <f t="shared" si="1493"/>
        <v>403954.15000000014</v>
      </c>
      <c r="U310" s="7">
        <f t="shared" si="1493"/>
        <v>399145.17000000016</v>
      </c>
      <c r="V310" s="7">
        <f t="shared" si="1493"/>
        <v>394336.19000000018</v>
      </c>
      <c r="W310" s="7">
        <f t="shared" si="1493"/>
        <v>389527.2100000002</v>
      </c>
      <c r="X310" s="7">
        <f t="shared" si="1493"/>
        <v>384718.23000000021</v>
      </c>
      <c r="Y310" s="7">
        <f t="shared" si="1493"/>
        <v>379909.25000000023</v>
      </c>
      <c r="Z310" s="7">
        <f t="shared" si="1493"/>
        <v>375100.27000000025</v>
      </c>
      <c r="AA310" s="7"/>
      <c r="AB310" s="7"/>
      <c r="AC310" s="7">
        <f t="shared" si="1434"/>
        <v>57707.75999999998</v>
      </c>
      <c r="AD310" s="7">
        <f t="shared" si="1435"/>
        <v>370291.29000000027</v>
      </c>
      <c r="AE310" s="7">
        <f t="shared" si="1496"/>
        <v>365482.31000000029</v>
      </c>
      <c r="AF310" s="7">
        <f t="shared" si="1496"/>
        <v>360673.33000000031</v>
      </c>
      <c r="AG310" s="7">
        <f t="shared" si="1496"/>
        <v>355864.35000000033</v>
      </c>
      <c r="AH310" s="7">
        <f t="shared" si="1496"/>
        <v>351055.37000000034</v>
      </c>
      <c r="AI310" s="7">
        <f t="shared" si="1496"/>
        <v>346246.39000000036</v>
      </c>
      <c r="AJ310" s="7">
        <f t="shared" si="1496"/>
        <v>341437.41000000038</v>
      </c>
      <c r="AK310" s="7">
        <f t="shared" si="1496"/>
        <v>336628.4300000004</v>
      </c>
      <c r="AL310" s="7">
        <f t="shared" si="1496"/>
        <v>331819.45000000042</v>
      </c>
      <c r="AM310" s="7">
        <f t="shared" si="1496"/>
        <v>327010.47000000044</v>
      </c>
      <c r="AN310" s="7">
        <f t="shared" si="1496"/>
        <v>322201.49000000046</v>
      </c>
      <c r="AO310" s="7">
        <f t="shared" si="1496"/>
        <v>317392.51000000047</v>
      </c>
      <c r="AP310" s="222"/>
      <c r="AQ310" s="7">
        <v>4808.9799999999987</v>
      </c>
      <c r="AR310" s="7">
        <f t="shared" si="1436"/>
        <v>4808.9799999999814</v>
      </c>
      <c r="AS310" s="7">
        <f t="shared" si="1437"/>
        <v>-1.7280399333685637E-11</v>
      </c>
      <c r="AT310" s="7">
        <f t="shared" si="1498"/>
        <v>57707.75999999998</v>
      </c>
      <c r="AU310" s="7">
        <f t="shared" si="1499"/>
        <v>312583.53000000049</v>
      </c>
      <c r="AV310" s="7">
        <f t="shared" si="1500"/>
        <v>307774.55000000051</v>
      </c>
      <c r="AW310" s="7">
        <f t="shared" si="1500"/>
        <v>302965.57000000053</v>
      </c>
      <c r="AX310" s="7">
        <f t="shared" si="1500"/>
        <v>298156.59000000055</v>
      </c>
      <c r="AY310" s="7">
        <f t="shared" si="1500"/>
        <v>293347.61000000057</v>
      </c>
      <c r="AZ310" s="7">
        <f t="shared" si="1500"/>
        <v>288538.63000000059</v>
      </c>
      <c r="BA310" s="7">
        <f t="shared" si="1500"/>
        <v>283729.65000000061</v>
      </c>
      <c r="BB310" s="7">
        <f t="shared" si="1500"/>
        <v>278920.67000000062</v>
      </c>
      <c r="BC310" s="7">
        <f t="shared" si="1500"/>
        <v>274111.69000000064</v>
      </c>
      <c r="BD310" s="7">
        <f t="shared" si="1500"/>
        <v>269302.71000000066</v>
      </c>
      <c r="BE310" s="7">
        <f t="shared" si="1500"/>
        <v>264493.73000000068</v>
      </c>
      <c r="BF310" s="7">
        <f t="shared" si="1500"/>
        <v>259684.75000000067</v>
      </c>
      <c r="BG310" s="236">
        <f t="shared" si="1419"/>
        <v>0</v>
      </c>
      <c r="BH310" s="7">
        <v>4808.9799999999987</v>
      </c>
      <c r="BI310" s="39">
        <f t="shared" si="1535"/>
        <v>57707.75999999998</v>
      </c>
      <c r="BJ310" s="7">
        <f t="shared" si="1501"/>
        <v>254875.77000000066</v>
      </c>
      <c r="BK310" s="7">
        <f t="shared" si="1502"/>
        <v>250066.79000000065</v>
      </c>
      <c r="BL310" s="7">
        <f t="shared" si="1503"/>
        <v>245257.81000000064</v>
      </c>
      <c r="BM310" s="7">
        <f t="shared" si="1504"/>
        <v>240448.83000000063</v>
      </c>
      <c r="BN310" s="7">
        <f t="shared" si="1505"/>
        <v>235639.85000000062</v>
      </c>
      <c r="BO310" s="7">
        <f t="shared" si="1506"/>
        <v>230830.87000000061</v>
      </c>
      <c r="BP310" s="7">
        <f t="shared" si="1507"/>
        <v>226021.8900000006</v>
      </c>
      <c r="BQ310" s="7">
        <f t="shared" si="1508"/>
        <v>221212.91000000059</v>
      </c>
      <c r="BR310" s="7">
        <f t="shared" si="1509"/>
        <v>216403.93000000058</v>
      </c>
      <c r="BS310" s="7">
        <f t="shared" si="1510"/>
        <v>211594.95000000056</v>
      </c>
      <c r="BT310" s="7">
        <f t="shared" si="1511"/>
        <v>206785.97000000055</v>
      </c>
      <c r="BU310" s="7">
        <f t="shared" si="1512"/>
        <v>201976.99000000054</v>
      </c>
      <c r="BV310" s="236">
        <v>0</v>
      </c>
      <c r="BW310" s="7">
        <v>4808.9799999999987</v>
      </c>
      <c r="BX310" s="39">
        <f t="shared" si="1536"/>
        <v>57707.75999999998</v>
      </c>
      <c r="BY310" s="7">
        <f t="shared" si="1537"/>
        <v>197168.01000000053</v>
      </c>
      <c r="BZ310" s="7">
        <f t="shared" si="1513"/>
        <v>192359.03000000052</v>
      </c>
      <c r="CA310" s="7">
        <f t="shared" si="1514"/>
        <v>187550.05000000051</v>
      </c>
      <c r="CB310" s="7">
        <f t="shared" si="1515"/>
        <v>182741.0700000005</v>
      </c>
      <c r="CC310" s="7">
        <f t="shared" si="1516"/>
        <v>177932.09000000049</v>
      </c>
      <c r="CD310" s="7">
        <f t="shared" si="1517"/>
        <v>173123.11000000048</v>
      </c>
      <c r="CE310" s="7">
        <f t="shared" si="1518"/>
        <v>168314.13000000047</v>
      </c>
      <c r="CF310" s="7">
        <f t="shared" si="1519"/>
        <v>163505.15000000046</v>
      </c>
      <c r="CG310" s="7">
        <f t="shared" si="1520"/>
        <v>158696.17000000045</v>
      </c>
      <c r="CH310" s="7">
        <f t="shared" si="1521"/>
        <v>153887.19000000044</v>
      </c>
      <c r="CI310" s="7">
        <f t="shared" si="1538"/>
        <v>149078.21000000043</v>
      </c>
      <c r="CJ310" s="7">
        <f t="shared" si="1539"/>
        <v>144269.23000000042</v>
      </c>
      <c r="CK310" s="236">
        <v>0</v>
      </c>
      <c r="CL310" s="7">
        <v>4808.9799999999987</v>
      </c>
      <c r="CM310" s="39">
        <f t="shared" si="1540"/>
        <v>57707.75999999998</v>
      </c>
      <c r="CN310" s="7">
        <f t="shared" si="1541"/>
        <v>139460.25000000041</v>
      </c>
      <c r="CO310" s="7">
        <f t="shared" si="1542"/>
        <v>134651.2700000004</v>
      </c>
      <c r="CP310" s="7">
        <f t="shared" si="1543"/>
        <v>129842.2900000004</v>
      </c>
      <c r="CQ310" s="7">
        <f t="shared" si="1544"/>
        <v>125033.31000000041</v>
      </c>
      <c r="CR310" s="7">
        <f t="shared" si="1545"/>
        <v>120224.33000000041</v>
      </c>
      <c r="CS310" s="7">
        <f t="shared" si="1546"/>
        <v>115415.35000000041</v>
      </c>
      <c r="CT310" s="7">
        <f t="shared" si="1547"/>
        <v>110606.37000000042</v>
      </c>
      <c r="CU310" s="7">
        <f t="shared" si="1548"/>
        <v>105797.39000000042</v>
      </c>
      <c r="CV310" s="7">
        <f t="shared" si="1549"/>
        <v>100988.41000000043</v>
      </c>
      <c r="CW310" s="7">
        <f t="shared" si="1550"/>
        <v>96179.43000000043</v>
      </c>
      <c r="CX310" s="7">
        <f t="shared" si="1551"/>
        <v>91370.450000000434</v>
      </c>
      <c r="CY310" s="7">
        <f t="shared" si="1552"/>
        <v>86561.470000000438</v>
      </c>
      <c r="CZ310" s="236">
        <v>0</v>
      </c>
    </row>
    <row r="311" spans="1:104" x14ac:dyDescent="0.2">
      <c r="A311" s="6" t="str">
        <f>'[1]2021 УГРЦТ'!A314</f>
        <v>Оборудование ТП-19 ул  Южная, кот 2</v>
      </c>
      <c r="B311" t="str">
        <f>'[1]2021 УГРЦТ'!B314</f>
        <v>00000575</v>
      </c>
      <c r="C311" t="str">
        <f>'[1]2021 УГРЦТ'!C314</f>
        <v>ПЕРЕДАЧА</v>
      </c>
      <c r="D311" t="str">
        <f>'[1]2021 УГРЦТ'!D314</f>
        <v>Машины и оборудование (кроме офисного)</v>
      </c>
      <c r="E311" t="str">
        <f>'[1]2021 УГРЦТ'!E314</f>
        <v>01.01.1968</v>
      </c>
      <c r="F311" t="str">
        <f>'[1]2021 УГРЦТ'!F314</f>
        <v>Цех электрических сетей</v>
      </c>
      <c r="G311">
        <f>'[1]2021 УГРЦТ'!AC314</f>
        <v>180</v>
      </c>
      <c r="H311" s="7">
        <f>'[1]2021 УГРЦТ'!X314</f>
        <v>595136.96</v>
      </c>
      <c r="I311" s="7">
        <f>'[1]2021 УГРЦТ'!Y314</f>
        <v>266235.99</v>
      </c>
      <c r="J311" s="7">
        <f>'[1]2021 УГРЦТ'!Z314</f>
        <v>328900.96999999997</v>
      </c>
      <c r="K311" s="8">
        <v>0</v>
      </c>
      <c r="L311" s="7">
        <v>3962.6699999999987</v>
      </c>
      <c r="M311" s="7"/>
      <c r="N311" s="7">
        <f t="shared" si="1492"/>
        <v>47552.039999999986</v>
      </c>
      <c r="O311" s="7">
        <f t="shared" si="1433"/>
        <v>324938.3</v>
      </c>
      <c r="P311" s="7">
        <f t="shared" ref="P311:Z326" si="1553">O311-$L311</f>
        <v>320975.63</v>
      </c>
      <c r="Q311" s="7">
        <f t="shared" si="1553"/>
        <v>317012.96000000002</v>
      </c>
      <c r="R311" s="7">
        <f t="shared" si="1553"/>
        <v>313050.29000000004</v>
      </c>
      <c r="S311" s="7">
        <f t="shared" si="1553"/>
        <v>309087.62000000005</v>
      </c>
      <c r="T311" s="7">
        <f t="shared" si="1553"/>
        <v>305124.95000000007</v>
      </c>
      <c r="U311" s="7">
        <f t="shared" si="1553"/>
        <v>301162.28000000009</v>
      </c>
      <c r="V311" s="7">
        <f t="shared" si="1553"/>
        <v>297199.6100000001</v>
      </c>
      <c r="W311" s="7">
        <f t="shared" si="1553"/>
        <v>293236.94000000012</v>
      </c>
      <c r="X311" s="7">
        <f t="shared" si="1553"/>
        <v>289274.27000000014</v>
      </c>
      <c r="Y311" s="7">
        <f t="shared" si="1553"/>
        <v>285311.60000000015</v>
      </c>
      <c r="Z311" s="7">
        <f t="shared" si="1553"/>
        <v>281348.93000000017</v>
      </c>
      <c r="AA311" s="7"/>
      <c r="AB311" s="7"/>
      <c r="AC311" s="7">
        <f t="shared" si="1434"/>
        <v>47552.039999999986</v>
      </c>
      <c r="AD311" s="7">
        <f t="shared" si="1435"/>
        <v>277386.26000000018</v>
      </c>
      <c r="AE311" s="7">
        <f t="shared" si="1496"/>
        <v>273423.5900000002</v>
      </c>
      <c r="AF311" s="7">
        <f t="shared" si="1496"/>
        <v>269460.92000000022</v>
      </c>
      <c r="AG311" s="7">
        <f t="shared" si="1496"/>
        <v>265498.25000000023</v>
      </c>
      <c r="AH311" s="7">
        <f t="shared" si="1496"/>
        <v>261535.58000000022</v>
      </c>
      <c r="AI311" s="7">
        <f t="shared" si="1496"/>
        <v>257572.91000000021</v>
      </c>
      <c r="AJ311" s="7">
        <f t="shared" si="1496"/>
        <v>253610.24000000019</v>
      </c>
      <c r="AK311" s="7">
        <f t="shared" si="1496"/>
        <v>249647.57000000018</v>
      </c>
      <c r="AL311" s="7">
        <f t="shared" si="1496"/>
        <v>245684.90000000017</v>
      </c>
      <c r="AM311" s="7">
        <f t="shared" si="1496"/>
        <v>241722.23000000016</v>
      </c>
      <c r="AN311" s="7">
        <f t="shared" si="1496"/>
        <v>237759.56000000014</v>
      </c>
      <c r="AO311" s="7">
        <f t="shared" si="1496"/>
        <v>233796.89000000013</v>
      </c>
      <c r="AP311" s="222"/>
      <c r="AQ311" s="7">
        <v>3962.6699999999987</v>
      </c>
      <c r="AR311" s="7">
        <f t="shared" si="1436"/>
        <v>3962.6700000000128</v>
      </c>
      <c r="AS311" s="7">
        <f t="shared" si="1437"/>
        <v>1.4097167877480388E-11</v>
      </c>
      <c r="AT311" s="7">
        <f t="shared" si="1498"/>
        <v>47552.039999999986</v>
      </c>
      <c r="AU311" s="7">
        <f t="shared" si="1499"/>
        <v>229834.22000000012</v>
      </c>
      <c r="AV311" s="7">
        <f t="shared" si="1500"/>
        <v>225871.5500000001</v>
      </c>
      <c r="AW311" s="7">
        <f t="shared" si="1500"/>
        <v>221908.88000000009</v>
      </c>
      <c r="AX311" s="7">
        <f t="shared" si="1500"/>
        <v>217946.21000000008</v>
      </c>
      <c r="AY311" s="7">
        <f t="shared" si="1500"/>
        <v>213983.54000000007</v>
      </c>
      <c r="AZ311" s="7">
        <f t="shared" si="1500"/>
        <v>210020.87000000005</v>
      </c>
      <c r="BA311" s="7">
        <f t="shared" si="1500"/>
        <v>206058.20000000004</v>
      </c>
      <c r="BB311" s="7">
        <f t="shared" si="1500"/>
        <v>202095.53000000003</v>
      </c>
      <c r="BC311" s="7">
        <f t="shared" si="1500"/>
        <v>198132.86000000002</v>
      </c>
      <c r="BD311" s="7">
        <f t="shared" si="1500"/>
        <v>194170.19</v>
      </c>
      <c r="BE311" s="7">
        <f t="shared" si="1500"/>
        <v>190207.52</v>
      </c>
      <c r="BF311" s="7">
        <f t="shared" si="1500"/>
        <v>186244.84999999998</v>
      </c>
      <c r="BG311" s="236">
        <f t="shared" si="1419"/>
        <v>0</v>
      </c>
      <c r="BH311" s="7">
        <v>3962.6699999999987</v>
      </c>
      <c r="BI311" s="39">
        <f t="shared" si="1535"/>
        <v>47552.039999999986</v>
      </c>
      <c r="BJ311" s="7">
        <f t="shared" si="1501"/>
        <v>182282.17999999996</v>
      </c>
      <c r="BK311" s="7">
        <f t="shared" si="1502"/>
        <v>178319.50999999995</v>
      </c>
      <c r="BL311" s="7">
        <f t="shared" si="1503"/>
        <v>174356.83999999994</v>
      </c>
      <c r="BM311" s="7">
        <f t="shared" si="1504"/>
        <v>170394.16999999993</v>
      </c>
      <c r="BN311" s="7">
        <f t="shared" si="1505"/>
        <v>166431.49999999991</v>
      </c>
      <c r="BO311" s="7">
        <f t="shared" si="1506"/>
        <v>162468.8299999999</v>
      </c>
      <c r="BP311" s="7">
        <f t="shared" si="1507"/>
        <v>158506.15999999989</v>
      </c>
      <c r="BQ311" s="7">
        <f t="shared" si="1508"/>
        <v>154543.48999999987</v>
      </c>
      <c r="BR311" s="7">
        <f t="shared" si="1509"/>
        <v>150580.81999999986</v>
      </c>
      <c r="BS311" s="7">
        <f t="shared" si="1510"/>
        <v>146618.14999999985</v>
      </c>
      <c r="BT311" s="7">
        <f t="shared" si="1511"/>
        <v>142655.47999999984</v>
      </c>
      <c r="BU311" s="7">
        <f t="shared" si="1512"/>
        <v>138692.80999999982</v>
      </c>
      <c r="BV311" s="236">
        <v>0</v>
      </c>
      <c r="BW311" s="7">
        <v>3962.6699999999987</v>
      </c>
      <c r="BX311" s="39">
        <f t="shared" si="1536"/>
        <v>47552.039999999986</v>
      </c>
      <c r="BY311" s="7">
        <f t="shared" si="1537"/>
        <v>134730.13999999981</v>
      </c>
      <c r="BZ311" s="7">
        <f t="shared" si="1513"/>
        <v>130767.46999999981</v>
      </c>
      <c r="CA311" s="7">
        <f t="shared" si="1514"/>
        <v>126804.79999999981</v>
      </c>
      <c r="CB311" s="7">
        <f t="shared" si="1515"/>
        <v>122842.12999999982</v>
      </c>
      <c r="CC311" s="7">
        <f t="shared" si="1516"/>
        <v>118879.45999999982</v>
      </c>
      <c r="CD311" s="7">
        <f t="shared" si="1517"/>
        <v>114916.78999999982</v>
      </c>
      <c r="CE311" s="7">
        <f t="shared" si="1518"/>
        <v>110954.11999999982</v>
      </c>
      <c r="CF311" s="7">
        <f t="shared" si="1519"/>
        <v>106991.44999999982</v>
      </c>
      <c r="CG311" s="7">
        <f t="shared" si="1520"/>
        <v>103028.77999999982</v>
      </c>
      <c r="CH311" s="7">
        <f t="shared" si="1521"/>
        <v>99066.109999999826</v>
      </c>
      <c r="CI311" s="7">
        <f t="shared" si="1538"/>
        <v>95103.439999999828</v>
      </c>
      <c r="CJ311" s="7">
        <f t="shared" si="1539"/>
        <v>91140.769999999829</v>
      </c>
      <c r="CK311" s="236">
        <v>0</v>
      </c>
      <c r="CL311" s="7">
        <v>3962.6699999999987</v>
      </c>
      <c r="CM311" s="39">
        <f t="shared" si="1540"/>
        <v>47552.039999999986</v>
      </c>
      <c r="CN311" s="7">
        <f t="shared" si="1541"/>
        <v>87178.099999999831</v>
      </c>
      <c r="CO311" s="7">
        <f t="shared" si="1542"/>
        <v>83215.429999999833</v>
      </c>
      <c r="CP311" s="7">
        <f t="shared" si="1543"/>
        <v>79252.759999999835</v>
      </c>
      <c r="CQ311" s="7">
        <f t="shared" si="1544"/>
        <v>75290.089999999836</v>
      </c>
      <c r="CR311" s="7">
        <f t="shared" si="1545"/>
        <v>71327.419999999838</v>
      </c>
      <c r="CS311" s="7">
        <f t="shared" si="1546"/>
        <v>67364.74999999984</v>
      </c>
      <c r="CT311" s="7">
        <f t="shared" si="1547"/>
        <v>63402.079999999842</v>
      </c>
      <c r="CU311" s="7">
        <f t="shared" si="1548"/>
        <v>59439.409999999843</v>
      </c>
      <c r="CV311" s="7">
        <f t="shared" si="1549"/>
        <v>55476.739999999845</v>
      </c>
      <c r="CW311" s="7">
        <f t="shared" si="1550"/>
        <v>51514.069999999847</v>
      </c>
      <c r="CX311" s="7">
        <f t="shared" si="1551"/>
        <v>47551.399999999849</v>
      </c>
      <c r="CY311" s="7">
        <f t="shared" si="1552"/>
        <v>43588.72999999985</v>
      </c>
      <c r="CZ311" s="236">
        <v>0</v>
      </c>
    </row>
    <row r="312" spans="1:104" x14ac:dyDescent="0.2">
      <c r="A312" s="6" t="str">
        <f>'[1]2021 УГРЦТ'!A315</f>
        <v>Оборудование ТП-20 пер Рыбацкий</v>
      </c>
      <c r="B312" t="str">
        <f>'[1]2021 УГРЦТ'!B315</f>
        <v>00000526</v>
      </c>
      <c r="C312" t="str">
        <f>'[1]2021 УГРЦТ'!C315</f>
        <v>ПЕРЕДАЧА</v>
      </c>
      <c r="D312" t="str">
        <f>'[1]2021 УГРЦТ'!D315</f>
        <v>Машины и оборудование (кроме офисного)</v>
      </c>
      <c r="E312" t="str">
        <f>'[1]2021 УГРЦТ'!E315</f>
        <v>01.01.1970</v>
      </c>
      <c r="F312" t="str">
        <f>'[1]2021 УГРЦТ'!F315</f>
        <v>Цех электрических сетей</v>
      </c>
      <c r="G312">
        <f>'[1]2021 УГРЦТ'!AC315</f>
        <v>180</v>
      </c>
      <c r="H312" s="7">
        <f>'[1]2021 УГРЦТ'!X315</f>
        <v>433565.58</v>
      </c>
      <c r="I312" s="7">
        <f>'[1]2021 УГРЦТ'!Y315</f>
        <v>177755.75</v>
      </c>
      <c r="J312" s="7">
        <f>'[1]2021 УГРЦТ'!Z315</f>
        <v>255809.83000000002</v>
      </c>
      <c r="K312" s="8">
        <v>0</v>
      </c>
      <c r="L312" s="7">
        <v>2390.75</v>
      </c>
      <c r="M312" s="7"/>
      <c r="N312" s="7">
        <f t="shared" si="1492"/>
        <v>28689</v>
      </c>
      <c r="O312" s="7">
        <f t="shared" si="1433"/>
        <v>253419.08000000002</v>
      </c>
      <c r="P312" s="7">
        <f t="shared" si="1553"/>
        <v>251028.33000000002</v>
      </c>
      <c r="Q312" s="7">
        <f t="shared" si="1553"/>
        <v>248637.58000000002</v>
      </c>
      <c r="R312" s="7">
        <f t="shared" si="1553"/>
        <v>246246.83000000002</v>
      </c>
      <c r="S312" s="7">
        <f t="shared" si="1553"/>
        <v>243856.08000000002</v>
      </c>
      <c r="T312" s="7">
        <f t="shared" si="1553"/>
        <v>241465.33000000002</v>
      </c>
      <c r="U312" s="7">
        <f t="shared" si="1553"/>
        <v>239074.58000000002</v>
      </c>
      <c r="V312" s="7">
        <f t="shared" si="1553"/>
        <v>236683.83000000002</v>
      </c>
      <c r="W312" s="7">
        <f t="shared" si="1553"/>
        <v>234293.08000000002</v>
      </c>
      <c r="X312" s="7">
        <f t="shared" si="1553"/>
        <v>231902.33000000002</v>
      </c>
      <c r="Y312" s="7">
        <f t="shared" si="1553"/>
        <v>229511.58000000002</v>
      </c>
      <c r="Z312" s="7">
        <f t="shared" si="1553"/>
        <v>227120.83000000002</v>
      </c>
      <c r="AA312" s="7"/>
      <c r="AB312" s="7"/>
      <c r="AC312" s="7">
        <f t="shared" si="1434"/>
        <v>28689</v>
      </c>
      <c r="AD312" s="7">
        <f t="shared" si="1435"/>
        <v>224730.08000000002</v>
      </c>
      <c r="AE312" s="7">
        <f t="shared" si="1496"/>
        <v>222339.33000000002</v>
      </c>
      <c r="AF312" s="7">
        <f t="shared" si="1496"/>
        <v>219948.58000000002</v>
      </c>
      <c r="AG312" s="7">
        <f t="shared" si="1496"/>
        <v>217557.83000000002</v>
      </c>
      <c r="AH312" s="7">
        <f t="shared" si="1496"/>
        <v>215167.08000000002</v>
      </c>
      <c r="AI312" s="7">
        <f t="shared" si="1496"/>
        <v>212776.33000000002</v>
      </c>
      <c r="AJ312" s="7">
        <f t="shared" si="1496"/>
        <v>210385.58000000002</v>
      </c>
      <c r="AK312" s="7">
        <f t="shared" si="1496"/>
        <v>207994.83000000002</v>
      </c>
      <c r="AL312" s="7">
        <f t="shared" si="1496"/>
        <v>205604.08000000002</v>
      </c>
      <c r="AM312" s="7">
        <f t="shared" si="1496"/>
        <v>203213.33000000002</v>
      </c>
      <c r="AN312" s="7">
        <f t="shared" si="1496"/>
        <v>200822.58000000002</v>
      </c>
      <c r="AO312" s="7">
        <f t="shared" si="1496"/>
        <v>198431.83000000002</v>
      </c>
      <c r="AP312" s="222"/>
      <c r="AQ312" s="7">
        <v>2390.75</v>
      </c>
      <c r="AR312" s="7">
        <f t="shared" si="1436"/>
        <v>2390.75</v>
      </c>
      <c r="AS312" s="7">
        <f t="shared" si="1437"/>
        <v>0</v>
      </c>
      <c r="AT312" s="7">
        <f t="shared" si="1498"/>
        <v>28689</v>
      </c>
      <c r="AU312" s="7">
        <f t="shared" si="1499"/>
        <v>196041.08000000002</v>
      </c>
      <c r="AV312" s="7">
        <f t="shared" si="1500"/>
        <v>193650.33000000002</v>
      </c>
      <c r="AW312" s="7">
        <f t="shared" si="1500"/>
        <v>191259.58000000002</v>
      </c>
      <c r="AX312" s="7">
        <f t="shared" si="1500"/>
        <v>188868.83000000002</v>
      </c>
      <c r="AY312" s="7">
        <f t="shared" si="1500"/>
        <v>186478.08000000002</v>
      </c>
      <c r="AZ312" s="7">
        <f t="shared" si="1500"/>
        <v>184087.33000000002</v>
      </c>
      <c r="BA312" s="7">
        <f t="shared" si="1500"/>
        <v>181696.58000000002</v>
      </c>
      <c r="BB312" s="7">
        <f t="shared" si="1500"/>
        <v>179305.83000000002</v>
      </c>
      <c r="BC312" s="7">
        <f t="shared" si="1500"/>
        <v>176915.08000000002</v>
      </c>
      <c r="BD312" s="7">
        <f t="shared" si="1500"/>
        <v>174524.33000000002</v>
      </c>
      <c r="BE312" s="7">
        <f t="shared" si="1500"/>
        <v>172133.58000000002</v>
      </c>
      <c r="BF312" s="7">
        <f t="shared" si="1500"/>
        <v>169742.83000000002</v>
      </c>
      <c r="BG312" s="236">
        <f t="shared" si="1419"/>
        <v>0</v>
      </c>
      <c r="BH312" s="7">
        <v>2390.75</v>
      </c>
      <c r="BI312" s="39">
        <f t="shared" si="1535"/>
        <v>28689</v>
      </c>
      <c r="BJ312" s="7">
        <f t="shared" si="1501"/>
        <v>167352.08000000002</v>
      </c>
      <c r="BK312" s="7">
        <f t="shared" si="1502"/>
        <v>164961.33000000002</v>
      </c>
      <c r="BL312" s="7">
        <f t="shared" si="1503"/>
        <v>162570.58000000002</v>
      </c>
      <c r="BM312" s="7">
        <f t="shared" si="1504"/>
        <v>160179.83000000002</v>
      </c>
      <c r="BN312" s="7">
        <f t="shared" si="1505"/>
        <v>157789.08000000002</v>
      </c>
      <c r="BO312" s="7">
        <f t="shared" si="1506"/>
        <v>155398.33000000002</v>
      </c>
      <c r="BP312" s="7">
        <f t="shared" si="1507"/>
        <v>153007.58000000002</v>
      </c>
      <c r="BQ312" s="7">
        <f t="shared" si="1508"/>
        <v>150616.83000000002</v>
      </c>
      <c r="BR312" s="7">
        <f t="shared" si="1509"/>
        <v>148226.08000000002</v>
      </c>
      <c r="BS312" s="7">
        <f t="shared" si="1510"/>
        <v>145835.33000000002</v>
      </c>
      <c r="BT312" s="7">
        <f t="shared" si="1511"/>
        <v>143444.58000000002</v>
      </c>
      <c r="BU312" s="7">
        <f t="shared" si="1512"/>
        <v>141053.83000000002</v>
      </c>
      <c r="BV312" s="236">
        <v>0</v>
      </c>
      <c r="BW312" s="7">
        <v>2390.75</v>
      </c>
      <c r="BX312" s="39">
        <f t="shared" si="1536"/>
        <v>28689</v>
      </c>
      <c r="BY312" s="7">
        <f t="shared" si="1537"/>
        <v>138663.08000000002</v>
      </c>
      <c r="BZ312" s="7">
        <f t="shared" si="1513"/>
        <v>136272.33000000002</v>
      </c>
      <c r="CA312" s="7">
        <f t="shared" si="1514"/>
        <v>133881.58000000002</v>
      </c>
      <c r="CB312" s="7">
        <f t="shared" si="1515"/>
        <v>131490.83000000002</v>
      </c>
      <c r="CC312" s="7">
        <f t="shared" si="1516"/>
        <v>129100.08000000002</v>
      </c>
      <c r="CD312" s="7">
        <f t="shared" si="1517"/>
        <v>126709.33000000002</v>
      </c>
      <c r="CE312" s="7">
        <f t="shared" si="1518"/>
        <v>124318.58000000002</v>
      </c>
      <c r="CF312" s="7">
        <f t="shared" si="1519"/>
        <v>121927.83000000002</v>
      </c>
      <c r="CG312" s="7">
        <f t="shared" si="1520"/>
        <v>119537.08000000002</v>
      </c>
      <c r="CH312" s="7">
        <f t="shared" si="1521"/>
        <v>117146.33000000002</v>
      </c>
      <c r="CI312" s="7">
        <f t="shared" si="1538"/>
        <v>114755.58000000002</v>
      </c>
      <c r="CJ312" s="7">
        <f t="shared" si="1539"/>
        <v>112364.83000000002</v>
      </c>
      <c r="CK312" s="236">
        <v>0</v>
      </c>
      <c r="CL312" s="7">
        <v>2390.75</v>
      </c>
      <c r="CM312" s="39">
        <f t="shared" si="1540"/>
        <v>28689</v>
      </c>
      <c r="CN312" s="7">
        <f t="shared" si="1541"/>
        <v>109974.08000000002</v>
      </c>
      <c r="CO312" s="7">
        <f t="shared" si="1542"/>
        <v>107583.33000000002</v>
      </c>
      <c r="CP312" s="7">
        <f t="shared" si="1543"/>
        <v>105192.58000000002</v>
      </c>
      <c r="CQ312" s="7">
        <f t="shared" si="1544"/>
        <v>102801.83000000002</v>
      </c>
      <c r="CR312" s="7">
        <f t="shared" si="1545"/>
        <v>100411.08000000002</v>
      </c>
      <c r="CS312" s="7">
        <f t="shared" si="1546"/>
        <v>98020.330000000016</v>
      </c>
      <c r="CT312" s="7">
        <f t="shared" si="1547"/>
        <v>95629.580000000016</v>
      </c>
      <c r="CU312" s="7">
        <f t="shared" si="1548"/>
        <v>93238.830000000016</v>
      </c>
      <c r="CV312" s="7">
        <f t="shared" si="1549"/>
        <v>90848.080000000016</v>
      </c>
      <c r="CW312" s="7">
        <f t="shared" si="1550"/>
        <v>88457.330000000016</v>
      </c>
      <c r="CX312" s="7">
        <f t="shared" si="1551"/>
        <v>86066.580000000016</v>
      </c>
      <c r="CY312" s="7">
        <f t="shared" si="1552"/>
        <v>83675.830000000016</v>
      </c>
      <c r="CZ312" s="236">
        <v>0</v>
      </c>
    </row>
    <row r="313" spans="1:104" x14ac:dyDescent="0.2">
      <c r="A313" s="104" t="str">
        <f>'[1]2021 УГРЦТ'!A316</f>
        <v>Оборудование ТП-21 ул Хатанзейского</v>
      </c>
      <c r="B313" t="str">
        <f>'[1]2021 УГРЦТ'!B316</f>
        <v>00000586</v>
      </c>
      <c r="C313" t="str">
        <f>'[1]2021 УГРЦТ'!C316</f>
        <v>ПЕРЕДАЧА</v>
      </c>
      <c r="D313" t="str">
        <f>'[1]2021 УГРЦТ'!D316</f>
        <v>Машины и оборудование (кроме офисного)</v>
      </c>
      <c r="E313" t="str">
        <f>'[1]2021 УГРЦТ'!E316</f>
        <v>01.01.1967</v>
      </c>
      <c r="F313" t="str">
        <f>'[1]2021 УГРЦТ'!F316</f>
        <v>Цех электрических сетей</v>
      </c>
      <c r="G313">
        <f>'[1]2021 УГРЦТ'!AC316</f>
        <v>743</v>
      </c>
      <c r="H313" s="7">
        <f>'[1]2021 УГРЦТ'!X316</f>
        <v>2475139.4700000002</v>
      </c>
      <c r="I313" s="7">
        <f>'[1]2021 УГРЦТ'!Y316</f>
        <v>201707.87999999998</v>
      </c>
      <c r="J313" s="7">
        <f>'[1]2021 УГРЦТ'!Z316</f>
        <v>2273431.5900000003</v>
      </c>
      <c r="K313" s="8">
        <v>0</v>
      </c>
      <c r="L313" s="39">
        <v>9715.5182478632487</v>
      </c>
      <c r="M313" s="11"/>
      <c r="N313" s="7">
        <f t="shared" si="1492"/>
        <v>116586.21897435898</v>
      </c>
      <c r="O313" s="7">
        <f t="shared" si="1433"/>
        <v>2263716.071752137</v>
      </c>
      <c r="P313" s="7">
        <f>O313-$L313</f>
        <v>2254000.5535042738</v>
      </c>
      <c r="Q313" s="7">
        <f t="shared" si="1553"/>
        <v>2244285.0352564105</v>
      </c>
      <c r="R313" s="7">
        <f t="shared" si="1553"/>
        <v>2234569.5170085472</v>
      </c>
      <c r="S313" s="7">
        <f t="shared" si="1553"/>
        <v>2224853.9987606839</v>
      </c>
      <c r="T313" s="7">
        <f t="shared" si="1553"/>
        <v>2215138.4805128206</v>
      </c>
      <c r="U313" s="7">
        <f t="shared" si="1553"/>
        <v>2205422.9622649574</v>
      </c>
      <c r="V313" s="7">
        <f t="shared" si="1553"/>
        <v>2195707.4440170941</v>
      </c>
      <c r="W313" s="7">
        <f t="shared" si="1553"/>
        <v>2185991.9257692308</v>
      </c>
      <c r="X313" s="7">
        <f t="shared" si="1553"/>
        <v>2176276.4075213675</v>
      </c>
      <c r="Y313" s="7">
        <f t="shared" si="1553"/>
        <v>2166560.8892735043</v>
      </c>
      <c r="Z313" s="7">
        <f t="shared" si="1553"/>
        <v>2156845.371025641</v>
      </c>
      <c r="AA313" s="7"/>
      <c r="AB313" s="7"/>
      <c r="AC313" s="7">
        <f>IF(AB313&gt;0,AB313*12,L313*12)</f>
        <v>116586.21897435898</v>
      </c>
      <c r="AD313" s="7">
        <f t="shared" si="1435"/>
        <v>2147129.8527777777</v>
      </c>
      <c r="AE313" s="7">
        <f t="shared" si="1496"/>
        <v>2137414.3345299144</v>
      </c>
      <c r="AF313" s="7">
        <f t="shared" si="1496"/>
        <v>2127698.8162820511</v>
      </c>
      <c r="AG313" s="7">
        <f t="shared" si="1496"/>
        <v>2117983.2980341879</v>
      </c>
      <c r="AH313" s="7">
        <f t="shared" si="1496"/>
        <v>2108267.7797863246</v>
      </c>
      <c r="AI313" s="7">
        <f t="shared" si="1496"/>
        <v>2098552.2615384613</v>
      </c>
      <c r="AJ313" s="7">
        <f t="shared" si="1496"/>
        <v>2088836.743290598</v>
      </c>
      <c r="AK313" s="7">
        <f t="shared" si="1496"/>
        <v>2079121.2250427348</v>
      </c>
      <c r="AL313" s="7">
        <f t="shared" si="1496"/>
        <v>2069405.7067948715</v>
      </c>
      <c r="AM313" s="7">
        <f t="shared" si="1496"/>
        <v>2059690.1885470082</v>
      </c>
      <c r="AN313" s="7">
        <f t="shared" si="1496"/>
        <v>2049974.6702991449</v>
      </c>
      <c r="AO313" s="7">
        <f>AN313-$L313</f>
        <v>2040259.1520512816</v>
      </c>
      <c r="AP313" s="222"/>
      <c r="AQ313" s="7">
        <v>9715.5182478632487</v>
      </c>
      <c r="AR313" s="7">
        <f t="shared" si="1436"/>
        <v>9715.5182478632778</v>
      </c>
      <c r="AS313" s="7">
        <f t="shared" si="1437"/>
        <v>2.9103830456733704E-11</v>
      </c>
      <c r="AT313" s="39">
        <f>AQ313*12</f>
        <v>116586.21897435898</v>
      </c>
      <c r="AU313" s="7">
        <f t="shared" si="1499"/>
        <v>2030543.6338034184</v>
      </c>
      <c r="AV313" s="7">
        <f t="shared" si="1500"/>
        <v>2020828.1155555551</v>
      </c>
      <c r="AW313" s="7">
        <f t="shared" si="1500"/>
        <v>2011112.5973076918</v>
      </c>
      <c r="AX313" s="7">
        <f t="shared" si="1500"/>
        <v>2001397.0790598285</v>
      </c>
      <c r="AY313" s="7">
        <f t="shared" si="1500"/>
        <v>1991681.5608119653</v>
      </c>
      <c r="AZ313" s="7">
        <f t="shared" si="1500"/>
        <v>1981966.042564102</v>
      </c>
      <c r="BA313" s="7">
        <f t="shared" si="1500"/>
        <v>1972250.5243162387</v>
      </c>
      <c r="BB313" s="7">
        <f t="shared" si="1500"/>
        <v>1962535.0060683754</v>
      </c>
      <c r="BC313" s="7">
        <f>BB313-$L313</f>
        <v>1952819.4878205121</v>
      </c>
      <c r="BD313" s="7">
        <f t="shared" si="1500"/>
        <v>1943103.9695726489</v>
      </c>
      <c r="BE313" s="7">
        <f t="shared" si="1500"/>
        <v>1933388.4513247856</v>
      </c>
      <c r="BF313" s="7">
        <f>BE313-$L313</f>
        <v>1923672.9330769223</v>
      </c>
      <c r="BG313" s="236">
        <f t="shared" si="1419"/>
        <v>0</v>
      </c>
      <c r="BH313" s="7">
        <v>9715.5182478632487</v>
      </c>
      <c r="BI313" s="39">
        <f t="shared" si="1535"/>
        <v>116586.21897435898</v>
      </c>
      <c r="BJ313" s="7">
        <f t="shared" si="1501"/>
        <v>1913957.414829059</v>
      </c>
      <c r="BK313" s="7">
        <f t="shared" si="1502"/>
        <v>1904241.8965811958</v>
      </c>
      <c r="BL313" s="7">
        <f t="shared" si="1503"/>
        <v>1894526.3783333325</v>
      </c>
      <c r="BM313" s="7">
        <f t="shared" si="1504"/>
        <v>1884810.8600854692</v>
      </c>
      <c r="BN313" s="7">
        <f t="shared" si="1505"/>
        <v>1875095.3418376059</v>
      </c>
      <c r="BO313" s="7">
        <f t="shared" si="1506"/>
        <v>1865379.8235897426</v>
      </c>
      <c r="BP313" s="7">
        <f t="shared" si="1507"/>
        <v>1855664.3053418794</v>
      </c>
      <c r="BQ313" s="7">
        <f t="shared" si="1508"/>
        <v>1845948.7870940161</v>
      </c>
      <c r="BR313" s="7">
        <f>BQ313-$L313</f>
        <v>1836233.2688461528</v>
      </c>
      <c r="BS313" s="7">
        <f t="shared" si="1510"/>
        <v>1826517.7505982895</v>
      </c>
      <c r="BT313" s="7">
        <f t="shared" si="1511"/>
        <v>1816802.2323504263</v>
      </c>
      <c r="BU313" s="7">
        <f>BT313-$L313</f>
        <v>1807086.714102563</v>
      </c>
      <c r="BV313" s="236">
        <v>0</v>
      </c>
      <c r="BW313" s="7">
        <v>9715.5182478632487</v>
      </c>
      <c r="BX313" s="39">
        <f t="shared" si="1536"/>
        <v>116586.21897435898</v>
      </c>
      <c r="BY313" s="7">
        <f t="shared" si="1537"/>
        <v>1797371.1958546997</v>
      </c>
      <c r="BZ313" s="7">
        <f t="shared" si="1513"/>
        <v>1787655.6776068364</v>
      </c>
      <c r="CA313" s="7">
        <f t="shared" si="1514"/>
        <v>1777940.1593589731</v>
      </c>
      <c r="CB313" s="7">
        <f t="shared" si="1515"/>
        <v>1768224.6411111099</v>
      </c>
      <c r="CC313" s="7">
        <f t="shared" si="1516"/>
        <v>1758509.1228632466</v>
      </c>
      <c r="CD313" s="7">
        <f t="shared" si="1517"/>
        <v>1748793.6046153833</v>
      </c>
      <c r="CE313" s="7">
        <f t="shared" si="1518"/>
        <v>1739078.08636752</v>
      </c>
      <c r="CF313" s="7">
        <f t="shared" si="1519"/>
        <v>1729362.5681196568</v>
      </c>
      <c r="CG313" s="7">
        <f>CF313-$L313</f>
        <v>1719647.0498717935</v>
      </c>
      <c r="CH313" s="7">
        <f t="shared" si="1521"/>
        <v>1709931.5316239302</v>
      </c>
      <c r="CI313" s="7">
        <f t="shared" si="1538"/>
        <v>1700216.0133760669</v>
      </c>
      <c r="CJ313" s="7">
        <f>CI313-$L313</f>
        <v>1690500.4951282036</v>
      </c>
      <c r="CK313" s="236">
        <v>0</v>
      </c>
      <c r="CL313" s="7">
        <v>9715.5182478632487</v>
      </c>
      <c r="CM313" s="39">
        <f t="shared" si="1540"/>
        <v>116586.21897435898</v>
      </c>
      <c r="CN313" s="7">
        <f t="shared" si="1541"/>
        <v>1680784.9768803404</v>
      </c>
      <c r="CO313" s="7">
        <f t="shared" si="1542"/>
        <v>1671069.4586324771</v>
      </c>
      <c r="CP313" s="7">
        <f t="shared" si="1543"/>
        <v>1661353.9403846138</v>
      </c>
      <c r="CQ313" s="7">
        <f t="shared" si="1544"/>
        <v>1651638.4221367505</v>
      </c>
      <c r="CR313" s="7">
        <f t="shared" si="1545"/>
        <v>1641922.9038888873</v>
      </c>
      <c r="CS313" s="7">
        <f t="shared" si="1546"/>
        <v>1632207.385641024</v>
      </c>
      <c r="CT313" s="7">
        <f t="shared" si="1547"/>
        <v>1622491.8673931607</v>
      </c>
      <c r="CU313" s="7">
        <f t="shared" si="1548"/>
        <v>1612776.3491452974</v>
      </c>
      <c r="CV313" s="7">
        <f>CU313-$L313</f>
        <v>1603060.8308974341</v>
      </c>
      <c r="CW313" s="7">
        <f t="shared" si="1550"/>
        <v>1593345.3126495709</v>
      </c>
      <c r="CX313" s="7">
        <f t="shared" si="1551"/>
        <v>1583629.7944017076</v>
      </c>
      <c r="CY313" s="7">
        <f>CX313-$L313</f>
        <v>1573914.2761538443</v>
      </c>
      <c r="CZ313" s="236">
        <v>0</v>
      </c>
    </row>
    <row r="314" spans="1:104" x14ac:dyDescent="0.2">
      <c r="A314" s="6" t="str">
        <f>'[1]2021 УГРЦТ'!A317</f>
        <v>Оборудование ТП-27 канал ст шк 1 1982г.</v>
      </c>
      <c r="B314" t="str">
        <f>'[1]2021 УГРЦТ'!B317</f>
        <v>00000212</v>
      </c>
      <c r="C314" t="str">
        <f>'[1]2021 УГРЦТ'!C317</f>
        <v>ПЕРЕДАЧА</v>
      </c>
      <c r="D314" t="str">
        <f>'[1]2021 УГРЦТ'!D317</f>
        <v>Машины и оборудование (кроме офисного)</v>
      </c>
      <c r="E314" t="str">
        <f>'[1]2021 УГРЦТ'!E317</f>
        <v>01.01.1982</v>
      </c>
      <c r="F314" t="str">
        <f>'[1]2021 УГРЦТ'!F317</f>
        <v>Цех электрических сетей</v>
      </c>
      <c r="G314">
        <f>'[1]2021 УГРЦТ'!AC317</f>
        <v>360</v>
      </c>
      <c r="H314" s="7">
        <f>'[1]2021 УГРЦТ'!X317</f>
        <v>1220989.8899999999</v>
      </c>
      <c r="I314" s="7">
        <f>'[1]2021 УГРЦТ'!Y317</f>
        <v>190847.29</v>
      </c>
      <c r="J314" s="7">
        <f>'[1]2021 УГРЦТ'!Z317</f>
        <v>1030142.5999999999</v>
      </c>
      <c r="K314" s="8">
        <v>0</v>
      </c>
      <c r="L314" s="7">
        <v>3333.7900000000004</v>
      </c>
      <c r="M314" s="7"/>
      <c r="N314" s="7">
        <f t="shared" si="1492"/>
        <v>40005.480000000003</v>
      </c>
      <c r="O314" s="7">
        <f t="shared" si="1433"/>
        <v>1026808.8099999998</v>
      </c>
      <c r="P314" s="7">
        <f t="shared" si="1553"/>
        <v>1023475.0199999998</v>
      </c>
      <c r="Q314" s="7">
        <f t="shared" si="1553"/>
        <v>1020141.2299999997</v>
      </c>
      <c r="R314" s="7">
        <f t="shared" si="1553"/>
        <v>1016807.4399999997</v>
      </c>
      <c r="S314" s="7">
        <f t="shared" si="1553"/>
        <v>1013473.6499999997</v>
      </c>
      <c r="T314" s="7">
        <f t="shared" si="1553"/>
        <v>1010139.8599999996</v>
      </c>
      <c r="U314" s="7">
        <f t="shared" si="1553"/>
        <v>1006806.0699999996</v>
      </c>
      <c r="V314" s="7">
        <f t="shared" si="1553"/>
        <v>1003472.2799999996</v>
      </c>
      <c r="W314" s="7">
        <f t="shared" si="1553"/>
        <v>1000138.4899999995</v>
      </c>
      <c r="X314" s="7">
        <f t="shared" si="1553"/>
        <v>996804.69999999949</v>
      </c>
      <c r="Y314" s="7">
        <f t="shared" si="1553"/>
        <v>993470.90999999945</v>
      </c>
      <c r="Z314" s="7">
        <f t="shared" si="1553"/>
        <v>990137.11999999941</v>
      </c>
      <c r="AA314" s="7"/>
      <c r="AB314" s="7"/>
      <c r="AC314" s="7">
        <f t="shared" si="1434"/>
        <v>40005.480000000003</v>
      </c>
      <c r="AD314" s="7">
        <f t="shared" si="1435"/>
        <v>986803.32999999938</v>
      </c>
      <c r="AE314" s="7">
        <f t="shared" si="1496"/>
        <v>983469.53999999934</v>
      </c>
      <c r="AF314" s="7">
        <f t="shared" si="1496"/>
        <v>980135.7499999993</v>
      </c>
      <c r="AG314" s="7">
        <f t="shared" si="1496"/>
        <v>976801.95999999926</v>
      </c>
      <c r="AH314" s="7">
        <f t="shared" si="1496"/>
        <v>973468.16999999923</v>
      </c>
      <c r="AI314" s="7">
        <f t="shared" si="1496"/>
        <v>970134.37999999919</v>
      </c>
      <c r="AJ314" s="7">
        <f t="shared" si="1496"/>
        <v>966800.58999999915</v>
      </c>
      <c r="AK314" s="7">
        <f t="shared" si="1496"/>
        <v>963466.79999999912</v>
      </c>
      <c r="AL314" s="7">
        <f t="shared" si="1496"/>
        <v>960133.00999999908</v>
      </c>
      <c r="AM314" s="7">
        <f t="shared" si="1496"/>
        <v>956799.21999999904</v>
      </c>
      <c r="AN314" s="7">
        <f t="shared" si="1496"/>
        <v>953465.429999999</v>
      </c>
      <c r="AO314" s="7">
        <f t="shared" si="1496"/>
        <v>950131.63999999897</v>
      </c>
      <c r="AP314" s="222"/>
      <c r="AQ314" s="7">
        <v>3333.7900000000004</v>
      </c>
      <c r="AR314" s="7">
        <f t="shared" si="1436"/>
        <v>3333.7900000000373</v>
      </c>
      <c r="AS314" s="7">
        <f t="shared" si="1437"/>
        <v>3.6834535421803594E-11</v>
      </c>
      <c r="AT314" s="7">
        <f t="shared" si="1498"/>
        <v>40005.480000000003</v>
      </c>
      <c r="AU314" s="7">
        <f t="shared" si="1499"/>
        <v>946797.84999999893</v>
      </c>
      <c r="AV314" s="7">
        <f t="shared" si="1500"/>
        <v>943464.05999999889</v>
      </c>
      <c r="AW314" s="7">
        <f t="shared" si="1500"/>
        <v>940130.26999999885</v>
      </c>
      <c r="AX314" s="7">
        <f t="shared" si="1500"/>
        <v>936796.47999999882</v>
      </c>
      <c r="AY314" s="7">
        <f t="shared" si="1500"/>
        <v>933462.68999999878</v>
      </c>
      <c r="AZ314" s="7">
        <f t="shared" si="1500"/>
        <v>930128.89999999874</v>
      </c>
      <c r="BA314" s="7">
        <f t="shared" si="1500"/>
        <v>926795.10999999871</v>
      </c>
      <c r="BB314" s="7">
        <f t="shared" si="1500"/>
        <v>923461.31999999867</v>
      </c>
      <c r="BC314" s="7">
        <f t="shared" si="1500"/>
        <v>920127.52999999863</v>
      </c>
      <c r="BD314" s="7">
        <f t="shared" si="1500"/>
        <v>916793.73999999859</v>
      </c>
      <c r="BE314" s="7">
        <f t="shared" si="1500"/>
        <v>913459.94999999856</v>
      </c>
      <c r="BF314" s="7">
        <f t="shared" si="1500"/>
        <v>910126.15999999852</v>
      </c>
      <c r="BG314" s="236">
        <f t="shared" si="1419"/>
        <v>0</v>
      </c>
      <c r="BH314" s="7">
        <v>3333.7900000000004</v>
      </c>
      <c r="BI314" s="39">
        <f t="shared" si="1535"/>
        <v>40005.480000000003</v>
      </c>
      <c r="BJ314" s="7">
        <f t="shared" si="1501"/>
        <v>906792.36999999848</v>
      </c>
      <c r="BK314" s="7">
        <f t="shared" si="1502"/>
        <v>903458.57999999844</v>
      </c>
      <c r="BL314" s="7">
        <f t="shared" si="1503"/>
        <v>900124.78999999841</v>
      </c>
      <c r="BM314" s="7">
        <f t="shared" si="1504"/>
        <v>896790.99999999837</v>
      </c>
      <c r="BN314" s="7">
        <f t="shared" si="1505"/>
        <v>893457.20999999833</v>
      </c>
      <c r="BO314" s="7">
        <f t="shared" si="1506"/>
        <v>890123.4199999983</v>
      </c>
      <c r="BP314" s="7">
        <f t="shared" si="1507"/>
        <v>886789.62999999826</v>
      </c>
      <c r="BQ314" s="7">
        <f t="shared" si="1508"/>
        <v>883455.83999999822</v>
      </c>
      <c r="BR314" s="7">
        <f t="shared" ref="BR314:BR317" si="1554">BQ314-$L314</f>
        <v>880122.04999999818</v>
      </c>
      <c r="BS314" s="7">
        <f t="shared" si="1510"/>
        <v>876788.25999999815</v>
      </c>
      <c r="BT314" s="7">
        <f t="shared" si="1511"/>
        <v>873454.46999999811</v>
      </c>
      <c r="BU314" s="7">
        <f t="shared" ref="BU314:BU317" si="1555">BT314-$L314</f>
        <v>870120.67999999807</v>
      </c>
      <c r="BV314" s="236">
        <v>0</v>
      </c>
      <c r="BW314" s="7">
        <v>3333.7900000000004</v>
      </c>
      <c r="BX314" s="39">
        <f t="shared" si="1536"/>
        <v>40005.480000000003</v>
      </c>
      <c r="BY314" s="7">
        <f t="shared" si="1537"/>
        <v>866786.88999999803</v>
      </c>
      <c r="BZ314" s="7">
        <f t="shared" si="1513"/>
        <v>863453.099999998</v>
      </c>
      <c r="CA314" s="7">
        <f t="shared" si="1514"/>
        <v>860119.30999999796</v>
      </c>
      <c r="CB314" s="7">
        <f t="shared" si="1515"/>
        <v>856785.51999999792</v>
      </c>
      <c r="CC314" s="7">
        <f t="shared" si="1516"/>
        <v>853451.72999999789</v>
      </c>
      <c r="CD314" s="7">
        <f t="shared" si="1517"/>
        <v>850117.93999999785</v>
      </c>
      <c r="CE314" s="7">
        <f t="shared" si="1518"/>
        <v>846784.14999999781</v>
      </c>
      <c r="CF314" s="7">
        <f t="shared" si="1519"/>
        <v>843450.35999999777</v>
      </c>
      <c r="CG314" s="7">
        <f t="shared" ref="CG314:CG317" si="1556">CF314-$L314</f>
        <v>840116.56999999774</v>
      </c>
      <c r="CH314" s="7">
        <f t="shared" si="1521"/>
        <v>836782.7799999977</v>
      </c>
      <c r="CI314" s="7">
        <f t="shared" si="1538"/>
        <v>833448.98999999766</v>
      </c>
      <c r="CJ314" s="7">
        <f t="shared" ref="CJ314:CJ317" si="1557">CI314-$L314</f>
        <v>830115.19999999763</v>
      </c>
      <c r="CK314" s="236">
        <v>0</v>
      </c>
      <c r="CL314" s="7">
        <v>3333.7900000000004</v>
      </c>
      <c r="CM314" s="39">
        <f t="shared" si="1540"/>
        <v>40005.480000000003</v>
      </c>
      <c r="CN314" s="7">
        <f t="shared" si="1541"/>
        <v>826781.40999999759</v>
      </c>
      <c r="CO314" s="7">
        <f t="shared" si="1542"/>
        <v>823447.61999999755</v>
      </c>
      <c r="CP314" s="7">
        <f t="shared" si="1543"/>
        <v>820113.82999999751</v>
      </c>
      <c r="CQ314" s="7">
        <f t="shared" si="1544"/>
        <v>816780.03999999748</v>
      </c>
      <c r="CR314" s="7">
        <f t="shared" si="1545"/>
        <v>813446.24999999744</v>
      </c>
      <c r="CS314" s="7">
        <f t="shared" si="1546"/>
        <v>810112.4599999974</v>
      </c>
      <c r="CT314" s="7">
        <f t="shared" si="1547"/>
        <v>806778.66999999736</v>
      </c>
      <c r="CU314" s="7">
        <f t="shared" si="1548"/>
        <v>803444.87999999733</v>
      </c>
      <c r="CV314" s="7">
        <f t="shared" ref="CV314:CV317" si="1558">CU314-$L314</f>
        <v>800111.08999999729</v>
      </c>
      <c r="CW314" s="7">
        <f t="shared" si="1550"/>
        <v>796777.29999999725</v>
      </c>
      <c r="CX314" s="7">
        <f t="shared" si="1551"/>
        <v>793443.50999999722</v>
      </c>
      <c r="CY314" s="7">
        <f t="shared" ref="CY314:CY317" si="1559">CX314-$L314</f>
        <v>790109.71999999718</v>
      </c>
      <c r="CZ314" s="236">
        <v>0</v>
      </c>
    </row>
    <row r="315" spans="1:104" x14ac:dyDescent="0.2">
      <c r="A315" s="6" t="str">
        <f>'[1]2021 УГРЦТ'!A318</f>
        <v>Оборудование ТП-3 "Больница" ул.Ленина 2013г</v>
      </c>
      <c r="B315" t="str">
        <f>'[1]2021 УГРЦТ'!B318</f>
        <v>000001571</v>
      </c>
      <c r="C315" t="str">
        <f>'[1]2021 УГРЦТ'!C318</f>
        <v>ПЕРЕДАЧА</v>
      </c>
      <c r="D315" t="str">
        <f>'[1]2021 УГРЦТ'!D318</f>
        <v>Машины и оборудование (кроме офисного)</v>
      </c>
      <c r="E315" t="str">
        <f>'[1]2021 УГРЦТ'!E318</f>
        <v>31.12.2013</v>
      </c>
      <c r="F315" t="str">
        <f>'[1]2021 УГРЦТ'!F318</f>
        <v>Цех электрических сетей</v>
      </c>
      <c r="G315">
        <f>'[1]2021 УГРЦТ'!AC318</f>
        <v>180</v>
      </c>
      <c r="H315" s="7">
        <f>'[1]2021 УГРЦТ'!X318</f>
        <v>9285466.1799999997</v>
      </c>
      <c r="I315" s="7">
        <f>'[1]2021 УГРЦТ'!Y318</f>
        <v>4952248.3586666668</v>
      </c>
      <c r="J315" s="7">
        <f>'[1]2021 УГРЦТ'!Z318</f>
        <v>4333217.8213333329</v>
      </c>
      <c r="K315" s="8">
        <v>0</v>
      </c>
      <c r="L315" s="7">
        <v>51585.919999999991</v>
      </c>
      <c r="M315" s="7"/>
      <c r="N315" s="7">
        <f t="shared" si="1492"/>
        <v>619031.03999999992</v>
      </c>
      <c r="O315" s="7">
        <f t="shared" si="1433"/>
        <v>4281631.901333333</v>
      </c>
      <c r="P315" s="7">
        <f t="shared" si="1553"/>
        <v>4230045.9813333331</v>
      </c>
      <c r="Q315" s="7">
        <f t="shared" si="1553"/>
        <v>4178460.0613333331</v>
      </c>
      <c r="R315" s="7">
        <f t="shared" si="1553"/>
        <v>4126874.1413333332</v>
      </c>
      <c r="S315" s="7">
        <f t="shared" si="1553"/>
        <v>4075288.2213333333</v>
      </c>
      <c r="T315" s="7">
        <f t="shared" si="1553"/>
        <v>4023702.3013333334</v>
      </c>
      <c r="U315" s="7">
        <f t="shared" si="1553"/>
        <v>3972116.3813333334</v>
      </c>
      <c r="V315" s="7">
        <f t="shared" si="1553"/>
        <v>3920530.4613333335</v>
      </c>
      <c r="W315" s="7">
        <f t="shared" si="1553"/>
        <v>3868944.5413333336</v>
      </c>
      <c r="X315" s="7">
        <f t="shared" si="1553"/>
        <v>3817358.6213333337</v>
      </c>
      <c r="Y315" s="7">
        <f t="shared" si="1553"/>
        <v>3765772.7013333337</v>
      </c>
      <c r="Z315" s="7">
        <f t="shared" si="1553"/>
        <v>3714186.7813333338</v>
      </c>
      <c r="AA315" s="7"/>
      <c r="AB315" s="7"/>
      <c r="AC315" s="7">
        <f t="shared" si="1434"/>
        <v>619031.03999999992</v>
      </c>
      <c r="AD315" s="7">
        <f t="shared" si="1435"/>
        <v>3662600.8613333339</v>
      </c>
      <c r="AE315" s="7">
        <f t="shared" si="1496"/>
        <v>3611014.941333334</v>
      </c>
      <c r="AF315" s="7">
        <f t="shared" si="1496"/>
        <v>3559429.021333334</v>
      </c>
      <c r="AG315" s="7">
        <f t="shared" si="1496"/>
        <v>3507843.1013333341</v>
      </c>
      <c r="AH315" s="7">
        <f t="shared" si="1496"/>
        <v>3456257.1813333342</v>
      </c>
      <c r="AI315" s="7">
        <f t="shared" si="1496"/>
        <v>3404671.2613333343</v>
      </c>
      <c r="AJ315" s="7">
        <f t="shared" si="1496"/>
        <v>3353085.3413333343</v>
      </c>
      <c r="AK315" s="7">
        <f t="shared" si="1496"/>
        <v>3301499.4213333344</v>
      </c>
      <c r="AL315" s="7">
        <f t="shared" si="1496"/>
        <v>3249913.5013333345</v>
      </c>
      <c r="AM315" s="7">
        <f t="shared" si="1496"/>
        <v>3198327.5813333346</v>
      </c>
      <c r="AN315" s="7">
        <f t="shared" si="1496"/>
        <v>3146741.6613333346</v>
      </c>
      <c r="AO315" s="7">
        <f t="shared" si="1496"/>
        <v>3095155.7413333347</v>
      </c>
      <c r="AP315" s="222"/>
      <c r="AQ315" s="7">
        <v>51585.919999999991</v>
      </c>
      <c r="AR315" s="7">
        <f t="shared" si="1436"/>
        <v>51585.919999999925</v>
      </c>
      <c r="AS315" s="7">
        <f t="shared" si="1437"/>
        <v>-6.5483618527650833E-11</v>
      </c>
      <c r="AT315" s="7">
        <f t="shared" si="1498"/>
        <v>619031.03999999992</v>
      </c>
      <c r="AU315" s="7">
        <f t="shared" si="1499"/>
        <v>3043569.8213333348</v>
      </c>
      <c r="AV315" s="7">
        <f t="shared" si="1500"/>
        <v>2991983.9013333349</v>
      </c>
      <c r="AW315" s="7">
        <f t="shared" si="1500"/>
        <v>2940397.9813333349</v>
      </c>
      <c r="AX315" s="7">
        <f t="shared" si="1500"/>
        <v>2888812.061333335</v>
      </c>
      <c r="AY315" s="7">
        <f t="shared" si="1500"/>
        <v>2837226.1413333351</v>
      </c>
      <c r="AZ315" s="7">
        <f t="shared" si="1500"/>
        <v>2785640.2213333352</v>
      </c>
      <c r="BA315" s="7">
        <f t="shared" si="1500"/>
        <v>2734054.3013333352</v>
      </c>
      <c r="BB315" s="7">
        <f t="shared" si="1500"/>
        <v>2682468.3813333353</v>
      </c>
      <c r="BC315" s="7">
        <f t="shared" si="1500"/>
        <v>2630882.4613333354</v>
      </c>
      <c r="BD315" s="7">
        <f t="shared" si="1500"/>
        <v>2579296.5413333355</v>
      </c>
      <c r="BE315" s="7">
        <f t="shared" si="1500"/>
        <v>2527710.6213333355</v>
      </c>
      <c r="BF315" s="7">
        <f t="shared" si="1500"/>
        <v>2476124.7013333356</v>
      </c>
      <c r="BG315" s="236">
        <f t="shared" si="1419"/>
        <v>0</v>
      </c>
      <c r="BH315" s="7">
        <v>51585.919999999991</v>
      </c>
      <c r="BI315" s="39">
        <f t="shared" si="1535"/>
        <v>619031.03999999992</v>
      </c>
      <c r="BJ315" s="7">
        <f t="shared" si="1501"/>
        <v>2424538.7813333357</v>
      </c>
      <c r="BK315" s="7">
        <f t="shared" si="1502"/>
        <v>2372952.8613333357</v>
      </c>
      <c r="BL315" s="7">
        <f t="shared" si="1503"/>
        <v>2321366.9413333358</v>
      </c>
      <c r="BM315" s="7">
        <f t="shared" si="1504"/>
        <v>2269781.0213333359</v>
      </c>
      <c r="BN315" s="7">
        <f t="shared" si="1505"/>
        <v>2218195.101333336</v>
      </c>
      <c r="BO315" s="7">
        <f t="shared" si="1506"/>
        <v>2166609.181333336</v>
      </c>
      <c r="BP315" s="7">
        <f t="shared" si="1507"/>
        <v>2115023.2613333361</v>
      </c>
      <c r="BQ315" s="7">
        <f t="shared" si="1508"/>
        <v>2063437.3413333362</v>
      </c>
      <c r="BR315" s="7">
        <f t="shared" si="1554"/>
        <v>2011851.4213333363</v>
      </c>
      <c r="BS315" s="7">
        <f t="shared" si="1510"/>
        <v>1960265.5013333363</v>
      </c>
      <c r="BT315" s="7">
        <f t="shared" si="1511"/>
        <v>1908679.5813333364</v>
      </c>
      <c r="BU315" s="7">
        <f t="shared" si="1555"/>
        <v>1857093.6613333365</v>
      </c>
      <c r="BV315" s="236">
        <v>0</v>
      </c>
      <c r="BW315" s="7">
        <v>51585.919999999991</v>
      </c>
      <c r="BX315" s="39">
        <f t="shared" si="1536"/>
        <v>619031.03999999992</v>
      </c>
      <c r="BY315" s="7">
        <f t="shared" si="1537"/>
        <v>1805507.7413333366</v>
      </c>
      <c r="BZ315" s="7">
        <f t="shared" si="1513"/>
        <v>1753921.8213333366</v>
      </c>
      <c r="CA315" s="7">
        <f t="shared" si="1514"/>
        <v>1702335.9013333367</v>
      </c>
      <c r="CB315" s="7">
        <f t="shared" si="1515"/>
        <v>1650749.9813333368</v>
      </c>
      <c r="CC315" s="7">
        <f t="shared" si="1516"/>
        <v>1599164.0613333369</v>
      </c>
      <c r="CD315" s="7">
        <f t="shared" si="1517"/>
        <v>1547578.1413333369</v>
      </c>
      <c r="CE315" s="7">
        <f t="shared" si="1518"/>
        <v>1495992.221333337</v>
      </c>
      <c r="CF315" s="7">
        <f t="shared" si="1519"/>
        <v>1444406.3013333371</v>
      </c>
      <c r="CG315" s="7">
        <f t="shared" si="1556"/>
        <v>1392820.3813333372</v>
      </c>
      <c r="CH315" s="7">
        <f t="shared" si="1521"/>
        <v>1341234.4613333372</v>
      </c>
      <c r="CI315" s="7">
        <f t="shared" si="1538"/>
        <v>1289648.5413333373</v>
      </c>
      <c r="CJ315" s="7">
        <f t="shared" si="1557"/>
        <v>1238062.6213333374</v>
      </c>
      <c r="CK315" s="236">
        <v>0</v>
      </c>
      <c r="CL315" s="7">
        <v>51585.919999999991</v>
      </c>
      <c r="CM315" s="39">
        <f t="shared" si="1540"/>
        <v>619031.03999999992</v>
      </c>
      <c r="CN315" s="7">
        <f t="shared" si="1541"/>
        <v>1186476.7013333375</v>
      </c>
      <c r="CO315" s="7">
        <f t="shared" si="1542"/>
        <v>1134890.7813333375</v>
      </c>
      <c r="CP315" s="7">
        <f t="shared" si="1543"/>
        <v>1083304.8613333376</v>
      </c>
      <c r="CQ315" s="7">
        <f t="shared" si="1544"/>
        <v>1031718.9413333376</v>
      </c>
      <c r="CR315" s="7">
        <f t="shared" si="1545"/>
        <v>980133.02133333753</v>
      </c>
      <c r="CS315" s="7">
        <f t="shared" si="1546"/>
        <v>928547.10133333749</v>
      </c>
      <c r="CT315" s="7">
        <f t="shared" si="1547"/>
        <v>876961.18133333744</v>
      </c>
      <c r="CU315" s="7">
        <f t="shared" si="1548"/>
        <v>825375.2613333374</v>
      </c>
      <c r="CV315" s="7">
        <f t="shared" si="1558"/>
        <v>773789.34133333736</v>
      </c>
      <c r="CW315" s="7">
        <f t="shared" si="1550"/>
        <v>722203.42133333732</v>
      </c>
      <c r="CX315" s="7">
        <f t="shared" si="1551"/>
        <v>670617.50133333728</v>
      </c>
      <c r="CY315" s="7">
        <f t="shared" si="1559"/>
        <v>619031.58133333724</v>
      </c>
      <c r="CZ315" s="236">
        <v>0</v>
      </c>
    </row>
    <row r="316" spans="1:104" x14ac:dyDescent="0.2">
      <c r="A316" s="6" t="str">
        <f>'[1]2021 УГРЦТ'!A319</f>
        <v>Оборудование ТП-32 ул.Ленина, 41  2013г</v>
      </c>
      <c r="B316" t="str">
        <f>'[1]2021 УГРЦТ'!B319</f>
        <v>000001572</v>
      </c>
      <c r="C316" t="str">
        <f>'[1]2021 УГРЦТ'!C319</f>
        <v>ПЕРЕДАЧА</v>
      </c>
      <c r="D316" t="str">
        <f>'[1]2021 УГРЦТ'!D319</f>
        <v>Машины и оборудование (кроме офисного)</v>
      </c>
      <c r="E316" t="str">
        <f>'[1]2021 УГРЦТ'!E319</f>
        <v>31.12.2013</v>
      </c>
      <c r="F316" t="str">
        <f>'[1]2021 УГРЦТ'!F319</f>
        <v>Цех электрических сетей</v>
      </c>
      <c r="G316">
        <f>'[1]2021 УГРЦТ'!AC319</f>
        <v>180</v>
      </c>
      <c r="H316" s="7">
        <f>'[1]2021 УГРЦТ'!X319</f>
        <v>8382296.4100000001</v>
      </c>
      <c r="I316" s="7">
        <f>'[1]2021 УГРЦТ'!Y319</f>
        <v>4470558.0506666666</v>
      </c>
      <c r="J316" s="7">
        <f>'[1]2021 УГРЦТ'!Z319</f>
        <v>3911738.3593333336</v>
      </c>
      <c r="K316" s="8">
        <v>0</v>
      </c>
      <c r="L316" s="7">
        <v>46568.32</v>
      </c>
      <c r="M316" s="7"/>
      <c r="N316" s="7">
        <f t="shared" si="1492"/>
        <v>558819.83999999997</v>
      </c>
      <c r="O316" s="7">
        <f t="shared" si="1433"/>
        <v>3865170.0393333337</v>
      </c>
      <c r="P316" s="7">
        <f t="shared" si="1553"/>
        <v>3818601.7193333339</v>
      </c>
      <c r="Q316" s="7">
        <f t="shared" si="1553"/>
        <v>3772033.3993333341</v>
      </c>
      <c r="R316" s="7">
        <f t="shared" si="1553"/>
        <v>3725465.0793333342</v>
      </c>
      <c r="S316" s="7">
        <f t="shared" si="1553"/>
        <v>3678896.7593333344</v>
      </c>
      <c r="T316" s="7">
        <f t="shared" si="1553"/>
        <v>3632328.4393333346</v>
      </c>
      <c r="U316" s="7">
        <f t="shared" si="1553"/>
        <v>3585760.1193333347</v>
      </c>
      <c r="V316" s="7">
        <f t="shared" si="1553"/>
        <v>3539191.7993333349</v>
      </c>
      <c r="W316" s="7">
        <f t="shared" si="1553"/>
        <v>3492623.4793333351</v>
      </c>
      <c r="X316" s="7">
        <f t="shared" si="1553"/>
        <v>3446055.1593333352</v>
      </c>
      <c r="Y316" s="7">
        <f t="shared" si="1553"/>
        <v>3399486.8393333354</v>
      </c>
      <c r="Z316" s="7">
        <f t="shared" si="1553"/>
        <v>3352918.5193333356</v>
      </c>
      <c r="AA316" s="7"/>
      <c r="AB316" s="7"/>
      <c r="AC316" s="7">
        <f t="shared" si="1434"/>
        <v>558819.83999999997</v>
      </c>
      <c r="AD316" s="7">
        <f t="shared" si="1435"/>
        <v>3306350.1993333357</v>
      </c>
      <c r="AE316" s="7">
        <f t="shared" si="1496"/>
        <v>3259781.8793333359</v>
      </c>
      <c r="AF316" s="7">
        <f t="shared" si="1496"/>
        <v>3213213.5593333361</v>
      </c>
      <c r="AG316" s="7">
        <f t="shared" si="1496"/>
        <v>3166645.2393333362</v>
      </c>
      <c r="AH316" s="7">
        <f t="shared" si="1496"/>
        <v>3120076.9193333364</v>
      </c>
      <c r="AI316" s="7">
        <f t="shared" si="1496"/>
        <v>3073508.5993333366</v>
      </c>
      <c r="AJ316" s="7">
        <f t="shared" si="1496"/>
        <v>3026940.2793333367</v>
      </c>
      <c r="AK316" s="7">
        <f t="shared" si="1496"/>
        <v>2980371.9593333369</v>
      </c>
      <c r="AL316" s="7">
        <f t="shared" si="1496"/>
        <v>2933803.6393333371</v>
      </c>
      <c r="AM316" s="7">
        <f t="shared" si="1496"/>
        <v>2887235.3193333372</v>
      </c>
      <c r="AN316" s="7">
        <f t="shared" si="1496"/>
        <v>2840666.9993333374</v>
      </c>
      <c r="AO316" s="7">
        <f t="shared" si="1496"/>
        <v>2794098.6793333376</v>
      </c>
      <c r="AP316" s="222"/>
      <c r="AQ316" s="7">
        <v>46568.32</v>
      </c>
      <c r="AR316" s="7">
        <f t="shared" si="1436"/>
        <v>46568.319999999832</v>
      </c>
      <c r="AS316" s="7">
        <f t="shared" si="1437"/>
        <v>-1.673470251262188E-10</v>
      </c>
      <c r="AT316" s="7">
        <f t="shared" si="1498"/>
        <v>558819.83999999997</v>
      </c>
      <c r="AU316" s="7">
        <f t="shared" si="1499"/>
        <v>2747530.3593333378</v>
      </c>
      <c r="AV316" s="7">
        <f t="shared" si="1500"/>
        <v>2700962.0393333379</v>
      </c>
      <c r="AW316" s="7">
        <f t="shared" si="1500"/>
        <v>2654393.7193333381</v>
      </c>
      <c r="AX316" s="7">
        <f t="shared" si="1500"/>
        <v>2607825.3993333383</v>
      </c>
      <c r="AY316" s="7">
        <f t="shared" si="1500"/>
        <v>2561257.0793333384</v>
      </c>
      <c r="AZ316" s="7">
        <f t="shared" si="1500"/>
        <v>2514688.7593333386</v>
      </c>
      <c r="BA316" s="7">
        <f t="shared" si="1500"/>
        <v>2468120.4393333388</v>
      </c>
      <c r="BB316" s="7">
        <f t="shared" si="1500"/>
        <v>2421552.1193333389</v>
      </c>
      <c r="BC316" s="7">
        <f t="shared" si="1500"/>
        <v>2374983.7993333391</v>
      </c>
      <c r="BD316" s="7">
        <f t="shared" si="1500"/>
        <v>2328415.4793333393</v>
      </c>
      <c r="BE316" s="7">
        <f t="shared" si="1500"/>
        <v>2281847.1593333394</v>
      </c>
      <c r="BF316" s="7">
        <f t="shared" si="1500"/>
        <v>2235278.8393333396</v>
      </c>
      <c r="BG316" s="236">
        <f t="shared" si="1419"/>
        <v>0</v>
      </c>
      <c r="BH316" s="7">
        <v>46568.32</v>
      </c>
      <c r="BI316" s="39">
        <f t="shared" si="1535"/>
        <v>558819.83999999997</v>
      </c>
      <c r="BJ316" s="7">
        <f t="shared" si="1501"/>
        <v>2188710.5193333398</v>
      </c>
      <c r="BK316" s="7">
        <f t="shared" si="1502"/>
        <v>2142142.1993333399</v>
      </c>
      <c r="BL316" s="7">
        <f t="shared" si="1503"/>
        <v>2095573.8793333399</v>
      </c>
      <c r="BM316" s="7">
        <f t="shared" si="1504"/>
        <v>2049005.5593333398</v>
      </c>
      <c r="BN316" s="7">
        <f t="shared" si="1505"/>
        <v>2002437.2393333397</v>
      </c>
      <c r="BO316" s="7">
        <f t="shared" si="1506"/>
        <v>1955868.9193333397</v>
      </c>
      <c r="BP316" s="7">
        <f t="shared" si="1507"/>
        <v>1909300.5993333396</v>
      </c>
      <c r="BQ316" s="7">
        <f t="shared" si="1508"/>
        <v>1862732.2793333395</v>
      </c>
      <c r="BR316" s="7">
        <f t="shared" si="1554"/>
        <v>1816163.9593333395</v>
      </c>
      <c r="BS316" s="7">
        <f t="shared" si="1510"/>
        <v>1769595.6393333394</v>
      </c>
      <c r="BT316" s="7">
        <f t="shared" si="1511"/>
        <v>1723027.3193333393</v>
      </c>
      <c r="BU316" s="7">
        <f t="shared" si="1555"/>
        <v>1676458.9993333393</v>
      </c>
      <c r="BV316" s="236">
        <v>0</v>
      </c>
      <c r="BW316" s="7">
        <v>46568.32</v>
      </c>
      <c r="BX316" s="39">
        <f t="shared" si="1536"/>
        <v>558819.83999999997</v>
      </c>
      <c r="BY316" s="7">
        <f t="shared" si="1537"/>
        <v>1629890.6793333392</v>
      </c>
      <c r="BZ316" s="7">
        <f t="shared" si="1513"/>
        <v>1583322.3593333391</v>
      </c>
      <c r="CA316" s="7">
        <f t="shared" si="1514"/>
        <v>1536754.0393333391</v>
      </c>
      <c r="CB316" s="7">
        <f t="shared" si="1515"/>
        <v>1490185.719333339</v>
      </c>
      <c r="CC316" s="7">
        <f t="shared" si="1516"/>
        <v>1443617.399333339</v>
      </c>
      <c r="CD316" s="7">
        <f t="shared" si="1517"/>
        <v>1397049.0793333389</v>
      </c>
      <c r="CE316" s="7">
        <f t="shared" si="1518"/>
        <v>1350480.7593333388</v>
      </c>
      <c r="CF316" s="7">
        <f t="shared" si="1519"/>
        <v>1303912.4393333388</v>
      </c>
      <c r="CG316" s="7">
        <f t="shared" si="1556"/>
        <v>1257344.1193333387</v>
      </c>
      <c r="CH316" s="7">
        <f t="shared" si="1521"/>
        <v>1210775.7993333386</v>
      </c>
      <c r="CI316" s="7">
        <f t="shared" si="1538"/>
        <v>1164207.4793333386</v>
      </c>
      <c r="CJ316" s="7">
        <f t="shared" si="1557"/>
        <v>1117639.1593333385</v>
      </c>
      <c r="CK316" s="236">
        <v>0</v>
      </c>
      <c r="CL316" s="7">
        <v>46568.32</v>
      </c>
      <c r="CM316" s="39">
        <f t="shared" si="1540"/>
        <v>558819.83999999997</v>
      </c>
      <c r="CN316" s="7">
        <f t="shared" si="1541"/>
        <v>1071070.8393333384</v>
      </c>
      <c r="CO316" s="7">
        <f t="shared" si="1542"/>
        <v>1024502.5193333385</v>
      </c>
      <c r="CP316" s="7">
        <f t="shared" si="1543"/>
        <v>977934.19933333853</v>
      </c>
      <c r="CQ316" s="7">
        <f t="shared" si="1544"/>
        <v>931365.87933333858</v>
      </c>
      <c r="CR316" s="7">
        <f t="shared" si="1545"/>
        <v>884797.55933333864</v>
      </c>
      <c r="CS316" s="7">
        <f t="shared" si="1546"/>
        <v>838229.23933333869</v>
      </c>
      <c r="CT316" s="7">
        <f t="shared" si="1547"/>
        <v>791660.91933333874</v>
      </c>
      <c r="CU316" s="7">
        <f t="shared" si="1548"/>
        <v>745092.59933333879</v>
      </c>
      <c r="CV316" s="7">
        <f t="shared" si="1558"/>
        <v>698524.27933333884</v>
      </c>
      <c r="CW316" s="7">
        <f t="shared" si="1550"/>
        <v>651955.95933333889</v>
      </c>
      <c r="CX316" s="7">
        <f t="shared" si="1551"/>
        <v>605387.63933333894</v>
      </c>
      <c r="CY316" s="7">
        <f t="shared" si="1559"/>
        <v>558819.31933333899</v>
      </c>
      <c r="CZ316" s="236">
        <v>0</v>
      </c>
    </row>
    <row r="317" spans="1:104" x14ac:dyDescent="0.2">
      <c r="A317" s="6" t="str">
        <f>'[1]2021 УГРЦТ'!A320</f>
        <v>Оборудование ТП-37 ул Ленина,27 2013г</v>
      </c>
      <c r="B317" t="str">
        <f>'[1]2021 УГРЦТ'!B320</f>
        <v>000001573</v>
      </c>
      <c r="C317" t="str">
        <f>'[1]2021 УГРЦТ'!C320</f>
        <v>ПЕРЕДАЧА</v>
      </c>
      <c r="D317" t="str">
        <f>'[1]2021 УГРЦТ'!D320</f>
        <v>Машины и оборудование (кроме офисного)</v>
      </c>
      <c r="E317" t="str">
        <f>'[1]2021 УГРЦТ'!E320</f>
        <v>31.12.2013</v>
      </c>
      <c r="F317" t="str">
        <f>'[1]2021 УГРЦТ'!F320</f>
        <v>Цех электрических сетей</v>
      </c>
      <c r="G317">
        <f>'[1]2021 УГРЦТ'!AC320</f>
        <v>180</v>
      </c>
      <c r="H317" s="7">
        <f>'[1]2021 УГРЦТ'!X320</f>
        <v>8961223.3300000001</v>
      </c>
      <c r="I317" s="7">
        <f>'[1]2021 УГРЦТ'!Y320</f>
        <v>4779318.7686666669</v>
      </c>
      <c r="J317" s="7">
        <f>'[1]2021 УГРЦТ'!Z320</f>
        <v>4181904.5613333331</v>
      </c>
      <c r="K317" s="8">
        <v>0</v>
      </c>
      <c r="L317" s="7">
        <v>49784.57</v>
      </c>
      <c r="M317" s="7"/>
      <c r="N317" s="7">
        <f t="shared" si="1492"/>
        <v>597414.84</v>
      </c>
      <c r="O317" s="7">
        <f t="shared" si="1433"/>
        <v>4132119.9913333333</v>
      </c>
      <c r="P317" s="7">
        <f t="shared" si="1553"/>
        <v>4082335.4213333335</v>
      </c>
      <c r="Q317" s="7">
        <f t="shared" si="1553"/>
        <v>4032550.8513333336</v>
      </c>
      <c r="R317" s="7">
        <f t="shared" si="1553"/>
        <v>3982766.2813333338</v>
      </c>
      <c r="S317" s="7">
        <f t="shared" si="1553"/>
        <v>3932981.711333334</v>
      </c>
      <c r="T317" s="7">
        <f t="shared" si="1553"/>
        <v>3883197.1413333341</v>
      </c>
      <c r="U317" s="7">
        <f t="shared" si="1553"/>
        <v>3833412.5713333343</v>
      </c>
      <c r="V317" s="7">
        <f t="shared" si="1553"/>
        <v>3783628.0013333345</v>
      </c>
      <c r="W317" s="7">
        <f t="shared" si="1553"/>
        <v>3733843.4313333347</v>
      </c>
      <c r="X317" s="7">
        <f t="shared" si="1553"/>
        <v>3684058.8613333348</v>
      </c>
      <c r="Y317" s="7">
        <f t="shared" si="1553"/>
        <v>3634274.291333335</v>
      </c>
      <c r="Z317" s="7">
        <f t="shared" si="1553"/>
        <v>3584489.7213333352</v>
      </c>
      <c r="AA317" s="7"/>
      <c r="AB317" s="7"/>
      <c r="AC317" s="7">
        <f t="shared" si="1434"/>
        <v>597414.84</v>
      </c>
      <c r="AD317" s="7">
        <f t="shared" si="1435"/>
        <v>3534705.1513333353</v>
      </c>
      <c r="AE317" s="7">
        <f t="shared" si="1496"/>
        <v>3484920.5813333355</v>
      </c>
      <c r="AF317" s="7">
        <f t="shared" si="1496"/>
        <v>3435136.0113333357</v>
      </c>
      <c r="AG317" s="7">
        <f t="shared" si="1496"/>
        <v>3385351.4413333358</v>
      </c>
      <c r="AH317" s="7">
        <f t="shared" si="1496"/>
        <v>3335566.871333336</v>
      </c>
      <c r="AI317" s="7">
        <f t="shared" si="1496"/>
        <v>3285782.3013333362</v>
      </c>
      <c r="AJ317" s="7">
        <f t="shared" si="1496"/>
        <v>3235997.7313333363</v>
      </c>
      <c r="AK317" s="7">
        <f t="shared" si="1496"/>
        <v>3186213.1613333365</v>
      </c>
      <c r="AL317" s="7">
        <f t="shared" si="1496"/>
        <v>3136428.5913333367</v>
      </c>
      <c r="AM317" s="7">
        <f t="shared" si="1496"/>
        <v>3086644.0213333368</v>
      </c>
      <c r="AN317" s="7">
        <f t="shared" si="1496"/>
        <v>3036859.451333337</v>
      </c>
      <c r="AO317" s="7">
        <f t="shared" si="1496"/>
        <v>2987074.8813333372</v>
      </c>
      <c r="AP317" s="222"/>
      <c r="AQ317" s="7">
        <v>49784.57</v>
      </c>
      <c r="AR317" s="7">
        <f t="shared" si="1436"/>
        <v>49784.569999999832</v>
      </c>
      <c r="AS317" s="7">
        <f t="shared" si="1437"/>
        <v>-1.673470251262188E-10</v>
      </c>
      <c r="AT317" s="7">
        <f t="shared" si="1498"/>
        <v>597414.84</v>
      </c>
      <c r="AU317" s="7">
        <f t="shared" si="1499"/>
        <v>2937290.3113333373</v>
      </c>
      <c r="AV317" s="7">
        <f t="shared" si="1500"/>
        <v>2887505.7413333375</v>
      </c>
      <c r="AW317" s="7">
        <f t="shared" si="1500"/>
        <v>2837721.1713333377</v>
      </c>
      <c r="AX317" s="7">
        <f t="shared" si="1500"/>
        <v>2787936.6013333378</v>
      </c>
      <c r="AY317" s="7">
        <f t="shared" si="1500"/>
        <v>2738152.031333338</v>
      </c>
      <c r="AZ317" s="7">
        <f t="shared" si="1500"/>
        <v>2688367.4613333382</v>
      </c>
      <c r="BA317" s="7">
        <f t="shared" si="1500"/>
        <v>2638582.8913333383</v>
      </c>
      <c r="BB317" s="7">
        <f t="shared" si="1500"/>
        <v>2588798.3213333385</v>
      </c>
      <c r="BC317" s="7">
        <f t="shared" si="1500"/>
        <v>2539013.7513333387</v>
      </c>
      <c r="BD317" s="7">
        <f t="shared" si="1500"/>
        <v>2489229.1813333388</v>
      </c>
      <c r="BE317" s="7">
        <f t="shared" si="1500"/>
        <v>2439444.611333339</v>
      </c>
      <c r="BF317" s="7">
        <f t="shared" si="1500"/>
        <v>2389660.0413333392</v>
      </c>
      <c r="BG317" s="236">
        <f t="shared" si="1419"/>
        <v>0</v>
      </c>
      <c r="BH317" s="7">
        <v>49784.57</v>
      </c>
      <c r="BI317" s="39">
        <f t="shared" si="1535"/>
        <v>597414.84</v>
      </c>
      <c r="BJ317" s="7">
        <f t="shared" si="1501"/>
        <v>2339875.4713333393</v>
      </c>
      <c r="BK317" s="7">
        <f t="shared" si="1502"/>
        <v>2290090.9013333395</v>
      </c>
      <c r="BL317" s="7">
        <f t="shared" si="1503"/>
        <v>2240306.3313333397</v>
      </c>
      <c r="BM317" s="7">
        <f t="shared" si="1504"/>
        <v>2190521.7613333398</v>
      </c>
      <c r="BN317" s="7">
        <f t="shared" si="1505"/>
        <v>2140737.19133334</v>
      </c>
      <c r="BO317" s="7">
        <f t="shared" si="1506"/>
        <v>2090952.62133334</v>
      </c>
      <c r="BP317" s="7">
        <f t="shared" si="1507"/>
        <v>2041168.0513333399</v>
      </c>
      <c r="BQ317" s="7">
        <f t="shared" si="1508"/>
        <v>1991383.4813333398</v>
      </c>
      <c r="BR317" s="7">
        <f t="shared" si="1554"/>
        <v>1941598.9113333398</v>
      </c>
      <c r="BS317" s="7">
        <f t="shared" si="1510"/>
        <v>1891814.3413333397</v>
      </c>
      <c r="BT317" s="7">
        <f t="shared" si="1511"/>
        <v>1842029.7713333396</v>
      </c>
      <c r="BU317" s="7">
        <f t="shared" si="1555"/>
        <v>1792245.2013333396</v>
      </c>
      <c r="BV317" s="236">
        <v>0</v>
      </c>
      <c r="BW317" s="7">
        <v>49784.57</v>
      </c>
      <c r="BX317" s="39">
        <f t="shared" si="1536"/>
        <v>597414.84</v>
      </c>
      <c r="BY317" s="7">
        <f t="shared" si="1537"/>
        <v>1742460.6313333395</v>
      </c>
      <c r="BZ317" s="7">
        <f t="shared" si="1513"/>
        <v>1692676.0613333394</v>
      </c>
      <c r="CA317" s="7">
        <f t="shared" si="1514"/>
        <v>1642891.4913333394</v>
      </c>
      <c r="CB317" s="7">
        <f t="shared" si="1515"/>
        <v>1593106.9213333393</v>
      </c>
      <c r="CC317" s="7">
        <f t="shared" si="1516"/>
        <v>1543322.3513333392</v>
      </c>
      <c r="CD317" s="7">
        <f t="shared" si="1517"/>
        <v>1493537.7813333392</v>
      </c>
      <c r="CE317" s="7">
        <f t="shared" si="1518"/>
        <v>1443753.2113333391</v>
      </c>
      <c r="CF317" s="7">
        <f t="shared" si="1519"/>
        <v>1393968.641333339</v>
      </c>
      <c r="CG317" s="7">
        <f t="shared" si="1556"/>
        <v>1344184.071333339</v>
      </c>
      <c r="CH317" s="7">
        <f t="shared" si="1521"/>
        <v>1294399.5013333389</v>
      </c>
      <c r="CI317" s="7">
        <f t="shared" si="1538"/>
        <v>1244614.9313333388</v>
      </c>
      <c r="CJ317" s="7">
        <f t="shared" si="1557"/>
        <v>1194830.3613333388</v>
      </c>
      <c r="CK317" s="236">
        <v>0</v>
      </c>
      <c r="CL317" s="7">
        <v>49784.57</v>
      </c>
      <c r="CM317" s="39">
        <f t="shared" si="1540"/>
        <v>597414.84</v>
      </c>
      <c r="CN317" s="7">
        <f t="shared" si="1541"/>
        <v>1145045.7913333387</v>
      </c>
      <c r="CO317" s="7">
        <f t="shared" si="1542"/>
        <v>1095261.2213333386</v>
      </c>
      <c r="CP317" s="7">
        <f t="shared" si="1543"/>
        <v>1045476.6513333387</v>
      </c>
      <c r="CQ317" s="7">
        <f t="shared" si="1544"/>
        <v>995692.08133333875</v>
      </c>
      <c r="CR317" s="7">
        <f t="shared" si="1545"/>
        <v>945907.5113333388</v>
      </c>
      <c r="CS317" s="7">
        <f t="shared" si="1546"/>
        <v>896122.94133333885</v>
      </c>
      <c r="CT317" s="7">
        <f t="shared" si="1547"/>
        <v>846338.3713333389</v>
      </c>
      <c r="CU317" s="7">
        <f t="shared" si="1548"/>
        <v>796553.80133333895</v>
      </c>
      <c r="CV317" s="7">
        <f t="shared" si="1558"/>
        <v>746769.231333339</v>
      </c>
      <c r="CW317" s="7">
        <f t="shared" si="1550"/>
        <v>696984.66133333906</v>
      </c>
      <c r="CX317" s="7">
        <f t="shared" si="1551"/>
        <v>647200.09133333911</v>
      </c>
      <c r="CY317" s="7">
        <f t="shared" si="1559"/>
        <v>597415.52133333916</v>
      </c>
      <c r="CZ317" s="236">
        <v>0</v>
      </c>
    </row>
    <row r="318" spans="1:104" x14ac:dyDescent="0.2">
      <c r="A318" s="6" t="str">
        <f>'[1]2021 УГРЦТ'!A321</f>
        <v>Оборудование ТП-43  Рабочая Водозабор 1996г.</v>
      </c>
      <c r="B318" t="str">
        <f>'[1]2021 УГРЦТ'!B321</f>
        <v>00000237</v>
      </c>
      <c r="C318" t="str">
        <f>'[1]2021 УГРЦТ'!C321</f>
        <v>ПЕРЕДАЧА</v>
      </c>
      <c r="D318" t="str">
        <f>'[1]2021 УГРЦТ'!D321</f>
        <v>Машины и оборудование (кроме офисного)</v>
      </c>
      <c r="E318" t="str">
        <f>'[1]2021 УГРЦТ'!E321</f>
        <v>01.02.1996</v>
      </c>
      <c r="F318" t="str">
        <f>'[1]2021 УГРЦТ'!F321</f>
        <v>Цех электрических сетей</v>
      </c>
      <c r="G318">
        <f>'[1]2021 УГРЦТ'!AC321</f>
        <v>276</v>
      </c>
      <c r="H318" s="7">
        <f>'[1]2021 УГРЦТ'!X321</f>
        <v>38224</v>
      </c>
      <c r="I318" s="7">
        <f>'[1]2021 УГРЦТ'!Y321</f>
        <v>35069.423043478266</v>
      </c>
      <c r="J318" s="7">
        <f>'[1]2021 УГРЦТ'!Z321</f>
        <v>3154.5769565217342</v>
      </c>
      <c r="K318" s="8">
        <v>0</v>
      </c>
      <c r="L318" s="7">
        <v>138.49</v>
      </c>
      <c r="M318" s="7"/>
      <c r="N318" s="7">
        <f t="shared" si="1492"/>
        <v>1661.88</v>
      </c>
      <c r="O318" s="7">
        <f t="shared" si="1433"/>
        <v>3016.0869565217345</v>
      </c>
      <c r="P318" s="7">
        <f t="shared" si="1553"/>
        <v>2877.5969565217347</v>
      </c>
      <c r="Q318" s="7">
        <f t="shared" si="1553"/>
        <v>2739.1069565217349</v>
      </c>
      <c r="R318" s="7">
        <f t="shared" si="1553"/>
        <v>2600.6169565217351</v>
      </c>
      <c r="S318" s="7">
        <f t="shared" si="1553"/>
        <v>2462.1269565217353</v>
      </c>
      <c r="T318" s="7">
        <f t="shared" si="1553"/>
        <v>2323.6369565217356</v>
      </c>
      <c r="U318" s="7">
        <f t="shared" si="1553"/>
        <v>2185.1469565217358</v>
      </c>
      <c r="V318" s="7">
        <f t="shared" si="1553"/>
        <v>2046.6569565217358</v>
      </c>
      <c r="W318" s="7">
        <f t="shared" si="1553"/>
        <v>1908.1669565217358</v>
      </c>
      <c r="X318" s="7">
        <f t="shared" si="1553"/>
        <v>1769.6769565217357</v>
      </c>
      <c r="Y318" s="7">
        <f t="shared" si="1553"/>
        <v>1631.1869565217357</v>
      </c>
      <c r="Z318" s="7">
        <f>Y318-$L318</f>
        <v>1492.6969565217357</v>
      </c>
      <c r="AA318" s="7"/>
      <c r="AB318" s="7"/>
      <c r="AC318" s="7">
        <v>0</v>
      </c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222"/>
      <c r="AQ318" s="7">
        <v>0</v>
      </c>
      <c r="AR318" s="7">
        <f t="shared" si="1436"/>
        <v>0</v>
      </c>
      <c r="AS318" s="7">
        <f t="shared" si="1437"/>
        <v>0</v>
      </c>
      <c r="BG318" s="236">
        <f t="shared" si="1419"/>
        <v>0</v>
      </c>
      <c r="BH318" s="7">
        <v>0</v>
      </c>
      <c r="BV318" s="236">
        <f>IF(Z318&lt;1,0,SUM(BJ318:BU318,BF318)/13*$BG$1)</f>
        <v>0</v>
      </c>
      <c r="BW318" s="7">
        <v>0</v>
      </c>
      <c r="CK318" s="236">
        <f>IF(AO318&lt;1,0,SUM(BY318:CJ318,BU318)/13*$BG$1)</f>
        <v>0</v>
      </c>
      <c r="CL318" s="7">
        <v>0</v>
      </c>
      <c r="CZ318" s="236">
        <f>IF(BF318&lt;1,0,SUM(CN318:CY318,CJ318)/13*$BG$1)</f>
        <v>0</v>
      </c>
    </row>
    <row r="319" spans="1:104" x14ac:dyDescent="0.2">
      <c r="A319" s="6" t="str">
        <f>'[1]2021 УГРЦТ'!A322</f>
        <v>Оборудование ТП46 Молодежная Факел 1996г</v>
      </c>
      <c r="B319" t="str">
        <f>'[1]2021 УГРЦТ'!B322</f>
        <v>00000239</v>
      </c>
      <c r="C319" t="str">
        <f>'[1]2021 УГРЦТ'!C322</f>
        <v>ПЕРЕДАЧА</v>
      </c>
      <c r="D319" t="str">
        <f>'[1]2021 УГРЦТ'!D322</f>
        <v>Машины и оборудование (кроме офисного)</v>
      </c>
      <c r="E319" t="str">
        <f>'[1]2021 УГРЦТ'!E322</f>
        <v>01.02.1996</v>
      </c>
      <c r="F319" t="str">
        <f>'[1]2021 УГРЦТ'!F322</f>
        <v>Цех электрических сетей</v>
      </c>
      <c r="G319">
        <f>'[1]2021 УГРЦТ'!AC322</f>
        <v>317</v>
      </c>
      <c r="H319" s="7">
        <f>'[1]2021 УГРЦТ'!X322</f>
        <v>236764.66</v>
      </c>
      <c r="I319" s="7">
        <f>'[1]2021 УГРЦТ'!Y322</f>
        <v>227863.8</v>
      </c>
      <c r="J319" s="7">
        <f>'[1]2021 УГРЦТ'!Z322</f>
        <v>8900.8600000000151</v>
      </c>
      <c r="K319" s="8">
        <v>0</v>
      </c>
      <c r="L319" s="7">
        <v>1271.57</v>
      </c>
      <c r="M319" s="7"/>
      <c r="N319" s="7">
        <f>L319*7-0.13</f>
        <v>8900.86</v>
      </c>
      <c r="O319" s="7">
        <f>J319-$L319</f>
        <v>7629.2900000000154</v>
      </c>
      <c r="P319" s="7">
        <f t="shared" si="1553"/>
        <v>6357.7200000000157</v>
      </c>
      <c r="Q319" s="7">
        <f t="shared" si="1553"/>
        <v>5086.150000000016</v>
      </c>
      <c r="R319" s="7">
        <f t="shared" si="1553"/>
        <v>3814.5800000000163</v>
      </c>
      <c r="S319" s="7">
        <f t="shared" si="1553"/>
        <v>2543.0100000000166</v>
      </c>
      <c r="T319" s="7">
        <f t="shared" si="1553"/>
        <v>1271.4400000000167</v>
      </c>
      <c r="U319" s="7">
        <f>T319-$L319+0.13</f>
        <v>1.671651705947852E-11</v>
      </c>
      <c r="V319" s="7">
        <f>U319-$L319*0</f>
        <v>1.671651705947852E-11</v>
      </c>
      <c r="W319" s="7">
        <f t="shared" ref="W319:Z319" si="1560">V319-$L319*0</f>
        <v>1.671651705947852E-11</v>
      </c>
      <c r="X319" s="7">
        <f t="shared" si="1560"/>
        <v>1.671651705947852E-11</v>
      </c>
      <c r="Y319" s="7">
        <f t="shared" si="1560"/>
        <v>1.671651705947852E-11</v>
      </c>
      <c r="Z319" s="7">
        <f t="shared" si="1560"/>
        <v>1.671651705947852E-11</v>
      </c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222"/>
      <c r="AQ319" s="7">
        <v>1271.57</v>
      </c>
      <c r="AR319" s="7"/>
      <c r="AS319" s="7"/>
      <c r="BG319" s="236">
        <f t="shared" si="1419"/>
        <v>0</v>
      </c>
      <c r="BH319" s="7">
        <v>1271.57</v>
      </c>
      <c r="BV319" s="236">
        <f>IF(Z319&lt;1,0,SUM(BJ319:BU319,BF319)/13*$BG$1)</f>
        <v>0</v>
      </c>
      <c r="BW319" s="7">
        <v>1271.57</v>
      </c>
      <c r="CK319" s="236">
        <f>IF(AO319&lt;1,0,SUM(BY319:CJ319,BU319)/13*$BG$1)</f>
        <v>0</v>
      </c>
      <c r="CL319" s="7">
        <v>1271.57</v>
      </c>
      <c r="CZ319" s="236">
        <f>IF(BF319&lt;1,0,SUM(CN319:CY319,CJ319)/13*$BG$1)</f>
        <v>0</v>
      </c>
    </row>
    <row r="320" spans="1:104" x14ac:dyDescent="0.2">
      <c r="A320" s="6" t="str">
        <f>'[1]2021 УГРЦТ'!A323</f>
        <v>Оборудование ТП-52 Совхоз ГКТП 1982 г.</v>
      </c>
      <c r="B320" t="str">
        <f>'[1]2021 УГРЦТ'!B323</f>
        <v>00000220</v>
      </c>
      <c r="C320" t="str">
        <f>'[1]2021 УГРЦТ'!C323</f>
        <v>ПЕРЕДАЧА</v>
      </c>
      <c r="D320" t="str">
        <f>'[1]2021 УГРЦТ'!D323</f>
        <v>Машины и оборудование (кроме офисного)</v>
      </c>
      <c r="E320" t="str">
        <f>'[1]2021 УГРЦТ'!E323</f>
        <v>01.01.1982</v>
      </c>
      <c r="F320" t="str">
        <f>'[1]2021 УГРЦТ'!F323</f>
        <v>Цех электрических сетей</v>
      </c>
      <c r="G320">
        <f>'[1]2021 УГРЦТ'!AC323</f>
        <v>177</v>
      </c>
      <c r="H320" s="7">
        <f>'[1]2021 УГРЦТ'!X323</f>
        <v>525588.19999999995</v>
      </c>
      <c r="I320" s="7">
        <f>'[1]2021 УГРЦТ'!Y323</f>
        <v>353996.4</v>
      </c>
      <c r="J320" s="7">
        <f>'[1]2021 УГРЦТ'!Z323</f>
        <v>171591.79999999993</v>
      </c>
      <c r="K320" s="8">
        <v>0</v>
      </c>
      <c r="L320" s="7">
        <v>2859.8699999999994</v>
      </c>
      <c r="M320" s="7"/>
      <c r="N320" s="7">
        <f t="shared" si="1492"/>
        <v>34318.439999999995</v>
      </c>
      <c r="O320" s="7">
        <f t="shared" si="1433"/>
        <v>168731.92999999993</v>
      </c>
      <c r="P320" s="7">
        <f t="shared" si="1553"/>
        <v>165872.05999999994</v>
      </c>
      <c r="Q320" s="7">
        <f t="shared" si="1553"/>
        <v>163012.18999999994</v>
      </c>
      <c r="R320" s="7">
        <f t="shared" si="1553"/>
        <v>160152.31999999995</v>
      </c>
      <c r="S320" s="7">
        <f t="shared" si="1553"/>
        <v>157292.44999999995</v>
      </c>
      <c r="T320" s="7">
        <f t="shared" si="1553"/>
        <v>154432.57999999996</v>
      </c>
      <c r="U320" s="7">
        <f t="shared" si="1553"/>
        <v>151572.70999999996</v>
      </c>
      <c r="V320" s="7">
        <f t="shared" si="1553"/>
        <v>148712.83999999997</v>
      </c>
      <c r="W320" s="7">
        <f t="shared" si="1553"/>
        <v>145852.96999999997</v>
      </c>
      <c r="X320" s="7">
        <f t="shared" si="1553"/>
        <v>142993.09999999998</v>
      </c>
      <c r="Y320" s="7">
        <f t="shared" si="1553"/>
        <v>140133.22999999998</v>
      </c>
      <c r="Z320" s="7">
        <f t="shared" si="1553"/>
        <v>137273.35999999999</v>
      </c>
      <c r="AA320" s="7"/>
      <c r="AB320" s="7"/>
      <c r="AC320" s="7">
        <f t="shared" si="1434"/>
        <v>34318.439999999995</v>
      </c>
      <c r="AD320" s="7">
        <f t="shared" si="1435"/>
        <v>134413.49</v>
      </c>
      <c r="AE320" s="7">
        <f t="shared" ref="AE320:AO326" si="1561">AD320-$L320</f>
        <v>131553.62</v>
      </c>
      <c r="AF320" s="7">
        <f t="shared" si="1561"/>
        <v>128693.75</v>
      </c>
      <c r="AG320" s="7">
        <f t="shared" si="1561"/>
        <v>125833.88</v>
      </c>
      <c r="AH320" s="7">
        <f t="shared" si="1561"/>
        <v>122974.01000000001</v>
      </c>
      <c r="AI320" s="7">
        <f t="shared" si="1561"/>
        <v>120114.14000000001</v>
      </c>
      <c r="AJ320" s="7">
        <f t="shared" si="1561"/>
        <v>117254.27000000002</v>
      </c>
      <c r="AK320" s="7">
        <f t="shared" si="1561"/>
        <v>114394.40000000002</v>
      </c>
      <c r="AL320" s="7">
        <f t="shared" si="1561"/>
        <v>111534.53000000003</v>
      </c>
      <c r="AM320" s="7">
        <f t="shared" si="1561"/>
        <v>108674.66000000003</v>
      </c>
      <c r="AN320" s="7">
        <f t="shared" si="1561"/>
        <v>105814.79000000004</v>
      </c>
      <c r="AO320" s="7">
        <f t="shared" si="1561"/>
        <v>102954.92000000004</v>
      </c>
      <c r="AP320" s="222"/>
      <c r="AQ320" s="7">
        <v>2859.8699999999994</v>
      </c>
      <c r="AR320" s="7">
        <f t="shared" si="1436"/>
        <v>2859.8699999999953</v>
      </c>
      <c r="AS320" s="7">
        <f t="shared" si="1437"/>
        <v>-4.0927261579781771E-12</v>
      </c>
      <c r="AT320" s="7">
        <f t="shared" ref="AT320:AT324" si="1562">L320*12</f>
        <v>34318.439999999995</v>
      </c>
      <c r="AU320" s="7">
        <f t="shared" ref="AU320:AU326" si="1563">AO320-$L320</f>
        <v>100095.05000000005</v>
      </c>
      <c r="AV320" s="7">
        <f t="shared" ref="AV320:BF326" si="1564">AU320-$L320</f>
        <v>97235.180000000051</v>
      </c>
      <c r="AW320" s="7">
        <f t="shared" si="1564"/>
        <v>94375.310000000056</v>
      </c>
      <c r="AX320" s="7">
        <f t="shared" si="1564"/>
        <v>91515.440000000061</v>
      </c>
      <c r="AY320" s="7">
        <f t="shared" si="1564"/>
        <v>88655.570000000065</v>
      </c>
      <c r="AZ320" s="7">
        <f t="shared" si="1564"/>
        <v>85795.70000000007</v>
      </c>
      <c r="BA320" s="7">
        <f t="shared" si="1564"/>
        <v>82935.830000000075</v>
      </c>
      <c r="BB320" s="7">
        <f t="shared" si="1564"/>
        <v>80075.960000000079</v>
      </c>
      <c r="BC320" s="7">
        <f t="shared" si="1564"/>
        <v>77216.090000000084</v>
      </c>
      <c r="BD320" s="7">
        <f t="shared" si="1564"/>
        <v>74356.220000000088</v>
      </c>
      <c r="BE320" s="7">
        <f t="shared" si="1564"/>
        <v>71496.350000000093</v>
      </c>
      <c r="BF320" s="7">
        <f t="shared" si="1564"/>
        <v>68636.480000000098</v>
      </c>
      <c r="BG320" s="236">
        <f t="shared" si="1419"/>
        <v>0</v>
      </c>
      <c r="BH320" s="7">
        <v>2859.8699999999994</v>
      </c>
      <c r="BI320" s="39">
        <f>BH320*12</f>
        <v>34318.439999999995</v>
      </c>
      <c r="BJ320" s="7">
        <f>BF320-BH320</f>
        <v>65776.610000000102</v>
      </c>
      <c r="BK320" s="7">
        <f t="shared" ref="BK320:BK324" si="1565">BJ320-$L320</f>
        <v>62916.7400000001</v>
      </c>
      <c r="BL320" s="7">
        <f t="shared" ref="BL320:BL324" si="1566">BK320-$L320</f>
        <v>60056.870000000097</v>
      </c>
      <c r="BM320" s="7">
        <f t="shared" ref="BM320:BM324" si="1567">BL320-$L320</f>
        <v>57197.000000000095</v>
      </c>
      <c r="BN320" s="7">
        <f t="shared" ref="BN320:BN324" si="1568">BM320-$L320</f>
        <v>54337.130000000092</v>
      </c>
      <c r="BO320" s="7">
        <f t="shared" ref="BO320:BO324" si="1569">BN320-$L320</f>
        <v>51477.260000000089</v>
      </c>
      <c r="BP320" s="7">
        <f t="shared" ref="BP320:BP324" si="1570">BO320-$L320</f>
        <v>48617.390000000087</v>
      </c>
      <c r="BQ320" s="7">
        <f t="shared" ref="BQ320:BQ324" si="1571">BP320-$L320</f>
        <v>45757.520000000084</v>
      </c>
      <c r="BR320" s="7">
        <f t="shared" ref="BR320:BR324" si="1572">BQ320-$L320</f>
        <v>42897.650000000081</v>
      </c>
      <c r="BS320" s="7">
        <f t="shared" ref="BS320:BS324" si="1573">BR320-$L320</f>
        <v>40037.780000000079</v>
      </c>
      <c r="BT320" s="7">
        <f t="shared" ref="BT320:BT324" si="1574">BS320-$L320</f>
        <v>37177.910000000076</v>
      </c>
      <c r="BU320" s="7">
        <f t="shared" ref="BU320:BU324" si="1575">BT320-$L320</f>
        <v>34318.040000000074</v>
      </c>
      <c r="BV320" s="236">
        <v>0</v>
      </c>
      <c r="BW320" s="7">
        <v>2859.8699999999994</v>
      </c>
      <c r="BX320" s="39">
        <f>BW320*12</f>
        <v>34318.439999999995</v>
      </c>
      <c r="BY320" s="7">
        <f>BU320-BW320</f>
        <v>31458.170000000075</v>
      </c>
      <c r="BZ320" s="7">
        <f t="shared" ref="BZ320:BZ324" si="1576">BY320-$L320</f>
        <v>28598.300000000076</v>
      </c>
      <c r="CA320" s="7">
        <f t="shared" ref="CA320:CA324" si="1577">BZ320-$L320</f>
        <v>25738.430000000077</v>
      </c>
      <c r="CB320" s="7">
        <f t="shared" ref="CB320:CB324" si="1578">CA320-$L320</f>
        <v>22878.560000000078</v>
      </c>
      <c r="CC320" s="7">
        <f t="shared" ref="CC320:CC324" si="1579">CB320-$L320</f>
        <v>20018.690000000079</v>
      </c>
      <c r="CD320" s="7">
        <f t="shared" ref="CD320:CD324" si="1580">CC320-$L320</f>
        <v>17158.82000000008</v>
      </c>
      <c r="CE320" s="7">
        <f t="shared" ref="CE320:CE324" si="1581">CD320-$L320</f>
        <v>14298.950000000081</v>
      </c>
      <c r="CF320" s="7">
        <f t="shared" ref="CF320:CF324" si="1582">CE320-$L320</f>
        <v>11439.080000000082</v>
      </c>
      <c r="CG320" s="7">
        <f t="shared" ref="CG320:CG324" si="1583">CF320-$L320</f>
        <v>8579.2100000000828</v>
      </c>
      <c r="CH320" s="7">
        <f t="shared" ref="CH320:CH324" si="1584">CG320-$L320</f>
        <v>5719.3400000000838</v>
      </c>
      <c r="CI320" s="7">
        <f t="shared" ref="CI320:CI322" si="1585">CH320-$L320</f>
        <v>2859.4700000000844</v>
      </c>
      <c r="CJ320" s="7"/>
      <c r="CK320" s="236">
        <v>0</v>
      </c>
      <c r="CL320" s="7">
        <v>2859.8699999999994</v>
      </c>
      <c r="CM320" s="39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236">
        <v>0</v>
      </c>
    </row>
    <row r="321" spans="1:104" x14ac:dyDescent="0.2">
      <c r="A321" s="6" t="str">
        <f>'[1]2021 УГРЦТ'!A324</f>
        <v>Оборудование ТП-66 МРП 1998г.</v>
      </c>
      <c r="B321" t="str">
        <f>'[1]2021 УГРЦТ'!B324</f>
        <v>00000252</v>
      </c>
      <c r="C321" t="str">
        <f>'[1]2021 УГРЦТ'!C324</f>
        <v>ПЕРЕДАЧА</v>
      </c>
      <c r="D321" t="str">
        <f>'[1]2021 УГРЦТ'!D324</f>
        <v>Машины и оборудование (кроме офисного)</v>
      </c>
      <c r="E321" t="str">
        <f>'[1]2021 УГРЦТ'!E324</f>
        <v>01.06.1998</v>
      </c>
      <c r="F321" t="str">
        <f>'[1]2021 УГРЦТ'!F324</f>
        <v>Цех электрических сетей</v>
      </c>
      <c r="G321">
        <f>'[1]2021 УГРЦТ'!AC324</f>
        <v>337</v>
      </c>
      <c r="H321" s="7">
        <f>'[1]2021 УГРЦТ'!X324</f>
        <v>857091.88</v>
      </c>
      <c r="I321" s="7">
        <f>'[1]2021 УГРЦТ'!Y324</f>
        <v>466352.28</v>
      </c>
      <c r="J321" s="7">
        <f>'[1]2021 УГРЦТ'!Z324</f>
        <v>390739.6</v>
      </c>
      <c r="K321" s="8">
        <v>0</v>
      </c>
      <c r="L321" s="7">
        <v>7104.36</v>
      </c>
      <c r="M321" s="7"/>
      <c r="N321" s="7">
        <f t="shared" si="1492"/>
        <v>85252.319999999992</v>
      </c>
      <c r="O321" s="7">
        <f t="shared" si="1433"/>
        <v>383635.24</v>
      </c>
      <c r="P321" s="7">
        <f t="shared" si="1553"/>
        <v>376530.88</v>
      </c>
      <c r="Q321" s="7">
        <f t="shared" si="1553"/>
        <v>369426.52</v>
      </c>
      <c r="R321" s="7">
        <f t="shared" si="1553"/>
        <v>362322.16000000003</v>
      </c>
      <c r="S321" s="7">
        <f t="shared" si="1553"/>
        <v>355217.80000000005</v>
      </c>
      <c r="T321" s="7">
        <f t="shared" si="1553"/>
        <v>348113.44000000006</v>
      </c>
      <c r="U321" s="7">
        <f t="shared" si="1553"/>
        <v>341009.08000000007</v>
      </c>
      <c r="V321" s="7">
        <f t="shared" si="1553"/>
        <v>333904.72000000009</v>
      </c>
      <c r="W321" s="7">
        <f t="shared" si="1553"/>
        <v>326800.3600000001</v>
      </c>
      <c r="X321" s="7">
        <f t="shared" si="1553"/>
        <v>319696.00000000012</v>
      </c>
      <c r="Y321" s="7">
        <f t="shared" si="1553"/>
        <v>312591.64000000013</v>
      </c>
      <c r="Z321" s="7">
        <f t="shared" si="1553"/>
        <v>305487.28000000014</v>
      </c>
      <c r="AA321" s="7"/>
      <c r="AB321" s="7"/>
      <c r="AC321" s="7">
        <f t="shared" si="1434"/>
        <v>85252.319999999992</v>
      </c>
      <c r="AD321" s="7">
        <f t="shared" si="1435"/>
        <v>298382.92000000016</v>
      </c>
      <c r="AE321" s="7">
        <f t="shared" si="1561"/>
        <v>291278.56000000017</v>
      </c>
      <c r="AF321" s="7">
        <f t="shared" si="1561"/>
        <v>284174.20000000019</v>
      </c>
      <c r="AG321" s="7">
        <f t="shared" si="1561"/>
        <v>277069.8400000002</v>
      </c>
      <c r="AH321" s="7">
        <f t="shared" si="1561"/>
        <v>269965.48000000021</v>
      </c>
      <c r="AI321" s="7">
        <f t="shared" si="1561"/>
        <v>262861.12000000023</v>
      </c>
      <c r="AJ321" s="7">
        <f t="shared" si="1561"/>
        <v>255756.76000000024</v>
      </c>
      <c r="AK321" s="7">
        <f t="shared" si="1561"/>
        <v>248652.40000000026</v>
      </c>
      <c r="AL321" s="7">
        <f t="shared" si="1561"/>
        <v>241548.04000000027</v>
      </c>
      <c r="AM321" s="7">
        <f t="shared" si="1561"/>
        <v>234443.68000000028</v>
      </c>
      <c r="AN321" s="7">
        <f t="shared" si="1561"/>
        <v>227339.3200000003</v>
      </c>
      <c r="AO321" s="7">
        <f t="shared" si="1561"/>
        <v>220234.96000000031</v>
      </c>
      <c r="AP321" s="222"/>
      <c r="AQ321" s="7">
        <v>7104.36</v>
      </c>
      <c r="AR321" s="7">
        <f t="shared" si="1436"/>
        <v>7104.359999999986</v>
      </c>
      <c r="AS321" s="7">
        <f t="shared" si="1437"/>
        <v>-1.3642420526593924E-11</v>
      </c>
      <c r="AT321" s="7">
        <f t="shared" si="1562"/>
        <v>85252.319999999992</v>
      </c>
      <c r="AU321" s="7">
        <f t="shared" si="1563"/>
        <v>213130.60000000033</v>
      </c>
      <c r="AV321" s="7">
        <f t="shared" si="1564"/>
        <v>206026.24000000034</v>
      </c>
      <c r="AW321" s="7">
        <f t="shared" si="1564"/>
        <v>198921.88000000035</v>
      </c>
      <c r="AX321" s="7">
        <f t="shared" si="1564"/>
        <v>191817.52000000037</v>
      </c>
      <c r="AY321" s="7">
        <f t="shared" si="1564"/>
        <v>184713.16000000038</v>
      </c>
      <c r="AZ321" s="7">
        <f t="shared" si="1564"/>
        <v>177608.8000000004</v>
      </c>
      <c r="BA321" s="7">
        <f t="shared" si="1564"/>
        <v>170504.44000000041</v>
      </c>
      <c r="BB321" s="7">
        <f t="shared" si="1564"/>
        <v>163400.08000000042</v>
      </c>
      <c r="BC321" s="7">
        <f t="shared" si="1564"/>
        <v>156295.72000000044</v>
      </c>
      <c r="BD321" s="7">
        <f t="shared" si="1564"/>
        <v>149191.36000000045</v>
      </c>
      <c r="BE321" s="7">
        <f t="shared" si="1564"/>
        <v>142087.00000000047</v>
      </c>
      <c r="BF321" s="7">
        <f t="shared" si="1564"/>
        <v>134982.64000000048</v>
      </c>
      <c r="BG321" s="236">
        <f t="shared" si="1419"/>
        <v>0</v>
      </c>
      <c r="BH321" s="7">
        <v>7104.36</v>
      </c>
      <c r="BI321" s="39">
        <f>BH321*12</f>
        <v>85252.319999999992</v>
      </c>
      <c r="BJ321" s="7">
        <f>BF321-BH321</f>
        <v>127878.28000000048</v>
      </c>
      <c r="BK321" s="7">
        <f t="shared" si="1565"/>
        <v>120773.92000000048</v>
      </c>
      <c r="BL321" s="7">
        <f t="shared" si="1566"/>
        <v>113669.56000000048</v>
      </c>
      <c r="BM321" s="7">
        <f t="shared" si="1567"/>
        <v>106565.20000000048</v>
      </c>
      <c r="BN321" s="7">
        <f t="shared" si="1568"/>
        <v>99460.840000000477</v>
      </c>
      <c r="BO321" s="7">
        <f t="shared" si="1569"/>
        <v>92356.480000000476</v>
      </c>
      <c r="BP321" s="7">
        <f t="shared" si="1570"/>
        <v>85252.120000000476</v>
      </c>
      <c r="BQ321" s="7">
        <f t="shared" si="1571"/>
        <v>78147.760000000475</v>
      </c>
      <c r="BR321" s="7">
        <f t="shared" si="1572"/>
        <v>71043.400000000474</v>
      </c>
      <c r="BS321" s="7">
        <f t="shared" si="1573"/>
        <v>63939.040000000474</v>
      </c>
      <c r="BT321" s="7">
        <f t="shared" si="1574"/>
        <v>56834.680000000473</v>
      </c>
      <c r="BU321" s="7">
        <f t="shared" si="1575"/>
        <v>49730.320000000473</v>
      </c>
      <c r="BV321" s="236">
        <v>0</v>
      </c>
      <c r="BW321" s="7">
        <v>7104.36</v>
      </c>
      <c r="BX321" s="39">
        <v>49730.32</v>
      </c>
      <c r="BY321" s="7">
        <f>BU321-BW321</f>
        <v>42625.960000000472</v>
      </c>
      <c r="BZ321" s="7">
        <f t="shared" si="1576"/>
        <v>35521.600000000471</v>
      </c>
      <c r="CA321" s="7">
        <f t="shared" si="1577"/>
        <v>28417.240000000471</v>
      </c>
      <c r="CB321" s="7">
        <f t="shared" si="1578"/>
        <v>21312.88000000047</v>
      </c>
      <c r="CC321" s="7">
        <f t="shared" si="1579"/>
        <v>14208.52000000047</v>
      </c>
      <c r="CD321" s="7">
        <f t="shared" si="1580"/>
        <v>7104.1600000004701</v>
      </c>
      <c r="CE321" s="7"/>
      <c r="CF321" s="7"/>
      <c r="CG321" s="7"/>
      <c r="CH321" s="7"/>
      <c r="CI321" s="7"/>
      <c r="CJ321" s="7"/>
      <c r="CK321" s="236">
        <v>0</v>
      </c>
      <c r="CL321" s="7">
        <v>7104.36</v>
      </c>
      <c r="CM321" s="39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236">
        <v>0</v>
      </c>
    </row>
    <row r="322" spans="1:104" ht="22.5" x14ac:dyDescent="0.2">
      <c r="A322" s="6" t="str">
        <f>'[1]2021 УГРЦТ'!A325</f>
        <v>Оборудование ТП-72 "Микрорайон Центральный"  ул Ленина, 29   2013г</v>
      </c>
      <c r="B322" t="str">
        <f>'[1]2021 УГРЦТ'!B325</f>
        <v>000001574</v>
      </c>
      <c r="C322" t="str">
        <f>'[1]2021 УГРЦТ'!C325</f>
        <v>ПЕРЕДАЧА</v>
      </c>
      <c r="D322" t="str">
        <f>'[1]2021 УГРЦТ'!D325</f>
        <v>Машины и оборудование (кроме офисного)</v>
      </c>
      <c r="E322" t="str">
        <f>'[1]2021 УГРЦТ'!E325</f>
        <v>31.12.2013</v>
      </c>
      <c r="F322" t="str">
        <f>'[1]2021 УГРЦТ'!F325</f>
        <v>Цех электрических сетей</v>
      </c>
      <c r="G322">
        <f>'[1]2021 УГРЦТ'!AC325</f>
        <v>180</v>
      </c>
      <c r="H322" s="7">
        <f>'[1]2021 УГРЦТ'!X325</f>
        <v>7974514.0499999998</v>
      </c>
      <c r="I322" s="7">
        <f>'[1]2021 УГРЦТ'!Y325</f>
        <v>4253074.51</v>
      </c>
      <c r="J322" s="7">
        <f>'[1]2021 УГРЦТ'!Z325</f>
        <v>3721439.54</v>
      </c>
      <c r="K322" s="8">
        <v>0</v>
      </c>
      <c r="L322" s="7">
        <v>44302.859999999993</v>
      </c>
      <c r="M322" s="7"/>
      <c r="N322" s="7">
        <f t="shared" si="1492"/>
        <v>531634.31999999995</v>
      </c>
      <c r="O322" s="7">
        <f t="shared" si="1433"/>
        <v>3677136.68</v>
      </c>
      <c r="P322" s="7">
        <f t="shared" si="1553"/>
        <v>3632833.8200000003</v>
      </c>
      <c r="Q322" s="7">
        <f t="shared" si="1553"/>
        <v>3588530.9600000004</v>
      </c>
      <c r="R322" s="7">
        <f t="shared" si="1553"/>
        <v>3544228.1000000006</v>
      </c>
      <c r="S322" s="7">
        <f t="shared" si="1553"/>
        <v>3499925.2400000007</v>
      </c>
      <c r="T322" s="7">
        <f t="shared" si="1553"/>
        <v>3455622.3800000008</v>
      </c>
      <c r="U322" s="7">
        <f t="shared" si="1553"/>
        <v>3411319.5200000009</v>
      </c>
      <c r="V322" s="7">
        <f t="shared" si="1553"/>
        <v>3367016.6600000011</v>
      </c>
      <c r="W322" s="7">
        <f t="shared" si="1553"/>
        <v>3322713.8000000012</v>
      </c>
      <c r="X322" s="7">
        <f t="shared" si="1553"/>
        <v>3278410.9400000013</v>
      </c>
      <c r="Y322" s="7">
        <f t="shared" si="1553"/>
        <v>3234108.0800000015</v>
      </c>
      <c r="Z322" s="7">
        <f t="shared" si="1553"/>
        <v>3189805.2200000016</v>
      </c>
      <c r="AA322" s="7"/>
      <c r="AB322" s="7"/>
      <c r="AC322" s="7">
        <f t="shared" si="1434"/>
        <v>531634.31999999995</v>
      </c>
      <c r="AD322" s="7">
        <f t="shared" si="1435"/>
        <v>3145502.3600000017</v>
      </c>
      <c r="AE322" s="7">
        <f t="shared" si="1561"/>
        <v>3101199.5000000019</v>
      </c>
      <c r="AF322" s="7">
        <f t="shared" si="1561"/>
        <v>3056896.640000002</v>
      </c>
      <c r="AG322" s="7">
        <f t="shared" si="1561"/>
        <v>3012593.7800000021</v>
      </c>
      <c r="AH322" s="7">
        <f t="shared" si="1561"/>
        <v>2968290.9200000023</v>
      </c>
      <c r="AI322" s="7">
        <f t="shared" si="1561"/>
        <v>2923988.0600000024</v>
      </c>
      <c r="AJ322" s="7">
        <f t="shared" si="1561"/>
        <v>2879685.2000000025</v>
      </c>
      <c r="AK322" s="7">
        <f t="shared" si="1561"/>
        <v>2835382.3400000026</v>
      </c>
      <c r="AL322" s="7">
        <f t="shared" si="1561"/>
        <v>2791079.4800000028</v>
      </c>
      <c r="AM322" s="7">
        <f t="shared" si="1561"/>
        <v>2746776.6200000029</v>
      </c>
      <c r="AN322" s="7">
        <f t="shared" si="1561"/>
        <v>2702473.760000003</v>
      </c>
      <c r="AO322" s="7">
        <f t="shared" si="1561"/>
        <v>2658170.9000000032</v>
      </c>
      <c r="AP322" s="222"/>
      <c r="AQ322" s="7">
        <v>44302.859999999993</v>
      </c>
      <c r="AR322" s="7">
        <f t="shared" si="1436"/>
        <v>44302.85999999987</v>
      </c>
      <c r="AS322" s="7">
        <f t="shared" si="1437"/>
        <v>-1.2369127944111824E-10</v>
      </c>
      <c r="AT322" s="7">
        <f t="shared" si="1562"/>
        <v>531634.31999999995</v>
      </c>
      <c r="AU322" s="7">
        <f t="shared" si="1563"/>
        <v>2613868.0400000033</v>
      </c>
      <c r="AV322" s="7">
        <f t="shared" si="1564"/>
        <v>2569565.1800000034</v>
      </c>
      <c r="AW322" s="7">
        <f t="shared" si="1564"/>
        <v>2525262.3200000036</v>
      </c>
      <c r="AX322" s="7">
        <f t="shared" si="1564"/>
        <v>2480959.4600000037</v>
      </c>
      <c r="AY322" s="7">
        <f t="shared" si="1564"/>
        <v>2436656.6000000038</v>
      </c>
      <c r="AZ322" s="7">
        <f t="shared" si="1564"/>
        <v>2392353.7400000039</v>
      </c>
      <c r="BA322" s="7">
        <f t="shared" si="1564"/>
        <v>2348050.8800000041</v>
      </c>
      <c r="BB322" s="7">
        <f t="shared" si="1564"/>
        <v>2303748.0200000042</v>
      </c>
      <c r="BC322" s="7">
        <f t="shared" si="1564"/>
        <v>2259445.1600000043</v>
      </c>
      <c r="BD322" s="7">
        <f t="shared" si="1564"/>
        <v>2215142.3000000045</v>
      </c>
      <c r="BE322" s="7">
        <f t="shared" si="1564"/>
        <v>2170839.4400000046</v>
      </c>
      <c r="BF322" s="7">
        <f t="shared" si="1564"/>
        <v>2126536.5800000047</v>
      </c>
      <c r="BG322" s="236">
        <f t="shared" si="1419"/>
        <v>0</v>
      </c>
      <c r="BH322" s="7">
        <v>44302.859999999993</v>
      </c>
      <c r="BI322" s="39">
        <f>BH322*12</f>
        <v>531634.31999999995</v>
      </c>
      <c r="BJ322" s="7">
        <f>BF322-BH322</f>
        <v>2082233.7200000046</v>
      </c>
      <c r="BK322" s="7">
        <f t="shared" si="1565"/>
        <v>2037930.8600000045</v>
      </c>
      <c r="BL322" s="7">
        <f t="shared" si="1566"/>
        <v>1993628.0000000044</v>
      </c>
      <c r="BM322" s="7">
        <f t="shared" si="1567"/>
        <v>1949325.1400000043</v>
      </c>
      <c r="BN322" s="7">
        <f t="shared" si="1568"/>
        <v>1905022.2800000042</v>
      </c>
      <c r="BO322" s="7">
        <f t="shared" si="1569"/>
        <v>1860719.4200000041</v>
      </c>
      <c r="BP322" s="7">
        <f t="shared" si="1570"/>
        <v>1816416.560000004</v>
      </c>
      <c r="BQ322" s="7">
        <f t="shared" si="1571"/>
        <v>1772113.7000000039</v>
      </c>
      <c r="BR322" s="7">
        <f t="shared" si="1572"/>
        <v>1727810.8400000038</v>
      </c>
      <c r="BS322" s="7">
        <f t="shared" si="1573"/>
        <v>1683507.9800000037</v>
      </c>
      <c r="BT322" s="7">
        <f t="shared" si="1574"/>
        <v>1639205.1200000036</v>
      </c>
      <c r="BU322" s="7">
        <f t="shared" si="1575"/>
        <v>1594902.2600000035</v>
      </c>
      <c r="BV322" s="236">
        <v>0</v>
      </c>
      <c r="BW322" s="7">
        <v>44302.859999999993</v>
      </c>
      <c r="BX322" s="39">
        <f>BW322*12</f>
        <v>531634.31999999995</v>
      </c>
      <c r="BY322" s="7">
        <f>BU322-BW322</f>
        <v>1550599.4000000034</v>
      </c>
      <c r="BZ322" s="7">
        <f t="shared" si="1576"/>
        <v>1506296.5400000033</v>
      </c>
      <c r="CA322" s="7">
        <f t="shared" si="1577"/>
        <v>1461993.6800000032</v>
      </c>
      <c r="CB322" s="7">
        <f t="shared" si="1578"/>
        <v>1417690.8200000031</v>
      </c>
      <c r="CC322" s="7">
        <f t="shared" si="1579"/>
        <v>1373387.960000003</v>
      </c>
      <c r="CD322" s="7">
        <f t="shared" si="1580"/>
        <v>1329085.1000000029</v>
      </c>
      <c r="CE322" s="7">
        <f t="shared" si="1581"/>
        <v>1284782.2400000028</v>
      </c>
      <c r="CF322" s="7">
        <f t="shared" si="1582"/>
        <v>1240479.3800000027</v>
      </c>
      <c r="CG322" s="7">
        <f t="shared" si="1583"/>
        <v>1196176.5200000026</v>
      </c>
      <c r="CH322" s="7">
        <f t="shared" si="1584"/>
        <v>1151873.6600000025</v>
      </c>
      <c r="CI322" s="7">
        <f t="shared" si="1585"/>
        <v>1107570.8000000024</v>
      </c>
      <c r="CJ322" s="7">
        <f t="shared" ref="CJ322" si="1586">CI322-$L322</f>
        <v>1063267.9400000023</v>
      </c>
      <c r="CK322" s="236">
        <v>0</v>
      </c>
      <c r="CL322" s="7">
        <v>44302.859999999993</v>
      </c>
      <c r="CM322" s="39">
        <f>CL322*12</f>
        <v>531634.31999999995</v>
      </c>
      <c r="CN322" s="7">
        <f>CJ322-CL322</f>
        <v>1018965.0800000023</v>
      </c>
      <c r="CO322" s="7">
        <f t="shared" ref="CO322" si="1587">CN322-$L322</f>
        <v>974662.2200000023</v>
      </c>
      <c r="CP322" s="7">
        <f t="shared" ref="CP322" si="1588">CO322-$L322</f>
        <v>930359.36000000231</v>
      </c>
      <c r="CQ322" s="7">
        <f t="shared" ref="CQ322" si="1589">CP322-$L322</f>
        <v>886056.50000000233</v>
      </c>
      <c r="CR322" s="7">
        <f t="shared" ref="CR322" si="1590">CQ322-$L322</f>
        <v>841753.64000000234</v>
      </c>
      <c r="CS322" s="7">
        <f t="shared" ref="CS322" si="1591">CR322-$L322</f>
        <v>797450.78000000236</v>
      </c>
      <c r="CT322" s="7">
        <f t="shared" ref="CT322" si="1592">CS322-$L322</f>
        <v>753147.92000000237</v>
      </c>
      <c r="CU322" s="7">
        <f t="shared" ref="CU322" si="1593">CT322-$L322</f>
        <v>708845.06000000238</v>
      </c>
      <c r="CV322" s="7">
        <f t="shared" ref="CV322" si="1594">CU322-$L322</f>
        <v>664542.2000000024</v>
      </c>
      <c r="CW322" s="7">
        <f t="shared" ref="CW322" si="1595">CV322-$L322</f>
        <v>620239.34000000241</v>
      </c>
      <c r="CX322" s="7">
        <f t="shared" ref="CX322" si="1596">CW322-$L322</f>
        <v>575936.48000000243</v>
      </c>
      <c r="CY322" s="7">
        <f t="shared" ref="CY322" si="1597">CX322-$L322</f>
        <v>531633.62000000244</v>
      </c>
      <c r="CZ322" s="236">
        <v>0</v>
      </c>
    </row>
    <row r="323" spans="1:104" x14ac:dyDescent="0.2">
      <c r="A323" s="6" t="str">
        <f>'[1]2021 УГРЦТ'!A326</f>
        <v>Оборудование ТП-8 ул  Ленина 47, 47а</v>
      </c>
      <c r="B323" t="str">
        <f>'[1]2021 УГРЦТ'!B326</f>
        <v>00000195</v>
      </c>
      <c r="C323" t="str">
        <f>'[1]2021 УГРЦТ'!C326</f>
        <v>ПЕРЕДАЧА</v>
      </c>
      <c r="D323" t="str">
        <f>'[1]2021 УГРЦТ'!D326</f>
        <v>Машины и оборудование (кроме офисного)</v>
      </c>
      <c r="E323" t="str">
        <f>'[1]2021 УГРЦТ'!E326</f>
        <v>01.01.1978</v>
      </c>
      <c r="F323" t="str">
        <f>'[1]2021 УГРЦТ'!F326</f>
        <v>Цех электрических сетей</v>
      </c>
      <c r="G323">
        <f>'[1]2021 УГРЦТ'!AC326</f>
        <v>120</v>
      </c>
      <c r="H323" s="7">
        <f>'[1]2021 УГРЦТ'!X326</f>
        <v>950550.24</v>
      </c>
      <c r="I323" s="7">
        <f>'[1]2021 УГРЦТ'!Y326</f>
        <v>552764.32000000007</v>
      </c>
      <c r="J323" s="7">
        <f>'[1]2021 УГРЦТ'!Z326</f>
        <v>397785.91999999993</v>
      </c>
      <c r="K323" s="8">
        <v>0</v>
      </c>
      <c r="L323" s="7">
        <v>8647.5200000000023</v>
      </c>
      <c r="M323" s="7"/>
      <c r="N323" s="7">
        <f t="shared" si="1492"/>
        <v>103770.24000000002</v>
      </c>
      <c r="O323" s="7">
        <f t="shared" si="1433"/>
        <v>389138.39999999991</v>
      </c>
      <c r="P323" s="7">
        <f t="shared" si="1553"/>
        <v>380490.87999999989</v>
      </c>
      <c r="Q323" s="7">
        <f t="shared" si="1553"/>
        <v>371843.35999999987</v>
      </c>
      <c r="R323" s="7">
        <f t="shared" si="1553"/>
        <v>363195.83999999985</v>
      </c>
      <c r="S323" s="7">
        <f t="shared" si="1553"/>
        <v>354548.31999999983</v>
      </c>
      <c r="T323" s="7">
        <f t="shared" si="1553"/>
        <v>345900.79999999981</v>
      </c>
      <c r="U323" s="7">
        <f t="shared" si="1553"/>
        <v>337253.2799999998</v>
      </c>
      <c r="V323" s="7">
        <f t="shared" si="1553"/>
        <v>328605.75999999978</v>
      </c>
      <c r="W323" s="7">
        <f t="shared" si="1553"/>
        <v>319958.23999999976</v>
      </c>
      <c r="X323" s="7">
        <f t="shared" si="1553"/>
        <v>311310.71999999974</v>
      </c>
      <c r="Y323" s="7">
        <f t="shared" si="1553"/>
        <v>302663.19999999972</v>
      </c>
      <c r="Z323" s="7">
        <f t="shared" si="1553"/>
        <v>294015.6799999997</v>
      </c>
      <c r="AA323" s="7"/>
      <c r="AB323" s="7"/>
      <c r="AC323" s="7">
        <f t="shared" si="1434"/>
        <v>103770.24000000002</v>
      </c>
      <c r="AD323" s="7">
        <f t="shared" si="1435"/>
        <v>285368.15999999968</v>
      </c>
      <c r="AE323" s="7">
        <f t="shared" si="1561"/>
        <v>276720.63999999966</v>
      </c>
      <c r="AF323" s="7">
        <f t="shared" si="1561"/>
        <v>268073.11999999965</v>
      </c>
      <c r="AG323" s="7">
        <f t="shared" si="1561"/>
        <v>259425.59999999966</v>
      </c>
      <c r="AH323" s="7">
        <f t="shared" si="1561"/>
        <v>250778.07999999967</v>
      </c>
      <c r="AI323" s="7">
        <f t="shared" si="1561"/>
        <v>242130.55999999968</v>
      </c>
      <c r="AJ323" s="7">
        <f t="shared" si="1561"/>
        <v>233483.03999999969</v>
      </c>
      <c r="AK323" s="7">
        <f t="shared" si="1561"/>
        <v>224835.5199999997</v>
      </c>
      <c r="AL323" s="7">
        <f t="shared" si="1561"/>
        <v>216187.99999999971</v>
      </c>
      <c r="AM323" s="7">
        <f t="shared" si="1561"/>
        <v>207540.47999999972</v>
      </c>
      <c r="AN323" s="7">
        <f t="shared" si="1561"/>
        <v>198892.95999999973</v>
      </c>
      <c r="AO323" s="7">
        <f t="shared" si="1561"/>
        <v>190245.43999999974</v>
      </c>
      <c r="AP323" s="222"/>
      <c r="AQ323" s="7">
        <v>8647.5200000000023</v>
      </c>
      <c r="AR323" s="7">
        <f t="shared" si="1436"/>
        <v>8647.5199999999895</v>
      </c>
      <c r="AS323" s="7">
        <f t="shared" si="1437"/>
        <v>0</v>
      </c>
      <c r="AT323" s="7">
        <f t="shared" si="1562"/>
        <v>103770.24000000002</v>
      </c>
      <c r="AU323" s="7">
        <f t="shared" si="1563"/>
        <v>181597.91999999975</v>
      </c>
      <c r="AV323" s="7">
        <f t="shared" si="1564"/>
        <v>172950.39999999976</v>
      </c>
      <c r="AW323" s="7">
        <f t="shared" si="1564"/>
        <v>164302.87999999977</v>
      </c>
      <c r="AX323" s="7">
        <f t="shared" si="1564"/>
        <v>155655.35999999978</v>
      </c>
      <c r="AY323" s="7">
        <f t="shared" si="1564"/>
        <v>147007.83999999979</v>
      </c>
      <c r="AZ323" s="7">
        <f t="shared" si="1564"/>
        <v>138360.3199999998</v>
      </c>
      <c r="BA323" s="7">
        <f t="shared" si="1564"/>
        <v>129712.7999999998</v>
      </c>
      <c r="BB323" s="7">
        <f t="shared" si="1564"/>
        <v>121065.2799999998</v>
      </c>
      <c r="BC323" s="7">
        <f t="shared" si="1564"/>
        <v>112417.75999999979</v>
      </c>
      <c r="BD323" s="7">
        <f t="shared" si="1564"/>
        <v>103770.23999999979</v>
      </c>
      <c r="BE323" s="7">
        <f t="shared" si="1564"/>
        <v>95122.719999999783</v>
      </c>
      <c r="BF323" s="7">
        <f t="shared" si="1564"/>
        <v>86475.199999999779</v>
      </c>
      <c r="BG323" s="236">
        <f t="shared" si="1419"/>
        <v>0</v>
      </c>
      <c r="BH323" s="7">
        <v>8647.5200000000023</v>
      </c>
      <c r="BI323" s="39">
        <v>86475.199999999997</v>
      </c>
      <c r="BJ323" s="7">
        <f>BF323-BH323</f>
        <v>77827.679999999775</v>
      </c>
      <c r="BK323" s="7">
        <f t="shared" si="1565"/>
        <v>69180.159999999771</v>
      </c>
      <c r="BL323" s="7">
        <f t="shared" si="1566"/>
        <v>60532.639999999767</v>
      </c>
      <c r="BM323" s="7">
        <f t="shared" si="1567"/>
        <v>51885.119999999763</v>
      </c>
      <c r="BN323" s="7">
        <f t="shared" si="1568"/>
        <v>43237.599999999758</v>
      </c>
      <c r="BO323" s="7">
        <f t="shared" si="1569"/>
        <v>34590.079999999754</v>
      </c>
      <c r="BP323" s="7">
        <f t="shared" si="1570"/>
        <v>25942.55999999975</v>
      </c>
      <c r="BQ323" s="7">
        <f t="shared" si="1571"/>
        <v>17295.039999999746</v>
      </c>
      <c r="BR323" s="7">
        <f t="shared" si="1572"/>
        <v>8647.519999999744</v>
      </c>
      <c r="BS323" s="7">
        <f t="shared" si="1573"/>
        <v>-2.5829649530351162E-10</v>
      </c>
      <c r="BT323" s="7"/>
      <c r="BU323" s="7"/>
      <c r="BV323" s="236">
        <v>0</v>
      </c>
      <c r="BW323" s="7">
        <v>8647.5200000000023</v>
      </c>
      <c r="BX323" s="39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236">
        <v>0</v>
      </c>
      <c r="CL323" s="7">
        <v>8647.5200000000023</v>
      </c>
      <c r="CM323" s="39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236">
        <v>0</v>
      </c>
    </row>
    <row r="324" spans="1:104" x14ac:dyDescent="0.2">
      <c r="A324" s="6" t="str">
        <f>'[1]2021 УГРЦТ'!A327</f>
        <v>Оборудование ТП-9  ул Октябрьская 17</v>
      </c>
      <c r="B324" t="str">
        <f>'[1]2021 УГРЦТ'!B327</f>
        <v>00000196</v>
      </c>
      <c r="C324" t="str">
        <f>'[1]2021 УГРЦТ'!C327</f>
        <v>ПЕРЕДАЧА</v>
      </c>
      <c r="D324" t="str">
        <f>'[1]2021 УГРЦТ'!D327</f>
        <v>Машины и оборудование (кроме офисного)</v>
      </c>
      <c r="E324" t="str">
        <f>'[1]2021 УГРЦТ'!E327</f>
        <v>01.01.1966</v>
      </c>
      <c r="F324" t="str">
        <f>'[1]2021 УГРЦТ'!F327</f>
        <v>Цех электрических сетей</v>
      </c>
      <c r="G324">
        <f>'[1]2021 УГРЦТ'!AC327</f>
        <v>180</v>
      </c>
      <c r="H324" s="7">
        <f>'[1]2021 УГРЦТ'!X327</f>
        <v>945605.02</v>
      </c>
      <c r="I324" s="7">
        <f>'[1]2021 УГРЦТ'!Y327</f>
        <v>391935.13</v>
      </c>
      <c r="J324" s="7">
        <f>'[1]2021 УГРЦТ'!Z327</f>
        <v>553669.89</v>
      </c>
      <c r="K324" s="8">
        <v>0</v>
      </c>
      <c r="L324" s="7">
        <v>5767.39</v>
      </c>
      <c r="M324" s="7"/>
      <c r="N324" s="7">
        <f t="shared" si="1492"/>
        <v>69208.680000000008</v>
      </c>
      <c r="O324" s="7">
        <f t="shared" si="1433"/>
        <v>547902.5</v>
      </c>
      <c r="P324" s="7">
        <f t="shared" si="1553"/>
        <v>542135.11</v>
      </c>
      <c r="Q324" s="7">
        <f t="shared" si="1553"/>
        <v>536367.72</v>
      </c>
      <c r="R324" s="7">
        <f t="shared" si="1553"/>
        <v>530600.32999999996</v>
      </c>
      <c r="S324" s="7">
        <f t="shared" si="1553"/>
        <v>524832.93999999994</v>
      </c>
      <c r="T324" s="7">
        <f t="shared" si="1553"/>
        <v>519065.54999999993</v>
      </c>
      <c r="U324" s="7">
        <f t="shared" si="1553"/>
        <v>513298.15999999992</v>
      </c>
      <c r="V324" s="7">
        <f t="shared" si="1553"/>
        <v>507530.7699999999</v>
      </c>
      <c r="W324" s="7">
        <f t="shared" si="1553"/>
        <v>501763.37999999989</v>
      </c>
      <c r="X324" s="7">
        <f t="shared" si="1553"/>
        <v>495995.98999999987</v>
      </c>
      <c r="Y324" s="7">
        <f t="shared" si="1553"/>
        <v>490228.59999999986</v>
      </c>
      <c r="Z324" s="7">
        <f t="shared" si="1553"/>
        <v>484461.20999999985</v>
      </c>
      <c r="AA324" s="7"/>
      <c r="AB324" s="7"/>
      <c r="AC324" s="7">
        <f t="shared" si="1434"/>
        <v>69208.680000000008</v>
      </c>
      <c r="AD324" s="7">
        <f t="shared" si="1435"/>
        <v>478693.81999999983</v>
      </c>
      <c r="AE324" s="7">
        <f t="shared" si="1561"/>
        <v>472926.42999999982</v>
      </c>
      <c r="AF324" s="7">
        <f t="shared" si="1561"/>
        <v>467159.0399999998</v>
      </c>
      <c r="AG324" s="7">
        <f t="shared" si="1561"/>
        <v>461391.64999999979</v>
      </c>
      <c r="AH324" s="7">
        <f t="shared" si="1561"/>
        <v>455624.25999999978</v>
      </c>
      <c r="AI324" s="7">
        <f t="shared" si="1561"/>
        <v>449856.86999999976</v>
      </c>
      <c r="AJ324" s="7">
        <f t="shared" si="1561"/>
        <v>444089.47999999975</v>
      </c>
      <c r="AK324" s="7">
        <f t="shared" si="1561"/>
        <v>438322.08999999973</v>
      </c>
      <c r="AL324" s="7">
        <f t="shared" si="1561"/>
        <v>432554.69999999972</v>
      </c>
      <c r="AM324" s="7">
        <f t="shared" si="1561"/>
        <v>426787.30999999971</v>
      </c>
      <c r="AN324" s="7">
        <f t="shared" si="1561"/>
        <v>421019.91999999969</v>
      </c>
      <c r="AO324" s="7">
        <f t="shared" si="1561"/>
        <v>415252.52999999968</v>
      </c>
      <c r="AP324" s="222"/>
      <c r="AQ324" s="7">
        <v>5767.39</v>
      </c>
      <c r="AR324" s="7">
        <f t="shared" si="1436"/>
        <v>5767.390000000014</v>
      </c>
      <c r="AS324" s="7">
        <f t="shared" si="1437"/>
        <v>1.3642420526593924E-11</v>
      </c>
      <c r="AT324" s="7">
        <f t="shared" si="1562"/>
        <v>69208.680000000008</v>
      </c>
      <c r="AU324" s="7">
        <f t="shared" si="1563"/>
        <v>409485.13999999966</v>
      </c>
      <c r="AV324" s="7">
        <f t="shared" si="1564"/>
        <v>403717.74999999965</v>
      </c>
      <c r="AW324" s="7">
        <f t="shared" si="1564"/>
        <v>397950.35999999964</v>
      </c>
      <c r="AX324" s="7">
        <f t="shared" si="1564"/>
        <v>392182.96999999962</v>
      </c>
      <c r="AY324" s="7">
        <f t="shared" si="1564"/>
        <v>386415.57999999961</v>
      </c>
      <c r="AZ324" s="7">
        <f t="shared" si="1564"/>
        <v>380648.18999999959</v>
      </c>
      <c r="BA324" s="7">
        <f t="shared" si="1564"/>
        <v>374880.79999999958</v>
      </c>
      <c r="BB324" s="7">
        <f t="shared" si="1564"/>
        <v>369113.40999999957</v>
      </c>
      <c r="BC324" s="7">
        <f t="shared" si="1564"/>
        <v>363346.01999999955</v>
      </c>
      <c r="BD324" s="7">
        <f t="shared" si="1564"/>
        <v>357578.62999999954</v>
      </c>
      <c r="BE324" s="7">
        <f t="shared" si="1564"/>
        <v>351811.23999999953</v>
      </c>
      <c r="BF324" s="7">
        <f t="shared" si="1564"/>
        <v>346043.84999999951</v>
      </c>
      <c r="BG324" s="236">
        <f t="shared" ref="BG324:BG387" si="1598">IF(K324&lt;1,0,SUM(AU324:BF324,AO324)/13*$BG$1)</f>
        <v>0</v>
      </c>
      <c r="BH324" s="7">
        <v>5767.39</v>
      </c>
      <c r="BI324" s="39">
        <f>BH324*12</f>
        <v>69208.680000000008</v>
      </c>
      <c r="BJ324" s="7">
        <f>BF324-BH324</f>
        <v>340276.4599999995</v>
      </c>
      <c r="BK324" s="7">
        <f t="shared" si="1565"/>
        <v>334509.06999999948</v>
      </c>
      <c r="BL324" s="7">
        <f t="shared" si="1566"/>
        <v>328741.67999999947</v>
      </c>
      <c r="BM324" s="7">
        <f t="shared" si="1567"/>
        <v>322974.28999999946</v>
      </c>
      <c r="BN324" s="7">
        <f t="shared" si="1568"/>
        <v>317206.89999999944</v>
      </c>
      <c r="BO324" s="7">
        <f t="shared" si="1569"/>
        <v>311439.50999999943</v>
      </c>
      <c r="BP324" s="7">
        <f t="shared" si="1570"/>
        <v>305672.11999999941</v>
      </c>
      <c r="BQ324" s="7">
        <f t="shared" si="1571"/>
        <v>299904.7299999994</v>
      </c>
      <c r="BR324" s="7">
        <f t="shared" si="1572"/>
        <v>294137.33999999939</v>
      </c>
      <c r="BS324" s="7">
        <f t="shared" si="1573"/>
        <v>288369.94999999937</v>
      </c>
      <c r="BT324" s="7">
        <f t="shared" si="1574"/>
        <v>282602.55999999936</v>
      </c>
      <c r="BU324" s="7">
        <f t="shared" si="1575"/>
        <v>276835.16999999934</v>
      </c>
      <c r="BV324" s="236">
        <v>0</v>
      </c>
      <c r="BW324" s="7">
        <v>5767.39</v>
      </c>
      <c r="BX324" s="39">
        <f>BW324*12</f>
        <v>69208.680000000008</v>
      </c>
      <c r="BY324" s="7">
        <f>BU324-BW324</f>
        <v>271067.77999999933</v>
      </c>
      <c r="BZ324" s="7">
        <f t="shared" si="1576"/>
        <v>265300.38999999932</v>
      </c>
      <c r="CA324" s="7">
        <f t="shared" si="1577"/>
        <v>259532.9999999993</v>
      </c>
      <c r="CB324" s="7">
        <f t="shared" si="1578"/>
        <v>253765.60999999929</v>
      </c>
      <c r="CC324" s="7">
        <f t="shared" si="1579"/>
        <v>247998.21999999927</v>
      </c>
      <c r="CD324" s="7">
        <f t="shared" si="1580"/>
        <v>242230.82999999926</v>
      </c>
      <c r="CE324" s="7">
        <f t="shared" si="1581"/>
        <v>236463.43999999925</v>
      </c>
      <c r="CF324" s="7">
        <f t="shared" si="1582"/>
        <v>230696.04999999923</v>
      </c>
      <c r="CG324" s="7">
        <f t="shared" si="1583"/>
        <v>224928.65999999922</v>
      </c>
      <c r="CH324" s="7">
        <f t="shared" si="1584"/>
        <v>219161.2699999992</v>
      </c>
      <c r="CI324" s="7">
        <f t="shared" ref="CI324" si="1599">CH324-$L324</f>
        <v>213393.87999999919</v>
      </c>
      <c r="CJ324" s="7">
        <f t="shared" ref="CJ324" si="1600">CI324-$L324</f>
        <v>207626.48999999918</v>
      </c>
      <c r="CK324" s="236">
        <v>0</v>
      </c>
      <c r="CL324" s="7">
        <v>5767.39</v>
      </c>
      <c r="CM324" s="39">
        <f>CL324*12</f>
        <v>69208.680000000008</v>
      </c>
      <c r="CN324" s="7">
        <f>CJ324-CL324</f>
        <v>201859.09999999916</v>
      </c>
      <c r="CO324" s="7">
        <f t="shared" ref="CO324" si="1601">CN324-$L324</f>
        <v>196091.70999999915</v>
      </c>
      <c r="CP324" s="7">
        <f t="shared" ref="CP324" si="1602">CO324-$L324</f>
        <v>190324.31999999913</v>
      </c>
      <c r="CQ324" s="7">
        <f t="shared" ref="CQ324" si="1603">CP324-$L324</f>
        <v>184556.92999999912</v>
      </c>
      <c r="CR324" s="7">
        <f t="shared" ref="CR324" si="1604">CQ324-$L324</f>
        <v>178789.53999999911</v>
      </c>
      <c r="CS324" s="7">
        <f t="shared" ref="CS324" si="1605">CR324-$L324</f>
        <v>173022.14999999909</v>
      </c>
      <c r="CT324" s="7">
        <f t="shared" ref="CT324" si="1606">CS324-$L324</f>
        <v>167254.75999999908</v>
      </c>
      <c r="CU324" s="7">
        <f t="shared" ref="CU324" si="1607">CT324-$L324</f>
        <v>161487.36999999906</v>
      </c>
      <c r="CV324" s="7">
        <f t="shared" ref="CV324" si="1608">CU324-$L324</f>
        <v>155719.97999999905</v>
      </c>
      <c r="CW324" s="7">
        <f t="shared" ref="CW324" si="1609">CV324-$L324</f>
        <v>149952.58999999904</v>
      </c>
      <c r="CX324" s="7">
        <f t="shared" ref="CX324" si="1610">CW324-$L324</f>
        <v>144185.19999999902</v>
      </c>
      <c r="CY324" s="7">
        <f t="shared" ref="CY324" si="1611">CX324-$L324</f>
        <v>138417.80999999901</v>
      </c>
      <c r="CZ324" s="236">
        <v>0</v>
      </c>
    </row>
    <row r="325" spans="1:104" x14ac:dyDescent="0.2">
      <c r="A325" s="6" t="str">
        <f>'[1]2021 УГРЦТ'!A328</f>
        <v>Панель распределительная ЩО-70-1-01УЗ 2001г</v>
      </c>
      <c r="B325" t="str">
        <f>'[1]2021 УГРЦТ'!B328</f>
        <v>00000316</v>
      </c>
      <c r="C325" t="str">
        <f>'[1]2021 УГРЦТ'!C328</f>
        <v>ПЕРЕДАЧА</v>
      </c>
      <c r="D325" t="str">
        <f>'[1]2021 УГРЦТ'!D328</f>
        <v>Машины и оборудование (кроме офисного)</v>
      </c>
      <c r="E325" t="str">
        <f>'[1]2021 УГРЦТ'!E328</f>
        <v>30.06.2001</v>
      </c>
      <c r="F325" t="str">
        <f>'[1]2021 УГРЦТ'!F328</f>
        <v>Цех электрических сетей</v>
      </c>
      <c r="G325">
        <f>'[1]2021 УГРЦТ'!AC328</f>
        <v>276</v>
      </c>
      <c r="H325" s="7">
        <f>'[1]2021 УГРЦТ'!X328</f>
        <v>14763.39</v>
      </c>
      <c r="I325" s="7">
        <f>'[1]2021 УГРЦТ'!Y328</f>
        <v>12896.22652173913</v>
      </c>
      <c r="J325" s="7">
        <f>'[1]2021 УГРЦТ'!Z328</f>
        <v>1867.1634782608689</v>
      </c>
      <c r="K325" s="8">
        <v>0</v>
      </c>
      <c r="L325" s="7">
        <v>53.49</v>
      </c>
      <c r="M325" s="7"/>
      <c r="N325" s="7">
        <f t="shared" si="1492"/>
        <v>641.88</v>
      </c>
      <c r="O325" s="7">
        <f t="shared" ref="O325:O388" si="1612">J325-$L325</f>
        <v>1813.6734782608689</v>
      </c>
      <c r="P325" s="7">
        <f t="shared" si="1553"/>
        <v>1760.1834782608689</v>
      </c>
      <c r="Q325" s="7">
        <f t="shared" si="1553"/>
        <v>1706.6934782608689</v>
      </c>
      <c r="R325" s="7">
        <f t="shared" si="1553"/>
        <v>1653.2034782608689</v>
      </c>
      <c r="S325" s="7">
        <f t="shared" si="1553"/>
        <v>1599.7134782608689</v>
      </c>
      <c r="T325" s="7">
        <f t="shared" si="1553"/>
        <v>1546.2234782608689</v>
      </c>
      <c r="U325" s="7">
        <f t="shared" si="1553"/>
        <v>1492.7334782608689</v>
      </c>
      <c r="V325" s="7">
        <f t="shared" si="1553"/>
        <v>1439.2434782608689</v>
      </c>
      <c r="W325" s="7">
        <f t="shared" si="1553"/>
        <v>1385.7534782608689</v>
      </c>
      <c r="X325" s="7">
        <f t="shared" si="1553"/>
        <v>1332.2634782608689</v>
      </c>
      <c r="Y325" s="7">
        <f t="shared" si="1553"/>
        <v>1278.7734782608688</v>
      </c>
      <c r="Z325" s="7">
        <f t="shared" si="1553"/>
        <v>1225.2834782608688</v>
      </c>
      <c r="AA325" s="7"/>
      <c r="AB325" s="7"/>
      <c r="AC325" s="7">
        <f t="shared" ref="AC325:AC388" si="1613">L325*12</f>
        <v>641.88</v>
      </c>
      <c r="AD325" s="7">
        <f t="shared" ref="AD325:AD388" si="1614">Z325-$L325</f>
        <v>1171.7934782608688</v>
      </c>
      <c r="AE325" s="7">
        <f t="shared" si="1561"/>
        <v>1118.3034782608688</v>
      </c>
      <c r="AF325" s="7">
        <f t="shared" si="1561"/>
        <v>1064.8134782608688</v>
      </c>
      <c r="AG325" s="7">
        <f t="shared" si="1561"/>
        <v>1011.3234782608688</v>
      </c>
      <c r="AH325" s="7">
        <f t="shared" si="1561"/>
        <v>957.83347826086879</v>
      </c>
      <c r="AI325" s="7">
        <f t="shared" si="1561"/>
        <v>904.34347826086878</v>
      </c>
      <c r="AJ325" s="7">
        <f t="shared" si="1561"/>
        <v>850.85347826086877</v>
      </c>
      <c r="AK325" s="7">
        <f t="shared" si="1561"/>
        <v>797.36347826086876</v>
      </c>
      <c r="AL325" s="7">
        <f t="shared" si="1561"/>
        <v>743.87347826086875</v>
      </c>
      <c r="AM325" s="7">
        <f t="shared" si="1561"/>
        <v>690.38347826086874</v>
      </c>
      <c r="AN325" s="7">
        <f t="shared" si="1561"/>
        <v>636.89347826086873</v>
      </c>
      <c r="AO325" s="7">
        <f t="shared" si="1561"/>
        <v>583.40347826086872</v>
      </c>
      <c r="AP325" s="222"/>
      <c r="AQ325" s="7">
        <v>53.49</v>
      </c>
      <c r="AR325" s="7">
        <f t="shared" ref="AR325:AR388" si="1615">AN325-AO325</f>
        <v>53.490000000000009</v>
      </c>
      <c r="AS325" s="7">
        <f t="shared" ref="AS325:AS388" si="1616">AR325-AQ325</f>
        <v>0</v>
      </c>
      <c r="AT325" s="7">
        <f>L325*11-4.99</f>
        <v>583.4</v>
      </c>
      <c r="AU325" s="7">
        <f t="shared" si="1563"/>
        <v>529.91347826086871</v>
      </c>
      <c r="AV325" s="7">
        <f t="shared" si="1564"/>
        <v>476.42347826086871</v>
      </c>
      <c r="AW325" s="7">
        <f t="shared" si="1564"/>
        <v>422.9334782608687</v>
      </c>
      <c r="AX325" s="7">
        <f t="shared" si="1564"/>
        <v>369.44347826086869</v>
      </c>
      <c r="AY325" s="7">
        <f t="shared" si="1564"/>
        <v>315.95347826086868</v>
      </c>
      <c r="AZ325" s="7">
        <f t="shared" si="1564"/>
        <v>262.46347826086867</v>
      </c>
      <c r="BA325" s="7">
        <f t="shared" si="1564"/>
        <v>208.97347826086866</v>
      </c>
      <c r="BB325" s="7">
        <f t="shared" si="1564"/>
        <v>155.48347826086865</v>
      </c>
      <c r="BC325" s="7">
        <f t="shared" si="1564"/>
        <v>101.99347826086864</v>
      </c>
      <c r="BD325" s="7">
        <f t="shared" si="1564"/>
        <v>48.50347826086864</v>
      </c>
      <c r="BE325" s="7">
        <f>BD325-$L325+4.99</f>
        <v>3.4782608686381167E-3</v>
      </c>
      <c r="BF325" s="7">
        <f>BE325-$L325*0</f>
        <v>3.4782608686381167E-3</v>
      </c>
      <c r="BG325" s="236">
        <f t="shared" si="1598"/>
        <v>0</v>
      </c>
      <c r="BH325" s="7">
        <v>53.49</v>
      </c>
      <c r="BI325" s="39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236">
        <f t="shared" ref="BV325:BV337" si="1617">IF(Z325&lt;1,0,SUM(BJ325:BU325,BF325)/13*$BG$1)</f>
        <v>5.8862876238491196E-6</v>
      </c>
      <c r="BW325" s="7">
        <v>53.49</v>
      </c>
      <c r="BX325" s="39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236">
        <f t="shared" ref="CK325:CK337" si="1618">IF(AO325&lt;1,0,SUM(BY325:CJ325,BU325)/13*$BG$1)</f>
        <v>0</v>
      </c>
      <c r="CL325" s="7">
        <v>53.49</v>
      </c>
      <c r="CM325" s="39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236">
        <f t="shared" ref="CZ325:CZ337" si="1619">IF(BF325&lt;1,0,SUM(CN325:CY325,CJ325)/13*$BG$1)</f>
        <v>0</v>
      </c>
    </row>
    <row r="326" spans="1:104" x14ac:dyDescent="0.2">
      <c r="A326" s="6" t="str">
        <f>'[1]2021 УГРЦТ'!A329</f>
        <v>Панель распределительная ЩО-70-1-04УЗ 2001г</v>
      </c>
      <c r="B326" t="str">
        <f>'[1]2021 УГРЦТ'!B329</f>
        <v>00000317</v>
      </c>
      <c r="C326" t="str">
        <f>'[1]2021 УГРЦТ'!C329</f>
        <v>ПЕРЕДАЧА</v>
      </c>
      <c r="D326" t="str">
        <f>'[1]2021 УГРЦТ'!D329</f>
        <v>Машины и оборудование (кроме офисного)</v>
      </c>
      <c r="E326" t="str">
        <f>'[1]2021 УГРЦТ'!E329</f>
        <v>30.06.2001</v>
      </c>
      <c r="F326" t="str">
        <f>'[1]2021 УГРЦТ'!F329</f>
        <v>Цех электрических сетей</v>
      </c>
      <c r="G326">
        <f>'[1]2021 УГРЦТ'!AC329</f>
        <v>276</v>
      </c>
      <c r="H326" s="7">
        <f>'[1]2021 УГРЦТ'!X329</f>
        <v>9557.9699999999993</v>
      </c>
      <c r="I326" s="7">
        <f>'[1]2021 УГРЦТ'!Y329</f>
        <v>8383.8039130434772</v>
      </c>
      <c r="J326" s="7">
        <f>'[1]2021 УГРЦТ'!Z329</f>
        <v>1174.1660869565221</v>
      </c>
      <c r="K326" s="8">
        <v>0</v>
      </c>
      <c r="L326" s="7">
        <v>34.630000000000003</v>
      </c>
      <c r="M326" s="7"/>
      <c r="N326" s="7">
        <f t="shared" si="1492"/>
        <v>415.56000000000006</v>
      </c>
      <c r="O326" s="7">
        <f t="shared" si="1612"/>
        <v>1139.536086956522</v>
      </c>
      <c r="P326" s="7">
        <f t="shared" si="1553"/>
        <v>1104.9060869565219</v>
      </c>
      <c r="Q326" s="7">
        <f t="shared" si="1553"/>
        <v>1070.2760869565218</v>
      </c>
      <c r="R326" s="7">
        <f t="shared" si="1553"/>
        <v>1035.6460869565217</v>
      </c>
      <c r="S326" s="7">
        <f t="shared" si="1553"/>
        <v>1001.0160869565217</v>
      </c>
      <c r="T326" s="7">
        <f t="shared" si="1553"/>
        <v>966.38608695652169</v>
      </c>
      <c r="U326" s="7">
        <f t="shared" si="1553"/>
        <v>931.7560869565217</v>
      </c>
      <c r="V326" s="7">
        <f t="shared" si="1553"/>
        <v>897.1260869565217</v>
      </c>
      <c r="W326" s="7">
        <f t="shared" si="1553"/>
        <v>862.49608695652171</v>
      </c>
      <c r="X326" s="7">
        <f t="shared" si="1553"/>
        <v>827.86608695652171</v>
      </c>
      <c r="Y326" s="7">
        <f t="shared" si="1553"/>
        <v>793.23608695652172</v>
      </c>
      <c r="Z326" s="7">
        <f t="shared" si="1553"/>
        <v>758.60608695652172</v>
      </c>
      <c r="AA326" s="7"/>
      <c r="AB326" s="7"/>
      <c r="AC326" s="7">
        <f t="shared" si="1613"/>
        <v>415.56000000000006</v>
      </c>
      <c r="AD326" s="7">
        <f t="shared" si="1614"/>
        <v>723.97608695652173</v>
      </c>
      <c r="AE326" s="7">
        <f t="shared" si="1561"/>
        <v>689.34608695652173</v>
      </c>
      <c r="AF326" s="7">
        <f t="shared" si="1561"/>
        <v>654.71608695652174</v>
      </c>
      <c r="AG326" s="7">
        <f t="shared" si="1561"/>
        <v>620.08608695652174</v>
      </c>
      <c r="AH326" s="7">
        <f t="shared" si="1561"/>
        <v>585.45608695652174</v>
      </c>
      <c r="AI326" s="7">
        <f t="shared" si="1561"/>
        <v>550.82608695652175</v>
      </c>
      <c r="AJ326" s="7">
        <f t="shared" si="1561"/>
        <v>516.19608695652175</v>
      </c>
      <c r="AK326" s="7">
        <f t="shared" si="1561"/>
        <v>481.56608695652176</v>
      </c>
      <c r="AL326" s="7">
        <f t="shared" si="1561"/>
        <v>446.93608695652176</v>
      </c>
      <c r="AM326" s="7">
        <f t="shared" si="1561"/>
        <v>412.30608695652177</v>
      </c>
      <c r="AN326" s="7">
        <f t="shared" si="1561"/>
        <v>377.67608695652177</v>
      </c>
      <c r="AO326" s="7">
        <f t="shared" si="1561"/>
        <v>343.04608695652178</v>
      </c>
      <c r="AP326" s="222"/>
      <c r="AQ326" s="7">
        <v>34.630000000000003</v>
      </c>
      <c r="AR326" s="7">
        <f t="shared" si="1615"/>
        <v>34.629999999999995</v>
      </c>
      <c r="AS326" s="7">
        <f t="shared" si="1616"/>
        <v>0</v>
      </c>
      <c r="AT326" s="7">
        <f>L326*10-3.25</f>
        <v>343.05</v>
      </c>
      <c r="AU326" s="7">
        <f t="shared" si="1563"/>
        <v>308.41608695652178</v>
      </c>
      <c r="AV326" s="7">
        <f t="shared" si="1564"/>
        <v>273.78608695652179</v>
      </c>
      <c r="AW326" s="7">
        <f t="shared" si="1564"/>
        <v>239.15608695652179</v>
      </c>
      <c r="AX326" s="7">
        <f t="shared" si="1564"/>
        <v>204.52608695652179</v>
      </c>
      <c r="AY326" s="7">
        <f t="shared" si="1564"/>
        <v>169.8960869565218</v>
      </c>
      <c r="AZ326" s="7">
        <f t="shared" si="1564"/>
        <v>135.2660869565218</v>
      </c>
      <c r="BA326" s="7">
        <f t="shared" si="1564"/>
        <v>100.63608695652181</v>
      </c>
      <c r="BB326" s="7">
        <f t="shared" si="1564"/>
        <v>66.006086956521813</v>
      </c>
      <c r="BC326" s="7">
        <f t="shared" si="1564"/>
        <v>31.37608695652181</v>
      </c>
      <c r="BD326" s="7">
        <f>BC326-$L326+3.25</f>
        <v>-3.913043478192435E-3</v>
      </c>
      <c r="BE326" s="7">
        <f>BD326-$L326*0</f>
        <v>-3.913043478192435E-3</v>
      </c>
      <c r="BF326" s="7">
        <f>BE326-$L326*0</f>
        <v>-3.913043478192435E-3</v>
      </c>
      <c r="BG326" s="236">
        <f t="shared" si="1598"/>
        <v>0</v>
      </c>
      <c r="BH326" s="7">
        <v>34.630000000000003</v>
      </c>
      <c r="BI326" s="39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236">
        <f t="shared" si="1617"/>
        <v>-6.6220735784795055E-6</v>
      </c>
      <c r="BW326" s="7">
        <v>34.630000000000003</v>
      </c>
      <c r="BX326" s="39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236">
        <f t="shared" si="1618"/>
        <v>0</v>
      </c>
      <c r="CL326" s="7">
        <v>34.630000000000003</v>
      </c>
      <c r="CM326" s="39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236">
        <f t="shared" si="1619"/>
        <v>0</v>
      </c>
    </row>
    <row r="327" spans="1:104" x14ac:dyDescent="0.2">
      <c r="A327" s="6" t="str">
        <f>'[1]2021 УГРЦТ'!A330</f>
        <v>Панель ЩО 70-1-02</v>
      </c>
      <c r="B327" t="str">
        <f>'[1]2021 УГРЦТ'!B330</f>
        <v>00001007</v>
      </c>
      <c r="C327" t="str">
        <f>'[1]2021 УГРЦТ'!C330</f>
        <v>ПЕРЕДАЧА</v>
      </c>
      <c r="D327" t="str">
        <f>'[1]2021 УГРЦТ'!D330</f>
        <v>Машины и оборудование (кроме офисного)</v>
      </c>
      <c r="E327" t="str">
        <f>'[1]2021 УГРЦТ'!E330</f>
        <v>30.11.2006</v>
      </c>
      <c r="F327" t="str">
        <f>'[1]2021 УГРЦТ'!F330</f>
        <v>Цех электрических сетей</v>
      </c>
      <c r="G327">
        <f>'[1]2021 УГРЦТ'!AC330</f>
        <v>180</v>
      </c>
      <c r="H327" s="7">
        <f>'[1]2021 УГРЦТ'!X330</f>
        <v>20236.95</v>
      </c>
      <c r="I327" s="7">
        <f>'[1]2021 УГРЦТ'!Y330</f>
        <v>20236.954999999998</v>
      </c>
      <c r="J327" s="7">
        <f>'[1]2021 УГРЦТ'!Z330</f>
        <v>-4.9999999973806553E-3</v>
      </c>
      <c r="K327" s="8">
        <v>0</v>
      </c>
      <c r="L327" s="7">
        <v>0</v>
      </c>
      <c r="M327" s="7"/>
      <c r="N327" s="7">
        <f t="shared" si="1492"/>
        <v>0</v>
      </c>
      <c r="O327" s="7">
        <f t="shared" si="1612"/>
        <v>-4.9999999973806553E-3</v>
      </c>
      <c r="P327" s="7">
        <f t="shared" ref="P327:Z342" si="1620">O327-$L327</f>
        <v>-4.9999999973806553E-3</v>
      </c>
      <c r="Q327" s="7">
        <f t="shared" si="1620"/>
        <v>-4.9999999973806553E-3</v>
      </c>
      <c r="R327" s="7">
        <f t="shared" si="1620"/>
        <v>-4.9999999973806553E-3</v>
      </c>
      <c r="S327" s="7">
        <f t="shared" si="1620"/>
        <v>-4.9999999973806553E-3</v>
      </c>
      <c r="T327" s="7">
        <f t="shared" si="1620"/>
        <v>-4.9999999973806553E-3</v>
      </c>
      <c r="U327" s="7">
        <f t="shared" si="1620"/>
        <v>-4.9999999973806553E-3</v>
      </c>
      <c r="V327" s="7">
        <f t="shared" si="1620"/>
        <v>-4.9999999973806553E-3</v>
      </c>
      <c r="W327" s="7">
        <f t="shared" si="1620"/>
        <v>-4.9999999973806553E-3</v>
      </c>
      <c r="X327" s="7">
        <f t="shared" si="1620"/>
        <v>-4.9999999973806553E-3</v>
      </c>
      <c r="Y327" s="7">
        <f t="shared" si="1620"/>
        <v>-4.9999999973806553E-3</v>
      </c>
      <c r="Z327" s="7">
        <f t="shared" si="1620"/>
        <v>-4.9999999973806553E-3</v>
      </c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222"/>
      <c r="AQ327" s="7">
        <v>0</v>
      </c>
      <c r="AR327" s="7">
        <f t="shared" si="1615"/>
        <v>0</v>
      </c>
      <c r="AS327" s="7">
        <f t="shared" si="1616"/>
        <v>0</v>
      </c>
      <c r="BG327" s="236">
        <f t="shared" si="1598"/>
        <v>0</v>
      </c>
      <c r="BH327" s="7">
        <v>0</v>
      </c>
      <c r="BV327" s="236">
        <f t="shared" si="1617"/>
        <v>0</v>
      </c>
      <c r="BW327" s="7">
        <v>0</v>
      </c>
      <c r="CK327" s="236">
        <f t="shared" si="1618"/>
        <v>0</v>
      </c>
      <c r="CL327" s="7">
        <v>0</v>
      </c>
      <c r="CZ327" s="236">
        <f t="shared" si="1619"/>
        <v>0</v>
      </c>
    </row>
    <row r="328" spans="1:104" x14ac:dyDescent="0.2">
      <c r="A328" s="6" t="str">
        <f>'[1]2021 УГРЦТ'!A331</f>
        <v>Панель ЩО 70-1-02</v>
      </c>
      <c r="B328" t="str">
        <f>'[1]2021 УГРЦТ'!B331</f>
        <v>00001008</v>
      </c>
      <c r="C328" t="str">
        <f>'[1]2021 УГРЦТ'!C331</f>
        <v>ПЕРЕДАЧА</v>
      </c>
      <c r="D328" t="str">
        <f>'[1]2021 УГРЦТ'!D331</f>
        <v>Машины и оборудование (кроме офисного)</v>
      </c>
      <c r="E328" t="str">
        <f>'[1]2021 УГРЦТ'!E331</f>
        <v>30.11.2006</v>
      </c>
      <c r="F328" t="str">
        <f>'[1]2021 УГРЦТ'!F331</f>
        <v>Цех электрических сетей</v>
      </c>
      <c r="G328">
        <f>'[1]2021 УГРЦТ'!AC331</f>
        <v>180</v>
      </c>
      <c r="H328" s="7">
        <f>'[1]2021 УГРЦТ'!X331</f>
        <v>20236.95</v>
      </c>
      <c r="I328" s="7">
        <f>'[1]2021 УГРЦТ'!Y331</f>
        <v>20236.954999999998</v>
      </c>
      <c r="J328" s="7">
        <f>'[1]2021 УГРЦТ'!Z331</f>
        <v>-4.9999999973806553E-3</v>
      </c>
      <c r="K328" s="8">
        <v>0</v>
      </c>
      <c r="L328" s="7">
        <v>0</v>
      </c>
      <c r="M328" s="7"/>
      <c r="N328" s="7">
        <f t="shared" si="1492"/>
        <v>0</v>
      </c>
      <c r="O328" s="7">
        <f t="shared" si="1612"/>
        <v>-4.9999999973806553E-3</v>
      </c>
      <c r="P328" s="7">
        <f t="shared" si="1620"/>
        <v>-4.9999999973806553E-3</v>
      </c>
      <c r="Q328" s="7">
        <f t="shared" si="1620"/>
        <v>-4.9999999973806553E-3</v>
      </c>
      <c r="R328" s="7">
        <f t="shared" si="1620"/>
        <v>-4.9999999973806553E-3</v>
      </c>
      <c r="S328" s="7">
        <f t="shared" si="1620"/>
        <v>-4.9999999973806553E-3</v>
      </c>
      <c r="T328" s="7">
        <f t="shared" si="1620"/>
        <v>-4.9999999973806553E-3</v>
      </c>
      <c r="U328" s="7">
        <f t="shared" si="1620"/>
        <v>-4.9999999973806553E-3</v>
      </c>
      <c r="V328" s="7">
        <f t="shared" si="1620"/>
        <v>-4.9999999973806553E-3</v>
      </c>
      <c r="W328" s="7">
        <f t="shared" si="1620"/>
        <v>-4.9999999973806553E-3</v>
      </c>
      <c r="X328" s="7">
        <f t="shared" si="1620"/>
        <v>-4.9999999973806553E-3</v>
      </c>
      <c r="Y328" s="7">
        <f t="shared" si="1620"/>
        <v>-4.9999999973806553E-3</v>
      </c>
      <c r="Z328" s="7">
        <f t="shared" si="1620"/>
        <v>-4.9999999973806553E-3</v>
      </c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222"/>
      <c r="AQ328" s="7">
        <v>0</v>
      </c>
      <c r="AR328" s="7">
        <f t="shared" si="1615"/>
        <v>0</v>
      </c>
      <c r="AS328" s="7">
        <f t="shared" si="1616"/>
        <v>0</v>
      </c>
      <c r="BG328" s="236">
        <f t="shared" si="1598"/>
        <v>0</v>
      </c>
      <c r="BH328" s="7">
        <v>0</v>
      </c>
      <c r="BV328" s="236">
        <f t="shared" si="1617"/>
        <v>0</v>
      </c>
      <c r="BW328" s="7">
        <v>0</v>
      </c>
      <c r="CK328" s="236">
        <f t="shared" si="1618"/>
        <v>0</v>
      </c>
      <c r="CL328" s="7">
        <v>0</v>
      </c>
      <c r="CZ328" s="236">
        <f t="shared" si="1619"/>
        <v>0</v>
      </c>
    </row>
    <row r="329" spans="1:104" x14ac:dyDescent="0.2">
      <c r="A329" s="6" t="str">
        <f>'[1]2021 УГРЦТ'!A332</f>
        <v>Панель ЩО 70-1-02</v>
      </c>
      <c r="B329" t="str">
        <f>'[1]2021 УГРЦТ'!B332</f>
        <v>00001009</v>
      </c>
      <c r="C329" t="str">
        <f>'[1]2021 УГРЦТ'!C332</f>
        <v>ПЕРЕДАЧА</v>
      </c>
      <c r="D329" t="str">
        <f>'[1]2021 УГРЦТ'!D332</f>
        <v>Машины и оборудование (кроме офисного)</v>
      </c>
      <c r="E329" t="str">
        <f>'[1]2021 УГРЦТ'!E332</f>
        <v>30.11.2006</v>
      </c>
      <c r="F329" t="str">
        <f>'[1]2021 УГРЦТ'!F332</f>
        <v>Цех электрических сетей</v>
      </c>
      <c r="G329">
        <f>'[1]2021 УГРЦТ'!AC332</f>
        <v>180</v>
      </c>
      <c r="H329" s="7">
        <f>'[1]2021 УГРЦТ'!X332</f>
        <v>20236.95</v>
      </c>
      <c r="I329" s="7">
        <f>'[1]2021 УГРЦТ'!Y332</f>
        <v>20236.954999999998</v>
      </c>
      <c r="J329" s="7">
        <f>'[1]2021 УГРЦТ'!Z332</f>
        <v>-4.9999999973806553E-3</v>
      </c>
      <c r="K329" s="8">
        <v>0</v>
      </c>
      <c r="L329" s="7">
        <v>0</v>
      </c>
      <c r="M329" s="7"/>
      <c r="N329" s="7">
        <f t="shared" si="1492"/>
        <v>0</v>
      </c>
      <c r="O329" s="7">
        <f t="shared" si="1612"/>
        <v>-4.9999999973806553E-3</v>
      </c>
      <c r="P329" s="7">
        <f t="shared" si="1620"/>
        <v>-4.9999999973806553E-3</v>
      </c>
      <c r="Q329" s="7">
        <f t="shared" si="1620"/>
        <v>-4.9999999973806553E-3</v>
      </c>
      <c r="R329" s="7">
        <f t="shared" si="1620"/>
        <v>-4.9999999973806553E-3</v>
      </c>
      <c r="S329" s="7">
        <f t="shared" si="1620"/>
        <v>-4.9999999973806553E-3</v>
      </c>
      <c r="T329" s="7">
        <f t="shared" si="1620"/>
        <v>-4.9999999973806553E-3</v>
      </c>
      <c r="U329" s="7">
        <f t="shared" si="1620"/>
        <v>-4.9999999973806553E-3</v>
      </c>
      <c r="V329" s="7">
        <f t="shared" si="1620"/>
        <v>-4.9999999973806553E-3</v>
      </c>
      <c r="W329" s="7">
        <f t="shared" si="1620"/>
        <v>-4.9999999973806553E-3</v>
      </c>
      <c r="X329" s="7">
        <f t="shared" si="1620"/>
        <v>-4.9999999973806553E-3</v>
      </c>
      <c r="Y329" s="7">
        <f t="shared" si="1620"/>
        <v>-4.9999999973806553E-3</v>
      </c>
      <c r="Z329" s="7">
        <f t="shared" si="1620"/>
        <v>-4.9999999973806553E-3</v>
      </c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222"/>
      <c r="AQ329" s="7">
        <v>0</v>
      </c>
      <c r="AR329" s="7">
        <f t="shared" si="1615"/>
        <v>0</v>
      </c>
      <c r="AS329" s="7">
        <f t="shared" si="1616"/>
        <v>0</v>
      </c>
      <c r="BG329" s="236">
        <f t="shared" si="1598"/>
        <v>0</v>
      </c>
      <c r="BH329" s="7">
        <v>0</v>
      </c>
      <c r="BV329" s="236">
        <f t="shared" si="1617"/>
        <v>0</v>
      </c>
      <c r="BW329" s="7">
        <v>0</v>
      </c>
      <c r="CK329" s="236">
        <f t="shared" si="1618"/>
        <v>0</v>
      </c>
      <c r="CL329" s="7">
        <v>0</v>
      </c>
      <c r="CZ329" s="236">
        <f t="shared" si="1619"/>
        <v>0</v>
      </c>
    </row>
    <row r="330" spans="1:104" x14ac:dyDescent="0.2">
      <c r="A330" s="6" t="str">
        <f>'[1]2021 УГРЦТ'!A333</f>
        <v>Панель ЩО 70-1-32</v>
      </c>
      <c r="B330" t="str">
        <f>'[1]2021 УГРЦТ'!B333</f>
        <v>00001010</v>
      </c>
      <c r="C330" t="str">
        <f>'[1]2021 УГРЦТ'!C333</f>
        <v>ПЕРЕДАЧА</v>
      </c>
      <c r="D330" t="str">
        <f>'[1]2021 УГРЦТ'!D333</f>
        <v>Машины и оборудование (кроме офисного)</v>
      </c>
      <c r="E330" t="str">
        <f>'[1]2021 УГРЦТ'!E333</f>
        <v>30.11.2006</v>
      </c>
      <c r="F330" t="str">
        <f>'[1]2021 УГРЦТ'!F333</f>
        <v>Цех электрических сетей</v>
      </c>
      <c r="G330">
        <f>'[1]2021 УГРЦТ'!AC333</f>
        <v>180</v>
      </c>
      <c r="H330" s="7">
        <f>'[1]2021 УГРЦТ'!X333</f>
        <v>23843.52</v>
      </c>
      <c r="I330" s="7">
        <f>'[1]2021 УГРЦТ'!Y333</f>
        <v>23843.52</v>
      </c>
      <c r="J330" s="7">
        <f>'[1]2021 УГРЦТ'!Z333</f>
        <v>0</v>
      </c>
      <c r="K330" s="8">
        <v>0</v>
      </c>
      <c r="L330" s="7">
        <v>0</v>
      </c>
      <c r="M330" s="7"/>
      <c r="N330" s="7">
        <f t="shared" si="1492"/>
        <v>0</v>
      </c>
      <c r="O330" s="7">
        <f t="shared" si="1612"/>
        <v>0</v>
      </c>
      <c r="P330" s="7">
        <f t="shared" si="1620"/>
        <v>0</v>
      </c>
      <c r="Q330" s="7">
        <f t="shared" si="1620"/>
        <v>0</v>
      </c>
      <c r="R330" s="7">
        <f t="shared" si="1620"/>
        <v>0</v>
      </c>
      <c r="S330" s="7">
        <f t="shared" si="1620"/>
        <v>0</v>
      </c>
      <c r="T330" s="7">
        <f t="shared" si="1620"/>
        <v>0</v>
      </c>
      <c r="U330" s="7">
        <f t="shared" si="1620"/>
        <v>0</v>
      </c>
      <c r="V330" s="7">
        <f t="shared" si="1620"/>
        <v>0</v>
      </c>
      <c r="W330" s="7">
        <f t="shared" si="1620"/>
        <v>0</v>
      </c>
      <c r="X330" s="7">
        <f t="shared" si="1620"/>
        <v>0</v>
      </c>
      <c r="Y330" s="7">
        <f t="shared" si="1620"/>
        <v>0</v>
      </c>
      <c r="Z330" s="7">
        <f t="shared" si="1620"/>
        <v>0</v>
      </c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222"/>
      <c r="AQ330" s="7">
        <v>0</v>
      </c>
      <c r="AR330" s="7">
        <f t="shared" si="1615"/>
        <v>0</v>
      </c>
      <c r="AS330" s="7">
        <f t="shared" si="1616"/>
        <v>0</v>
      </c>
      <c r="BG330" s="236">
        <f t="shared" si="1598"/>
        <v>0</v>
      </c>
      <c r="BH330" s="7">
        <v>0</v>
      </c>
      <c r="BV330" s="236">
        <f t="shared" si="1617"/>
        <v>0</v>
      </c>
      <c r="BW330" s="7">
        <v>0</v>
      </c>
      <c r="CK330" s="236">
        <f t="shared" si="1618"/>
        <v>0</v>
      </c>
      <c r="CL330" s="7">
        <v>0</v>
      </c>
      <c r="CZ330" s="236">
        <f t="shared" si="1619"/>
        <v>0</v>
      </c>
    </row>
    <row r="331" spans="1:104" x14ac:dyDescent="0.2">
      <c r="A331" s="6" t="str">
        <f>'[1]2021 УГРЦТ'!A334</f>
        <v>Панель ЩО 70-1-32</v>
      </c>
      <c r="B331" t="str">
        <f>'[1]2021 УГРЦТ'!B334</f>
        <v>00001011</v>
      </c>
      <c r="C331" t="str">
        <f>'[1]2021 УГРЦТ'!C334</f>
        <v>ПЕРЕДАЧА</v>
      </c>
      <c r="D331" t="str">
        <f>'[1]2021 УГРЦТ'!D334</f>
        <v>Машины и оборудование (кроме офисного)</v>
      </c>
      <c r="E331" t="str">
        <f>'[1]2021 УГРЦТ'!E334</f>
        <v>30.11.2006</v>
      </c>
      <c r="F331" t="str">
        <f>'[1]2021 УГРЦТ'!F334</f>
        <v>Цех электрических сетей</v>
      </c>
      <c r="G331">
        <f>'[1]2021 УГРЦТ'!AC334</f>
        <v>180</v>
      </c>
      <c r="H331" s="7">
        <f>'[1]2021 УГРЦТ'!X334</f>
        <v>23843.52</v>
      </c>
      <c r="I331" s="7">
        <f>'[1]2021 УГРЦТ'!Y334</f>
        <v>23843.52</v>
      </c>
      <c r="J331" s="7">
        <f>'[1]2021 УГРЦТ'!Z334</f>
        <v>0</v>
      </c>
      <c r="K331" s="8">
        <v>0</v>
      </c>
      <c r="L331" s="7">
        <v>0</v>
      </c>
      <c r="M331" s="7"/>
      <c r="N331" s="7">
        <f t="shared" si="1492"/>
        <v>0</v>
      </c>
      <c r="O331" s="7">
        <f t="shared" si="1612"/>
        <v>0</v>
      </c>
      <c r="P331" s="7">
        <f t="shared" si="1620"/>
        <v>0</v>
      </c>
      <c r="Q331" s="7">
        <f t="shared" si="1620"/>
        <v>0</v>
      </c>
      <c r="R331" s="7">
        <f t="shared" si="1620"/>
        <v>0</v>
      </c>
      <c r="S331" s="7">
        <f t="shared" si="1620"/>
        <v>0</v>
      </c>
      <c r="T331" s="7">
        <f t="shared" si="1620"/>
        <v>0</v>
      </c>
      <c r="U331" s="7">
        <f t="shared" si="1620"/>
        <v>0</v>
      </c>
      <c r="V331" s="7">
        <f t="shared" si="1620"/>
        <v>0</v>
      </c>
      <c r="W331" s="7">
        <f t="shared" si="1620"/>
        <v>0</v>
      </c>
      <c r="X331" s="7">
        <f t="shared" si="1620"/>
        <v>0</v>
      </c>
      <c r="Y331" s="7">
        <f t="shared" si="1620"/>
        <v>0</v>
      </c>
      <c r="Z331" s="7">
        <f t="shared" si="1620"/>
        <v>0</v>
      </c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222"/>
      <c r="AQ331" s="7">
        <v>0</v>
      </c>
      <c r="AR331" s="7">
        <f t="shared" si="1615"/>
        <v>0</v>
      </c>
      <c r="AS331" s="7">
        <f t="shared" si="1616"/>
        <v>0</v>
      </c>
      <c r="BG331" s="236">
        <f t="shared" si="1598"/>
        <v>0</v>
      </c>
      <c r="BH331" s="7">
        <v>0</v>
      </c>
      <c r="BV331" s="236">
        <f t="shared" si="1617"/>
        <v>0</v>
      </c>
      <c r="BW331" s="7">
        <v>0</v>
      </c>
      <c r="CK331" s="236">
        <f t="shared" si="1618"/>
        <v>0</v>
      </c>
      <c r="CL331" s="7">
        <v>0</v>
      </c>
      <c r="CZ331" s="236">
        <f t="shared" si="1619"/>
        <v>0</v>
      </c>
    </row>
    <row r="332" spans="1:104" x14ac:dyDescent="0.2">
      <c r="A332" s="6" t="str">
        <f>'[1]2021 УГРЦТ'!A335</f>
        <v>Панель ЩО 70-3-05 (Н) УЗ1 250А №6898</v>
      </c>
      <c r="B332" t="str">
        <f>'[1]2021 УГРЦТ'!B335</f>
        <v>00001370</v>
      </c>
      <c r="C332" t="str">
        <f>'[1]2021 УГРЦТ'!C335</f>
        <v>ПЕРЕДАЧА</v>
      </c>
      <c r="D332" t="str">
        <f>'[1]2021 УГРЦТ'!D335</f>
        <v>Машины и оборудование (кроме офисного)</v>
      </c>
      <c r="E332" t="str">
        <f>'[1]2021 УГРЦТ'!E335</f>
        <v>18.10.2011</v>
      </c>
      <c r="F332" t="str">
        <f>'[1]2021 УГРЦТ'!F335</f>
        <v>Цех электрических сетей</v>
      </c>
      <c r="G332">
        <f>'[1]2021 УГРЦТ'!AC335</f>
        <v>120</v>
      </c>
      <c r="H332" s="7">
        <f>'[1]2021 УГРЦТ'!X335</f>
        <v>42049.94</v>
      </c>
      <c r="I332" s="7">
        <f>'[1]2021 УГРЦТ'!Y335</f>
        <v>42049.9355</v>
      </c>
      <c r="J332" s="7">
        <f>'[1]2021 УГРЦТ'!Z335</f>
        <v>4.5000000027357601E-3</v>
      </c>
      <c r="K332" s="8">
        <v>0</v>
      </c>
      <c r="L332" s="7">
        <v>0</v>
      </c>
      <c r="M332" s="7"/>
      <c r="N332" s="7">
        <f t="shared" si="1492"/>
        <v>0</v>
      </c>
      <c r="O332" s="7">
        <f t="shared" si="1612"/>
        <v>4.5000000027357601E-3</v>
      </c>
      <c r="P332" s="7">
        <f t="shared" si="1620"/>
        <v>4.5000000027357601E-3</v>
      </c>
      <c r="Q332" s="7">
        <f t="shared" si="1620"/>
        <v>4.5000000027357601E-3</v>
      </c>
      <c r="R332" s="7">
        <f t="shared" si="1620"/>
        <v>4.5000000027357601E-3</v>
      </c>
      <c r="S332" s="7">
        <f t="shared" si="1620"/>
        <v>4.5000000027357601E-3</v>
      </c>
      <c r="T332" s="7">
        <f t="shared" si="1620"/>
        <v>4.5000000027357601E-3</v>
      </c>
      <c r="U332" s="7">
        <f t="shared" si="1620"/>
        <v>4.5000000027357601E-3</v>
      </c>
      <c r="V332" s="7">
        <f t="shared" si="1620"/>
        <v>4.5000000027357601E-3</v>
      </c>
      <c r="W332" s="7">
        <f t="shared" si="1620"/>
        <v>4.5000000027357601E-3</v>
      </c>
      <c r="X332" s="7">
        <f t="shared" si="1620"/>
        <v>4.5000000027357601E-3</v>
      </c>
      <c r="Y332" s="7">
        <f t="shared" si="1620"/>
        <v>4.5000000027357601E-3</v>
      </c>
      <c r="Z332" s="7">
        <f t="shared" si="1620"/>
        <v>4.5000000027357601E-3</v>
      </c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222"/>
      <c r="AQ332" s="7">
        <v>0</v>
      </c>
      <c r="AR332" s="7">
        <f t="shared" si="1615"/>
        <v>0</v>
      </c>
      <c r="AS332" s="7">
        <f t="shared" si="1616"/>
        <v>0</v>
      </c>
      <c r="BG332" s="236">
        <f t="shared" si="1598"/>
        <v>0</v>
      </c>
      <c r="BH332" s="7">
        <v>0</v>
      </c>
      <c r="BV332" s="236">
        <f t="shared" si="1617"/>
        <v>0</v>
      </c>
      <c r="BW332" s="7">
        <v>0</v>
      </c>
      <c r="CK332" s="236">
        <f t="shared" si="1618"/>
        <v>0</v>
      </c>
      <c r="CL332" s="7">
        <v>0</v>
      </c>
      <c r="CZ332" s="236">
        <f t="shared" si="1619"/>
        <v>0</v>
      </c>
    </row>
    <row r="333" spans="1:104" x14ac:dyDescent="0.2">
      <c r="A333" s="6" t="str">
        <f>'[1]2021 УГРЦТ'!A336</f>
        <v>Панель ЩО 70-3-05 (Н) УЗ2 260А №6899</v>
      </c>
      <c r="B333" t="str">
        <f>'[1]2021 УГРЦТ'!B336</f>
        <v>00001372</v>
      </c>
      <c r="C333" t="str">
        <f>'[1]2021 УГРЦТ'!C336</f>
        <v>ПЕРЕДАЧА</v>
      </c>
      <c r="D333" t="str">
        <f>'[1]2021 УГРЦТ'!D336</f>
        <v>Машины и оборудование (кроме офисного)</v>
      </c>
      <c r="E333" t="str">
        <f>'[1]2021 УГРЦТ'!E336</f>
        <v>18.10.2011</v>
      </c>
      <c r="F333" t="str">
        <f>'[1]2021 УГРЦТ'!F336</f>
        <v>Цех электрических сетей</v>
      </c>
      <c r="G333">
        <f>'[1]2021 УГРЦТ'!AC336</f>
        <v>120</v>
      </c>
      <c r="H333" s="7">
        <f>'[1]2021 УГРЦТ'!X336</f>
        <v>50064.160000000003</v>
      </c>
      <c r="I333" s="7">
        <f>'[1]2021 УГРЦТ'!Y336</f>
        <v>50064.16333333333</v>
      </c>
      <c r="J333" s="7">
        <f>'[1]2021 УГРЦТ'!Z336</f>
        <v>-3.3333333267364651E-3</v>
      </c>
      <c r="K333" s="8">
        <v>0</v>
      </c>
      <c r="L333" s="7">
        <v>0</v>
      </c>
      <c r="M333" s="7"/>
      <c r="N333" s="7">
        <f t="shared" si="1492"/>
        <v>0</v>
      </c>
      <c r="O333" s="7">
        <f t="shared" si="1612"/>
        <v>-3.3333333267364651E-3</v>
      </c>
      <c r="P333" s="7">
        <f t="shared" si="1620"/>
        <v>-3.3333333267364651E-3</v>
      </c>
      <c r="Q333" s="7">
        <f t="shared" si="1620"/>
        <v>-3.3333333267364651E-3</v>
      </c>
      <c r="R333" s="7">
        <f t="shared" si="1620"/>
        <v>-3.3333333267364651E-3</v>
      </c>
      <c r="S333" s="7">
        <f t="shared" si="1620"/>
        <v>-3.3333333267364651E-3</v>
      </c>
      <c r="T333" s="7">
        <f t="shared" si="1620"/>
        <v>-3.3333333267364651E-3</v>
      </c>
      <c r="U333" s="7">
        <f t="shared" si="1620"/>
        <v>-3.3333333267364651E-3</v>
      </c>
      <c r="V333" s="7">
        <f t="shared" si="1620"/>
        <v>-3.3333333267364651E-3</v>
      </c>
      <c r="W333" s="7">
        <f t="shared" si="1620"/>
        <v>-3.3333333267364651E-3</v>
      </c>
      <c r="X333" s="7">
        <f t="shared" si="1620"/>
        <v>-3.3333333267364651E-3</v>
      </c>
      <c r="Y333" s="7">
        <f t="shared" si="1620"/>
        <v>-3.3333333267364651E-3</v>
      </c>
      <c r="Z333" s="7">
        <f t="shared" si="1620"/>
        <v>-3.3333333267364651E-3</v>
      </c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222"/>
      <c r="AQ333" s="7">
        <v>0</v>
      </c>
      <c r="AR333" s="7">
        <f t="shared" si="1615"/>
        <v>0</v>
      </c>
      <c r="AS333" s="7">
        <f t="shared" si="1616"/>
        <v>0</v>
      </c>
      <c r="BG333" s="236">
        <f t="shared" si="1598"/>
        <v>0</v>
      </c>
      <c r="BH333" s="7">
        <v>0</v>
      </c>
      <c r="BV333" s="236">
        <f t="shared" si="1617"/>
        <v>0</v>
      </c>
      <c r="BW333" s="7">
        <v>0</v>
      </c>
      <c r="CK333" s="236">
        <f t="shared" si="1618"/>
        <v>0</v>
      </c>
      <c r="CL333" s="7">
        <v>0</v>
      </c>
      <c r="CZ333" s="236">
        <f t="shared" si="1619"/>
        <v>0</v>
      </c>
    </row>
    <row r="334" spans="1:104" x14ac:dyDescent="0.2">
      <c r="A334" s="6" t="str">
        <f>'[1]2021 УГРЦТ'!A337</f>
        <v>Панель ЩО 70-3-09 УЗ 1000А №6900</v>
      </c>
      <c r="B334" t="str">
        <f>'[1]2021 УГРЦТ'!B337</f>
        <v>00001369</v>
      </c>
      <c r="C334" t="str">
        <f>'[1]2021 УГРЦТ'!C337</f>
        <v>ПЕРЕДАЧА</v>
      </c>
      <c r="D334" t="str">
        <f>'[1]2021 УГРЦТ'!D337</f>
        <v>Машины и оборудование (кроме офисного)</v>
      </c>
      <c r="E334" t="str">
        <f>'[1]2021 УГРЦТ'!E337</f>
        <v>18.10.2011</v>
      </c>
      <c r="F334" t="str">
        <f>'[1]2021 УГРЦТ'!F337</f>
        <v>Цех электрических сетей</v>
      </c>
      <c r="G334">
        <f>'[1]2021 УГРЦТ'!AC337</f>
        <v>120</v>
      </c>
      <c r="H334" s="7">
        <f>'[1]2021 УГРЦТ'!X337</f>
        <v>85089.29</v>
      </c>
      <c r="I334" s="7">
        <f>'[1]2021 УГРЦТ'!Y337</f>
        <v>85089.286749999999</v>
      </c>
      <c r="J334" s="7">
        <f>'[1]2021 УГРЦТ'!Z337</f>
        <v>3.2499999942956492E-3</v>
      </c>
      <c r="K334" s="8">
        <v>0</v>
      </c>
      <c r="L334" s="7">
        <v>0</v>
      </c>
      <c r="M334" s="7"/>
      <c r="N334" s="7">
        <f t="shared" si="1492"/>
        <v>0</v>
      </c>
      <c r="O334" s="7">
        <f t="shared" si="1612"/>
        <v>3.2499999942956492E-3</v>
      </c>
      <c r="P334" s="7">
        <f t="shared" si="1620"/>
        <v>3.2499999942956492E-3</v>
      </c>
      <c r="Q334" s="7">
        <f t="shared" si="1620"/>
        <v>3.2499999942956492E-3</v>
      </c>
      <c r="R334" s="7">
        <f t="shared" si="1620"/>
        <v>3.2499999942956492E-3</v>
      </c>
      <c r="S334" s="7">
        <f t="shared" si="1620"/>
        <v>3.2499999942956492E-3</v>
      </c>
      <c r="T334" s="7">
        <f t="shared" si="1620"/>
        <v>3.2499999942956492E-3</v>
      </c>
      <c r="U334" s="7">
        <f t="shared" si="1620"/>
        <v>3.2499999942956492E-3</v>
      </c>
      <c r="V334" s="7">
        <f t="shared" si="1620"/>
        <v>3.2499999942956492E-3</v>
      </c>
      <c r="W334" s="7">
        <f t="shared" si="1620"/>
        <v>3.2499999942956492E-3</v>
      </c>
      <c r="X334" s="7">
        <f t="shared" si="1620"/>
        <v>3.2499999942956492E-3</v>
      </c>
      <c r="Y334" s="7">
        <f t="shared" si="1620"/>
        <v>3.2499999942956492E-3</v>
      </c>
      <c r="Z334" s="7">
        <f t="shared" si="1620"/>
        <v>3.2499999942956492E-3</v>
      </c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222"/>
      <c r="AQ334" s="7">
        <v>0</v>
      </c>
      <c r="AR334" s="7">
        <f t="shared" si="1615"/>
        <v>0</v>
      </c>
      <c r="AS334" s="7">
        <f t="shared" si="1616"/>
        <v>0</v>
      </c>
      <c r="BG334" s="236">
        <f t="shared" si="1598"/>
        <v>0</v>
      </c>
      <c r="BH334" s="7">
        <v>0</v>
      </c>
      <c r="BV334" s="236">
        <f t="shared" si="1617"/>
        <v>0</v>
      </c>
      <c r="BW334" s="7">
        <v>0</v>
      </c>
      <c r="CK334" s="236">
        <f t="shared" si="1618"/>
        <v>0</v>
      </c>
      <c r="CL334" s="7">
        <v>0</v>
      </c>
      <c r="CZ334" s="236">
        <f t="shared" si="1619"/>
        <v>0</v>
      </c>
    </row>
    <row r="335" spans="1:104" x14ac:dyDescent="0.2">
      <c r="A335" s="6" t="str">
        <f>'[1]2021 УГРЦТ'!A338</f>
        <v>Панель ЩО 70-3М-01</v>
      </c>
      <c r="B335" t="str">
        <f>'[1]2021 УГРЦТ'!B338</f>
        <v>00001012</v>
      </c>
      <c r="C335" t="str">
        <f>'[1]2021 УГРЦТ'!C338</f>
        <v>ПЕРЕДАЧА</v>
      </c>
      <c r="D335" t="str">
        <f>'[1]2021 УГРЦТ'!D338</f>
        <v>Машины и оборудование (кроме офисного)</v>
      </c>
      <c r="E335" t="str">
        <f>'[1]2021 УГРЦТ'!E338</f>
        <v>30.11.2006</v>
      </c>
      <c r="F335" t="str">
        <f>'[1]2021 УГРЦТ'!F338</f>
        <v>Цех электрических сетей</v>
      </c>
      <c r="G335">
        <f>'[1]2021 УГРЦТ'!AC338</f>
        <v>180</v>
      </c>
      <c r="H335" s="7">
        <f>'[1]2021 УГРЦТ'!X338</f>
        <v>49197.8</v>
      </c>
      <c r="I335" s="7">
        <f>'[1]2021 УГРЦТ'!Y338</f>
        <v>49197.802222222228</v>
      </c>
      <c r="J335" s="7">
        <f>'[1]2021 УГРЦТ'!Z338</f>
        <v>-2.2222222251002677E-3</v>
      </c>
      <c r="K335" s="8">
        <v>0</v>
      </c>
      <c r="L335" s="7">
        <v>0</v>
      </c>
      <c r="M335" s="7"/>
      <c r="N335" s="7">
        <f t="shared" si="1492"/>
        <v>0</v>
      </c>
      <c r="O335" s="7">
        <f t="shared" si="1612"/>
        <v>-2.2222222251002677E-3</v>
      </c>
      <c r="P335" s="7">
        <f t="shared" si="1620"/>
        <v>-2.2222222251002677E-3</v>
      </c>
      <c r="Q335" s="7">
        <f t="shared" si="1620"/>
        <v>-2.2222222251002677E-3</v>
      </c>
      <c r="R335" s="7">
        <f t="shared" si="1620"/>
        <v>-2.2222222251002677E-3</v>
      </c>
      <c r="S335" s="7">
        <f t="shared" si="1620"/>
        <v>-2.2222222251002677E-3</v>
      </c>
      <c r="T335" s="7">
        <f t="shared" si="1620"/>
        <v>-2.2222222251002677E-3</v>
      </c>
      <c r="U335" s="7">
        <f t="shared" si="1620"/>
        <v>-2.2222222251002677E-3</v>
      </c>
      <c r="V335" s="7">
        <f t="shared" si="1620"/>
        <v>-2.2222222251002677E-3</v>
      </c>
      <c r="W335" s="7">
        <f t="shared" si="1620"/>
        <v>-2.2222222251002677E-3</v>
      </c>
      <c r="X335" s="7">
        <f t="shared" si="1620"/>
        <v>-2.2222222251002677E-3</v>
      </c>
      <c r="Y335" s="7">
        <f t="shared" si="1620"/>
        <v>-2.2222222251002677E-3</v>
      </c>
      <c r="Z335" s="7">
        <f t="shared" si="1620"/>
        <v>-2.2222222251002677E-3</v>
      </c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222"/>
      <c r="AQ335" s="7">
        <v>0</v>
      </c>
      <c r="AR335" s="7">
        <f t="shared" si="1615"/>
        <v>0</v>
      </c>
      <c r="AS335" s="7">
        <f t="shared" si="1616"/>
        <v>0</v>
      </c>
      <c r="BG335" s="236">
        <f t="shared" si="1598"/>
        <v>0</v>
      </c>
      <c r="BH335" s="7">
        <v>0</v>
      </c>
      <c r="BV335" s="236">
        <f t="shared" si="1617"/>
        <v>0</v>
      </c>
      <c r="BW335" s="7">
        <v>0</v>
      </c>
      <c r="CK335" s="236">
        <f t="shared" si="1618"/>
        <v>0</v>
      </c>
      <c r="CL335" s="7">
        <v>0</v>
      </c>
      <c r="CZ335" s="236">
        <f t="shared" si="1619"/>
        <v>0</v>
      </c>
    </row>
    <row r="336" spans="1:104" x14ac:dyDescent="0.2">
      <c r="A336" s="6" t="str">
        <f>'[1]2021 УГРЦТ'!A339</f>
        <v>Панель ЩО 91-05</v>
      </c>
      <c r="B336" t="str">
        <f>'[1]2021 УГРЦТ'!B339</f>
        <v>000001617</v>
      </c>
      <c r="C336" t="str">
        <f>'[1]2021 УГРЦТ'!C339</f>
        <v>ПЕРЕДАЧА</v>
      </c>
      <c r="D336" t="str">
        <f>'[1]2021 УГРЦТ'!D339</f>
        <v>Машины и оборудование (кроме офисного)</v>
      </c>
      <c r="E336" t="str">
        <f>'[1]2021 УГРЦТ'!E339</f>
        <v>30.04.2014</v>
      </c>
      <c r="F336" t="str">
        <f>'[1]2021 УГРЦТ'!F339</f>
        <v>Цех электрических сетей</v>
      </c>
      <c r="G336">
        <f>'[1]2021 УГРЦТ'!AC339</f>
        <v>120</v>
      </c>
      <c r="H336" s="7">
        <f>'[1]2021 УГРЦТ'!X339</f>
        <v>42304.11</v>
      </c>
      <c r="I336" s="7">
        <f>'[1]2021 УГРЦТ'!Y339</f>
        <v>32432.811000000002</v>
      </c>
      <c r="J336" s="7">
        <f>'[1]2021 УГРЦТ'!Z339</f>
        <v>9871.2989999999991</v>
      </c>
      <c r="K336" s="8">
        <v>0</v>
      </c>
      <c r="L336" s="7">
        <v>352.52999999999992</v>
      </c>
      <c r="M336" s="7"/>
      <c r="N336" s="7">
        <f t="shared" si="1492"/>
        <v>4230.3599999999988</v>
      </c>
      <c r="O336" s="7">
        <f t="shared" si="1612"/>
        <v>9518.7689999999984</v>
      </c>
      <c r="P336" s="7">
        <f t="shared" si="1620"/>
        <v>9166.2389999999978</v>
      </c>
      <c r="Q336" s="7">
        <f t="shared" si="1620"/>
        <v>8813.7089999999971</v>
      </c>
      <c r="R336" s="7">
        <f t="shared" si="1620"/>
        <v>8461.1789999999964</v>
      </c>
      <c r="S336" s="7">
        <f t="shared" si="1620"/>
        <v>8108.6489999999967</v>
      </c>
      <c r="T336" s="7">
        <f t="shared" si="1620"/>
        <v>7756.118999999997</v>
      </c>
      <c r="U336" s="7">
        <f t="shared" si="1620"/>
        <v>7403.5889999999972</v>
      </c>
      <c r="V336" s="7">
        <f t="shared" si="1620"/>
        <v>7051.0589999999975</v>
      </c>
      <c r="W336" s="7">
        <f t="shared" si="1620"/>
        <v>6698.5289999999977</v>
      </c>
      <c r="X336" s="7">
        <f t="shared" si="1620"/>
        <v>6345.998999999998</v>
      </c>
      <c r="Y336" s="7">
        <f t="shared" si="1620"/>
        <v>5993.4689999999982</v>
      </c>
      <c r="Z336" s="7">
        <f t="shared" si="1620"/>
        <v>5640.9389999999985</v>
      </c>
      <c r="AA336" s="7"/>
      <c r="AB336" s="7"/>
      <c r="AC336" s="7">
        <f t="shared" si="1613"/>
        <v>4230.3599999999988</v>
      </c>
      <c r="AD336" s="7">
        <f t="shared" si="1614"/>
        <v>5288.4089999999987</v>
      </c>
      <c r="AE336" s="7">
        <f t="shared" ref="AE336:AO338" si="1621">AD336-$L336</f>
        <v>4935.878999999999</v>
      </c>
      <c r="AF336" s="7">
        <f t="shared" si="1621"/>
        <v>4583.3489999999993</v>
      </c>
      <c r="AG336" s="7">
        <f t="shared" si="1621"/>
        <v>4230.8189999999995</v>
      </c>
      <c r="AH336" s="7">
        <f t="shared" si="1621"/>
        <v>3878.2889999999998</v>
      </c>
      <c r="AI336" s="7">
        <f t="shared" si="1621"/>
        <v>3525.759</v>
      </c>
      <c r="AJ336" s="7">
        <f t="shared" si="1621"/>
        <v>3173.2290000000003</v>
      </c>
      <c r="AK336" s="7">
        <f t="shared" si="1621"/>
        <v>2820.6990000000005</v>
      </c>
      <c r="AL336" s="7">
        <f t="shared" si="1621"/>
        <v>2468.1690000000008</v>
      </c>
      <c r="AM336" s="7">
        <f t="shared" si="1621"/>
        <v>2115.639000000001</v>
      </c>
      <c r="AN336" s="7">
        <f t="shared" si="1621"/>
        <v>1763.1090000000011</v>
      </c>
      <c r="AO336" s="7">
        <f t="shared" si="1621"/>
        <v>1410.5790000000011</v>
      </c>
      <c r="AP336" s="222"/>
      <c r="AQ336" s="7">
        <v>352.52999999999992</v>
      </c>
      <c r="AR336" s="7">
        <f t="shared" si="1615"/>
        <v>352.53</v>
      </c>
      <c r="AS336" s="7">
        <f t="shared" si="1616"/>
        <v>0</v>
      </c>
      <c r="AT336" s="7">
        <f>L336*4+0.46</f>
        <v>1410.5799999999997</v>
      </c>
      <c r="AU336" s="7">
        <f>AO336-$L336</f>
        <v>1058.0490000000011</v>
      </c>
      <c r="AV336" s="7">
        <f t="shared" ref="AV336:BF338" si="1622">AU336-$L336</f>
        <v>705.51900000000114</v>
      </c>
      <c r="AW336" s="7">
        <f t="shared" si="1622"/>
        <v>352.98900000000123</v>
      </c>
      <c r="AX336" s="7">
        <f t="shared" si="1622"/>
        <v>0.45900000000131058</v>
      </c>
      <c r="AY336" s="7"/>
      <c r="AZ336" s="7"/>
      <c r="BA336" s="7"/>
      <c r="BB336" s="7"/>
      <c r="BC336" s="7"/>
      <c r="BD336" s="7"/>
      <c r="BE336" s="7"/>
      <c r="BF336" s="7"/>
      <c r="BG336" s="236">
        <f t="shared" si="1598"/>
        <v>0</v>
      </c>
      <c r="BH336" s="7">
        <v>352.52999999999992</v>
      </c>
      <c r="BI336" s="39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236">
        <f t="shared" si="1617"/>
        <v>0</v>
      </c>
      <c r="BW336" s="7">
        <v>352.52999999999992</v>
      </c>
      <c r="BX336" s="39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236">
        <f t="shared" si="1618"/>
        <v>0</v>
      </c>
      <c r="CL336" s="7">
        <v>352.52999999999992</v>
      </c>
      <c r="CM336" s="39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236">
        <f t="shared" si="1619"/>
        <v>0</v>
      </c>
    </row>
    <row r="337" spans="1:104" x14ac:dyDescent="0.2">
      <c r="A337" s="6" t="str">
        <f>'[1]2021 УГРЦТ'!A340</f>
        <v>Панель ЩО 91-06</v>
      </c>
      <c r="B337" t="str">
        <f>'[1]2021 УГРЦТ'!B340</f>
        <v>000001618</v>
      </c>
      <c r="C337" t="str">
        <f>'[1]2021 УГРЦТ'!C340</f>
        <v>ПЕРЕДАЧА</v>
      </c>
      <c r="D337" t="str">
        <f>'[1]2021 УГРЦТ'!D340</f>
        <v>Другие виды основных средств</v>
      </c>
      <c r="E337" t="str">
        <f>'[1]2021 УГРЦТ'!E340</f>
        <v>30.04.2014</v>
      </c>
      <c r="F337" t="str">
        <f>'[1]2021 УГРЦТ'!F340</f>
        <v>Цех электрических сетей</v>
      </c>
      <c r="G337">
        <f>'[1]2021 УГРЦТ'!AC340</f>
        <v>120</v>
      </c>
      <c r="H337" s="7">
        <f>'[1]2021 УГРЦТ'!X340</f>
        <v>55133.279999999999</v>
      </c>
      <c r="I337" s="7">
        <f>'[1]2021 УГРЦТ'!Y340</f>
        <v>42268.527999999998</v>
      </c>
      <c r="J337" s="7">
        <f>'[1]2021 УГРЦТ'!Z340</f>
        <v>12864.752</v>
      </c>
      <c r="K337" s="8">
        <v>0</v>
      </c>
      <c r="L337" s="7">
        <v>459.43999999999988</v>
      </c>
      <c r="M337" s="7"/>
      <c r="N337" s="7">
        <f t="shared" si="1492"/>
        <v>5513.2799999999988</v>
      </c>
      <c r="O337" s="7">
        <f t="shared" si="1612"/>
        <v>12405.312</v>
      </c>
      <c r="P337" s="7">
        <f t="shared" si="1620"/>
        <v>11945.871999999999</v>
      </c>
      <c r="Q337" s="7">
        <f t="shared" si="1620"/>
        <v>11486.431999999999</v>
      </c>
      <c r="R337" s="7">
        <f t="shared" si="1620"/>
        <v>11026.991999999998</v>
      </c>
      <c r="S337" s="7">
        <f t="shared" si="1620"/>
        <v>10567.551999999998</v>
      </c>
      <c r="T337" s="7">
        <f t="shared" si="1620"/>
        <v>10108.111999999997</v>
      </c>
      <c r="U337" s="7">
        <f t="shared" si="1620"/>
        <v>9648.6719999999968</v>
      </c>
      <c r="V337" s="7">
        <f t="shared" si="1620"/>
        <v>9189.2319999999963</v>
      </c>
      <c r="W337" s="7">
        <f t="shared" si="1620"/>
        <v>8729.7919999999958</v>
      </c>
      <c r="X337" s="7">
        <f t="shared" si="1620"/>
        <v>8270.3519999999953</v>
      </c>
      <c r="Y337" s="7">
        <f t="shared" si="1620"/>
        <v>7810.9119999999957</v>
      </c>
      <c r="Z337" s="7">
        <f t="shared" si="1620"/>
        <v>7351.4719999999961</v>
      </c>
      <c r="AA337" s="7"/>
      <c r="AB337" s="7"/>
      <c r="AC337" s="7">
        <f t="shared" si="1613"/>
        <v>5513.2799999999988</v>
      </c>
      <c r="AD337" s="7">
        <f t="shared" si="1614"/>
        <v>6892.0319999999965</v>
      </c>
      <c r="AE337" s="7">
        <f t="shared" si="1621"/>
        <v>6432.5919999999969</v>
      </c>
      <c r="AF337" s="7">
        <f t="shared" si="1621"/>
        <v>5973.1519999999973</v>
      </c>
      <c r="AG337" s="7">
        <f t="shared" si="1621"/>
        <v>5513.7119999999977</v>
      </c>
      <c r="AH337" s="7">
        <f t="shared" si="1621"/>
        <v>5054.2719999999981</v>
      </c>
      <c r="AI337" s="7">
        <f t="shared" si="1621"/>
        <v>4594.8319999999985</v>
      </c>
      <c r="AJ337" s="7">
        <f t="shared" si="1621"/>
        <v>4135.3919999999989</v>
      </c>
      <c r="AK337" s="7">
        <f t="shared" si="1621"/>
        <v>3675.9519999999989</v>
      </c>
      <c r="AL337" s="7">
        <f t="shared" si="1621"/>
        <v>3216.5119999999988</v>
      </c>
      <c r="AM337" s="7">
        <f t="shared" si="1621"/>
        <v>2757.0719999999988</v>
      </c>
      <c r="AN337" s="7">
        <f t="shared" si="1621"/>
        <v>2297.6319999999987</v>
      </c>
      <c r="AO337" s="7">
        <f t="shared" si="1621"/>
        <v>1838.1919999999989</v>
      </c>
      <c r="AP337" s="222"/>
      <c r="AQ337" s="7">
        <v>459.43999999999988</v>
      </c>
      <c r="AR337" s="7">
        <f t="shared" si="1615"/>
        <v>459.43999999999983</v>
      </c>
      <c r="AS337" s="7">
        <f t="shared" si="1616"/>
        <v>0</v>
      </c>
      <c r="AT337" s="7">
        <f>L337*4+0.43</f>
        <v>1838.1899999999996</v>
      </c>
      <c r="AU337" s="7">
        <f>AO337-$L337</f>
        <v>1378.751999999999</v>
      </c>
      <c r="AV337" s="7">
        <f t="shared" si="1622"/>
        <v>919.31199999999922</v>
      </c>
      <c r="AW337" s="7">
        <f t="shared" si="1622"/>
        <v>459.87199999999933</v>
      </c>
      <c r="AX337" s="7">
        <f t="shared" si="1622"/>
        <v>0.43199999999944794</v>
      </c>
      <c r="AY337" s="7"/>
      <c r="AZ337" s="7"/>
      <c r="BA337" s="7"/>
      <c r="BB337" s="7"/>
      <c r="BC337" s="7"/>
      <c r="BD337" s="7"/>
      <c r="BE337" s="7"/>
      <c r="BF337" s="7"/>
      <c r="BG337" s="236">
        <f t="shared" si="1598"/>
        <v>0</v>
      </c>
      <c r="BH337" s="7">
        <v>459.43999999999988</v>
      </c>
      <c r="BI337" s="39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236">
        <f t="shared" si="1617"/>
        <v>0</v>
      </c>
      <c r="BW337" s="7">
        <v>459.43999999999988</v>
      </c>
      <c r="BX337" s="39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236">
        <f t="shared" si="1618"/>
        <v>0</v>
      </c>
      <c r="CL337" s="7">
        <v>459.43999999999988</v>
      </c>
      <c r="CM337" s="39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236">
        <f t="shared" si="1619"/>
        <v>0</v>
      </c>
    </row>
    <row r="338" spans="1:104" x14ac:dyDescent="0.2">
      <c r="A338" s="6" t="str">
        <f>'[1]2021 УГРЦТ'!A341</f>
        <v>Передвижная КТП</v>
      </c>
      <c r="B338" t="str">
        <f>'[1]2021 УГРЦТ'!B341</f>
        <v>000001641</v>
      </c>
      <c r="C338" t="str">
        <f>'[1]2021 УГРЦТ'!C341</f>
        <v>ПЕРЕДАЧА</v>
      </c>
      <c r="D338" t="str">
        <f>'[1]2021 УГРЦТ'!D341</f>
        <v>Другие виды основных средств</v>
      </c>
      <c r="E338" t="str">
        <f>'[1]2021 УГРЦТ'!E341</f>
        <v>12.11.2014</v>
      </c>
      <c r="F338" t="str">
        <f>'[1]2021 УГРЦТ'!F341</f>
        <v>Цех электрических сетей</v>
      </c>
      <c r="G338">
        <f>'[1]2021 УГРЦТ'!AC341</f>
        <v>211</v>
      </c>
      <c r="H338" s="7">
        <f>'[1]2021 УГРЦТ'!X341</f>
        <v>91853.91</v>
      </c>
      <c r="I338" s="7">
        <f>'[1]2021 УГРЦТ'!Y341</f>
        <v>37003.0090521327</v>
      </c>
      <c r="J338" s="7">
        <f>'[1]2021 УГРЦТ'!Z341</f>
        <v>54850.900947867303</v>
      </c>
      <c r="K338" s="8">
        <v>0</v>
      </c>
      <c r="L338" s="7">
        <v>435.33</v>
      </c>
      <c r="M338" s="7"/>
      <c r="N338" s="7">
        <f t="shared" si="1492"/>
        <v>5223.96</v>
      </c>
      <c r="O338" s="7">
        <f t="shared" si="1612"/>
        <v>54415.570947867302</v>
      </c>
      <c r="P338" s="7">
        <f t="shared" si="1620"/>
        <v>53980.2409478673</v>
      </c>
      <c r="Q338" s="7">
        <f t="shared" si="1620"/>
        <v>53544.910947867298</v>
      </c>
      <c r="R338" s="7">
        <f t="shared" si="1620"/>
        <v>53109.580947867296</v>
      </c>
      <c r="S338" s="7">
        <f t="shared" si="1620"/>
        <v>52674.250947867295</v>
      </c>
      <c r="T338" s="7">
        <f t="shared" si="1620"/>
        <v>52238.920947867293</v>
      </c>
      <c r="U338" s="7">
        <f t="shared" si="1620"/>
        <v>51803.590947867291</v>
      </c>
      <c r="V338" s="7">
        <f t="shared" si="1620"/>
        <v>51368.260947867289</v>
      </c>
      <c r="W338" s="7">
        <f t="shared" si="1620"/>
        <v>50932.930947867288</v>
      </c>
      <c r="X338" s="7">
        <f t="shared" si="1620"/>
        <v>50497.600947867286</v>
      </c>
      <c r="Y338" s="7">
        <f t="shared" si="1620"/>
        <v>50062.270947867284</v>
      </c>
      <c r="Z338" s="7">
        <f t="shared" si="1620"/>
        <v>49626.940947867282</v>
      </c>
      <c r="AA338" s="7"/>
      <c r="AB338" s="7"/>
      <c r="AC338" s="7">
        <f t="shared" si="1613"/>
        <v>5223.96</v>
      </c>
      <c r="AD338" s="7">
        <f t="shared" si="1614"/>
        <v>49191.610947867281</v>
      </c>
      <c r="AE338" s="7">
        <f t="shared" si="1621"/>
        <v>48756.280947867279</v>
      </c>
      <c r="AF338" s="7">
        <f t="shared" si="1621"/>
        <v>48320.950947867277</v>
      </c>
      <c r="AG338" s="7">
        <f t="shared" si="1621"/>
        <v>47885.620947867275</v>
      </c>
      <c r="AH338" s="7">
        <f t="shared" si="1621"/>
        <v>47450.290947867274</v>
      </c>
      <c r="AI338" s="7">
        <f t="shared" si="1621"/>
        <v>47014.960947867272</v>
      </c>
      <c r="AJ338" s="7">
        <f t="shared" si="1621"/>
        <v>46579.63094786727</v>
      </c>
      <c r="AK338" s="7">
        <f t="shared" si="1621"/>
        <v>46144.300947867268</v>
      </c>
      <c r="AL338" s="7">
        <f t="shared" si="1621"/>
        <v>45708.970947867267</v>
      </c>
      <c r="AM338" s="7">
        <f t="shared" si="1621"/>
        <v>45273.640947867265</v>
      </c>
      <c r="AN338" s="7">
        <f t="shared" si="1621"/>
        <v>44838.310947867263</v>
      </c>
      <c r="AO338" s="7">
        <f t="shared" si="1621"/>
        <v>44402.980947867261</v>
      </c>
      <c r="AP338" s="222"/>
      <c r="AQ338" s="7">
        <v>435.33</v>
      </c>
      <c r="AR338" s="7">
        <f t="shared" si="1615"/>
        <v>435.33000000000175</v>
      </c>
      <c r="AS338" s="7">
        <f t="shared" si="1616"/>
        <v>1.7621459846850485E-12</v>
      </c>
      <c r="AT338" s="7">
        <f t="shared" ref="AT338" si="1623">L338*12</f>
        <v>5223.96</v>
      </c>
      <c r="AU338" s="7">
        <f>AO338-$L338</f>
        <v>43967.65094786726</v>
      </c>
      <c r="AV338" s="7">
        <f t="shared" si="1622"/>
        <v>43532.320947867258</v>
      </c>
      <c r="AW338" s="7">
        <f t="shared" si="1622"/>
        <v>43096.990947867256</v>
      </c>
      <c r="AX338" s="7">
        <f t="shared" si="1622"/>
        <v>42661.660947867254</v>
      </c>
      <c r="AY338" s="7">
        <f t="shared" si="1622"/>
        <v>42226.330947867253</v>
      </c>
      <c r="AZ338" s="7">
        <f t="shared" si="1622"/>
        <v>41791.000947867251</v>
      </c>
      <c r="BA338" s="7">
        <f t="shared" si="1622"/>
        <v>41355.670947867249</v>
      </c>
      <c r="BB338" s="7">
        <f t="shared" si="1622"/>
        <v>40920.340947867247</v>
      </c>
      <c r="BC338" s="7">
        <f t="shared" si="1622"/>
        <v>40485.010947867246</v>
      </c>
      <c r="BD338" s="7">
        <f t="shared" si="1622"/>
        <v>40049.680947867244</v>
      </c>
      <c r="BE338" s="7">
        <f t="shared" si="1622"/>
        <v>39614.350947867242</v>
      </c>
      <c r="BF338" s="7">
        <f t="shared" si="1622"/>
        <v>39179.02094786724</v>
      </c>
      <c r="BG338" s="236">
        <f t="shared" si="1598"/>
        <v>0</v>
      </c>
      <c r="BH338" s="7">
        <v>435.33</v>
      </c>
      <c r="BI338" s="39">
        <f>BH338*12</f>
        <v>5223.96</v>
      </c>
      <c r="BJ338" s="7">
        <f>BF338-BH338</f>
        <v>38743.690947867239</v>
      </c>
      <c r="BK338" s="7">
        <f t="shared" ref="BK338" si="1624">BJ338-$L338</f>
        <v>38308.360947867237</v>
      </c>
      <c r="BL338" s="7">
        <f t="shared" ref="BL338" si="1625">BK338-$L338</f>
        <v>37873.030947867235</v>
      </c>
      <c r="BM338" s="7">
        <f t="shared" ref="BM338" si="1626">BL338-$L338</f>
        <v>37437.700947867233</v>
      </c>
      <c r="BN338" s="7">
        <f t="shared" ref="BN338" si="1627">BM338-$L338</f>
        <v>37002.370947867232</v>
      </c>
      <c r="BO338" s="7">
        <f t="shared" ref="BO338" si="1628">BN338-$L338</f>
        <v>36567.04094786723</v>
      </c>
      <c r="BP338" s="7">
        <f t="shared" ref="BP338" si="1629">BO338-$L338</f>
        <v>36131.710947867228</v>
      </c>
      <c r="BQ338" s="7">
        <f t="shared" ref="BQ338" si="1630">BP338-$L338</f>
        <v>35696.380947867226</v>
      </c>
      <c r="BR338" s="7">
        <f t="shared" ref="BR338" si="1631">BQ338-$L338</f>
        <v>35261.050947867225</v>
      </c>
      <c r="BS338" s="7">
        <f t="shared" ref="BS338" si="1632">BR338-$L338</f>
        <v>34825.720947867223</v>
      </c>
      <c r="BT338" s="7">
        <f t="shared" ref="BT338" si="1633">BS338-$L338</f>
        <v>34390.390947867221</v>
      </c>
      <c r="BU338" s="7">
        <f t="shared" ref="BU338" si="1634">BT338-$L338</f>
        <v>33955.06094786722</v>
      </c>
      <c r="BV338" s="236">
        <v>0</v>
      </c>
      <c r="BW338" s="7">
        <v>435.33</v>
      </c>
      <c r="BX338" s="39">
        <f>BW338*12</f>
        <v>5223.96</v>
      </c>
      <c r="BY338" s="7">
        <f>BU338-BW338</f>
        <v>33519.730947867218</v>
      </c>
      <c r="BZ338" s="7">
        <f t="shared" ref="BZ338" si="1635">BY338-$L338</f>
        <v>33084.400947867216</v>
      </c>
      <c r="CA338" s="7">
        <f t="shared" ref="CA338" si="1636">BZ338-$L338</f>
        <v>32649.070947867214</v>
      </c>
      <c r="CB338" s="7">
        <f t="shared" ref="CB338" si="1637">CA338-$L338</f>
        <v>32213.740947867213</v>
      </c>
      <c r="CC338" s="7">
        <f t="shared" ref="CC338" si="1638">CB338-$L338</f>
        <v>31778.410947867211</v>
      </c>
      <c r="CD338" s="7">
        <f t="shared" ref="CD338" si="1639">CC338-$L338</f>
        <v>31343.080947867209</v>
      </c>
      <c r="CE338" s="7">
        <f t="shared" ref="CE338" si="1640">CD338-$L338</f>
        <v>30907.750947867207</v>
      </c>
      <c r="CF338" s="7">
        <f t="shared" ref="CF338" si="1641">CE338-$L338</f>
        <v>30472.420947867206</v>
      </c>
      <c r="CG338" s="7">
        <f t="shared" ref="CG338" si="1642">CF338-$L338</f>
        <v>30037.090947867204</v>
      </c>
      <c r="CH338" s="7">
        <f t="shared" ref="CH338" si="1643">CG338-$L338</f>
        <v>29601.760947867202</v>
      </c>
      <c r="CI338" s="7">
        <f t="shared" ref="CI338" si="1644">CH338-$L338</f>
        <v>29166.4309478672</v>
      </c>
      <c r="CJ338" s="7">
        <f t="shared" ref="CJ338" si="1645">CI338-$L338</f>
        <v>28731.100947867199</v>
      </c>
      <c r="CK338" s="236">
        <v>0</v>
      </c>
      <c r="CL338" s="7">
        <v>435.33</v>
      </c>
      <c r="CM338" s="39">
        <f>CL338*12</f>
        <v>5223.96</v>
      </c>
      <c r="CN338" s="7">
        <f>CJ338-CL338</f>
        <v>28295.770947867197</v>
      </c>
      <c r="CO338" s="7">
        <f t="shared" ref="CO338" si="1646">CN338-$L338</f>
        <v>27860.440947867195</v>
      </c>
      <c r="CP338" s="7">
        <f t="shared" ref="CP338" si="1647">CO338-$L338</f>
        <v>27425.110947867193</v>
      </c>
      <c r="CQ338" s="7">
        <f t="shared" ref="CQ338" si="1648">CP338-$L338</f>
        <v>26989.780947867192</v>
      </c>
      <c r="CR338" s="7">
        <f t="shared" ref="CR338" si="1649">CQ338-$L338</f>
        <v>26554.45094786719</v>
      </c>
      <c r="CS338" s="7">
        <f t="shared" ref="CS338" si="1650">CR338-$L338</f>
        <v>26119.120947867188</v>
      </c>
      <c r="CT338" s="7">
        <f t="shared" ref="CT338" si="1651">CS338-$L338</f>
        <v>25683.790947867186</v>
      </c>
      <c r="CU338" s="7">
        <f t="shared" ref="CU338" si="1652">CT338-$L338</f>
        <v>25248.460947867185</v>
      </c>
      <c r="CV338" s="7">
        <f t="shared" ref="CV338" si="1653">CU338-$L338</f>
        <v>24813.130947867183</v>
      </c>
      <c r="CW338" s="7">
        <f t="shared" ref="CW338" si="1654">CV338-$L338</f>
        <v>24377.800947867181</v>
      </c>
      <c r="CX338" s="7">
        <f t="shared" ref="CX338" si="1655">CW338-$L338</f>
        <v>23942.470947867179</v>
      </c>
      <c r="CY338" s="7">
        <f t="shared" ref="CY338" si="1656">CX338-$L338</f>
        <v>23507.140947867178</v>
      </c>
      <c r="CZ338" s="236">
        <v>0</v>
      </c>
    </row>
    <row r="339" spans="1:104" x14ac:dyDescent="0.2">
      <c r="A339" s="6" t="str">
        <f>'[1]2021 УГРЦТ'!A342</f>
        <v>Перфоратор Makita HR5202C</v>
      </c>
      <c r="B339" t="str">
        <f>'[1]2021 УГРЦТ'!B342</f>
        <v>000001807</v>
      </c>
      <c r="C339" t="str">
        <f>'[1]2021 УГРЦТ'!C342</f>
        <v>ПЕРЕДАЧА</v>
      </c>
      <c r="D339" t="str">
        <f>'[1]2021 УГРЦТ'!D342</f>
        <v>Машины и оборудование (кроме офисного)</v>
      </c>
      <c r="E339" t="str">
        <f>'[1]2021 УГРЦТ'!E342</f>
        <v>16.04.2020</v>
      </c>
      <c r="F339" t="str">
        <f>'[1]2021 УГРЦТ'!F342</f>
        <v>общепроизводственные расходы</v>
      </c>
      <c r="G339">
        <f>'[1]2021 УГРЦТ'!AC342</f>
        <v>24</v>
      </c>
      <c r="H339" s="7">
        <f>'[1]2021 УГРЦТ'!X342</f>
        <v>43604.17</v>
      </c>
      <c r="I339" s="7">
        <f>'[1]2021 УГРЦТ'!Y342</f>
        <v>1816.8404166666667</v>
      </c>
      <c r="J339" s="7">
        <f>'[1]2021 УГРЦТ'!Z342</f>
        <v>7267.3650000000052</v>
      </c>
      <c r="K339" s="8">
        <v>0</v>
      </c>
      <c r="L339" s="7">
        <v>3633.68</v>
      </c>
      <c r="M339" s="7"/>
      <c r="N339" s="7">
        <f>L339*2+0.01</f>
        <v>7267.37</v>
      </c>
      <c r="O339" s="7">
        <f t="shared" si="1612"/>
        <v>3633.6850000000054</v>
      </c>
      <c r="P339" s="7">
        <f t="shared" si="1620"/>
        <v>5.0000000055661076E-3</v>
      </c>
      <c r="Q339" s="7">
        <f>P339-0.01</f>
        <v>-4.9999999944338926E-3</v>
      </c>
      <c r="R339" s="7">
        <f>Q339-$L339*0</f>
        <v>-4.9999999944338926E-3</v>
      </c>
      <c r="S339" s="7">
        <f t="shared" ref="S339:Z339" si="1657">R339-$L339*0</f>
        <v>-4.9999999944338926E-3</v>
      </c>
      <c r="T339" s="7">
        <f t="shared" si="1657"/>
        <v>-4.9999999944338926E-3</v>
      </c>
      <c r="U339" s="7">
        <f t="shared" si="1657"/>
        <v>-4.9999999944338926E-3</v>
      </c>
      <c r="V339" s="7">
        <f t="shared" si="1657"/>
        <v>-4.9999999944338926E-3</v>
      </c>
      <c r="W339" s="7">
        <f t="shared" si="1657"/>
        <v>-4.9999999944338926E-3</v>
      </c>
      <c r="X339" s="7">
        <f t="shared" si="1657"/>
        <v>-4.9999999944338926E-3</v>
      </c>
      <c r="Y339" s="7">
        <f t="shared" si="1657"/>
        <v>-4.9999999944338926E-3</v>
      </c>
      <c r="Z339" s="7">
        <f t="shared" si="1657"/>
        <v>-4.9999999944338926E-3</v>
      </c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222"/>
      <c r="AQ339" s="7">
        <v>0</v>
      </c>
      <c r="AR339" s="7">
        <f t="shared" si="1615"/>
        <v>0</v>
      </c>
      <c r="AS339" s="7">
        <f t="shared" si="1616"/>
        <v>0</v>
      </c>
      <c r="BG339" s="236">
        <f t="shared" si="1598"/>
        <v>0</v>
      </c>
      <c r="BH339" s="7">
        <v>0</v>
      </c>
      <c r="BV339" s="236">
        <f>IF(Z339&lt;1,0,SUM(BJ339:BU339,BF339)/13*$BG$1)</f>
        <v>0</v>
      </c>
      <c r="BW339" s="7">
        <v>0</v>
      </c>
      <c r="CK339" s="236">
        <f t="shared" ref="CK339:CK347" si="1658">IF(AO339&lt;1,0,SUM(BY339:CJ339,BU339)/13*$BG$1)</f>
        <v>0</v>
      </c>
      <c r="CL339" s="7">
        <v>0</v>
      </c>
      <c r="CZ339" s="236">
        <f t="shared" ref="CZ339:CZ347" si="1659">IF(BF339&lt;1,0,SUM(CN339:CY339,CJ339)/13*$BG$1)</f>
        <v>0</v>
      </c>
    </row>
    <row r="340" spans="1:104" x14ac:dyDescent="0.2">
      <c r="A340" s="6" t="str">
        <f>'[1]2021 УГРЦТ'!A343</f>
        <v>Подстанция КТПКп-400 №2273 ( ТП № 2  2008г)</v>
      </c>
      <c r="B340" t="str">
        <f>'[1]2021 УГРЦТ'!B343</f>
        <v>00001063</v>
      </c>
      <c r="C340" t="str">
        <f>'[1]2021 УГРЦТ'!C343</f>
        <v>ПЕРЕДАЧА</v>
      </c>
      <c r="D340" t="str">
        <f>'[1]2021 УГРЦТ'!D343</f>
        <v>Сооружения</v>
      </c>
      <c r="E340" t="str">
        <f>'[1]2021 УГРЦТ'!E343</f>
        <v>31.10.2007</v>
      </c>
      <c r="F340" t="str">
        <f>'[1]2021 УГРЦТ'!F343</f>
        <v>Цех электрических сетей</v>
      </c>
      <c r="G340">
        <f>'[1]2021 УГРЦТ'!AC343</f>
        <v>180</v>
      </c>
      <c r="H340" s="7">
        <f>'[1]2021 УГРЦТ'!X343</f>
        <v>329828.57</v>
      </c>
      <c r="I340" s="7">
        <f>'[1]2021 УГРЦТ'!Y343</f>
        <v>311189.88</v>
      </c>
      <c r="J340" s="7">
        <f>'[1]2021 УГРЦТ'!Z343</f>
        <v>18638.690000000002</v>
      </c>
      <c r="K340" s="8">
        <v>1</v>
      </c>
      <c r="L340" s="7">
        <v>1863.8600000000004</v>
      </c>
      <c r="M340" s="7"/>
      <c r="N340" s="7">
        <f>L340*10+0.09</f>
        <v>18638.690000000002</v>
      </c>
      <c r="O340" s="7">
        <f t="shared" si="1612"/>
        <v>16774.830000000002</v>
      </c>
      <c r="P340" s="7">
        <f t="shared" si="1620"/>
        <v>14910.970000000001</v>
      </c>
      <c r="Q340" s="7">
        <f t="shared" si="1620"/>
        <v>13047.11</v>
      </c>
      <c r="R340" s="7">
        <f t="shared" si="1620"/>
        <v>11183.25</v>
      </c>
      <c r="S340" s="7">
        <f t="shared" si="1620"/>
        <v>9319.39</v>
      </c>
      <c r="T340" s="7">
        <f t="shared" si="1620"/>
        <v>7455.5299999999988</v>
      </c>
      <c r="U340" s="7">
        <f t="shared" si="1620"/>
        <v>5591.6699999999983</v>
      </c>
      <c r="V340" s="7">
        <f t="shared" si="1620"/>
        <v>3727.8099999999977</v>
      </c>
      <c r="W340" s="7">
        <f t="shared" si="1620"/>
        <v>1863.9499999999973</v>
      </c>
      <c r="X340" s="7">
        <f t="shared" si="1620"/>
        <v>8.9999999996962288E-2</v>
      </c>
      <c r="Y340" s="7">
        <f>X340-0.09</f>
        <v>-3.0377089732525064E-12</v>
      </c>
      <c r="Z340" s="7">
        <f>Y340-$L340*0</f>
        <v>-3.0377089732525064E-12</v>
      </c>
      <c r="AA340" s="7">
        <f t="shared" ref="AA340:AA343" si="1660">SUM(O340:Z340,J340)/13*$AA$1</f>
        <v>173.48402923076921</v>
      </c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222"/>
      <c r="AQ340" s="7">
        <v>0</v>
      </c>
      <c r="AR340" s="7">
        <f t="shared" si="1615"/>
        <v>0</v>
      </c>
      <c r="AS340" s="7">
        <f t="shared" si="1616"/>
        <v>0</v>
      </c>
      <c r="BG340" s="236">
        <f t="shared" si="1598"/>
        <v>0</v>
      </c>
      <c r="BH340" s="7">
        <v>0</v>
      </c>
      <c r="BV340" s="236">
        <f>IF(Z340&lt;1,0,SUM(BJ340:BU340,BF340)/13*$BG$1)</f>
        <v>0</v>
      </c>
      <c r="BW340" s="7">
        <v>0</v>
      </c>
      <c r="CK340" s="236">
        <f t="shared" si="1658"/>
        <v>0</v>
      </c>
      <c r="CL340" s="7">
        <v>0</v>
      </c>
      <c r="CZ340" s="236">
        <f t="shared" si="1659"/>
        <v>0</v>
      </c>
    </row>
    <row r="341" spans="1:104" x14ac:dyDescent="0.2">
      <c r="A341" s="6" t="str">
        <f>'[1]2021 УГРЦТ'!A344</f>
        <v>Подстанция КТПКп-400 №2275 (ТП № 65 с 18.08.09г)</v>
      </c>
      <c r="B341" t="str">
        <f>'[1]2021 УГРЦТ'!B344</f>
        <v>00001044</v>
      </c>
      <c r="C341" t="str">
        <f>'[1]2021 УГРЦТ'!C344</f>
        <v>ПЕРЕДАЧА</v>
      </c>
      <c r="D341" t="str">
        <f>'[1]2021 УГРЦТ'!D344</f>
        <v>Сооружения</v>
      </c>
      <c r="E341" t="str">
        <f>'[1]2021 УГРЦТ'!E344</f>
        <v>31.10.2007</v>
      </c>
      <c r="F341" t="str">
        <f>'[1]2021 УГРЦТ'!F344</f>
        <v>Цех электрических сетей</v>
      </c>
      <c r="G341">
        <f>'[1]2021 УГРЦТ'!AC344</f>
        <v>180</v>
      </c>
      <c r="H341" s="7">
        <f>'[1]2021 УГРЦТ'!X344</f>
        <v>251274.09</v>
      </c>
      <c r="I341" s="7">
        <f>'[1]2021 УГРЦТ'!Y344</f>
        <v>237314.86600000001</v>
      </c>
      <c r="J341" s="7">
        <f>'[1]2021 УГРЦТ'!Z344</f>
        <v>13959.223999999987</v>
      </c>
      <c r="K341" s="8">
        <v>1</v>
      </c>
      <c r="L341" s="7">
        <v>1395.9699999999996</v>
      </c>
      <c r="M341" s="7"/>
      <c r="N341" s="7">
        <f>L341*10-0.48</f>
        <v>13959.219999999996</v>
      </c>
      <c r="O341" s="7">
        <f t="shared" si="1612"/>
        <v>12563.253999999988</v>
      </c>
      <c r="P341" s="7">
        <f t="shared" si="1620"/>
        <v>11167.283999999989</v>
      </c>
      <c r="Q341" s="7">
        <f t="shared" si="1620"/>
        <v>9771.3139999999894</v>
      </c>
      <c r="R341" s="7">
        <f t="shared" si="1620"/>
        <v>8375.34399999999</v>
      </c>
      <c r="S341" s="7">
        <f t="shared" si="1620"/>
        <v>6979.3739999999907</v>
      </c>
      <c r="T341" s="7">
        <f t="shared" si="1620"/>
        <v>5583.4039999999914</v>
      </c>
      <c r="U341" s="7">
        <f t="shared" si="1620"/>
        <v>4187.433999999992</v>
      </c>
      <c r="V341" s="7">
        <f t="shared" si="1620"/>
        <v>2791.4639999999927</v>
      </c>
      <c r="W341" s="7">
        <f t="shared" si="1620"/>
        <v>1395.4939999999931</v>
      </c>
      <c r="X341" s="7">
        <f>W341-$L341+0.48</f>
        <v>3.999999993520742E-3</v>
      </c>
      <c r="Y341" s="7">
        <f>X341-$L341*0</f>
        <v>3.999999993520742E-3</v>
      </c>
      <c r="Z341" s="7">
        <f>Y341-$L341*0</f>
        <v>3.999999993520742E-3</v>
      </c>
      <c r="AA341" s="7">
        <f t="shared" si="1660"/>
        <v>129.92455723076904</v>
      </c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222"/>
      <c r="AQ341" s="7">
        <v>1395.9699999999996</v>
      </c>
      <c r="AR341" s="7"/>
      <c r="AS341" s="7"/>
      <c r="BG341" s="236">
        <f t="shared" si="1598"/>
        <v>0</v>
      </c>
      <c r="BH341" s="7">
        <v>1395.9699999999996</v>
      </c>
      <c r="BV341" s="236">
        <f>IF(Z341&lt;1,0,SUM(BJ341:BU341,BF341)/13*$BG$1)</f>
        <v>0</v>
      </c>
      <c r="BW341" s="7">
        <v>1395.9699999999996</v>
      </c>
      <c r="CK341" s="236">
        <f t="shared" si="1658"/>
        <v>0</v>
      </c>
      <c r="CL341" s="7">
        <v>1395.9699999999996</v>
      </c>
      <c r="CZ341" s="236">
        <f t="shared" si="1659"/>
        <v>0</v>
      </c>
    </row>
    <row r="342" spans="1:104" x14ac:dyDescent="0.2">
      <c r="A342" s="6" t="str">
        <f>'[1]2021 УГРЦТ'!A345</f>
        <v>Подстанция трансформат. компл. КТП/ПК 630/6/0,4 кВ</v>
      </c>
      <c r="B342" t="str">
        <f>'[1]2021 УГРЦТ'!B345</f>
        <v>00001251</v>
      </c>
      <c r="C342" t="str">
        <f>'[1]2021 УГРЦТ'!C345</f>
        <v>ПЕРЕДАЧА</v>
      </c>
      <c r="D342" t="str">
        <f>'[1]2021 УГРЦТ'!D345</f>
        <v>Здания</v>
      </c>
      <c r="E342" t="str">
        <f>'[1]2021 УГРЦТ'!E345</f>
        <v>31.10.2010</v>
      </c>
      <c r="F342" t="str">
        <f>'[1]2021 УГРЦТ'!F345</f>
        <v>Цех электрических сетей</v>
      </c>
      <c r="G342">
        <f>'[1]2021 УГРЦТ'!AC345</f>
        <v>192</v>
      </c>
      <c r="H342" s="7">
        <f>'[1]2021 УГРЦТ'!X345</f>
        <v>865197.63</v>
      </c>
      <c r="I342" s="7">
        <f>'[1]2021 УГРЦТ'!Y345</f>
        <v>473372.36000000004</v>
      </c>
      <c r="J342" s="7">
        <f>'[1]2021 УГРЦТ'!Z345</f>
        <v>391825.26999999996</v>
      </c>
      <c r="K342" s="8">
        <v>1</v>
      </c>
      <c r="L342" s="7">
        <v>3696.4599999999996</v>
      </c>
      <c r="M342" s="7"/>
      <c r="N342" s="7">
        <f t="shared" si="1492"/>
        <v>44357.52</v>
      </c>
      <c r="O342" s="7">
        <f t="shared" si="1612"/>
        <v>388128.80999999994</v>
      </c>
      <c r="P342" s="7">
        <f t="shared" si="1620"/>
        <v>384432.34999999992</v>
      </c>
      <c r="Q342" s="7">
        <f t="shared" si="1620"/>
        <v>380735.8899999999</v>
      </c>
      <c r="R342" s="7">
        <f t="shared" si="1620"/>
        <v>377039.42999999988</v>
      </c>
      <c r="S342" s="7">
        <f t="shared" si="1620"/>
        <v>373342.96999999986</v>
      </c>
      <c r="T342" s="7">
        <f t="shared" si="1620"/>
        <v>369646.50999999983</v>
      </c>
      <c r="U342" s="7">
        <f t="shared" si="1620"/>
        <v>365950.04999999981</v>
      </c>
      <c r="V342" s="7">
        <f t="shared" si="1620"/>
        <v>362253.58999999979</v>
      </c>
      <c r="W342" s="7">
        <f t="shared" si="1620"/>
        <v>358557.12999999977</v>
      </c>
      <c r="X342" s="7">
        <f t="shared" si="1620"/>
        <v>354860.66999999975</v>
      </c>
      <c r="Y342" s="7">
        <f t="shared" si="1620"/>
        <v>351164.20999999973</v>
      </c>
      <c r="Z342" s="7">
        <f t="shared" si="1620"/>
        <v>347467.74999999971</v>
      </c>
      <c r="AA342" s="7">
        <f t="shared" si="1660"/>
        <v>8132.2232199999962</v>
      </c>
      <c r="AB342" s="7"/>
      <c r="AC342" s="7">
        <f t="shared" si="1613"/>
        <v>44357.52</v>
      </c>
      <c r="AD342" s="7">
        <f t="shared" si="1614"/>
        <v>343771.28999999969</v>
      </c>
      <c r="AE342" s="7">
        <f t="shared" ref="AE342:AO346" si="1661">AD342-$L342</f>
        <v>340074.82999999967</v>
      </c>
      <c r="AF342" s="7">
        <f t="shared" si="1661"/>
        <v>336378.36999999965</v>
      </c>
      <c r="AG342" s="7">
        <f t="shared" si="1661"/>
        <v>332681.90999999963</v>
      </c>
      <c r="AH342" s="7">
        <f t="shared" si="1661"/>
        <v>328985.4499999996</v>
      </c>
      <c r="AI342" s="7">
        <f t="shared" si="1661"/>
        <v>325288.98999999958</v>
      </c>
      <c r="AJ342" s="7">
        <f t="shared" si="1661"/>
        <v>321592.52999999956</v>
      </c>
      <c r="AK342" s="7">
        <f t="shared" si="1661"/>
        <v>317896.06999999954</v>
      </c>
      <c r="AL342" s="7">
        <f t="shared" si="1661"/>
        <v>314199.60999999952</v>
      </c>
      <c r="AM342" s="7">
        <f t="shared" si="1661"/>
        <v>310503.1499999995</v>
      </c>
      <c r="AN342" s="7">
        <f t="shared" si="1661"/>
        <v>306806.68999999948</v>
      </c>
      <c r="AO342" s="7">
        <f t="shared" si="1661"/>
        <v>303110.22999999946</v>
      </c>
      <c r="AP342" s="222">
        <f>IF(K342&lt;1,0,SUM(AD342:AO342,Z342)/13*$BG$1)</f>
        <v>7156.3577799999903</v>
      </c>
      <c r="AQ342" s="7">
        <v>3696.4599999999996</v>
      </c>
      <c r="AR342" s="7">
        <f t="shared" si="1615"/>
        <v>3696.460000000021</v>
      </c>
      <c r="AS342" s="7">
        <f t="shared" si="1616"/>
        <v>2.1373125491663814E-11</v>
      </c>
      <c r="AT342" s="7">
        <f>L342*12</f>
        <v>44357.52</v>
      </c>
      <c r="AU342" s="7">
        <f>AO342-$L342</f>
        <v>299413.76999999944</v>
      </c>
      <c r="AV342" s="7">
        <f>AU342-$L342</f>
        <v>295717.30999999942</v>
      </c>
      <c r="AW342" s="7">
        <f t="shared" ref="AW342:BF342" si="1662">AV342-$L342</f>
        <v>292020.84999999939</v>
      </c>
      <c r="AX342" s="7">
        <f t="shared" si="1662"/>
        <v>288324.38999999937</v>
      </c>
      <c r="AY342" s="7">
        <f t="shared" si="1662"/>
        <v>284627.92999999935</v>
      </c>
      <c r="AZ342" s="7">
        <f t="shared" si="1662"/>
        <v>280931.46999999933</v>
      </c>
      <c r="BA342" s="7">
        <f t="shared" si="1662"/>
        <v>277235.00999999931</v>
      </c>
      <c r="BB342" s="7">
        <f t="shared" si="1662"/>
        <v>273538.54999999929</v>
      </c>
      <c r="BC342" s="7">
        <f t="shared" si="1662"/>
        <v>269842.08999999927</v>
      </c>
      <c r="BD342" s="7">
        <f t="shared" si="1662"/>
        <v>266145.62999999925</v>
      </c>
      <c r="BE342" s="7">
        <f t="shared" si="1662"/>
        <v>262449.16999999923</v>
      </c>
      <c r="BF342" s="7">
        <f t="shared" si="1662"/>
        <v>258752.70999999924</v>
      </c>
      <c r="BG342" s="236">
        <f t="shared" si="1598"/>
        <v>6180.4923399999861</v>
      </c>
      <c r="BH342" s="7">
        <v>3696.4599999999996</v>
      </c>
      <c r="BI342" s="39">
        <f>BH342*12</f>
        <v>44357.52</v>
      </c>
      <c r="BJ342" s="7">
        <f>BF342-BH342</f>
        <v>255056.24999999924</v>
      </c>
      <c r="BK342" s="7">
        <f>BJ342-$L342</f>
        <v>251359.78999999925</v>
      </c>
      <c r="BL342" s="7">
        <f t="shared" ref="BL342" si="1663">BK342-$L342</f>
        <v>247663.32999999926</v>
      </c>
      <c r="BM342" s="7">
        <f t="shared" ref="BM342" si="1664">BL342-$L342</f>
        <v>243966.86999999927</v>
      </c>
      <c r="BN342" s="7">
        <f t="shared" ref="BN342" si="1665">BM342-$L342</f>
        <v>240270.40999999928</v>
      </c>
      <c r="BO342" s="7">
        <f t="shared" ref="BO342" si="1666">BN342-$L342</f>
        <v>236573.94999999928</v>
      </c>
      <c r="BP342" s="7">
        <f t="shared" ref="BP342" si="1667">BO342-$L342</f>
        <v>232877.48999999929</v>
      </c>
      <c r="BQ342" s="7">
        <f t="shared" ref="BQ342" si="1668">BP342-$L342</f>
        <v>229181.0299999993</v>
      </c>
      <c r="BR342" s="7">
        <f t="shared" ref="BR342" si="1669">BQ342-$L342</f>
        <v>225484.56999999931</v>
      </c>
      <c r="BS342" s="7">
        <f t="shared" ref="BS342" si="1670">BR342-$L342</f>
        <v>221788.10999999932</v>
      </c>
      <c r="BT342" s="7">
        <f t="shared" ref="BT342" si="1671">BS342-$L342</f>
        <v>218091.64999999932</v>
      </c>
      <c r="BU342" s="7">
        <f t="shared" ref="BU342" si="1672">BT342-$L342</f>
        <v>214395.18999999933</v>
      </c>
      <c r="BV342" s="236">
        <f>IF(Z342&lt;1,0,SUM(BJ342:BU342,BF342)/13*$BG$1)</f>
        <v>5204.6268999999838</v>
      </c>
      <c r="BW342" s="7">
        <v>3696.4599999999996</v>
      </c>
      <c r="BX342" s="39">
        <f>BW342*12</f>
        <v>44357.52</v>
      </c>
      <c r="BY342" s="7">
        <f>BU342-BW342</f>
        <v>210698.72999999934</v>
      </c>
      <c r="BZ342" s="7">
        <f>BY342-$L342</f>
        <v>207002.26999999935</v>
      </c>
      <c r="CA342" s="7">
        <f t="shared" ref="CA342" si="1673">BZ342-$L342</f>
        <v>203305.80999999936</v>
      </c>
      <c r="CB342" s="7">
        <f t="shared" ref="CB342" si="1674">CA342-$L342</f>
        <v>199609.34999999937</v>
      </c>
      <c r="CC342" s="7">
        <f t="shared" ref="CC342" si="1675">CB342-$L342</f>
        <v>195912.88999999937</v>
      </c>
      <c r="CD342" s="7">
        <f t="shared" ref="CD342" si="1676">CC342-$L342</f>
        <v>192216.42999999938</v>
      </c>
      <c r="CE342" s="7">
        <f t="shared" ref="CE342" si="1677">CD342-$L342</f>
        <v>188519.96999999939</v>
      </c>
      <c r="CF342" s="7">
        <f t="shared" ref="CF342" si="1678">CE342-$L342</f>
        <v>184823.5099999994</v>
      </c>
      <c r="CG342" s="7">
        <f t="shared" ref="CG342" si="1679">CF342-$L342</f>
        <v>181127.04999999941</v>
      </c>
      <c r="CH342" s="7">
        <f t="shared" ref="CH342" si="1680">CG342-$L342</f>
        <v>177430.58999999941</v>
      </c>
      <c r="CI342" s="7">
        <f t="shared" ref="CI342" si="1681">CH342-$L342</f>
        <v>173734.12999999942</v>
      </c>
      <c r="CJ342" s="7">
        <f t="shared" ref="CJ342" si="1682">CI342-$L342</f>
        <v>170037.66999999943</v>
      </c>
      <c r="CK342" s="236">
        <f t="shared" si="1658"/>
        <v>4228.7614599999861</v>
      </c>
      <c r="CL342" s="7">
        <v>3696.4599999999996</v>
      </c>
      <c r="CM342" s="39">
        <f>CL342*12</f>
        <v>44357.52</v>
      </c>
      <c r="CN342" s="7">
        <f>CJ342-CL342</f>
        <v>166341.20999999944</v>
      </c>
      <c r="CO342" s="7">
        <f>CN342-$L342</f>
        <v>162644.74999999945</v>
      </c>
      <c r="CP342" s="7">
        <f t="shared" ref="CP342" si="1683">CO342-$L342</f>
        <v>158948.28999999946</v>
      </c>
      <c r="CQ342" s="7">
        <f t="shared" ref="CQ342" si="1684">CP342-$L342</f>
        <v>155251.82999999946</v>
      </c>
      <c r="CR342" s="7">
        <f t="shared" ref="CR342" si="1685">CQ342-$L342</f>
        <v>151555.36999999947</v>
      </c>
      <c r="CS342" s="7">
        <f t="shared" ref="CS342" si="1686">CR342-$L342</f>
        <v>147858.90999999948</v>
      </c>
      <c r="CT342" s="7">
        <f t="shared" ref="CT342" si="1687">CS342-$L342</f>
        <v>144162.44999999949</v>
      </c>
      <c r="CU342" s="7">
        <f t="shared" ref="CU342" si="1688">CT342-$L342</f>
        <v>140465.9899999995</v>
      </c>
      <c r="CV342" s="7">
        <f t="shared" ref="CV342" si="1689">CU342-$L342</f>
        <v>136769.5299999995</v>
      </c>
      <c r="CW342" s="7">
        <f t="shared" ref="CW342" si="1690">CV342-$L342</f>
        <v>133073.06999999951</v>
      </c>
      <c r="CX342" s="7">
        <f t="shared" ref="CX342" si="1691">CW342-$L342</f>
        <v>129376.60999999951</v>
      </c>
      <c r="CY342" s="7">
        <f t="shared" ref="CY342" si="1692">CX342-$L342</f>
        <v>125680.1499999995</v>
      </c>
      <c r="CZ342" s="236">
        <f t="shared" si="1659"/>
        <v>3252.8960199999883</v>
      </c>
    </row>
    <row r="343" spans="1:104" x14ac:dyDescent="0.2">
      <c r="A343" s="6" t="str">
        <f>'[1]2021 УГРЦТ'!A346</f>
        <v>Пристройка к гаражу 2001г</v>
      </c>
      <c r="B343" t="str">
        <f>'[1]2021 УГРЦТ'!B346</f>
        <v>00000345</v>
      </c>
      <c r="C343" t="str">
        <f>'[1]2021 УГРЦТ'!C346</f>
        <v>ПЕРЕДАЧА</v>
      </c>
      <c r="D343" t="str">
        <f>'[1]2021 УГРЦТ'!D346</f>
        <v>Здания</v>
      </c>
      <c r="E343" t="str">
        <f>'[1]2021 УГРЦТ'!E346</f>
        <v>29.12.2001</v>
      </c>
      <c r="F343" t="str">
        <f>'[1]2021 УГРЦТ'!F346</f>
        <v>Автотранспортный цех</v>
      </c>
      <c r="G343">
        <f>'[1]2021 УГРЦТ'!AC346</f>
        <v>240</v>
      </c>
      <c r="H343" s="7">
        <f>'[1]2021 УГРЦТ'!X346</f>
        <v>293225.45</v>
      </c>
      <c r="I343" s="7">
        <f>'[1]2021 УГРЦТ'!Y346</f>
        <v>293225.45</v>
      </c>
      <c r="J343" s="7">
        <f>'[1]2021 УГРЦТ'!Z346</f>
        <v>0</v>
      </c>
      <c r="K343" s="8">
        <v>1</v>
      </c>
      <c r="L343" s="7">
        <v>0</v>
      </c>
      <c r="M343" s="7"/>
      <c r="N343" s="7">
        <f t="shared" si="1492"/>
        <v>0</v>
      </c>
      <c r="O343" s="7">
        <f t="shared" si="1612"/>
        <v>0</v>
      </c>
      <c r="P343" s="7">
        <f t="shared" ref="P343:Z358" si="1693">O343-$L343</f>
        <v>0</v>
      </c>
      <c r="Q343" s="7">
        <f t="shared" si="1693"/>
        <v>0</v>
      </c>
      <c r="R343" s="7">
        <f t="shared" si="1693"/>
        <v>0</v>
      </c>
      <c r="S343" s="7">
        <f t="shared" si="1693"/>
        <v>0</v>
      </c>
      <c r="T343" s="7">
        <f t="shared" si="1693"/>
        <v>0</v>
      </c>
      <c r="U343" s="7">
        <f t="shared" si="1693"/>
        <v>0</v>
      </c>
      <c r="V343" s="7">
        <f t="shared" si="1693"/>
        <v>0</v>
      </c>
      <c r="W343" s="7">
        <f t="shared" si="1693"/>
        <v>0</v>
      </c>
      <c r="X343" s="7">
        <f t="shared" si="1693"/>
        <v>0</v>
      </c>
      <c r="Y343" s="7">
        <f t="shared" si="1693"/>
        <v>0</v>
      </c>
      <c r="Z343" s="7">
        <f t="shared" si="1693"/>
        <v>0</v>
      </c>
      <c r="AA343" s="7">
        <f t="shared" si="1660"/>
        <v>0</v>
      </c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222"/>
      <c r="AQ343" s="7">
        <v>0</v>
      </c>
      <c r="AR343" s="7">
        <f t="shared" si="1615"/>
        <v>0</v>
      </c>
      <c r="AS343" s="7">
        <f t="shared" si="1616"/>
        <v>0</v>
      </c>
      <c r="BG343" s="236">
        <f t="shared" si="1598"/>
        <v>0</v>
      </c>
      <c r="BH343" s="7">
        <v>0</v>
      </c>
      <c r="BV343" s="236">
        <f>IF(Z343&lt;1,0,SUM(BJ343:BU343,BF343)/13*$BG$1)</f>
        <v>0</v>
      </c>
      <c r="BW343" s="7">
        <v>0</v>
      </c>
      <c r="CK343" s="236">
        <f t="shared" si="1658"/>
        <v>0</v>
      </c>
      <c r="CL343" s="7">
        <v>0</v>
      </c>
      <c r="CZ343" s="236">
        <f t="shared" si="1659"/>
        <v>0</v>
      </c>
    </row>
    <row r="344" spans="1:104" x14ac:dyDescent="0.2">
      <c r="A344" s="6" t="str">
        <f>'[1]2021 УГРЦТ'!A347</f>
        <v>Прицеп-роспуск лесовозный 4667В2  2015г.</v>
      </c>
      <c r="B344" t="str">
        <f>'[1]2021 УГРЦТ'!B347</f>
        <v>000001657</v>
      </c>
      <c r="C344" t="str">
        <f>'[1]2021 УГРЦТ'!C347</f>
        <v>ПЕРЕДАЧА</v>
      </c>
      <c r="D344" t="str">
        <f>'[1]2021 УГРЦТ'!D347</f>
        <v>Транспортные средства</v>
      </c>
      <c r="E344" t="str">
        <f>'[1]2021 УГРЦТ'!E347</f>
        <v>30.06.2015</v>
      </c>
      <c r="F344" t="str">
        <f>'[1]2021 УГРЦТ'!F347</f>
        <v>Автотранспортный цех</v>
      </c>
      <c r="G344">
        <f>'[1]2021 УГРЦТ'!AC347</f>
        <v>120</v>
      </c>
      <c r="H344" s="7">
        <f>'[1]2021 УГРЦТ'!X347</f>
        <v>398305.08</v>
      </c>
      <c r="I344" s="7">
        <f>'[1]2021 УГРЦТ'!Y347</f>
        <v>258898.36799999999</v>
      </c>
      <c r="J344" s="7">
        <f>'[1]2021 УГРЦТ'!Z347</f>
        <v>139406.71200000003</v>
      </c>
      <c r="K344" s="8">
        <v>0</v>
      </c>
      <c r="L344" s="7">
        <v>3319.2099999999996</v>
      </c>
      <c r="M344" s="7"/>
      <c r="N344" s="7">
        <f t="shared" si="1492"/>
        <v>39830.519999999997</v>
      </c>
      <c r="O344" s="7">
        <f t="shared" si="1612"/>
        <v>136087.50200000004</v>
      </c>
      <c r="P344" s="7">
        <f t="shared" si="1693"/>
        <v>132768.29200000004</v>
      </c>
      <c r="Q344" s="7">
        <f t="shared" si="1693"/>
        <v>129449.08200000004</v>
      </c>
      <c r="R344" s="7">
        <f t="shared" si="1693"/>
        <v>126129.87200000003</v>
      </c>
      <c r="S344" s="7">
        <f t="shared" si="1693"/>
        <v>122810.66200000003</v>
      </c>
      <c r="T344" s="7">
        <f t="shared" si="1693"/>
        <v>119491.45200000002</v>
      </c>
      <c r="U344" s="7">
        <f t="shared" si="1693"/>
        <v>116172.24200000001</v>
      </c>
      <c r="V344" s="7">
        <f t="shared" si="1693"/>
        <v>112853.03200000001</v>
      </c>
      <c r="W344" s="7">
        <f t="shared" si="1693"/>
        <v>109533.822</v>
      </c>
      <c r="X344" s="7">
        <f t="shared" si="1693"/>
        <v>106214.61199999999</v>
      </c>
      <c r="Y344" s="7">
        <f t="shared" si="1693"/>
        <v>102895.40199999999</v>
      </c>
      <c r="Z344" s="7">
        <f t="shared" si="1693"/>
        <v>99576.191999999981</v>
      </c>
      <c r="AA344" s="7"/>
      <c r="AB344" s="7"/>
      <c r="AC344" s="7">
        <f t="shared" si="1613"/>
        <v>39830.519999999997</v>
      </c>
      <c r="AD344" s="7">
        <f t="shared" si="1614"/>
        <v>96256.981999999975</v>
      </c>
      <c r="AE344" s="7">
        <f t="shared" si="1661"/>
        <v>92937.771999999968</v>
      </c>
      <c r="AF344" s="7">
        <f t="shared" si="1661"/>
        <v>89618.561999999962</v>
      </c>
      <c r="AG344" s="7">
        <f t="shared" si="1661"/>
        <v>86299.351999999955</v>
      </c>
      <c r="AH344" s="7">
        <f t="shared" si="1661"/>
        <v>82980.141999999949</v>
      </c>
      <c r="AI344" s="7">
        <f t="shared" si="1661"/>
        <v>79660.931999999942</v>
      </c>
      <c r="AJ344" s="7">
        <f t="shared" si="1661"/>
        <v>76341.721999999936</v>
      </c>
      <c r="AK344" s="7">
        <f t="shared" si="1661"/>
        <v>73022.51199999993</v>
      </c>
      <c r="AL344" s="7">
        <f t="shared" si="1661"/>
        <v>69703.301999999923</v>
      </c>
      <c r="AM344" s="7">
        <f t="shared" si="1661"/>
        <v>66384.091999999917</v>
      </c>
      <c r="AN344" s="7">
        <f t="shared" si="1661"/>
        <v>63064.881999999918</v>
      </c>
      <c r="AO344" s="7">
        <f t="shared" si="1661"/>
        <v>59745.671999999919</v>
      </c>
      <c r="AP344" s="222"/>
      <c r="AQ344" s="7">
        <v>3319.2099999999996</v>
      </c>
      <c r="AR344" s="7">
        <f t="shared" si="1615"/>
        <v>3319.2099999999991</v>
      </c>
      <c r="AS344" s="7">
        <f t="shared" si="1616"/>
        <v>0</v>
      </c>
      <c r="AT344" s="7">
        <f>L344*12</f>
        <v>39830.519999999997</v>
      </c>
      <c r="AU344" s="7">
        <f>AO344-$L344</f>
        <v>56426.461999999919</v>
      </c>
      <c r="AV344" s="7">
        <f>AU344-$L344</f>
        <v>53107.25199999992</v>
      </c>
      <c r="AW344" s="7">
        <f t="shared" ref="AW344:BF344" si="1694">AV344-$L344</f>
        <v>49788.041999999921</v>
      </c>
      <c r="AX344" s="7">
        <f t="shared" si="1694"/>
        <v>46468.831999999922</v>
      </c>
      <c r="AY344" s="7">
        <f t="shared" si="1694"/>
        <v>43149.621999999923</v>
      </c>
      <c r="AZ344" s="7">
        <f t="shared" si="1694"/>
        <v>39830.411999999924</v>
      </c>
      <c r="BA344" s="7">
        <f t="shared" si="1694"/>
        <v>36511.201999999925</v>
      </c>
      <c r="BB344" s="7">
        <f t="shared" si="1694"/>
        <v>33191.991999999926</v>
      </c>
      <c r="BC344" s="7">
        <f t="shared" si="1694"/>
        <v>29872.781999999926</v>
      </c>
      <c r="BD344" s="7">
        <f t="shared" si="1694"/>
        <v>26553.571999999927</v>
      </c>
      <c r="BE344" s="7">
        <f t="shared" si="1694"/>
        <v>23234.361999999928</v>
      </c>
      <c r="BF344" s="7">
        <f t="shared" si="1694"/>
        <v>19915.151999999929</v>
      </c>
      <c r="BG344" s="236">
        <f t="shared" si="1598"/>
        <v>0</v>
      </c>
      <c r="BH344" s="7">
        <v>3319.2099999999996</v>
      </c>
      <c r="BI344" s="39">
        <v>19915.150000000001</v>
      </c>
      <c r="BJ344" s="7">
        <f>BF344-BH344</f>
        <v>16595.94199999993</v>
      </c>
      <c r="BK344" s="7">
        <f>BJ344-$L344</f>
        <v>13276.731999999931</v>
      </c>
      <c r="BL344" s="7">
        <f t="shared" ref="BL344" si="1695">BK344-$L344</f>
        <v>9957.5219999999317</v>
      </c>
      <c r="BM344" s="7">
        <f t="shared" ref="BM344" si="1696">BL344-$L344</f>
        <v>6638.3119999999326</v>
      </c>
      <c r="BN344" s="7">
        <f t="shared" ref="BN344" si="1697">BM344-$L344</f>
        <v>3319.101999999933</v>
      </c>
      <c r="BO344" s="7"/>
      <c r="BP344" s="7"/>
      <c r="BQ344" s="7"/>
      <c r="BR344" s="7"/>
      <c r="BS344" s="7"/>
      <c r="BT344" s="7"/>
      <c r="BU344" s="7"/>
      <c r="BV344" s="236">
        <v>0</v>
      </c>
      <c r="BW344" s="7">
        <v>3319.2099999999996</v>
      </c>
      <c r="BX344" s="39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236">
        <f t="shared" si="1658"/>
        <v>0</v>
      </c>
      <c r="CL344" s="7">
        <v>3319.2099999999996</v>
      </c>
      <c r="CM344" s="39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236">
        <f t="shared" si="1659"/>
        <v>0</v>
      </c>
    </row>
    <row r="345" spans="1:104" ht="22.5" x14ac:dyDescent="0.2">
      <c r="A345" s="6" t="str">
        <f>'[1]2021 УГРЦТ'!A348</f>
        <v>Пункт коммерческого учета ПКУ-6-У1 (ВМ) (16-1513.1) 16-1513.1</v>
      </c>
      <c r="B345" t="str">
        <f>'[1]2021 УГРЦТ'!B348</f>
        <v>000001686</v>
      </c>
      <c r="C345" t="str">
        <f>'[1]2021 УГРЦТ'!C348</f>
        <v>ПЕРЕДАЧА</v>
      </c>
      <c r="D345" t="str">
        <f>'[1]2021 УГРЦТ'!D348</f>
        <v>Машины и оборудование (кроме офисного)</v>
      </c>
      <c r="E345" t="str">
        <f>'[1]2021 УГРЦТ'!E348</f>
        <v>22.06.2016</v>
      </c>
      <c r="F345" t="str">
        <f>'[1]2021 УГРЦТ'!F348</f>
        <v>Цех электрических сетей</v>
      </c>
      <c r="G345">
        <f>'[1]2021 УГРЦТ'!AC348</f>
        <v>84</v>
      </c>
      <c r="H345" s="7">
        <f>'[1]2021 УГРЦТ'!X348</f>
        <v>127916.95</v>
      </c>
      <c r="I345" s="7">
        <f>'[1]2021 УГРЦТ'!Y348</f>
        <v>100506.13</v>
      </c>
      <c r="J345" s="7">
        <f>'[1]2021 УГРЦТ'!Z348</f>
        <v>27410.819999999992</v>
      </c>
      <c r="K345" s="8">
        <v>0</v>
      </c>
      <c r="L345" s="7">
        <v>1522.82</v>
      </c>
      <c r="M345" s="7"/>
      <c r="N345" s="7">
        <f t="shared" si="1492"/>
        <v>18273.84</v>
      </c>
      <c r="O345" s="7">
        <f t="shared" si="1612"/>
        <v>25887.999999999993</v>
      </c>
      <c r="P345" s="7">
        <f t="shared" si="1693"/>
        <v>24365.179999999993</v>
      </c>
      <c r="Q345" s="7">
        <f t="shared" si="1693"/>
        <v>22842.359999999993</v>
      </c>
      <c r="R345" s="7">
        <f t="shared" si="1693"/>
        <v>21319.539999999994</v>
      </c>
      <c r="S345" s="7">
        <f t="shared" si="1693"/>
        <v>19796.719999999994</v>
      </c>
      <c r="T345" s="7">
        <f t="shared" si="1693"/>
        <v>18273.899999999994</v>
      </c>
      <c r="U345" s="7">
        <f t="shared" si="1693"/>
        <v>16751.079999999994</v>
      </c>
      <c r="V345" s="7">
        <f t="shared" si="1693"/>
        <v>15228.259999999995</v>
      </c>
      <c r="W345" s="7">
        <f t="shared" si="1693"/>
        <v>13705.439999999995</v>
      </c>
      <c r="X345" s="7">
        <f t="shared" si="1693"/>
        <v>12182.619999999995</v>
      </c>
      <c r="Y345" s="7">
        <f t="shared" si="1693"/>
        <v>10659.799999999996</v>
      </c>
      <c r="Z345" s="7">
        <f t="shared" si="1693"/>
        <v>9136.9799999999959</v>
      </c>
      <c r="AA345" s="7"/>
      <c r="AB345" s="7"/>
      <c r="AC345" s="7">
        <f>L345*6+0.06</f>
        <v>9136.98</v>
      </c>
      <c r="AD345" s="7">
        <f t="shared" si="1614"/>
        <v>7614.1599999999962</v>
      </c>
      <c r="AE345" s="7">
        <f t="shared" si="1661"/>
        <v>6091.3399999999965</v>
      </c>
      <c r="AF345" s="7">
        <f t="shared" si="1661"/>
        <v>4568.5199999999968</v>
      </c>
      <c r="AG345" s="7">
        <f t="shared" si="1661"/>
        <v>3045.6999999999971</v>
      </c>
      <c r="AH345" s="7">
        <f t="shared" si="1661"/>
        <v>1522.8799999999972</v>
      </c>
      <c r="AI345" s="7">
        <f t="shared" si="1661"/>
        <v>5.9999999997216946E-2</v>
      </c>
      <c r="AJ345" s="7"/>
      <c r="AK345" s="7"/>
      <c r="AL345" s="7"/>
      <c r="AM345" s="7"/>
      <c r="AN345" s="7"/>
      <c r="AO345" s="7"/>
      <c r="AP345" s="222"/>
      <c r="AQ345" s="7">
        <v>0</v>
      </c>
      <c r="AR345" s="7">
        <f t="shared" si="1615"/>
        <v>0</v>
      </c>
      <c r="AS345" s="7">
        <f t="shared" si="1616"/>
        <v>0</v>
      </c>
      <c r="BG345" s="236">
        <f t="shared" si="1598"/>
        <v>0</v>
      </c>
      <c r="BH345" s="7">
        <v>0</v>
      </c>
      <c r="BV345" s="236">
        <f>IF(Z345&lt;1,0,SUM(BJ345:BU345,BF345)/13*$BG$1)</f>
        <v>0</v>
      </c>
      <c r="BW345" s="7">
        <v>0</v>
      </c>
      <c r="CK345" s="236">
        <f t="shared" si="1658"/>
        <v>0</v>
      </c>
      <c r="CL345" s="7">
        <v>0</v>
      </c>
      <c r="CZ345" s="236">
        <f t="shared" si="1659"/>
        <v>0</v>
      </c>
    </row>
    <row r="346" spans="1:104" x14ac:dyDescent="0.2">
      <c r="A346" s="6" t="str">
        <f>'[1]2021 УГРЦТ'!A349</f>
        <v>Распред. устройство 6кв 1986г</v>
      </c>
      <c r="B346" t="str">
        <f>'[1]2021 УГРЦТ'!B349</f>
        <v>00000577</v>
      </c>
      <c r="C346" t="str">
        <f>'[1]2021 УГРЦТ'!C349</f>
        <v>ПЕРЕДАЧА</v>
      </c>
      <c r="D346" t="str">
        <f>'[1]2021 УГРЦТ'!D349</f>
        <v>Здания</v>
      </c>
      <c r="E346" t="str">
        <f>'[1]2021 УГРЦТ'!E349</f>
        <v>01.01.1986</v>
      </c>
      <c r="F346" t="str">
        <f>'[1]2021 УГРЦТ'!F349</f>
        <v>Цех электрических сетей</v>
      </c>
      <c r="G346">
        <f>'[1]2021 УГРЦТ'!AC349</f>
        <v>708</v>
      </c>
      <c r="H346" s="7">
        <f>'[1]2021 УГРЦТ'!X349</f>
        <v>14221</v>
      </c>
      <c r="I346" s="7">
        <f>'[1]2021 УГРЦТ'!Y349</f>
        <v>8487.3438983050837</v>
      </c>
      <c r="J346" s="7">
        <f>'[1]2021 УГРЦТ'!Z349</f>
        <v>5733.6561016949163</v>
      </c>
      <c r="K346" s="8">
        <v>1</v>
      </c>
      <c r="L346" s="7">
        <v>20.079999999999998</v>
      </c>
      <c r="M346" s="7"/>
      <c r="N346" s="7">
        <f t="shared" si="1492"/>
        <v>240.95999999999998</v>
      </c>
      <c r="O346" s="7">
        <f t="shared" si="1612"/>
        <v>5713.5761016949164</v>
      </c>
      <c r="P346" s="7">
        <f t="shared" si="1693"/>
        <v>5693.4961016949164</v>
      </c>
      <c r="Q346" s="7">
        <f t="shared" si="1693"/>
        <v>5673.4161016949165</v>
      </c>
      <c r="R346" s="7">
        <f t="shared" si="1693"/>
        <v>5653.3361016949166</v>
      </c>
      <c r="S346" s="7">
        <f t="shared" si="1693"/>
        <v>5633.2561016949167</v>
      </c>
      <c r="T346" s="7">
        <f t="shared" si="1693"/>
        <v>5613.1761016949167</v>
      </c>
      <c r="U346" s="7">
        <f t="shared" si="1693"/>
        <v>5593.0961016949168</v>
      </c>
      <c r="V346" s="7">
        <f t="shared" si="1693"/>
        <v>5573.0161016949169</v>
      </c>
      <c r="W346" s="7">
        <f t="shared" si="1693"/>
        <v>5552.9361016949169</v>
      </c>
      <c r="X346" s="7">
        <f t="shared" si="1693"/>
        <v>5532.856101694917</v>
      </c>
      <c r="Y346" s="7">
        <f t="shared" si="1693"/>
        <v>5512.7761016949171</v>
      </c>
      <c r="Z346" s="7">
        <f t="shared" si="1693"/>
        <v>5492.6961016949172</v>
      </c>
      <c r="AA346" s="7">
        <f t="shared" ref="AA346:AA347" si="1698">SUM(O346:Z346,J346)/13*$AA$1</f>
        <v>123.48987423728813</v>
      </c>
      <c r="AB346" s="7"/>
      <c r="AC346" s="7">
        <f t="shared" si="1613"/>
        <v>240.95999999999998</v>
      </c>
      <c r="AD346" s="7">
        <f t="shared" si="1614"/>
        <v>5472.6161016949172</v>
      </c>
      <c r="AE346" s="7">
        <f t="shared" si="1661"/>
        <v>5452.5361016949173</v>
      </c>
      <c r="AF346" s="7">
        <f t="shared" si="1661"/>
        <v>5432.4561016949174</v>
      </c>
      <c r="AG346" s="7">
        <f t="shared" si="1661"/>
        <v>5412.3761016949175</v>
      </c>
      <c r="AH346" s="7">
        <f t="shared" si="1661"/>
        <v>5392.2961016949175</v>
      </c>
      <c r="AI346" s="7">
        <f t="shared" si="1661"/>
        <v>5372.2161016949176</v>
      </c>
      <c r="AJ346" s="7">
        <f t="shared" si="1661"/>
        <v>5352.1361016949177</v>
      </c>
      <c r="AK346" s="7">
        <f t="shared" si="1661"/>
        <v>5332.0561016949177</v>
      </c>
      <c r="AL346" s="7">
        <f t="shared" si="1661"/>
        <v>5311.9761016949178</v>
      </c>
      <c r="AM346" s="7">
        <f t="shared" si="1661"/>
        <v>5291.8961016949179</v>
      </c>
      <c r="AN346" s="7">
        <f t="shared" si="1661"/>
        <v>5271.816101694918</v>
      </c>
      <c r="AO346" s="7">
        <f t="shared" si="1661"/>
        <v>5251.736101694918</v>
      </c>
      <c r="AP346" s="222">
        <f>IF(K346&lt;1,0,SUM(AD346:AO346,Z346)/13*$BG$1)</f>
        <v>118.18875423728817</v>
      </c>
      <c r="AQ346" s="7">
        <v>20.079999999999998</v>
      </c>
      <c r="AR346" s="7">
        <f t="shared" si="1615"/>
        <v>20.079999999999927</v>
      </c>
      <c r="AS346" s="7">
        <f t="shared" si="1616"/>
        <v>-7.1054273576010019E-14</v>
      </c>
      <c r="AT346" s="7">
        <f>L346*12</f>
        <v>240.95999999999998</v>
      </c>
      <c r="AU346" s="7">
        <f>AO346-$L346</f>
        <v>5231.6561016949181</v>
      </c>
      <c r="AV346" s="7">
        <f>AU346-$L346</f>
        <v>5211.5761016949182</v>
      </c>
      <c r="AW346" s="7">
        <f t="shared" ref="AW346:BF346" si="1699">AV346-$L346</f>
        <v>5191.4961016949183</v>
      </c>
      <c r="AX346" s="7">
        <f t="shared" si="1699"/>
        <v>5171.4161016949183</v>
      </c>
      <c r="AY346" s="7">
        <f t="shared" si="1699"/>
        <v>5151.3361016949184</v>
      </c>
      <c r="AZ346" s="7">
        <f t="shared" si="1699"/>
        <v>5131.2561016949185</v>
      </c>
      <c r="BA346" s="7">
        <f t="shared" si="1699"/>
        <v>5111.1761016949185</v>
      </c>
      <c r="BB346" s="7">
        <f t="shared" si="1699"/>
        <v>5091.0961016949186</v>
      </c>
      <c r="BC346" s="7">
        <f t="shared" si="1699"/>
        <v>5071.0161016949187</v>
      </c>
      <c r="BD346" s="7">
        <f t="shared" si="1699"/>
        <v>5050.9361016949188</v>
      </c>
      <c r="BE346" s="7">
        <f t="shared" si="1699"/>
        <v>5030.8561016949188</v>
      </c>
      <c r="BF346" s="7">
        <f t="shared" si="1699"/>
        <v>5010.7761016949189</v>
      </c>
      <c r="BG346" s="236">
        <f t="shared" si="1598"/>
        <v>112.88763423728818</v>
      </c>
      <c r="BH346" s="7">
        <v>20.079999999999998</v>
      </c>
      <c r="BI346" s="39">
        <f>BH346*12</f>
        <v>240.95999999999998</v>
      </c>
      <c r="BJ346" s="7">
        <f>BF346-BH346</f>
        <v>4990.696101694919</v>
      </c>
      <c r="BK346" s="7">
        <f>BJ346-$L346</f>
        <v>4970.6161016949191</v>
      </c>
      <c r="BL346" s="7">
        <f t="shared" ref="BL346" si="1700">BK346-$L346</f>
        <v>4950.5361016949191</v>
      </c>
      <c r="BM346" s="7">
        <f t="shared" ref="BM346" si="1701">BL346-$L346</f>
        <v>4930.4561016949192</v>
      </c>
      <c r="BN346" s="7">
        <f t="shared" ref="BN346" si="1702">BM346-$L346</f>
        <v>4910.3761016949193</v>
      </c>
      <c r="BO346" s="7">
        <f t="shared" ref="BO346" si="1703">BN346-$L346</f>
        <v>4890.2961016949193</v>
      </c>
      <c r="BP346" s="7">
        <f t="shared" ref="BP346" si="1704">BO346-$L346</f>
        <v>4870.2161016949194</v>
      </c>
      <c r="BQ346" s="7">
        <f t="shared" ref="BQ346" si="1705">BP346-$L346</f>
        <v>4850.1361016949195</v>
      </c>
      <c r="BR346" s="7">
        <f t="shared" ref="BR346" si="1706">BQ346-$L346</f>
        <v>4830.0561016949196</v>
      </c>
      <c r="BS346" s="7">
        <f t="shared" ref="BS346" si="1707">BR346-$L346</f>
        <v>4809.9761016949196</v>
      </c>
      <c r="BT346" s="7">
        <f t="shared" ref="BT346" si="1708">BS346-$L346</f>
        <v>4789.8961016949197</v>
      </c>
      <c r="BU346" s="7">
        <f t="shared" ref="BU346" si="1709">BT346-$L346</f>
        <v>4769.8161016949198</v>
      </c>
      <c r="BV346" s="236">
        <f>IF(Z346&lt;1,0,SUM(BJ346:BU346,BF346)/13*$BG$1)</f>
        <v>107.5865142372882</v>
      </c>
      <c r="BW346" s="7">
        <v>20.079999999999998</v>
      </c>
      <c r="BX346" s="39">
        <f>BW346*12</f>
        <v>240.95999999999998</v>
      </c>
      <c r="BY346" s="7">
        <f>BU346-BW346</f>
        <v>4749.7361016949199</v>
      </c>
      <c r="BZ346" s="7">
        <f>BY346-$L346</f>
        <v>4729.6561016949199</v>
      </c>
      <c r="CA346" s="7">
        <f t="shared" ref="CA346" si="1710">BZ346-$L346</f>
        <v>4709.57610169492</v>
      </c>
      <c r="CB346" s="7">
        <f t="shared" ref="CB346" si="1711">CA346-$L346</f>
        <v>4689.4961016949201</v>
      </c>
      <c r="CC346" s="7">
        <f t="shared" ref="CC346" si="1712">CB346-$L346</f>
        <v>4669.4161016949201</v>
      </c>
      <c r="CD346" s="7">
        <f t="shared" ref="CD346" si="1713">CC346-$L346</f>
        <v>4649.3361016949202</v>
      </c>
      <c r="CE346" s="7">
        <f t="shared" ref="CE346" si="1714">CD346-$L346</f>
        <v>4629.2561016949203</v>
      </c>
      <c r="CF346" s="7">
        <f t="shared" ref="CF346" si="1715">CE346-$L346</f>
        <v>4609.1761016949204</v>
      </c>
      <c r="CG346" s="7">
        <f t="shared" ref="CG346" si="1716">CF346-$L346</f>
        <v>4589.0961016949204</v>
      </c>
      <c r="CH346" s="7">
        <f t="shared" ref="CH346" si="1717">CG346-$L346</f>
        <v>4569.0161016949205</v>
      </c>
      <c r="CI346" s="7">
        <f t="shared" ref="CI346" si="1718">CH346-$L346</f>
        <v>4548.9361016949206</v>
      </c>
      <c r="CJ346" s="7">
        <f t="shared" ref="CJ346" si="1719">CI346-$L346</f>
        <v>4528.8561016949207</v>
      </c>
      <c r="CK346" s="236">
        <f t="shared" si="1658"/>
        <v>102.28539423728822</v>
      </c>
      <c r="CL346" s="7">
        <v>20.079999999999998</v>
      </c>
      <c r="CM346" s="39">
        <f>CL346*12</f>
        <v>240.95999999999998</v>
      </c>
      <c r="CN346" s="7">
        <f>CJ346-CL346</f>
        <v>4508.7761016949207</v>
      </c>
      <c r="CO346" s="7">
        <f>CN346-$L346</f>
        <v>4488.6961016949208</v>
      </c>
      <c r="CP346" s="7">
        <f t="shared" ref="CP346" si="1720">CO346-$L346</f>
        <v>4468.6161016949209</v>
      </c>
      <c r="CQ346" s="7">
        <f t="shared" ref="CQ346" si="1721">CP346-$L346</f>
        <v>4448.5361016949209</v>
      </c>
      <c r="CR346" s="7">
        <f t="shared" ref="CR346" si="1722">CQ346-$L346</f>
        <v>4428.456101694921</v>
      </c>
      <c r="CS346" s="7">
        <f t="shared" ref="CS346" si="1723">CR346-$L346</f>
        <v>4408.3761016949211</v>
      </c>
      <c r="CT346" s="7">
        <f t="shared" ref="CT346" si="1724">CS346-$L346</f>
        <v>4388.2961016949212</v>
      </c>
      <c r="CU346" s="7">
        <f t="shared" ref="CU346" si="1725">CT346-$L346</f>
        <v>4368.2161016949212</v>
      </c>
      <c r="CV346" s="7">
        <f t="shared" ref="CV346" si="1726">CU346-$L346</f>
        <v>4348.1361016949213</v>
      </c>
      <c r="CW346" s="7">
        <f t="shared" ref="CW346" si="1727">CV346-$L346</f>
        <v>4328.0561016949214</v>
      </c>
      <c r="CX346" s="7">
        <f t="shared" ref="CX346" si="1728">CW346-$L346</f>
        <v>4307.9761016949215</v>
      </c>
      <c r="CY346" s="7">
        <f t="shared" ref="CY346" si="1729">CX346-$L346</f>
        <v>4287.8961016949215</v>
      </c>
      <c r="CZ346" s="236">
        <f t="shared" si="1659"/>
        <v>96.984274237288233</v>
      </c>
    </row>
    <row r="347" spans="1:104" x14ac:dyDescent="0.2">
      <c r="A347" s="6" t="str">
        <f>'[1]2021 УГРЦТ'!A350</f>
        <v>Распределительное устройство РУ-6 кВ 2007г</v>
      </c>
      <c r="B347" t="str">
        <f>'[1]2021 УГРЦТ'!B350</f>
        <v>00001034</v>
      </c>
      <c r="C347" t="str">
        <f>'[1]2021 УГРЦТ'!C350</f>
        <v>ПЕРЕДАЧА</v>
      </c>
      <c r="D347" t="str">
        <f>'[1]2021 УГРЦТ'!D350</f>
        <v>Сооружения</v>
      </c>
      <c r="E347" t="str">
        <f>'[1]2021 УГРЦТ'!E350</f>
        <v>30.04.2007</v>
      </c>
      <c r="F347" t="str">
        <f>'[1]2021 УГРЦТ'!F350</f>
        <v>Цех электрических сетей</v>
      </c>
      <c r="G347">
        <f>'[1]2021 УГРЦТ'!AC350</f>
        <v>180</v>
      </c>
      <c r="H347" s="7">
        <f>'[1]2021 УГРЦТ'!X350</f>
        <v>9657084.6099999994</v>
      </c>
      <c r="I347" s="7">
        <f>'[1]2021 УГРЦТ'!Y350</f>
        <v>9428419.3600000013</v>
      </c>
      <c r="J347" s="7">
        <f>'[1]2021 УГРЦТ'!Z350</f>
        <v>228665.24999999814</v>
      </c>
      <c r="K347" s="8">
        <v>1</v>
      </c>
      <c r="L347" s="7">
        <v>66638.560000000012</v>
      </c>
      <c r="M347" s="7"/>
      <c r="N347" s="7">
        <f>L347*4-37888.99</f>
        <v>228665.25000000006</v>
      </c>
      <c r="O347" s="7">
        <f>J347-$L347</f>
        <v>162026.68999999814</v>
      </c>
      <c r="P347" s="7">
        <f t="shared" si="1693"/>
        <v>95388.129999998127</v>
      </c>
      <c r="Q347" s="7">
        <f t="shared" si="1693"/>
        <v>28749.569999998115</v>
      </c>
      <c r="R347" s="7">
        <f>Q347-$L347+37888.99</f>
        <v>-1.8990249373018742E-9</v>
      </c>
      <c r="S347" s="7">
        <f>R347-$L347*0</f>
        <v>-1.8990249373018742E-9</v>
      </c>
      <c r="T347" s="7">
        <f t="shared" ref="T347:Z347" si="1730">S347-$L347*0</f>
        <v>-1.8990249373018742E-9</v>
      </c>
      <c r="U347" s="7">
        <f t="shared" si="1730"/>
        <v>-1.8990249373018742E-9</v>
      </c>
      <c r="V347" s="7">
        <f t="shared" si="1730"/>
        <v>-1.8990249373018742E-9</v>
      </c>
      <c r="W347" s="7">
        <f t="shared" si="1730"/>
        <v>-1.8990249373018742E-9</v>
      </c>
      <c r="X347" s="7">
        <f t="shared" si="1730"/>
        <v>-1.8990249373018742E-9</v>
      </c>
      <c r="Y347" s="7">
        <f t="shared" si="1730"/>
        <v>-1.8990249373018742E-9</v>
      </c>
      <c r="Z347" s="7">
        <f t="shared" si="1730"/>
        <v>-1.8990249373018742E-9</v>
      </c>
      <c r="AA347" s="7">
        <f t="shared" si="1698"/>
        <v>871.2501599999581</v>
      </c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222"/>
      <c r="AQ347" s="7">
        <v>0</v>
      </c>
      <c r="AR347" s="7">
        <f t="shared" si="1615"/>
        <v>0</v>
      </c>
      <c r="AS347" s="7">
        <f t="shared" si="1616"/>
        <v>0</v>
      </c>
      <c r="BG347" s="236">
        <f t="shared" si="1598"/>
        <v>0</v>
      </c>
      <c r="BH347" s="7">
        <v>0</v>
      </c>
      <c r="BV347" s="236">
        <f>IF(Z347&lt;1,0,SUM(BJ347:BU347,BF347)/13*$BG$1)</f>
        <v>0</v>
      </c>
      <c r="BW347" s="7">
        <v>0</v>
      </c>
      <c r="CK347" s="236">
        <f t="shared" si="1658"/>
        <v>0</v>
      </c>
      <c r="CL347" s="7">
        <v>0</v>
      </c>
      <c r="CZ347" s="236">
        <f t="shared" si="1659"/>
        <v>0</v>
      </c>
    </row>
    <row r="348" spans="1:104" x14ac:dyDescent="0.2">
      <c r="A348" s="6" t="str">
        <f>'[1]2021 УГРЦТ'!A351</f>
        <v>Реклоузер вакуумный PBA/TEL фидер ЖВК на ВЛ-6кВ</v>
      </c>
      <c r="B348" t="str">
        <f>'[1]2021 УГРЦТ'!B351</f>
        <v>000001667</v>
      </c>
      <c r="C348" t="str">
        <f>'[1]2021 УГРЦТ'!C351</f>
        <v>ПЕРЕДАЧА</v>
      </c>
      <c r="D348" t="str">
        <f>'[1]2021 УГРЦТ'!D351</f>
        <v>Машины и оборудование (кроме офисного)</v>
      </c>
      <c r="E348" t="str">
        <f>'[1]2021 УГРЦТ'!E351</f>
        <v>31.12.2015</v>
      </c>
      <c r="F348" t="str">
        <f>'[1]2021 УГРЦТ'!F351</f>
        <v>Цех электрических сетей</v>
      </c>
      <c r="G348">
        <f>'[1]2021 УГРЦТ'!AC351</f>
        <v>180</v>
      </c>
      <c r="H348" s="7">
        <f>'[1]2021 УГРЦТ'!X351</f>
        <v>1311763</v>
      </c>
      <c r="I348" s="7">
        <f>'[1]2021 УГРЦТ'!Y351</f>
        <v>524705.06666666665</v>
      </c>
      <c r="J348" s="7">
        <f>'[1]2021 УГРЦТ'!Z351</f>
        <v>787057.93333333335</v>
      </c>
      <c r="K348" s="8">
        <v>0</v>
      </c>
      <c r="L348" s="7">
        <v>7287.5700000000024</v>
      </c>
      <c r="M348" s="7"/>
      <c r="N348" s="7">
        <f t="shared" si="1492"/>
        <v>87450.840000000026</v>
      </c>
      <c r="O348" s="7">
        <f t="shared" si="1612"/>
        <v>779770.3633333334</v>
      </c>
      <c r="P348" s="7">
        <f t="shared" si="1693"/>
        <v>772482.79333333345</v>
      </c>
      <c r="Q348" s="7">
        <f t="shared" si="1693"/>
        <v>765195.2233333335</v>
      </c>
      <c r="R348" s="7">
        <f t="shared" si="1693"/>
        <v>757907.65333333355</v>
      </c>
      <c r="S348" s="7">
        <f t="shared" si="1693"/>
        <v>750620.0833333336</v>
      </c>
      <c r="T348" s="7">
        <f t="shared" si="1693"/>
        <v>743332.51333333366</v>
      </c>
      <c r="U348" s="7">
        <f t="shared" si="1693"/>
        <v>736044.94333333371</v>
      </c>
      <c r="V348" s="7">
        <f t="shared" si="1693"/>
        <v>728757.37333333376</v>
      </c>
      <c r="W348" s="7">
        <f t="shared" si="1693"/>
        <v>721469.80333333381</v>
      </c>
      <c r="X348" s="7">
        <f t="shared" si="1693"/>
        <v>714182.23333333386</v>
      </c>
      <c r="Y348" s="7">
        <f t="shared" si="1693"/>
        <v>706894.66333333391</v>
      </c>
      <c r="Z348" s="7">
        <f t="shared" si="1693"/>
        <v>699607.09333333396</v>
      </c>
      <c r="AA348" s="7"/>
      <c r="AB348" s="7"/>
      <c r="AC348" s="7">
        <f t="shared" si="1613"/>
        <v>87450.840000000026</v>
      </c>
      <c r="AD348" s="7">
        <f t="shared" si="1614"/>
        <v>692319.52333333401</v>
      </c>
      <c r="AE348" s="7">
        <f t="shared" ref="AE348:AO363" si="1731">AD348-$L348</f>
        <v>685031.95333333407</v>
      </c>
      <c r="AF348" s="7">
        <f t="shared" si="1731"/>
        <v>677744.38333333412</v>
      </c>
      <c r="AG348" s="7">
        <f t="shared" si="1731"/>
        <v>670456.81333333417</v>
      </c>
      <c r="AH348" s="7">
        <f t="shared" si="1731"/>
        <v>663169.24333333422</v>
      </c>
      <c r="AI348" s="7">
        <f t="shared" si="1731"/>
        <v>655881.67333333427</v>
      </c>
      <c r="AJ348" s="7">
        <f t="shared" si="1731"/>
        <v>648594.10333333432</v>
      </c>
      <c r="AK348" s="7">
        <f t="shared" si="1731"/>
        <v>641306.53333333437</v>
      </c>
      <c r="AL348" s="7">
        <f t="shared" si="1731"/>
        <v>634018.96333333442</v>
      </c>
      <c r="AM348" s="7">
        <f t="shared" si="1731"/>
        <v>626731.39333333448</v>
      </c>
      <c r="AN348" s="7">
        <f t="shared" si="1731"/>
        <v>619443.82333333453</v>
      </c>
      <c r="AO348" s="7">
        <f t="shared" si="1731"/>
        <v>612156.25333333458</v>
      </c>
      <c r="AP348" s="222"/>
      <c r="AQ348" s="7">
        <v>7287.5700000000024</v>
      </c>
      <c r="AR348" s="7">
        <f t="shared" si="1615"/>
        <v>7287.5699999999488</v>
      </c>
      <c r="AS348" s="7">
        <f t="shared" si="1616"/>
        <v>-5.3660187404602766E-11</v>
      </c>
      <c r="AT348" s="7">
        <f t="shared" ref="AT348:AT351" si="1732">L348*12</f>
        <v>87450.840000000026</v>
      </c>
      <c r="AU348" s="7">
        <f>AO348-$L348</f>
        <v>604868.68333333463</v>
      </c>
      <c r="AV348" s="7">
        <f t="shared" ref="AV348:BF352" si="1733">AU348-$L348</f>
        <v>597581.11333333468</v>
      </c>
      <c r="AW348" s="7">
        <f t="shared" si="1733"/>
        <v>590293.54333333473</v>
      </c>
      <c r="AX348" s="7">
        <f t="shared" si="1733"/>
        <v>583005.97333333478</v>
      </c>
      <c r="AY348" s="7">
        <f t="shared" si="1733"/>
        <v>575718.40333333483</v>
      </c>
      <c r="AZ348" s="7">
        <f t="shared" si="1733"/>
        <v>568430.83333333489</v>
      </c>
      <c r="BA348" s="7">
        <f t="shared" si="1733"/>
        <v>561143.26333333494</v>
      </c>
      <c r="BB348" s="7">
        <f t="shared" si="1733"/>
        <v>553855.69333333499</v>
      </c>
      <c r="BC348" s="7">
        <f t="shared" si="1733"/>
        <v>546568.12333333504</v>
      </c>
      <c r="BD348" s="7">
        <f t="shared" si="1733"/>
        <v>539280.55333333509</v>
      </c>
      <c r="BE348" s="7">
        <f t="shared" si="1733"/>
        <v>531992.98333333514</v>
      </c>
      <c r="BF348" s="7">
        <f t="shared" si="1733"/>
        <v>524705.41333333519</v>
      </c>
      <c r="BG348" s="236">
        <f t="shared" si="1598"/>
        <v>0</v>
      </c>
      <c r="BH348" s="7">
        <v>7287.5700000000024</v>
      </c>
      <c r="BI348" s="39">
        <f>BH348*12</f>
        <v>87450.840000000026</v>
      </c>
      <c r="BJ348" s="7">
        <f>BF348-BH348</f>
        <v>517417.84333333519</v>
      </c>
      <c r="BK348" s="7">
        <f t="shared" ref="BK348:BK352" si="1734">BJ348-$L348</f>
        <v>510130.27333333518</v>
      </c>
      <c r="BL348" s="7">
        <f t="shared" ref="BL348:BL352" si="1735">BK348-$L348</f>
        <v>502842.70333333517</v>
      </c>
      <c r="BM348" s="7">
        <f t="shared" ref="BM348:BM352" si="1736">BL348-$L348</f>
        <v>495555.13333333516</v>
      </c>
      <c r="BN348" s="7">
        <f t="shared" ref="BN348:BN352" si="1737">BM348-$L348</f>
        <v>488267.56333333516</v>
      </c>
      <c r="BO348" s="7">
        <f t="shared" ref="BO348:BO352" si="1738">BN348-$L348</f>
        <v>480979.99333333515</v>
      </c>
      <c r="BP348" s="7">
        <f t="shared" ref="BP348:BP352" si="1739">BO348-$L348</f>
        <v>473692.42333333514</v>
      </c>
      <c r="BQ348" s="7">
        <f t="shared" ref="BQ348:BQ352" si="1740">BP348-$L348</f>
        <v>466404.85333333514</v>
      </c>
      <c r="BR348" s="7">
        <f t="shared" ref="BR348:BR352" si="1741">BQ348-$L348</f>
        <v>459117.28333333513</v>
      </c>
      <c r="BS348" s="7">
        <f t="shared" ref="BS348:BS352" si="1742">BR348-$L348</f>
        <v>451829.71333333512</v>
      </c>
      <c r="BT348" s="7">
        <f t="shared" ref="BT348:BT352" si="1743">BS348-$L348</f>
        <v>444542.14333333512</v>
      </c>
      <c r="BU348" s="7">
        <f t="shared" ref="BU348:BU352" si="1744">BT348-$L348</f>
        <v>437254.57333333511</v>
      </c>
      <c r="BV348" s="236">
        <v>0</v>
      </c>
      <c r="BW348" s="7">
        <v>7287.5700000000024</v>
      </c>
      <c r="BX348" s="39">
        <f>BW348*12</f>
        <v>87450.840000000026</v>
      </c>
      <c r="BY348" s="7">
        <f>BU348-BW348</f>
        <v>429967.0033333351</v>
      </c>
      <c r="BZ348" s="7">
        <f t="shared" ref="BZ348:BZ352" si="1745">BY348-$L348</f>
        <v>422679.4333333351</v>
      </c>
      <c r="CA348" s="7">
        <f t="shared" ref="CA348:CA352" si="1746">BZ348-$L348</f>
        <v>415391.86333333509</v>
      </c>
      <c r="CB348" s="7">
        <f t="shared" ref="CB348:CB352" si="1747">CA348-$L348</f>
        <v>408104.29333333508</v>
      </c>
      <c r="CC348" s="7">
        <f t="shared" ref="CC348:CC352" si="1748">CB348-$L348</f>
        <v>400816.72333333507</v>
      </c>
      <c r="CD348" s="7">
        <f t="shared" ref="CD348:CD352" si="1749">CC348-$L348</f>
        <v>393529.15333333507</v>
      </c>
      <c r="CE348" s="7">
        <f t="shared" ref="CE348:CE352" si="1750">CD348-$L348</f>
        <v>386241.58333333506</v>
      </c>
      <c r="CF348" s="7">
        <f t="shared" ref="CF348:CF352" si="1751">CE348-$L348</f>
        <v>378954.01333333505</v>
      </c>
      <c r="CG348" s="7">
        <f t="shared" ref="CG348:CG352" si="1752">CF348-$L348</f>
        <v>371666.44333333505</v>
      </c>
      <c r="CH348" s="7">
        <f t="shared" ref="CH348:CH352" si="1753">CG348-$L348</f>
        <v>364378.87333333504</v>
      </c>
      <c r="CI348" s="7">
        <f t="shared" ref="CI348:CI352" si="1754">CH348-$L348</f>
        <v>357091.30333333503</v>
      </c>
      <c r="CJ348" s="7">
        <f t="shared" ref="CJ348:CJ352" si="1755">CI348-$L348</f>
        <v>349803.73333333503</v>
      </c>
      <c r="CK348" s="236">
        <v>0</v>
      </c>
      <c r="CL348" s="7">
        <v>7287.5700000000024</v>
      </c>
      <c r="CM348" s="39">
        <f>CL348*12</f>
        <v>87450.840000000026</v>
      </c>
      <c r="CN348" s="7">
        <f>CJ348-CL348</f>
        <v>342516.16333333502</v>
      </c>
      <c r="CO348" s="7">
        <f t="shared" ref="CO348:CO352" si="1756">CN348-$L348</f>
        <v>335228.59333333501</v>
      </c>
      <c r="CP348" s="7">
        <f t="shared" ref="CP348:CP352" si="1757">CO348-$L348</f>
        <v>327941.023333335</v>
      </c>
      <c r="CQ348" s="7">
        <f t="shared" ref="CQ348:CQ352" si="1758">CP348-$L348</f>
        <v>320653.453333335</v>
      </c>
      <c r="CR348" s="7">
        <f t="shared" ref="CR348:CR352" si="1759">CQ348-$L348</f>
        <v>313365.88333333499</v>
      </c>
      <c r="CS348" s="7">
        <f t="shared" ref="CS348:CS352" si="1760">CR348-$L348</f>
        <v>306078.31333333498</v>
      </c>
      <c r="CT348" s="7">
        <f t="shared" ref="CT348:CT352" si="1761">CS348-$L348</f>
        <v>298790.74333333498</v>
      </c>
      <c r="CU348" s="7">
        <f t="shared" ref="CU348:CU352" si="1762">CT348-$L348</f>
        <v>291503.17333333497</v>
      </c>
      <c r="CV348" s="7">
        <f t="shared" ref="CV348:CV352" si="1763">CU348-$L348</f>
        <v>284215.60333333496</v>
      </c>
      <c r="CW348" s="7">
        <f t="shared" ref="CW348:CW352" si="1764">CV348-$L348</f>
        <v>276928.03333333496</v>
      </c>
      <c r="CX348" s="7">
        <f t="shared" ref="CX348:CX352" si="1765">CW348-$L348</f>
        <v>269640.46333333495</v>
      </c>
      <c r="CY348" s="7">
        <f t="shared" ref="CY348:CY352" si="1766">CX348-$L348</f>
        <v>262352.89333333494</v>
      </c>
      <c r="CZ348" s="236">
        <v>0</v>
      </c>
    </row>
    <row r="349" spans="1:104" ht="22.5" x14ac:dyDescent="0.2">
      <c r="A349" s="6" t="str">
        <f>'[1]2021 УГРЦТ'!A352</f>
        <v>Реклоузер вакуумный PBA/TEL фидер Искатели на ВЛ 6 кВ ул. Монтажников в районе дома №11</v>
      </c>
      <c r="B349" t="str">
        <f>'[1]2021 УГРЦТ'!B352</f>
        <v>000001701</v>
      </c>
      <c r="C349" t="str">
        <f>'[1]2021 УГРЦТ'!C352</f>
        <v>ПЕРЕДАЧА</v>
      </c>
      <c r="D349" t="str">
        <f>'[1]2021 УГРЦТ'!D352</f>
        <v>Машины и оборудование (кроме офисного)</v>
      </c>
      <c r="E349" t="str">
        <f>'[1]2021 УГРЦТ'!E352</f>
        <v>31.03.2017</v>
      </c>
      <c r="F349" t="str">
        <f>'[1]2021 УГРЦТ'!F352</f>
        <v>Цех электрических сетей</v>
      </c>
      <c r="G349">
        <f>'[1]2021 УГРЦТ'!AC352</f>
        <v>300</v>
      </c>
      <c r="H349" s="7">
        <f>'[1]2021 УГРЦТ'!X352</f>
        <v>1356000</v>
      </c>
      <c r="I349" s="7">
        <f>'[1]2021 УГРЦТ'!Y352</f>
        <v>257640</v>
      </c>
      <c r="J349" s="7">
        <f>'[1]2021 УГРЦТ'!Z352</f>
        <v>1098360</v>
      </c>
      <c r="K349" s="8">
        <v>0</v>
      </c>
      <c r="L349" s="7">
        <v>4520</v>
      </c>
      <c r="M349" s="7"/>
      <c r="N349" s="7">
        <f t="shared" si="1492"/>
        <v>54240</v>
      </c>
      <c r="O349" s="7">
        <f t="shared" si="1612"/>
        <v>1093840</v>
      </c>
      <c r="P349" s="7">
        <f t="shared" si="1693"/>
        <v>1089320</v>
      </c>
      <c r="Q349" s="7">
        <f t="shared" si="1693"/>
        <v>1084800</v>
      </c>
      <c r="R349" s="7">
        <f t="shared" si="1693"/>
        <v>1080280</v>
      </c>
      <c r="S349" s="7">
        <f t="shared" si="1693"/>
        <v>1075760</v>
      </c>
      <c r="T349" s="7">
        <f t="shared" si="1693"/>
        <v>1071240</v>
      </c>
      <c r="U349" s="7">
        <f t="shared" si="1693"/>
        <v>1066720</v>
      </c>
      <c r="V349" s="7">
        <f t="shared" si="1693"/>
        <v>1062200</v>
      </c>
      <c r="W349" s="7">
        <f t="shared" si="1693"/>
        <v>1057680</v>
      </c>
      <c r="X349" s="7">
        <f t="shared" si="1693"/>
        <v>1053160</v>
      </c>
      <c r="Y349" s="7">
        <f t="shared" si="1693"/>
        <v>1048640</v>
      </c>
      <c r="Z349" s="7">
        <f t="shared" si="1693"/>
        <v>1044120</v>
      </c>
      <c r="AA349" s="7"/>
      <c r="AB349" s="7"/>
      <c r="AC349" s="7">
        <f t="shared" si="1613"/>
        <v>54240</v>
      </c>
      <c r="AD349" s="7">
        <f t="shared" si="1614"/>
        <v>1039600</v>
      </c>
      <c r="AE349" s="7">
        <f t="shared" si="1731"/>
        <v>1035080</v>
      </c>
      <c r="AF349" s="7">
        <f t="shared" si="1731"/>
        <v>1030560</v>
      </c>
      <c r="AG349" s="7">
        <f t="shared" si="1731"/>
        <v>1026040</v>
      </c>
      <c r="AH349" s="7">
        <f t="shared" si="1731"/>
        <v>1021520</v>
      </c>
      <c r="AI349" s="7">
        <f t="shared" si="1731"/>
        <v>1017000</v>
      </c>
      <c r="AJ349" s="7">
        <f t="shared" si="1731"/>
        <v>1012480</v>
      </c>
      <c r="AK349" s="7">
        <f t="shared" si="1731"/>
        <v>1007960</v>
      </c>
      <c r="AL349" s="7">
        <f t="shared" si="1731"/>
        <v>1003440</v>
      </c>
      <c r="AM349" s="7">
        <f t="shared" si="1731"/>
        <v>998920</v>
      </c>
      <c r="AN349" s="7">
        <f t="shared" si="1731"/>
        <v>994400</v>
      </c>
      <c r="AO349" s="7">
        <f t="shared" si="1731"/>
        <v>989880</v>
      </c>
      <c r="AP349" s="222"/>
      <c r="AQ349" s="7">
        <v>4520</v>
      </c>
      <c r="AR349" s="7">
        <f t="shared" si="1615"/>
        <v>4520</v>
      </c>
      <c r="AS349" s="7">
        <f t="shared" si="1616"/>
        <v>0</v>
      </c>
      <c r="AT349" s="7">
        <f t="shared" si="1732"/>
        <v>54240</v>
      </c>
      <c r="AU349" s="7">
        <f>AO349-$L349</f>
        <v>985360</v>
      </c>
      <c r="AV349" s="7">
        <f t="shared" si="1733"/>
        <v>980840</v>
      </c>
      <c r="AW349" s="7">
        <f t="shared" si="1733"/>
        <v>976320</v>
      </c>
      <c r="AX349" s="7">
        <f t="shared" si="1733"/>
        <v>971800</v>
      </c>
      <c r="AY349" s="7">
        <f t="shared" si="1733"/>
        <v>967280</v>
      </c>
      <c r="AZ349" s="7">
        <f t="shared" si="1733"/>
        <v>962760</v>
      </c>
      <c r="BA349" s="7">
        <f t="shared" si="1733"/>
        <v>958240</v>
      </c>
      <c r="BB349" s="7">
        <f t="shared" si="1733"/>
        <v>953720</v>
      </c>
      <c r="BC349" s="7">
        <f t="shared" si="1733"/>
        <v>949200</v>
      </c>
      <c r="BD349" s="7">
        <f t="shared" si="1733"/>
        <v>944680</v>
      </c>
      <c r="BE349" s="7">
        <f t="shared" si="1733"/>
        <v>940160</v>
      </c>
      <c r="BF349" s="7">
        <f t="shared" si="1733"/>
        <v>935640</v>
      </c>
      <c r="BG349" s="236">
        <f t="shared" si="1598"/>
        <v>0</v>
      </c>
      <c r="BH349" s="7">
        <v>4520</v>
      </c>
      <c r="BI349" s="39">
        <f>BH349*12</f>
        <v>54240</v>
      </c>
      <c r="BJ349" s="7">
        <f>BF349-BH349</f>
        <v>931120</v>
      </c>
      <c r="BK349" s="7">
        <f t="shared" si="1734"/>
        <v>926600</v>
      </c>
      <c r="BL349" s="7">
        <f t="shared" si="1735"/>
        <v>922080</v>
      </c>
      <c r="BM349" s="7">
        <f t="shared" si="1736"/>
        <v>917560</v>
      </c>
      <c r="BN349" s="7">
        <f t="shared" si="1737"/>
        <v>913040</v>
      </c>
      <c r="BO349" s="7">
        <f t="shared" si="1738"/>
        <v>908520</v>
      </c>
      <c r="BP349" s="7">
        <f t="shared" si="1739"/>
        <v>904000</v>
      </c>
      <c r="BQ349" s="7">
        <f t="shared" si="1740"/>
        <v>899480</v>
      </c>
      <c r="BR349" s="7">
        <f t="shared" si="1741"/>
        <v>894960</v>
      </c>
      <c r="BS349" s="7">
        <f t="shared" si="1742"/>
        <v>890440</v>
      </c>
      <c r="BT349" s="7">
        <f t="shared" si="1743"/>
        <v>885920</v>
      </c>
      <c r="BU349" s="7">
        <f t="shared" si="1744"/>
        <v>881400</v>
      </c>
      <c r="BV349" s="236">
        <v>0</v>
      </c>
      <c r="BW349" s="7">
        <v>4520</v>
      </c>
      <c r="BX349" s="39">
        <f>BW349*12</f>
        <v>54240</v>
      </c>
      <c r="BY349" s="7">
        <f>BU349-BW349</f>
        <v>876880</v>
      </c>
      <c r="BZ349" s="7">
        <f t="shared" si="1745"/>
        <v>872360</v>
      </c>
      <c r="CA349" s="7">
        <f t="shared" si="1746"/>
        <v>867840</v>
      </c>
      <c r="CB349" s="7">
        <f t="shared" si="1747"/>
        <v>863320</v>
      </c>
      <c r="CC349" s="7">
        <f t="shared" si="1748"/>
        <v>858800</v>
      </c>
      <c r="CD349" s="7">
        <f t="shared" si="1749"/>
        <v>854280</v>
      </c>
      <c r="CE349" s="7">
        <f t="shared" si="1750"/>
        <v>849760</v>
      </c>
      <c r="CF349" s="7">
        <f t="shared" si="1751"/>
        <v>845240</v>
      </c>
      <c r="CG349" s="7">
        <f t="shared" si="1752"/>
        <v>840720</v>
      </c>
      <c r="CH349" s="7">
        <f t="shared" si="1753"/>
        <v>836200</v>
      </c>
      <c r="CI349" s="7">
        <f t="shared" si="1754"/>
        <v>831680</v>
      </c>
      <c r="CJ349" s="7">
        <f t="shared" si="1755"/>
        <v>827160</v>
      </c>
      <c r="CK349" s="236">
        <v>0</v>
      </c>
      <c r="CL349" s="7">
        <v>4520</v>
      </c>
      <c r="CM349" s="39">
        <f>CL349*12</f>
        <v>54240</v>
      </c>
      <c r="CN349" s="7">
        <f>CJ349-CL349</f>
        <v>822640</v>
      </c>
      <c r="CO349" s="7">
        <f t="shared" si="1756"/>
        <v>818120</v>
      </c>
      <c r="CP349" s="7">
        <f t="shared" si="1757"/>
        <v>813600</v>
      </c>
      <c r="CQ349" s="7">
        <f t="shared" si="1758"/>
        <v>809080</v>
      </c>
      <c r="CR349" s="7">
        <f t="shared" si="1759"/>
        <v>804560</v>
      </c>
      <c r="CS349" s="7">
        <f t="shared" si="1760"/>
        <v>800040</v>
      </c>
      <c r="CT349" s="7">
        <f t="shared" si="1761"/>
        <v>795520</v>
      </c>
      <c r="CU349" s="7">
        <f t="shared" si="1762"/>
        <v>791000</v>
      </c>
      <c r="CV349" s="7">
        <f t="shared" si="1763"/>
        <v>786480</v>
      </c>
      <c r="CW349" s="7">
        <f t="shared" si="1764"/>
        <v>781960</v>
      </c>
      <c r="CX349" s="7">
        <f t="shared" si="1765"/>
        <v>777440</v>
      </c>
      <c r="CY349" s="7">
        <f t="shared" si="1766"/>
        <v>772920</v>
      </c>
      <c r="CZ349" s="236">
        <v>0</v>
      </c>
    </row>
    <row r="350" spans="1:104" ht="22.5" x14ac:dyDescent="0.2">
      <c r="A350" s="6" t="str">
        <f>'[1]2021 УГРЦТ'!A353</f>
        <v>Реклоузер вакуумный PBA/TEL фидер Нефтебаза на ВЛ 6 кВ ул. Калмыкова, в районе дома №14</v>
      </c>
      <c r="B350" t="str">
        <f>'[1]2021 УГРЦТ'!B353</f>
        <v>000001700</v>
      </c>
      <c r="C350" t="str">
        <f>'[1]2021 УГРЦТ'!C353</f>
        <v>ПЕРЕДАЧА</v>
      </c>
      <c r="D350" t="str">
        <f>'[1]2021 УГРЦТ'!D353</f>
        <v>Машины и оборудование (кроме офисного)</v>
      </c>
      <c r="E350" t="str">
        <f>'[1]2021 УГРЦТ'!E353</f>
        <v>31.03.2017</v>
      </c>
      <c r="F350" t="str">
        <f>'[1]2021 УГРЦТ'!F353</f>
        <v>Цех электрических сетей</v>
      </c>
      <c r="G350">
        <f>'[1]2021 УГРЦТ'!AC353</f>
        <v>300</v>
      </c>
      <c r="H350" s="7">
        <f>'[1]2021 УГРЦТ'!X353</f>
        <v>1356000</v>
      </c>
      <c r="I350" s="7">
        <f>'[1]2021 УГРЦТ'!Y353</f>
        <v>257640</v>
      </c>
      <c r="J350" s="7">
        <f>'[1]2021 УГРЦТ'!Z353</f>
        <v>1098360</v>
      </c>
      <c r="K350" s="8">
        <v>0</v>
      </c>
      <c r="L350" s="7">
        <v>4520</v>
      </c>
      <c r="M350" s="7"/>
      <c r="N350" s="7">
        <f t="shared" si="1492"/>
        <v>54240</v>
      </c>
      <c r="O350" s="7">
        <f t="shared" si="1612"/>
        <v>1093840</v>
      </c>
      <c r="P350" s="7">
        <f t="shared" si="1693"/>
        <v>1089320</v>
      </c>
      <c r="Q350" s="7">
        <f t="shared" si="1693"/>
        <v>1084800</v>
      </c>
      <c r="R350" s="7">
        <f t="shared" si="1693"/>
        <v>1080280</v>
      </c>
      <c r="S350" s="7">
        <f t="shared" si="1693"/>
        <v>1075760</v>
      </c>
      <c r="T350" s="7">
        <f t="shared" si="1693"/>
        <v>1071240</v>
      </c>
      <c r="U350" s="7">
        <f t="shared" si="1693"/>
        <v>1066720</v>
      </c>
      <c r="V350" s="7">
        <f t="shared" si="1693"/>
        <v>1062200</v>
      </c>
      <c r="W350" s="7">
        <f t="shared" si="1693"/>
        <v>1057680</v>
      </c>
      <c r="X350" s="7">
        <f t="shared" si="1693"/>
        <v>1053160</v>
      </c>
      <c r="Y350" s="7">
        <f t="shared" si="1693"/>
        <v>1048640</v>
      </c>
      <c r="Z350" s="7">
        <f t="shared" si="1693"/>
        <v>1044120</v>
      </c>
      <c r="AA350" s="7"/>
      <c r="AB350" s="7"/>
      <c r="AC350" s="7">
        <f t="shared" si="1613"/>
        <v>54240</v>
      </c>
      <c r="AD350" s="7">
        <f t="shared" si="1614"/>
        <v>1039600</v>
      </c>
      <c r="AE350" s="7">
        <f t="shared" si="1731"/>
        <v>1035080</v>
      </c>
      <c r="AF350" s="7">
        <f t="shared" si="1731"/>
        <v>1030560</v>
      </c>
      <c r="AG350" s="7">
        <f t="shared" si="1731"/>
        <v>1026040</v>
      </c>
      <c r="AH350" s="7">
        <f t="shared" si="1731"/>
        <v>1021520</v>
      </c>
      <c r="AI350" s="7">
        <f t="shared" si="1731"/>
        <v>1017000</v>
      </c>
      <c r="AJ350" s="7">
        <f t="shared" si="1731"/>
        <v>1012480</v>
      </c>
      <c r="AK350" s="7">
        <f t="shared" si="1731"/>
        <v>1007960</v>
      </c>
      <c r="AL350" s="7">
        <f t="shared" si="1731"/>
        <v>1003440</v>
      </c>
      <c r="AM350" s="7">
        <f t="shared" si="1731"/>
        <v>998920</v>
      </c>
      <c r="AN350" s="7">
        <f t="shared" si="1731"/>
        <v>994400</v>
      </c>
      <c r="AO350" s="7">
        <f t="shared" si="1731"/>
        <v>989880</v>
      </c>
      <c r="AP350" s="222"/>
      <c r="AQ350" s="7">
        <v>4520</v>
      </c>
      <c r="AR350" s="7">
        <f t="shared" si="1615"/>
        <v>4520</v>
      </c>
      <c r="AS350" s="7">
        <f t="shared" si="1616"/>
        <v>0</v>
      </c>
      <c r="AT350" s="7">
        <f t="shared" si="1732"/>
        <v>54240</v>
      </c>
      <c r="AU350" s="7">
        <f>AO350-$L350</f>
        <v>985360</v>
      </c>
      <c r="AV350" s="7">
        <f t="shared" si="1733"/>
        <v>980840</v>
      </c>
      <c r="AW350" s="7">
        <f t="shared" si="1733"/>
        <v>976320</v>
      </c>
      <c r="AX350" s="7">
        <f t="shared" si="1733"/>
        <v>971800</v>
      </c>
      <c r="AY350" s="7">
        <f t="shared" si="1733"/>
        <v>967280</v>
      </c>
      <c r="AZ350" s="7">
        <f t="shared" si="1733"/>
        <v>962760</v>
      </c>
      <c r="BA350" s="7">
        <f t="shared" si="1733"/>
        <v>958240</v>
      </c>
      <c r="BB350" s="7">
        <f t="shared" si="1733"/>
        <v>953720</v>
      </c>
      <c r="BC350" s="7">
        <f t="shared" si="1733"/>
        <v>949200</v>
      </c>
      <c r="BD350" s="7">
        <f t="shared" si="1733"/>
        <v>944680</v>
      </c>
      <c r="BE350" s="7">
        <f t="shared" si="1733"/>
        <v>940160</v>
      </c>
      <c r="BF350" s="7">
        <f t="shared" si="1733"/>
        <v>935640</v>
      </c>
      <c r="BG350" s="236">
        <f t="shared" si="1598"/>
        <v>0</v>
      </c>
      <c r="BH350" s="7">
        <v>4520</v>
      </c>
      <c r="BI350" s="39">
        <f>BH350*12</f>
        <v>54240</v>
      </c>
      <c r="BJ350" s="7">
        <f>BF350-BH350</f>
        <v>931120</v>
      </c>
      <c r="BK350" s="7">
        <f t="shared" si="1734"/>
        <v>926600</v>
      </c>
      <c r="BL350" s="7">
        <f t="shared" si="1735"/>
        <v>922080</v>
      </c>
      <c r="BM350" s="7">
        <f t="shared" si="1736"/>
        <v>917560</v>
      </c>
      <c r="BN350" s="7">
        <f t="shared" si="1737"/>
        <v>913040</v>
      </c>
      <c r="BO350" s="7">
        <f t="shared" si="1738"/>
        <v>908520</v>
      </c>
      <c r="BP350" s="7">
        <f t="shared" si="1739"/>
        <v>904000</v>
      </c>
      <c r="BQ350" s="7">
        <f t="shared" si="1740"/>
        <v>899480</v>
      </c>
      <c r="BR350" s="7">
        <f t="shared" si="1741"/>
        <v>894960</v>
      </c>
      <c r="BS350" s="7">
        <f t="shared" si="1742"/>
        <v>890440</v>
      </c>
      <c r="BT350" s="7">
        <f t="shared" si="1743"/>
        <v>885920</v>
      </c>
      <c r="BU350" s="7">
        <f t="shared" si="1744"/>
        <v>881400</v>
      </c>
      <c r="BV350" s="236">
        <v>0</v>
      </c>
      <c r="BW350" s="7">
        <v>4520</v>
      </c>
      <c r="BX350" s="39">
        <f>BW350*12</f>
        <v>54240</v>
      </c>
      <c r="BY350" s="7">
        <f>BU350-BW350</f>
        <v>876880</v>
      </c>
      <c r="BZ350" s="7">
        <f t="shared" si="1745"/>
        <v>872360</v>
      </c>
      <c r="CA350" s="7">
        <f t="shared" si="1746"/>
        <v>867840</v>
      </c>
      <c r="CB350" s="7">
        <f t="shared" si="1747"/>
        <v>863320</v>
      </c>
      <c r="CC350" s="7">
        <f t="shared" si="1748"/>
        <v>858800</v>
      </c>
      <c r="CD350" s="7">
        <f t="shared" si="1749"/>
        <v>854280</v>
      </c>
      <c r="CE350" s="7">
        <f t="shared" si="1750"/>
        <v>849760</v>
      </c>
      <c r="CF350" s="7">
        <f t="shared" si="1751"/>
        <v>845240</v>
      </c>
      <c r="CG350" s="7">
        <f t="shared" si="1752"/>
        <v>840720</v>
      </c>
      <c r="CH350" s="7">
        <f t="shared" si="1753"/>
        <v>836200</v>
      </c>
      <c r="CI350" s="7">
        <f t="shared" si="1754"/>
        <v>831680</v>
      </c>
      <c r="CJ350" s="7">
        <f t="shared" si="1755"/>
        <v>827160</v>
      </c>
      <c r="CK350" s="236">
        <v>0</v>
      </c>
      <c r="CL350" s="7">
        <v>4520</v>
      </c>
      <c r="CM350" s="39">
        <f>CL350*12</f>
        <v>54240</v>
      </c>
      <c r="CN350" s="7">
        <f>CJ350-CL350</f>
        <v>822640</v>
      </c>
      <c r="CO350" s="7">
        <f t="shared" si="1756"/>
        <v>818120</v>
      </c>
      <c r="CP350" s="7">
        <f t="shared" si="1757"/>
        <v>813600</v>
      </c>
      <c r="CQ350" s="7">
        <f t="shared" si="1758"/>
        <v>809080</v>
      </c>
      <c r="CR350" s="7">
        <f t="shared" si="1759"/>
        <v>804560</v>
      </c>
      <c r="CS350" s="7">
        <f t="shared" si="1760"/>
        <v>800040</v>
      </c>
      <c r="CT350" s="7">
        <f t="shared" si="1761"/>
        <v>795520</v>
      </c>
      <c r="CU350" s="7">
        <f t="shared" si="1762"/>
        <v>791000</v>
      </c>
      <c r="CV350" s="7">
        <f t="shared" si="1763"/>
        <v>786480</v>
      </c>
      <c r="CW350" s="7">
        <f t="shared" si="1764"/>
        <v>781960</v>
      </c>
      <c r="CX350" s="7">
        <f t="shared" si="1765"/>
        <v>777440</v>
      </c>
      <c r="CY350" s="7">
        <f t="shared" si="1766"/>
        <v>772920</v>
      </c>
      <c r="CZ350" s="236">
        <v>0</v>
      </c>
    </row>
    <row r="351" spans="1:104" ht="22.5" x14ac:dyDescent="0.2">
      <c r="A351" s="6" t="str">
        <f>'[1]2021 УГРЦТ'!A354</f>
        <v>Реконструкция ВЛ-0,4 кВ от ТП № 43 фидер "ул. Рабочая 43" г. Нарьян-Мар НАО</v>
      </c>
      <c r="B351" t="str">
        <f>'[1]2021 УГРЦТ'!B354</f>
        <v>000001679</v>
      </c>
      <c r="C351" t="str">
        <f>'[1]2021 УГРЦТ'!C354</f>
        <v>ПЕРЕДАЧА</v>
      </c>
      <c r="D351" t="str">
        <f>'[1]2021 УГРЦТ'!D354</f>
        <v>Сооружения</v>
      </c>
      <c r="E351" t="str">
        <f>'[1]2021 УГРЦТ'!E354</f>
        <v>20.02.2016</v>
      </c>
      <c r="F351" t="str">
        <f>'[1]2021 УГРЦТ'!F354</f>
        <v>Цех электрических сетей</v>
      </c>
      <c r="G351">
        <f>'[1]2021 УГРЦТ'!AC354</f>
        <v>180</v>
      </c>
      <c r="H351" s="7">
        <f>'[1]2021 УГРЦТ'!X354</f>
        <v>3985204.78</v>
      </c>
      <c r="I351" s="7">
        <f>'[1]2021 УГРЦТ'!Y354</f>
        <v>1549802.0586666667</v>
      </c>
      <c r="J351" s="7">
        <f>'[1]2021 УГРЦТ'!Z354</f>
        <v>2435402.7213333333</v>
      </c>
      <c r="K351" s="8">
        <v>1</v>
      </c>
      <c r="L351" s="7">
        <v>22140.03</v>
      </c>
      <c r="M351" s="7"/>
      <c r="N351" s="7">
        <f t="shared" si="1492"/>
        <v>265680.36</v>
      </c>
      <c r="O351" s="7">
        <f t="shared" si="1612"/>
        <v>2413262.6913333335</v>
      </c>
      <c r="P351" s="7">
        <f t="shared" si="1693"/>
        <v>2391122.6613333337</v>
      </c>
      <c r="Q351" s="7">
        <f t="shared" si="1693"/>
        <v>2368982.6313333339</v>
      </c>
      <c r="R351" s="7">
        <f t="shared" si="1693"/>
        <v>2346842.6013333341</v>
      </c>
      <c r="S351" s="7">
        <f t="shared" si="1693"/>
        <v>2324702.5713333343</v>
      </c>
      <c r="T351" s="7">
        <f t="shared" si="1693"/>
        <v>2302562.5413333345</v>
      </c>
      <c r="U351" s="7">
        <f t="shared" si="1693"/>
        <v>2280422.5113333347</v>
      </c>
      <c r="V351" s="7">
        <f t="shared" si="1693"/>
        <v>2258282.4813333349</v>
      </c>
      <c r="W351" s="7">
        <f t="shared" si="1693"/>
        <v>2236142.4513333351</v>
      </c>
      <c r="X351" s="7">
        <f t="shared" si="1693"/>
        <v>2214002.4213333353</v>
      </c>
      <c r="Y351" s="7">
        <f t="shared" si="1693"/>
        <v>2191862.3913333355</v>
      </c>
      <c r="Z351" s="7">
        <f t="shared" si="1693"/>
        <v>2169722.3613333357</v>
      </c>
      <c r="AA351" s="7">
        <f t="shared" ref="AA351:AA356" si="1767">SUM(O351:Z351,J351)/13*$AA$1</f>
        <v>50656.375909333357</v>
      </c>
      <c r="AB351" s="7"/>
      <c r="AC351" s="7">
        <f t="shared" si="1613"/>
        <v>265680.36</v>
      </c>
      <c r="AD351" s="7">
        <f t="shared" si="1614"/>
        <v>2147582.331333336</v>
      </c>
      <c r="AE351" s="7">
        <f t="shared" si="1731"/>
        <v>2125442.3013333362</v>
      </c>
      <c r="AF351" s="7">
        <f t="shared" si="1731"/>
        <v>2103302.2713333364</v>
      </c>
      <c r="AG351" s="7">
        <f t="shared" si="1731"/>
        <v>2081162.2413333363</v>
      </c>
      <c r="AH351" s="7">
        <f t="shared" si="1731"/>
        <v>2059022.2113333363</v>
      </c>
      <c r="AI351" s="7">
        <f t="shared" si="1731"/>
        <v>2036882.1813333363</v>
      </c>
      <c r="AJ351" s="7">
        <f t="shared" si="1731"/>
        <v>2014742.1513333363</v>
      </c>
      <c r="AK351" s="7">
        <f t="shared" si="1731"/>
        <v>1992602.1213333362</v>
      </c>
      <c r="AL351" s="7">
        <f t="shared" si="1731"/>
        <v>1970462.0913333362</v>
      </c>
      <c r="AM351" s="7">
        <f t="shared" si="1731"/>
        <v>1948322.0613333362</v>
      </c>
      <c r="AN351" s="7">
        <f t="shared" si="1731"/>
        <v>1926182.0313333361</v>
      </c>
      <c r="AO351" s="7">
        <f t="shared" si="1731"/>
        <v>1904042.0013333361</v>
      </c>
      <c r="AP351" s="222">
        <f t="shared" ref="AP351:AP356" si="1768">IF(K351&lt;1,0,SUM(AD351:AO351,Z351)/13*$BG$1)</f>
        <v>44811.407989333391</v>
      </c>
      <c r="AQ351" s="7">
        <v>22140.03</v>
      </c>
      <c r="AR351" s="7">
        <f t="shared" si="1615"/>
        <v>22140.030000000028</v>
      </c>
      <c r="AS351" s="7">
        <f t="shared" si="1616"/>
        <v>2.9103830456733704E-11</v>
      </c>
      <c r="AT351" s="7">
        <f t="shared" si="1732"/>
        <v>265680.36</v>
      </c>
      <c r="AU351" s="7">
        <f>AO351-$L351</f>
        <v>1881901.9713333361</v>
      </c>
      <c r="AV351" s="7">
        <f t="shared" si="1733"/>
        <v>1859761.9413333361</v>
      </c>
      <c r="AW351" s="7">
        <f t="shared" si="1733"/>
        <v>1837621.911333336</v>
      </c>
      <c r="AX351" s="7">
        <f t="shared" si="1733"/>
        <v>1815481.881333336</v>
      </c>
      <c r="AY351" s="7">
        <f t="shared" si="1733"/>
        <v>1793341.851333336</v>
      </c>
      <c r="AZ351" s="7">
        <f t="shared" si="1733"/>
        <v>1771201.8213333359</v>
      </c>
      <c r="BA351" s="7">
        <f t="shared" si="1733"/>
        <v>1749061.7913333359</v>
      </c>
      <c r="BB351" s="7">
        <f t="shared" si="1733"/>
        <v>1726921.7613333359</v>
      </c>
      <c r="BC351" s="7">
        <f t="shared" si="1733"/>
        <v>1704781.7313333359</v>
      </c>
      <c r="BD351" s="7">
        <f t="shared" si="1733"/>
        <v>1682641.7013333358</v>
      </c>
      <c r="BE351" s="7">
        <f t="shared" si="1733"/>
        <v>1660501.6713333358</v>
      </c>
      <c r="BF351" s="7">
        <f t="shared" si="1733"/>
        <v>1638361.6413333358</v>
      </c>
      <c r="BG351" s="236">
        <f t="shared" si="1598"/>
        <v>38966.440069333388</v>
      </c>
      <c r="BH351" s="7">
        <v>22140.03</v>
      </c>
      <c r="BI351" s="39">
        <f>BH351*12</f>
        <v>265680.36</v>
      </c>
      <c r="BJ351" s="7">
        <f>BF351-BH351</f>
        <v>1616221.6113333357</v>
      </c>
      <c r="BK351" s="7">
        <f t="shared" si="1734"/>
        <v>1594081.5813333357</v>
      </c>
      <c r="BL351" s="7">
        <f t="shared" si="1735"/>
        <v>1571941.5513333357</v>
      </c>
      <c r="BM351" s="7">
        <f t="shared" si="1736"/>
        <v>1549801.5213333357</v>
      </c>
      <c r="BN351" s="7">
        <f t="shared" si="1737"/>
        <v>1527661.4913333356</v>
      </c>
      <c r="BO351" s="7">
        <f t="shared" si="1738"/>
        <v>1505521.4613333356</v>
      </c>
      <c r="BP351" s="7">
        <f t="shared" si="1739"/>
        <v>1483381.4313333356</v>
      </c>
      <c r="BQ351" s="7">
        <f t="shared" si="1740"/>
        <v>1461241.4013333356</v>
      </c>
      <c r="BR351" s="7">
        <f t="shared" si="1741"/>
        <v>1439101.3713333355</v>
      </c>
      <c r="BS351" s="7">
        <f t="shared" si="1742"/>
        <v>1416961.3413333355</v>
      </c>
      <c r="BT351" s="7">
        <f t="shared" si="1743"/>
        <v>1394821.3113333355</v>
      </c>
      <c r="BU351" s="7">
        <f t="shared" si="1744"/>
        <v>1372681.2813333354</v>
      </c>
      <c r="BV351" s="236">
        <f t="shared" ref="BV351:BV356" si="1769">IF(Z351&lt;1,0,SUM(BJ351:BU351,BF351)/13*$BG$1)</f>
        <v>33121.472149333378</v>
      </c>
      <c r="BW351" s="7">
        <v>22140.03</v>
      </c>
      <c r="BX351" s="39">
        <f>BW351*12</f>
        <v>265680.36</v>
      </c>
      <c r="BY351" s="7">
        <f>BU351-BW351</f>
        <v>1350541.2513333354</v>
      </c>
      <c r="BZ351" s="7">
        <f t="shared" si="1745"/>
        <v>1328401.2213333354</v>
      </c>
      <c r="CA351" s="7">
        <f t="shared" si="1746"/>
        <v>1306261.1913333354</v>
      </c>
      <c r="CB351" s="7">
        <f t="shared" si="1747"/>
        <v>1284121.1613333353</v>
      </c>
      <c r="CC351" s="7">
        <f t="shared" si="1748"/>
        <v>1261981.1313333353</v>
      </c>
      <c r="CD351" s="7">
        <f t="shared" si="1749"/>
        <v>1239841.1013333353</v>
      </c>
      <c r="CE351" s="7">
        <f t="shared" si="1750"/>
        <v>1217701.0713333352</v>
      </c>
      <c r="CF351" s="7">
        <f t="shared" si="1751"/>
        <v>1195561.0413333352</v>
      </c>
      <c r="CG351" s="7">
        <f t="shared" si="1752"/>
        <v>1173421.0113333352</v>
      </c>
      <c r="CH351" s="7">
        <f t="shared" si="1753"/>
        <v>1151280.9813333352</v>
      </c>
      <c r="CI351" s="7">
        <f t="shared" si="1754"/>
        <v>1129140.9513333351</v>
      </c>
      <c r="CJ351" s="7">
        <f t="shared" si="1755"/>
        <v>1107000.9213333351</v>
      </c>
      <c r="CK351" s="236">
        <f t="shared" ref="CK351:CK356" si="1770">IF(AO351&lt;1,0,SUM(BY351:CJ351,BU351)/13*$BG$1)</f>
        <v>27276.504229333375</v>
      </c>
      <c r="CL351" s="7">
        <v>22140.03</v>
      </c>
      <c r="CM351" s="39">
        <f>CL351*12</f>
        <v>265680.36</v>
      </c>
      <c r="CN351" s="7">
        <f>CJ351-CL351</f>
        <v>1084860.8913333351</v>
      </c>
      <c r="CO351" s="7">
        <f t="shared" si="1756"/>
        <v>1062720.8613333351</v>
      </c>
      <c r="CP351" s="7">
        <f t="shared" si="1757"/>
        <v>1040580.831333335</v>
      </c>
      <c r="CQ351" s="7">
        <f t="shared" si="1758"/>
        <v>1018440.801333335</v>
      </c>
      <c r="CR351" s="7">
        <f t="shared" si="1759"/>
        <v>996300.77133333497</v>
      </c>
      <c r="CS351" s="7">
        <f t="shared" si="1760"/>
        <v>974160.74133333494</v>
      </c>
      <c r="CT351" s="7">
        <f t="shared" si="1761"/>
        <v>952020.71133333491</v>
      </c>
      <c r="CU351" s="7">
        <f t="shared" si="1762"/>
        <v>929880.68133333488</v>
      </c>
      <c r="CV351" s="7">
        <f t="shared" si="1763"/>
        <v>907740.65133333486</v>
      </c>
      <c r="CW351" s="7">
        <f t="shared" si="1764"/>
        <v>885600.62133333483</v>
      </c>
      <c r="CX351" s="7">
        <f t="shared" si="1765"/>
        <v>863460.5913333348</v>
      </c>
      <c r="CY351" s="7">
        <f t="shared" si="1766"/>
        <v>841320.56133333477</v>
      </c>
      <c r="CZ351" s="236">
        <f t="shared" ref="CZ351:CZ356" si="1771">IF(BF351&lt;1,0,SUM(CN351:CY351,CJ351)/13*$BG$1)</f>
        <v>21431.536309333365</v>
      </c>
    </row>
    <row r="352" spans="1:104" ht="22.5" x14ac:dyDescent="0.2">
      <c r="A352" s="6" t="str">
        <f>'[1]2021 УГРЦТ'!A355</f>
        <v>Реконструкция ВЛ-0,4 кВ от ТП №24 фидер "ул. 60 лет Октября 3а"</v>
      </c>
      <c r="B352" t="str">
        <f>'[1]2021 УГРЦТ'!B355</f>
        <v>000001678</v>
      </c>
      <c r="C352" t="str">
        <f>'[1]2021 УГРЦТ'!C355</f>
        <v>ПЕРЕДАЧА</v>
      </c>
      <c r="D352" t="str">
        <f>'[1]2021 УГРЦТ'!D355</f>
        <v>Сооружения</v>
      </c>
      <c r="E352" t="str">
        <f>'[1]2021 УГРЦТ'!E355</f>
        <v>20.02.2016</v>
      </c>
      <c r="F352" t="str">
        <f>'[1]2021 УГРЦТ'!F355</f>
        <v>Цех электрических сетей</v>
      </c>
      <c r="G352">
        <f>'[1]2021 УГРЦТ'!AC355</f>
        <v>180</v>
      </c>
      <c r="H352" s="7">
        <f>'[1]2021 УГРЦТ'!X355</f>
        <v>3184874.41</v>
      </c>
      <c r="I352" s="7">
        <f>'[1]2021 УГРЦТ'!Y355</f>
        <v>1238562.4606666667</v>
      </c>
      <c r="J352" s="7">
        <f>'[1]2021 УГРЦТ'!Z355</f>
        <v>1946311.9493333334</v>
      </c>
      <c r="K352" s="8">
        <v>1</v>
      </c>
      <c r="L352" s="7">
        <v>17693.75</v>
      </c>
      <c r="M352" s="7"/>
      <c r="N352" s="7">
        <f t="shared" si="1492"/>
        <v>212325</v>
      </c>
      <c r="O352" s="7">
        <f t="shared" si="1612"/>
        <v>1928618.1993333334</v>
      </c>
      <c r="P352" s="7">
        <f t="shared" si="1693"/>
        <v>1910924.4493333334</v>
      </c>
      <c r="Q352" s="7">
        <f t="shared" si="1693"/>
        <v>1893230.6993333334</v>
      </c>
      <c r="R352" s="7">
        <f t="shared" si="1693"/>
        <v>1875536.9493333334</v>
      </c>
      <c r="S352" s="7">
        <f t="shared" si="1693"/>
        <v>1857843.1993333334</v>
      </c>
      <c r="T352" s="7">
        <f t="shared" si="1693"/>
        <v>1840149.4493333334</v>
      </c>
      <c r="U352" s="7">
        <f t="shared" si="1693"/>
        <v>1822455.6993333334</v>
      </c>
      <c r="V352" s="7">
        <f t="shared" si="1693"/>
        <v>1804761.9493333334</v>
      </c>
      <c r="W352" s="7">
        <f t="shared" si="1693"/>
        <v>1787068.1993333334</v>
      </c>
      <c r="X352" s="7">
        <f t="shared" si="1693"/>
        <v>1769374.4493333334</v>
      </c>
      <c r="Y352" s="7">
        <f t="shared" si="1693"/>
        <v>1751680.6993333334</v>
      </c>
      <c r="Z352" s="7">
        <f t="shared" si="1693"/>
        <v>1733986.9493333334</v>
      </c>
      <c r="AA352" s="7">
        <f t="shared" si="1767"/>
        <v>40483.287885333317</v>
      </c>
      <c r="AB352" s="7"/>
      <c r="AC352" s="7">
        <f t="shared" si="1613"/>
        <v>212325</v>
      </c>
      <c r="AD352" s="7">
        <f t="shared" si="1614"/>
        <v>1716293.1993333334</v>
      </c>
      <c r="AE352" s="7">
        <f t="shared" si="1731"/>
        <v>1698599.4493333334</v>
      </c>
      <c r="AF352" s="7">
        <f t="shared" si="1731"/>
        <v>1680905.6993333334</v>
      </c>
      <c r="AG352" s="7">
        <f t="shared" si="1731"/>
        <v>1663211.9493333334</v>
      </c>
      <c r="AH352" s="7">
        <f t="shared" si="1731"/>
        <v>1645518.1993333334</v>
      </c>
      <c r="AI352" s="7">
        <f t="shared" si="1731"/>
        <v>1627824.4493333334</v>
      </c>
      <c r="AJ352" s="7">
        <f t="shared" si="1731"/>
        <v>1610130.6993333334</v>
      </c>
      <c r="AK352" s="7">
        <f t="shared" si="1731"/>
        <v>1592436.9493333334</v>
      </c>
      <c r="AL352" s="7">
        <f t="shared" si="1731"/>
        <v>1574743.1993333334</v>
      </c>
      <c r="AM352" s="7">
        <f t="shared" si="1731"/>
        <v>1557049.4493333334</v>
      </c>
      <c r="AN352" s="7">
        <f t="shared" si="1731"/>
        <v>1539355.6993333334</v>
      </c>
      <c r="AO352" s="7">
        <f t="shared" si="1731"/>
        <v>1521661.9493333334</v>
      </c>
      <c r="AP352" s="222">
        <f t="shared" si="1768"/>
        <v>35812.137885333315</v>
      </c>
      <c r="AQ352" s="7">
        <v>17693.75</v>
      </c>
      <c r="AR352" s="7">
        <f t="shared" si="1615"/>
        <v>17693.75</v>
      </c>
      <c r="AS352" s="7">
        <f t="shared" si="1616"/>
        <v>0</v>
      </c>
      <c r="AT352" s="7">
        <f>L352*12</f>
        <v>212325</v>
      </c>
      <c r="AU352" s="7">
        <f>AO352-$L352</f>
        <v>1503968.1993333334</v>
      </c>
      <c r="AV352" s="7">
        <f t="shared" si="1733"/>
        <v>1486274.4493333334</v>
      </c>
      <c r="AW352" s="7">
        <f t="shared" si="1733"/>
        <v>1468580.6993333334</v>
      </c>
      <c r="AX352" s="7">
        <f t="shared" si="1733"/>
        <v>1450886.9493333334</v>
      </c>
      <c r="AY352" s="7">
        <f t="shared" si="1733"/>
        <v>1433193.1993333334</v>
      </c>
      <c r="AZ352" s="7">
        <f t="shared" si="1733"/>
        <v>1415499.4493333334</v>
      </c>
      <c r="BA352" s="7">
        <f t="shared" si="1733"/>
        <v>1397805.6993333334</v>
      </c>
      <c r="BB352" s="7">
        <f t="shared" si="1733"/>
        <v>1380111.9493333334</v>
      </c>
      <c r="BC352" s="7">
        <f t="shared" si="1733"/>
        <v>1362418.1993333334</v>
      </c>
      <c r="BD352" s="7">
        <f t="shared" si="1733"/>
        <v>1344724.4493333334</v>
      </c>
      <c r="BE352" s="7">
        <f t="shared" si="1733"/>
        <v>1327030.6993333334</v>
      </c>
      <c r="BF352" s="7">
        <f t="shared" si="1733"/>
        <v>1309336.9493333334</v>
      </c>
      <c r="BG352" s="236">
        <f t="shared" si="1598"/>
        <v>31140.987885333321</v>
      </c>
      <c r="BH352" s="7">
        <v>17693.75</v>
      </c>
      <c r="BI352" s="39">
        <f>BH352*12</f>
        <v>212325</v>
      </c>
      <c r="BJ352" s="7">
        <f>BF352-BH352</f>
        <v>1291643.1993333334</v>
      </c>
      <c r="BK352" s="7">
        <f t="shared" si="1734"/>
        <v>1273949.4493333334</v>
      </c>
      <c r="BL352" s="7">
        <f t="shared" si="1735"/>
        <v>1256255.6993333334</v>
      </c>
      <c r="BM352" s="7">
        <f t="shared" si="1736"/>
        <v>1238561.9493333334</v>
      </c>
      <c r="BN352" s="7">
        <f t="shared" si="1737"/>
        <v>1220868.1993333334</v>
      </c>
      <c r="BO352" s="7">
        <f t="shared" si="1738"/>
        <v>1203174.4493333334</v>
      </c>
      <c r="BP352" s="7">
        <f t="shared" si="1739"/>
        <v>1185480.6993333334</v>
      </c>
      <c r="BQ352" s="7">
        <f t="shared" si="1740"/>
        <v>1167786.9493333334</v>
      </c>
      <c r="BR352" s="7">
        <f t="shared" si="1741"/>
        <v>1150093.1993333334</v>
      </c>
      <c r="BS352" s="7">
        <f t="shared" si="1742"/>
        <v>1132399.4493333334</v>
      </c>
      <c r="BT352" s="7">
        <f t="shared" si="1743"/>
        <v>1114705.6993333334</v>
      </c>
      <c r="BU352" s="7">
        <f t="shared" si="1744"/>
        <v>1097011.9493333334</v>
      </c>
      <c r="BV352" s="236">
        <f t="shared" si="1769"/>
        <v>26469.837885333323</v>
      </c>
      <c r="BW352" s="7">
        <v>17693.75</v>
      </c>
      <c r="BX352" s="39">
        <f>BW352*12</f>
        <v>212325</v>
      </c>
      <c r="BY352" s="7">
        <f>BU352-BW352</f>
        <v>1079318.1993333334</v>
      </c>
      <c r="BZ352" s="7">
        <f t="shared" si="1745"/>
        <v>1061624.4493333334</v>
      </c>
      <c r="CA352" s="7">
        <f t="shared" si="1746"/>
        <v>1043930.6993333334</v>
      </c>
      <c r="CB352" s="7">
        <f t="shared" si="1747"/>
        <v>1026236.9493333334</v>
      </c>
      <c r="CC352" s="7">
        <f t="shared" si="1748"/>
        <v>1008543.1993333334</v>
      </c>
      <c r="CD352" s="7">
        <f t="shared" si="1749"/>
        <v>990849.44933333341</v>
      </c>
      <c r="CE352" s="7">
        <f t="shared" si="1750"/>
        <v>973155.69933333341</v>
      </c>
      <c r="CF352" s="7">
        <f t="shared" si="1751"/>
        <v>955461.94933333341</v>
      </c>
      <c r="CG352" s="7">
        <f t="shared" si="1752"/>
        <v>937768.19933333341</v>
      </c>
      <c r="CH352" s="7">
        <f t="shared" si="1753"/>
        <v>920074.44933333341</v>
      </c>
      <c r="CI352" s="7">
        <f t="shared" si="1754"/>
        <v>902380.69933333341</v>
      </c>
      <c r="CJ352" s="7">
        <f t="shared" si="1755"/>
        <v>884686.94933333341</v>
      </c>
      <c r="CK352" s="236">
        <f t="shared" si="1770"/>
        <v>21798.687885333326</v>
      </c>
      <c r="CL352" s="7">
        <v>17693.75</v>
      </c>
      <c r="CM352" s="39">
        <f>CL352*12</f>
        <v>212325</v>
      </c>
      <c r="CN352" s="7">
        <f>CJ352-CL352</f>
        <v>866993.19933333341</v>
      </c>
      <c r="CO352" s="7">
        <f t="shared" si="1756"/>
        <v>849299.44933333341</v>
      </c>
      <c r="CP352" s="7">
        <f t="shared" si="1757"/>
        <v>831605.69933333341</v>
      </c>
      <c r="CQ352" s="7">
        <f t="shared" si="1758"/>
        <v>813911.94933333341</v>
      </c>
      <c r="CR352" s="7">
        <f t="shared" si="1759"/>
        <v>796218.19933333341</v>
      </c>
      <c r="CS352" s="7">
        <f t="shared" si="1760"/>
        <v>778524.44933333341</v>
      </c>
      <c r="CT352" s="7">
        <f t="shared" si="1761"/>
        <v>760830.69933333341</v>
      </c>
      <c r="CU352" s="7">
        <f t="shared" si="1762"/>
        <v>743136.94933333341</v>
      </c>
      <c r="CV352" s="7">
        <f t="shared" si="1763"/>
        <v>725443.19933333341</v>
      </c>
      <c r="CW352" s="7">
        <f t="shared" si="1764"/>
        <v>707749.44933333341</v>
      </c>
      <c r="CX352" s="7">
        <f t="shared" si="1765"/>
        <v>690055.69933333341</v>
      </c>
      <c r="CY352" s="7">
        <f t="shared" si="1766"/>
        <v>672361.94933333341</v>
      </c>
      <c r="CZ352" s="236">
        <f t="shared" si="1771"/>
        <v>17127.537885333331</v>
      </c>
    </row>
    <row r="353" spans="1:104" x14ac:dyDescent="0.2">
      <c r="A353" s="6" t="str">
        <f>'[1]2021 УГРЦТ'!A356</f>
        <v>РП-6кВ "Банное озеро" 2008г</v>
      </c>
      <c r="B353" t="str">
        <f>'[1]2021 УГРЦТ'!B356</f>
        <v>00001093</v>
      </c>
      <c r="C353" t="str">
        <f>'[1]2021 УГРЦТ'!C356</f>
        <v>ПЕРЕДАЧА</v>
      </c>
      <c r="D353" t="str">
        <f>'[1]2021 УГРЦТ'!D356</f>
        <v>Сооружения</v>
      </c>
      <c r="E353" t="str">
        <f>'[1]2021 УГРЦТ'!E356</f>
        <v>30.09.2008</v>
      </c>
      <c r="F353" t="str">
        <f>'[1]2021 УГРЦТ'!F356</f>
        <v>Цех электрических сетей</v>
      </c>
      <c r="G353">
        <f>'[1]2021 УГРЦТ'!AC356</f>
        <v>180</v>
      </c>
      <c r="H353" s="7">
        <f>'[1]2021 УГРЦТ'!X356</f>
        <v>588018.28</v>
      </c>
      <c r="I353" s="7">
        <f>'[1]2021 УГРЦТ'!Y356</f>
        <v>519416.40866666666</v>
      </c>
      <c r="J353" s="7">
        <f>'[1]2021 УГРЦТ'!Z356</f>
        <v>68601.871333333373</v>
      </c>
      <c r="K353" s="8">
        <v>1</v>
      </c>
      <c r="L353" s="7">
        <v>3266.77</v>
      </c>
      <c r="M353" s="7"/>
      <c r="N353" s="7">
        <f t="shared" si="1492"/>
        <v>39201.24</v>
      </c>
      <c r="O353" s="7">
        <f t="shared" si="1612"/>
        <v>65335.101333333376</v>
      </c>
      <c r="P353" s="7">
        <f t="shared" si="1693"/>
        <v>62068.331333333379</v>
      </c>
      <c r="Q353" s="7">
        <f t="shared" si="1693"/>
        <v>58801.561333333382</v>
      </c>
      <c r="R353" s="7">
        <f t="shared" si="1693"/>
        <v>55534.791333333385</v>
      </c>
      <c r="S353" s="7">
        <f t="shared" si="1693"/>
        <v>52268.021333333389</v>
      </c>
      <c r="T353" s="7">
        <f t="shared" si="1693"/>
        <v>49001.251333333392</v>
      </c>
      <c r="U353" s="7">
        <f t="shared" si="1693"/>
        <v>45734.481333333395</v>
      </c>
      <c r="V353" s="7">
        <f t="shared" si="1693"/>
        <v>42467.711333333398</v>
      </c>
      <c r="W353" s="7">
        <f t="shared" si="1693"/>
        <v>39200.941333333401</v>
      </c>
      <c r="X353" s="7">
        <f t="shared" si="1693"/>
        <v>35934.171333333405</v>
      </c>
      <c r="Y353" s="7">
        <f t="shared" si="1693"/>
        <v>32667.401333333404</v>
      </c>
      <c r="Z353" s="7">
        <f t="shared" si="1693"/>
        <v>29400.631333333404</v>
      </c>
      <c r="AA353" s="7">
        <f t="shared" si="1767"/>
        <v>1078.0275293333345</v>
      </c>
      <c r="AB353" s="7"/>
      <c r="AC353" s="7">
        <f>L353*9-0.3</f>
        <v>29400.63</v>
      </c>
      <c r="AD353" s="7">
        <f t="shared" si="1614"/>
        <v>26133.861333333403</v>
      </c>
      <c r="AE353" s="7">
        <f t="shared" si="1731"/>
        <v>22867.091333333403</v>
      </c>
      <c r="AF353" s="7">
        <f t="shared" si="1731"/>
        <v>19600.321333333402</v>
      </c>
      <c r="AG353" s="7">
        <f t="shared" si="1731"/>
        <v>16333.551333333402</v>
      </c>
      <c r="AH353" s="7">
        <f t="shared" si="1731"/>
        <v>13066.781333333402</v>
      </c>
      <c r="AI353" s="7">
        <f t="shared" si="1731"/>
        <v>9800.0113333334011</v>
      </c>
      <c r="AJ353" s="7">
        <f t="shared" si="1731"/>
        <v>6533.2413333334007</v>
      </c>
      <c r="AK353" s="7">
        <f t="shared" si="1731"/>
        <v>3266.4713333334007</v>
      </c>
      <c r="AL353" s="7"/>
      <c r="AM353" s="7"/>
      <c r="AN353" s="7"/>
      <c r="AO353" s="7"/>
      <c r="AP353" s="222">
        <f t="shared" si="1768"/>
        <v>248.77255107692412</v>
      </c>
      <c r="AQ353" s="7">
        <v>3266.77</v>
      </c>
      <c r="AR353" s="7"/>
      <c r="AS353" s="7"/>
      <c r="BG353" s="236">
        <f t="shared" si="1598"/>
        <v>0</v>
      </c>
      <c r="BH353" s="7">
        <v>3266.77</v>
      </c>
      <c r="BV353" s="236">
        <f t="shared" si="1769"/>
        <v>0</v>
      </c>
      <c r="BW353" s="7">
        <v>3266.77</v>
      </c>
      <c r="CK353" s="236">
        <f t="shared" si="1770"/>
        <v>0</v>
      </c>
      <c r="CL353" s="7">
        <v>3266.77</v>
      </c>
      <c r="CZ353" s="236">
        <f t="shared" si="1771"/>
        <v>0</v>
      </c>
    </row>
    <row r="354" spans="1:104" ht="22.5" x14ac:dyDescent="0.2">
      <c r="A354" s="6" t="str">
        <f>'[1]2021 УГРЦТ'!A357</f>
        <v>РП-6кВ с питающими кабельными линиями 6 кВ по ул. Октябрьская и ул. Выучейского</v>
      </c>
      <c r="B354" t="str">
        <f>'[1]2021 УГРЦТ'!B357</f>
        <v>000001756</v>
      </c>
      <c r="C354" t="str">
        <f>'[1]2021 УГРЦТ'!C357</f>
        <v>ПЕРЕДАЧА</v>
      </c>
      <c r="D354" t="str">
        <f>'[1]2021 УГРЦТ'!D357</f>
        <v>Сооружения</v>
      </c>
      <c r="E354" t="str">
        <f>'[1]2021 УГРЦТ'!E357</f>
        <v>29.12.2018</v>
      </c>
      <c r="F354" t="str">
        <f>'[1]2021 УГРЦТ'!F357</f>
        <v>Цех электрических сетей</v>
      </c>
      <c r="G354">
        <f>'[1]2021 УГРЦТ'!AC357</f>
        <v>300</v>
      </c>
      <c r="H354" s="7">
        <f>'[1]2021 УГРЦТ'!X357</f>
        <v>10871012.09</v>
      </c>
      <c r="I354" s="7">
        <f>'[1]2021 УГРЦТ'!Y357</f>
        <v>1304521.5236000002</v>
      </c>
      <c r="J354" s="7">
        <f>'[1]2021 УГРЦТ'!Z357</f>
        <v>9566490.566399999</v>
      </c>
      <c r="K354" s="8">
        <v>1</v>
      </c>
      <c r="L354" s="7">
        <v>36236.710000000006</v>
      </c>
      <c r="M354" s="7"/>
      <c r="N354" s="7">
        <f t="shared" si="1492"/>
        <v>434840.52000000008</v>
      </c>
      <c r="O354" s="7">
        <f t="shared" si="1612"/>
        <v>9530253.8563999981</v>
      </c>
      <c r="P354" s="7">
        <f t="shared" si="1693"/>
        <v>9494017.1463999972</v>
      </c>
      <c r="Q354" s="7">
        <f t="shared" si="1693"/>
        <v>9457780.4363999963</v>
      </c>
      <c r="R354" s="7">
        <f t="shared" si="1693"/>
        <v>9421543.7263999954</v>
      </c>
      <c r="S354" s="7">
        <f t="shared" si="1693"/>
        <v>9385307.0163999945</v>
      </c>
      <c r="T354" s="7">
        <f t="shared" si="1693"/>
        <v>9349070.3063999936</v>
      </c>
      <c r="U354" s="7">
        <f t="shared" si="1693"/>
        <v>9312833.5963999927</v>
      </c>
      <c r="V354" s="7">
        <f t="shared" si="1693"/>
        <v>9276596.8863999918</v>
      </c>
      <c r="W354" s="7">
        <f t="shared" si="1693"/>
        <v>9240360.1763999909</v>
      </c>
      <c r="X354" s="7">
        <f t="shared" si="1693"/>
        <v>9204123.46639999</v>
      </c>
      <c r="Y354" s="7">
        <f t="shared" si="1693"/>
        <v>9167886.7563999891</v>
      </c>
      <c r="Z354" s="7">
        <f t="shared" si="1693"/>
        <v>9131650.0463999882</v>
      </c>
      <c r="AA354" s="7">
        <f t="shared" si="1767"/>
        <v>205679.54674079979</v>
      </c>
      <c r="AB354" s="7"/>
      <c r="AC354" s="7">
        <f t="shared" si="1613"/>
        <v>434840.52000000008</v>
      </c>
      <c r="AD354" s="7">
        <f t="shared" si="1614"/>
        <v>9095413.3363999873</v>
      </c>
      <c r="AE354" s="7">
        <f t="shared" si="1731"/>
        <v>9059176.6263999864</v>
      </c>
      <c r="AF354" s="7">
        <f t="shared" si="1731"/>
        <v>9022939.9163999856</v>
      </c>
      <c r="AG354" s="7">
        <f t="shared" si="1731"/>
        <v>8986703.2063999847</v>
      </c>
      <c r="AH354" s="7">
        <f t="shared" si="1731"/>
        <v>8950466.4963999838</v>
      </c>
      <c r="AI354" s="7">
        <f t="shared" si="1731"/>
        <v>8914229.7863999829</v>
      </c>
      <c r="AJ354" s="7">
        <f t="shared" si="1731"/>
        <v>8877993.076399982</v>
      </c>
      <c r="AK354" s="7">
        <f t="shared" si="1731"/>
        <v>8841756.3663999811</v>
      </c>
      <c r="AL354" s="7">
        <f t="shared" si="1731"/>
        <v>8805519.6563999802</v>
      </c>
      <c r="AM354" s="7">
        <f t="shared" si="1731"/>
        <v>8769282.9463999793</v>
      </c>
      <c r="AN354" s="7">
        <f t="shared" si="1731"/>
        <v>8733046.2363999784</v>
      </c>
      <c r="AO354" s="7">
        <f t="shared" si="1731"/>
        <v>8696809.5263999775</v>
      </c>
      <c r="AP354" s="222">
        <f t="shared" si="1768"/>
        <v>196113.05530079958</v>
      </c>
      <c r="AQ354" s="7">
        <v>36236.710000000006</v>
      </c>
      <c r="AR354" s="7">
        <f t="shared" si="1615"/>
        <v>36236.710000000894</v>
      </c>
      <c r="AS354" s="7">
        <f t="shared" si="1616"/>
        <v>8.8766682893037796E-10</v>
      </c>
      <c r="AT354" s="7">
        <f t="shared" ref="AT354:AT363" si="1772">L354*12</f>
        <v>434840.52000000008</v>
      </c>
      <c r="AU354" s="7">
        <f t="shared" ref="AU354:AU363" si="1773">AO354-$L354</f>
        <v>8660572.8163999766</v>
      </c>
      <c r="AV354" s="7">
        <f t="shared" ref="AV354:BF363" si="1774">AU354-$L354</f>
        <v>8624336.1063999757</v>
      </c>
      <c r="AW354" s="7">
        <f t="shared" si="1774"/>
        <v>8588099.3963999748</v>
      </c>
      <c r="AX354" s="7">
        <f t="shared" si="1774"/>
        <v>8551862.6863999739</v>
      </c>
      <c r="AY354" s="7">
        <f t="shared" si="1774"/>
        <v>8515625.976399973</v>
      </c>
      <c r="AZ354" s="7">
        <f t="shared" si="1774"/>
        <v>8479389.2663999721</v>
      </c>
      <c r="BA354" s="7">
        <f t="shared" si="1774"/>
        <v>8443152.5563999712</v>
      </c>
      <c r="BB354" s="7">
        <f t="shared" si="1774"/>
        <v>8406915.8463999704</v>
      </c>
      <c r="BC354" s="7">
        <f t="shared" si="1774"/>
        <v>8370679.1363999704</v>
      </c>
      <c r="BD354" s="7">
        <f t="shared" si="1774"/>
        <v>8334442.4263999704</v>
      </c>
      <c r="BE354" s="7">
        <f t="shared" si="1774"/>
        <v>8298205.7163999705</v>
      </c>
      <c r="BF354" s="7">
        <f t="shared" si="1774"/>
        <v>8261969.0063999705</v>
      </c>
      <c r="BG354" s="236">
        <f t="shared" si="1598"/>
        <v>186546.56386079939</v>
      </c>
      <c r="BH354" s="7">
        <v>36236.710000000006</v>
      </c>
      <c r="BI354" s="39">
        <f t="shared" ref="BI354:BI363" si="1775">BH354*12</f>
        <v>434840.52000000008</v>
      </c>
      <c r="BJ354" s="7">
        <f t="shared" ref="BJ354:BJ363" si="1776">BF354-BH354</f>
        <v>8225732.2963999705</v>
      </c>
      <c r="BK354" s="7">
        <f t="shared" ref="BK354:BK363" si="1777">BJ354-$L354</f>
        <v>8189495.5863999706</v>
      </c>
      <c r="BL354" s="7">
        <f t="shared" ref="BL354:BL363" si="1778">BK354-$L354</f>
        <v>8153258.8763999706</v>
      </c>
      <c r="BM354" s="7">
        <f t="shared" ref="BM354:BM363" si="1779">BL354-$L354</f>
        <v>8117022.1663999707</v>
      </c>
      <c r="BN354" s="7">
        <f t="shared" ref="BN354:BN363" si="1780">BM354-$L354</f>
        <v>8080785.4563999707</v>
      </c>
      <c r="BO354" s="7">
        <f t="shared" ref="BO354:BO363" si="1781">BN354-$L354</f>
        <v>8044548.7463999707</v>
      </c>
      <c r="BP354" s="7">
        <f t="shared" ref="BP354:BP363" si="1782">BO354-$L354</f>
        <v>8008312.0363999708</v>
      </c>
      <c r="BQ354" s="7">
        <f t="shared" ref="BQ354:BQ363" si="1783">BP354-$L354</f>
        <v>7972075.3263999708</v>
      </c>
      <c r="BR354" s="7">
        <f t="shared" ref="BR354:BR363" si="1784">BQ354-$L354</f>
        <v>7935838.6163999708</v>
      </c>
      <c r="BS354" s="7">
        <f t="shared" ref="BS354:BS363" si="1785">BR354-$L354</f>
        <v>7899601.9063999709</v>
      </c>
      <c r="BT354" s="7">
        <f t="shared" ref="BT354:BT363" si="1786">BS354-$L354</f>
        <v>7863365.1963999709</v>
      </c>
      <c r="BU354" s="7">
        <f t="shared" ref="BU354:BU363" si="1787">BT354-$L354</f>
        <v>7827128.4863999709</v>
      </c>
      <c r="BV354" s="236">
        <f t="shared" si="1769"/>
        <v>176980.07242079932</v>
      </c>
      <c r="BW354" s="7">
        <v>36236.710000000006</v>
      </c>
      <c r="BX354" s="39">
        <f t="shared" ref="BX354:BX363" si="1788">BW354*12</f>
        <v>434840.52000000008</v>
      </c>
      <c r="BY354" s="7">
        <f t="shared" ref="BY354:BY363" si="1789">BU354-BW354</f>
        <v>7790891.776399971</v>
      </c>
      <c r="BZ354" s="7">
        <f t="shared" ref="BZ354:BZ363" si="1790">BY354-$L354</f>
        <v>7754655.066399971</v>
      </c>
      <c r="CA354" s="7">
        <f t="shared" ref="CA354:CA363" si="1791">BZ354-$L354</f>
        <v>7718418.3563999711</v>
      </c>
      <c r="CB354" s="7">
        <f t="shared" ref="CB354:CB363" si="1792">CA354-$L354</f>
        <v>7682181.6463999711</v>
      </c>
      <c r="CC354" s="7">
        <f t="shared" ref="CC354:CC363" si="1793">CB354-$L354</f>
        <v>7645944.9363999711</v>
      </c>
      <c r="CD354" s="7">
        <f t="shared" ref="CD354:CD363" si="1794">CC354-$L354</f>
        <v>7609708.2263999712</v>
      </c>
      <c r="CE354" s="7">
        <f t="shared" ref="CE354:CE363" si="1795">CD354-$L354</f>
        <v>7573471.5163999712</v>
      </c>
      <c r="CF354" s="7">
        <f t="shared" ref="CF354:CF363" si="1796">CE354-$L354</f>
        <v>7537234.8063999712</v>
      </c>
      <c r="CG354" s="7">
        <f t="shared" ref="CG354:CG363" si="1797">CF354-$L354</f>
        <v>7500998.0963999713</v>
      </c>
      <c r="CH354" s="7">
        <f t="shared" ref="CH354:CH363" si="1798">CG354-$L354</f>
        <v>7464761.3863999713</v>
      </c>
      <c r="CI354" s="7">
        <f t="shared" ref="CI354:CI363" si="1799">CH354-$L354</f>
        <v>7428524.6763999714</v>
      </c>
      <c r="CJ354" s="7">
        <f t="shared" ref="CJ354:CJ363" si="1800">CI354-$L354</f>
        <v>7392287.9663999714</v>
      </c>
      <c r="CK354" s="236">
        <f t="shared" si="1770"/>
        <v>167413.58098079936</v>
      </c>
      <c r="CL354" s="7">
        <v>36236.710000000006</v>
      </c>
      <c r="CM354" s="39">
        <f t="shared" ref="CM354:CM363" si="1801">CL354*12</f>
        <v>434840.52000000008</v>
      </c>
      <c r="CN354" s="7">
        <f t="shared" ref="CN354:CN363" si="1802">CJ354-CL354</f>
        <v>7356051.2563999714</v>
      </c>
      <c r="CO354" s="7">
        <f t="shared" ref="CO354:CO363" si="1803">CN354-$L354</f>
        <v>7319814.5463999715</v>
      </c>
      <c r="CP354" s="7">
        <f t="shared" ref="CP354:CP363" si="1804">CO354-$L354</f>
        <v>7283577.8363999715</v>
      </c>
      <c r="CQ354" s="7">
        <f t="shared" ref="CQ354:CQ363" si="1805">CP354-$L354</f>
        <v>7247341.1263999715</v>
      </c>
      <c r="CR354" s="7">
        <f t="shared" ref="CR354:CR363" si="1806">CQ354-$L354</f>
        <v>7211104.4163999716</v>
      </c>
      <c r="CS354" s="7">
        <f t="shared" ref="CS354:CS363" si="1807">CR354-$L354</f>
        <v>7174867.7063999716</v>
      </c>
      <c r="CT354" s="7">
        <f t="shared" ref="CT354:CT363" si="1808">CS354-$L354</f>
        <v>7138630.9963999717</v>
      </c>
      <c r="CU354" s="7">
        <f t="shared" ref="CU354:CU363" si="1809">CT354-$L354</f>
        <v>7102394.2863999717</v>
      </c>
      <c r="CV354" s="7">
        <f t="shared" ref="CV354:CV363" si="1810">CU354-$L354</f>
        <v>7066157.5763999717</v>
      </c>
      <c r="CW354" s="7">
        <f t="shared" ref="CW354:CW363" si="1811">CV354-$L354</f>
        <v>7029920.8663999718</v>
      </c>
      <c r="CX354" s="7">
        <f t="shared" ref="CX354:CX363" si="1812">CW354-$L354</f>
        <v>6993684.1563999718</v>
      </c>
      <c r="CY354" s="7">
        <f t="shared" ref="CY354:CY363" si="1813">CX354-$L354</f>
        <v>6957447.4463999718</v>
      </c>
      <c r="CZ354" s="236">
        <f t="shared" si="1771"/>
        <v>157847.08954079935</v>
      </c>
    </row>
    <row r="355" spans="1:104" x14ac:dyDescent="0.2">
      <c r="A355" s="6" t="str">
        <f>'[1]2021 УГРЦТ'!A358</f>
        <v>Сети электроснабжения</v>
      </c>
      <c r="B355" t="str">
        <f>'[1]2021 УГРЦТ'!B358</f>
        <v>000001714</v>
      </c>
      <c r="C355" t="str">
        <f>'[1]2021 УГРЦТ'!C358</f>
        <v>ПЕРЕДАЧА</v>
      </c>
      <c r="D355" t="str">
        <f>'[1]2021 УГРЦТ'!D358</f>
        <v>Сооружения</v>
      </c>
      <c r="E355" t="str">
        <f>'[1]2021 УГРЦТ'!E358</f>
        <v>05.09.2017</v>
      </c>
      <c r="F355" t="str">
        <f>'[1]2021 УГРЦТ'!F358</f>
        <v>Цех электрических сетей</v>
      </c>
      <c r="G355">
        <f>'[1]2021 УГРЦТ'!AC358</f>
        <v>360</v>
      </c>
      <c r="H355" s="7">
        <f>'[1]2021 УГРЦТ'!X358</f>
        <v>474777</v>
      </c>
      <c r="I355" s="7">
        <f>'[1]2021 УГРЦТ'!Y358</f>
        <v>67260.27</v>
      </c>
      <c r="J355" s="7">
        <f>'[1]2021 УГРЦТ'!Z358</f>
        <v>407516.73</v>
      </c>
      <c r="K355" s="8">
        <v>1</v>
      </c>
      <c r="L355" s="7">
        <v>1318.82</v>
      </c>
      <c r="M355" s="7"/>
      <c r="N355" s="7">
        <f t="shared" si="1492"/>
        <v>15825.84</v>
      </c>
      <c r="O355" s="7">
        <f t="shared" si="1612"/>
        <v>406197.91</v>
      </c>
      <c r="P355" s="7">
        <f t="shared" si="1693"/>
        <v>404879.08999999997</v>
      </c>
      <c r="Q355" s="7">
        <f t="shared" si="1693"/>
        <v>403560.26999999996</v>
      </c>
      <c r="R355" s="7">
        <f t="shared" si="1693"/>
        <v>402241.44999999995</v>
      </c>
      <c r="S355" s="7">
        <f t="shared" si="1693"/>
        <v>400922.62999999995</v>
      </c>
      <c r="T355" s="7">
        <f t="shared" si="1693"/>
        <v>399603.80999999994</v>
      </c>
      <c r="U355" s="7">
        <f t="shared" si="1693"/>
        <v>398284.98999999993</v>
      </c>
      <c r="V355" s="7">
        <f t="shared" si="1693"/>
        <v>396966.16999999993</v>
      </c>
      <c r="W355" s="7">
        <f t="shared" si="1693"/>
        <v>395647.34999999992</v>
      </c>
      <c r="X355" s="7">
        <f t="shared" si="1693"/>
        <v>394328.52999999991</v>
      </c>
      <c r="Y355" s="7">
        <f t="shared" si="1693"/>
        <v>393009.7099999999</v>
      </c>
      <c r="Z355" s="7">
        <f t="shared" si="1693"/>
        <v>391690.8899999999</v>
      </c>
      <c r="AA355" s="7">
        <f t="shared" si="1767"/>
        <v>8791.2838199999987</v>
      </c>
      <c r="AB355" s="7"/>
      <c r="AC355" s="7">
        <f t="shared" si="1613"/>
        <v>15825.84</v>
      </c>
      <c r="AD355" s="7">
        <f t="shared" si="1614"/>
        <v>390372.06999999989</v>
      </c>
      <c r="AE355" s="7">
        <f t="shared" si="1731"/>
        <v>389053.24999999988</v>
      </c>
      <c r="AF355" s="7">
        <f t="shared" si="1731"/>
        <v>387734.42999999988</v>
      </c>
      <c r="AG355" s="7">
        <f t="shared" si="1731"/>
        <v>386415.60999999987</v>
      </c>
      <c r="AH355" s="7">
        <f t="shared" si="1731"/>
        <v>385096.78999999986</v>
      </c>
      <c r="AI355" s="7">
        <f t="shared" si="1731"/>
        <v>383777.96999999986</v>
      </c>
      <c r="AJ355" s="7">
        <f t="shared" si="1731"/>
        <v>382459.14999999985</v>
      </c>
      <c r="AK355" s="7">
        <f t="shared" si="1731"/>
        <v>381140.32999999984</v>
      </c>
      <c r="AL355" s="7">
        <f t="shared" si="1731"/>
        <v>379821.50999999983</v>
      </c>
      <c r="AM355" s="7">
        <f t="shared" si="1731"/>
        <v>378502.68999999983</v>
      </c>
      <c r="AN355" s="7">
        <f t="shared" si="1731"/>
        <v>377183.86999999982</v>
      </c>
      <c r="AO355" s="7">
        <f t="shared" si="1731"/>
        <v>375865.04999999981</v>
      </c>
      <c r="AP355" s="222">
        <f t="shared" si="1768"/>
        <v>8443.1153399999948</v>
      </c>
      <c r="AQ355" s="7">
        <v>1318.82</v>
      </c>
      <c r="AR355" s="7">
        <f t="shared" si="1615"/>
        <v>1318.820000000007</v>
      </c>
      <c r="AS355" s="7">
        <f t="shared" si="1616"/>
        <v>7.0485839387401938E-12</v>
      </c>
      <c r="AT355" s="7">
        <f t="shared" si="1772"/>
        <v>15825.84</v>
      </c>
      <c r="AU355" s="7">
        <f t="shared" si="1773"/>
        <v>374546.22999999981</v>
      </c>
      <c r="AV355" s="7">
        <f t="shared" si="1774"/>
        <v>373227.4099999998</v>
      </c>
      <c r="AW355" s="7">
        <f t="shared" si="1774"/>
        <v>371908.58999999979</v>
      </c>
      <c r="AX355" s="7">
        <f t="shared" si="1774"/>
        <v>370589.76999999979</v>
      </c>
      <c r="AY355" s="7">
        <f t="shared" si="1774"/>
        <v>369270.94999999978</v>
      </c>
      <c r="AZ355" s="7">
        <f t="shared" si="1774"/>
        <v>367952.12999999977</v>
      </c>
      <c r="BA355" s="7">
        <f t="shared" si="1774"/>
        <v>366633.30999999976</v>
      </c>
      <c r="BB355" s="7">
        <f t="shared" si="1774"/>
        <v>365314.48999999976</v>
      </c>
      <c r="BC355" s="7">
        <f t="shared" si="1774"/>
        <v>363995.66999999975</v>
      </c>
      <c r="BD355" s="7">
        <f t="shared" si="1774"/>
        <v>362676.84999999974</v>
      </c>
      <c r="BE355" s="7">
        <f t="shared" si="1774"/>
        <v>361358.02999999974</v>
      </c>
      <c r="BF355" s="7">
        <f t="shared" si="1774"/>
        <v>360039.20999999973</v>
      </c>
      <c r="BG355" s="236">
        <f t="shared" si="1598"/>
        <v>8094.9468599999946</v>
      </c>
      <c r="BH355" s="7">
        <v>1318.82</v>
      </c>
      <c r="BI355" s="39">
        <f t="shared" si="1775"/>
        <v>15825.84</v>
      </c>
      <c r="BJ355" s="7">
        <f t="shared" si="1776"/>
        <v>358720.38999999972</v>
      </c>
      <c r="BK355" s="7">
        <f t="shared" si="1777"/>
        <v>357401.56999999972</v>
      </c>
      <c r="BL355" s="7">
        <f t="shared" si="1778"/>
        <v>356082.74999999971</v>
      </c>
      <c r="BM355" s="7">
        <f t="shared" si="1779"/>
        <v>354763.9299999997</v>
      </c>
      <c r="BN355" s="7">
        <f t="shared" si="1780"/>
        <v>353445.10999999969</v>
      </c>
      <c r="BO355" s="7">
        <f t="shared" si="1781"/>
        <v>352126.28999999969</v>
      </c>
      <c r="BP355" s="7">
        <f t="shared" si="1782"/>
        <v>350807.46999999968</v>
      </c>
      <c r="BQ355" s="7">
        <f t="shared" si="1783"/>
        <v>349488.64999999967</v>
      </c>
      <c r="BR355" s="7">
        <f t="shared" si="1784"/>
        <v>348169.82999999967</v>
      </c>
      <c r="BS355" s="7">
        <f t="shared" si="1785"/>
        <v>346851.00999999966</v>
      </c>
      <c r="BT355" s="7">
        <f t="shared" si="1786"/>
        <v>345532.18999999965</v>
      </c>
      <c r="BU355" s="7">
        <f t="shared" si="1787"/>
        <v>344213.36999999965</v>
      </c>
      <c r="BV355" s="236">
        <f t="shared" si="1769"/>
        <v>7746.7783799999925</v>
      </c>
      <c r="BW355" s="7">
        <v>1318.82</v>
      </c>
      <c r="BX355" s="39">
        <f t="shared" si="1788"/>
        <v>15825.84</v>
      </c>
      <c r="BY355" s="7">
        <f t="shared" si="1789"/>
        <v>342894.54999999964</v>
      </c>
      <c r="BZ355" s="7">
        <f t="shared" si="1790"/>
        <v>341575.72999999963</v>
      </c>
      <c r="CA355" s="7">
        <f t="shared" si="1791"/>
        <v>340256.90999999963</v>
      </c>
      <c r="CB355" s="7">
        <f t="shared" si="1792"/>
        <v>338938.08999999962</v>
      </c>
      <c r="CC355" s="7">
        <f t="shared" si="1793"/>
        <v>337619.26999999961</v>
      </c>
      <c r="CD355" s="7">
        <f t="shared" si="1794"/>
        <v>336300.4499999996</v>
      </c>
      <c r="CE355" s="7">
        <f t="shared" si="1795"/>
        <v>334981.6299999996</v>
      </c>
      <c r="CF355" s="7">
        <f t="shared" si="1796"/>
        <v>333662.80999999959</v>
      </c>
      <c r="CG355" s="7">
        <f t="shared" si="1797"/>
        <v>332343.98999999958</v>
      </c>
      <c r="CH355" s="7">
        <f t="shared" si="1798"/>
        <v>331025.16999999958</v>
      </c>
      <c r="CI355" s="7">
        <f t="shared" si="1799"/>
        <v>329706.34999999957</v>
      </c>
      <c r="CJ355" s="7">
        <f t="shared" si="1800"/>
        <v>328387.52999999956</v>
      </c>
      <c r="CK355" s="236">
        <f t="shared" si="1770"/>
        <v>7398.6098999999895</v>
      </c>
      <c r="CL355" s="7">
        <v>1318.82</v>
      </c>
      <c r="CM355" s="39">
        <f t="shared" si="1801"/>
        <v>15825.84</v>
      </c>
      <c r="CN355" s="7">
        <f t="shared" si="1802"/>
        <v>327068.70999999956</v>
      </c>
      <c r="CO355" s="7">
        <f t="shared" si="1803"/>
        <v>325749.88999999955</v>
      </c>
      <c r="CP355" s="7">
        <f t="shared" si="1804"/>
        <v>324431.06999999954</v>
      </c>
      <c r="CQ355" s="7">
        <f t="shared" si="1805"/>
        <v>323112.24999999953</v>
      </c>
      <c r="CR355" s="7">
        <f t="shared" si="1806"/>
        <v>321793.42999999953</v>
      </c>
      <c r="CS355" s="7">
        <f t="shared" si="1807"/>
        <v>320474.60999999952</v>
      </c>
      <c r="CT355" s="7">
        <f t="shared" si="1808"/>
        <v>319155.78999999951</v>
      </c>
      <c r="CU355" s="7">
        <f t="shared" si="1809"/>
        <v>317836.96999999951</v>
      </c>
      <c r="CV355" s="7">
        <f t="shared" si="1810"/>
        <v>316518.1499999995</v>
      </c>
      <c r="CW355" s="7">
        <f t="shared" si="1811"/>
        <v>315199.32999999949</v>
      </c>
      <c r="CX355" s="7">
        <f t="shared" si="1812"/>
        <v>313880.50999999949</v>
      </c>
      <c r="CY355" s="7">
        <f t="shared" si="1813"/>
        <v>312561.68999999948</v>
      </c>
      <c r="CZ355" s="236">
        <f t="shared" si="1771"/>
        <v>7050.4414199999874</v>
      </c>
    </row>
    <row r="356" spans="1:104" x14ac:dyDescent="0.2">
      <c r="A356" s="6" t="str">
        <f>'[1]2021 УГРЦТ'!A359</f>
        <v>Сети электроснабжения (База МТР)</v>
      </c>
      <c r="B356" t="str">
        <f>'[1]2021 УГРЦТ'!B359</f>
        <v>000001508</v>
      </c>
      <c r="C356" t="str">
        <f>'[1]2021 УГРЦТ'!C359</f>
        <v>ПЕРЕДАЧА</v>
      </c>
      <c r="D356" t="str">
        <f>'[1]2021 УГРЦТ'!D359</f>
        <v>Сооружения</v>
      </c>
      <c r="E356" t="str">
        <f>'[1]2021 УГРЦТ'!E359</f>
        <v>29.01.2013</v>
      </c>
      <c r="F356" t="str">
        <f>'[1]2021 УГРЦТ'!F359</f>
        <v>Цех электрических сетей</v>
      </c>
      <c r="G356">
        <f>'[1]2021 УГРЦТ'!AC359</f>
        <v>180</v>
      </c>
      <c r="H356" s="7">
        <f>'[1]2021 УГРЦТ'!X359</f>
        <v>959565.45</v>
      </c>
      <c r="I356" s="7">
        <f>'[1]2021 УГРЦТ'!Y359</f>
        <v>570408.43000000005</v>
      </c>
      <c r="J356" s="7">
        <f>'[1]2021 УГРЦТ'!Z359</f>
        <v>389157.0199999999</v>
      </c>
      <c r="K356" s="8">
        <v>1</v>
      </c>
      <c r="L356" s="7">
        <v>5330.9199999999992</v>
      </c>
      <c r="M356" s="7"/>
      <c r="N356" s="7">
        <f t="shared" si="1492"/>
        <v>63971.039999999994</v>
      </c>
      <c r="O356" s="7">
        <f t="shared" si="1612"/>
        <v>383826.09999999992</v>
      </c>
      <c r="P356" s="7">
        <f t="shared" si="1693"/>
        <v>378495.17999999993</v>
      </c>
      <c r="Q356" s="7">
        <f t="shared" si="1693"/>
        <v>373164.25999999995</v>
      </c>
      <c r="R356" s="7">
        <f t="shared" si="1693"/>
        <v>367833.33999999997</v>
      </c>
      <c r="S356" s="7">
        <f t="shared" si="1693"/>
        <v>362502.42</v>
      </c>
      <c r="T356" s="7">
        <f t="shared" si="1693"/>
        <v>357171.5</v>
      </c>
      <c r="U356" s="7">
        <f t="shared" si="1693"/>
        <v>351840.58</v>
      </c>
      <c r="V356" s="7">
        <f t="shared" si="1693"/>
        <v>346509.66000000003</v>
      </c>
      <c r="W356" s="7">
        <f t="shared" si="1693"/>
        <v>341178.74000000005</v>
      </c>
      <c r="X356" s="7">
        <f t="shared" si="1693"/>
        <v>335847.82000000007</v>
      </c>
      <c r="Y356" s="7">
        <f t="shared" si="1693"/>
        <v>330516.90000000008</v>
      </c>
      <c r="Z356" s="7">
        <f t="shared" si="1693"/>
        <v>325185.9800000001</v>
      </c>
      <c r="AA356" s="7">
        <f t="shared" si="1767"/>
        <v>7857.7729999999992</v>
      </c>
      <c r="AB356" s="7"/>
      <c r="AC356" s="7">
        <f t="shared" si="1613"/>
        <v>63971.039999999994</v>
      </c>
      <c r="AD356" s="7">
        <f t="shared" si="1614"/>
        <v>319855.06000000011</v>
      </c>
      <c r="AE356" s="7">
        <f t="shared" si="1731"/>
        <v>314524.14000000013</v>
      </c>
      <c r="AF356" s="7">
        <f t="shared" si="1731"/>
        <v>309193.22000000015</v>
      </c>
      <c r="AG356" s="7">
        <f t="shared" si="1731"/>
        <v>303862.30000000016</v>
      </c>
      <c r="AH356" s="7">
        <f t="shared" si="1731"/>
        <v>298531.38000000018</v>
      </c>
      <c r="AI356" s="7">
        <f t="shared" si="1731"/>
        <v>293200.4600000002</v>
      </c>
      <c r="AJ356" s="7">
        <f t="shared" si="1731"/>
        <v>287869.54000000021</v>
      </c>
      <c r="AK356" s="7">
        <f t="shared" si="1731"/>
        <v>282538.62000000023</v>
      </c>
      <c r="AL356" s="7">
        <f t="shared" si="1731"/>
        <v>277207.70000000024</v>
      </c>
      <c r="AM356" s="7">
        <f t="shared" si="1731"/>
        <v>271876.78000000026</v>
      </c>
      <c r="AN356" s="7">
        <f t="shared" si="1731"/>
        <v>266545.86000000028</v>
      </c>
      <c r="AO356" s="7">
        <f t="shared" si="1731"/>
        <v>261214.94000000026</v>
      </c>
      <c r="AP356" s="222">
        <f t="shared" si="1768"/>
        <v>6450.4101200000041</v>
      </c>
      <c r="AQ356" s="7">
        <v>5330.9199999999992</v>
      </c>
      <c r="AR356" s="7">
        <f t="shared" si="1615"/>
        <v>5330.9200000000128</v>
      </c>
      <c r="AS356" s="7">
        <f t="shared" si="1616"/>
        <v>1.3642420526593924E-11</v>
      </c>
      <c r="AT356" s="7">
        <f t="shared" si="1772"/>
        <v>63971.039999999994</v>
      </c>
      <c r="AU356" s="7">
        <f t="shared" si="1773"/>
        <v>255884.02000000025</v>
      </c>
      <c r="AV356" s="7">
        <f t="shared" si="1774"/>
        <v>250553.10000000024</v>
      </c>
      <c r="AW356" s="7">
        <f t="shared" si="1774"/>
        <v>245222.18000000023</v>
      </c>
      <c r="AX356" s="7">
        <f t="shared" si="1774"/>
        <v>239891.26000000021</v>
      </c>
      <c r="AY356" s="7">
        <f t="shared" si="1774"/>
        <v>234560.3400000002</v>
      </c>
      <c r="AZ356" s="7">
        <f t="shared" si="1774"/>
        <v>229229.42000000019</v>
      </c>
      <c r="BA356" s="7">
        <f t="shared" si="1774"/>
        <v>223898.50000000017</v>
      </c>
      <c r="BB356" s="7">
        <f t="shared" si="1774"/>
        <v>218567.58000000016</v>
      </c>
      <c r="BC356" s="7">
        <f t="shared" si="1774"/>
        <v>213236.66000000015</v>
      </c>
      <c r="BD356" s="7">
        <f t="shared" si="1774"/>
        <v>207905.74000000014</v>
      </c>
      <c r="BE356" s="7">
        <f t="shared" si="1774"/>
        <v>202574.82000000012</v>
      </c>
      <c r="BF356" s="7">
        <f t="shared" si="1774"/>
        <v>197243.90000000011</v>
      </c>
      <c r="BG356" s="236">
        <f t="shared" si="1598"/>
        <v>5043.0472400000044</v>
      </c>
      <c r="BH356" s="7">
        <v>5330.9199999999992</v>
      </c>
      <c r="BI356" s="39">
        <f t="shared" si="1775"/>
        <v>63971.039999999994</v>
      </c>
      <c r="BJ356" s="7">
        <f t="shared" si="1776"/>
        <v>191912.9800000001</v>
      </c>
      <c r="BK356" s="7">
        <f t="shared" si="1777"/>
        <v>186582.06000000008</v>
      </c>
      <c r="BL356" s="7">
        <f t="shared" si="1778"/>
        <v>181251.14000000007</v>
      </c>
      <c r="BM356" s="7">
        <f t="shared" si="1779"/>
        <v>175920.22000000006</v>
      </c>
      <c r="BN356" s="7">
        <f t="shared" si="1780"/>
        <v>170589.30000000005</v>
      </c>
      <c r="BO356" s="7">
        <f t="shared" si="1781"/>
        <v>165258.38000000003</v>
      </c>
      <c r="BP356" s="7">
        <f t="shared" si="1782"/>
        <v>159927.46000000002</v>
      </c>
      <c r="BQ356" s="7">
        <f t="shared" si="1783"/>
        <v>154596.54</v>
      </c>
      <c r="BR356" s="7">
        <f t="shared" si="1784"/>
        <v>149265.62</v>
      </c>
      <c r="BS356" s="7">
        <f t="shared" si="1785"/>
        <v>143934.69999999998</v>
      </c>
      <c r="BT356" s="7">
        <f t="shared" si="1786"/>
        <v>138603.77999999997</v>
      </c>
      <c r="BU356" s="7">
        <f t="shared" si="1787"/>
        <v>133272.85999999996</v>
      </c>
      <c r="BV356" s="236">
        <f t="shared" si="1769"/>
        <v>3635.6843599999997</v>
      </c>
      <c r="BW356" s="7">
        <v>5330.9199999999992</v>
      </c>
      <c r="BX356" s="39">
        <f t="shared" si="1788"/>
        <v>63971.039999999994</v>
      </c>
      <c r="BY356" s="7">
        <f t="shared" si="1789"/>
        <v>127941.93999999996</v>
      </c>
      <c r="BZ356" s="7">
        <f t="shared" si="1790"/>
        <v>122611.01999999996</v>
      </c>
      <c r="CA356" s="7">
        <f t="shared" si="1791"/>
        <v>117280.09999999996</v>
      </c>
      <c r="CB356" s="7">
        <f t="shared" si="1792"/>
        <v>111949.17999999996</v>
      </c>
      <c r="CC356" s="7">
        <f t="shared" si="1793"/>
        <v>106618.25999999997</v>
      </c>
      <c r="CD356" s="7">
        <f t="shared" si="1794"/>
        <v>101287.33999999997</v>
      </c>
      <c r="CE356" s="7">
        <f t="shared" si="1795"/>
        <v>95956.419999999969</v>
      </c>
      <c r="CF356" s="7">
        <f t="shared" si="1796"/>
        <v>90625.499999999971</v>
      </c>
      <c r="CG356" s="7">
        <f t="shared" si="1797"/>
        <v>85294.579999999973</v>
      </c>
      <c r="CH356" s="7">
        <f t="shared" si="1798"/>
        <v>79963.659999999974</v>
      </c>
      <c r="CI356" s="7">
        <f t="shared" si="1799"/>
        <v>74632.739999999976</v>
      </c>
      <c r="CJ356" s="7">
        <f t="shared" si="1800"/>
        <v>69301.819999999978</v>
      </c>
      <c r="CK356" s="236">
        <f t="shared" si="1770"/>
        <v>2228.3214799999996</v>
      </c>
      <c r="CL356" s="7">
        <v>5330.9199999999992</v>
      </c>
      <c r="CM356" s="39">
        <f t="shared" si="1801"/>
        <v>63971.039999999994</v>
      </c>
      <c r="CN356" s="7">
        <f t="shared" si="1802"/>
        <v>63970.89999999998</v>
      </c>
      <c r="CO356" s="7">
        <f t="shared" si="1803"/>
        <v>58639.979999999981</v>
      </c>
      <c r="CP356" s="7">
        <f t="shared" si="1804"/>
        <v>53309.059999999983</v>
      </c>
      <c r="CQ356" s="7">
        <f t="shared" si="1805"/>
        <v>47978.139999999985</v>
      </c>
      <c r="CR356" s="7">
        <f t="shared" si="1806"/>
        <v>42647.219999999987</v>
      </c>
      <c r="CS356" s="7">
        <f t="shared" si="1807"/>
        <v>37316.299999999988</v>
      </c>
      <c r="CT356" s="7">
        <f t="shared" si="1808"/>
        <v>31985.37999999999</v>
      </c>
      <c r="CU356" s="7">
        <f t="shared" si="1809"/>
        <v>26654.459999999992</v>
      </c>
      <c r="CV356" s="7">
        <f t="shared" si="1810"/>
        <v>21323.539999999994</v>
      </c>
      <c r="CW356" s="7">
        <f t="shared" si="1811"/>
        <v>15992.619999999995</v>
      </c>
      <c r="CX356" s="7">
        <f t="shared" si="1812"/>
        <v>10661.699999999997</v>
      </c>
      <c r="CY356" s="7">
        <f t="shared" si="1813"/>
        <v>5330.7799999999979</v>
      </c>
      <c r="CZ356" s="236">
        <f t="shared" si="1771"/>
        <v>820.95859999999982</v>
      </c>
    </row>
    <row r="357" spans="1:104" ht="33.75" x14ac:dyDescent="0.2">
      <c r="A357" s="6" t="str">
        <f>'[1]2021 УГРЦТ'!A360</f>
        <v>Система охранно-пожарной сигнализации в производственных помещениях ЦЭС ГУП НАО "Нарьян-Марская электростанция"</v>
      </c>
      <c r="B357" t="str">
        <f>'[1]2021 УГРЦТ'!B360</f>
        <v>000001731</v>
      </c>
      <c r="C357" t="str">
        <f>'[1]2021 УГРЦТ'!C360</f>
        <v>ПЕРЕДАЧА</v>
      </c>
      <c r="D357" t="str">
        <f>'[1]2021 УГРЦТ'!D360</f>
        <v>Машины и оборудование (кроме офисного)</v>
      </c>
      <c r="E357" t="str">
        <f>'[1]2021 УГРЦТ'!E360</f>
        <v>31.05.2018</v>
      </c>
      <c r="F357" t="str">
        <f>'[1]2021 УГРЦТ'!F360</f>
        <v>Цех электрических сетей</v>
      </c>
      <c r="G357">
        <f>'[1]2021 УГРЦТ'!AC360</f>
        <v>180</v>
      </c>
      <c r="H357" s="7">
        <f>'[1]2021 УГРЦТ'!X360</f>
        <v>105065.86</v>
      </c>
      <c r="I357" s="7">
        <f>'[1]2021 УГРЦТ'!Y360</f>
        <v>25099.090666666671</v>
      </c>
      <c r="J357" s="7">
        <f>'[1]2021 УГРЦТ'!Z360</f>
        <v>79966.76933333333</v>
      </c>
      <c r="K357" s="8">
        <v>0</v>
      </c>
      <c r="L357" s="7">
        <v>583.69999999999993</v>
      </c>
      <c r="M357" s="7"/>
      <c r="N357" s="7">
        <f t="shared" si="1492"/>
        <v>7004.4</v>
      </c>
      <c r="O357" s="7">
        <f t="shared" si="1612"/>
        <v>79383.069333333333</v>
      </c>
      <c r="P357" s="7">
        <f t="shared" si="1693"/>
        <v>78799.369333333336</v>
      </c>
      <c r="Q357" s="7">
        <f t="shared" si="1693"/>
        <v>78215.669333333339</v>
      </c>
      <c r="R357" s="7">
        <f t="shared" si="1693"/>
        <v>77631.969333333342</v>
      </c>
      <c r="S357" s="7">
        <f t="shared" si="1693"/>
        <v>77048.269333333345</v>
      </c>
      <c r="T357" s="7">
        <f t="shared" si="1693"/>
        <v>76464.569333333347</v>
      </c>
      <c r="U357" s="7">
        <f t="shared" si="1693"/>
        <v>75880.86933333335</v>
      </c>
      <c r="V357" s="7">
        <f t="shared" si="1693"/>
        <v>75297.169333333353</v>
      </c>
      <c r="W357" s="7">
        <f t="shared" si="1693"/>
        <v>74713.469333333356</v>
      </c>
      <c r="X357" s="7">
        <f t="shared" si="1693"/>
        <v>74129.769333333359</v>
      </c>
      <c r="Y357" s="7">
        <f t="shared" si="1693"/>
        <v>73546.069333333362</v>
      </c>
      <c r="Z357" s="7">
        <f t="shared" si="1693"/>
        <v>72962.369333333365</v>
      </c>
      <c r="AA357" s="7"/>
      <c r="AB357" s="7"/>
      <c r="AC357" s="7">
        <f t="shared" si="1613"/>
        <v>7004.4</v>
      </c>
      <c r="AD357" s="7">
        <f t="shared" si="1614"/>
        <v>72378.669333333368</v>
      </c>
      <c r="AE357" s="7">
        <f t="shared" si="1731"/>
        <v>71794.969333333371</v>
      </c>
      <c r="AF357" s="7">
        <f t="shared" si="1731"/>
        <v>71211.269333333374</v>
      </c>
      <c r="AG357" s="7">
        <f t="shared" si="1731"/>
        <v>70627.569333333377</v>
      </c>
      <c r="AH357" s="7">
        <f t="shared" si="1731"/>
        <v>70043.869333333379</v>
      </c>
      <c r="AI357" s="7">
        <f t="shared" si="1731"/>
        <v>69460.169333333382</v>
      </c>
      <c r="AJ357" s="7">
        <f t="shared" si="1731"/>
        <v>68876.469333333385</v>
      </c>
      <c r="AK357" s="7">
        <f t="shared" si="1731"/>
        <v>68292.769333333388</v>
      </c>
      <c r="AL357" s="7">
        <f t="shared" si="1731"/>
        <v>67709.069333333391</v>
      </c>
      <c r="AM357" s="7">
        <f t="shared" si="1731"/>
        <v>67125.369333333394</v>
      </c>
      <c r="AN357" s="7">
        <f t="shared" si="1731"/>
        <v>66541.669333333397</v>
      </c>
      <c r="AO357" s="7">
        <f t="shared" si="1731"/>
        <v>65957.9693333334</v>
      </c>
      <c r="AP357" s="222"/>
      <c r="AQ357" s="7">
        <v>583.69999999999993</v>
      </c>
      <c r="AR357" s="7">
        <f t="shared" si="1615"/>
        <v>583.69999999999709</v>
      </c>
      <c r="AS357" s="7">
        <f t="shared" si="1616"/>
        <v>-2.8421709430404007E-12</v>
      </c>
      <c r="AT357" s="7">
        <f t="shared" si="1772"/>
        <v>7004.4</v>
      </c>
      <c r="AU357" s="7">
        <f t="shared" si="1773"/>
        <v>65374.269333333403</v>
      </c>
      <c r="AV357" s="7">
        <f t="shared" si="1774"/>
        <v>64790.569333333406</v>
      </c>
      <c r="AW357" s="7">
        <f t="shared" si="1774"/>
        <v>64206.869333333409</v>
      </c>
      <c r="AX357" s="7">
        <f t="shared" si="1774"/>
        <v>63623.169333333411</v>
      </c>
      <c r="AY357" s="7">
        <f t="shared" si="1774"/>
        <v>63039.469333333414</v>
      </c>
      <c r="AZ357" s="7">
        <f t="shared" si="1774"/>
        <v>62455.769333333417</v>
      </c>
      <c r="BA357" s="7">
        <f t="shared" si="1774"/>
        <v>61872.06933333342</v>
      </c>
      <c r="BB357" s="7">
        <f t="shared" si="1774"/>
        <v>61288.369333333423</v>
      </c>
      <c r="BC357" s="7">
        <f t="shared" si="1774"/>
        <v>60704.669333333426</v>
      </c>
      <c r="BD357" s="7">
        <f t="shared" si="1774"/>
        <v>60120.969333333429</v>
      </c>
      <c r="BE357" s="7">
        <f t="shared" si="1774"/>
        <v>59537.269333333432</v>
      </c>
      <c r="BF357" s="7">
        <f t="shared" si="1774"/>
        <v>58953.569333333435</v>
      </c>
      <c r="BG357" s="236">
        <f t="shared" si="1598"/>
        <v>0</v>
      </c>
      <c r="BH357" s="7">
        <v>583.69999999999993</v>
      </c>
      <c r="BI357" s="39">
        <f t="shared" si="1775"/>
        <v>7004.4</v>
      </c>
      <c r="BJ357" s="7">
        <f t="shared" si="1776"/>
        <v>58369.869333333438</v>
      </c>
      <c r="BK357" s="7">
        <f t="shared" si="1777"/>
        <v>57786.169333333441</v>
      </c>
      <c r="BL357" s="7">
        <f t="shared" si="1778"/>
        <v>57202.469333333444</v>
      </c>
      <c r="BM357" s="7">
        <f t="shared" si="1779"/>
        <v>56618.769333333446</v>
      </c>
      <c r="BN357" s="7">
        <f t="shared" si="1780"/>
        <v>56035.069333333449</v>
      </c>
      <c r="BO357" s="7">
        <f t="shared" si="1781"/>
        <v>55451.369333333452</v>
      </c>
      <c r="BP357" s="7">
        <f t="shared" si="1782"/>
        <v>54867.669333333455</v>
      </c>
      <c r="BQ357" s="7">
        <f t="shared" si="1783"/>
        <v>54283.969333333458</v>
      </c>
      <c r="BR357" s="7">
        <f t="shared" si="1784"/>
        <v>53700.269333333461</v>
      </c>
      <c r="BS357" s="7">
        <f t="shared" si="1785"/>
        <v>53116.569333333464</v>
      </c>
      <c r="BT357" s="7">
        <f t="shared" si="1786"/>
        <v>52532.869333333467</v>
      </c>
      <c r="BU357" s="7">
        <f t="shared" si="1787"/>
        <v>51949.16933333347</v>
      </c>
      <c r="BV357" s="236">
        <v>0</v>
      </c>
      <c r="BW357" s="7">
        <v>583.69999999999993</v>
      </c>
      <c r="BX357" s="39">
        <f t="shared" si="1788"/>
        <v>7004.4</v>
      </c>
      <c r="BY357" s="7">
        <f t="shared" si="1789"/>
        <v>51365.469333333473</v>
      </c>
      <c r="BZ357" s="7">
        <f t="shared" si="1790"/>
        <v>50781.769333333476</v>
      </c>
      <c r="CA357" s="7">
        <f t="shared" si="1791"/>
        <v>50198.069333333478</v>
      </c>
      <c r="CB357" s="7">
        <f t="shared" si="1792"/>
        <v>49614.369333333481</v>
      </c>
      <c r="CC357" s="7">
        <f t="shared" si="1793"/>
        <v>49030.669333333484</v>
      </c>
      <c r="CD357" s="7">
        <f t="shared" si="1794"/>
        <v>48446.969333333487</v>
      </c>
      <c r="CE357" s="7">
        <f t="shared" si="1795"/>
        <v>47863.26933333349</v>
      </c>
      <c r="CF357" s="7">
        <f t="shared" si="1796"/>
        <v>47279.569333333493</v>
      </c>
      <c r="CG357" s="7">
        <f t="shared" si="1797"/>
        <v>46695.869333333496</v>
      </c>
      <c r="CH357" s="7">
        <f t="shared" si="1798"/>
        <v>46112.169333333499</v>
      </c>
      <c r="CI357" s="7">
        <f t="shared" si="1799"/>
        <v>45528.469333333502</v>
      </c>
      <c r="CJ357" s="7">
        <f t="shared" si="1800"/>
        <v>44944.769333333505</v>
      </c>
      <c r="CK357" s="236">
        <v>0</v>
      </c>
      <c r="CL357" s="7">
        <v>583.69999999999993</v>
      </c>
      <c r="CM357" s="39">
        <f t="shared" si="1801"/>
        <v>7004.4</v>
      </c>
      <c r="CN357" s="7">
        <f t="shared" si="1802"/>
        <v>44361.069333333508</v>
      </c>
      <c r="CO357" s="7">
        <f t="shared" si="1803"/>
        <v>43777.36933333351</v>
      </c>
      <c r="CP357" s="7">
        <f t="shared" si="1804"/>
        <v>43193.669333333513</v>
      </c>
      <c r="CQ357" s="7">
        <f t="shared" si="1805"/>
        <v>42609.969333333516</v>
      </c>
      <c r="CR357" s="7">
        <f t="shared" si="1806"/>
        <v>42026.269333333519</v>
      </c>
      <c r="CS357" s="7">
        <f t="shared" si="1807"/>
        <v>41442.569333333522</v>
      </c>
      <c r="CT357" s="7">
        <f t="shared" si="1808"/>
        <v>40858.869333333525</v>
      </c>
      <c r="CU357" s="7">
        <f t="shared" si="1809"/>
        <v>40275.169333333528</v>
      </c>
      <c r="CV357" s="7">
        <f t="shared" si="1810"/>
        <v>39691.469333333531</v>
      </c>
      <c r="CW357" s="7">
        <f t="shared" si="1811"/>
        <v>39107.769333333534</v>
      </c>
      <c r="CX357" s="7">
        <f t="shared" si="1812"/>
        <v>38524.069333333537</v>
      </c>
      <c r="CY357" s="7">
        <f t="shared" si="1813"/>
        <v>37940.36933333354</v>
      </c>
      <c r="CZ357" s="236">
        <v>0</v>
      </c>
    </row>
    <row r="358" spans="1:104" ht="33.75" x14ac:dyDescent="0.2">
      <c r="A358" s="6" t="str">
        <f>'[1]2021 УГРЦТ'!A361</f>
        <v>Система охранно-пожарной сигнализации в производственных помещениях АТЦ ГУП НАО "Нарьян-Марская электростанция"</v>
      </c>
      <c r="B358" s="15" t="str">
        <f>'[1]2021 УГРЦТ'!B361</f>
        <v>000001728</v>
      </c>
      <c r="C358" t="str">
        <f>'[1]2021 УГРЦТ'!C361</f>
        <v>ПЕРЕДАЧА</v>
      </c>
      <c r="D358" t="str">
        <f>'[1]2021 УГРЦТ'!D361</f>
        <v>Машины и оборудование (кроме офисного)</v>
      </c>
      <c r="E358" t="str">
        <f>'[1]2021 УГРЦТ'!E361</f>
        <v>31.05.2018</v>
      </c>
      <c r="F358" t="str">
        <f>'[1]2021 УГРЦТ'!F361</f>
        <v>Автотранспортный цех</v>
      </c>
      <c r="G358">
        <f>'[1]2021 УГРЦТ'!AC361</f>
        <v>180</v>
      </c>
      <c r="H358" s="7">
        <f>'[1]2021 УГРЦТ'!X361</f>
        <v>115619.89</v>
      </c>
      <c r="I358" s="7">
        <f>'[1]2021 УГРЦТ'!Y361</f>
        <v>27620.222666666668</v>
      </c>
      <c r="J358" s="7">
        <f>'[1]2021 УГРЦТ'!Z361</f>
        <v>87999.667333333331</v>
      </c>
      <c r="K358" s="8">
        <v>0</v>
      </c>
      <c r="L358" s="7">
        <v>642.33000000000004</v>
      </c>
      <c r="M358" s="7"/>
      <c r="N358" s="7">
        <f t="shared" si="1492"/>
        <v>7707.9600000000009</v>
      </c>
      <c r="O358" s="7">
        <f t="shared" si="1612"/>
        <v>87357.337333333329</v>
      </c>
      <c r="P358" s="7">
        <f t="shared" si="1693"/>
        <v>86715.007333333328</v>
      </c>
      <c r="Q358" s="7">
        <f t="shared" si="1693"/>
        <v>86072.677333333326</v>
      </c>
      <c r="R358" s="7">
        <f t="shared" si="1693"/>
        <v>85430.347333333324</v>
      </c>
      <c r="S358" s="7">
        <f t="shared" si="1693"/>
        <v>84788.017333333322</v>
      </c>
      <c r="T358" s="7">
        <f t="shared" si="1693"/>
        <v>84145.687333333321</v>
      </c>
      <c r="U358" s="7">
        <f t="shared" si="1693"/>
        <v>83503.357333333319</v>
      </c>
      <c r="V358" s="7">
        <f t="shared" si="1693"/>
        <v>82861.027333333317</v>
      </c>
      <c r="W358" s="7">
        <f t="shared" si="1693"/>
        <v>82218.697333333315</v>
      </c>
      <c r="X358" s="7">
        <f t="shared" si="1693"/>
        <v>81576.367333333314</v>
      </c>
      <c r="Y358" s="7">
        <f t="shared" si="1693"/>
        <v>80934.037333333312</v>
      </c>
      <c r="Z358" s="7">
        <f t="shared" si="1693"/>
        <v>80291.70733333331</v>
      </c>
      <c r="AA358" s="7"/>
      <c r="AB358" s="7"/>
      <c r="AC358" s="7">
        <f t="shared" si="1613"/>
        <v>7707.9600000000009</v>
      </c>
      <c r="AD358" s="7">
        <f t="shared" si="1614"/>
        <v>79649.377333333308</v>
      </c>
      <c r="AE358" s="7">
        <f t="shared" si="1731"/>
        <v>79007.047333333307</v>
      </c>
      <c r="AF358" s="7">
        <f t="shared" si="1731"/>
        <v>78364.717333333305</v>
      </c>
      <c r="AG358" s="7">
        <f t="shared" si="1731"/>
        <v>77722.387333333303</v>
      </c>
      <c r="AH358" s="7">
        <f t="shared" si="1731"/>
        <v>77080.057333333301</v>
      </c>
      <c r="AI358" s="7">
        <f t="shared" si="1731"/>
        <v>76437.7273333333</v>
      </c>
      <c r="AJ358" s="7">
        <f t="shared" si="1731"/>
        <v>75795.397333333298</v>
      </c>
      <c r="AK358" s="7">
        <f t="shared" si="1731"/>
        <v>75153.067333333296</v>
      </c>
      <c r="AL358" s="7">
        <f t="shared" si="1731"/>
        <v>74510.737333333294</v>
      </c>
      <c r="AM358" s="7">
        <f t="shared" si="1731"/>
        <v>73868.407333333293</v>
      </c>
      <c r="AN358" s="7">
        <f t="shared" si="1731"/>
        <v>73226.077333333291</v>
      </c>
      <c r="AO358" s="7">
        <f t="shared" si="1731"/>
        <v>72583.747333333289</v>
      </c>
      <c r="AP358" s="222"/>
      <c r="AQ358" s="7">
        <v>642.33000000000004</v>
      </c>
      <c r="AR358" s="7">
        <f t="shared" si="1615"/>
        <v>642.33000000000175</v>
      </c>
      <c r="AS358" s="7">
        <f t="shared" si="1616"/>
        <v>1.7053025658242404E-12</v>
      </c>
      <c r="AT358" s="7">
        <f t="shared" si="1772"/>
        <v>7707.9600000000009</v>
      </c>
      <c r="AU358" s="7">
        <f t="shared" si="1773"/>
        <v>71941.417333333287</v>
      </c>
      <c r="AV358" s="7">
        <f t="shared" si="1774"/>
        <v>71299.087333333286</v>
      </c>
      <c r="AW358" s="7">
        <f t="shared" si="1774"/>
        <v>70656.757333333284</v>
      </c>
      <c r="AX358" s="7">
        <f t="shared" si="1774"/>
        <v>70014.427333333282</v>
      </c>
      <c r="AY358" s="7">
        <f t="shared" si="1774"/>
        <v>69372.09733333328</v>
      </c>
      <c r="AZ358" s="7">
        <f t="shared" si="1774"/>
        <v>68729.767333333279</v>
      </c>
      <c r="BA358" s="7">
        <f t="shared" si="1774"/>
        <v>68087.437333333277</v>
      </c>
      <c r="BB358" s="7">
        <f t="shared" si="1774"/>
        <v>67445.107333333275</v>
      </c>
      <c r="BC358" s="7">
        <f t="shared" si="1774"/>
        <v>66802.777333333273</v>
      </c>
      <c r="BD358" s="7">
        <f t="shared" si="1774"/>
        <v>66160.447333333272</v>
      </c>
      <c r="BE358" s="7">
        <f t="shared" si="1774"/>
        <v>65518.11733333327</v>
      </c>
      <c r="BF358" s="7">
        <f t="shared" si="1774"/>
        <v>64875.787333333268</v>
      </c>
      <c r="BG358" s="236">
        <f t="shared" si="1598"/>
        <v>0</v>
      </c>
      <c r="BH358" s="7">
        <v>642.33000000000004</v>
      </c>
      <c r="BI358" s="39">
        <f t="shared" si="1775"/>
        <v>7707.9600000000009</v>
      </c>
      <c r="BJ358" s="7">
        <f t="shared" si="1776"/>
        <v>64233.457333333266</v>
      </c>
      <c r="BK358" s="7">
        <f t="shared" si="1777"/>
        <v>63591.127333333265</v>
      </c>
      <c r="BL358" s="7">
        <f t="shared" si="1778"/>
        <v>62948.797333333263</v>
      </c>
      <c r="BM358" s="7">
        <f t="shared" si="1779"/>
        <v>62306.467333333261</v>
      </c>
      <c r="BN358" s="7">
        <f t="shared" si="1780"/>
        <v>61664.137333333259</v>
      </c>
      <c r="BO358" s="7">
        <f t="shared" si="1781"/>
        <v>61021.807333333258</v>
      </c>
      <c r="BP358" s="7">
        <f t="shared" si="1782"/>
        <v>60379.477333333256</v>
      </c>
      <c r="BQ358" s="7">
        <f t="shared" si="1783"/>
        <v>59737.147333333254</v>
      </c>
      <c r="BR358" s="7">
        <f t="shared" si="1784"/>
        <v>59094.817333333252</v>
      </c>
      <c r="BS358" s="7">
        <f t="shared" si="1785"/>
        <v>58452.487333333251</v>
      </c>
      <c r="BT358" s="7">
        <f t="shared" si="1786"/>
        <v>57810.157333333249</v>
      </c>
      <c r="BU358" s="7">
        <f t="shared" si="1787"/>
        <v>57167.827333333247</v>
      </c>
      <c r="BV358" s="236">
        <v>0</v>
      </c>
      <c r="BW358" s="7">
        <v>642.33000000000004</v>
      </c>
      <c r="BX358" s="39">
        <f t="shared" si="1788"/>
        <v>7707.9600000000009</v>
      </c>
      <c r="BY358" s="7">
        <f t="shared" si="1789"/>
        <v>56525.497333333245</v>
      </c>
      <c r="BZ358" s="7">
        <f t="shared" si="1790"/>
        <v>55883.167333333244</v>
      </c>
      <c r="CA358" s="7">
        <f t="shared" si="1791"/>
        <v>55240.837333333242</v>
      </c>
      <c r="CB358" s="7">
        <f t="shared" si="1792"/>
        <v>54598.50733333324</v>
      </c>
      <c r="CC358" s="7">
        <f t="shared" si="1793"/>
        <v>53956.177333333238</v>
      </c>
      <c r="CD358" s="7">
        <f t="shared" si="1794"/>
        <v>53313.847333333237</v>
      </c>
      <c r="CE358" s="7">
        <f t="shared" si="1795"/>
        <v>52671.517333333235</v>
      </c>
      <c r="CF358" s="7">
        <f t="shared" si="1796"/>
        <v>52029.187333333233</v>
      </c>
      <c r="CG358" s="7">
        <f t="shared" si="1797"/>
        <v>51386.857333333232</v>
      </c>
      <c r="CH358" s="7">
        <f t="shared" si="1798"/>
        <v>50744.52733333323</v>
      </c>
      <c r="CI358" s="7">
        <f t="shared" si="1799"/>
        <v>50102.197333333228</v>
      </c>
      <c r="CJ358" s="7">
        <f t="shared" si="1800"/>
        <v>49459.867333333226</v>
      </c>
      <c r="CK358" s="236">
        <v>0</v>
      </c>
      <c r="CL358" s="7">
        <v>642.33000000000004</v>
      </c>
      <c r="CM358" s="39">
        <f t="shared" si="1801"/>
        <v>7707.9600000000009</v>
      </c>
      <c r="CN358" s="7">
        <f t="shared" si="1802"/>
        <v>48817.537333333225</v>
      </c>
      <c r="CO358" s="7">
        <f t="shared" si="1803"/>
        <v>48175.207333333223</v>
      </c>
      <c r="CP358" s="7">
        <f t="shared" si="1804"/>
        <v>47532.877333333221</v>
      </c>
      <c r="CQ358" s="7">
        <f t="shared" si="1805"/>
        <v>46890.547333333219</v>
      </c>
      <c r="CR358" s="7">
        <f t="shared" si="1806"/>
        <v>46248.217333333218</v>
      </c>
      <c r="CS358" s="7">
        <f t="shared" si="1807"/>
        <v>45605.887333333216</v>
      </c>
      <c r="CT358" s="7">
        <f t="shared" si="1808"/>
        <v>44963.557333333214</v>
      </c>
      <c r="CU358" s="7">
        <f t="shared" si="1809"/>
        <v>44321.227333333212</v>
      </c>
      <c r="CV358" s="7">
        <f t="shared" si="1810"/>
        <v>43678.897333333211</v>
      </c>
      <c r="CW358" s="7">
        <f t="shared" si="1811"/>
        <v>43036.567333333209</v>
      </c>
      <c r="CX358" s="7">
        <f t="shared" si="1812"/>
        <v>42394.237333333207</v>
      </c>
      <c r="CY358" s="7">
        <f t="shared" si="1813"/>
        <v>41751.907333333205</v>
      </c>
      <c r="CZ358" s="236">
        <v>0</v>
      </c>
    </row>
    <row r="359" spans="1:104" ht="22.5" x14ac:dyDescent="0.2">
      <c r="A359" s="6" t="str">
        <f>'[1]2021 УГРЦТ'!A362</f>
        <v>Спасательный центр в г. Нарьян-Маре. Кабель электроснабжения 6 кВ</v>
      </c>
      <c r="B359" t="str">
        <f>'[1]2021 УГРЦТ'!B362</f>
        <v>000001704</v>
      </c>
      <c r="C359" t="str">
        <f>'[1]2021 УГРЦТ'!C362</f>
        <v>ПЕРЕДАЧА</v>
      </c>
      <c r="D359" t="str">
        <f>'[1]2021 УГРЦТ'!D362</f>
        <v>Сооружения</v>
      </c>
      <c r="E359" t="str">
        <f>'[1]2021 УГРЦТ'!E362</f>
        <v>24.05.2017</v>
      </c>
      <c r="F359" t="str">
        <f>'[1]2021 УГРЦТ'!F362</f>
        <v>Цех электрических сетей</v>
      </c>
      <c r="G359">
        <f>'[1]2021 УГРЦТ'!AC362</f>
        <v>360</v>
      </c>
      <c r="H359" s="7">
        <f>'[1]2021 УГРЦТ'!X362</f>
        <v>7653204.9500000002</v>
      </c>
      <c r="I359" s="7">
        <f>'[1]2021 УГРЦТ'!Y362</f>
        <v>1169239.5316666667</v>
      </c>
      <c r="J359" s="7">
        <f>'[1]2021 УГРЦТ'!Z362</f>
        <v>6483965.418333333</v>
      </c>
      <c r="K359" s="8">
        <v>1</v>
      </c>
      <c r="L359" s="7">
        <v>21258.899999999998</v>
      </c>
      <c r="M359" s="7"/>
      <c r="N359" s="7">
        <f t="shared" ref="N359:N422" si="1814">L359*12</f>
        <v>255106.8</v>
      </c>
      <c r="O359" s="7">
        <f t="shared" si="1612"/>
        <v>6462706.5183333326</v>
      </c>
      <c r="P359" s="7">
        <f t="shared" ref="P359:Z374" si="1815">O359-$L359</f>
        <v>6441447.6183333322</v>
      </c>
      <c r="Q359" s="7">
        <f t="shared" si="1815"/>
        <v>6420188.7183333319</v>
      </c>
      <c r="R359" s="7">
        <f t="shared" si="1815"/>
        <v>6398929.8183333315</v>
      </c>
      <c r="S359" s="7">
        <f t="shared" si="1815"/>
        <v>6377670.9183333311</v>
      </c>
      <c r="T359" s="7">
        <f t="shared" si="1815"/>
        <v>6356412.0183333308</v>
      </c>
      <c r="U359" s="7">
        <f t="shared" si="1815"/>
        <v>6335153.1183333304</v>
      </c>
      <c r="V359" s="7">
        <f t="shared" si="1815"/>
        <v>6313894.21833333</v>
      </c>
      <c r="W359" s="7">
        <f t="shared" si="1815"/>
        <v>6292635.3183333296</v>
      </c>
      <c r="X359" s="7">
        <f t="shared" si="1815"/>
        <v>6271376.4183333293</v>
      </c>
      <c r="Y359" s="7">
        <f t="shared" si="1815"/>
        <v>6250117.5183333289</v>
      </c>
      <c r="Z359" s="7">
        <f t="shared" si="1815"/>
        <v>6228858.6183333285</v>
      </c>
      <c r="AA359" s="7">
        <f>SUM(O359:Z359,J359)/13*$AA$1</f>
        <v>139841.06440333326</v>
      </c>
      <c r="AB359" s="7"/>
      <c r="AC359" s="7">
        <f t="shared" si="1613"/>
        <v>255106.8</v>
      </c>
      <c r="AD359" s="7">
        <f t="shared" si="1614"/>
        <v>6207599.7183333281</v>
      </c>
      <c r="AE359" s="7">
        <f t="shared" si="1731"/>
        <v>6186340.8183333278</v>
      </c>
      <c r="AF359" s="7">
        <f t="shared" si="1731"/>
        <v>6165081.9183333274</v>
      </c>
      <c r="AG359" s="7">
        <f t="shared" si="1731"/>
        <v>6143823.018333327</v>
      </c>
      <c r="AH359" s="7">
        <f t="shared" si="1731"/>
        <v>6122564.1183333267</v>
      </c>
      <c r="AI359" s="7">
        <f t="shared" si="1731"/>
        <v>6101305.2183333263</v>
      </c>
      <c r="AJ359" s="7">
        <f t="shared" si="1731"/>
        <v>6080046.3183333259</v>
      </c>
      <c r="AK359" s="7">
        <f t="shared" si="1731"/>
        <v>6058787.4183333255</v>
      </c>
      <c r="AL359" s="7">
        <f t="shared" si="1731"/>
        <v>6037528.5183333252</v>
      </c>
      <c r="AM359" s="7">
        <f t="shared" si="1731"/>
        <v>6016269.6183333248</v>
      </c>
      <c r="AN359" s="7">
        <f t="shared" si="1731"/>
        <v>5995010.7183333244</v>
      </c>
      <c r="AO359" s="7">
        <f t="shared" si="1731"/>
        <v>5973751.818333324</v>
      </c>
      <c r="AP359" s="222">
        <f>IF(K359&lt;1,0,SUM(AD359:AO359,Z359)/13*$BG$1)</f>
        <v>134228.71480333319</v>
      </c>
      <c r="AQ359" s="7">
        <v>21258.899999999998</v>
      </c>
      <c r="AR359" s="7">
        <f t="shared" si="1615"/>
        <v>21258.900000000373</v>
      </c>
      <c r="AS359" s="7">
        <f t="shared" si="1616"/>
        <v>3.7471181713044643E-10</v>
      </c>
      <c r="AT359" s="7">
        <f t="shared" si="1772"/>
        <v>255106.8</v>
      </c>
      <c r="AU359" s="7">
        <f t="shared" si="1773"/>
        <v>5952492.9183333237</v>
      </c>
      <c r="AV359" s="7">
        <f t="shared" si="1774"/>
        <v>5931234.0183333233</v>
      </c>
      <c r="AW359" s="7">
        <f t="shared" si="1774"/>
        <v>5909975.1183333229</v>
      </c>
      <c r="AX359" s="7">
        <f t="shared" si="1774"/>
        <v>5888716.2183333226</v>
      </c>
      <c r="AY359" s="7">
        <f t="shared" si="1774"/>
        <v>5867457.3183333222</v>
      </c>
      <c r="AZ359" s="7">
        <f t="shared" si="1774"/>
        <v>5846198.4183333218</v>
      </c>
      <c r="BA359" s="7">
        <f t="shared" si="1774"/>
        <v>5824939.5183333214</v>
      </c>
      <c r="BB359" s="7">
        <f t="shared" si="1774"/>
        <v>5803680.6183333211</v>
      </c>
      <c r="BC359" s="7">
        <f t="shared" si="1774"/>
        <v>5782421.7183333207</v>
      </c>
      <c r="BD359" s="7">
        <f t="shared" si="1774"/>
        <v>5761162.8183333203</v>
      </c>
      <c r="BE359" s="7">
        <f t="shared" si="1774"/>
        <v>5739903.9183333199</v>
      </c>
      <c r="BF359" s="7">
        <f t="shared" si="1774"/>
        <v>5718645.0183333196</v>
      </c>
      <c r="BG359" s="236">
        <f t="shared" si="1598"/>
        <v>128616.36520333309</v>
      </c>
      <c r="BH359" s="7">
        <v>21258.899999999998</v>
      </c>
      <c r="BI359" s="39">
        <f t="shared" si="1775"/>
        <v>255106.8</v>
      </c>
      <c r="BJ359" s="7">
        <f t="shared" si="1776"/>
        <v>5697386.1183333192</v>
      </c>
      <c r="BK359" s="7">
        <f t="shared" si="1777"/>
        <v>5676127.2183333188</v>
      </c>
      <c r="BL359" s="7">
        <f t="shared" si="1778"/>
        <v>5654868.3183333185</v>
      </c>
      <c r="BM359" s="7">
        <f t="shared" si="1779"/>
        <v>5633609.4183333181</v>
      </c>
      <c r="BN359" s="7">
        <f t="shared" si="1780"/>
        <v>5612350.5183333177</v>
      </c>
      <c r="BO359" s="7">
        <f t="shared" si="1781"/>
        <v>5591091.6183333173</v>
      </c>
      <c r="BP359" s="7">
        <f t="shared" si="1782"/>
        <v>5569832.718333317</v>
      </c>
      <c r="BQ359" s="7">
        <f t="shared" si="1783"/>
        <v>5548573.8183333166</v>
      </c>
      <c r="BR359" s="7">
        <f t="shared" si="1784"/>
        <v>5527314.9183333162</v>
      </c>
      <c r="BS359" s="7">
        <f t="shared" si="1785"/>
        <v>5506056.0183333158</v>
      </c>
      <c r="BT359" s="7">
        <f t="shared" si="1786"/>
        <v>5484797.1183333155</v>
      </c>
      <c r="BU359" s="7">
        <f t="shared" si="1787"/>
        <v>5463538.2183333151</v>
      </c>
      <c r="BV359" s="236">
        <f>IF(Z359&lt;1,0,SUM(BJ359:BU359,BF359)/13*$BG$1)</f>
        <v>123004.015603333</v>
      </c>
      <c r="BW359" s="7">
        <v>21258.899999999998</v>
      </c>
      <c r="BX359" s="39">
        <f t="shared" si="1788"/>
        <v>255106.8</v>
      </c>
      <c r="BY359" s="7">
        <f t="shared" si="1789"/>
        <v>5442279.3183333147</v>
      </c>
      <c r="BZ359" s="7">
        <f t="shared" si="1790"/>
        <v>5421020.4183333144</v>
      </c>
      <c r="CA359" s="7">
        <f t="shared" si="1791"/>
        <v>5399761.518333314</v>
      </c>
      <c r="CB359" s="7">
        <f t="shared" si="1792"/>
        <v>5378502.6183333136</v>
      </c>
      <c r="CC359" s="7">
        <f t="shared" si="1793"/>
        <v>5357243.7183333132</v>
      </c>
      <c r="CD359" s="7">
        <f t="shared" si="1794"/>
        <v>5335984.8183333129</v>
      </c>
      <c r="CE359" s="7">
        <f t="shared" si="1795"/>
        <v>5314725.9183333125</v>
      </c>
      <c r="CF359" s="7">
        <f t="shared" si="1796"/>
        <v>5293467.0183333121</v>
      </c>
      <c r="CG359" s="7">
        <f t="shared" si="1797"/>
        <v>5272208.1183333118</v>
      </c>
      <c r="CH359" s="7">
        <f t="shared" si="1798"/>
        <v>5250949.2183333114</v>
      </c>
      <c r="CI359" s="7">
        <f t="shared" si="1799"/>
        <v>5229690.318333311</v>
      </c>
      <c r="CJ359" s="7">
        <f t="shared" si="1800"/>
        <v>5208431.4183333106</v>
      </c>
      <c r="CK359" s="236">
        <f>IF(AO359&lt;1,0,SUM(BY359:CJ359,BU359)/13*$BG$1)</f>
        <v>117391.6660033329</v>
      </c>
      <c r="CL359" s="7">
        <v>21258.899999999998</v>
      </c>
      <c r="CM359" s="39">
        <f t="shared" si="1801"/>
        <v>255106.8</v>
      </c>
      <c r="CN359" s="7">
        <f t="shared" si="1802"/>
        <v>5187172.5183333103</v>
      </c>
      <c r="CO359" s="7">
        <f t="shared" si="1803"/>
        <v>5165913.6183333099</v>
      </c>
      <c r="CP359" s="7">
        <f t="shared" si="1804"/>
        <v>5144654.7183333095</v>
      </c>
      <c r="CQ359" s="7">
        <f t="shared" si="1805"/>
        <v>5123395.8183333091</v>
      </c>
      <c r="CR359" s="7">
        <f t="shared" si="1806"/>
        <v>5102136.9183333088</v>
      </c>
      <c r="CS359" s="7">
        <f t="shared" si="1807"/>
        <v>5080878.0183333084</v>
      </c>
      <c r="CT359" s="7">
        <f t="shared" si="1808"/>
        <v>5059619.118333308</v>
      </c>
      <c r="CU359" s="7">
        <f t="shared" si="1809"/>
        <v>5038360.2183333077</v>
      </c>
      <c r="CV359" s="7">
        <f t="shared" si="1810"/>
        <v>5017101.3183333073</v>
      </c>
      <c r="CW359" s="7">
        <f t="shared" si="1811"/>
        <v>4995842.4183333069</v>
      </c>
      <c r="CX359" s="7">
        <f t="shared" si="1812"/>
        <v>4974583.5183333065</v>
      </c>
      <c r="CY359" s="7">
        <f t="shared" si="1813"/>
        <v>4953324.6183333062</v>
      </c>
      <c r="CZ359" s="236">
        <f>IF(BF359&lt;1,0,SUM(CN359:CY359,CJ359)/13*$BG$1)</f>
        <v>111779.31640333279</v>
      </c>
    </row>
    <row r="360" spans="1:104" x14ac:dyDescent="0.2">
      <c r="A360" s="6" t="str">
        <f>'[1]2021 УГРЦТ'!A363</f>
        <v>Специальный автогидроподъемник Чайка-Сервис 2784SG</v>
      </c>
      <c r="B360" s="15" t="str">
        <f>'[1]2021 УГРЦТ'!B363</f>
        <v>000001819</v>
      </c>
      <c r="C360" t="str">
        <f>'[1]2021 УГРЦТ'!C363</f>
        <v>ПЕРЕДАЧА</v>
      </c>
      <c r="D360" t="str">
        <f>'[1]2021 УГРЦТ'!D363</f>
        <v>Транспортные средства</v>
      </c>
      <c r="E360" t="str">
        <f>'[1]2021 УГРЦТ'!E363</f>
        <v>27.08.2020</v>
      </c>
      <c r="F360" t="str">
        <f>'[1]2021 УГРЦТ'!F363</f>
        <v>Автотранспортный цех</v>
      </c>
      <c r="G360">
        <f>'[1]2021 УГРЦТ'!AC363</f>
        <v>120</v>
      </c>
      <c r="H360" s="7">
        <f>'[1]2021 УГРЦТ'!X363</f>
        <v>5619166.6699999999</v>
      </c>
      <c r="I360" s="7">
        <f>'[1]2021 УГРЦТ'!Y363</f>
        <v>749222.22699999996</v>
      </c>
      <c r="J360" s="7">
        <f>'[1]2021 УГРЦТ'!Z363</f>
        <v>4869944.443</v>
      </c>
      <c r="K360" s="8">
        <v>0</v>
      </c>
      <c r="L360" s="11">
        <v>46826.390000000007</v>
      </c>
      <c r="M360" s="11"/>
      <c r="N360" s="7">
        <f t="shared" si="1814"/>
        <v>561916.68000000005</v>
      </c>
      <c r="O360" s="7">
        <f t="shared" si="1612"/>
        <v>4823118.0530000003</v>
      </c>
      <c r="P360" s="7">
        <f t="shared" si="1815"/>
        <v>4776291.6630000006</v>
      </c>
      <c r="Q360" s="7">
        <f t="shared" si="1815"/>
        <v>4729465.273000001</v>
      </c>
      <c r="R360" s="7">
        <f t="shared" si="1815"/>
        <v>4682638.8830000013</v>
      </c>
      <c r="S360" s="7">
        <f t="shared" si="1815"/>
        <v>4635812.4930000016</v>
      </c>
      <c r="T360" s="7">
        <f t="shared" si="1815"/>
        <v>4588986.103000002</v>
      </c>
      <c r="U360" s="7">
        <f t="shared" si="1815"/>
        <v>4542159.7130000023</v>
      </c>
      <c r="V360" s="7">
        <f t="shared" si="1815"/>
        <v>4495333.3230000027</v>
      </c>
      <c r="W360" s="7">
        <f t="shared" si="1815"/>
        <v>4448506.933000003</v>
      </c>
      <c r="X360" s="7">
        <f t="shared" si="1815"/>
        <v>4401680.5430000033</v>
      </c>
      <c r="Y360" s="7">
        <f t="shared" si="1815"/>
        <v>4354854.1530000037</v>
      </c>
      <c r="Z360" s="7">
        <f t="shared" si="1815"/>
        <v>4308027.763000004</v>
      </c>
      <c r="AA360" s="7"/>
      <c r="AB360" s="7"/>
      <c r="AC360" s="7">
        <f t="shared" si="1613"/>
        <v>561916.68000000005</v>
      </c>
      <c r="AD360" s="7">
        <f t="shared" si="1614"/>
        <v>4261201.3730000043</v>
      </c>
      <c r="AE360" s="7">
        <f t="shared" si="1731"/>
        <v>4214374.9830000047</v>
      </c>
      <c r="AF360" s="7">
        <f t="shared" si="1731"/>
        <v>4167548.5930000045</v>
      </c>
      <c r="AG360" s="7">
        <f t="shared" si="1731"/>
        <v>4120722.2030000044</v>
      </c>
      <c r="AH360" s="7">
        <f t="shared" si="1731"/>
        <v>4073895.8130000043</v>
      </c>
      <c r="AI360" s="7">
        <f t="shared" si="1731"/>
        <v>4027069.4230000041</v>
      </c>
      <c r="AJ360" s="7">
        <f t="shared" si="1731"/>
        <v>3980243.033000004</v>
      </c>
      <c r="AK360" s="7">
        <f t="shared" si="1731"/>
        <v>3933416.6430000039</v>
      </c>
      <c r="AL360" s="7">
        <f t="shared" si="1731"/>
        <v>3886590.2530000038</v>
      </c>
      <c r="AM360" s="7">
        <f t="shared" si="1731"/>
        <v>3839763.8630000036</v>
      </c>
      <c r="AN360" s="7">
        <f t="shared" si="1731"/>
        <v>3792937.4730000035</v>
      </c>
      <c r="AO360" s="7">
        <f t="shared" si="1731"/>
        <v>3746111.0830000034</v>
      </c>
      <c r="AP360" s="222"/>
      <c r="AQ360" s="7">
        <v>46826.390000000007</v>
      </c>
      <c r="AR360" s="7">
        <f t="shared" si="1615"/>
        <v>46826.39000000013</v>
      </c>
      <c r="AS360" s="7">
        <f t="shared" si="1616"/>
        <v>1.2369127944111824E-10</v>
      </c>
      <c r="AT360" s="7">
        <f t="shared" si="1772"/>
        <v>561916.68000000005</v>
      </c>
      <c r="AU360" s="7">
        <f t="shared" si="1773"/>
        <v>3699284.6930000032</v>
      </c>
      <c r="AV360" s="7">
        <f t="shared" si="1774"/>
        <v>3652458.3030000031</v>
      </c>
      <c r="AW360" s="7">
        <f t="shared" si="1774"/>
        <v>3605631.913000003</v>
      </c>
      <c r="AX360" s="7">
        <f t="shared" si="1774"/>
        <v>3558805.5230000028</v>
      </c>
      <c r="AY360" s="7">
        <f t="shared" si="1774"/>
        <v>3511979.1330000027</v>
      </c>
      <c r="AZ360" s="7">
        <f t="shared" si="1774"/>
        <v>3465152.7430000026</v>
      </c>
      <c r="BA360" s="7">
        <f t="shared" si="1774"/>
        <v>3418326.3530000024</v>
      </c>
      <c r="BB360" s="7">
        <f t="shared" si="1774"/>
        <v>3371499.9630000023</v>
      </c>
      <c r="BC360" s="7">
        <f t="shared" si="1774"/>
        <v>3324673.5730000022</v>
      </c>
      <c r="BD360" s="7">
        <f t="shared" si="1774"/>
        <v>3277847.1830000021</v>
      </c>
      <c r="BE360" s="7">
        <f t="shared" si="1774"/>
        <v>3231020.7930000019</v>
      </c>
      <c r="BF360" s="7">
        <f t="shared" si="1774"/>
        <v>3184194.4030000018</v>
      </c>
      <c r="BG360" s="236">
        <f t="shared" si="1598"/>
        <v>0</v>
      </c>
      <c r="BH360" s="7">
        <v>46826.390000000007</v>
      </c>
      <c r="BI360" s="39">
        <f t="shared" si="1775"/>
        <v>561916.68000000005</v>
      </c>
      <c r="BJ360" s="7">
        <f t="shared" si="1776"/>
        <v>3137368.0130000017</v>
      </c>
      <c r="BK360" s="7">
        <f t="shared" si="1777"/>
        <v>3090541.6230000015</v>
      </c>
      <c r="BL360" s="7">
        <f t="shared" si="1778"/>
        <v>3043715.2330000014</v>
      </c>
      <c r="BM360" s="7">
        <f t="shared" si="1779"/>
        <v>2996888.8430000013</v>
      </c>
      <c r="BN360" s="7">
        <f t="shared" si="1780"/>
        <v>2950062.4530000011</v>
      </c>
      <c r="BO360" s="7">
        <f t="shared" si="1781"/>
        <v>2903236.063000001</v>
      </c>
      <c r="BP360" s="7">
        <f t="shared" si="1782"/>
        <v>2856409.6730000009</v>
      </c>
      <c r="BQ360" s="7">
        <f t="shared" si="1783"/>
        <v>2809583.2830000008</v>
      </c>
      <c r="BR360" s="7">
        <f t="shared" si="1784"/>
        <v>2762756.8930000006</v>
      </c>
      <c r="BS360" s="7">
        <f t="shared" si="1785"/>
        <v>2715930.5030000005</v>
      </c>
      <c r="BT360" s="7">
        <f t="shared" si="1786"/>
        <v>2669104.1130000004</v>
      </c>
      <c r="BU360" s="7">
        <f t="shared" si="1787"/>
        <v>2622277.7230000002</v>
      </c>
      <c r="BV360" s="236">
        <v>0</v>
      </c>
      <c r="BW360" s="7">
        <v>46826.390000000007</v>
      </c>
      <c r="BX360" s="39">
        <f t="shared" si="1788"/>
        <v>561916.68000000005</v>
      </c>
      <c r="BY360" s="7">
        <f t="shared" si="1789"/>
        <v>2575451.3330000001</v>
      </c>
      <c r="BZ360" s="7">
        <f t="shared" si="1790"/>
        <v>2528624.943</v>
      </c>
      <c r="CA360" s="7">
        <f t="shared" si="1791"/>
        <v>2481798.5529999998</v>
      </c>
      <c r="CB360" s="7">
        <f t="shared" si="1792"/>
        <v>2434972.1629999997</v>
      </c>
      <c r="CC360" s="7">
        <f t="shared" si="1793"/>
        <v>2388145.7729999996</v>
      </c>
      <c r="CD360" s="7">
        <f t="shared" si="1794"/>
        <v>2341319.3829999994</v>
      </c>
      <c r="CE360" s="7">
        <f t="shared" si="1795"/>
        <v>2294492.9929999993</v>
      </c>
      <c r="CF360" s="7">
        <f t="shared" si="1796"/>
        <v>2247666.6029999992</v>
      </c>
      <c r="CG360" s="7">
        <f t="shared" si="1797"/>
        <v>2200840.2129999991</v>
      </c>
      <c r="CH360" s="7">
        <f t="shared" si="1798"/>
        <v>2154013.8229999989</v>
      </c>
      <c r="CI360" s="7">
        <f t="shared" si="1799"/>
        <v>2107187.4329999988</v>
      </c>
      <c r="CJ360" s="7">
        <f t="shared" si="1800"/>
        <v>2060361.0429999989</v>
      </c>
      <c r="CK360" s="236">
        <v>0</v>
      </c>
      <c r="CL360" s="7">
        <v>46826.390000000007</v>
      </c>
      <c r="CM360" s="39">
        <f t="shared" si="1801"/>
        <v>561916.68000000005</v>
      </c>
      <c r="CN360" s="7">
        <f t="shared" si="1802"/>
        <v>2013534.652999999</v>
      </c>
      <c r="CO360" s="7">
        <f t="shared" si="1803"/>
        <v>1966708.2629999991</v>
      </c>
      <c r="CP360" s="7">
        <f t="shared" si="1804"/>
        <v>1919881.8729999992</v>
      </c>
      <c r="CQ360" s="7">
        <f t="shared" si="1805"/>
        <v>1873055.4829999993</v>
      </c>
      <c r="CR360" s="7">
        <f t="shared" si="1806"/>
        <v>1826229.0929999994</v>
      </c>
      <c r="CS360" s="7">
        <f t="shared" si="1807"/>
        <v>1779402.7029999995</v>
      </c>
      <c r="CT360" s="7">
        <f t="shared" si="1808"/>
        <v>1732576.3129999996</v>
      </c>
      <c r="CU360" s="7">
        <f t="shared" si="1809"/>
        <v>1685749.9229999997</v>
      </c>
      <c r="CV360" s="7">
        <f t="shared" si="1810"/>
        <v>1638923.5329999998</v>
      </c>
      <c r="CW360" s="7">
        <f t="shared" si="1811"/>
        <v>1592097.1429999999</v>
      </c>
      <c r="CX360" s="7">
        <f t="shared" si="1812"/>
        <v>1545270.753</v>
      </c>
      <c r="CY360" s="7">
        <f t="shared" si="1813"/>
        <v>1498444.3630000001</v>
      </c>
      <c r="CZ360" s="236">
        <v>0</v>
      </c>
    </row>
    <row r="361" spans="1:104" ht="22.5" x14ac:dyDescent="0.2">
      <c r="A361" s="6" t="str">
        <f>'[1]2021 УГРЦТ'!A364</f>
        <v>Строительство ВЛ-0,4 кВ по ул. Строителей (от ТП №65 ф. Монтажников д.15, 15б, 17, ф. Строителей д.1, 3, 3а)</v>
      </c>
      <c r="B361" t="str">
        <f>'[1]2021 УГРЦТ'!B364</f>
        <v>000001825</v>
      </c>
      <c r="C361" t="str">
        <f>'[1]2021 УГРЦТ'!C364</f>
        <v>ПЕРЕДАЧА</v>
      </c>
      <c r="D361" t="str">
        <f>'[1]2021 УГРЦТ'!D364</f>
        <v>Сооружения</v>
      </c>
      <c r="E361" t="str">
        <f>'[1]2021 УГРЦТ'!E364</f>
        <v>12.11.2020</v>
      </c>
      <c r="F361" t="str">
        <f>'[1]2021 УГРЦТ'!F364</f>
        <v>Цех электрических сетей</v>
      </c>
      <c r="G361">
        <f>'[1]2021 УГРЦТ'!AC364</f>
        <v>480</v>
      </c>
      <c r="H361" s="7">
        <f>'[1]2021 УГРЦТ'!X364</f>
        <v>4267272.09</v>
      </c>
      <c r="I361" s="7">
        <f>'[1]2021 УГРЦТ'!Y364</f>
        <v>115571.95224999996</v>
      </c>
      <c r="J361" s="7">
        <f>'[1]2021 УГРЦТ'!Z364</f>
        <v>4151700.1377499998</v>
      </c>
      <c r="K361" s="8">
        <v>1</v>
      </c>
      <c r="L361" s="7">
        <v>8890.1499999999978</v>
      </c>
      <c r="M361" s="7"/>
      <c r="N361" s="7">
        <f t="shared" si="1814"/>
        <v>106681.79999999997</v>
      </c>
      <c r="O361" s="7">
        <f t="shared" si="1612"/>
        <v>4142809.9877499999</v>
      </c>
      <c r="P361" s="7">
        <f t="shared" si="1815"/>
        <v>4133919.8377499999</v>
      </c>
      <c r="Q361" s="7">
        <f t="shared" si="1815"/>
        <v>4125029.68775</v>
      </c>
      <c r="R361" s="7">
        <f t="shared" si="1815"/>
        <v>4116139.5377500001</v>
      </c>
      <c r="S361" s="7">
        <f t="shared" si="1815"/>
        <v>4107249.3877500002</v>
      </c>
      <c r="T361" s="7">
        <f t="shared" si="1815"/>
        <v>4098359.2377500003</v>
      </c>
      <c r="U361" s="7">
        <f t="shared" si="1815"/>
        <v>4089469.0877500004</v>
      </c>
      <c r="V361" s="7">
        <f t="shared" si="1815"/>
        <v>4080578.9377500005</v>
      </c>
      <c r="W361" s="7">
        <f t="shared" si="1815"/>
        <v>4071688.7877500006</v>
      </c>
      <c r="X361" s="7">
        <f t="shared" si="1815"/>
        <v>4062798.6377500007</v>
      </c>
      <c r="Y361" s="7">
        <f t="shared" si="1815"/>
        <v>4053908.4877500008</v>
      </c>
      <c r="Z361" s="7">
        <f t="shared" si="1815"/>
        <v>4045018.3377500009</v>
      </c>
      <c r="AA361" s="7">
        <f t="shared" ref="AA361:AA363" si="1816">SUM(O361:Z361,J361)/13*$AA$1</f>
        <v>90163.903230500015</v>
      </c>
      <c r="AB361" s="7"/>
      <c r="AC361" s="7">
        <f t="shared" si="1613"/>
        <v>106681.79999999997</v>
      </c>
      <c r="AD361" s="7">
        <f t="shared" si="1614"/>
        <v>4036128.187750001</v>
      </c>
      <c r="AE361" s="7">
        <f t="shared" si="1731"/>
        <v>4027238.0377500011</v>
      </c>
      <c r="AF361" s="7">
        <f t="shared" si="1731"/>
        <v>4018347.8877500012</v>
      </c>
      <c r="AG361" s="7">
        <f t="shared" si="1731"/>
        <v>4009457.7377500013</v>
      </c>
      <c r="AH361" s="7">
        <f t="shared" si="1731"/>
        <v>4000567.5877500013</v>
      </c>
      <c r="AI361" s="7">
        <f t="shared" si="1731"/>
        <v>3991677.4377500014</v>
      </c>
      <c r="AJ361" s="7">
        <f t="shared" si="1731"/>
        <v>3982787.2877500015</v>
      </c>
      <c r="AK361" s="7">
        <f t="shared" si="1731"/>
        <v>3973897.1377500016</v>
      </c>
      <c r="AL361" s="7">
        <f t="shared" si="1731"/>
        <v>3965006.9877500017</v>
      </c>
      <c r="AM361" s="7">
        <f t="shared" si="1731"/>
        <v>3956116.8377500018</v>
      </c>
      <c r="AN361" s="7">
        <f t="shared" si="1731"/>
        <v>3947226.6877500019</v>
      </c>
      <c r="AO361" s="7">
        <f t="shared" si="1731"/>
        <v>3938336.537750002</v>
      </c>
      <c r="AP361" s="222">
        <f>IF(K361&lt;1,0,SUM(AD361:AO361,Z361)/13*$BG$1)</f>
        <v>87816.903630500034</v>
      </c>
      <c r="AQ361" s="7">
        <v>8890.1499999999978</v>
      </c>
      <c r="AR361" s="7">
        <f t="shared" si="1615"/>
        <v>8890.1499999999069</v>
      </c>
      <c r="AS361" s="7">
        <f t="shared" si="1616"/>
        <v>-9.0949470177292824E-11</v>
      </c>
      <c r="AT361" s="7">
        <f t="shared" si="1772"/>
        <v>106681.79999999997</v>
      </c>
      <c r="AU361" s="7">
        <f t="shared" si="1773"/>
        <v>3929446.3877500021</v>
      </c>
      <c r="AV361" s="7">
        <f t="shared" si="1774"/>
        <v>3920556.2377500022</v>
      </c>
      <c r="AW361" s="7">
        <f t="shared" si="1774"/>
        <v>3911666.0877500023</v>
      </c>
      <c r="AX361" s="7">
        <f t="shared" si="1774"/>
        <v>3902775.9377500024</v>
      </c>
      <c r="AY361" s="7">
        <f t="shared" si="1774"/>
        <v>3893885.7877500025</v>
      </c>
      <c r="AZ361" s="7">
        <f t="shared" si="1774"/>
        <v>3884995.6377500026</v>
      </c>
      <c r="BA361" s="7">
        <f t="shared" si="1774"/>
        <v>3876105.4877500026</v>
      </c>
      <c r="BB361" s="7">
        <f t="shared" si="1774"/>
        <v>3867215.3377500027</v>
      </c>
      <c r="BC361" s="7">
        <f t="shared" si="1774"/>
        <v>3858325.1877500028</v>
      </c>
      <c r="BD361" s="7">
        <f t="shared" si="1774"/>
        <v>3849435.0377500029</v>
      </c>
      <c r="BE361" s="7">
        <f t="shared" si="1774"/>
        <v>3840544.887750003</v>
      </c>
      <c r="BF361" s="7">
        <f t="shared" si="1774"/>
        <v>3831654.7377500031</v>
      </c>
      <c r="BG361" s="236">
        <f t="shared" si="1598"/>
        <v>85469.904030500038</v>
      </c>
      <c r="BH361" s="7">
        <v>8890.1499999999978</v>
      </c>
      <c r="BI361" s="39">
        <f t="shared" si="1775"/>
        <v>106681.79999999997</v>
      </c>
      <c r="BJ361" s="7">
        <f t="shared" si="1776"/>
        <v>3822764.5877500032</v>
      </c>
      <c r="BK361" s="7">
        <f t="shared" si="1777"/>
        <v>3813874.4377500033</v>
      </c>
      <c r="BL361" s="7">
        <f t="shared" si="1778"/>
        <v>3804984.2877500034</v>
      </c>
      <c r="BM361" s="7">
        <f t="shared" si="1779"/>
        <v>3796094.1377500035</v>
      </c>
      <c r="BN361" s="7">
        <f t="shared" si="1780"/>
        <v>3787203.9877500036</v>
      </c>
      <c r="BO361" s="7">
        <f t="shared" si="1781"/>
        <v>3778313.8377500037</v>
      </c>
      <c r="BP361" s="7">
        <f t="shared" si="1782"/>
        <v>3769423.6877500038</v>
      </c>
      <c r="BQ361" s="7">
        <f t="shared" si="1783"/>
        <v>3760533.5377500039</v>
      </c>
      <c r="BR361" s="7">
        <f t="shared" si="1784"/>
        <v>3751643.387750004</v>
      </c>
      <c r="BS361" s="7">
        <f t="shared" si="1785"/>
        <v>3742753.237750004</v>
      </c>
      <c r="BT361" s="7">
        <f t="shared" si="1786"/>
        <v>3733863.0877500041</v>
      </c>
      <c r="BU361" s="7">
        <f t="shared" si="1787"/>
        <v>3724972.9377500042</v>
      </c>
      <c r="BV361" s="236">
        <f>IF(Z361&lt;1,0,SUM(BJ361:BU361,BF361)/13*$BG$1)</f>
        <v>83122.904430500072</v>
      </c>
      <c r="BW361" s="7">
        <v>8890.1499999999978</v>
      </c>
      <c r="BX361" s="39">
        <f t="shared" si="1788"/>
        <v>106681.79999999997</v>
      </c>
      <c r="BY361" s="7">
        <f t="shared" si="1789"/>
        <v>3716082.7877500043</v>
      </c>
      <c r="BZ361" s="7">
        <f t="shared" si="1790"/>
        <v>3707192.6377500044</v>
      </c>
      <c r="CA361" s="7">
        <f t="shared" si="1791"/>
        <v>3698302.4877500045</v>
      </c>
      <c r="CB361" s="7">
        <f t="shared" si="1792"/>
        <v>3689412.3377500046</v>
      </c>
      <c r="CC361" s="7">
        <f t="shared" si="1793"/>
        <v>3680522.1877500047</v>
      </c>
      <c r="CD361" s="7">
        <f t="shared" si="1794"/>
        <v>3671632.0377500048</v>
      </c>
      <c r="CE361" s="7">
        <f t="shared" si="1795"/>
        <v>3662741.8877500049</v>
      </c>
      <c r="CF361" s="7">
        <f t="shared" si="1796"/>
        <v>3653851.737750005</v>
      </c>
      <c r="CG361" s="7">
        <f t="shared" si="1797"/>
        <v>3644961.5877500051</v>
      </c>
      <c r="CH361" s="7">
        <f t="shared" si="1798"/>
        <v>3636071.4377500052</v>
      </c>
      <c r="CI361" s="7">
        <f t="shared" si="1799"/>
        <v>3627181.2877500053</v>
      </c>
      <c r="CJ361" s="7">
        <f t="shared" si="1800"/>
        <v>3618291.1377500053</v>
      </c>
      <c r="CK361" s="236">
        <f>IF(AO361&lt;1,0,SUM(BY361:CJ361,BU361)/13*$BG$1)</f>
        <v>80775.904830500105</v>
      </c>
      <c r="CL361" s="7">
        <v>8890.1499999999978</v>
      </c>
      <c r="CM361" s="39">
        <f t="shared" si="1801"/>
        <v>106681.79999999997</v>
      </c>
      <c r="CN361" s="7">
        <f t="shared" si="1802"/>
        <v>3609400.9877500054</v>
      </c>
      <c r="CO361" s="7">
        <f t="shared" si="1803"/>
        <v>3600510.8377500055</v>
      </c>
      <c r="CP361" s="7">
        <f t="shared" si="1804"/>
        <v>3591620.6877500056</v>
      </c>
      <c r="CQ361" s="7">
        <f t="shared" si="1805"/>
        <v>3582730.5377500057</v>
      </c>
      <c r="CR361" s="7">
        <f t="shared" si="1806"/>
        <v>3573840.3877500058</v>
      </c>
      <c r="CS361" s="7">
        <f t="shared" si="1807"/>
        <v>3564950.2377500059</v>
      </c>
      <c r="CT361" s="7">
        <f t="shared" si="1808"/>
        <v>3556060.087750006</v>
      </c>
      <c r="CU361" s="7">
        <f t="shared" si="1809"/>
        <v>3547169.9377500061</v>
      </c>
      <c r="CV361" s="7">
        <f t="shared" si="1810"/>
        <v>3538279.7877500062</v>
      </c>
      <c r="CW361" s="7">
        <f t="shared" si="1811"/>
        <v>3529389.6377500063</v>
      </c>
      <c r="CX361" s="7">
        <f t="shared" si="1812"/>
        <v>3520499.4877500064</v>
      </c>
      <c r="CY361" s="7">
        <f t="shared" si="1813"/>
        <v>3511609.3377500065</v>
      </c>
      <c r="CZ361" s="236">
        <f>IF(BF361&lt;1,0,SUM(CN361:CY361,CJ361)/13*$BG$1)</f>
        <v>78428.905230500124</v>
      </c>
    </row>
    <row r="362" spans="1:104" ht="22.5" x14ac:dyDescent="0.2">
      <c r="A362" s="6" t="str">
        <f>'[1]2021 УГРЦТ'!A365</f>
        <v>Строительство ВЛ-0,4кВ от ТП №2 фидер ул. 60 лет Октября д.43А г. Нарьян-Мар НАО</v>
      </c>
      <c r="B362" t="str">
        <f>'[1]2021 УГРЦТ'!B365</f>
        <v>000001690</v>
      </c>
      <c r="C362" t="str">
        <f>'[1]2021 УГРЦТ'!C365</f>
        <v>ПЕРЕДАЧА</v>
      </c>
      <c r="D362" t="str">
        <f>'[1]2021 УГРЦТ'!D365</f>
        <v>Сооружения</v>
      </c>
      <c r="E362" t="str">
        <f>'[1]2021 УГРЦТ'!E365</f>
        <v>10.08.2016</v>
      </c>
      <c r="F362" t="str">
        <f>'[1]2021 УГРЦТ'!F365</f>
        <v>Цех электрических сетей</v>
      </c>
      <c r="G362">
        <f>'[1]2021 УГРЦТ'!AC365</f>
        <v>180</v>
      </c>
      <c r="H362" s="7">
        <f>'[1]2021 УГРЦТ'!X365</f>
        <v>1849040.59</v>
      </c>
      <c r="I362" s="7">
        <f>'[1]2021 УГРЦТ'!Y365</f>
        <v>657436.77266666666</v>
      </c>
      <c r="J362" s="7">
        <f>'[1]2021 УГРЦТ'!Z365</f>
        <v>1191603.8173333334</v>
      </c>
      <c r="K362" s="8">
        <v>1</v>
      </c>
      <c r="L362" s="7">
        <v>10272.449999999999</v>
      </c>
      <c r="M362" s="7"/>
      <c r="N362" s="7">
        <f t="shared" si="1814"/>
        <v>123269.4</v>
      </c>
      <c r="O362" s="7">
        <f t="shared" si="1612"/>
        <v>1181331.3673333335</v>
      </c>
      <c r="P362" s="7">
        <f t="shared" si="1815"/>
        <v>1171058.9173333335</v>
      </c>
      <c r="Q362" s="7">
        <f t="shared" si="1815"/>
        <v>1160786.4673333336</v>
      </c>
      <c r="R362" s="7">
        <f t="shared" si="1815"/>
        <v>1150514.0173333336</v>
      </c>
      <c r="S362" s="7">
        <f t="shared" si="1815"/>
        <v>1140241.5673333337</v>
      </c>
      <c r="T362" s="7">
        <f t="shared" si="1815"/>
        <v>1129969.1173333337</v>
      </c>
      <c r="U362" s="7">
        <f t="shared" si="1815"/>
        <v>1119696.6673333338</v>
      </c>
      <c r="V362" s="7">
        <f t="shared" si="1815"/>
        <v>1109424.2173333338</v>
      </c>
      <c r="W362" s="7">
        <f t="shared" si="1815"/>
        <v>1099151.7673333338</v>
      </c>
      <c r="X362" s="7">
        <f t="shared" si="1815"/>
        <v>1088879.3173333339</v>
      </c>
      <c r="Y362" s="7">
        <f t="shared" si="1815"/>
        <v>1078606.8673333339</v>
      </c>
      <c r="Z362" s="7">
        <f t="shared" si="1815"/>
        <v>1068334.417333334</v>
      </c>
      <c r="AA362" s="7">
        <f t="shared" si="1816"/>
        <v>24859.320581333341</v>
      </c>
      <c r="AB362" s="7"/>
      <c r="AC362" s="7">
        <f t="shared" si="1613"/>
        <v>123269.4</v>
      </c>
      <c r="AD362" s="7">
        <f t="shared" si="1614"/>
        <v>1058061.967333334</v>
      </c>
      <c r="AE362" s="7">
        <f t="shared" si="1731"/>
        <v>1047789.5173333341</v>
      </c>
      <c r="AF362" s="7">
        <f t="shared" si="1731"/>
        <v>1037517.0673333341</v>
      </c>
      <c r="AG362" s="7">
        <f t="shared" si="1731"/>
        <v>1027244.6173333342</v>
      </c>
      <c r="AH362" s="7">
        <f t="shared" si="1731"/>
        <v>1016972.1673333342</v>
      </c>
      <c r="AI362" s="7">
        <f t="shared" si="1731"/>
        <v>1006699.7173333343</v>
      </c>
      <c r="AJ362" s="7">
        <f t="shared" si="1731"/>
        <v>996427.26733333431</v>
      </c>
      <c r="AK362" s="7">
        <f t="shared" si="1731"/>
        <v>986154.81733333436</v>
      </c>
      <c r="AL362" s="7">
        <f t="shared" si="1731"/>
        <v>975882.3673333344</v>
      </c>
      <c r="AM362" s="7">
        <f t="shared" si="1731"/>
        <v>965609.91733333445</v>
      </c>
      <c r="AN362" s="7">
        <f t="shared" si="1731"/>
        <v>955337.4673333345</v>
      </c>
      <c r="AO362" s="7">
        <f t="shared" si="1731"/>
        <v>945065.01733333454</v>
      </c>
      <c r="AP362" s="222">
        <f>IF(K362&lt;1,0,SUM(AD362:AO362,Z362)/13*$BG$1)</f>
        <v>22147.39378133335</v>
      </c>
      <c r="AQ362" s="7">
        <v>10272.449999999999</v>
      </c>
      <c r="AR362" s="7">
        <f t="shared" si="1615"/>
        <v>10272.449999999953</v>
      </c>
      <c r="AS362" s="7">
        <f t="shared" si="1616"/>
        <v>-4.5474735088646412E-11</v>
      </c>
      <c r="AT362" s="7">
        <f t="shared" si="1772"/>
        <v>123269.4</v>
      </c>
      <c r="AU362" s="7">
        <f t="shared" si="1773"/>
        <v>934792.56733333459</v>
      </c>
      <c r="AV362" s="7">
        <f t="shared" si="1774"/>
        <v>924520.11733333464</v>
      </c>
      <c r="AW362" s="7">
        <f t="shared" si="1774"/>
        <v>914247.66733333468</v>
      </c>
      <c r="AX362" s="7">
        <f t="shared" si="1774"/>
        <v>903975.21733333473</v>
      </c>
      <c r="AY362" s="7">
        <f t="shared" si="1774"/>
        <v>893702.76733333478</v>
      </c>
      <c r="AZ362" s="7">
        <f t="shared" si="1774"/>
        <v>883430.31733333482</v>
      </c>
      <c r="BA362" s="7">
        <f t="shared" si="1774"/>
        <v>873157.86733333487</v>
      </c>
      <c r="BB362" s="7">
        <f t="shared" si="1774"/>
        <v>862885.41733333492</v>
      </c>
      <c r="BC362" s="7">
        <f t="shared" si="1774"/>
        <v>852612.96733333496</v>
      </c>
      <c r="BD362" s="7">
        <f t="shared" si="1774"/>
        <v>842340.51733333501</v>
      </c>
      <c r="BE362" s="7">
        <f t="shared" si="1774"/>
        <v>832068.06733333506</v>
      </c>
      <c r="BF362" s="7">
        <f t="shared" si="1774"/>
        <v>821795.6173333351</v>
      </c>
      <c r="BG362" s="236">
        <f t="shared" si="1598"/>
        <v>19435.466981333364</v>
      </c>
      <c r="BH362" s="7">
        <v>10272.449999999999</v>
      </c>
      <c r="BI362" s="39">
        <f t="shared" si="1775"/>
        <v>123269.4</v>
      </c>
      <c r="BJ362" s="7">
        <f t="shared" si="1776"/>
        <v>811523.16733333515</v>
      </c>
      <c r="BK362" s="7">
        <f t="shared" si="1777"/>
        <v>801250.7173333352</v>
      </c>
      <c r="BL362" s="7">
        <f t="shared" si="1778"/>
        <v>790978.26733333524</v>
      </c>
      <c r="BM362" s="7">
        <f t="shared" si="1779"/>
        <v>780705.81733333529</v>
      </c>
      <c r="BN362" s="7">
        <f t="shared" si="1780"/>
        <v>770433.36733333534</v>
      </c>
      <c r="BO362" s="7">
        <f t="shared" si="1781"/>
        <v>760160.91733333538</v>
      </c>
      <c r="BP362" s="7">
        <f t="shared" si="1782"/>
        <v>749888.46733333543</v>
      </c>
      <c r="BQ362" s="7">
        <f t="shared" si="1783"/>
        <v>739616.01733333548</v>
      </c>
      <c r="BR362" s="7">
        <f t="shared" si="1784"/>
        <v>729343.56733333552</v>
      </c>
      <c r="BS362" s="7">
        <f t="shared" si="1785"/>
        <v>719071.11733333557</v>
      </c>
      <c r="BT362" s="7">
        <f t="shared" si="1786"/>
        <v>708798.66733333562</v>
      </c>
      <c r="BU362" s="7">
        <f t="shared" si="1787"/>
        <v>698526.21733333566</v>
      </c>
      <c r="BV362" s="236">
        <f>IF(Z362&lt;1,0,SUM(BJ362:BU362,BF362)/13*$BG$1)</f>
        <v>16723.540181333377</v>
      </c>
      <c r="BW362" s="7">
        <v>10272.449999999999</v>
      </c>
      <c r="BX362" s="39">
        <f t="shared" si="1788"/>
        <v>123269.4</v>
      </c>
      <c r="BY362" s="7">
        <f t="shared" si="1789"/>
        <v>688253.76733333571</v>
      </c>
      <c r="BZ362" s="7">
        <f t="shared" si="1790"/>
        <v>677981.31733333576</v>
      </c>
      <c r="CA362" s="7">
        <f t="shared" si="1791"/>
        <v>667708.8673333358</v>
      </c>
      <c r="CB362" s="7">
        <f t="shared" si="1792"/>
        <v>657436.41733333585</v>
      </c>
      <c r="CC362" s="7">
        <f t="shared" si="1793"/>
        <v>647163.9673333359</v>
      </c>
      <c r="CD362" s="7">
        <f t="shared" si="1794"/>
        <v>636891.51733333594</v>
      </c>
      <c r="CE362" s="7">
        <f t="shared" si="1795"/>
        <v>626619.06733333599</v>
      </c>
      <c r="CF362" s="7">
        <f t="shared" si="1796"/>
        <v>616346.61733333603</v>
      </c>
      <c r="CG362" s="7">
        <f t="shared" si="1797"/>
        <v>606074.16733333608</v>
      </c>
      <c r="CH362" s="7">
        <f t="shared" si="1798"/>
        <v>595801.71733333613</v>
      </c>
      <c r="CI362" s="7">
        <f t="shared" si="1799"/>
        <v>585529.26733333617</v>
      </c>
      <c r="CJ362" s="7">
        <f t="shared" si="1800"/>
        <v>575256.81733333622</v>
      </c>
      <c r="CK362" s="236">
        <f>IF(AO362&lt;1,0,SUM(BY362:CJ362,BU362)/13*$BG$1)</f>
        <v>14011.613381333389</v>
      </c>
      <c r="CL362" s="7">
        <v>10272.449999999999</v>
      </c>
      <c r="CM362" s="39">
        <f t="shared" si="1801"/>
        <v>123269.4</v>
      </c>
      <c r="CN362" s="7">
        <f t="shared" si="1802"/>
        <v>564984.36733333627</v>
      </c>
      <c r="CO362" s="7">
        <f t="shared" si="1803"/>
        <v>554711.91733333631</v>
      </c>
      <c r="CP362" s="7">
        <f t="shared" si="1804"/>
        <v>544439.46733333636</v>
      </c>
      <c r="CQ362" s="7">
        <f t="shared" si="1805"/>
        <v>534167.01733333641</v>
      </c>
      <c r="CR362" s="7">
        <f t="shared" si="1806"/>
        <v>523894.5673333364</v>
      </c>
      <c r="CS362" s="7">
        <f t="shared" si="1807"/>
        <v>513622.11733333638</v>
      </c>
      <c r="CT362" s="7">
        <f t="shared" si="1808"/>
        <v>503349.66733333637</v>
      </c>
      <c r="CU362" s="7">
        <f t="shared" si="1809"/>
        <v>493077.21733333636</v>
      </c>
      <c r="CV362" s="7">
        <f t="shared" si="1810"/>
        <v>482804.76733333635</v>
      </c>
      <c r="CW362" s="7">
        <f t="shared" si="1811"/>
        <v>472532.31733333634</v>
      </c>
      <c r="CX362" s="7">
        <f t="shared" si="1812"/>
        <v>462259.86733333633</v>
      </c>
      <c r="CY362" s="7">
        <f t="shared" si="1813"/>
        <v>451987.41733333631</v>
      </c>
      <c r="CZ362" s="236">
        <f>IF(BF362&lt;1,0,SUM(CN362:CY362,CJ362)/13*$BG$1)</f>
        <v>11299.686581333399</v>
      </c>
    </row>
    <row r="363" spans="1:104" ht="33.75" x14ac:dyDescent="0.2">
      <c r="A363" s="6" t="str">
        <f>'[1]2021 УГРЦТ'!A366</f>
        <v>Строительство участка ВЛ-0,4 кВ от ТП №46, фидер "ул.Молодежная", фидер "ул.Юбилейная", фидер магазин "Хороший"</v>
      </c>
      <c r="B363" t="str">
        <f>'[1]2021 УГРЦТ'!B366</f>
        <v>000001699</v>
      </c>
      <c r="C363" t="str">
        <f>'[1]2021 УГРЦТ'!C366</f>
        <v>ПЕРЕДАЧА</v>
      </c>
      <c r="D363" t="str">
        <f>'[1]2021 УГРЦТ'!D366</f>
        <v>Сооружения</v>
      </c>
      <c r="E363" t="str">
        <f>'[1]2021 УГРЦТ'!E366</f>
        <v>23.12.2016</v>
      </c>
      <c r="F363" t="str">
        <f>'[1]2021 УГРЦТ'!F366</f>
        <v>Цех электрических сетей</v>
      </c>
      <c r="G363">
        <f>'[1]2021 УГРЦТ'!AC366</f>
        <v>180</v>
      </c>
      <c r="H363" s="7">
        <f>'[1]2021 УГРЦТ'!X366</f>
        <v>2516509.21</v>
      </c>
      <c r="I363" s="7">
        <f>'[1]2021 УГРЦТ'!Y366</f>
        <v>838836.56066666672</v>
      </c>
      <c r="J363" s="7">
        <f>'[1]2021 УГРЦТ'!Z366</f>
        <v>1677672.6493333331</v>
      </c>
      <c r="K363" s="8">
        <v>1</v>
      </c>
      <c r="L363" s="7">
        <v>13980.61</v>
      </c>
      <c r="M363" s="7"/>
      <c r="N363" s="7">
        <f t="shared" si="1814"/>
        <v>167767.32</v>
      </c>
      <c r="O363" s="7">
        <f t="shared" si="1612"/>
        <v>1663692.039333333</v>
      </c>
      <c r="P363" s="7">
        <f t="shared" si="1815"/>
        <v>1649711.4293333329</v>
      </c>
      <c r="Q363" s="7">
        <f t="shared" si="1815"/>
        <v>1635730.8193333328</v>
      </c>
      <c r="R363" s="7">
        <f t="shared" si="1815"/>
        <v>1621750.2093333327</v>
      </c>
      <c r="S363" s="7">
        <f t="shared" si="1815"/>
        <v>1607769.5993333326</v>
      </c>
      <c r="T363" s="7">
        <f t="shared" si="1815"/>
        <v>1593788.9893333325</v>
      </c>
      <c r="U363" s="7">
        <f t="shared" si="1815"/>
        <v>1579808.3793333324</v>
      </c>
      <c r="V363" s="7">
        <f t="shared" si="1815"/>
        <v>1565827.7693333323</v>
      </c>
      <c r="W363" s="7">
        <f t="shared" si="1815"/>
        <v>1551847.1593333322</v>
      </c>
      <c r="X363" s="7">
        <f t="shared" si="1815"/>
        <v>1537866.5493333321</v>
      </c>
      <c r="Y363" s="7">
        <f t="shared" si="1815"/>
        <v>1523885.939333332</v>
      </c>
      <c r="Z363" s="7">
        <f t="shared" si="1815"/>
        <v>1509905.3293333319</v>
      </c>
      <c r="AA363" s="7">
        <f t="shared" si="1816"/>
        <v>35063.357765333305</v>
      </c>
      <c r="AB363" s="7"/>
      <c r="AC363" s="7">
        <f t="shared" si="1613"/>
        <v>167767.32</v>
      </c>
      <c r="AD363" s="7">
        <f t="shared" si="1614"/>
        <v>1495924.7193333318</v>
      </c>
      <c r="AE363" s="7">
        <f t="shared" si="1731"/>
        <v>1481944.1093333317</v>
      </c>
      <c r="AF363" s="7">
        <f t="shared" si="1731"/>
        <v>1467963.4993333316</v>
      </c>
      <c r="AG363" s="7">
        <f t="shared" si="1731"/>
        <v>1453982.8893333315</v>
      </c>
      <c r="AH363" s="7">
        <f t="shared" si="1731"/>
        <v>1440002.2793333314</v>
      </c>
      <c r="AI363" s="7">
        <f t="shared" si="1731"/>
        <v>1426021.6693333313</v>
      </c>
      <c r="AJ363" s="7">
        <f t="shared" si="1731"/>
        <v>1412041.0593333312</v>
      </c>
      <c r="AK363" s="7">
        <f t="shared" si="1731"/>
        <v>1398060.4493333311</v>
      </c>
      <c r="AL363" s="7">
        <f t="shared" si="1731"/>
        <v>1384079.839333331</v>
      </c>
      <c r="AM363" s="7">
        <f t="shared" si="1731"/>
        <v>1370099.2293333309</v>
      </c>
      <c r="AN363" s="7">
        <f t="shared" si="1731"/>
        <v>1356118.6193333308</v>
      </c>
      <c r="AO363" s="7">
        <f t="shared" si="1731"/>
        <v>1342138.0093333307</v>
      </c>
      <c r="AP363" s="222">
        <f>IF(K363&lt;1,0,SUM(AD363:AO363,Z363)/13*$BG$1)</f>
        <v>31372.476725333287</v>
      </c>
      <c r="AQ363" s="7">
        <v>13980.61</v>
      </c>
      <c r="AR363" s="7">
        <f t="shared" si="1615"/>
        <v>13980.610000000102</v>
      </c>
      <c r="AS363" s="7">
        <f t="shared" si="1616"/>
        <v>1.0186340659856796E-10</v>
      </c>
      <c r="AT363" s="7">
        <f t="shared" si="1772"/>
        <v>167767.32</v>
      </c>
      <c r="AU363" s="7">
        <f t="shared" si="1773"/>
        <v>1328157.3993333306</v>
      </c>
      <c r="AV363" s="7">
        <f t="shared" si="1774"/>
        <v>1314176.7893333305</v>
      </c>
      <c r="AW363" s="7">
        <f t="shared" si="1774"/>
        <v>1300196.1793333304</v>
      </c>
      <c r="AX363" s="7">
        <f t="shared" si="1774"/>
        <v>1286215.5693333303</v>
      </c>
      <c r="AY363" s="7">
        <f t="shared" si="1774"/>
        <v>1272234.9593333302</v>
      </c>
      <c r="AZ363" s="7">
        <f t="shared" si="1774"/>
        <v>1258254.3493333301</v>
      </c>
      <c r="BA363" s="7">
        <f t="shared" si="1774"/>
        <v>1244273.73933333</v>
      </c>
      <c r="BB363" s="7">
        <f t="shared" si="1774"/>
        <v>1230293.1293333299</v>
      </c>
      <c r="BC363" s="7">
        <f t="shared" si="1774"/>
        <v>1216312.5193333298</v>
      </c>
      <c r="BD363" s="7">
        <f t="shared" si="1774"/>
        <v>1202331.9093333296</v>
      </c>
      <c r="BE363" s="7">
        <f t="shared" si="1774"/>
        <v>1188351.2993333295</v>
      </c>
      <c r="BF363" s="7">
        <f t="shared" si="1774"/>
        <v>1174370.6893333294</v>
      </c>
      <c r="BG363" s="236">
        <f t="shared" si="1598"/>
        <v>27681.595685333261</v>
      </c>
      <c r="BH363" s="7">
        <v>13980.61</v>
      </c>
      <c r="BI363" s="39">
        <f t="shared" si="1775"/>
        <v>167767.32</v>
      </c>
      <c r="BJ363" s="7">
        <f t="shared" si="1776"/>
        <v>1160390.0793333293</v>
      </c>
      <c r="BK363" s="7">
        <f t="shared" si="1777"/>
        <v>1146409.4693333292</v>
      </c>
      <c r="BL363" s="7">
        <f t="shared" si="1778"/>
        <v>1132428.8593333291</v>
      </c>
      <c r="BM363" s="7">
        <f t="shared" si="1779"/>
        <v>1118448.249333329</v>
      </c>
      <c r="BN363" s="7">
        <f t="shared" si="1780"/>
        <v>1104467.6393333289</v>
      </c>
      <c r="BO363" s="7">
        <f t="shared" si="1781"/>
        <v>1090487.0293333288</v>
      </c>
      <c r="BP363" s="7">
        <f t="shared" si="1782"/>
        <v>1076506.4193333287</v>
      </c>
      <c r="BQ363" s="7">
        <f t="shared" si="1783"/>
        <v>1062525.8093333286</v>
      </c>
      <c r="BR363" s="7">
        <f t="shared" si="1784"/>
        <v>1048545.1993333286</v>
      </c>
      <c r="BS363" s="7">
        <f t="shared" si="1785"/>
        <v>1034564.5893333287</v>
      </c>
      <c r="BT363" s="7">
        <f t="shared" si="1786"/>
        <v>1020583.9793333287</v>
      </c>
      <c r="BU363" s="7">
        <f t="shared" si="1787"/>
        <v>1006603.3693333287</v>
      </c>
      <c r="BV363" s="236">
        <f>IF(Z363&lt;1,0,SUM(BJ363:BU363,BF363)/13*$BG$1)</f>
        <v>23990.714645333232</v>
      </c>
      <c r="BW363" s="7">
        <v>13980.61</v>
      </c>
      <c r="BX363" s="39">
        <f t="shared" si="1788"/>
        <v>167767.32</v>
      </c>
      <c r="BY363" s="7">
        <f t="shared" si="1789"/>
        <v>992622.75933332869</v>
      </c>
      <c r="BZ363" s="7">
        <f t="shared" si="1790"/>
        <v>978642.14933332871</v>
      </c>
      <c r="CA363" s="7">
        <f t="shared" si="1791"/>
        <v>964661.53933332872</v>
      </c>
      <c r="CB363" s="7">
        <f t="shared" si="1792"/>
        <v>950680.92933332874</v>
      </c>
      <c r="CC363" s="7">
        <f t="shared" si="1793"/>
        <v>936700.31933332875</v>
      </c>
      <c r="CD363" s="7">
        <f t="shared" si="1794"/>
        <v>922719.70933332876</v>
      </c>
      <c r="CE363" s="7">
        <f t="shared" si="1795"/>
        <v>908739.09933332878</v>
      </c>
      <c r="CF363" s="7">
        <f t="shared" si="1796"/>
        <v>894758.48933332879</v>
      </c>
      <c r="CG363" s="7">
        <f t="shared" si="1797"/>
        <v>880777.8793333288</v>
      </c>
      <c r="CH363" s="7">
        <f t="shared" si="1798"/>
        <v>866797.26933332882</v>
      </c>
      <c r="CI363" s="7">
        <f t="shared" si="1799"/>
        <v>852816.65933332883</v>
      </c>
      <c r="CJ363" s="7">
        <f t="shared" si="1800"/>
        <v>838836.04933332885</v>
      </c>
      <c r="CK363" s="236">
        <f>IF(AO363&lt;1,0,SUM(BY363:CJ363,BU363)/13*$BG$1)</f>
        <v>20299.833605333231</v>
      </c>
      <c r="CL363" s="7">
        <v>13980.61</v>
      </c>
      <c r="CM363" s="39">
        <f t="shared" si="1801"/>
        <v>167767.32</v>
      </c>
      <c r="CN363" s="7">
        <f t="shared" si="1802"/>
        <v>824855.43933332886</v>
      </c>
      <c r="CO363" s="7">
        <f t="shared" si="1803"/>
        <v>810874.82933332887</v>
      </c>
      <c r="CP363" s="7">
        <f t="shared" si="1804"/>
        <v>796894.21933332889</v>
      </c>
      <c r="CQ363" s="7">
        <f t="shared" si="1805"/>
        <v>782913.6093333289</v>
      </c>
      <c r="CR363" s="7">
        <f t="shared" si="1806"/>
        <v>768932.99933332892</v>
      </c>
      <c r="CS363" s="7">
        <f t="shared" si="1807"/>
        <v>754952.38933332893</v>
      </c>
      <c r="CT363" s="7">
        <f t="shared" si="1808"/>
        <v>740971.77933332894</v>
      </c>
      <c r="CU363" s="7">
        <f t="shared" si="1809"/>
        <v>726991.16933332896</v>
      </c>
      <c r="CV363" s="7">
        <f t="shared" si="1810"/>
        <v>713010.55933332897</v>
      </c>
      <c r="CW363" s="7">
        <f t="shared" si="1811"/>
        <v>699029.94933332899</v>
      </c>
      <c r="CX363" s="7">
        <f t="shared" si="1812"/>
        <v>685049.339333329</v>
      </c>
      <c r="CY363" s="7">
        <f t="shared" si="1813"/>
        <v>671068.72933332901</v>
      </c>
      <c r="CZ363" s="236">
        <f>IF(BF363&lt;1,0,SUM(CN363:CY363,CJ363)/13*$BG$1)</f>
        <v>16608.952565333235</v>
      </c>
    </row>
    <row r="364" spans="1:104" x14ac:dyDescent="0.2">
      <c r="A364" s="6" t="str">
        <f>'[1]2021 УГРЦТ'!A367</f>
        <v>Тепловизор RGK TL-80</v>
      </c>
      <c r="B364" t="str">
        <f>'[1]2021 УГРЦТ'!B367</f>
        <v>000001742</v>
      </c>
      <c r="C364" t="str">
        <f>'[1]2021 УГРЦТ'!C367</f>
        <v>ПЕРЕДАЧА</v>
      </c>
      <c r="D364" t="str">
        <f>'[1]2021 УГРЦТ'!D367</f>
        <v>Машины и оборудование (кроме офисного)</v>
      </c>
      <c r="E364" t="str">
        <f>'[1]2021 УГРЦТ'!E367</f>
        <v>28.08.2018</v>
      </c>
      <c r="F364" t="str">
        <f>'[1]2021 УГРЦТ'!F367</f>
        <v>Цех электрических сетей</v>
      </c>
      <c r="G364">
        <f>'[1]2021 УГРЦТ'!AC367</f>
        <v>60</v>
      </c>
      <c r="H364" s="7">
        <f>'[1]2021 УГРЦТ'!X367</f>
        <v>138588.07</v>
      </c>
      <c r="I364" s="7">
        <f>'[1]2021 УГРЦТ'!Y367</f>
        <v>92392.01400000001</v>
      </c>
      <c r="J364" s="7">
        <f>'[1]2021 УГРЦТ'!Z367</f>
        <v>46196.055999999997</v>
      </c>
      <c r="K364" s="8">
        <v>0</v>
      </c>
      <c r="L364" s="7">
        <v>2309.7999999999997</v>
      </c>
      <c r="M364" s="7"/>
      <c r="N364" s="7">
        <f t="shared" si="1814"/>
        <v>27717.599999999999</v>
      </c>
      <c r="O364" s="7">
        <f t="shared" si="1612"/>
        <v>43886.255999999994</v>
      </c>
      <c r="P364" s="7">
        <f t="shared" si="1815"/>
        <v>41576.455999999991</v>
      </c>
      <c r="Q364" s="7">
        <f t="shared" si="1815"/>
        <v>39266.655999999988</v>
      </c>
      <c r="R364" s="7">
        <f t="shared" si="1815"/>
        <v>36956.855999999985</v>
      </c>
      <c r="S364" s="7">
        <f t="shared" si="1815"/>
        <v>34647.055999999982</v>
      </c>
      <c r="T364" s="7">
        <f t="shared" si="1815"/>
        <v>32337.255999999983</v>
      </c>
      <c r="U364" s="7">
        <f t="shared" si="1815"/>
        <v>30027.455999999984</v>
      </c>
      <c r="V364" s="7">
        <f t="shared" si="1815"/>
        <v>27717.655999999984</v>
      </c>
      <c r="W364" s="7">
        <f t="shared" si="1815"/>
        <v>25407.855999999985</v>
      </c>
      <c r="X364" s="7">
        <f t="shared" si="1815"/>
        <v>23098.055999999986</v>
      </c>
      <c r="Y364" s="7">
        <f t="shared" si="1815"/>
        <v>20788.255999999987</v>
      </c>
      <c r="Z364" s="7">
        <f t="shared" si="1815"/>
        <v>18478.455999999987</v>
      </c>
      <c r="AA364" s="7"/>
      <c r="AB364" s="7"/>
      <c r="AC364" s="7">
        <f>L364*8+0.06</f>
        <v>18478.46</v>
      </c>
      <c r="AD364" s="7">
        <f t="shared" si="1614"/>
        <v>16168.655999999988</v>
      </c>
      <c r="AE364" s="7">
        <f t="shared" ref="AE364:AO379" si="1817">AD364-$L364</f>
        <v>13858.855999999989</v>
      </c>
      <c r="AF364" s="7">
        <f t="shared" si="1817"/>
        <v>11549.05599999999</v>
      </c>
      <c r="AG364" s="7">
        <f t="shared" si="1817"/>
        <v>9239.2559999999903</v>
      </c>
      <c r="AH364" s="7">
        <f t="shared" si="1817"/>
        <v>6929.455999999991</v>
      </c>
      <c r="AI364" s="7">
        <f t="shared" si="1817"/>
        <v>4619.6559999999918</v>
      </c>
      <c r="AJ364" s="7">
        <f t="shared" si="1817"/>
        <v>2309.855999999992</v>
      </c>
      <c r="AK364" s="7">
        <f t="shared" si="1817"/>
        <v>5.5999999992309313E-2</v>
      </c>
      <c r="AL364" s="7"/>
      <c r="AM364" s="7"/>
      <c r="AN364" s="7"/>
      <c r="AO364" s="7"/>
      <c r="AP364" s="222"/>
      <c r="AQ364" s="7">
        <v>0</v>
      </c>
      <c r="AR364" s="7">
        <f t="shared" si="1615"/>
        <v>0</v>
      </c>
      <c r="AS364" s="7">
        <f t="shared" si="1616"/>
        <v>0</v>
      </c>
      <c r="BG364" s="236">
        <f t="shared" si="1598"/>
        <v>0</v>
      </c>
      <c r="BH364" s="7">
        <v>0</v>
      </c>
      <c r="BV364" s="236">
        <f>IF(Z364&lt;1,0,SUM(BJ364:BU364,BF364)/13*$BG$1)</f>
        <v>0</v>
      </c>
      <c r="BW364" s="7">
        <v>0</v>
      </c>
      <c r="CK364" s="236">
        <f>IF(AO364&lt;1,0,SUM(BY364:CJ364,BU364)/13*$BG$1)</f>
        <v>0</v>
      </c>
      <c r="CL364" s="7">
        <v>0</v>
      </c>
      <c r="CZ364" s="236">
        <f>IF(BF364&lt;1,0,SUM(CN364:CY364,CJ364)/13*$BG$1)</f>
        <v>0</v>
      </c>
    </row>
    <row r="365" spans="1:104" x14ac:dyDescent="0.2">
      <c r="A365" s="6" t="str">
        <f>'[1]2021 УГРЦТ'!A368</f>
        <v>Токоизмерительные клещи с поверкой U1213A</v>
      </c>
      <c r="B365" t="str">
        <f>'[1]2021 УГРЦТ'!B368</f>
        <v>000001868</v>
      </c>
      <c r="C365" t="str">
        <f>'[1]2021 УГРЦТ'!C368</f>
        <v>ПЕРЕДАЧА</v>
      </c>
      <c r="D365" t="str">
        <f>'[1]2021 УГРЦТ'!D368</f>
        <v>Производственный и хозяйственный инвентарь</v>
      </c>
      <c r="E365" s="4">
        <f>'[1]2021 УГРЦТ'!E368</f>
        <v>44509</v>
      </c>
      <c r="F365" t="str">
        <f>'[1]2021 УГРЦТ'!F368</f>
        <v>Цех электрических сетей</v>
      </c>
      <c r="G365">
        <f>'[1]2021 УГРЦТ'!AC368</f>
        <v>84</v>
      </c>
      <c r="H365" s="7">
        <f>'[1]2021 УГРЦТ'!X368</f>
        <v>62904.17</v>
      </c>
      <c r="I365" s="7">
        <f>'[1]2021 УГРЦТ'!Y368</f>
        <v>748.85916666666662</v>
      </c>
      <c r="J365" s="7">
        <f>'[1]2021 УГРЦТ'!Z368</f>
        <v>62155.310833333329</v>
      </c>
      <c r="K365" s="8">
        <v>0</v>
      </c>
      <c r="L365" s="7">
        <v>748.86</v>
      </c>
      <c r="M365" s="7"/>
      <c r="N365" s="7">
        <f t="shared" si="1814"/>
        <v>8986.32</v>
      </c>
      <c r="O365" s="7">
        <f t="shared" si="1612"/>
        <v>61406.450833333329</v>
      </c>
      <c r="P365" s="7">
        <f t="shared" si="1815"/>
        <v>60657.590833333328</v>
      </c>
      <c r="Q365" s="7">
        <f t="shared" si="1815"/>
        <v>59908.730833333328</v>
      </c>
      <c r="R365" s="7">
        <f t="shared" si="1815"/>
        <v>59159.870833333327</v>
      </c>
      <c r="S365" s="7">
        <f t="shared" si="1815"/>
        <v>58411.010833333326</v>
      </c>
      <c r="T365" s="7">
        <f t="shared" si="1815"/>
        <v>57662.150833333326</v>
      </c>
      <c r="U365" s="7">
        <f t="shared" si="1815"/>
        <v>56913.290833333325</v>
      </c>
      <c r="V365" s="7">
        <f t="shared" si="1815"/>
        <v>56164.430833333325</v>
      </c>
      <c r="W365" s="7">
        <f t="shared" si="1815"/>
        <v>55415.570833333324</v>
      </c>
      <c r="X365" s="7">
        <f t="shared" si="1815"/>
        <v>54666.710833333324</v>
      </c>
      <c r="Y365" s="7">
        <f t="shared" si="1815"/>
        <v>53917.850833333323</v>
      </c>
      <c r="Z365" s="7">
        <f t="shared" si="1815"/>
        <v>53168.990833333322</v>
      </c>
      <c r="AA365" s="7"/>
      <c r="AB365" s="7"/>
      <c r="AC365" s="7">
        <f t="shared" si="1613"/>
        <v>8986.32</v>
      </c>
      <c r="AD365" s="7">
        <f t="shared" si="1614"/>
        <v>52420.130833333322</v>
      </c>
      <c r="AE365" s="7">
        <f t="shared" si="1817"/>
        <v>51671.270833333321</v>
      </c>
      <c r="AF365" s="7">
        <f t="shared" si="1817"/>
        <v>50922.410833333321</v>
      </c>
      <c r="AG365" s="7">
        <f t="shared" si="1817"/>
        <v>50173.55083333332</v>
      </c>
      <c r="AH365" s="7">
        <f t="shared" si="1817"/>
        <v>49424.690833333319</v>
      </c>
      <c r="AI365" s="7">
        <f t="shared" si="1817"/>
        <v>48675.830833333319</v>
      </c>
      <c r="AJ365" s="7">
        <f t="shared" si="1817"/>
        <v>47926.970833333318</v>
      </c>
      <c r="AK365" s="7">
        <f t="shared" si="1817"/>
        <v>47178.110833333318</v>
      </c>
      <c r="AL365" s="7">
        <f t="shared" si="1817"/>
        <v>46429.250833333317</v>
      </c>
      <c r="AM365" s="7">
        <f t="shared" si="1817"/>
        <v>45680.390833333317</v>
      </c>
      <c r="AN365" s="7">
        <f t="shared" si="1817"/>
        <v>44931.530833333316</v>
      </c>
      <c r="AO365" s="7">
        <f t="shared" si="1817"/>
        <v>44182.670833333315</v>
      </c>
      <c r="AP365" s="222"/>
      <c r="AQ365" s="7">
        <v>748.86</v>
      </c>
      <c r="AR365" s="7">
        <f t="shared" si="1615"/>
        <v>748.86000000000058</v>
      </c>
      <c r="AS365" s="7">
        <f t="shared" si="1616"/>
        <v>0</v>
      </c>
      <c r="AT365" s="7">
        <f t="shared" ref="AT365:AT366" si="1818">L365*12</f>
        <v>8986.32</v>
      </c>
      <c r="AU365" s="7">
        <f>AO365-$L365</f>
        <v>43433.810833333315</v>
      </c>
      <c r="AV365" s="7">
        <f t="shared" ref="AV365:BF366" si="1819">AU365-$L365</f>
        <v>42684.950833333314</v>
      </c>
      <c r="AW365" s="7">
        <f t="shared" si="1819"/>
        <v>41936.090833333314</v>
      </c>
      <c r="AX365" s="7">
        <f t="shared" si="1819"/>
        <v>41187.230833333313</v>
      </c>
      <c r="AY365" s="7">
        <f t="shared" si="1819"/>
        <v>40438.370833333312</v>
      </c>
      <c r="AZ365" s="7">
        <f t="shared" si="1819"/>
        <v>39689.510833333312</v>
      </c>
      <c r="BA365" s="7">
        <f t="shared" si="1819"/>
        <v>38940.650833333311</v>
      </c>
      <c r="BB365" s="7">
        <f t="shared" si="1819"/>
        <v>38191.790833333311</v>
      </c>
      <c r="BC365" s="7">
        <f t="shared" si="1819"/>
        <v>37442.93083333331</v>
      </c>
      <c r="BD365" s="7">
        <f t="shared" si="1819"/>
        <v>36694.07083333331</v>
      </c>
      <c r="BE365" s="7">
        <f t="shared" si="1819"/>
        <v>35945.210833333309</v>
      </c>
      <c r="BF365" s="7">
        <f t="shared" si="1819"/>
        <v>35196.350833333308</v>
      </c>
      <c r="BG365" s="236">
        <f t="shared" si="1598"/>
        <v>0</v>
      </c>
      <c r="BH365" s="7">
        <v>748.86</v>
      </c>
      <c r="BI365" s="39">
        <f>BH365*12</f>
        <v>8986.32</v>
      </c>
      <c r="BJ365" s="7">
        <f>BF365-BH365</f>
        <v>34447.490833333308</v>
      </c>
      <c r="BK365" s="7">
        <f t="shared" ref="BK365:BK366" si="1820">BJ365-$L365</f>
        <v>33698.630833333307</v>
      </c>
      <c r="BL365" s="7">
        <f t="shared" ref="BL365:BL366" si="1821">BK365-$L365</f>
        <v>32949.770833333307</v>
      </c>
      <c r="BM365" s="7">
        <f t="shared" ref="BM365:BM366" si="1822">BL365-$L365</f>
        <v>32200.910833333306</v>
      </c>
      <c r="BN365" s="7">
        <f t="shared" ref="BN365:BN366" si="1823">BM365-$L365</f>
        <v>31452.050833333305</v>
      </c>
      <c r="BO365" s="7">
        <f t="shared" ref="BO365:BO366" si="1824">BN365-$L365</f>
        <v>30703.190833333305</v>
      </c>
      <c r="BP365" s="7">
        <f t="shared" ref="BP365:BP366" si="1825">BO365-$L365</f>
        <v>29954.330833333304</v>
      </c>
      <c r="BQ365" s="7">
        <f t="shared" ref="BQ365:BQ366" si="1826">BP365-$L365</f>
        <v>29205.470833333304</v>
      </c>
      <c r="BR365" s="7">
        <f t="shared" ref="BR365:BR366" si="1827">BQ365-$L365</f>
        <v>28456.610833333303</v>
      </c>
      <c r="BS365" s="7">
        <f t="shared" ref="BS365:BS366" si="1828">BR365-$L365</f>
        <v>27707.750833333303</v>
      </c>
      <c r="BT365" s="7">
        <f t="shared" ref="BT365:BT366" si="1829">BS365-$L365</f>
        <v>26958.890833333302</v>
      </c>
      <c r="BU365" s="7">
        <f t="shared" ref="BU365:BU366" si="1830">BT365-$L365</f>
        <v>26210.030833333301</v>
      </c>
      <c r="BV365" s="236">
        <v>0</v>
      </c>
      <c r="BW365" s="7">
        <v>748.86</v>
      </c>
      <c r="BX365" s="39">
        <f>BW365*12</f>
        <v>8986.32</v>
      </c>
      <c r="BY365" s="7">
        <f>BU365-BW365</f>
        <v>25461.170833333301</v>
      </c>
      <c r="BZ365" s="7">
        <f t="shared" ref="BZ365:BZ366" si="1831">BY365-$L365</f>
        <v>24712.3108333333</v>
      </c>
      <c r="CA365" s="7">
        <f t="shared" ref="CA365:CA366" si="1832">BZ365-$L365</f>
        <v>23963.4508333333</v>
      </c>
      <c r="CB365" s="7">
        <f t="shared" ref="CB365:CB366" si="1833">CA365-$L365</f>
        <v>23214.590833333299</v>
      </c>
      <c r="CC365" s="7">
        <f t="shared" ref="CC365:CC366" si="1834">CB365-$L365</f>
        <v>22465.730833333299</v>
      </c>
      <c r="CD365" s="7">
        <f t="shared" ref="CD365:CD366" si="1835">CC365-$L365</f>
        <v>21716.870833333298</v>
      </c>
      <c r="CE365" s="7">
        <f t="shared" ref="CE365:CE366" si="1836">CD365-$L365</f>
        <v>20968.010833333297</v>
      </c>
      <c r="CF365" s="7">
        <f t="shared" ref="CF365:CF366" si="1837">CE365-$L365</f>
        <v>20219.150833333297</v>
      </c>
      <c r="CG365" s="7">
        <f t="shared" ref="CG365:CG366" si="1838">CF365-$L365</f>
        <v>19470.290833333296</v>
      </c>
      <c r="CH365" s="7">
        <f t="shared" ref="CH365:CH366" si="1839">CG365-$L365</f>
        <v>18721.430833333296</v>
      </c>
      <c r="CI365" s="7">
        <f t="shared" ref="CI365:CI366" si="1840">CH365-$L365</f>
        <v>17972.570833333295</v>
      </c>
      <c r="CJ365" s="7">
        <f t="shared" ref="CJ365:CJ366" si="1841">CI365-$L365</f>
        <v>17223.710833333294</v>
      </c>
      <c r="CK365" s="236">
        <v>0</v>
      </c>
      <c r="CL365" s="7">
        <v>748.86</v>
      </c>
      <c r="CM365" s="39">
        <f>CL365*12</f>
        <v>8986.32</v>
      </c>
      <c r="CN365" s="7">
        <f>CJ365-CL365</f>
        <v>16474.850833333294</v>
      </c>
      <c r="CO365" s="7">
        <f t="shared" ref="CO365:CO366" si="1842">CN365-$L365</f>
        <v>15725.990833333293</v>
      </c>
      <c r="CP365" s="7">
        <f t="shared" ref="CP365:CP366" si="1843">CO365-$L365</f>
        <v>14977.130833333293</v>
      </c>
      <c r="CQ365" s="7">
        <f t="shared" ref="CQ365:CQ366" si="1844">CP365-$L365</f>
        <v>14228.270833333292</v>
      </c>
      <c r="CR365" s="7">
        <f t="shared" ref="CR365:CR366" si="1845">CQ365-$L365</f>
        <v>13479.410833333292</v>
      </c>
      <c r="CS365" s="7">
        <f t="shared" ref="CS365:CS366" si="1846">CR365-$L365</f>
        <v>12730.550833333291</v>
      </c>
      <c r="CT365" s="7">
        <f t="shared" ref="CT365:CT366" si="1847">CS365-$L365</f>
        <v>11981.69083333329</v>
      </c>
      <c r="CU365" s="7">
        <f t="shared" ref="CU365:CU366" si="1848">CT365-$L365</f>
        <v>11232.83083333329</v>
      </c>
      <c r="CV365" s="7">
        <f t="shared" ref="CV365:CV366" si="1849">CU365-$L365</f>
        <v>10483.970833333289</v>
      </c>
      <c r="CW365" s="7">
        <f t="shared" ref="CW365:CW366" si="1850">CV365-$L365</f>
        <v>9735.1108333332886</v>
      </c>
      <c r="CX365" s="7">
        <f t="shared" ref="CX365:CX366" si="1851">CW365-$L365</f>
        <v>8986.250833333288</v>
      </c>
      <c r="CY365" s="7">
        <f t="shared" ref="CY365:CY366" si="1852">CX365-$L365</f>
        <v>8237.3908333332874</v>
      </c>
      <c r="CZ365" s="236">
        <v>0</v>
      </c>
    </row>
    <row r="366" spans="1:104" x14ac:dyDescent="0.2">
      <c r="A366" s="6" t="str">
        <f>'[1]2021 УГРЦТ'!A369</f>
        <v>ТП 100/6/0,4кВ лыжная база "Старт"</v>
      </c>
      <c r="B366" t="str">
        <f>'[1]2021 УГРЦТ'!B369</f>
        <v>00001230</v>
      </c>
      <c r="C366" t="str">
        <f>'[1]2021 УГРЦТ'!C369</f>
        <v>ПЕРЕДАЧА</v>
      </c>
      <c r="D366" t="str">
        <f>'[1]2021 УГРЦТ'!D369</f>
        <v>Сооружения</v>
      </c>
      <c r="E366" t="str">
        <f>'[1]2021 УГРЦТ'!E369</f>
        <v>30.11.2010</v>
      </c>
      <c r="F366" t="str">
        <f>'[1]2021 УГРЦТ'!F369</f>
        <v>Цех электрических сетей</v>
      </c>
      <c r="G366">
        <f>'[1]2021 УГРЦТ'!AC369</f>
        <v>240</v>
      </c>
      <c r="H366" s="7">
        <f>'[1]2021 УГРЦТ'!X369</f>
        <v>164403.51999999999</v>
      </c>
      <c r="I366" s="7">
        <f>'[1]2021 УГРЦТ'!Y369</f>
        <v>91404.6</v>
      </c>
      <c r="J366" s="7">
        <f>'[1]2021 УГРЦТ'!Z369</f>
        <v>72998.919999999984</v>
      </c>
      <c r="K366" s="8">
        <v>1</v>
      </c>
      <c r="L366" s="7">
        <v>682.2399999999999</v>
      </c>
      <c r="M366" s="7"/>
      <c r="N366" s="7">
        <f t="shared" si="1814"/>
        <v>8186.8799999999992</v>
      </c>
      <c r="O366" s="7">
        <f t="shared" si="1612"/>
        <v>72316.679999999978</v>
      </c>
      <c r="P366" s="7">
        <f t="shared" si="1815"/>
        <v>71634.439999999973</v>
      </c>
      <c r="Q366" s="7">
        <f t="shared" si="1815"/>
        <v>70952.199999999968</v>
      </c>
      <c r="R366" s="7">
        <f t="shared" si="1815"/>
        <v>70269.959999999963</v>
      </c>
      <c r="S366" s="7">
        <f t="shared" si="1815"/>
        <v>69587.719999999958</v>
      </c>
      <c r="T366" s="7">
        <f t="shared" si="1815"/>
        <v>68905.479999999952</v>
      </c>
      <c r="U366" s="7">
        <f t="shared" si="1815"/>
        <v>68223.239999999947</v>
      </c>
      <c r="V366" s="7">
        <f t="shared" si="1815"/>
        <v>67540.999999999942</v>
      </c>
      <c r="W366" s="7">
        <f t="shared" si="1815"/>
        <v>66858.759999999937</v>
      </c>
      <c r="X366" s="7">
        <f t="shared" si="1815"/>
        <v>66176.519999999931</v>
      </c>
      <c r="Y366" s="7">
        <f t="shared" si="1815"/>
        <v>65494.279999999933</v>
      </c>
      <c r="Z366" s="7">
        <f t="shared" si="1815"/>
        <v>64812.039999999935</v>
      </c>
      <c r="AA366" s="7">
        <f t="shared" ref="AA366:AA390" si="1853">SUM(O366:Z366,J366)/13*$AA$1</f>
        <v>1515.9205599999989</v>
      </c>
      <c r="AB366" s="7"/>
      <c r="AC366" s="7">
        <f t="shared" si="1613"/>
        <v>8186.8799999999992</v>
      </c>
      <c r="AD366" s="7">
        <f t="shared" si="1614"/>
        <v>64129.799999999937</v>
      </c>
      <c r="AE366" s="7">
        <f t="shared" si="1817"/>
        <v>63447.559999999939</v>
      </c>
      <c r="AF366" s="7">
        <f t="shared" si="1817"/>
        <v>62765.319999999942</v>
      </c>
      <c r="AG366" s="7">
        <f t="shared" si="1817"/>
        <v>62083.079999999944</v>
      </c>
      <c r="AH366" s="7">
        <f t="shared" si="1817"/>
        <v>61400.839999999946</v>
      </c>
      <c r="AI366" s="7">
        <f t="shared" si="1817"/>
        <v>60718.599999999948</v>
      </c>
      <c r="AJ366" s="7">
        <f t="shared" si="1817"/>
        <v>60036.35999999995</v>
      </c>
      <c r="AK366" s="7">
        <f t="shared" si="1817"/>
        <v>59354.119999999952</v>
      </c>
      <c r="AL366" s="7">
        <f t="shared" si="1817"/>
        <v>58671.879999999954</v>
      </c>
      <c r="AM366" s="7">
        <f t="shared" si="1817"/>
        <v>57989.639999999956</v>
      </c>
      <c r="AN366" s="7">
        <f t="shared" si="1817"/>
        <v>57307.399999999958</v>
      </c>
      <c r="AO366" s="7">
        <f t="shared" si="1817"/>
        <v>56625.15999999996</v>
      </c>
      <c r="AP366" s="222">
        <f>IF(K366&lt;1,0,SUM(AD366:AO366,Z366)/13*$BG$1)</f>
        <v>1335.8091999999986</v>
      </c>
      <c r="AQ366" s="7">
        <v>682.2399999999999</v>
      </c>
      <c r="AR366" s="7">
        <f t="shared" si="1615"/>
        <v>682.23999999999796</v>
      </c>
      <c r="AS366" s="7">
        <f t="shared" si="1616"/>
        <v>-1.9326762412674725E-12</v>
      </c>
      <c r="AT366" s="7">
        <f t="shared" si="1818"/>
        <v>8186.8799999999992</v>
      </c>
      <c r="AU366" s="7">
        <f>AO366-$L366</f>
        <v>55942.919999999962</v>
      </c>
      <c r="AV366" s="7">
        <f t="shared" si="1819"/>
        <v>55260.679999999964</v>
      </c>
      <c r="AW366" s="7">
        <f t="shared" si="1819"/>
        <v>54578.439999999966</v>
      </c>
      <c r="AX366" s="7">
        <f t="shared" si="1819"/>
        <v>53896.199999999968</v>
      </c>
      <c r="AY366" s="7">
        <f t="shared" si="1819"/>
        <v>53213.95999999997</v>
      </c>
      <c r="AZ366" s="7">
        <f t="shared" si="1819"/>
        <v>52531.719999999972</v>
      </c>
      <c r="BA366" s="7">
        <f t="shared" si="1819"/>
        <v>51849.479999999974</v>
      </c>
      <c r="BB366" s="7">
        <f t="shared" si="1819"/>
        <v>51167.239999999976</v>
      </c>
      <c r="BC366" s="7">
        <f t="shared" si="1819"/>
        <v>50484.999999999978</v>
      </c>
      <c r="BD366" s="7">
        <f t="shared" si="1819"/>
        <v>49802.75999999998</v>
      </c>
      <c r="BE366" s="7">
        <f t="shared" si="1819"/>
        <v>49120.519999999982</v>
      </c>
      <c r="BF366" s="7">
        <f t="shared" si="1819"/>
        <v>48438.279999999984</v>
      </c>
      <c r="BG366" s="236">
        <f t="shared" si="1598"/>
        <v>1155.6978399999996</v>
      </c>
      <c r="BH366" s="7">
        <v>682.2399999999999</v>
      </c>
      <c r="BI366" s="39">
        <f>BH366*12</f>
        <v>8186.8799999999992</v>
      </c>
      <c r="BJ366" s="7">
        <f>BF366-BH366</f>
        <v>47756.039999999986</v>
      </c>
      <c r="BK366" s="7">
        <f t="shared" si="1820"/>
        <v>47073.799999999988</v>
      </c>
      <c r="BL366" s="7">
        <f t="shared" si="1821"/>
        <v>46391.55999999999</v>
      </c>
      <c r="BM366" s="7">
        <f t="shared" si="1822"/>
        <v>45709.319999999992</v>
      </c>
      <c r="BN366" s="7">
        <f t="shared" si="1823"/>
        <v>45027.079999999994</v>
      </c>
      <c r="BO366" s="7">
        <f t="shared" si="1824"/>
        <v>44344.84</v>
      </c>
      <c r="BP366" s="7">
        <f t="shared" si="1825"/>
        <v>43662.6</v>
      </c>
      <c r="BQ366" s="7">
        <f t="shared" si="1826"/>
        <v>42980.36</v>
      </c>
      <c r="BR366" s="7">
        <f t="shared" si="1827"/>
        <v>42298.12</v>
      </c>
      <c r="BS366" s="7">
        <f t="shared" si="1828"/>
        <v>41615.880000000005</v>
      </c>
      <c r="BT366" s="7">
        <f t="shared" si="1829"/>
        <v>40933.640000000007</v>
      </c>
      <c r="BU366" s="7">
        <f t="shared" si="1830"/>
        <v>40251.400000000009</v>
      </c>
      <c r="BV366" s="236">
        <f t="shared" ref="BV366:BV390" si="1854">IF(Z366&lt;1,0,SUM(BJ366:BU366,BF366)/13*$BG$1)</f>
        <v>975.58647999999982</v>
      </c>
      <c r="BW366" s="7">
        <v>682.2399999999999</v>
      </c>
      <c r="BX366" s="39">
        <f>BW366*12</f>
        <v>8186.8799999999992</v>
      </c>
      <c r="BY366" s="7">
        <f>BU366-BW366</f>
        <v>39569.160000000011</v>
      </c>
      <c r="BZ366" s="7">
        <f t="shared" si="1831"/>
        <v>38886.920000000013</v>
      </c>
      <c r="CA366" s="7">
        <f t="shared" si="1832"/>
        <v>38204.680000000015</v>
      </c>
      <c r="CB366" s="7">
        <f t="shared" si="1833"/>
        <v>37522.440000000017</v>
      </c>
      <c r="CC366" s="7">
        <f t="shared" si="1834"/>
        <v>36840.200000000019</v>
      </c>
      <c r="CD366" s="7">
        <f t="shared" si="1835"/>
        <v>36157.960000000021</v>
      </c>
      <c r="CE366" s="7">
        <f t="shared" si="1836"/>
        <v>35475.720000000023</v>
      </c>
      <c r="CF366" s="7">
        <f t="shared" si="1837"/>
        <v>34793.480000000025</v>
      </c>
      <c r="CG366" s="7">
        <f t="shared" si="1838"/>
        <v>34111.240000000027</v>
      </c>
      <c r="CH366" s="7">
        <f t="shared" si="1839"/>
        <v>33429.000000000029</v>
      </c>
      <c r="CI366" s="7">
        <f t="shared" si="1840"/>
        <v>32746.760000000028</v>
      </c>
      <c r="CJ366" s="7">
        <f t="shared" si="1841"/>
        <v>32064.520000000026</v>
      </c>
      <c r="CK366" s="236">
        <f t="shared" ref="CK366:CK390" si="1855">IF(AO366&lt;1,0,SUM(BY366:CJ366,BU366)/13*$BG$1)</f>
        <v>795.47512000000063</v>
      </c>
      <c r="CL366" s="7">
        <v>682.2399999999999</v>
      </c>
      <c r="CM366" s="39">
        <f>CL366*12</f>
        <v>8186.8799999999992</v>
      </c>
      <c r="CN366" s="7">
        <f>CJ366-CL366</f>
        <v>31382.280000000024</v>
      </c>
      <c r="CO366" s="7">
        <f t="shared" si="1842"/>
        <v>30700.040000000023</v>
      </c>
      <c r="CP366" s="7">
        <f t="shared" si="1843"/>
        <v>30017.800000000021</v>
      </c>
      <c r="CQ366" s="7">
        <f t="shared" si="1844"/>
        <v>29335.560000000019</v>
      </c>
      <c r="CR366" s="7">
        <f t="shared" si="1845"/>
        <v>28653.320000000018</v>
      </c>
      <c r="CS366" s="7">
        <f t="shared" si="1846"/>
        <v>27971.080000000016</v>
      </c>
      <c r="CT366" s="7">
        <f t="shared" si="1847"/>
        <v>27288.840000000015</v>
      </c>
      <c r="CU366" s="7">
        <f t="shared" si="1848"/>
        <v>26606.600000000013</v>
      </c>
      <c r="CV366" s="7">
        <f t="shared" si="1849"/>
        <v>25924.360000000011</v>
      </c>
      <c r="CW366" s="7">
        <f t="shared" si="1850"/>
        <v>25242.12000000001</v>
      </c>
      <c r="CX366" s="7">
        <f t="shared" si="1851"/>
        <v>24559.880000000008</v>
      </c>
      <c r="CY366" s="7">
        <f t="shared" si="1852"/>
        <v>23877.640000000007</v>
      </c>
      <c r="CZ366" s="236">
        <f t="shared" ref="CZ366:CZ390" si="1856">IF(BF366&lt;1,0,SUM(CN366:CY366,CJ366)/13*$BG$1)</f>
        <v>615.3637600000003</v>
      </c>
    </row>
    <row r="367" spans="1:104" x14ac:dyDescent="0.2">
      <c r="A367" s="6" t="str">
        <f>'[1]2021 УГРЦТ'!A370</f>
        <v>ТП №1 " Сахалин "</v>
      </c>
      <c r="B367" t="str">
        <f>'[1]2021 УГРЦТ'!B370</f>
        <v>00000995</v>
      </c>
      <c r="C367" t="str">
        <f>'[1]2021 УГРЦТ'!C370</f>
        <v>ПЕРЕДАЧА</v>
      </c>
      <c r="D367" t="str">
        <f>'[1]2021 УГРЦТ'!D370</f>
        <v>Сооружения</v>
      </c>
      <c r="E367" t="str">
        <f>'[1]2021 УГРЦТ'!E370</f>
        <v>31.10.2006</v>
      </c>
      <c r="F367" t="str">
        <f>'[1]2021 УГРЦТ'!F370</f>
        <v>Цех электрических сетей</v>
      </c>
      <c r="G367">
        <f>'[1]2021 УГРЦТ'!AC370</f>
        <v>180</v>
      </c>
      <c r="H367" s="7">
        <f>'[1]2021 УГРЦТ'!X370</f>
        <v>113278.86</v>
      </c>
      <c r="I367" s="7">
        <f>'[1]2021 УГРЦТ'!Y370</f>
        <v>113278.86300000001</v>
      </c>
      <c r="J367" s="7">
        <f>'[1]2021 УГРЦТ'!Z370</f>
        <v>-3.0000000115251169E-3</v>
      </c>
      <c r="K367" s="8">
        <v>1</v>
      </c>
      <c r="L367" s="7">
        <v>0</v>
      </c>
      <c r="M367" s="7"/>
      <c r="N367" s="7">
        <f t="shared" si="1814"/>
        <v>0</v>
      </c>
      <c r="O367" s="7">
        <f t="shared" si="1612"/>
        <v>-3.0000000115251169E-3</v>
      </c>
      <c r="P367" s="7">
        <f t="shared" si="1815"/>
        <v>-3.0000000115251169E-3</v>
      </c>
      <c r="Q367" s="7">
        <f t="shared" si="1815"/>
        <v>-3.0000000115251169E-3</v>
      </c>
      <c r="R367" s="7">
        <f t="shared" si="1815"/>
        <v>-3.0000000115251169E-3</v>
      </c>
      <c r="S367" s="7">
        <f t="shared" si="1815"/>
        <v>-3.0000000115251169E-3</v>
      </c>
      <c r="T367" s="7">
        <f t="shared" si="1815"/>
        <v>-3.0000000115251169E-3</v>
      </c>
      <c r="U367" s="7">
        <f t="shared" si="1815"/>
        <v>-3.0000000115251169E-3</v>
      </c>
      <c r="V367" s="7">
        <f t="shared" si="1815"/>
        <v>-3.0000000115251169E-3</v>
      </c>
      <c r="W367" s="7">
        <f t="shared" si="1815"/>
        <v>-3.0000000115251169E-3</v>
      </c>
      <c r="X367" s="7">
        <f t="shared" si="1815"/>
        <v>-3.0000000115251169E-3</v>
      </c>
      <c r="Y367" s="7">
        <f t="shared" si="1815"/>
        <v>-3.0000000115251169E-3</v>
      </c>
      <c r="Z367" s="7">
        <f t="shared" si="1815"/>
        <v>-3.0000000115251169E-3</v>
      </c>
      <c r="AA367" s="7">
        <f t="shared" si="1853"/>
        <v>-6.6000000253552569E-5</v>
      </c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222"/>
      <c r="AQ367" s="7">
        <v>0</v>
      </c>
      <c r="AR367" s="7">
        <f t="shared" si="1615"/>
        <v>0</v>
      </c>
      <c r="AS367" s="7">
        <f t="shared" si="1616"/>
        <v>0</v>
      </c>
      <c r="BG367" s="236">
        <f t="shared" si="1598"/>
        <v>0</v>
      </c>
      <c r="BH367" s="7">
        <v>0</v>
      </c>
      <c r="BV367" s="236">
        <f t="shared" si="1854"/>
        <v>0</v>
      </c>
      <c r="BW367" s="7">
        <v>0</v>
      </c>
      <c r="CK367" s="236">
        <f t="shared" si="1855"/>
        <v>0</v>
      </c>
      <c r="CL367" s="7">
        <v>0</v>
      </c>
      <c r="CZ367" s="236">
        <f t="shared" si="1856"/>
        <v>0</v>
      </c>
    </row>
    <row r="368" spans="1:104" x14ac:dyDescent="0.2">
      <c r="A368" s="6" t="str">
        <f>'[1]2021 УГРЦТ'!A371</f>
        <v>ТП №10  Маслозавод    =10лет</v>
      </c>
      <c r="B368" t="str">
        <f>'[1]2021 УГРЦТ'!B371</f>
        <v>00000258</v>
      </c>
      <c r="C368" t="str">
        <f>'[1]2021 УГРЦТ'!C371</f>
        <v>ПЕРЕДАЧА</v>
      </c>
      <c r="D368" t="str">
        <f>'[1]2021 УГРЦТ'!D371</f>
        <v>Здания</v>
      </c>
      <c r="E368" t="str">
        <f>'[1]2021 УГРЦТ'!E371</f>
        <v>01.09.1998</v>
      </c>
      <c r="F368" t="str">
        <f>'[1]2021 УГРЦТ'!F371</f>
        <v>Цех электрических сетей</v>
      </c>
      <c r="G368">
        <f>'[1]2021 УГРЦТ'!AC371</f>
        <v>708</v>
      </c>
      <c r="H368" s="7">
        <f>'[1]2021 УГРЦТ'!X371</f>
        <v>283921.7</v>
      </c>
      <c r="I368" s="7">
        <f>'[1]2021 УГРЦТ'!Y371</f>
        <v>96252.002203389828</v>
      </c>
      <c r="J368" s="7">
        <f>'[1]2021 УГРЦТ'!Z371</f>
        <v>187669.69779661018</v>
      </c>
      <c r="K368" s="8">
        <v>1</v>
      </c>
      <c r="L368" s="7">
        <v>401.02</v>
      </c>
      <c r="M368" s="7"/>
      <c r="N368" s="7">
        <f t="shared" si="1814"/>
        <v>4812.24</v>
      </c>
      <c r="O368" s="7">
        <f t="shared" si="1612"/>
        <v>187268.67779661019</v>
      </c>
      <c r="P368" s="7">
        <f t="shared" si="1815"/>
        <v>186867.6577966102</v>
      </c>
      <c r="Q368" s="7">
        <f t="shared" si="1815"/>
        <v>186466.63779661022</v>
      </c>
      <c r="R368" s="7">
        <f t="shared" si="1815"/>
        <v>186065.61779661023</v>
      </c>
      <c r="S368" s="7">
        <f t="shared" si="1815"/>
        <v>185664.59779661024</v>
      </c>
      <c r="T368" s="7">
        <f t="shared" si="1815"/>
        <v>185263.57779661025</v>
      </c>
      <c r="U368" s="7">
        <f t="shared" si="1815"/>
        <v>184862.55779661026</v>
      </c>
      <c r="V368" s="7">
        <f t="shared" si="1815"/>
        <v>184461.53779661027</v>
      </c>
      <c r="W368" s="7">
        <f t="shared" si="1815"/>
        <v>184060.51779661028</v>
      </c>
      <c r="X368" s="7">
        <f t="shared" si="1815"/>
        <v>183659.49779661029</v>
      </c>
      <c r="Y368" s="7">
        <f t="shared" si="1815"/>
        <v>183258.4777966103</v>
      </c>
      <c r="Z368" s="7">
        <f t="shared" si="1815"/>
        <v>182857.45779661031</v>
      </c>
      <c r="AA368" s="7">
        <f t="shared" si="1853"/>
        <v>4075.798711525425</v>
      </c>
      <c r="AB368" s="7"/>
      <c r="AC368" s="7">
        <f t="shared" si="1613"/>
        <v>4812.24</v>
      </c>
      <c r="AD368" s="7">
        <f t="shared" si="1614"/>
        <v>182456.43779661032</v>
      </c>
      <c r="AE368" s="7">
        <f t="shared" si="1817"/>
        <v>182055.41779661033</v>
      </c>
      <c r="AF368" s="7">
        <f t="shared" si="1817"/>
        <v>181654.39779661034</v>
      </c>
      <c r="AG368" s="7">
        <f t="shared" si="1817"/>
        <v>181253.37779661035</v>
      </c>
      <c r="AH368" s="7">
        <f t="shared" si="1817"/>
        <v>180852.35779661036</v>
      </c>
      <c r="AI368" s="7">
        <f t="shared" si="1817"/>
        <v>180451.33779661037</v>
      </c>
      <c r="AJ368" s="7">
        <f t="shared" si="1817"/>
        <v>180050.31779661038</v>
      </c>
      <c r="AK368" s="7">
        <f t="shared" si="1817"/>
        <v>179649.29779661039</v>
      </c>
      <c r="AL368" s="7">
        <f t="shared" si="1817"/>
        <v>179248.2777966104</v>
      </c>
      <c r="AM368" s="7">
        <f t="shared" si="1817"/>
        <v>178847.25779661041</v>
      </c>
      <c r="AN368" s="7">
        <f t="shared" si="1817"/>
        <v>178446.23779661042</v>
      </c>
      <c r="AO368" s="7">
        <f t="shared" si="1817"/>
        <v>178045.21779661044</v>
      </c>
      <c r="AP368" s="222">
        <f t="shared" ref="AP368:AP390" si="1857">IF(K368&lt;1,0,SUM(AD368:AO368,Z368)/13*$BG$1)</f>
        <v>3969.9294315254278</v>
      </c>
      <c r="AQ368" s="7">
        <v>401.02</v>
      </c>
      <c r="AR368" s="7">
        <f t="shared" si="1615"/>
        <v>401.01999999998952</v>
      </c>
      <c r="AS368" s="7">
        <f t="shared" si="1616"/>
        <v>-1.0459189070388675E-11</v>
      </c>
      <c r="AT368" s="7">
        <f t="shared" ref="AT368:AT379" si="1858">L368*12</f>
        <v>4812.24</v>
      </c>
      <c r="AU368" s="7">
        <f t="shared" ref="AU368:AU379" si="1859">AO368-$L368</f>
        <v>177644.19779661045</v>
      </c>
      <c r="AV368" s="7">
        <f t="shared" ref="AV368:BF379" si="1860">AU368-$L368</f>
        <v>177243.17779661046</v>
      </c>
      <c r="AW368" s="7">
        <f t="shared" si="1860"/>
        <v>176842.15779661047</v>
      </c>
      <c r="AX368" s="7">
        <f t="shared" si="1860"/>
        <v>176441.13779661048</v>
      </c>
      <c r="AY368" s="7">
        <f t="shared" si="1860"/>
        <v>176040.11779661049</v>
      </c>
      <c r="AZ368" s="7">
        <f t="shared" si="1860"/>
        <v>175639.0977966105</v>
      </c>
      <c r="BA368" s="7">
        <f t="shared" si="1860"/>
        <v>175238.07779661051</v>
      </c>
      <c r="BB368" s="7">
        <f t="shared" si="1860"/>
        <v>174837.05779661052</v>
      </c>
      <c r="BC368" s="7">
        <f t="shared" si="1860"/>
        <v>174436.03779661053</v>
      </c>
      <c r="BD368" s="7">
        <f t="shared" si="1860"/>
        <v>174035.01779661054</v>
      </c>
      <c r="BE368" s="7">
        <f t="shared" si="1860"/>
        <v>173633.99779661055</v>
      </c>
      <c r="BF368" s="7">
        <f t="shared" si="1860"/>
        <v>173232.97779661056</v>
      </c>
      <c r="BG368" s="236">
        <f t="shared" si="1598"/>
        <v>3864.0601515254307</v>
      </c>
      <c r="BH368" s="7">
        <v>401.02</v>
      </c>
      <c r="BI368" s="39">
        <f>BH368*12</f>
        <v>4812.24</v>
      </c>
      <c r="BJ368" s="7">
        <f>BF368-BH368</f>
        <v>172831.95779661057</v>
      </c>
      <c r="BK368" s="7">
        <f t="shared" ref="BK368:BK379" si="1861">BJ368-$L368</f>
        <v>172430.93779661058</v>
      </c>
      <c r="BL368" s="7">
        <f t="shared" ref="BL368:BL379" si="1862">BK368-$L368</f>
        <v>172029.91779661059</v>
      </c>
      <c r="BM368" s="7">
        <f t="shared" ref="BM368:BM371" si="1863">BL368-$L368</f>
        <v>171628.8977966106</v>
      </c>
      <c r="BN368" s="7">
        <f t="shared" ref="BN368:BN371" si="1864">BM368-$L368</f>
        <v>171227.87779661061</v>
      </c>
      <c r="BO368" s="7">
        <f t="shared" ref="BO368:BO371" si="1865">BN368-$L368</f>
        <v>170826.85779661062</v>
      </c>
      <c r="BP368" s="7">
        <f t="shared" ref="BP368:BP371" si="1866">BO368-$L368</f>
        <v>170425.83779661063</v>
      </c>
      <c r="BQ368" s="7">
        <f t="shared" ref="BQ368:BQ371" si="1867">BP368-$L368</f>
        <v>170024.81779661065</v>
      </c>
      <c r="BR368" s="7">
        <f t="shared" ref="BR368:BR371" si="1868">BQ368-$L368</f>
        <v>169623.79779661066</v>
      </c>
      <c r="BS368" s="7">
        <f t="shared" ref="BS368:BS371" si="1869">BR368-$L368</f>
        <v>169222.77779661067</v>
      </c>
      <c r="BT368" s="7">
        <f t="shared" ref="BT368:BT371" si="1870">BS368-$L368</f>
        <v>168821.75779661068</v>
      </c>
      <c r="BU368" s="7">
        <f t="shared" ref="BU368:BU371" si="1871">BT368-$L368</f>
        <v>168420.73779661069</v>
      </c>
      <c r="BV368" s="236">
        <f t="shared" si="1854"/>
        <v>3758.1908715254335</v>
      </c>
      <c r="BW368" s="7">
        <v>401.02</v>
      </c>
      <c r="BX368" s="39">
        <f>BW368*12</f>
        <v>4812.24</v>
      </c>
      <c r="BY368" s="7">
        <f>BU368-BW368</f>
        <v>168019.7177966107</v>
      </c>
      <c r="BZ368" s="7">
        <f t="shared" ref="BZ368:BZ371" si="1872">BY368-$L368</f>
        <v>167618.69779661071</v>
      </c>
      <c r="CA368" s="7">
        <f t="shared" ref="CA368:CA371" si="1873">BZ368-$L368</f>
        <v>167217.67779661072</v>
      </c>
      <c r="CB368" s="7">
        <f t="shared" ref="CB368:CB371" si="1874">CA368-$L368</f>
        <v>166816.65779661073</v>
      </c>
      <c r="CC368" s="7">
        <f t="shared" ref="CC368:CC371" si="1875">CB368-$L368</f>
        <v>166415.63779661074</v>
      </c>
      <c r="CD368" s="7">
        <f t="shared" ref="CD368:CD371" si="1876">CC368-$L368</f>
        <v>166014.61779661075</v>
      </c>
      <c r="CE368" s="7">
        <f t="shared" ref="CE368:CE371" si="1877">CD368-$L368</f>
        <v>165613.59779661076</v>
      </c>
      <c r="CF368" s="7">
        <f t="shared" ref="CF368:CF371" si="1878">CE368-$L368</f>
        <v>165212.57779661077</v>
      </c>
      <c r="CG368" s="7">
        <f t="shared" ref="CG368:CG371" si="1879">CF368-$L368</f>
        <v>164811.55779661078</v>
      </c>
      <c r="CH368" s="7">
        <f t="shared" ref="CH368:CH371" si="1880">CG368-$L368</f>
        <v>164410.53779661079</v>
      </c>
      <c r="CI368" s="7">
        <f t="shared" ref="CI368:CI371" si="1881">CH368-$L368</f>
        <v>164009.5177966108</v>
      </c>
      <c r="CJ368" s="7">
        <f t="shared" ref="CJ368:CJ371" si="1882">CI368-$L368</f>
        <v>163608.49779661081</v>
      </c>
      <c r="CK368" s="236">
        <f t="shared" si="1855"/>
        <v>3652.3215915254364</v>
      </c>
      <c r="CL368" s="7">
        <v>401.02</v>
      </c>
      <c r="CM368" s="39">
        <f>CL368*12</f>
        <v>4812.24</v>
      </c>
      <c r="CN368" s="7">
        <f>CJ368-CL368</f>
        <v>163207.47779661082</v>
      </c>
      <c r="CO368" s="7">
        <f t="shared" ref="CO368:CO371" si="1883">CN368-$L368</f>
        <v>162806.45779661083</v>
      </c>
      <c r="CP368" s="7">
        <f t="shared" ref="CP368:CP371" si="1884">CO368-$L368</f>
        <v>162405.43779661084</v>
      </c>
      <c r="CQ368" s="7">
        <f t="shared" ref="CQ368:CQ371" si="1885">CP368-$L368</f>
        <v>162004.41779661085</v>
      </c>
      <c r="CR368" s="7">
        <f t="shared" ref="CR368:CR371" si="1886">CQ368-$L368</f>
        <v>161603.39779661087</v>
      </c>
      <c r="CS368" s="7">
        <f t="shared" ref="CS368:CS371" si="1887">CR368-$L368</f>
        <v>161202.37779661088</v>
      </c>
      <c r="CT368" s="7">
        <f t="shared" ref="CT368:CT371" si="1888">CS368-$L368</f>
        <v>160801.35779661089</v>
      </c>
      <c r="CU368" s="7">
        <f t="shared" ref="CU368:CU371" si="1889">CT368-$L368</f>
        <v>160400.3377966109</v>
      </c>
      <c r="CV368" s="7">
        <f t="shared" ref="CV368:CV371" si="1890">CU368-$L368</f>
        <v>159999.31779661091</v>
      </c>
      <c r="CW368" s="7">
        <f t="shared" ref="CW368:CW371" si="1891">CV368-$L368</f>
        <v>159598.29779661092</v>
      </c>
      <c r="CX368" s="7">
        <f t="shared" ref="CX368:CX371" si="1892">CW368-$L368</f>
        <v>159197.27779661093</v>
      </c>
      <c r="CY368" s="7">
        <f t="shared" ref="CY368:CY371" si="1893">CX368-$L368</f>
        <v>158796.25779661094</v>
      </c>
      <c r="CZ368" s="236">
        <f t="shared" si="1856"/>
        <v>3546.4523115254392</v>
      </c>
    </row>
    <row r="369" spans="1:104" x14ac:dyDescent="0.2">
      <c r="A369" s="6" t="str">
        <f>'[1]2021 УГРЦТ'!A372</f>
        <v>ТП №101 (2КТП База МТР)</v>
      </c>
      <c r="B369" t="str">
        <f>'[1]2021 УГРЦТ'!B372</f>
        <v>000001510</v>
      </c>
      <c r="C369" t="str">
        <f>'[1]2021 УГРЦТ'!C372</f>
        <v>ПЕРЕДАЧА</v>
      </c>
      <c r="D369" t="str">
        <f>'[1]2021 УГРЦТ'!D372</f>
        <v>Сооружения</v>
      </c>
      <c r="E369" t="str">
        <f>'[1]2021 УГРЦТ'!E372</f>
        <v>30.01.2013</v>
      </c>
      <c r="F369" t="str">
        <f>'[1]2021 УГРЦТ'!F372</f>
        <v>Цех электрических сетей</v>
      </c>
      <c r="G369">
        <f>'[1]2021 УГРЦТ'!AC372</f>
        <v>240</v>
      </c>
      <c r="H369" s="7">
        <f>'[1]2021 УГРЦТ'!X372</f>
        <v>3012131.78</v>
      </c>
      <c r="I369" s="7">
        <f>'[1]2021 УГРЦТ'!Y372</f>
        <v>1342908.8389999999</v>
      </c>
      <c r="J369" s="7">
        <f>'[1]2021 УГРЦТ'!Z372</f>
        <v>1669222.9409999999</v>
      </c>
      <c r="K369" s="8">
        <v>1</v>
      </c>
      <c r="L369" s="7">
        <v>12550.550000000001</v>
      </c>
      <c r="M369" s="7"/>
      <c r="N369" s="7">
        <f t="shared" si="1814"/>
        <v>150606.6</v>
      </c>
      <c r="O369" s="7">
        <f t="shared" si="1612"/>
        <v>1656672.3909999998</v>
      </c>
      <c r="P369" s="7">
        <f t="shared" si="1815"/>
        <v>1644121.8409999998</v>
      </c>
      <c r="Q369" s="7">
        <f t="shared" si="1815"/>
        <v>1631571.2909999997</v>
      </c>
      <c r="R369" s="7">
        <f t="shared" si="1815"/>
        <v>1619020.7409999997</v>
      </c>
      <c r="S369" s="7">
        <f t="shared" si="1815"/>
        <v>1606470.1909999996</v>
      </c>
      <c r="T369" s="7">
        <f t="shared" si="1815"/>
        <v>1593919.6409999996</v>
      </c>
      <c r="U369" s="7">
        <f t="shared" si="1815"/>
        <v>1581369.0909999995</v>
      </c>
      <c r="V369" s="7">
        <f t="shared" si="1815"/>
        <v>1568818.5409999995</v>
      </c>
      <c r="W369" s="7">
        <f t="shared" si="1815"/>
        <v>1556267.9909999995</v>
      </c>
      <c r="X369" s="7">
        <f t="shared" si="1815"/>
        <v>1543717.4409999994</v>
      </c>
      <c r="Y369" s="7">
        <f t="shared" si="1815"/>
        <v>1531166.8909999994</v>
      </c>
      <c r="Z369" s="7">
        <f t="shared" si="1815"/>
        <v>1518616.3409999993</v>
      </c>
      <c r="AA369" s="7">
        <f t="shared" si="1853"/>
        <v>35066.232101999987</v>
      </c>
      <c r="AB369" s="7"/>
      <c r="AC369" s="7">
        <f t="shared" si="1613"/>
        <v>150606.6</v>
      </c>
      <c r="AD369" s="7">
        <f t="shared" si="1614"/>
        <v>1506065.7909999993</v>
      </c>
      <c r="AE369" s="7">
        <f t="shared" si="1817"/>
        <v>1493515.2409999992</v>
      </c>
      <c r="AF369" s="7">
        <f t="shared" si="1817"/>
        <v>1480964.6909999992</v>
      </c>
      <c r="AG369" s="7">
        <f t="shared" si="1817"/>
        <v>1468414.1409999991</v>
      </c>
      <c r="AH369" s="7">
        <f t="shared" si="1817"/>
        <v>1455863.5909999991</v>
      </c>
      <c r="AI369" s="7">
        <f t="shared" si="1817"/>
        <v>1443313.040999999</v>
      </c>
      <c r="AJ369" s="7">
        <f t="shared" si="1817"/>
        <v>1430762.490999999</v>
      </c>
      <c r="AK369" s="7">
        <f t="shared" si="1817"/>
        <v>1418211.9409999989</v>
      </c>
      <c r="AL369" s="7">
        <f t="shared" si="1817"/>
        <v>1405661.3909999989</v>
      </c>
      <c r="AM369" s="7">
        <f t="shared" si="1817"/>
        <v>1393110.8409999989</v>
      </c>
      <c r="AN369" s="7">
        <f t="shared" si="1817"/>
        <v>1380560.2909999988</v>
      </c>
      <c r="AO369" s="7">
        <f t="shared" si="1817"/>
        <v>1368009.7409999988</v>
      </c>
      <c r="AP369" s="222">
        <f t="shared" si="1857"/>
        <v>31752.886901999973</v>
      </c>
      <c r="AQ369" s="7">
        <v>12550.550000000001</v>
      </c>
      <c r="AR369" s="7">
        <f t="shared" si="1615"/>
        <v>12550.550000000047</v>
      </c>
      <c r="AS369" s="7">
        <f t="shared" si="1616"/>
        <v>4.5474735088646412E-11</v>
      </c>
      <c r="AT369" s="7">
        <f t="shared" si="1858"/>
        <v>150606.6</v>
      </c>
      <c r="AU369" s="7">
        <f t="shared" si="1859"/>
        <v>1355459.1909999987</v>
      </c>
      <c r="AV369" s="7">
        <f t="shared" si="1860"/>
        <v>1342908.6409999987</v>
      </c>
      <c r="AW369" s="7">
        <f t="shared" si="1860"/>
        <v>1330358.0909999986</v>
      </c>
      <c r="AX369" s="7">
        <f t="shared" si="1860"/>
        <v>1317807.5409999986</v>
      </c>
      <c r="AY369" s="7">
        <f t="shared" si="1860"/>
        <v>1305256.9909999985</v>
      </c>
      <c r="AZ369" s="7">
        <f t="shared" si="1860"/>
        <v>1292706.4409999985</v>
      </c>
      <c r="BA369" s="7">
        <f t="shared" si="1860"/>
        <v>1280155.8909999984</v>
      </c>
      <c r="BB369" s="7">
        <f t="shared" si="1860"/>
        <v>1267605.3409999984</v>
      </c>
      <c r="BC369" s="7">
        <f t="shared" si="1860"/>
        <v>1255054.7909999983</v>
      </c>
      <c r="BD369" s="7">
        <f t="shared" si="1860"/>
        <v>1242504.2409999983</v>
      </c>
      <c r="BE369" s="7">
        <f t="shared" si="1860"/>
        <v>1229953.6909999982</v>
      </c>
      <c r="BF369" s="7">
        <f t="shared" si="1860"/>
        <v>1217403.1409999982</v>
      </c>
      <c r="BG369" s="236">
        <f t="shared" si="1598"/>
        <v>28439.54170199997</v>
      </c>
      <c r="BH369" s="7">
        <v>12550.550000000001</v>
      </c>
      <c r="BI369" s="39">
        <f>BH369*12</f>
        <v>150606.6</v>
      </c>
      <c r="BJ369" s="7">
        <f>BF369-BH369</f>
        <v>1204852.5909999982</v>
      </c>
      <c r="BK369" s="7">
        <f t="shared" si="1861"/>
        <v>1192302.0409999981</v>
      </c>
      <c r="BL369" s="7">
        <f t="shared" si="1862"/>
        <v>1179751.4909999981</v>
      </c>
      <c r="BM369" s="7">
        <f t="shared" si="1863"/>
        <v>1167200.940999998</v>
      </c>
      <c r="BN369" s="7">
        <f t="shared" si="1864"/>
        <v>1154650.390999998</v>
      </c>
      <c r="BO369" s="7">
        <f t="shared" si="1865"/>
        <v>1142099.8409999979</v>
      </c>
      <c r="BP369" s="7">
        <f t="shared" si="1866"/>
        <v>1129549.2909999979</v>
      </c>
      <c r="BQ369" s="7">
        <f t="shared" si="1867"/>
        <v>1116998.7409999978</v>
      </c>
      <c r="BR369" s="7">
        <f t="shared" si="1868"/>
        <v>1104448.1909999978</v>
      </c>
      <c r="BS369" s="7">
        <f t="shared" si="1869"/>
        <v>1091897.6409999977</v>
      </c>
      <c r="BT369" s="7">
        <f t="shared" si="1870"/>
        <v>1079347.0909999977</v>
      </c>
      <c r="BU369" s="7">
        <f t="shared" si="1871"/>
        <v>1066796.5409999976</v>
      </c>
      <c r="BV369" s="236">
        <f t="shared" si="1854"/>
        <v>25126.196501999952</v>
      </c>
      <c r="BW369" s="7">
        <v>12550.550000000001</v>
      </c>
      <c r="BX369" s="39">
        <f>BW369*12</f>
        <v>150606.6</v>
      </c>
      <c r="BY369" s="7">
        <f>BU369-BW369</f>
        <v>1054245.9909999976</v>
      </c>
      <c r="BZ369" s="7">
        <f t="shared" si="1872"/>
        <v>1041695.4409999975</v>
      </c>
      <c r="CA369" s="7">
        <f t="shared" si="1873"/>
        <v>1029144.8909999975</v>
      </c>
      <c r="CB369" s="7">
        <f t="shared" si="1874"/>
        <v>1016594.3409999975</v>
      </c>
      <c r="CC369" s="7">
        <f t="shared" si="1875"/>
        <v>1004043.7909999974</v>
      </c>
      <c r="CD369" s="7">
        <f t="shared" si="1876"/>
        <v>991493.24099999736</v>
      </c>
      <c r="CE369" s="7">
        <f t="shared" si="1877"/>
        <v>978942.69099999731</v>
      </c>
      <c r="CF369" s="7">
        <f t="shared" si="1878"/>
        <v>966392.14099999727</v>
      </c>
      <c r="CG369" s="7">
        <f t="shared" si="1879"/>
        <v>953841.59099999722</v>
      </c>
      <c r="CH369" s="7">
        <f t="shared" si="1880"/>
        <v>941291.04099999717</v>
      </c>
      <c r="CI369" s="7">
        <f t="shared" si="1881"/>
        <v>928740.49099999713</v>
      </c>
      <c r="CJ369" s="7">
        <f t="shared" si="1882"/>
        <v>916189.94099999708</v>
      </c>
      <c r="CK369" s="236">
        <f t="shared" si="1855"/>
        <v>21812.851301999941</v>
      </c>
      <c r="CL369" s="7">
        <v>12550.550000000001</v>
      </c>
      <c r="CM369" s="39">
        <f>CL369*12</f>
        <v>150606.6</v>
      </c>
      <c r="CN369" s="7">
        <f>CJ369-CL369</f>
        <v>903639.39099999703</v>
      </c>
      <c r="CO369" s="7">
        <f t="shared" si="1883"/>
        <v>891088.84099999699</v>
      </c>
      <c r="CP369" s="7">
        <f t="shared" si="1884"/>
        <v>878538.29099999694</v>
      </c>
      <c r="CQ369" s="7">
        <f t="shared" si="1885"/>
        <v>865987.74099999689</v>
      </c>
      <c r="CR369" s="7">
        <f t="shared" si="1886"/>
        <v>853437.19099999685</v>
      </c>
      <c r="CS369" s="7">
        <f t="shared" si="1887"/>
        <v>840886.6409999968</v>
      </c>
      <c r="CT369" s="7">
        <f t="shared" si="1888"/>
        <v>828336.09099999676</v>
      </c>
      <c r="CU369" s="7">
        <f t="shared" si="1889"/>
        <v>815785.54099999671</v>
      </c>
      <c r="CV369" s="7">
        <f t="shared" si="1890"/>
        <v>803234.99099999666</v>
      </c>
      <c r="CW369" s="7">
        <f t="shared" si="1891"/>
        <v>790684.44099999662</v>
      </c>
      <c r="CX369" s="7">
        <f t="shared" si="1892"/>
        <v>778133.89099999657</v>
      </c>
      <c r="CY369" s="7">
        <f t="shared" si="1893"/>
        <v>765583.34099999652</v>
      </c>
      <c r="CZ369" s="236">
        <f t="shared" si="1856"/>
        <v>18499.50610199993</v>
      </c>
    </row>
    <row r="370" spans="1:104" x14ac:dyDescent="0.2">
      <c r="A370" s="6" t="str">
        <f>'[1]2021 УГРЦТ'!A373</f>
        <v>ТП №11 ул Меньшикова 1  1972г.</v>
      </c>
      <c r="B370" t="str">
        <f>'[1]2021 УГРЦТ'!B373</f>
        <v>00000132</v>
      </c>
      <c r="C370" t="str">
        <f>'[1]2021 УГРЦТ'!C373</f>
        <v>ПЕРЕДАЧА</v>
      </c>
      <c r="D370" t="str">
        <f>'[1]2021 УГРЦТ'!D373</f>
        <v>Здания</v>
      </c>
      <c r="E370" t="str">
        <f>'[1]2021 УГРЦТ'!E373</f>
        <v>31.01.1972</v>
      </c>
      <c r="F370" t="str">
        <f>'[1]2021 УГРЦТ'!F373</f>
        <v>Цех электрических сетей</v>
      </c>
      <c r="G370">
        <f>'[1]2021 УГРЦТ'!AC373</f>
        <v>708</v>
      </c>
      <c r="H370" s="7">
        <f>'[1]2021 УГРЦТ'!X373</f>
        <v>583613.52</v>
      </c>
      <c r="I370" s="7">
        <f>'[1]2021 УГРЦТ'!Y373</f>
        <v>292274.68</v>
      </c>
      <c r="J370" s="7">
        <f>'[1]2021 УГРЦТ'!Z373</f>
        <v>291338.84000000003</v>
      </c>
      <c r="K370" s="8">
        <v>1</v>
      </c>
      <c r="L370" s="7">
        <v>2673.2900000000004</v>
      </c>
      <c r="M370" s="7"/>
      <c r="N370" s="7">
        <f t="shared" si="1814"/>
        <v>32079.480000000003</v>
      </c>
      <c r="O370" s="7">
        <f t="shared" si="1612"/>
        <v>288665.55000000005</v>
      </c>
      <c r="P370" s="7">
        <f t="shared" si="1815"/>
        <v>285992.26000000007</v>
      </c>
      <c r="Q370" s="7">
        <f t="shared" si="1815"/>
        <v>283318.97000000009</v>
      </c>
      <c r="R370" s="7">
        <f t="shared" si="1815"/>
        <v>280645.68000000011</v>
      </c>
      <c r="S370" s="7">
        <f t="shared" si="1815"/>
        <v>277972.39000000013</v>
      </c>
      <c r="T370" s="7">
        <f t="shared" si="1815"/>
        <v>275299.10000000015</v>
      </c>
      <c r="U370" s="7">
        <f t="shared" si="1815"/>
        <v>272625.81000000017</v>
      </c>
      <c r="V370" s="7">
        <f t="shared" si="1815"/>
        <v>269952.52000000019</v>
      </c>
      <c r="W370" s="7">
        <f t="shared" si="1815"/>
        <v>267279.23000000021</v>
      </c>
      <c r="X370" s="7">
        <f t="shared" si="1815"/>
        <v>264605.94000000024</v>
      </c>
      <c r="Y370" s="7">
        <f t="shared" si="1815"/>
        <v>261932.65000000023</v>
      </c>
      <c r="Z370" s="7">
        <f t="shared" si="1815"/>
        <v>259259.36000000022</v>
      </c>
      <c r="AA370" s="7">
        <f t="shared" si="1853"/>
        <v>6056.5802000000031</v>
      </c>
      <c r="AB370" s="7"/>
      <c r="AC370" s="7">
        <f t="shared" si="1613"/>
        <v>32079.480000000003</v>
      </c>
      <c r="AD370" s="7">
        <f t="shared" si="1614"/>
        <v>256586.07000000021</v>
      </c>
      <c r="AE370" s="7">
        <f t="shared" si="1817"/>
        <v>253912.7800000002</v>
      </c>
      <c r="AF370" s="7">
        <f t="shared" si="1817"/>
        <v>251239.49000000019</v>
      </c>
      <c r="AG370" s="7">
        <f t="shared" si="1817"/>
        <v>248566.20000000019</v>
      </c>
      <c r="AH370" s="7">
        <f t="shared" si="1817"/>
        <v>245892.91000000018</v>
      </c>
      <c r="AI370" s="7">
        <f t="shared" si="1817"/>
        <v>243219.62000000017</v>
      </c>
      <c r="AJ370" s="7">
        <f t="shared" si="1817"/>
        <v>240546.33000000016</v>
      </c>
      <c r="AK370" s="7">
        <f t="shared" si="1817"/>
        <v>237873.04000000015</v>
      </c>
      <c r="AL370" s="7">
        <f t="shared" si="1817"/>
        <v>235199.75000000015</v>
      </c>
      <c r="AM370" s="7">
        <f t="shared" si="1817"/>
        <v>232526.46000000014</v>
      </c>
      <c r="AN370" s="7">
        <f t="shared" si="1817"/>
        <v>229853.17000000013</v>
      </c>
      <c r="AO370" s="7">
        <f t="shared" si="1817"/>
        <v>227179.88000000012</v>
      </c>
      <c r="AP370" s="222">
        <f t="shared" si="1857"/>
        <v>5350.8316400000022</v>
      </c>
      <c r="AQ370" s="7">
        <v>2673.2900000000004</v>
      </c>
      <c r="AR370" s="7">
        <f t="shared" si="1615"/>
        <v>2673.2900000000081</v>
      </c>
      <c r="AS370" s="7">
        <f t="shared" si="1616"/>
        <v>7.73070496506989E-12</v>
      </c>
      <c r="AT370" s="7">
        <f t="shared" si="1858"/>
        <v>32079.480000000003</v>
      </c>
      <c r="AU370" s="7">
        <f t="shared" si="1859"/>
        <v>224506.59000000011</v>
      </c>
      <c r="AV370" s="7">
        <f t="shared" si="1860"/>
        <v>221833.3000000001</v>
      </c>
      <c r="AW370" s="7">
        <f t="shared" si="1860"/>
        <v>219160.0100000001</v>
      </c>
      <c r="AX370" s="7">
        <f t="shared" si="1860"/>
        <v>216486.72000000009</v>
      </c>
      <c r="AY370" s="7">
        <f t="shared" si="1860"/>
        <v>213813.43000000008</v>
      </c>
      <c r="AZ370" s="7">
        <f t="shared" si="1860"/>
        <v>211140.14000000007</v>
      </c>
      <c r="BA370" s="7">
        <f t="shared" si="1860"/>
        <v>208466.85000000006</v>
      </c>
      <c r="BB370" s="7">
        <f t="shared" si="1860"/>
        <v>205793.56000000006</v>
      </c>
      <c r="BC370" s="7">
        <f t="shared" si="1860"/>
        <v>203120.27000000005</v>
      </c>
      <c r="BD370" s="7">
        <f t="shared" si="1860"/>
        <v>200446.98000000004</v>
      </c>
      <c r="BE370" s="7">
        <f t="shared" si="1860"/>
        <v>197773.69000000003</v>
      </c>
      <c r="BF370" s="7">
        <f t="shared" si="1860"/>
        <v>195100.40000000002</v>
      </c>
      <c r="BG370" s="236">
        <f t="shared" si="1598"/>
        <v>4645.0830800000022</v>
      </c>
      <c r="BH370" s="7">
        <v>2673.2900000000004</v>
      </c>
      <c r="BI370" s="39">
        <f>BH370*12</f>
        <v>32079.480000000003</v>
      </c>
      <c r="BJ370" s="7">
        <f>BF370-BH370</f>
        <v>192427.11000000002</v>
      </c>
      <c r="BK370" s="7">
        <f t="shared" si="1861"/>
        <v>189753.82</v>
      </c>
      <c r="BL370" s="7">
        <f t="shared" si="1862"/>
        <v>187080.53</v>
      </c>
      <c r="BM370" s="7">
        <f t="shared" si="1863"/>
        <v>184407.24</v>
      </c>
      <c r="BN370" s="7">
        <f t="shared" si="1864"/>
        <v>181733.94999999998</v>
      </c>
      <c r="BO370" s="7">
        <f t="shared" si="1865"/>
        <v>179060.65999999997</v>
      </c>
      <c r="BP370" s="7">
        <f t="shared" si="1866"/>
        <v>176387.36999999997</v>
      </c>
      <c r="BQ370" s="7">
        <f t="shared" si="1867"/>
        <v>173714.07999999996</v>
      </c>
      <c r="BR370" s="7">
        <f t="shared" si="1868"/>
        <v>171040.78999999995</v>
      </c>
      <c r="BS370" s="7">
        <f t="shared" si="1869"/>
        <v>168367.49999999994</v>
      </c>
      <c r="BT370" s="7">
        <f t="shared" si="1870"/>
        <v>165694.20999999993</v>
      </c>
      <c r="BU370" s="7">
        <f t="shared" si="1871"/>
        <v>163020.91999999993</v>
      </c>
      <c r="BV370" s="236">
        <f t="shared" si="1854"/>
        <v>3939.3345199999994</v>
      </c>
      <c r="BW370" s="7">
        <v>2673.2900000000004</v>
      </c>
      <c r="BX370" s="39">
        <f>BW370*12</f>
        <v>32079.480000000003</v>
      </c>
      <c r="BY370" s="7">
        <f>BU370-BW370</f>
        <v>160347.62999999992</v>
      </c>
      <c r="BZ370" s="7">
        <f t="shared" si="1872"/>
        <v>157674.33999999991</v>
      </c>
      <c r="CA370" s="7">
        <f t="shared" si="1873"/>
        <v>155001.0499999999</v>
      </c>
      <c r="CB370" s="7">
        <f t="shared" si="1874"/>
        <v>152327.75999999989</v>
      </c>
      <c r="CC370" s="7">
        <f t="shared" si="1875"/>
        <v>149654.46999999988</v>
      </c>
      <c r="CD370" s="7">
        <f t="shared" si="1876"/>
        <v>146981.17999999988</v>
      </c>
      <c r="CE370" s="7">
        <f t="shared" si="1877"/>
        <v>144307.88999999987</v>
      </c>
      <c r="CF370" s="7">
        <f t="shared" si="1878"/>
        <v>141634.59999999986</v>
      </c>
      <c r="CG370" s="7">
        <f t="shared" si="1879"/>
        <v>138961.30999999985</v>
      </c>
      <c r="CH370" s="7">
        <f t="shared" si="1880"/>
        <v>136288.01999999984</v>
      </c>
      <c r="CI370" s="7">
        <f t="shared" si="1881"/>
        <v>133614.72999999984</v>
      </c>
      <c r="CJ370" s="7">
        <f t="shared" si="1882"/>
        <v>130941.43999999984</v>
      </c>
      <c r="CK370" s="236">
        <f t="shared" si="1855"/>
        <v>3233.5859599999972</v>
      </c>
      <c r="CL370" s="7">
        <v>2673.2900000000004</v>
      </c>
      <c r="CM370" s="39">
        <f>CL370*12</f>
        <v>32079.480000000003</v>
      </c>
      <c r="CN370" s="7">
        <f>CJ370-CL370</f>
        <v>128268.14999999985</v>
      </c>
      <c r="CO370" s="7">
        <f t="shared" si="1883"/>
        <v>125594.85999999986</v>
      </c>
      <c r="CP370" s="7">
        <f t="shared" si="1884"/>
        <v>122921.56999999986</v>
      </c>
      <c r="CQ370" s="7">
        <f t="shared" si="1885"/>
        <v>120248.27999999987</v>
      </c>
      <c r="CR370" s="7">
        <f t="shared" si="1886"/>
        <v>117574.98999999987</v>
      </c>
      <c r="CS370" s="7">
        <f t="shared" si="1887"/>
        <v>114901.69999999988</v>
      </c>
      <c r="CT370" s="7">
        <f t="shared" si="1888"/>
        <v>112228.40999999989</v>
      </c>
      <c r="CU370" s="7">
        <f t="shared" si="1889"/>
        <v>109555.11999999989</v>
      </c>
      <c r="CV370" s="7">
        <f t="shared" si="1890"/>
        <v>106881.8299999999</v>
      </c>
      <c r="CW370" s="7">
        <f t="shared" si="1891"/>
        <v>104208.53999999991</v>
      </c>
      <c r="CX370" s="7">
        <f t="shared" si="1892"/>
        <v>101535.24999999991</v>
      </c>
      <c r="CY370" s="7">
        <f t="shared" si="1893"/>
        <v>98861.959999999919</v>
      </c>
      <c r="CZ370" s="236">
        <f t="shared" si="1856"/>
        <v>2527.8373999999976</v>
      </c>
    </row>
    <row r="371" spans="1:104" x14ac:dyDescent="0.2">
      <c r="A371" s="6" t="str">
        <f>'[1]2021 УГРЦТ'!A374</f>
        <v>ТП №12/1 по ул. Меньшикова д.22А</v>
      </c>
      <c r="B371" t="str">
        <f>'[1]2021 УГРЦТ'!B374</f>
        <v>00001254</v>
      </c>
      <c r="C371" t="str">
        <f>'[1]2021 УГРЦТ'!C374</f>
        <v>ПЕРЕДАЧА</v>
      </c>
      <c r="D371" t="str">
        <f>'[1]2021 УГРЦТ'!D374</f>
        <v>Сооружения</v>
      </c>
      <c r="E371" t="str">
        <f>'[1]2021 УГРЦТ'!E374</f>
        <v>31.10.2010</v>
      </c>
      <c r="F371" t="str">
        <f>'[1]2021 УГРЦТ'!F374</f>
        <v>Цех электрических сетей</v>
      </c>
      <c r="G371">
        <f>'[1]2021 УГРЦТ'!AC374</f>
        <v>240</v>
      </c>
      <c r="H371" s="7">
        <f>'[1]2021 УГРЦТ'!X374</f>
        <v>687228.88</v>
      </c>
      <c r="I371" s="7">
        <f>'[1]2021 УГРЦТ'!Y374</f>
        <v>383702.34400000004</v>
      </c>
      <c r="J371" s="7">
        <f>'[1]2021 УГРЦТ'!Z374</f>
        <v>303526.53599999996</v>
      </c>
      <c r="K371" s="8">
        <v>1</v>
      </c>
      <c r="L371" s="7">
        <v>2863.4500000000003</v>
      </c>
      <c r="M371" s="7"/>
      <c r="N371" s="7">
        <f t="shared" si="1814"/>
        <v>34361.4</v>
      </c>
      <c r="O371" s="7">
        <f t="shared" si="1612"/>
        <v>300663.08599999995</v>
      </c>
      <c r="P371" s="7">
        <f t="shared" si="1815"/>
        <v>297799.63599999994</v>
      </c>
      <c r="Q371" s="7">
        <f t="shared" si="1815"/>
        <v>294936.18599999993</v>
      </c>
      <c r="R371" s="7">
        <f t="shared" si="1815"/>
        <v>292072.73599999992</v>
      </c>
      <c r="S371" s="7">
        <f t="shared" si="1815"/>
        <v>289209.28599999991</v>
      </c>
      <c r="T371" s="7">
        <f t="shared" si="1815"/>
        <v>286345.83599999989</v>
      </c>
      <c r="U371" s="7">
        <f t="shared" si="1815"/>
        <v>283482.38599999988</v>
      </c>
      <c r="V371" s="7">
        <f t="shared" si="1815"/>
        <v>280618.93599999987</v>
      </c>
      <c r="W371" s="7">
        <f t="shared" si="1815"/>
        <v>277755.48599999986</v>
      </c>
      <c r="X371" s="7">
        <f t="shared" si="1815"/>
        <v>274892.03599999985</v>
      </c>
      <c r="Y371" s="7">
        <f t="shared" si="1815"/>
        <v>272028.58599999984</v>
      </c>
      <c r="Z371" s="7">
        <f t="shared" si="1815"/>
        <v>269165.13599999982</v>
      </c>
      <c r="AA371" s="7">
        <f t="shared" si="1853"/>
        <v>6299.6083919999974</v>
      </c>
      <c r="AB371" s="7"/>
      <c r="AC371" s="7">
        <f t="shared" si="1613"/>
        <v>34361.4</v>
      </c>
      <c r="AD371" s="7">
        <f t="shared" si="1614"/>
        <v>266301.68599999981</v>
      </c>
      <c r="AE371" s="7">
        <f t="shared" si="1817"/>
        <v>263438.2359999998</v>
      </c>
      <c r="AF371" s="7">
        <f t="shared" si="1817"/>
        <v>260574.78599999979</v>
      </c>
      <c r="AG371" s="7">
        <f t="shared" si="1817"/>
        <v>257711.33599999978</v>
      </c>
      <c r="AH371" s="7">
        <f t="shared" si="1817"/>
        <v>254847.88599999977</v>
      </c>
      <c r="AI371" s="7">
        <f t="shared" si="1817"/>
        <v>251984.43599999975</v>
      </c>
      <c r="AJ371" s="7">
        <f t="shared" si="1817"/>
        <v>249120.98599999974</v>
      </c>
      <c r="AK371" s="7">
        <f t="shared" si="1817"/>
        <v>246257.53599999973</v>
      </c>
      <c r="AL371" s="7">
        <f t="shared" si="1817"/>
        <v>243394.08599999972</v>
      </c>
      <c r="AM371" s="7">
        <f t="shared" si="1817"/>
        <v>240530.63599999971</v>
      </c>
      <c r="AN371" s="7">
        <f t="shared" si="1817"/>
        <v>237667.1859999997</v>
      </c>
      <c r="AO371" s="7">
        <f t="shared" si="1817"/>
        <v>234803.73599999968</v>
      </c>
      <c r="AP371" s="222">
        <f t="shared" si="1857"/>
        <v>5543.6575919999941</v>
      </c>
      <c r="AQ371" s="7">
        <v>2863.4500000000003</v>
      </c>
      <c r="AR371" s="7">
        <f t="shared" si="1615"/>
        <v>2863.4500000000116</v>
      </c>
      <c r="AS371" s="7">
        <f t="shared" si="1616"/>
        <v>1.1368683772161603E-11</v>
      </c>
      <c r="AT371" s="7">
        <f t="shared" si="1858"/>
        <v>34361.4</v>
      </c>
      <c r="AU371" s="7">
        <f t="shared" si="1859"/>
        <v>231940.28599999967</v>
      </c>
      <c r="AV371" s="7">
        <f t="shared" si="1860"/>
        <v>229076.83599999966</v>
      </c>
      <c r="AW371" s="7">
        <f t="shared" si="1860"/>
        <v>226213.38599999965</v>
      </c>
      <c r="AX371" s="7">
        <f t="shared" si="1860"/>
        <v>223349.93599999964</v>
      </c>
      <c r="AY371" s="7">
        <f t="shared" si="1860"/>
        <v>220486.48599999963</v>
      </c>
      <c r="AZ371" s="7">
        <f t="shared" si="1860"/>
        <v>217623.03599999961</v>
      </c>
      <c r="BA371" s="7">
        <f t="shared" si="1860"/>
        <v>214759.5859999996</v>
      </c>
      <c r="BB371" s="7">
        <f t="shared" si="1860"/>
        <v>211896.13599999959</v>
      </c>
      <c r="BC371" s="7">
        <f t="shared" si="1860"/>
        <v>209032.68599999958</v>
      </c>
      <c r="BD371" s="7">
        <f t="shared" si="1860"/>
        <v>206169.23599999957</v>
      </c>
      <c r="BE371" s="7">
        <f t="shared" si="1860"/>
        <v>203305.78599999956</v>
      </c>
      <c r="BF371" s="7">
        <f t="shared" si="1860"/>
        <v>200442.33599999954</v>
      </c>
      <c r="BG371" s="236">
        <f t="shared" si="1598"/>
        <v>4787.7067919999918</v>
      </c>
      <c r="BH371" s="7">
        <v>2863.4500000000003</v>
      </c>
      <c r="BI371" s="39">
        <f>BH371*12</f>
        <v>34361.4</v>
      </c>
      <c r="BJ371" s="7">
        <f>BF371-BH371</f>
        <v>197578.88599999953</v>
      </c>
      <c r="BK371" s="7">
        <f t="shared" si="1861"/>
        <v>194715.43599999952</v>
      </c>
      <c r="BL371" s="7">
        <f t="shared" si="1862"/>
        <v>191851.98599999951</v>
      </c>
      <c r="BM371" s="7">
        <f t="shared" si="1863"/>
        <v>188988.5359999995</v>
      </c>
      <c r="BN371" s="7">
        <f t="shared" si="1864"/>
        <v>186125.08599999949</v>
      </c>
      <c r="BO371" s="7">
        <f t="shared" si="1865"/>
        <v>183261.63599999947</v>
      </c>
      <c r="BP371" s="7">
        <f t="shared" si="1866"/>
        <v>180398.18599999946</v>
      </c>
      <c r="BQ371" s="7">
        <f t="shared" si="1867"/>
        <v>177534.73599999945</v>
      </c>
      <c r="BR371" s="7">
        <f t="shared" si="1868"/>
        <v>174671.28599999944</v>
      </c>
      <c r="BS371" s="7">
        <f t="shared" si="1869"/>
        <v>171807.83599999943</v>
      </c>
      <c r="BT371" s="7">
        <f t="shared" si="1870"/>
        <v>168944.38599999942</v>
      </c>
      <c r="BU371" s="7">
        <f t="shared" si="1871"/>
        <v>166080.9359999994</v>
      </c>
      <c r="BV371" s="236">
        <f t="shared" si="1854"/>
        <v>4031.755991999989</v>
      </c>
      <c r="BW371" s="7">
        <v>2863.4500000000003</v>
      </c>
      <c r="BX371" s="39">
        <f>BW371*12</f>
        <v>34361.4</v>
      </c>
      <c r="BY371" s="7">
        <f>BU371-BW371</f>
        <v>163217.48599999939</v>
      </c>
      <c r="BZ371" s="7">
        <f t="shared" si="1872"/>
        <v>160354.03599999938</v>
      </c>
      <c r="CA371" s="7">
        <f t="shared" si="1873"/>
        <v>157490.58599999937</v>
      </c>
      <c r="CB371" s="7">
        <f t="shared" si="1874"/>
        <v>154627.13599999936</v>
      </c>
      <c r="CC371" s="7">
        <f t="shared" si="1875"/>
        <v>151763.68599999935</v>
      </c>
      <c r="CD371" s="7">
        <f t="shared" si="1876"/>
        <v>148900.23599999934</v>
      </c>
      <c r="CE371" s="7">
        <f t="shared" si="1877"/>
        <v>146036.78599999932</v>
      </c>
      <c r="CF371" s="7">
        <f t="shared" si="1878"/>
        <v>143173.33599999931</v>
      </c>
      <c r="CG371" s="7">
        <f t="shared" si="1879"/>
        <v>140309.8859999993</v>
      </c>
      <c r="CH371" s="7">
        <f t="shared" si="1880"/>
        <v>137446.43599999929</v>
      </c>
      <c r="CI371" s="7">
        <f t="shared" si="1881"/>
        <v>134582.98599999928</v>
      </c>
      <c r="CJ371" s="7">
        <f t="shared" si="1882"/>
        <v>131719.53599999927</v>
      </c>
      <c r="CK371" s="236">
        <f t="shared" si="1855"/>
        <v>3275.8051919999857</v>
      </c>
      <c r="CL371" s="7">
        <v>2863.4500000000003</v>
      </c>
      <c r="CM371" s="39">
        <f>CL371*12</f>
        <v>34361.4</v>
      </c>
      <c r="CN371" s="7">
        <f>CJ371-CL371</f>
        <v>128856.08599999927</v>
      </c>
      <c r="CO371" s="7">
        <f t="shared" si="1883"/>
        <v>125992.63599999927</v>
      </c>
      <c r="CP371" s="7">
        <f t="shared" si="1884"/>
        <v>123129.18599999927</v>
      </c>
      <c r="CQ371" s="7">
        <f t="shared" si="1885"/>
        <v>120265.73599999928</v>
      </c>
      <c r="CR371" s="7">
        <f t="shared" si="1886"/>
        <v>117402.28599999928</v>
      </c>
      <c r="CS371" s="7">
        <f t="shared" si="1887"/>
        <v>114538.83599999928</v>
      </c>
      <c r="CT371" s="7">
        <f t="shared" si="1888"/>
        <v>111675.38599999929</v>
      </c>
      <c r="CU371" s="7">
        <f t="shared" si="1889"/>
        <v>108811.93599999929</v>
      </c>
      <c r="CV371" s="7">
        <f t="shared" si="1890"/>
        <v>105948.48599999929</v>
      </c>
      <c r="CW371" s="7">
        <f t="shared" si="1891"/>
        <v>103085.03599999929</v>
      </c>
      <c r="CX371" s="7">
        <f t="shared" si="1892"/>
        <v>100221.5859999993</v>
      </c>
      <c r="CY371" s="7">
        <f t="shared" si="1893"/>
        <v>97358.1359999993</v>
      </c>
      <c r="CZ371" s="236">
        <f t="shared" si="1856"/>
        <v>2519.8543919999838</v>
      </c>
    </row>
    <row r="372" spans="1:104" x14ac:dyDescent="0.2">
      <c r="A372" s="6" t="str">
        <f>'[1]2021 УГРЦТ'!A375</f>
        <v>ТП №13-1 "Бондарная"(КТПН(КК)400 с тр-мТМ250/60,4)</v>
      </c>
      <c r="B372" t="str">
        <f>'[1]2021 УГРЦТ'!B375</f>
        <v>00001116</v>
      </c>
      <c r="C372" t="str">
        <f>'[1]2021 УГРЦТ'!C375</f>
        <v>ПЕРЕДАЧА</v>
      </c>
      <c r="D372" t="str">
        <f>'[1]2021 УГРЦТ'!D375</f>
        <v>Сооружения</v>
      </c>
      <c r="E372" t="str">
        <f>'[1]2021 УГРЦТ'!E375</f>
        <v>30.03.2009</v>
      </c>
      <c r="F372" t="str">
        <f>'[1]2021 УГРЦТ'!F375</f>
        <v>Цех электрических сетей</v>
      </c>
      <c r="G372">
        <f>'[1]2021 УГРЦТ'!AC375</f>
        <v>113</v>
      </c>
      <c r="H372" s="7">
        <f>'[1]2021 УГРЦТ'!X375</f>
        <v>696914.55</v>
      </c>
      <c r="I372" s="7">
        <f>'[1]2021 УГРЦТ'!Y375</f>
        <v>581439.78999999992</v>
      </c>
      <c r="J372" s="7">
        <f>'[1]2021 УГРЦТ'!Z375</f>
        <v>115474.76000000013</v>
      </c>
      <c r="K372" s="8">
        <v>1</v>
      </c>
      <c r="L372" s="7">
        <v>4276.8300000000008</v>
      </c>
      <c r="M372" s="7"/>
      <c r="N372" s="7">
        <f t="shared" si="1814"/>
        <v>51321.960000000006</v>
      </c>
      <c r="O372" s="7">
        <f t="shared" si="1612"/>
        <v>111197.93000000012</v>
      </c>
      <c r="P372" s="7">
        <f t="shared" si="1815"/>
        <v>106921.10000000012</v>
      </c>
      <c r="Q372" s="7">
        <f t="shared" si="1815"/>
        <v>102644.27000000012</v>
      </c>
      <c r="R372" s="7">
        <f t="shared" si="1815"/>
        <v>98367.440000000119</v>
      </c>
      <c r="S372" s="7">
        <f t="shared" si="1815"/>
        <v>94090.610000000117</v>
      </c>
      <c r="T372" s="7">
        <f t="shared" si="1815"/>
        <v>89813.780000000115</v>
      </c>
      <c r="U372" s="7">
        <f t="shared" si="1815"/>
        <v>85536.950000000114</v>
      </c>
      <c r="V372" s="7">
        <f t="shared" si="1815"/>
        <v>81260.120000000112</v>
      </c>
      <c r="W372" s="7">
        <f t="shared" si="1815"/>
        <v>76983.29000000011</v>
      </c>
      <c r="X372" s="7">
        <f t="shared" si="1815"/>
        <v>72706.460000000108</v>
      </c>
      <c r="Y372" s="7">
        <f t="shared" si="1815"/>
        <v>68429.630000000107</v>
      </c>
      <c r="Z372" s="7">
        <f t="shared" si="1815"/>
        <v>64152.800000000105</v>
      </c>
      <c r="AA372" s="7">
        <f t="shared" si="1853"/>
        <v>1975.9031600000023</v>
      </c>
      <c r="AB372" s="7"/>
      <c r="AC372" s="7">
        <f t="shared" si="1613"/>
        <v>51321.960000000006</v>
      </c>
      <c r="AD372" s="7">
        <f t="shared" si="1614"/>
        <v>59875.970000000103</v>
      </c>
      <c r="AE372" s="7">
        <f t="shared" si="1817"/>
        <v>55599.140000000101</v>
      </c>
      <c r="AF372" s="7">
        <f t="shared" si="1817"/>
        <v>51322.3100000001</v>
      </c>
      <c r="AG372" s="7">
        <f t="shared" si="1817"/>
        <v>47045.480000000098</v>
      </c>
      <c r="AH372" s="7">
        <f t="shared" si="1817"/>
        <v>42768.650000000096</v>
      </c>
      <c r="AI372" s="7">
        <f t="shared" si="1817"/>
        <v>38491.820000000094</v>
      </c>
      <c r="AJ372" s="7">
        <f t="shared" si="1817"/>
        <v>34214.990000000093</v>
      </c>
      <c r="AK372" s="7">
        <f t="shared" si="1817"/>
        <v>29938.160000000091</v>
      </c>
      <c r="AL372" s="7">
        <f t="shared" si="1817"/>
        <v>25661.330000000089</v>
      </c>
      <c r="AM372" s="7">
        <f t="shared" si="1817"/>
        <v>21384.500000000087</v>
      </c>
      <c r="AN372" s="7">
        <f t="shared" si="1817"/>
        <v>17107.670000000086</v>
      </c>
      <c r="AO372" s="7">
        <f t="shared" si="1817"/>
        <v>12830.840000000084</v>
      </c>
      <c r="AP372" s="222">
        <f t="shared" si="1857"/>
        <v>846.820040000002</v>
      </c>
      <c r="AQ372" s="7">
        <v>4276.8300000000008</v>
      </c>
      <c r="AR372" s="7">
        <f t="shared" si="1615"/>
        <v>4276.8300000000017</v>
      </c>
      <c r="AS372" s="7">
        <f t="shared" si="1616"/>
        <v>0</v>
      </c>
      <c r="AT372" s="7">
        <f>L372*3+0.35</f>
        <v>12830.840000000002</v>
      </c>
      <c r="AU372" s="7">
        <f t="shared" si="1859"/>
        <v>8554.0100000000821</v>
      </c>
      <c r="AV372" s="7">
        <f t="shared" si="1860"/>
        <v>4277.1800000000812</v>
      </c>
      <c r="AW372" s="7">
        <f t="shared" si="1860"/>
        <v>0.35000000008039933</v>
      </c>
      <c r="AX372" s="7"/>
      <c r="AY372" s="7"/>
      <c r="AZ372" s="7"/>
      <c r="BA372" s="7"/>
      <c r="BB372" s="7"/>
      <c r="BC372" s="7"/>
      <c r="BD372" s="7"/>
      <c r="BE372" s="7"/>
      <c r="BF372" s="7"/>
      <c r="BG372" s="236">
        <f t="shared" si="1598"/>
        <v>43.42864307692362</v>
      </c>
      <c r="BH372" s="7">
        <v>4276.8300000000008</v>
      </c>
      <c r="BI372" s="39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236">
        <f t="shared" si="1854"/>
        <v>0</v>
      </c>
      <c r="BW372" s="7">
        <v>4276.8300000000008</v>
      </c>
      <c r="BX372" s="39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236">
        <f t="shared" si="1855"/>
        <v>0</v>
      </c>
      <c r="CL372" s="7">
        <v>4276.8300000000008</v>
      </c>
      <c r="CM372" s="39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236">
        <f t="shared" si="1856"/>
        <v>0</v>
      </c>
    </row>
    <row r="373" spans="1:104" x14ac:dyDescent="0.2">
      <c r="A373" s="6" t="str">
        <f>'[1]2021 УГРЦТ'!A376</f>
        <v>ТП №14 баня 1  1974г.</v>
      </c>
      <c r="B373" t="str">
        <f>'[1]2021 УГРЦТ'!B376</f>
        <v>00000536</v>
      </c>
      <c r="C373" t="str">
        <f>'[1]2021 УГРЦТ'!C376</f>
        <v>ПЕРЕДАЧА</v>
      </c>
      <c r="D373" t="str">
        <f>'[1]2021 УГРЦТ'!D376</f>
        <v>Здания</v>
      </c>
      <c r="E373" t="str">
        <f>'[1]2021 УГРЦТ'!E376</f>
        <v>31.01.1974</v>
      </c>
      <c r="F373" t="str">
        <f>'[1]2021 УГРЦТ'!F376</f>
        <v>Цех электрических сетей</v>
      </c>
      <c r="G373">
        <f>'[1]2021 УГРЦТ'!AC376</f>
        <v>708</v>
      </c>
      <c r="H373" s="7">
        <f>'[1]2021 УГРЦТ'!X376</f>
        <v>403347</v>
      </c>
      <c r="I373" s="7">
        <f>'[1]2021 УГРЦТ'!Y376</f>
        <v>149392.18</v>
      </c>
      <c r="J373" s="7">
        <f>'[1]2021 УГРЦТ'!Z376</f>
        <v>253954.82</v>
      </c>
      <c r="K373" s="8">
        <v>1</v>
      </c>
      <c r="L373" s="7">
        <v>1909.43</v>
      </c>
      <c r="M373" s="7"/>
      <c r="N373" s="7">
        <f t="shared" si="1814"/>
        <v>22913.16</v>
      </c>
      <c r="O373" s="7">
        <f t="shared" si="1612"/>
        <v>252045.39</v>
      </c>
      <c r="P373" s="7">
        <f t="shared" si="1815"/>
        <v>250135.96000000002</v>
      </c>
      <c r="Q373" s="7">
        <f t="shared" si="1815"/>
        <v>248226.53000000003</v>
      </c>
      <c r="R373" s="7">
        <f t="shared" si="1815"/>
        <v>246317.10000000003</v>
      </c>
      <c r="S373" s="7">
        <f t="shared" si="1815"/>
        <v>244407.67000000004</v>
      </c>
      <c r="T373" s="7">
        <f t="shared" si="1815"/>
        <v>242498.24000000005</v>
      </c>
      <c r="U373" s="7">
        <f t="shared" si="1815"/>
        <v>240588.81000000006</v>
      </c>
      <c r="V373" s="7">
        <f t="shared" si="1815"/>
        <v>238679.38000000006</v>
      </c>
      <c r="W373" s="7">
        <f t="shared" si="1815"/>
        <v>236769.95000000007</v>
      </c>
      <c r="X373" s="7">
        <f t="shared" si="1815"/>
        <v>234860.52000000008</v>
      </c>
      <c r="Y373" s="7">
        <f t="shared" si="1815"/>
        <v>232951.09000000008</v>
      </c>
      <c r="Z373" s="7">
        <f t="shared" si="1815"/>
        <v>231041.66000000009</v>
      </c>
      <c r="AA373" s="7">
        <f t="shared" si="1853"/>
        <v>5334.9612800000004</v>
      </c>
      <c r="AB373" s="7"/>
      <c r="AC373" s="7">
        <f t="shared" si="1613"/>
        <v>22913.16</v>
      </c>
      <c r="AD373" s="7">
        <f t="shared" si="1614"/>
        <v>229132.2300000001</v>
      </c>
      <c r="AE373" s="7">
        <f t="shared" si="1817"/>
        <v>227222.8000000001</v>
      </c>
      <c r="AF373" s="7">
        <f t="shared" si="1817"/>
        <v>225313.37000000011</v>
      </c>
      <c r="AG373" s="7">
        <f t="shared" si="1817"/>
        <v>223403.94000000012</v>
      </c>
      <c r="AH373" s="7">
        <f t="shared" si="1817"/>
        <v>221494.51000000013</v>
      </c>
      <c r="AI373" s="7">
        <f t="shared" si="1817"/>
        <v>219585.08000000013</v>
      </c>
      <c r="AJ373" s="7">
        <f t="shared" si="1817"/>
        <v>217675.65000000014</v>
      </c>
      <c r="AK373" s="7">
        <f t="shared" si="1817"/>
        <v>215766.22000000015</v>
      </c>
      <c r="AL373" s="7">
        <f t="shared" si="1817"/>
        <v>213856.79000000015</v>
      </c>
      <c r="AM373" s="7">
        <f t="shared" si="1817"/>
        <v>211947.36000000016</v>
      </c>
      <c r="AN373" s="7">
        <f t="shared" si="1817"/>
        <v>210037.93000000017</v>
      </c>
      <c r="AO373" s="7">
        <f t="shared" si="1817"/>
        <v>208128.50000000017</v>
      </c>
      <c r="AP373" s="222">
        <f t="shared" si="1857"/>
        <v>4830.8717600000027</v>
      </c>
      <c r="AQ373" s="7">
        <v>1909.43</v>
      </c>
      <c r="AR373" s="7">
        <f t="shared" si="1615"/>
        <v>1909.429999999993</v>
      </c>
      <c r="AS373" s="7">
        <f t="shared" si="1616"/>
        <v>-7.0485839387401938E-12</v>
      </c>
      <c r="AT373" s="7">
        <f t="shared" si="1858"/>
        <v>22913.16</v>
      </c>
      <c r="AU373" s="7">
        <f t="shared" si="1859"/>
        <v>206219.07000000018</v>
      </c>
      <c r="AV373" s="7">
        <f t="shared" si="1860"/>
        <v>204309.64000000019</v>
      </c>
      <c r="AW373" s="7">
        <f t="shared" si="1860"/>
        <v>202400.2100000002</v>
      </c>
      <c r="AX373" s="7">
        <f t="shared" si="1860"/>
        <v>200490.7800000002</v>
      </c>
      <c r="AY373" s="7">
        <f t="shared" si="1860"/>
        <v>198581.35000000021</v>
      </c>
      <c r="AZ373" s="7">
        <f t="shared" si="1860"/>
        <v>196671.92000000022</v>
      </c>
      <c r="BA373" s="7">
        <f t="shared" si="1860"/>
        <v>194762.49000000022</v>
      </c>
      <c r="BB373" s="7">
        <f t="shared" si="1860"/>
        <v>192853.06000000023</v>
      </c>
      <c r="BC373" s="7">
        <f t="shared" si="1860"/>
        <v>190943.63000000024</v>
      </c>
      <c r="BD373" s="7">
        <f t="shared" si="1860"/>
        <v>189034.20000000024</v>
      </c>
      <c r="BE373" s="7">
        <f t="shared" si="1860"/>
        <v>187124.77000000025</v>
      </c>
      <c r="BF373" s="7">
        <f t="shared" si="1860"/>
        <v>185215.34000000026</v>
      </c>
      <c r="BG373" s="236">
        <f t="shared" si="1598"/>
        <v>4326.782240000005</v>
      </c>
      <c r="BH373" s="7">
        <v>1909.43</v>
      </c>
      <c r="BI373" s="39">
        <f t="shared" ref="BI373:BI379" si="1894">BH373*12</f>
        <v>22913.16</v>
      </c>
      <c r="BJ373" s="7">
        <f t="shared" ref="BJ373:BJ379" si="1895">BF373-BH373</f>
        <v>183305.91000000027</v>
      </c>
      <c r="BK373" s="7">
        <f t="shared" si="1861"/>
        <v>181396.48000000027</v>
      </c>
      <c r="BL373" s="7">
        <f t="shared" si="1862"/>
        <v>179487.05000000028</v>
      </c>
      <c r="BM373" s="7">
        <f t="shared" ref="BM373:BM379" si="1896">BL373-$L373</f>
        <v>177577.62000000029</v>
      </c>
      <c r="BN373" s="7">
        <f t="shared" ref="BN373:BN379" si="1897">BM373-$L373</f>
        <v>175668.19000000029</v>
      </c>
      <c r="BO373" s="7">
        <f t="shared" ref="BO373:BO379" si="1898">BN373-$L373</f>
        <v>173758.7600000003</v>
      </c>
      <c r="BP373" s="7">
        <f t="shared" ref="BP373:BP379" si="1899">BO373-$L373</f>
        <v>171849.33000000031</v>
      </c>
      <c r="BQ373" s="7">
        <f t="shared" ref="BQ373:BQ379" si="1900">BP373-$L373</f>
        <v>169939.90000000031</v>
      </c>
      <c r="BR373" s="7">
        <f t="shared" ref="BR373:BR379" si="1901">BQ373-$L373</f>
        <v>168030.47000000032</v>
      </c>
      <c r="BS373" s="7">
        <f t="shared" ref="BS373:BS379" si="1902">BR373-$L373</f>
        <v>166121.04000000033</v>
      </c>
      <c r="BT373" s="7">
        <f t="shared" ref="BT373:BT379" si="1903">BS373-$L373</f>
        <v>164211.61000000034</v>
      </c>
      <c r="BU373" s="7">
        <f t="shared" ref="BU373:BU379" si="1904">BT373-$L373</f>
        <v>162302.18000000034</v>
      </c>
      <c r="BV373" s="236">
        <f t="shared" si="1854"/>
        <v>3822.6927200000064</v>
      </c>
      <c r="BW373" s="7">
        <v>1909.43</v>
      </c>
      <c r="BX373" s="39">
        <f>BW373*12</f>
        <v>22913.16</v>
      </c>
      <c r="BY373" s="7">
        <f t="shared" ref="BY373:BY379" si="1905">BU373-BW373</f>
        <v>160392.75000000035</v>
      </c>
      <c r="BZ373" s="7">
        <f t="shared" ref="BZ373:BZ379" si="1906">BY373-$L373</f>
        <v>158483.32000000036</v>
      </c>
      <c r="CA373" s="7">
        <f t="shared" ref="CA373:CA379" si="1907">BZ373-$L373</f>
        <v>156573.89000000036</v>
      </c>
      <c r="CB373" s="7">
        <f t="shared" ref="CB373:CB379" si="1908">CA373-$L373</f>
        <v>154664.46000000037</v>
      </c>
      <c r="CC373" s="7">
        <f t="shared" ref="CC373:CC379" si="1909">CB373-$L373</f>
        <v>152755.03000000038</v>
      </c>
      <c r="CD373" s="7">
        <f t="shared" ref="CD373:CD379" si="1910">CC373-$L373</f>
        <v>150845.60000000038</v>
      </c>
      <c r="CE373" s="7">
        <f t="shared" ref="CE373:CE379" si="1911">CD373-$L373</f>
        <v>148936.17000000039</v>
      </c>
      <c r="CF373" s="7">
        <f t="shared" ref="CF373:CF379" si="1912">CE373-$L373</f>
        <v>147026.7400000004</v>
      </c>
      <c r="CG373" s="7">
        <f t="shared" ref="CG373:CG379" si="1913">CF373-$L373</f>
        <v>145117.31000000041</v>
      </c>
      <c r="CH373" s="7">
        <f t="shared" ref="CH373:CH379" si="1914">CG373-$L373</f>
        <v>143207.88000000041</v>
      </c>
      <c r="CI373" s="7">
        <f t="shared" ref="CI373:CI379" si="1915">CH373-$L373</f>
        <v>141298.45000000042</v>
      </c>
      <c r="CJ373" s="7">
        <f t="shared" ref="CJ373:CJ379" si="1916">CI373-$L373</f>
        <v>139389.02000000043</v>
      </c>
      <c r="CK373" s="236">
        <f t="shared" si="1855"/>
        <v>3318.6032000000082</v>
      </c>
      <c r="CL373" s="7">
        <v>1909.43</v>
      </c>
      <c r="CM373" s="39">
        <f>CL373*12</f>
        <v>22913.16</v>
      </c>
      <c r="CN373" s="7">
        <f>CJ373-CL373</f>
        <v>137479.59000000043</v>
      </c>
      <c r="CO373" s="7">
        <f t="shared" ref="CO373:CO377" si="1917">CN373-$L373</f>
        <v>135570.16000000044</v>
      </c>
      <c r="CP373" s="7">
        <f t="shared" ref="CP373:CP377" si="1918">CO373-$L373</f>
        <v>133660.73000000045</v>
      </c>
      <c r="CQ373" s="7">
        <f t="shared" ref="CQ373:CQ377" si="1919">CP373-$L373</f>
        <v>131751.30000000045</v>
      </c>
      <c r="CR373" s="7">
        <f t="shared" ref="CR373:CR377" si="1920">CQ373-$L373</f>
        <v>129841.87000000046</v>
      </c>
      <c r="CS373" s="7">
        <f t="shared" ref="CS373:CS377" si="1921">CR373-$L373</f>
        <v>127932.44000000047</v>
      </c>
      <c r="CT373" s="7">
        <f t="shared" ref="CT373:CT377" si="1922">CS373-$L373</f>
        <v>126023.01000000047</v>
      </c>
      <c r="CU373" s="7">
        <f t="shared" ref="CU373:CU377" si="1923">CT373-$L373</f>
        <v>124113.58000000048</v>
      </c>
      <c r="CV373" s="7">
        <f t="shared" ref="CV373:CV377" si="1924">CU373-$L373</f>
        <v>122204.15000000049</v>
      </c>
      <c r="CW373" s="7">
        <f t="shared" ref="CW373:CW377" si="1925">CV373-$L373</f>
        <v>120294.7200000005</v>
      </c>
      <c r="CX373" s="7">
        <f t="shared" ref="CX373:CX377" si="1926">CW373-$L373</f>
        <v>118385.2900000005</v>
      </c>
      <c r="CY373" s="7">
        <f t="shared" ref="CY373:CY377" si="1927">CX373-$L373</f>
        <v>116475.86000000051</v>
      </c>
      <c r="CZ373" s="236">
        <f t="shared" si="1856"/>
        <v>2814.5136800000105</v>
      </c>
    </row>
    <row r="374" spans="1:104" x14ac:dyDescent="0.2">
      <c r="A374" s="6" t="str">
        <f>'[1]2021 УГРЦТ'!A377</f>
        <v>ТП №17 ул Печорская  1978г.</v>
      </c>
      <c r="B374" t="str">
        <f>'[1]2021 УГРЦТ'!B377</f>
        <v>00000136</v>
      </c>
      <c r="C374" t="str">
        <f>'[1]2021 УГРЦТ'!C377</f>
        <v>ПЕРЕДАЧА</v>
      </c>
      <c r="D374" t="str">
        <f>'[1]2021 УГРЦТ'!D377</f>
        <v>Здания</v>
      </c>
      <c r="E374" t="str">
        <f>'[1]2021 УГРЦТ'!E377</f>
        <v>31.01.1978</v>
      </c>
      <c r="F374" t="str">
        <f>'[1]2021 УГРЦТ'!F377</f>
        <v>Цех электрических сетей</v>
      </c>
      <c r="G374">
        <f>'[1]2021 УГРЦТ'!AC377</f>
        <v>708</v>
      </c>
      <c r="H374" s="7">
        <f>'[1]2021 УГРЦТ'!X377</f>
        <v>35347</v>
      </c>
      <c r="I374" s="7">
        <f>'[1]2021 УГРЦТ'!Y377</f>
        <v>25990.621694915255</v>
      </c>
      <c r="J374" s="7">
        <f>'[1]2021 УГРЦТ'!Z377</f>
        <v>9356.3783050847451</v>
      </c>
      <c r="K374" s="8">
        <v>1</v>
      </c>
      <c r="L374" s="7">
        <v>49.91</v>
      </c>
      <c r="M374" s="7"/>
      <c r="N374" s="7">
        <f t="shared" si="1814"/>
        <v>598.91999999999996</v>
      </c>
      <c r="O374" s="7">
        <f t="shared" si="1612"/>
        <v>9306.4683050847452</v>
      </c>
      <c r="P374" s="7">
        <f t="shared" si="1815"/>
        <v>9256.5583050847454</v>
      </c>
      <c r="Q374" s="7">
        <f t="shared" si="1815"/>
        <v>9206.6483050847455</v>
      </c>
      <c r="R374" s="7">
        <f t="shared" si="1815"/>
        <v>9156.7383050847457</v>
      </c>
      <c r="S374" s="7">
        <f t="shared" si="1815"/>
        <v>9106.8283050847458</v>
      </c>
      <c r="T374" s="7">
        <f t="shared" si="1815"/>
        <v>9056.918305084746</v>
      </c>
      <c r="U374" s="7">
        <f t="shared" si="1815"/>
        <v>9007.0083050847461</v>
      </c>
      <c r="V374" s="7">
        <f t="shared" si="1815"/>
        <v>8957.0983050847462</v>
      </c>
      <c r="W374" s="7">
        <f t="shared" si="1815"/>
        <v>8907.1883050847464</v>
      </c>
      <c r="X374" s="7">
        <f t="shared" si="1815"/>
        <v>8857.2783050847465</v>
      </c>
      <c r="Y374" s="7">
        <f t="shared" si="1815"/>
        <v>8807.3683050847467</v>
      </c>
      <c r="Z374" s="7">
        <f t="shared" si="1815"/>
        <v>8757.4583050847468</v>
      </c>
      <c r="AA374" s="7">
        <f t="shared" si="1853"/>
        <v>199.25220271186441</v>
      </c>
      <c r="AB374" s="7"/>
      <c r="AC374" s="7">
        <f t="shared" si="1613"/>
        <v>598.91999999999996</v>
      </c>
      <c r="AD374" s="7">
        <f t="shared" si="1614"/>
        <v>8707.548305084747</v>
      </c>
      <c r="AE374" s="7">
        <f t="shared" si="1817"/>
        <v>8657.6383050847471</v>
      </c>
      <c r="AF374" s="7">
        <f t="shared" si="1817"/>
        <v>8607.7283050847473</v>
      </c>
      <c r="AG374" s="7">
        <f t="shared" si="1817"/>
        <v>8557.8183050847474</v>
      </c>
      <c r="AH374" s="7">
        <f t="shared" si="1817"/>
        <v>8507.9083050847476</v>
      </c>
      <c r="AI374" s="7">
        <f t="shared" si="1817"/>
        <v>8457.9983050847477</v>
      </c>
      <c r="AJ374" s="7">
        <f t="shared" si="1817"/>
        <v>8408.0883050847478</v>
      </c>
      <c r="AK374" s="7">
        <f t="shared" si="1817"/>
        <v>8358.178305084748</v>
      </c>
      <c r="AL374" s="7">
        <f t="shared" si="1817"/>
        <v>8308.2683050847481</v>
      </c>
      <c r="AM374" s="7">
        <f t="shared" si="1817"/>
        <v>8258.3583050847483</v>
      </c>
      <c r="AN374" s="7">
        <f t="shared" si="1817"/>
        <v>8208.4483050847484</v>
      </c>
      <c r="AO374" s="7">
        <f t="shared" si="1817"/>
        <v>8158.5383050847486</v>
      </c>
      <c r="AP374" s="222">
        <f t="shared" si="1857"/>
        <v>186.07596271186443</v>
      </c>
      <c r="AQ374" s="7">
        <v>49.91</v>
      </c>
      <c r="AR374" s="7">
        <f t="shared" si="1615"/>
        <v>49.909999999999854</v>
      </c>
      <c r="AS374" s="7">
        <f t="shared" si="1616"/>
        <v>-1.4210854715202004E-13</v>
      </c>
      <c r="AT374" s="7">
        <f t="shared" si="1858"/>
        <v>598.91999999999996</v>
      </c>
      <c r="AU374" s="7">
        <f t="shared" si="1859"/>
        <v>8108.6283050847487</v>
      </c>
      <c r="AV374" s="7">
        <f t="shared" si="1860"/>
        <v>8058.7183050847489</v>
      </c>
      <c r="AW374" s="7">
        <f t="shared" si="1860"/>
        <v>8008.808305084749</v>
      </c>
      <c r="AX374" s="7">
        <f t="shared" si="1860"/>
        <v>7958.8983050847492</v>
      </c>
      <c r="AY374" s="7">
        <f t="shared" si="1860"/>
        <v>7908.9883050847493</v>
      </c>
      <c r="AZ374" s="7">
        <f t="shared" si="1860"/>
        <v>7859.0783050847494</v>
      </c>
      <c r="BA374" s="7">
        <f t="shared" si="1860"/>
        <v>7809.1683050847496</v>
      </c>
      <c r="BB374" s="7">
        <f t="shared" si="1860"/>
        <v>7759.2583050847497</v>
      </c>
      <c r="BC374" s="7">
        <f t="shared" si="1860"/>
        <v>7709.3483050847499</v>
      </c>
      <c r="BD374" s="7">
        <f t="shared" si="1860"/>
        <v>7659.43830508475</v>
      </c>
      <c r="BE374" s="7">
        <f t="shared" si="1860"/>
        <v>7609.5283050847502</v>
      </c>
      <c r="BF374" s="7">
        <f t="shared" si="1860"/>
        <v>7559.6183050847503</v>
      </c>
      <c r="BG374" s="236">
        <f t="shared" si="1598"/>
        <v>172.89972271186448</v>
      </c>
      <c r="BH374" s="7">
        <v>49.91</v>
      </c>
      <c r="BI374" s="39">
        <f t="shared" si="1894"/>
        <v>598.91999999999996</v>
      </c>
      <c r="BJ374" s="7">
        <f t="shared" si="1895"/>
        <v>7509.7083050847505</v>
      </c>
      <c r="BK374" s="7">
        <f t="shared" si="1861"/>
        <v>7459.7983050847506</v>
      </c>
      <c r="BL374" s="7">
        <f t="shared" si="1862"/>
        <v>7409.8883050847508</v>
      </c>
      <c r="BM374" s="7">
        <f t="shared" si="1896"/>
        <v>7359.9783050847509</v>
      </c>
      <c r="BN374" s="7">
        <f t="shared" si="1897"/>
        <v>7310.068305084751</v>
      </c>
      <c r="BO374" s="7">
        <f t="shared" si="1898"/>
        <v>7260.1583050847512</v>
      </c>
      <c r="BP374" s="7">
        <f t="shared" si="1899"/>
        <v>7210.2483050847513</v>
      </c>
      <c r="BQ374" s="7">
        <f t="shared" si="1900"/>
        <v>7160.3383050847515</v>
      </c>
      <c r="BR374" s="7">
        <f t="shared" si="1901"/>
        <v>7110.4283050847516</v>
      </c>
      <c r="BS374" s="7">
        <f t="shared" si="1902"/>
        <v>7060.5183050847518</v>
      </c>
      <c r="BT374" s="7">
        <f t="shared" si="1903"/>
        <v>7010.6083050847519</v>
      </c>
      <c r="BU374" s="7">
        <f t="shared" si="1904"/>
        <v>6960.6983050847521</v>
      </c>
      <c r="BV374" s="236">
        <f t="shared" si="1854"/>
        <v>159.72348271186451</v>
      </c>
      <c r="BW374" s="7">
        <v>49.91</v>
      </c>
      <c r="BX374" s="39">
        <f>BW374*12</f>
        <v>598.91999999999996</v>
      </c>
      <c r="BY374" s="7">
        <f t="shared" si="1905"/>
        <v>6910.7883050847522</v>
      </c>
      <c r="BZ374" s="7">
        <f t="shared" si="1906"/>
        <v>6860.8783050847524</v>
      </c>
      <c r="CA374" s="7">
        <f t="shared" si="1907"/>
        <v>6810.9683050847525</v>
      </c>
      <c r="CB374" s="7">
        <f t="shared" si="1908"/>
        <v>6761.0583050847526</v>
      </c>
      <c r="CC374" s="7">
        <f t="shared" si="1909"/>
        <v>6711.1483050847528</v>
      </c>
      <c r="CD374" s="7">
        <f t="shared" si="1910"/>
        <v>6661.2383050847529</v>
      </c>
      <c r="CE374" s="7">
        <f t="shared" si="1911"/>
        <v>6611.3283050847531</v>
      </c>
      <c r="CF374" s="7">
        <f t="shared" si="1912"/>
        <v>6561.4183050847532</v>
      </c>
      <c r="CG374" s="7">
        <f t="shared" si="1913"/>
        <v>6511.5083050847534</v>
      </c>
      <c r="CH374" s="7">
        <f t="shared" si="1914"/>
        <v>6461.5983050847535</v>
      </c>
      <c r="CI374" s="7">
        <f t="shared" si="1915"/>
        <v>6411.6883050847537</v>
      </c>
      <c r="CJ374" s="7">
        <f t="shared" si="1916"/>
        <v>6361.7783050847538</v>
      </c>
      <c r="CK374" s="236">
        <f t="shared" si="1855"/>
        <v>146.54724271186453</v>
      </c>
      <c r="CL374" s="7">
        <v>49.91</v>
      </c>
      <c r="CM374" s="39">
        <f>CL374*12</f>
        <v>598.91999999999996</v>
      </c>
      <c r="CN374" s="7">
        <f>CJ374-CL374</f>
        <v>6311.868305084754</v>
      </c>
      <c r="CO374" s="7">
        <f t="shared" si="1917"/>
        <v>6261.9583050847541</v>
      </c>
      <c r="CP374" s="7">
        <f t="shared" si="1918"/>
        <v>6212.0483050847542</v>
      </c>
      <c r="CQ374" s="7">
        <f t="shared" si="1919"/>
        <v>6162.1383050847544</v>
      </c>
      <c r="CR374" s="7">
        <f t="shared" si="1920"/>
        <v>6112.2283050847545</v>
      </c>
      <c r="CS374" s="7">
        <f t="shared" si="1921"/>
        <v>6062.3183050847547</v>
      </c>
      <c r="CT374" s="7">
        <f t="shared" si="1922"/>
        <v>6012.4083050847548</v>
      </c>
      <c r="CU374" s="7">
        <f t="shared" si="1923"/>
        <v>5962.498305084755</v>
      </c>
      <c r="CV374" s="7">
        <f t="shared" si="1924"/>
        <v>5912.5883050847551</v>
      </c>
      <c r="CW374" s="7">
        <f t="shared" si="1925"/>
        <v>5862.6783050847553</v>
      </c>
      <c r="CX374" s="7">
        <f t="shared" si="1926"/>
        <v>5812.7683050847554</v>
      </c>
      <c r="CY374" s="7">
        <f t="shared" si="1927"/>
        <v>5762.8583050847556</v>
      </c>
      <c r="CZ374" s="236">
        <f t="shared" si="1856"/>
        <v>133.37100271186458</v>
      </c>
    </row>
    <row r="375" spans="1:104" x14ac:dyDescent="0.2">
      <c r="A375" s="6" t="str">
        <f>'[1]2021 УГРЦТ'!A378</f>
        <v>ТП №18 ул 60 лет СССР 5  1981г.</v>
      </c>
      <c r="B375" t="str">
        <f>'[1]2021 УГРЦТ'!B378</f>
        <v>00000138</v>
      </c>
      <c r="C375" t="str">
        <f>'[1]2021 УГРЦТ'!C378</f>
        <v>ПЕРЕДАЧА</v>
      </c>
      <c r="D375" t="str">
        <f>'[1]2021 УГРЦТ'!D378</f>
        <v>Здания</v>
      </c>
      <c r="E375" t="str">
        <f>'[1]2021 УГРЦТ'!E378</f>
        <v>31.01.1981</v>
      </c>
      <c r="F375" t="str">
        <f>'[1]2021 УГРЦТ'!F378</f>
        <v>Цех электрических сетей</v>
      </c>
      <c r="G375">
        <f>'[1]2021 УГРЦТ'!AC378</f>
        <v>708</v>
      </c>
      <c r="H375" s="7">
        <f>'[1]2021 УГРЦТ'!X378</f>
        <v>35347</v>
      </c>
      <c r="I375" s="7">
        <f>'[1]2021 УГРЦТ'!Y378</f>
        <v>24282.621694915255</v>
      </c>
      <c r="J375" s="7">
        <f>'[1]2021 УГРЦТ'!Z378</f>
        <v>11064.378305084745</v>
      </c>
      <c r="K375" s="8">
        <v>1</v>
      </c>
      <c r="L375" s="7">
        <v>49.91</v>
      </c>
      <c r="M375" s="7"/>
      <c r="N375" s="7">
        <f t="shared" si="1814"/>
        <v>598.91999999999996</v>
      </c>
      <c r="O375" s="7">
        <f t="shared" si="1612"/>
        <v>11014.468305084745</v>
      </c>
      <c r="P375" s="7">
        <f t="shared" ref="P375:Z390" si="1928">O375-$L375</f>
        <v>10964.558305084745</v>
      </c>
      <c r="Q375" s="7">
        <f t="shared" si="1928"/>
        <v>10914.648305084746</v>
      </c>
      <c r="R375" s="7">
        <f t="shared" si="1928"/>
        <v>10864.738305084746</v>
      </c>
      <c r="S375" s="7">
        <f t="shared" si="1928"/>
        <v>10814.828305084746</v>
      </c>
      <c r="T375" s="7">
        <f t="shared" si="1928"/>
        <v>10764.918305084746</v>
      </c>
      <c r="U375" s="7">
        <f t="shared" si="1928"/>
        <v>10715.008305084746</v>
      </c>
      <c r="V375" s="7">
        <f t="shared" si="1928"/>
        <v>10665.098305084746</v>
      </c>
      <c r="W375" s="7">
        <f t="shared" si="1928"/>
        <v>10615.188305084746</v>
      </c>
      <c r="X375" s="7">
        <f t="shared" si="1928"/>
        <v>10565.278305084747</v>
      </c>
      <c r="Y375" s="7">
        <f t="shared" si="1928"/>
        <v>10515.368305084747</v>
      </c>
      <c r="Z375" s="7">
        <f t="shared" si="1928"/>
        <v>10465.458305084747</v>
      </c>
      <c r="AA375" s="7">
        <f t="shared" si="1853"/>
        <v>236.82820271186441</v>
      </c>
      <c r="AB375" s="7"/>
      <c r="AC375" s="7">
        <f t="shared" si="1613"/>
        <v>598.91999999999996</v>
      </c>
      <c r="AD375" s="7">
        <f t="shared" si="1614"/>
        <v>10415.548305084747</v>
      </c>
      <c r="AE375" s="7">
        <f t="shared" si="1817"/>
        <v>10365.638305084747</v>
      </c>
      <c r="AF375" s="7">
        <f t="shared" si="1817"/>
        <v>10315.728305084747</v>
      </c>
      <c r="AG375" s="7">
        <f t="shared" si="1817"/>
        <v>10265.818305084747</v>
      </c>
      <c r="AH375" s="7">
        <f t="shared" si="1817"/>
        <v>10215.908305084748</v>
      </c>
      <c r="AI375" s="7">
        <f t="shared" si="1817"/>
        <v>10165.998305084748</v>
      </c>
      <c r="AJ375" s="7">
        <f t="shared" si="1817"/>
        <v>10116.088305084748</v>
      </c>
      <c r="AK375" s="7">
        <f t="shared" si="1817"/>
        <v>10066.178305084748</v>
      </c>
      <c r="AL375" s="7">
        <f t="shared" si="1817"/>
        <v>10016.268305084748</v>
      </c>
      <c r="AM375" s="7">
        <f t="shared" si="1817"/>
        <v>9966.3583050847483</v>
      </c>
      <c r="AN375" s="7">
        <f t="shared" si="1817"/>
        <v>9916.4483050847484</v>
      </c>
      <c r="AO375" s="7">
        <f t="shared" si="1817"/>
        <v>9866.5383050847486</v>
      </c>
      <c r="AP375" s="222">
        <f t="shared" si="1857"/>
        <v>223.65196271186443</v>
      </c>
      <c r="AQ375" s="7">
        <v>49.91</v>
      </c>
      <c r="AR375" s="7">
        <f t="shared" si="1615"/>
        <v>49.909999999999854</v>
      </c>
      <c r="AS375" s="7">
        <f t="shared" si="1616"/>
        <v>-1.4210854715202004E-13</v>
      </c>
      <c r="AT375" s="7">
        <f t="shared" si="1858"/>
        <v>598.91999999999996</v>
      </c>
      <c r="AU375" s="7">
        <f t="shared" si="1859"/>
        <v>9816.6283050847487</v>
      </c>
      <c r="AV375" s="7">
        <f t="shared" si="1860"/>
        <v>9766.7183050847489</v>
      </c>
      <c r="AW375" s="7">
        <f t="shared" si="1860"/>
        <v>9716.808305084749</v>
      </c>
      <c r="AX375" s="7">
        <f t="shared" si="1860"/>
        <v>9666.8983050847492</v>
      </c>
      <c r="AY375" s="7">
        <f t="shared" si="1860"/>
        <v>9616.9883050847493</v>
      </c>
      <c r="AZ375" s="7">
        <f t="shared" si="1860"/>
        <v>9567.0783050847494</v>
      </c>
      <c r="BA375" s="7">
        <f t="shared" si="1860"/>
        <v>9517.1683050847496</v>
      </c>
      <c r="BB375" s="7">
        <f t="shared" si="1860"/>
        <v>9467.2583050847497</v>
      </c>
      <c r="BC375" s="7">
        <f t="shared" si="1860"/>
        <v>9417.3483050847499</v>
      </c>
      <c r="BD375" s="7">
        <f t="shared" si="1860"/>
        <v>9367.43830508475</v>
      </c>
      <c r="BE375" s="7">
        <f t="shared" si="1860"/>
        <v>9317.5283050847502</v>
      </c>
      <c r="BF375" s="7">
        <f t="shared" si="1860"/>
        <v>9267.6183050847503</v>
      </c>
      <c r="BG375" s="236">
        <f t="shared" si="1598"/>
        <v>210.47572271186448</v>
      </c>
      <c r="BH375" s="7">
        <v>49.91</v>
      </c>
      <c r="BI375" s="39">
        <f t="shared" si="1894"/>
        <v>598.91999999999996</v>
      </c>
      <c r="BJ375" s="7">
        <f t="shared" si="1895"/>
        <v>9217.7083050847505</v>
      </c>
      <c r="BK375" s="7">
        <f t="shared" si="1861"/>
        <v>9167.7983050847506</v>
      </c>
      <c r="BL375" s="7">
        <f t="shared" si="1862"/>
        <v>9117.8883050847508</v>
      </c>
      <c r="BM375" s="7">
        <f t="shared" si="1896"/>
        <v>9067.9783050847509</v>
      </c>
      <c r="BN375" s="7">
        <f t="shared" si="1897"/>
        <v>9018.068305084751</v>
      </c>
      <c r="BO375" s="7">
        <f t="shared" si="1898"/>
        <v>8968.1583050847512</v>
      </c>
      <c r="BP375" s="7">
        <f t="shared" si="1899"/>
        <v>8918.2483050847513</v>
      </c>
      <c r="BQ375" s="7">
        <f t="shared" si="1900"/>
        <v>8868.3383050847515</v>
      </c>
      <c r="BR375" s="7">
        <f t="shared" si="1901"/>
        <v>8818.4283050847516</v>
      </c>
      <c r="BS375" s="7">
        <f t="shared" si="1902"/>
        <v>8768.5183050847518</v>
      </c>
      <c r="BT375" s="7">
        <f t="shared" si="1903"/>
        <v>8718.6083050847519</v>
      </c>
      <c r="BU375" s="7">
        <f t="shared" si="1904"/>
        <v>8668.6983050847521</v>
      </c>
      <c r="BV375" s="236">
        <f t="shared" si="1854"/>
        <v>197.29948271186453</v>
      </c>
      <c r="BW375" s="7">
        <v>49.91</v>
      </c>
      <c r="BX375" s="39">
        <f>BW375*12</f>
        <v>598.91999999999996</v>
      </c>
      <c r="BY375" s="7">
        <f t="shared" si="1905"/>
        <v>8618.7883050847522</v>
      </c>
      <c r="BZ375" s="7">
        <f t="shared" si="1906"/>
        <v>8568.8783050847524</v>
      </c>
      <c r="CA375" s="7">
        <f t="shared" si="1907"/>
        <v>8518.9683050847525</v>
      </c>
      <c r="CB375" s="7">
        <f t="shared" si="1908"/>
        <v>8469.0583050847526</v>
      </c>
      <c r="CC375" s="7">
        <f t="shared" si="1909"/>
        <v>8419.1483050847528</v>
      </c>
      <c r="CD375" s="7">
        <f t="shared" si="1910"/>
        <v>8369.2383050847529</v>
      </c>
      <c r="CE375" s="7">
        <f t="shared" si="1911"/>
        <v>8319.3283050847531</v>
      </c>
      <c r="CF375" s="7">
        <f t="shared" si="1912"/>
        <v>8269.4183050847532</v>
      </c>
      <c r="CG375" s="7">
        <f t="shared" si="1913"/>
        <v>8219.5083050847534</v>
      </c>
      <c r="CH375" s="7">
        <f t="shared" si="1914"/>
        <v>8169.5983050847535</v>
      </c>
      <c r="CI375" s="7">
        <f t="shared" si="1915"/>
        <v>8119.6883050847537</v>
      </c>
      <c r="CJ375" s="7">
        <f t="shared" si="1916"/>
        <v>8069.7783050847538</v>
      </c>
      <c r="CK375" s="236">
        <f t="shared" si="1855"/>
        <v>184.12324271186455</v>
      </c>
      <c r="CL375" s="7">
        <v>49.91</v>
      </c>
      <c r="CM375" s="39">
        <f>CL375*12</f>
        <v>598.91999999999996</v>
      </c>
      <c r="CN375" s="7">
        <f>CJ375-CL375</f>
        <v>8019.868305084754</v>
      </c>
      <c r="CO375" s="7">
        <f t="shared" si="1917"/>
        <v>7969.9583050847541</v>
      </c>
      <c r="CP375" s="7">
        <f t="shared" si="1918"/>
        <v>7920.0483050847542</v>
      </c>
      <c r="CQ375" s="7">
        <f t="shared" si="1919"/>
        <v>7870.1383050847544</v>
      </c>
      <c r="CR375" s="7">
        <f t="shared" si="1920"/>
        <v>7820.2283050847545</v>
      </c>
      <c r="CS375" s="7">
        <f t="shared" si="1921"/>
        <v>7770.3183050847547</v>
      </c>
      <c r="CT375" s="7">
        <f t="shared" si="1922"/>
        <v>7720.4083050847548</v>
      </c>
      <c r="CU375" s="7">
        <f t="shared" si="1923"/>
        <v>7670.498305084755</v>
      </c>
      <c r="CV375" s="7">
        <f t="shared" si="1924"/>
        <v>7620.5883050847551</v>
      </c>
      <c r="CW375" s="7">
        <f t="shared" si="1925"/>
        <v>7570.6783050847553</v>
      </c>
      <c r="CX375" s="7">
        <f t="shared" si="1926"/>
        <v>7520.7683050847554</v>
      </c>
      <c r="CY375" s="7">
        <f t="shared" si="1927"/>
        <v>7470.8583050847556</v>
      </c>
      <c r="CZ375" s="236">
        <f t="shared" si="1856"/>
        <v>170.94700271186457</v>
      </c>
    </row>
    <row r="376" spans="1:104" x14ac:dyDescent="0.2">
      <c r="A376" s="6" t="str">
        <f>'[1]2021 УГРЦТ'!A379</f>
        <v>ТП №19 ул Южная 2  1968г.</v>
      </c>
      <c r="B376" t="str">
        <f>'[1]2021 УГРЦТ'!B379</f>
        <v>00000139</v>
      </c>
      <c r="C376" t="str">
        <f>'[1]2021 УГРЦТ'!C379</f>
        <v>ПЕРЕДАЧА</v>
      </c>
      <c r="D376" t="str">
        <f>'[1]2021 УГРЦТ'!D379</f>
        <v>Здания</v>
      </c>
      <c r="E376" t="str">
        <f>'[1]2021 УГРЦТ'!E379</f>
        <v>31.01.1968</v>
      </c>
      <c r="F376" t="str">
        <f>'[1]2021 УГРЦТ'!F379</f>
        <v>Цех электрических сетей</v>
      </c>
      <c r="G376">
        <f>'[1]2021 УГРЦТ'!AC379</f>
        <v>708</v>
      </c>
      <c r="H376" s="7">
        <f>'[1]2021 УГРЦТ'!X379</f>
        <v>374452</v>
      </c>
      <c r="I376" s="7">
        <f>'[1]2021 УГРЦТ'!Y379</f>
        <v>200448.88999999998</v>
      </c>
      <c r="J376" s="7">
        <f>'[1]2021 УГРЦТ'!Z379</f>
        <v>174003.11000000002</v>
      </c>
      <c r="K376" s="8">
        <v>1</v>
      </c>
      <c r="L376" s="7">
        <v>2852.52</v>
      </c>
      <c r="M376" s="7"/>
      <c r="N376" s="7">
        <f t="shared" si="1814"/>
        <v>34230.239999999998</v>
      </c>
      <c r="O376" s="7">
        <f t="shared" si="1612"/>
        <v>171150.59000000003</v>
      </c>
      <c r="P376" s="7">
        <f t="shared" si="1928"/>
        <v>168298.07000000004</v>
      </c>
      <c r="Q376" s="7">
        <f t="shared" si="1928"/>
        <v>165445.55000000005</v>
      </c>
      <c r="R376" s="7">
        <f t="shared" si="1928"/>
        <v>162593.03000000006</v>
      </c>
      <c r="S376" s="7">
        <f t="shared" si="1928"/>
        <v>159740.51000000007</v>
      </c>
      <c r="T376" s="7">
        <f t="shared" si="1928"/>
        <v>156887.99000000008</v>
      </c>
      <c r="U376" s="7">
        <f t="shared" si="1928"/>
        <v>154035.47000000009</v>
      </c>
      <c r="V376" s="7">
        <f t="shared" si="1928"/>
        <v>151182.9500000001</v>
      </c>
      <c r="W376" s="7">
        <f t="shared" si="1928"/>
        <v>148330.43000000011</v>
      </c>
      <c r="X376" s="7">
        <f t="shared" si="1928"/>
        <v>145477.91000000012</v>
      </c>
      <c r="Y376" s="7">
        <f t="shared" si="1928"/>
        <v>142625.39000000013</v>
      </c>
      <c r="Z376" s="7">
        <f t="shared" si="1928"/>
        <v>139772.87000000014</v>
      </c>
      <c r="AA376" s="7">
        <f t="shared" si="1853"/>
        <v>3451.535780000002</v>
      </c>
      <c r="AB376" s="7"/>
      <c r="AC376" s="7">
        <f t="shared" si="1613"/>
        <v>34230.239999999998</v>
      </c>
      <c r="AD376" s="7">
        <f t="shared" si="1614"/>
        <v>136920.35000000015</v>
      </c>
      <c r="AE376" s="7">
        <f t="shared" si="1817"/>
        <v>134067.83000000016</v>
      </c>
      <c r="AF376" s="7">
        <f t="shared" si="1817"/>
        <v>131215.31000000017</v>
      </c>
      <c r="AG376" s="7">
        <f t="shared" si="1817"/>
        <v>128362.79000000017</v>
      </c>
      <c r="AH376" s="7">
        <f t="shared" si="1817"/>
        <v>125510.27000000016</v>
      </c>
      <c r="AI376" s="7">
        <f t="shared" si="1817"/>
        <v>122657.75000000016</v>
      </c>
      <c r="AJ376" s="7">
        <f t="shared" si="1817"/>
        <v>119805.23000000016</v>
      </c>
      <c r="AK376" s="7">
        <f t="shared" si="1817"/>
        <v>116952.71000000015</v>
      </c>
      <c r="AL376" s="7">
        <f t="shared" si="1817"/>
        <v>114100.19000000015</v>
      </c>
      <c r="AM376" s="7">
        <f t="shared" si="1817"/>
        <v>111247.67000000014</v>
      </c>
      <c r="AN376" s="7">
        <f t="shared" si="1817"/>
        <v>108395.15000000014</v>
      </c>
      <c r="AO376" s="7">
        <f t="shared" si="1817"/>
        <v>105542.63000000014</v>
      </c>
      <c r="AP376" s="222">
        <f t="shared" si="1857"/>
        <v>2698.4705000000031</v>
      </c>
      <c r="AQ376" s="7">
        <v>2852.52</v>
      </c>
      <c r="AR376" s="7">
        <f t="shared" si="1615"/>
        <v>2852.5200000000041</v>
      </c>
      <c r="AS376" s="7">
        <f t="shared" si="1616"/>
        <v>4.0927261579781771E-12</v>
      </c>
      <c r="AT376" s="7">
        <f t="shared" si="1858"/>
        <v>34230.239999999998</v>
      </c>
      <c r="AU376" s="7">
        <f t="shared" si="1859"/>
        <v>102690.11000000013</v>
      </c>
      <c r="AV376" s="7">
        <f t="shared" si="1860"/>
        <v>99837.590000000127</v>
      </c>
      <c r="AW376" s="7">
        <f t="shared" si="1860"/>
        <v>96985.070000000123</v>
      </c>
      <c r="AX376" s="7">
        <f t="shared" si="1860"/>
        <v>94132.550000000119</v>
      </c>
      <c r="AY376" s="7">
        <f t="shared" si="1860"/>
        <v>91280.030000000115</v>
      </c>
      <c r="AZ376" s="7">
        <f t="shared" si="1860"/>
        <v>88427.510000000111</v>
      </c>
      <c r="BA376" s="7">
        <f t="shared" si="1860"/>
        <v>85574.990000000107</v>
      </c>
      <c r="BB376" s="7">
        <f t="shared" si="1860"/>
        <v>82722.470000000103</v>
      </c>
      <c r="BC376" s="7">
        <f t="shared" si="1860"/>
        <v>79869.950000000099</v>
      </c>
      <c r="BD376" s="7">
        <f t="shared" si="1860"/>
        <v>77017.430000000095</v>
      </c>
      <c r="BE376" s="7">
        <f t="shared" si="1860"/>
        <v>74164.910000000091</v>
      </c>
      <c r="BF376" s="7">
        <f t="shared" si="1860"/>
        <v>71312.390000000087</v>
      </c>
      <c r="BG376" s="236">
        <f t="shared" si="1598"/>
        <v>1945.4052200000019</v>
      </c>
      <c r="BH376" s="7">
        <v>2852.52</v>
      </c>
      <c r="BI376" s="39">
        <f t="shared" si="1894"/>
        <v>34230.239999999998</v>
      </c>
      <c r="BJ376" s="7">
        <f t="shared" si="1895"/>
        <v>68459.870000000083</v>
      </c>
      <c r="BK376" s="7">
        <f t="shared" si="1861"/>
        <v>65607.350000000079</v>
      </c>
      <c r="BL376" s="7">
        <f t="shared" si="1862"/>
        <v>62754.830000000082</v>
      </c>
      <c r="BM376" s="7">
        <f t="shared" si="1896"/>
        <v>59902.310000000085</v>
      </c>
      <c r="BN376" s="7">
        <f t="shared" si="1897"/>
        <v>57049.790000000088</v>
      </c>
      <c r="BO376" s="7">
        <f t="shared" si="1898"/>
        <v>54197.270000000091</v>
      </c>
      <c r="BP376" s="7">
        <f t="shared" si="1899"/>
        <v>51344.750000000095</v>
      </c>
      <c r="BQ376" s="7">
        <f t="shared" si="1900"/>
        <v>48492.230000000098</v>
      </c>
      <c r="BR376" s="7">
        <f t="shared" si="1901"/>
        <v>45639.710000000101</v>
      </c>
      <c r="BS376" s="7">
        <f t="shared" si="1902"/>
        <v>42787.190000000104</v>
      </c>
      <c r="BT376" s="7">
        <f t="shared" si="1903"/>
        <v>39934.670000000107</v>
      </c>
      <c r="BU376" s="7">
        <f t="shared" si="1904"/>
        <v>37082.150000000111</v>
      </c>
      <c r="BV376" s="236">
        <f t="shared" si="1854"/>
        <v>1192.3399400000021</v>
      </c>
      <c r="BW376" s="7">
        <v>2852.52</v>
      </c>
      <c r="BX376" s="39">
        <f>BW376*12</f>
        <v>34230.239999999998</v>
      </c>
      <c r="BY376" s="7">
        <f t="shared" si="1905"/>
        <v>34229.630000000114</v>
      </c>
      <c r="BZ376" s="7">
        <f t="shared" si="1906"/>
        <v>31377.110000000113</v>
      </c>
      <c r="CA376" s="7">
        <f t="shared" si="1907"/>
        <v>28524.590000000113</v>
      </c>
      <c r="CB376" s="7">
        <f t="shared" si="1908"/>
        <v>25672.070000000112</v>
      </c>
      <c r="CC376" s="7">
        <f t="shared" si="1909"/>
        <v>22819.550000000112</v>
      </c>
      <c r="CD376" s="7">
        <f t="shared" si="1910"/>
        <v>19967.030000000112</v>
      </c>
      <c r="CE376" s="7">
        <f t="shared" si="1911"/>
        <v>17114.510000000111</v>
      </c>
      <c r="CF376" s="7">
        <f t="shared" si="1912"/>
        <v>14261.990000000111</v>
      </c>
      <c r="CG376" s="7">
        <f t="shared" si="1913"/>
        <v>11409.47000000011</v>
      </c>
      <c r="CH376" s="7">
        <f t="shared" si="1914"/>
        <v>8556.9500000001099</v>
      </c>
      <c r="CI376" s="7">
        <f t="shared" si="1915"/>
        <v>5704.4300000001094</v>
      </c>
      <c r="CJ376" s="7">
        <f t="shared" si="1916"/>
        <v>2851.9100000001094</v>
      </c>
      <c r="CK376" s="236">
        <f t="shared" si="1855"/>
        <v>439.27466000000243</v>
      </c>
      <c r="CL376" s="7">
        <v>2852.52</v>
      </c>
      <c r="CM376" s="39">
        <v>2851.91</v>
      </c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236">
        <f t="shared" si="1856"/>
        <v>4.8263092307694153</v>
      </c>
    </row>
    <row r="377" spans="1:104" x14ac:dyDescent="0.2">
      <c r="A377" s="6" t="str">
        <f>'[1]2021 УГРЦТ'!A380</f>
        <v>ТП №20 пер Рыбацкий 1970г</v>
      </c>
      <c r="B377" t="str">
        <f>'[1]2021 УГРЦТ'!B380</f>
        <v>00000540</v>
      </c>
      <c r="C377" t="str">
        <f>'[1]2021 УГРЦТ'!C380</f>
        <v>ПЕРЕДАЧА</v>
      </c>
      <c r="D377" t="str">
        <f>'[1]2021 УГРЦТ'!D380</f>
        <v>Здания</v>
      </c>
      <c r="E377" t="str">
        <f>'[1]2021 УГРЦТ'!E380</f>
        <v>31.01.1970</v>
      </c>
      <c r="F377" t="str">
        <f>'[1]2021 УГРЦТ'!F380</f>
        <v>Цех электрических сетей</v>
      </c>
      <c r="G377">
        <f>'[1]2021 УГРЦТ'!AC380</f>
        <v>708</v>
      </c>
      <c r="H377" s="7">
        <f>'[1]2021 УГРЦТ'!X380</f>
        <v>28452</v>
      </c>
      <c r="I377" s="7">
        <f>'[1]2021 УГРЦТ'!Y380</f>
        <v>24945.387288135596</v>
      </c>
      <c r="J377" s="7">
        <f>'[1]2021 УГРЦТ'!Z380</f>
        <v>3506.6127118644035</v>
      </c>
      <c r="K377" s="8">
        <v>1</v>
      </c>
      <c r="L377" s="7">
        <v>40.159999999999997</v>
      </c>
      <c r="M377" s="7"/>
      <c r="N377" s="7">
        <f t="shared" si="1814"/>
        <v>481.91999999999996</v>
      </c>
      <c r="O377" s="7">
        <f t="shared" si="1612"/>
        <v>3466.4527118644037</v>
      </c>
      <c r="P377" s="7">
        <f t="shared" si="1928"/>
        <v>3426.2927118644038</v>
      </c>
      <c r="Q377" s="7">
        <f t="shared" si="1928"/>
        <v>3386.132711864404</v>
      </c>
      <c r="R377" s="7">
        <f t="shared" si="1928"/>
        <v>3345.9727118644041</v>
      </c>
      <c r="S377" s="7">
        <f t="shared" si="1928"/>
        <v>3305.8127118644043</v>
      </c>
      <c r="T377" s="7">
        <f t="shared" si="1928"/>
        <v>3265.6527118644044</v>
      </c>
      <c r="U377" s="7">
        <f t="shared" si="1928"/>
        <v>3225.4927118644046</v>
      </c>
      <c r="V377" s="7">
        <f t="shared" si="1928"/>
        <v>3185.3327118644047</v>
      </c>
      <c r="W377" s="7">
        <f t="shared" si="1928"/>
        <v>3145.1727118644048</v>
      </c>
      <c r="X377" s="7">
        <f t="shared" si="1928"/>
        <v>3105.012711864405</v>
      </c>
      <c r="Y377" s="7">
        <f t="shared" si="1928"/>
        <v>3064.8527118644051</v>
      </c>
      <c r="Z377" s="7">
        <f t="shared" si="1928"/>
        <v>3024.6927118644053</v>
      </c>
      <c r="AA377" s="7">
        <f t="shared" si="1853"/>
        <v>71.844359661016881</v>
      </c>
      <c r="AB377" s="7"/>
      <c r="AC377" s="7">
        <f t="shared" si="1613"/>
        <v>481.91999999999996</v>
      </c>
      <c r="AD377" s="7">
        <f t="shared" si="1614"/>
        <v>2984.5327118644054</v>
      </c>
      <c r="AE377" s="7">
        <f t="shared" si="1817"/>
        <v>2944.3727118644056</v>
      </c>
      <c r="AF377" s="7">
        <f t="shared" si="1817"/>
        <v>2904.2127118644057</v>
      </c>
      <c r="AG377" s="7">
        <f t="shared" si="1817"/>
        <v>2864.0527118644059</v>
      </c>
      <c r="AH377" s="7">
        <f t="shared" si="1817"/>
        <v>2823.892711864406</v>
      </c>
      <c r="AI377" s="7">
        <f t="shared" si="1817"/>
        <v>2783.7327118644062</v>
      </c>
      <c r="AJ377" s="7">
        <f t="shared" si="1817"/>
        <v>2743.5727118644063</v>
      </c>
      <c r="AK377" s="7">
        <f t="shared" si="1817"/>
        <v>2703.4127118644064</v>
      </c>
      <c r="AL377" s="7">
        <f t="shared" si="1817"/>
        <v>2663.2527118644066</v>
      </c>
      <c r="AM377" s="7">
        <f t="shared" si="1817"/>
        <v>2623.0927118644067</v>
      </c>
      <c r="AN377" s="7">
        <f t="shared" si="1817"/>
        <v>2582.9327118644069</v>
      </c>
      <c r="AO377" s="7">
        <f t="shared" si="1817"/>
        <v>2542.772711864407</v>
      </c>
      <c r="AP377" s="222">
        <f t="shared" si="1857"/>
        <v>61.242119661016922</v>
      </c>
      <c r="AQ377" s="7">
        <v>40.159999999999997</v>
      </c>
      <c r="AR377" s="7">
        <f t="shared" si="1615"/>
        <v>40.159999999999854</v>
      </c>
      <c r="AS377" s="7">
        <f t="shared" si="1616"/>
        <v>-1.4210854715202004E-13</v>
      </c>
      <c r="AT377" s="7">
        <f t="shared" si="1858"/>
        <v>481.91999999999996</v>
      </c>
      <c r="AU377" s="7">
        <f t="shared" si="1859"/>
        <v>2502.6127118644072</v>
      </c>
      <c r="AV377" s="7">
        <f t="shared" si="1860"/>
        <v>2462.4527118644073</v>
      </c>
      <c r="AW377" s="7">
        <f t="shared" si="1860"/>
        <v>2422.2927118644075</v>
      </c>
      <c r="AX377" s="7">
        <f t="shared" si="1860"/>
        <v>2382.1327118644076</v>
      </c>
      <c r="AY377" s="7">
        <f t="shared" si="1860"/>
        <v>2341.9727118644078</v>
      </c>
      <c r="AZ377" s="7">
        <f t="shared" si="1860"/>
        <v>2301.8127118644079</v>
      </c>
      <c r="BA377" s="7">
        <f t="shared" si="1860"/>
        <v>2261.652711864408</v>
      </c>
      <c r="BB377" s="7">
        <f t="shared" si="1860"/>
        <v>2221.4927118644082</v>
      </c>
      <c r="BC377" s="7">
        <f t="shared" si="1860"/>
        <v>2181.3327118644083</v>
      </c>
      <c r="BD377" s="7">
        <f t="shared" si="1860"/>
        <v>2141.1727118644085</v>
      </c>
      <c r="BE377" s="7">
        <f t="shared" si="1860"/>
        <v>2101.0127118644086</v>
      </c>
      <c r="BF377" s="7">
        <f t="shared" si="1860"/>
        <v>2060.8527118644088</v>
      </c>
      <c r="BG377" s="236">
        <f t="shared" si="1598"/>
        <v>50.63987966101697</v>
      </c>
      <c r="BH377" s="7">
        <v>40.159999999999997</v>
      </c>
      <c r="BI377" s="39">
        <f t="shared" si="1894"/>
        <v>481.91999999999996</v>
      </c>
      <c r="BJ377" s="7">
        <f t="shared" si="1895"/>
        <v>2020.6927118644087</v>
      </c>
      <c r="BK377" s="7">
        <f t="shared" si="1861"/>
        <v>1980.5327118644086</v>
      </c>
      <c r="BL377" s="7">
        <f t="shared" si="1862"/>
        <v>1940.3727118644085</v>
      </c>
      <c r="BM377" s="7">
        <f t="shared" si="1896"/>
        <v>1900.2127118644084</v>
      </c>
      <c r="BN377" s="7">
        <f t="shared" si="1897"/>
        <v>1860.0527118644084</v>
      </c>
      <c r="BO377" s="7">
        <f t="shared" si="1898"/>
        <v>1819.8927118644083</v>
      </c>
      <c r="BP377" s="7">
        <f t="shared" si="1899"/>
        <v>1779.7327118644082</v>
      </c>
      <c r="BQ377" s="7">
        <f t="shared" si="1900"/>
        <v>1739.5727118644081</v>
      </c>
      <c r="BR377" s="7">
        <f t="shared" si="1901"/>
        <v>1699.412711864408</v>
      </c>
      <c r="BS377" s="7">
        <f t="shared" si="1902"/>
        <v>1659.252711864408</v>
      </c>
      <c r="BT377" s="7">
        <f t="shared" si="1903"/>
        <v>1619.0927118644079</v>
      </c>
      <c r="BU377" s="7">
        <f t="shared" si="1904"/>
        <v>1578.9327118644078</v>
      </c>
      <c r="BV377" s="236">
        <f t="shared" si="1854"/>
        <v>40.037639661016975</v>
      </c>
      <c r="BW377" s="7">
        <v>40.159999999999997</v>
      </c>
      <c r="BX377" s="39">
        <f>BW377*12</f>
        <v>481.91999999999996</v>
      </c>
      <c r="BY377" s="7">
        <f t="shared" si="1905"/>
        <v>1538.7727118644077</v>
      </c>
      <c r="BZ377" s="7">
        <f t="shared" si="1906"/>
        <v>1498.6127118644076</v>
      </c>
      <c r="CA377" s="7">
        <f t="shared" si="1907"/>
        <v>1458.4527118644075</v>
      </c>
      <c r="CB377" s="7">
        <f t="shared" si="1908"/>
        <v>1418.2927118644075</v>
      </c>
      <c r="CC377" s="7">
        <f t="shared" si="1909"/>
        <v>1378.1327118644074</v>
      </c>
      <c r="CD377" s="7">
        <f t="shared" si="1910"/>
        <v>1337.9727118644073</v>
      </c>
      <c r="CE377" s="7">
        <f t="shared" si="1911"/>
        <v>1297.8127118644072</v>
      </c>
      <c r="CF377" s="7">
        <f t="shared" si="1912"/>
        <v>1257.6527118644071</v>
      </c>
      <c r="CG377" s="7">
        <f t="shared" si="1913"/>
        <v>1217.4927118644071</v>
      </c>
      <c r="CH377" s="7">
        <f t="shared" si="1914"/>
        <v>1177.332711864407</v>
      </c>
      <c r="CI377" s="7">
        <f t="shared" si="1915"/>
        <v>1137.1727118644069</v>
      </c>
      <c r="CJ377" s="7">
        <f t="shared" si="1916"/>
        <v>1097.0127118644068</v>
      </c>
      <c r="CK377" s="236">
        <f t="shared" si="1855"/>
        <v>29.435399661016959</v>
      </c>
      <c r="CL377" s="7">
        <v>40.159999999999997</v>
      </c>
      <c r="CM377" s="39">
        <f>CL377*12</f>
        <v>481.91999999999996</v>
      </c>
      <c r="CN377" s="7">
        <f>CJ377-CL377</f>
        <v>1056.8527118644067</v>
      </c>
      <c r="CO377" s="7">
        <f t="shared" si="1917"/>
        <v>1016.6927118644068</v>
      </c>
      <c r="CP377" s="7">
        <f t="shared" si="1918"/>
        <v>976.53271186440679</v>
      </c>
      <c r="CQ377" s="7">
        <f t="shared" si="1919"/>
        <v>936.37271186440682</v>
      </c>
      <c r="CR377" s="7">
        <f t="shared" si="1920"/>
        <v>896.21271186440686</v>
      </c>
      <c r="CS377" s="7">
        <f t="shared" si="1921"/>
        <v>856.05271186440689</v>
      </c>
      <c r="CT377" s="7">
        <f t="shared" si="1922"/>
        <v>815.89271186440692</v>
      </c>
      <c r="CU377" s="7">
        <f t="shared" si="1923"/>
        <v>775.73271186440695</v>
      </c>
      <c r="CV377" s="7">
        <f t="shared" si="1924"/>
        <v>735.57271186440698</v>
      </c>
      <c r="CW377" s="7">
        <f t="shared" si="1925"/>
        <v>695.41271186440702</v>
      </c>
      <c r="CX377" s="7">
        <f t="shared" si="1926"/>
        <v>655.25271186440705</v>
      </c>
      <c r="CY377" s="7">
        <f t="shared" si="1927"/>
        <v>615.09271186440708</v>
      </c>
      <c r="CZ377" s="236">
        <f t="shared" si="1856"/>
        <v>18.83315966101695</v>
      </c>
    </row>
    <row r="378" spans="1:104" x14ac:dyDescent="0.2">
      <c r="A378" s="6" t="str">
        <f>'[1]2021 УГРЦТ'!A381</f>
        <v>ТП №21 ул Хатанзейского  1967г.</v>
      </c>
      <c r="B378" t="str">
        <f>'[1]2021 УГРЦТ'!B381</f>
        <v>00000541</v>
      </c>
      <c r="C378" t="str">
        <f>'[1]2021 УГРЦТ'!C381</f>
        <v>ПЕРЕДАЧА</v>
      </c>
      <c r="D378" t="str">
        <f>'[1]2021 УГРЦТ'!D381</f>
        <v>Здания</v>
      </c>
      <c r="E378" t="str">
        <f>'[1]2021 УГРЦТ'!E381</f>
        <v>31.01.1967</v>
      </c>
      <c r="F378" t="str">
        <f>'[1]2021 УГРЦТ'!F381</f>
        <v>Цех электрических сетей</v>
      </c>
      <c r="G378">
        <f>'[1]2021 УГРЦТ'!AC381</f>
        <v>708</v>
      </c>
      <c r="H378" s="7">
        <f>'[1]2021 УГРЦТ'!X381</f>
        <v>110115</v>
      </c>
      <c r="I378" s="7">
        <f>'[1]2021 УГРЦТ'!Y381</f>
        <v>81608.569999999992</v>
      </c>
      <c r="J378" s="7">
        <f>'[1]2021 УГРЦТ'!Z381</f>
        <v>28506.430000000008</v>
      </c>
      <c r="K378" s="8">
        <v>1</v>
      </c>
      <c r="L378" s="7">
        <v>581.7600000000001</v>
      </c>
      <c r="M378" s="7"/>
      <c r="N378" s="7">
        <f t="shared" si="1814"/>
        <v>6981.1200000000008</v>
      </c>
      <c r="O378" s="7">
        <f t="shared" si="1612"/>
        <v>27924.670000000009</v>
      </c>
      <c r="P378" s="7">
        <f t="shared" si="1928"/>
        <v>27342.910000000011</v>
      </c>
      <c r="Q378" s="7">
        <f t="shared" si="1928"/>
        <v>26761.150000000012</v>
      </c>
      <c r="R378" s="7">
        <f t="shared" si="1928"/>
        <v>26179.390000000014</v>
      </c>
      <c r="S378" s="7">
        <f t="shared" si="1928"/>
        <v>25597.630000000016</v>
      </c>
      <c r="T378" s="7">
        <f t="shared" si="1928"/>
        <v>25015.870000000017</v>
      </c>
      <c r="U378" s="7">
        <f t="shared" si="1928"/>
        <v>24434.110000000019</v>
      </c>
      <c r="V378" s="7">
        <f t="shared" si="1928"/>
        <v>23852.35000000002</v>
      </c>
      <c r="W378" s="7">
        <f t="shared" si="1928"/>
        <v>23270.590000000022</v>
      </c>
      <c r="X378" s="7">
        <f t="shared" si="1928"/>
        <v>22688.830000000024</v>
      </c>
      <c r="Y378" s="7">
        <f t="shared" si="1928"/>
        <v>22107.070000000025</v>
      </c>
      <c r="Z378" s="7">
        <f t="shared" si="1928"/>
        <v>21525.310000000027</v>
      </c>
      <c r="AA378" s="7">
        <f t="shared" si="1853"/>
        <v>550.34914000000038</v>
      </c>
      <c r="AB378" s="7"/>
      <c r="AC378" s="7">
        <f t="shared" si="1613"/>
        <v>6981.1200000000008</v>
      </c>
      <c r="AD378" s="7">
        <f t="shared" si="1614"/>
        <v>20943.550000000028</v>
      </c>
      <c r="AE378" s="7">
        <f t="shared" si="1817"/>
        <v>20361.79000000003</v>
      </c>
      <c r="AF378" s="7">
        <f t="shared" si="1817"/>
        <v>19780.030000000032</v>
      </c>
      <c r="AG378" s="7">
        <f t="shared" si="1817"/>
        <v>19198.270000000033</v>
      </c>
      <c r="AH378" s="7">
        <f t="shared" si="1817"/>
        <v>18616.510000000035</v>
      </c>
      <c r="AI378" s="7">
        <f t="shared" si="1817"/>
        <v>18034.750000000036</v>
      </c>
      <c r="AJ378" s="7">
        <f t="shared" si="1817"/>
        <v>17452.990000000038</v>
      </c>
      <c r="AK378" s="7">
        <f t="shared" si="1817"/>
        <v>16871.23000000004</v>
      </c>
      <c r="AL378" s="7">
        <f t="shared" si="1817"/>
        <v>16289.470000000039</v>
      </c>
      <c r="AM378" s="7">
        <f t="shared" si="1817"/>
        <v>15707.710000000039</v>
      </c>
      <c r="AN378" s="7">
        <f t="shared" si="1817"/>
        <v>15125.950000000039</v>
      </c>
      <c r="AO378" s="7">
        <f t="shared" si="1817"/>
        <v>14544.190000000039</v>
      </c>
      <c r="AP378" s="222">
        <f t="shared" si="1857"/>
        <v>396.76450000000079</v>
      </c>
      <c r="AQ378" s="7">
        <v>581.7600000000001</v>
      </c>
      <c r="AR378" s="7">
        <f t="shared" si="1615"/>
        <v>581.76000000000022</v>
      </c>
      <c r="AS378" s="7">
        <f t="shared" si="1616"/>
        <v>0</v>
      </c>
      <c r="AT378" s="7">
        <f t="shared" si="1858"/>
        <v>6981.1200000000008</v>
      </c>
      <c r="AU378" s="7">
        <f t="shared" si="1859"/>
        <v>13962.430000000038</v>
      </c>
      <c r="AV378" s="7">
        <f t="shared" si="1860"/>
        <v>13380.670000000038</v>
      </c>
      <c r="AW378" s="7">
        <f t="shared" si="1860"/>
        <v>12798.910000000038</v>
      </c>
      <c r="AX378" s="7">
        <f t="shared" si="1860"/>
        <v>12217.150000000038</v>
      </c>
      <c r="AY378" s="7">
        <f t="shared" si="1860"/>
        <v>11635.390000000038</v>
      </c>
      <c r="AZ378" s="7">
        <f t="shared" si="1860"/>
        <v>11053.630000000037</v>
      </c>
      <c r="BA378" s="7">
        <f t="shared" si="1860"/>
        <v>10471.870000000037</v>
      </c>
      <c r="BB378" s="7">
        <f t="shared" si="1860"/>
        <v>9890.110000000037</v>
      </c>
      <c r="BC378" s="7">
        <f t="shared" si="1860"/>
        <v>9308.3500000000367</v>
      </c>
      <c r="BD378" s="7">
        <f t="shared" si="1860"/>
        <v>8726.5900000000365</v>
      </c>
      <c r="BE378" s="7">
        <f t="shared" si="1860"/>
        <v>8144.8300000000363</v>
      </c>
      <c r="BF378" s="7">
        <f t="shared" si="1860"/>
        <v>7563.0700000000361</v>
      </c>
      <c r="BG378" s="236">
        <f t="shared" si="1598"/>
        <v>243.17986000000076</v>
      </c>
      <c r="BH378" s="7">
        <v>581.7600000000001</v>
      </c>
      <c r="BI378" s="39">
        <f t="shared" si="1894"/>
        <v>6981.1200000000008</v>
      </c>
      <c r="BJ378" s="7">
        <f t="shared" si="1895"/>
        <v>6981.3100000000359</v>
      </c>
      <c r="BK378" s="7">
        <f t="shared" si="1861"/>
        <v>6399.5500000000357</v>
      </c>
      <c r="BL378" s="7">
        <f t="shared" si="1862"/>
        <v>5817.7900000000354</v>
      </c>
      <c r="BM378" s="7">
        <f t="shared" si="1896"/>
        <v>5236.0300000000352</v>
      </c>
      <c r="BN378" s="7">
        <f t="shared" si="1897"/>
        <v>4654.270000000035</v>
      </c>
      <c r="BO378" s="7">
        <f t="shared" si="1898"/>
        <v>4072.5100000000348</v>
      </c>
      <c r="BP378" s="7">
        <f t="shared" si="1899"/>
        <v>3490.7500000000346</v>
      </c>
      <c r="BQ378" s="7">
        <f t="shared" si="1900"/>
        <v>2908.9900000000343</v>
      </c>
      <c r="BR378" s="7">
        <f t="shared" si="1901"/>
        <v>2327.2300000000341</v>
      </c>
      <c r="BS378" s="7">
        <f t="shared" si="1902"/>
        <v>1745.4700000000339</v>
      </c>
      <c r="BT378" s="7">
        <f t="shared" si="1903"/>
        <v>1163.7100000000337</v>
      </c>
      <c r="BU378" s="7">
        <f t="shared" si="1904"/>
        <v>581.95000000003358</v>
      </c>
      <c r="BV378" s="236">
        <f t="shared" si="1854"/>
        <v>89.595220000000751</v>
      </c>
      <c r="BW378" s="7">
        <v>581.7600000000001</v>
      </c>
      <c r="BX378" s="39">
        <v>581.95000000000005</v>
      </c>
      <c r="BY378" s="7">
        <f t="shared" si="1905"/>
        <v>0.1900000000334785</v>
      </c>
      <c r="BZ378" s="7">
        <v>0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/>
      <c r="CI378" s="7"/>
      <c r="CJ378" s="7"/>
      <c r="CK378" s="236">
        <f t="shared" si="1855"/>
        <v>0.9851600000001135</v>
      </c>
      <c r="CL378" s="7">
        <v>581.7600000000001</v>
      </c>
      <c r="CM378" s="39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236">
        <f t="shared" si="1856"/>
        <v>0</v>
      </c>
    </row>
    <row r="379" spans="1:104" x14ac:dyDescent="0.2">
      <c r="A379" s="6" t="str">
        <f>'[1]2021 УГРЦТ'!A382</f>
        <v>ТП №22  пос Р/комб   ул Строительная  1992г.</v>
      </c>
      <c r="B379" t="str">
        <f>'[1]2021 УГРЦТ'!B382</f>
        <v>00000527</v>
      </c>
      <c r="C379" t="str">
        <f>'[1]2021 УГРЦТ'!C382</f>
        <v>ПЕРЕДАЧА</v>
      </c>
      <c r="D379" t="str">
        <f>'[1]2021 УГРЦТ'!D382</f>
        <v>Здания</v>
      </c>
      <c r="E379" t="str">
        <f>'[1]2021 УГРЦТ'!E382</f>
        <v>31.01.1992</v>
      </c>
      <c r="F379" t="str">
        <f>'[1]2021 УГРЦТ'!F382</f>
        <v>Цех электрических сетей</v>
      </c>
      <c r="G379">
        <f>'[1]2021 УГРЦТ'!AC382</f>
        <v>708</v>
      </c>
      <c r="H379" s="7">
        <f>'[1]2021 УГРЦТ'!X382</f>
        <v>58630</v>
      </c>
      <c r="I379" s="7">
        <f>'[1]2021 УГРЦТ'!Y382</f>
        <v>29138.278813559322</v>
      </c>
      <c r="J379" s="7">
        <f>'[1]2021 УГРЦТ'!Z382</f>
        <v>29491.721186440678</v>
      </c>
      <c r="K379" s="8">
        <v>1</v>
      </c>
      <c r="L379" s="7">
        <v>82.809999999999988</v>
      </c>
      <c r="M379" s="7"/>
      <c r="N379" s="7">
        <f t="shared" si="1814"/>
        <v>993.7199999999998</v>
      </c>
      <c r="O379" s="7">
        <f t="shared" si="1612"/>
        <v>29408.911186440677</v>
      </c>
      <c r="P379" s="7">
        <f t="shared" si="1928"/>
        <v>29326.101186440676</v>
      </c>
      <c r="Q379" s="7">
        <f t="shared" si="1928"/>
        <v>29243.291186440674</v>
      </c>
      <c r="R379" s="7">
        <f t="shared" si="1928"/>
        <v>29160.481186440673</v>
      </c>
      <c r="S379" s="7">
        <f t="shared" si="1928"/>
        <v>29077.671186440672</v>
      </c>
      <c r="T379" s="7">
        <f t="shared" si="1928"/>
        <v>28994.86118644067</v>
      </c>
      <c r="U379" s="7">
        <f t="shared" si="1928"/>
        <v>28912.051186440669</v>
      </c>
      <c r="V379" s="7">
        <f t="shared" si="1928"/>
        <v>28829.241186440668</v>
      </c>
      <c r="W379" s="7">
        <f t="shared" si="1928"/>
        <v>28746.431186440666</v>
      </c>
      <c r="X379" s="7">
        <f t="shared" si="1928"/>
        <v>28663.621186440665</v>
      </c>
      <c r="Y379" s="7">
        <f t="shared" si="1928"/>
        <v>28580.811186440664</v>
      </c>
      <c r="Z379" s="7">
        <f t="shared" si="1928"/>
        <v>28498.001186440662</v>
      </c>
      <c r="AA379" s="7">
        <f t="shared" si="1853"/>
        <v>637.88694610169466</v>
      </c>
      <c r="AB379" s="7"/>
      <c r="AC379" s="7">
        <f t="shared" si="1613"/>
        <v>993.7199999999998</v>
      </c>
      <c r="AD379" s="7">
        <f t="shared" si="1614"/>
        <v>28415.191186440661</v>
      </c>
      <c r="AE379" s="7">
        <f t="shared" si="1817"/>
        <v>28332.38118644066</v>
      </c>
      <c r="AF379" s="7">
        <f t="shared" si="1817"/>
        <v>28249.571186440658</v>
      </c>
      <c r="AG379" s="7">
        <f t="shared" si="1817"/>
        <v>28166.761186440657</v>
      </c>
      <c r="AH379" s="7">
        <f t="shared" si="1817"/>
        <v>28083.951186440656</v>
      </c>
      <c r="AI379" s="7">
        <f t="shared" si="1817"/>
        <v>28001.141186440655</v>
      </c>
      <c r="AJ379" s="7">
        <f t="shared" si="1817"/>
        <v>27918.331186440653</v>
      </c>
      <c r="AK379" s="7">
        <f t="shared" si="1817"/>
        <v>27835.521186440652</v>
      </c>
      <c r="AL379" s="7">
        <f t="shared" si="1817"/>
        <v>27752.711186440651</v>
      </c>
      <c r="AM379" s="7">
        <f t="shared" si="1817"/>
        <v>27669.901186440649</v>
      </c>
      <c r="AN379" s="7">
        <f t="shared" si="1817"/>
        <v>27587.091186440648</v>
      </c>
      <c r="AO379" s="7">
        <f t="shared" si="1817"/>
        <v>27504.281186440647</v>
      </c>
      <c r="AP379" s="222">
        <f t="shared" si="1857"/>
        <v>616.0251061016944</v>
      </c>
      <c r="AQ379" s="7">
        <v>82.809999999999988</v>
      </c>
      <c r="AR379" s="7">
        <f t="shared" si="1615"/>
        <v>82.81000000000131</v>
      </c>
      <c r="AS379" s="7">
        <f t="shared" si="1616"/>
        <v>1.3216094885137863E-12</v>
      </c>
      <c r="AT379" s="7">
        <f t="shared" si="1858"/>
        <v>993.7199999999998</v>
      </c>
      <c r="AU379" s="7">
        <f t="shared" si="1859"/>
        <v>27421.471186440645</v>
      </c>
      <c r="AV379" s="7">
        <f t="shared" si="1860"/>
        <v>27338.661186440644</v>
      </c>
      <c r="AW379" s="7">
        <f t="shared" si="1860"/>
        <v>27255.851186440643</v>
      </c>
      <c r="AX379" s="7">
        <f t="shared" si="1860"/>
        <v>27173.041186440641</v>
      </c>
      <c r="AY379" s="7">
        <f t="shared" si="1860"/>
        <v>27090.23118644064</v>
      </c>
      <c r="AZ379" s="7">
        <f t="shared" si="1860"/>
        <v>27007.421186440639</v>
      </c>
      <c r="BA379" s="7">
        <f t="shared" si="1860"/>
        <v>26924.611186440638</v>
      </c>
      <c r="BB379" s="7">
        <f t="shared" si="1860"/>
        <v>26841.801186440636</v>
      </c>
      <c r="BC379" s="7">
        <f t="shared" si="1860"/>
        <v>26758.991186440635</v>
      </c>
      <c r="BD379" s="7">
        <f t="shared" si="1860"/>
        <v>26676.181186440634</v>
      </c>
      <c r="BE379" s="7">
        <f t="shared" si="1860"/>
        <v>26593.371186440632</v>
      </c>
      <c r="BF379" s="7">
        <f t="shared" si="1860"/>
        <v>26510.561186440631</v>
      </c>
      <c r="BG379" s="236">
        <f t="shared" si="1598"/>
        <v>594.16326610169415</v>
      </c>
      <c r="BH379" s="7">
        <v>82.809999999999988</v>
      </c>
      <c r="BI379" s="39">
        <f t="shared" si="1894"/>
        <v>993.7199999999998</v>
      </c>
      <c r="BJ379" s="7">
        <f t="shared" si="1895"/>
        <v>26427.75118644063</v>
      </c>
      <c r="BK379" s="7">
        <f t="shared" si="1861"/>
        <v>26344.941186440628</v>
      </c>
      <c r="BL379" s="7">
        <f t="shared" si="1862"/>
        <v>26262.131186440627</v>
      </c>
      <c r="BM379" s="7">
        <f t="shared" si="1896"/>
        <v>26179.321186440626</v>
      </c>
      <c r="BN379" s="7">
        <f t="shared" si="1897"/>
        <v>26096.511186440624</v>
      </c>
      <c r="BO379" s="7">
        <f t="shared" si="1898"/>
        <v>26013.701186440623</v>
      </c>
      <c r="BP379" s="7">
        <f t="shared" si="1899"/>
        <v>25930.891186440622</v>
      </c>
      <c r="BQ379" s="7">
        <f t="shared" si="1900"/>
        <v>25848.081186440621</v>
      </c>
      <c r="BR379" s="7">
        <f t="shared" si="1901"/>
        <v>25765.271186440619</v>
      </c>
      <c r="BS379" s="7">
        <f t="shared" si="1902"/>
        <v>25682.461186440618</v>
      </c>
      <c r="BT379" s="7">
        <f t="shared" si="1903"/>
        <v>25599.651186440617</v>
      </c>
      <c r="BU379" s="7">
        <f t="shared" si="1904"/>
        <v>25516.841186440615</v>
      </c>
      <c r="BV379" s="236">
        <f t="shared" si="1854"/>
        <v>572.30142610169378</v>
      </c>
      <c r="BW379" s="7">
        <v>82.809999999999988</v>
      </c>
      <c r="BX379" s="39">
        <f>BW379*12</f>
        <v>993.7199999999998</v>
      </c>
      <c r="BY379" s="7">
        <f t="shared" si="1905"/>
        <v>25434.031186440614</v>
      </c>
      <c r="BZ379" s="7">
        <f t="shared" si="1906"/>
        <v>25351.221186440613</v>
      </c>
      <c r="CA379" s="7">
        <f t="shared" si="1907"/>
        <v>25268.411186440611</v>
      </c>
      <c r="CB379" s="7">
        <f t="shared" si="1908"/>
        <v>25185.60118644061</v>
      </c>
      <c r="CC379" s="7">
        <f t="shared" si="1909"/>
        <v>25102.791186440609</v>
      </c>
      <c r="CD379" s="7">
        <f t="shared" si="1910"/>
        <v>25019.981186440607</v>
      </c>
      <c r="CE379" s="7">
        <f t="shared" si="1911"/>
        <v>24937.171186440606</v>
      </c>
      <c r="CF379" s="7">
        <f t="shared" si="1912"/>
        <v>24854.361186440605</v>
      </c>
      <c r="CG379" s="7">
        <f t="shared" si="1913"/>
        <v>24771.551186440603</v>
      </c>
      <c r="CH379" s="7">
        <f t="shared" si="1914"/>
        <v>24688.741186440602</v>
      </c>
      <c r="CI379" s="7">
        <f t="shared" si="1915"/>
        <v>24605.931186440601</v>
      </c>
      <c r="CJ379" s="7">
        <f t="shared" si="1916"/>
        <v>24523.1211864406</v>
      </c>
      <c r="CK379" s="236">
        <f t="shared" si="1855"/>
        <v>550.43958610169329</v>
      </c>
      <c r="CL379" s="7">
        <v>82.809999999999988</v>
      </c>
      <c r="CM379" s="39">
        <f>CL379*12</f>
        <v>993.7199999999998</v>
      </c>
      <c r="CN379" s="7">
        <f>CJ379-CL379</f>
        <v>24440.311186440598</v>
      </c>
      <c r="CO379" s="7">
        <f t="shared" ref="CO379" si="1929">CN379-$L379</f>
        <v>24357.501186440597</v>
      </c>
      <c r="CP379" s="7">
        <f t="shared" ref="CP379" si="1930">CO379-$L379</f>
        <v>24274.691186440596</v>
      </c>
      <c r="CQ379" s="7">
        <f t="shared" ref="CQ379" si="1931">CP379-$L379</f>
        <v>24191.881186440594</v>
      </c>
      <c r="CR379" s="7">
        <f t="shared" ref="CR379" si="1932">CQ379-$L379</f>
        <v>24109.071186440593</v>
      </c>
      <c r="CS379" s="7">
        <f t="shared" ref="CS379" si="1933">CR379-$L379</f>
        <v>24026.261186440592</v>
      </c>
      <c r="CT379" s="7">
        <f t="shared" ref="CT379" si="1934">CS379-$L379</f>
        <v>23943.45118644059</v>
      </c>
      <c r="CU379" s="7">
        <f t="shared" ref="CU379" si="1935">CT379-$L379</f>
        <v>23860.641186440589</v>
      </c>
      <c r="CV379" s="7">
        <f t="shared" ref="CV379" si="1936">CU379-$L379</f>
        <v>23777.831186440588</v>
      </c>
      <c r="CW379" s="7">
        <f t="shared" ref="CW379" si="1937">CV379-$L379</f>
        <v>23695.021186440586</v>
      </c>
      <c r="CX379" s="7">
        <f t="shared" ref="CX379" si="1938">CW379-$L379</f>
        <v>23612.211186440585</v>
      </c>
      <c r="CY379" s="7">
        <f t="shared" ref="CY379" si="1939">CX379-$L379</f>
        <v>23529.401186440584</v>
      </c>
      <c r="CZ379" s="236">
        <f t="shared" si="1856"/>
        <v>528.57774610169304</v>
      </c>
    </row>
    <row r="380" spans="1:104" x14ac:dyDescent="0.2">
      <c r="A380" s="6" t="str">
        <f>'[1]2021 УГРЦТ'!A383</f>
        <v>ТП №23 район "Тубдиспансер" 2008г</v>
      </c>
      <c r="B380" t="str">
        <f>'[1]2021 УГРЦТ'!B383</f>
        <v>00001091</v>
      </c>
      <c r="C380" t="str">
        <f>'[1]2021 УГРЦТ'!C383</f>
        <v>ПЕРЕДАЧА</v>
      </c>
      <c r="D380" t="str">
        <f>'[1]2021 УГРЦТ'!D383</f>
        <v>Сооружения</v>
      </c>
      <c r="E380" t="str">
        <f>'[1]2021 УГРЦТ'!E383</f>
        <v>30.09.2008</v>
      </c>
      <c r="F380" t="str">
        <f>'[1]2021 УГРЦТ'!F383</f>
        <v>Цех электрических сетей</v>
      </c>
      <c r="G380">
        <f>'[1]2021 УГРЦТ'!AC383</f>
        <v>180</v>
      </c>
      <c r="H380" s="7">
        <f>'[1]2021 УГРЦТ'!X383</f>
        <v>365828.44</v>
      </c>
      <c r="I380" s="7">
        <f>'[1]2021 УГРЦТ'!Y383</f>
        <v>323148.42266666668</v>
      </c>
      <c r="J380" s="7">
        <f>'[1]2021 УГРЦТ'!Z383</f>
        <v>42680.017333333322</v>
      </c>
      <c r="K380" s="8">
        <v>1</v>
      </c>
      <c r="L380" s="7">
        <v>2032.3800000000008</v>
      </c>
      <c r="M380" s="7"/>
      <c r="N380" s="7">
        <f t="shared" si="1814"/>
        <v>24388.560000000009</v>
      </c>
      <c r="O380" s="7">
        <f t="shared" si="1612"/>
        <v>40647.637333333325</v>
      </c>
      <c r="P380" s="7">
        <f t="shared" si="1928"/>
        <v>38615.257333333328</v>
      </c>
      <c r="Q380" s="7">
        <f t="shared" si="1928"/>
        <v>36582.87733333333</v>
      </c>
      <c r="R380" s="7">
        <f t="shared" si="1928"/>
        <v>34550.497333333333</v>
      </c>
      <c r="S380" s="7">
        <f t="shared" si="1928"/>
        <v>32518.117333333332</v>
      </c>
      <c r="T380" s="7">
        <f t="shared" si="1928"/>
        <v>30485.737333333331</v>
      </c>
      <c r="U380" s="7">
        <f t="shared" si="1928"/>
        <v>28453.35733333333</v>
      </c>
      <c r="V380" s="7">
        <f t="shared" si="1928"/>
        <v>26420.977333333329</v>
      </c>
      <c r="W380" s="7">
        <f t="shared" si="1928"/>
        <v>24388.597333333328</v>
      </c>
      <c r="X380" s="7">
        <f t="shared" si="1928"/>
        <v>22356.217333333327</v>
      </c>
      <c r="Y380" s="7">
        <f t="shared" si="1928"/>
        <v>20323.837333333326</v>
      </c>
      <c r="Z380" s="7">
        <f t="shared" si="1928"/>
        <v>18291.457333333325</v>
      </c>
      <c r="AA380" s="7">
        <f t="shared" si="1853"/>
        <v>670.68622133333326</v>
      </c>
      <c r="AB380" s="7"/>
      <c r="AC380" s="7">
        <f>L380*9+0.04</f>
        <v>18291.460000000006</v>
      </c>
      <c r="AD380" s="7">
        <f t="shared" si="1614"/>
        <v>16259.077333333324</v>
      </c>
      <c r="AE380" s="7">
        <f t="shared" ref="AE380:AO395" si="1940">AD380-$L380</f>
        <v>14226.697333333323</v>
      </c>
      <c r="AF380" s="7">
        <f t="shared" si="1940"/>
        <v>12194.317333333322</v>
      </c>
      <c r="AG380" s="7">
        <f t="shared" si="1940"/>
        <v>10161.937333333321</v>
      </c>
      <c r="AH380" s="7">
        <f t="shared" si="1940"/>
        <v>8129.5573333333195</v>
      </c>
      <c r="AI380" s="7">
        <f t="shared" si="1940"/>
        <v>6097.1773333333185</v>
      </c>
      <c r="AJ380" s="7">
        <f t="shared" si="1940"/>
        <v>4064.7973333333175</v>
      </c>
      <c r="AK380" s="7">
        <f t="shared" si="1940"/>
        <v>2032.4173333333167</v>
      </c>
      <c r="AL380" s="7">
        <f t="shared" si="1940"/>
        <v>3.733333331592803E-2</v>
      </c>
      <c r="AM380" s="7"/>
      <c r="AN380" s="7"/>
      <c r="AO380" s="7"/>
      <c r="AP380" s="222">
        <f t="shared" si="1857"/>
        <v>154.77418564102544</v>
      </c>
      <c r="AQ380" s="7">
        <v>0</v>
      </c>
      <c r="AR380" s="7">
        <f t="shared" si="1615"/>
        <v>0</v>
      </c>
      <c r="AS380" s="7">
        <f t="shared" si="1616"/>
        <v>0</v>
      </c>
      <c r="BG380" s="236">
        <f t="shared" si="1598"/>
        <v>0</v>
      </c>
      <c r="BH380" s="7">
        <v>0</v>
      </c>
      <c r="BV380" s="236">
        <f t="shared" si="1854"/>
        <v>0</v>
      </c>
      <c r="BW380" s="7">
        <v>0</v>
      </c>
      <c r="CK380" s="236">
        <f t="shared" si="1855"/>
        <v>0</v>
      </c>
      <c r="CL380" s="7">
        <v>0</v>
      </c>
      <c r="CZ380" s="236">
        <f t="shared" si="1856"/>
        <v>0</v>
      </c>
    </row>
    <row r="381" spans="1:104" x14ac:dyDescent="0.2">
      <c r="A381" s="6" t="str">
        <f>'[1]2021 УГРЦТ'!A384</f>
        <v>ТП №24   ул 60 лет Октября 3а  1975г.</v>
      </c>
      <c r="B381" t="str">
        <f>'[1]2021 УГРЦТ'!B384</f>
        <v>00000542</v>
      </c>
      <c r="C381" t="str">
        <f>'[1]2021 УГРЦТ'!C384</f>
        <v>ПЕРЕДАЧА</v>
      </c>
      <c r="D381" t="str">
        <f>'[1]2021 УГРЦТ'!D384</f>
        <v>Здания</v>
      </c>
      <c r="E381" t="str">
        <f>'[1]2021 УГРЦТ'!E384</f>
        <v>31.01.1975</v>
      </c>
      <c r="F381" t="str">
        <f>'[1]2021 УГРЦТ'!F384</f>
        <v>Цех электрических сетей</v>
      </c>
      <c r="G381">
        <f>'[1]2021 УГРЦТ'!AC384</f>
        <v>708</v>
      </c>
      <c r="H381" s="7">
        <f>'[1]2021 УГРЦТ'!X384</f>
        <v>57954.52</v>
      </c>
      <c r="I381" s="7">
        <f>'[1]2021 УГРЦТ'!Y384</f>
        <v>37170.68</v>
      </c>
      <c r="J381" s="7">
        <f>'[1]2021 УГРЦТ'!Z384</f>
        <v>20783.839999999997</v>
      </c>
      <c r="K381" s="8">
        <v>1</v>
      </c>
      <c r="L381" s="7">
        <v>143.68000000000004</v>
      </c>
      <c r="M381" s="7"/>
      <c r="N381" s="7">
        <f t="shared" si="1814"/>
        <v>1724.1600000000003</v>
      </c>
      <c r="O381" s="7">
        <f t="shared" si="1612"/>
        <v>20640.159999999996</v>
      </c>
      <c r="P381" s="7">
        <f t="shared" si="1928"/>
        <v>20496.479999999996</v>
      </c>
      <c r="Q381" s="7">
        <f t="shared" si="1928"/>
        <v>20352.799999999996</v>
      </c>
      <c r="R381" s="7">
        <f t="shared" si="1928"/>
        <v>20209.119999999995</v>
      </c>
      <c r="S381" s="7">
        <f t="shared" si="1928"/>
        <v>20065.439999999995</v>
      </c>
      <c r="T381" s="7">
        <f t="shared" si="1928"/>
        <v>19921.759999999995</v>
      </c>
      <c r="U381" s="7">
        <f t="shared" si="1928"/>
        <v>19778.079999999994</v>
      </c>
      <c r="V381" s="7">
        <f t="shared" si="1928"/>
        <v>19634.399999999994</v>
      </c>
      <c r="W381" s="7">
        <f t="shared" si="1928"/>
        <v>19490.719999999994</v>
      </c>
      <c r="X381" s="7">
        <f t="shared" si="1928"/>
        <v>19347.039999999994</v>
      </c>
      <c r="Y381" s="7">
        <f t="shared" si="1928"/>
        <v>19203.359999999993</v>
      </c>
      <c r="Z381" s="7">
        <f t="shared" si="1928"/>
        <v>19059.679999999993</v>
      </c>
      <c r="AA381" s="7">
        <f t="shared" si="1853"/>
        <v>438.27871999999985</v>
      </c>
      <c r="AB381" s="7"/>
      <c r="AC381" s="7">
        <f t="shared" si="1613"/>
        <v>1724.1600000000003</v>
      </c>
      <c r="AD381" s="7">
        <f t="shared" si="1614"/>
        <v>18915.999999999993</v>
      </c>
      <c r="AE381" s="7">
        <f t="shared" si="1940"/>
        <v>18772.319999999992</v>
      </c>
      <c r="AF381" s="7">
        <f t="shared" si="1940"/>
        <v>18628.639999999992</v>
      </c>
      <c r="AG381" s="7">
        <f t="shared" si="1940"/>
        <v>18484.959999999992</v>
      </c>
      <c r="AH381" s="7">
        <f t="shared" si="1940"/>
        <v>18341.279999999992</v>
      </c>
      <c r="AI381" s="7">
        <f t="shared" si="1940"/>
        <v>18197.599999999991</v>
      </c>
      <c r="AJ381" s="7">
        <f t="shared" si="1940"/>
        <v>18053.919999999991</v>
      </c>
      <c r="AK381" s="7">
        <f t="shared" si="1940"/>
        <v>17910.239999999991</v>
      </c>
      <c r="AL381" s="7">
        <f t="shared" si="1940"/>
        <v>17766.55999999999</v>
      </c>
      <c r="AM381" s="7">
        <f t="shared" si="1940"/>
        <v>17622.87999999999</v>
      </c>
      <c r="AN381" s="7">
        <f t="shared" si="1940"/>
        <v>17479.19999999999</v>
      </c>
      <c r="AO381" s="7">
        <f t="shared" si="1940"/>
        <v>17335.51999999999</v>
      </c>
      <c r="AP381" s="222">
        <f t="shared" si="1857"/>
        <v>400.34719999999976</v>
      </c>
      <c r="AQ381" s="7">
        <v>143.68000000000004</v>
      </c>
      <c r="AR381" s="7">
        <f t="shared" si="1615"/>
        <v>143.68000000000029</v>
      </c>
      <c r="AS381" s="7">
        <f t="shared" si="1616"/>
        <v>2.5579538487363607E-13</v>
      </c>
      <c r="AT381" s="7">
        <f t="shared" ref="AT381:AT399" si="1941">L381*12</f>
        <v>1724.1600000000003</v>
      </c>
      <c r="AU381" s="7">
        <f t="shared" ref="AU381:AU399" si="1942">AO381-$L381</f>
        <v>17191.839999999989</v>
      </c>
      <c r="AV381" s="7">
        <f t="shared" ref="AV381:BF396" si="1943">AU381-$L381</f>
        <v>17048.159999999989</v>
      </c>
      <c r="AW381" s="7">
        <f t="shared" si="1943"/>
        <v>16904.479999999989</v>
      </c>
      <c r="AX381" s="7">
        <f t="shared" si="1943"/>
        <v>16760.799999999988</v>
      </c>
      <c r="AY381" s="7">
        <f t="shared" si="1943"/>
        <v>16617.119999999988</v>
      </c>
      <c r="AZ381" s="7">
        <f t="shared" si="1943"/>
        <v>16473.439999999988</v>
      </c>
      <c r="BA381" s="7">
        <f t="shared" si="1943"/>
        <v>16329.759999999987</v>
      </c>
      <c r="BB381" s="7">
        <f t="shared" si="1943"/>
        <v>16186.079999999987</v>
      </c>
      <c r="BC381" s="7">
        <f t="shared" si="1943"/>
        <v>16042.399999999987</v>
      </c>
      <c r="BD381" s="7">
        <f t="shared" si="1943"/>
        <v>15898.719999999987</v>
      </c>
      <c r="BE381" s="7">
        <f t="shared" si="1943"/>
        <v>15755.039999999986</v>
      </c>
      <c r="BF381" s="7">
        <f t="shared" si="1943"/>
        <v>15611.359999999986</v>
      </c>
      <c r="BG381" s="236">
        <f t="shared" si="1598"/>
        <v>362.41567999999972</v>
      </c>
      <c r="BH381" s="7">
        <v>143.68000000000004</v>
      </c>
      <c r="BI381" s="39">
        <f t="shared" ref="BI381:BI388" si="1944">BH381*12</f>
        <v>1724.1600000000003</v>
      </c>
      <c r="BJ381" s="7">
        <f t="shared" ref="BJ381:BJ388" si="1945">BF381-BH381</f>
        <v>15467.679999999986</v>
      </c>
      <c r="BK381" s="7">
        <f t="shared" ref="BK381:BK399" si="1946">BJ381-$L381</f>
        <v>15323.999999999985</v>
      </c>
      <c r="BL381" s="7">
        <f t="shared" ref="BL381:BL399" si="1947">BK381-$L381</f>
        <v>15180.319999999985</v>
      </c>
      <c r="BM381" s="7">
        <f t="shared" ref="BM381:BM399" si="1948">BL381-$L381</f>
        <v>15036.639999999985</v>
      </c>
      <c r="BN381" s="7">
        <f t="shared" ref="BN381:BN399" si="1949">BM381-$L381</f>
        <v>14892.959999999985</v>
      </c>
      <c r="BO381" s="7">
        <f t="shared" ref="BO381:BO399" si="1950">BN381-$L381</f>
        <v>14749.279999999984</v>
      </c>
      <c r="BP381" s="7">
        <f t="shared" ref="BP381:BP399" si="1951">BO381-$L381</f>
        <v>14605.599999999984</v>
      </c>
      <c r="BQ381" s="7">
        <f t="shared" ref="BQ381:BQ399" si="1952">BP381-$L381</f>
        <v>14461.919999999984</v>
      </c>
      <c r="BR381" s="7">
        <f t="shared" ref="BR381:BR399" si="1953">BQ381-$L381</f>
        <v>14318.239999999983</v>
      </c>
      <c r="BS381" s="7">
        <f t="shared" ref="BS381:BS388" si="1954">BR381-$L381</f>
        <v>14174.559999999983</v>
      </c>
      <c r="BT381" s="7">
        <f t="shared" ref="BT381:BT388" si="1955">BS381-$L381</f>
        <v>14030.879999999983</v>
      </c>
      <c r="BU381" s="7">
        <f t="shared" ref="BU381:BU388" si="1956">BT381-$L381</f>
        <v>13887.199999999983</v>
      </c>
      <c r="BV381" s="236">
        <f t="shared" si="1854"/>
        <v>324.48415999999958</v>
      </c>
      <c r="BW381" s="7">
        <v>143.68000000000004</v>
      </c>
      <c r="BX381" s="39">
        <f t="shared" ref="BX381:BX388" si="1957">BW381*12</f>
        <v>1724.1600000000003</v>
      </c>
      <c r="BY381" s="7">
        <f t="shared" ref="BY381:BY388" si="1958">BU381-BW381</f>
        <v>13743.519999999982</v>
      </c>
      <c r="BZ381" s="7">
        <f t="shared" ref="BZ381:BZ388" si="1959">BY381-$L381</f>
        <v>13599.839999999982</v>
      </c>
      <c r="CA381" s="7">
        <f t="shared" ref="CA381:CA388" si="1960">BZ381-$L381</f>
        <v>13456.159999999982</v>
      </c>
      <c r="CB381" s="7">
        <f t="shared" ref="CB381:CB388" si="1961">CA381-$L381</f>
        <v>13312.479999999981</v>
      </c>
      <c r="CC381" s="7">
        <f t="shared" ref="CC381:CC388" si="1962">CB381-$L381</f>
        <v>13168.799999999981</v>
      </c>
      <c r="CD381" s="7">
        <f t="shared" ref="CD381:CD388" si="1963">CC381-$L381</f>
        <v>13025.119999999981</v>
      </c>
      <c r="CE381" s="7">
        <f t="shared" ref="CE381:CE388" si="1964">CD381-$L381</f>
        <v>12881.439999999981</v>
      </c>
      <c r="CF381" s="7">
        <f t="shared" ref="CF381:CF388" si="1965">CE381-$L381</f>
        <v>12737.75999999998</v>
      </c>
      <c r="CG381" s="7">
        <f t="shared" ref="CG381:CG388" si="1966">CF381-$L381</f>
        <v>12594.07999999998</v>
      </c>
      <c r="CH381" s="7">
        <f t="shared" ref="CH381:CH388" si="1967">CG381-$L381</f>
        <v>12450.39999999998</v>
      </c>
      <c r="CI381" s="7">
        <f t="shared" ref="CI381:CI388" si="1968">CH381-$L381</f>
        <v>12306.719999999979</v>
      </c>
      <c r="CJ381" s="7">
        <f t="shared" ref="CJ381:CJ388" si="1969">CI381-$L381</f>
        <v>12163.039999999979</v>
      </c>
      <c r="CK381" s="236">
        <f t="shared" si="1855"/>
        <v>286.5526399999996</v>
      </c>
      <c r="CL381" s="7">
        <v>143.68000000000004</v>
      </c>
      <c r="CM381" s="39">
        <f t="shared" ref="CM381:CM388" si="1970">CL381*12</f>
        <v>1724.1600000000003</v>
      </c>
      <c r="CN381" s="7">
        <f t="shared" ref="CN381:CN388" si="1971">CJ381-CL381</f>
        <v>12019.359999999979</v>
      </c>
      <c r="CO381" s="7">
        <f t="shared" ref="CO381:CO388" si="1972">CN381-$L381</f>
        <v>11875.679999999978</v>
      </c>
      <c r="CP381" s="7">
        <f t="shared" ref="CP381:CP388" si="1973">CO381-$L381</f>
        <v>11731.999999999978</v>
      </c>
      <c r="CQ381" s="7">
        <f t="shared" ref="CQ381:CQ388" si="1974">CP381-$L381</f>
        <v>11588.319999999978</v>
      </c>
      <c r="CR381" s="7">
        <f t="shared" ref="CR381:CR388" si="1975">CQ381-$L381</f>
        <v>11444.639999999978</v>
      </c>
      <c r="CS381" s="7">
        <f t="shared" ref="CS381:CS388" si="1976">CR381-$L381</f>
        <v>11300.959999999977</v>
      </c>
      <c r="CT381" s="7">
        <f t="shared" ref="CT381:CT388" si="1977">CS381-$L381</f>
        <v>11157.279999999977</v>
      </c>
      <c r="CU381" s="7">
        <f t="shared" ref="CU381:CU388" si="1978">CT381-$L381</f>
        <v>11013.599999999977</v>
      </c>
      <c r="CV381" s="7">
        <f t="shared" ref="CV381:CV388" si="1979">CU381-$L381</f>
        <v>10869.919999999976</v>
      </c>
      <c r="CW381" s="7">
        <f t="shared" ref="CW381:CW388" si="1980">CV381-$L381</f>
        <v>10726.239999999976</v>
      </c>
      <c r="CX381" s="7">
        <f t="shared" ref="CX381:CX388" si="1981">CW381-$L381</f>
        <v>10582.559999999976</v>
      </c>
      <c r="CY381" s="7">
        <f t="shared" ref="CY381:CY388" si="1982">CX381-$L381</f>
        <v>10438.879999999976</v>
      </c>
      <c r="CZ381" s="236">
        <f t="shared" si="1856"/>
        <v>248.62111999999954</v>
      </c>
    </row>
    <row r="382" spans="1:104" x14ac:dyDescent="0.2">
      <c r="A382" s="6" t="str">
        <f>'[1]2021 УГРЦТ'!A385</f>
        <v>ТП №25 Н-Марское АТП  1978г.</v>
      </c>
      <c r="B382" t="str">
        <f>'[1]2021 УГРЦТ'!B385</f>
        <v>00000543</v>
      </c>
      <c r="C382" t="str">
        <f>'[1]2021 УГРЦТ'!C385</f>
        <v>ПЕРЕДАЧА</v>
      </c>
      <c r="D382" t="str">
        <f>'[1]2021 УГРЦТ'!D385</f>
        <v>Здания</v>
      </c>
      <c r="E382" t="str">
        <f>'[1]2021 УГРЦТ'!E385</f>
        <v>31.01.1978</v>
      </c>
      <c r="F382" t="str">
        <f>'[1]2021 УГРЦТ'!F385</f>
        <v>Цех электрических сетей</v>
      </c>
      <c r="G382">
        <f>'[1]2021 УГРЦТ'!AC385</f>
        <v>708</v>
      </c>
      <c r="H382" s="7">
        <f>'[1]2021 УГРЦТ'!X385</f>
        <v>28452</v>
      </c>
      <c r="I382" s="7">
        <f>'[1]2021 УГРЦТ'!Y385</f>
        <v>20962.387288135596</v>
      </c>
      <c r="J382" s="7">
        <f>'[1]2021 УГРЦТ'!Z385</f>
        <v>7489.6127118644035</v>
      </c>
      <c r="K382" s="8">
        <v>1</v>
      </c>
      <c r="L382" s="7">
        <v>40.18</v>
      </c>
      <c r="M382" s="7"/>
      <c r="N382" s="7">
        <f t="shared" si="1814"/>
        <v>482.15999999999997</v>
      </c>
      <c r="O382" s="7">
        <f t="shared" si="1612"/>
        <v>7449.4327118644032</v>
      </c>
      <c r="P382" s="7">
        <f t="shared" si="1928"/>
        <v>7409.252711864403</v>
      </c>
      <c r="Q382" s="7">
        <f t="shared" si="1928"/>
        <v>7369.0727118644027</v>
      </c>
      <c r="R382" s="7">
        <f t="shared" si="1928"/>
        <v>7328.8927118644024</v>
      </c>
      <c r="S382" s="7">
        <f t="shared" si="1928"/>
        <v>7288.7127118644021</v>
      </c>
      <c r="T382" s="7">
        <f t="shared" si="1928"/>
        <v>7248.5327118644018</v>
      </c>
      <c r="U382" s="7">
        <f t="shared" si="1928"/>
        <v>7208.3527118644015</v>
      </c>
      <c r="V382" s="7">
        <f t="shared" si="1928"/>
        <v>7168.1727118644012</v>
      </c>
      <c r="W382" s="7">
        <f t="shared" si="1928"/>
        <v>7127.9927118644009</v>
      </c>
      <c r="X382" s="7">
        <f t="shared" si="1928"/>
        <v>7087.8127118644006</v>
      </c>
      <c r="Y382" s="7">
        <f t="shared" si="1928"/>
        <v>7047.6327118644003</v>
      </c>
      <c r="Z382" s="7">
        <f t="shared" si="1928"/>
        <v>7007.4527118644</v>
      </c>
      <c r="AA382" s="7">
        <f t="shared" si="1853"/>
        <v>159.46771966101684</v>
      </c>
      <c r="AB382" s="7"/>
      <c r="AC382" s="7">
        <f t="shared" si="1613"/>
        <v>482.15999999999997</v>
      </c>
      <c r="AD382" s="7">
        <f t="shared" si="1614"/>
        <v>6967.2727118643998</v>
      </c>
      <c r="AE382" s="7">
        <f t="shared" si="1940"/>
        <v>6927.0927118643995</v>
      </c>
      <c r="AF382" s="7">
        <f t="shared" si="1940"/>
        <v>6886.9127118643992</v>
      </c>
      <c r="AG382" s="7">
        <f t="shared" si="1940"/>
        <v>6846.7327118643989</v>
      </c>
      <c r="AH382" s="7">
        <f t="shared" si="1940"/>
        <v>6806.5527118643986</v>
      </c>
      <c r="AI382" s="7">
        <f t="shared" si="1940"/>
        <v>6766.3727118643983</v>
      </c>
      <c r="AJ382" s="7">
        <f t="shared" si="1940"/>
        <v>6726.192711864398</v>
      </c>
      <c r="AK382" s="7">
        <f t="shared" si="1940"/>
        <v>6686.0127118643977</v>
      </c>
      <c r="AL382" s="7">
        <f t="shared" si="1940"/>
        <v>6645.8327118643974</v>
      </c>
      <c r="AM382" s="7">
        <f t="shared" si="1940"/>
        <v>6605.6527118643971</v>
      </c>
      <c r="AN382" s="7">
        <f t="shared" si="1940"/>
        <v>6565.4727118643968</v>
      </c>
      <c r="AO382" s="7">
        <f t="shared" si="1940"/>
        <v>6525.2927118643966</v>
      </c>
      <c r="AP382" s="222">
        <f t="shared" si="1857"/>
        <v>148.86019966101676</v>
      </c>
      <c r="AQ382" s="7">
        <v>40.18</v>
      </c>
      <c r="AR382" s="7">
        <f t="shared" si="1615"/>
        <v>40.180000000000291</v>
      </c>
      <c r="AS382" s="7">
        <f t="shared" si="1616"/>
        <v>2.9132252166164108E-13</v>
      </c>
      <c r="AT382" s="7">
        <f t="shared" si="1941"/>
        <v>482.15999999999997</v>
      </c>
      <c r="AU382" s="7">
        <f t="shared" si="1942"/>
        <v>6485.1127118643963</v>
      </c>
      <c r="AV382" s="7">
        <f t="shared" si="1943"/>
        <v>6444.932711864396</v>
      </c>
      <c r="AW382" s="7">
        <f t="shared" si="1943"/>
        <v>6404.7527118643957</v>
      </c>
      <c r="AX382" s="7">
        <f t="shared" si="1943"/>
        <v>6364.5727118643954</v>
      </c>
      <c r="AY382" s="7">
        <f t="shared" si="1943"/>
        <v>6324.3927118643951</v>
      </c>
      <c r="AZ382" s="7">
        <f t="shared" si="1943"/>
        <v>6284.2127118643948</v>
      </c>
      <c r="BA382" s="7">
        <f t="shared" si="1943"/>
        <v>6244.0327118643945</v>
      </c>
      <c r="BB382" s="7">
        <f t="shared" si="1943"/>
        <v>6203.8527118643942</v>
      </c>
      <c r="BC382" s="7">
        <f t="shared" si="1943"/>
        <v>6163.6727118643939</v>
      </c>
      <c r="BD382" s="7">
        <f t="shared" si="1943"/>
        <v>6123.4927118643936</v>
      </c>
      <c r="BE382" s="7">
        <f t="shared" si="1943"/>
        <v>6083.3127118643933</v>
      </c>
      <c r="BF382" s="7">
        <f t="shared" si="1943"/>
        <v>6043.1327118643931</v>
      </c>
      <c r="BG382" s="236">
        <f t="shared" si="1598"/>
        <v>138.25267966101669</v>
      </c>
      <c r="BH382" s="7">
        <v>40.18</v>
      </c>
      <c r="BI382" s="39">
        <f t="shared" si="1944"/>
        <v>482.15999999999997</v>
      </c>
      <c r="BJ382" s="7">
        <f t="shared" si="1945"/>
        <v>6002.9527118643928</v>
      </c>
      <c r="BK382" s="7">
        <f t="shared" si="1946"/>
        <v>5962.7727118643925</v>
      </c>
      <c r="BL382" s="7">
        <f t="shared" si="1947"/>
        <v>5922.5927118643922</v>
      </c>
      <c r="BM382" s="7">
        <f t="shared" si="1948"/>
        <v>5882.4127118643919</v>
      </c>
      <c r="BN382" s="7">
        <f t="shared" si="1949"/>
        <v>5842.2327118643916</v>
      </c>
      <c r="BO382" s="7">
        <f t="shared" si="1950"/>
        <v>5802.0527118643913</v>
      </c>
      <c r="BP382" s="7">
        <f t="shared" si="1951"/>
        <v>5761.872711864391</v>
      </c>
      <c r="BQ382" s="7">
        <f t="shared" si="1952"/>
        <v>5721.6927118643907</v>
      </c>
      <c r="BR382" s="7">
        <f t="shared" si="1953"/>
        <v>5681.5127118643904</v>
      </c>
      <c r="BS382" s="7">
        <f t="shared" si="1954"/>
        <v>5641.3327118643901</v>
      </c>
      <c r="BT382" s="7">
        <f t="shared" si="1955"/>
        <v>5601.1527118643899</v>
      </c>
      <c r="BU382" s="7">
        <f t="shared" si="1956"/>
        <v>5560.9727118643896</v>
      </c>
      <c r="BV382" s="236">
        <f t="shared" si="1854"/>
        <v>127.64515966101661</v>
      </c>
      <c r="BW382" s="7">
        <v>40.18</v>
      </c>
      <c r="BX382" s="39">
        <f t="shared" si="1957"/>
        <v>482.15999999999997</v>
      </c>
      <c r="BY382" s="7">
        <f t="shared" si="1958"/>
        <v>5520.7927118643893</v>
      </c>
      <c r="BZ382" s="7">
        <f t="shared" si="1959"/>
        <v>5480.612711864389</v>
      </c>
      <c r="CA382" s="7">
        <f t="shared" si="1960"/>
        <v>5440.4327118643887</v>
      </c>
      <c r="CB382" s="7">
        <f t="shared" si="1961"/>
        <v>5400.2527118643884</v>
      </c>
      <c r="CC382" s="7">
        <f t="shared" si="1962"/>
        <v>5360.0727118643881</v>
      </c>
      <c r="CD382" s="7">
        <f t="shared" si="1963"/>
        <v>5319.8927118643878</v>
      </c>
      <c r="CE382" s="7">
        <f t="shared" si="1964"/>
        <v>5279.7127118643875</v>
      </c>
      <c r="CF382" s="7">
        <f t="shared" si="1965"/>
        <v>5239.5327118643872</v>
      </c>
      <c r="CG382" s="7">
        <f t="shared" si="1966"/>
        <v>5199.3527118643869</v>
      </c>
      <c r="CH382" s="7">
        <f t="shared" si="1967"/>
        <v>5159.1727118643867</v>
      </c>
      <c r="CI382" s="7">
        <f t="shared" si="1968"/>
        <v>5118.9927118643864</v>
      </c>
      <c r="CJ382" s="7">
        <f t="shared" si="1969"/>
        <v>5078.8127118643861</v>
      </c>
      <c r="CK382" s="236">
        <f t="shared" si="1855"/>
        <v>117.03763966101653</v>
      </c>
      <c r="CL382" s="7">
        <v>40.18</v>
      </c>
      <c r="CM382" s="39">
        <f t="shared" si="1970"/>
        <v>482.15999999999997</v>
      </c>
      <c r="CN382" s="7">
        <f t="shared" si="1971"/>
        <v>5038.6327118643858</v>
      </c>
      <c r="CO382" s="7">
        <f t="shared" si="1972"/>
        <v>4998.4527118643855</v>
      </c>
      <c r="CP382" s="7">
        <f t="shared" si="1973"/>
        <v>4958.2727118643852</v>
      </c>
      <c r="CQ382" s="7">
        <f t="shared" si="1974"/>
        <v>4918.0927118643849</v>
      </c>
      <c r="CR382" s="7">
        <f t="shared" si="1975"/>
        <v>4877.9127118643846</v>
      </c>
      <c r="CS382" s="7">
        <f t="shared" si="1976"/>
        <v>4837.7327118643843</v>
      </c>
      <c r="CT382" s="7">
        <f t="shared" si="1977"/>
        <v>4797.552711864384</v>
      </c>
      <c r="CU382" s="7">
        <f t="shared" si="1978"/>
        <v>4757.3727118643837</v>
      </c>
      <c r="CV382" s="7">
        <f t="shared" si="1979"/>
        <v>4717.1927118643835</v>
      </c>
      <c r="CW382" s="7">
        <f t="shared" si="1980"/>
        <v>4677.0127118643832</v>
      </c>
      <c r="CX382" s="7">
        <f t="shared" si="1981"/>
        <v>4636.8327118643829</v>
      </c>
      <c r="CY382" s="7">
        <f t="shared" si="1982"/>
        <v>4596.6527118643826</v>
      </c>
      <c r="CZ382" s="236">
        <f t="shared" si="1856"/>
        <v>106.43011966101645</v>
      </c>
    </row>
    <row r="383" spans="1:104" x14ac:dyDescent="0.2">
      <c r="A383" s="6" t="str">
        <f>'[1]2021 УГРЦТ'!A386</f>
        <v>ТП №26/1 "База РСУ"</v>
      </c>
      <c r="B383" t="str">
        <f>'[1]2021 УГРЦТ'!B386</f>
        <v>000001645</v>
      </c>
      <c r="C383" t="str">
        <f>'[1]2021 УГРЦТ'!C386</f>
        <v>ПЕРЕДАЧА</v>
      </c>
      <c r="D383" t="str">
        <f>'[1]2021 УГРЦТ'!D386</f>
        <v>Сооружения</v>
      </c>
      <c r="E383" t="str">
        <f>'[1]2021 УГРЦТ'!E386</f>
        <v>04.12.2014</v>
      </c>
      <c r="F383" t="str">
        <f>'[1]2021 УГРЦТ'!F386</f>
        <v>Цех электрических сетей</v>
      </c>
      <c r="G383">
        <f>'[1]2021 УГРЦТ'!AC386</f>
        <v>240</v>
      </c>
      <c r="H383" s="7">
        <f>'[1]2021 УГРЦТ'!X386</f>
        <v>1621695.9</v>
      </c>
      <c r="I383" s="7">
        <f>'[1]2021 УГРЦТ'!Y386</f>
        <v>567593.83499999996</v>
      </c>
      <c r="J383" s="7">
        <f>'[1]2021 УГРЦТ'!Z386</f>
        <v>1054102.0649999999</v>
      </c>
      <c r="K383" s="8">
        <v>1</v>
      </c>
      <c r="L383" s="7">
        <v>6757.07</v>
      </c>
      <c r="M383" s="7"/>
      <c r="N383" s="7">
        <f t="shared" si="1814"/>
        <v>81084.84</v>
      </c>
      <c r="O383" s="7">
        <f t="shared" si="1612"/>
        <v>1047344.995</v>
      </c>
      <c r="P383" s="7">
        <f t="shared" si="1928"/>
        <v>1040587.925</v>
      </c>
      <c r="Q383" s="7">
        <f t="shared" si="1928"/>
        <v>1033830.8550000001</v>
      </c>
      <c r="R383" s="7">
        <f t="shared" si="1928"/>
        <v>1027073.7850000001</v>
      </c>
      <c r="S383" s="7">
        <f t="shared" si="1928"/>
        <v>1020316.7150000002</v>
      </c>
      <c r="T383" s="7">
        <f t="shared" si="1928"/>
        <v>1013559.6450000003</v>
      </c>
      <c r="U383" s="7">
        <f t="shared" si="1928"/>
        <v>1006802.5750000003</v>
      </c>
      <c r="V383" s="7">
        <f t="shared" si="1928"/>
        <v>1000045.5050000004</v>
      </c>
      <c r="W383" s="7">
        <f t="shared" si="1928"/>
        <v>993288.43500000041</v>
      </c>
      <c r="X383" s="7">
        <f t="shared" si="1928"/>
        <v>986531.36500000046</v>
      </c>
      <c r="Y383" s="7">
        <f t="shared" si="1928"/>
        <v>979774.29500000051</v>
      </c>
      <c r="Z383" s="7">
        <f t="shared" si="1928"/>
        <v>973017.22500000056</v>
      </c>
      <c r="AA383" s="7">
        <f t="shared" si="1853"/>
        <v>22298.312190000004</v>
      </c>
      <c r="AB383" s="7"/>
      <c r="AC383" s="7">
        <f t="shared" si="1613"/>
        <v>81084.84</v>
      </c>
      <c r="AD383" s="7">
        <f t="shared" si="1614"/>
        <v>966260.15500000061</v>
      </c>
      <c r="AE383" s="7">
        <f t="shared" si="1940"/>
        <v>959503.08500000066</v>
      </c>
      <c r="AF383" s="7">
        <f t="shared" si="1940"/>
        <v>952746.01500000071</v>
      </c>
      <c r="AG383" s="7">
        <f t="shared" si="1940"/>
        <v>945988.94500000076</v>
      </c>
      <c r="AH383" s="7">
        <f t="shared" si="1940"/>
        <v>939231.87500000081</v>
      </c>
      <c r="AI383" s="7">
        <f t="shared" si="1940"/>
        <v>932474.80500000087</v>
      </c>
      <c r="AJ383" s="7">
        <f t="shared" si="1940"/>
        <v>925717.73500000092</v>
      </c>
      <c r="AK383" s="7">
        <f t="shared" si="1940"/>
        <v>918960.66500000097</v>
      </c>
      <c r="AL383" s="7">
        <f t="shared" si="1940"/>
        <v>912203.59500000102</v>
      </c>
      <c r="AM383" s="7">
        <f t="shared" si="1940"/>
        <v>905446.52500000107</v>
      </c>
      <c r="AN383" s="7">
        <f t="shared" si="1940"/>
        <v>898689.45500000112</v>
      </c>
      <c r="AO383" s="7">
        <f t="shared" si="1940"/>
        <v>891932.38500000117</v>
      </c>
      <c r="AP383" s="222">
        <f t="shared" si="1857"/>
        <v>20514.445710000018</v>
      </c>
      <c r="AQ383" s="7">
        <v>6757.07</v>
      </c>
      <c r="AR383" s="7">
        <f t="shared" si="1615"/>
        <v>6757.0699999999488</v>
      </c>
      <c r="AS383" s="7">
        <f t="shared" si="1616"/>
        <v>-5.0931703299283981E-11</v>
      </c>
      <c r="AT383" s="7">
        <f t="shared" si="1941"/>
        <v>81084.84</v>
      </c>
      <c r="AU383" s="7">
        <f t="shared" si="1942"/>
        <v>885175.31500000122</v>
      </c>
      <c r="AV383" s="7">
        <f t="shared" si="1943"/>
        <v>878418.24500000128</v>
      </c>
      <c r="AW383" s="7">
        <f t="shared" si="1943"/>
        <v>871661.17500000133</v>
      </c>
      <c r="AX383" s="7">
        <f t="shared" si="1943"/>
        <v>864904.10500000138</v>
      </c>
      <c r="AY383" s="7">
        <f t="shared" si="1943"/>
        <v>858147.03500000143</v>
      </c>
      <c r="AZ383" s="7">
        <f t="shared" si="1943"/>
        <v>851389.96500000148</v>
      </c>
      <c r="BA383" s="7">
        <f t="shared" si="1943"/>
        <v>844632.89500000153</v>
      </c>
      <c r="BB383" s="7">
        <f t="shared" si="1943"/>
        <v>837875.82500000158</v>
      </c>
      <c r="BC383" s="7">
        <f t="shared" si="1943"/>
        <v>831118.75500000163</v>
      </c>
      <c r="BD383" s="7">
        <f t="shared" si="1943"/>
        <v>824361.68500000169</v>
      </c>
      <c r="BE383" s="7">
        <f t="shared" si="1943"/>
        <v>817604.61500000174</v>
      </c>
      <c r="BF383" s="7">
        <f t="shared" si="1943"/>
        <v>810847.54500000179</v>
      </c>
      <c r="BG383" s="236">
        <f t="shared" si="1598"/>
        <v>18730.579230000036</v>
      </c>
      <c r="BH383" s="7">
        <v>6757.07</v>
      </c>
      <c r="BI383" s="39">
        <f t="shared" si="1944"/>
        <v>81084.84</v>
      </c>
      <c r="BJ383" s="7">
        <f t="shared" si="1945"/>
        <v>804090.47500000184</v>
      </c>
      <c r="BK383" s="7">
        <f t="shared" si="1946"/>
        <v>797333.40500000189</v>
      </c>
      <c r="BL383" s="7">
        <f t="shared" si="1947"/>
        <v>790576.33500000194</v>
      </c>
      <c r="BM383" s="7">
        <f t="shared" si="1948"/>
        <v>783819.26500000199</v>
      </c>
      <c r="BN383" s="7">
        <f t="shared" si="1949"/>
        <v>777062.19500000204</v>
      </c>
      <c r="BO383" s="7">
        <f t="shared" si="1950"/>
        <v>770305.1250000021</v>
      </c>
      <c r="BP383" s="7">
        <f t="shared" si="1951"/>
        <v>763548.05500000215</v>
      </c>
      <c r="BQ383" s="7">
        <f t="shared" si="1952"/>
        <v>756790.9850000022</v>
      </c>
      <c r="BR383" s="7">
        <f t="shared" si="1953"/>
        <v>750033.91500000225</v>
      </c>
      <c r="BS383" s="7">
        <f t="shared" si="1954"/>
        <v>743276.8450000023</v>
      </c>
      <c r="BT383" s="7">
        <f t="shared" si="1955"/>
        <v>736519.77500000235</v>
      </c>
      <c r="BU383" s="7">
        <f t="shared" si="1956"/>
        <v>729762.7050000024</v>
      </c>
      <c r="BV383" s="236">
        <f t="shared" si="1854"/>
        <v>16946.712750000046</v>
      </c>
      <c r="BW383" s="7">
        <v>6757.07</v>
      </c>
      <c r="BX383" s="39">
        <f t="shared" si="1957"/>
        <v>81084.84</v>
      </c>
      <c r="BY383" s="7">
        <f t="shared" si="1958"/>
        <v>723005.63500000245</v>
      </c>
      <c r="BZ383" s="7">
        <f t="shared" si="1959"/>
        <v>716248.56500000251</v>
      </c>
      <c r="CA383" s="7">
        <f t="shared" si="1960"/>
        <v>709491.49500000256</v>
      </c>
      <c r="CB383" s="7">
        <f t="shared" si="1961"/>
        <v>702734.42500000261</v>
      </c>
      <c r="CC383" s="7">
        <f t="shared" si="1962"/>
        <v>695977.35500000266</v>
      </c>
      <c r="CD383" s="7">
        <f t="shared" si="1963"/>
        <v>689220.28500000271</v>
      </c>
      <c r="CE383" s="7">
        <f t="shared" si="1964"/>
        <v>682463.21500000276</v>
      </c>
      <c r="CF383" s="7">
        <f t="shared" si="1965"/>
        <v>675706.14500000281</v>
      </c>
      <c r="CG383" s="7">
        <f t="shared" si="1966"/>
        <v>668949.07500000286</v>
      </c>
      <c r="CH383" s="7">
        <f t="shared" si="1967"/>
        <v>662192.00500000292</v>
      </c>
      <c r="CI383" s="7">
        <f t="shared" si="1968"/>
        <v>655434.93500000297</v>
      </c>
      <c r="CJ383" s="7">
        <f t="shared" si="1969"/>
        <v>648677.86500000302</v>
      </c>
      <c r="CK383" s="236">
        <f t="shared" si="1855"/>
        <v>15162.846270000058</v>
      </c>
      <c r="CL383" s="7">
        <v>6757.07</v>
      </c>
      <c r="CM383" s="39">
        <f t="shared" si="1970"/>
        <v>81084.84</v>
      </c>
      <c r="CN383" s="7">
        <f t="shared" si="1971"/>
        <v>641920.79500000307</v>
      </c>
      <c r="CO383" s="7">
        <f t="shared" si="1972"/>
        <v>635163.72500000312</v>
      </c>
      <c r="CP383" s="7">
        <f t="shared" si="1973"/>
        <v>628406.65500000317</v>
      </c>
      <c r="CQ383" s="7">
        <f t="shared" si="1974"/>
        <v>621649.58500000322</v>
      </c>
      <c r="CR383" s="7">
        <f t="shared" si="1975"/>
        <v>614892.51500000327</v>
      </c>
      <c r="CS383" s="7">
        <f t="shared" si="1976"/>
        <v>608135.44500000332</v>
      </c>
      <c r="CT383" s="7">
        <f t="shared" si="1977"/>
        <v>601378.37500000338</v>
      </c>
      <c r="CU383" s="7">
        <f t="shared" si="1978"/>
        <v>594621.30500000343</v>
      </c>
      <c r="CV383" s="7">
        <f t="shared" si="1979"/>
        <v>587864.23500000348</v>
      </c>
      <c r="CW383" s="7">
        <f t="shared" si="1980"/>
        <v>581107.16500000353</v>
      </c>
      <c r="CX383" s="7">
        <f t="shared" si="1981"/>
        <v>574350.09500000358</v>
      </c>
      <c r="CY383" s="7">
        <f t="shared" si="1982"/>
        <v>567593.02500000363</v>
      </c>
      <c r="CZ383" s="236">
        <f t="shared" si="1856"/>
        <v>13378.979790000072</v>
      </c>
    </row>
    <row r="384" spans="1:104" x14ac:dyDescent="0.2">
      <c r="A384" s="6" t="str">
        <f>'[1]2021 УГРЦТ'!A387</f>
        <v>ТП №27 школа 1  1982г.</v>
      </c>
      <c r="B384" t="str">
        <f>'[1]2021 УГРЦТ'!B387</f>
        <v>00000544</v>
      </c>
      <c r="C384" t="str">
        <f>'[1]2021 УГРЦТ'!C387</f>
        <v>ПЕРЕДАЧА</v>
      </c>
      <c r="D384" t="str">
        <f>'[1]2021 УГРЦТ'!D387</f>
        <v>Здания</v>
      </c>
      <c r="E384" t="str">
        <f>'[1]2021 УГРЦТ'!E387</f>
        <v>31.01.1982</v>
      </c>
      <c r="F384" t="str">
        <f>'[1]2021 УГРЦТ'!F387</f>
        <v>Цех электрических сетей</v>
      </c>
      <c r="G384">
        <f>'[1]2021 УГРЦТ'!AC387</f>
        <v>708</v>
      </c>
      <c r="H384" s="7">
        <f>'[1]2021 УГРЦТ'!X387</f>
        <v>81054</v>
      </c>
      <c r="I384" s="7">
        <f>'[1]2021 УГРЦТ'!Y387</f>
        <v>54878.406610169492</v>
      </c>
      <c r="J384" s="7">
        <f>'[1]2021 УГРЦТ'!Z387</f>
        <v>26175.593389830508</v>
      </c>
      <c r="K384" s="8">
        <v>1</v>
      </c>
      <c r="L384" s="7">
        <v>114.49</v>
      </c>
      <c r="M384" s="7"/>
      <c r="N384" s="7">
        <f t="shared" si="1814"/>
        <v>1373.8799999999999</v>
      </c>
      <c r="O384" s="7">
        <f t="shared" si="1612"/>
        <v>26061.103389830507</v>
      </c>
      <c r="P384" s="7">
        <f t="shared" si="1928"/>
        <v>25946.613389830505</v>
      </c>
      <c r="Q384" s="7">
        <f t="shared" si="1928"/>
        <v>25832.123389830504</v>
      </c>
      <c r="R384" s="7">
        <f t="shared" si="1928"/>
        <v>25717.633389830502</v>
      </c>
      <c r="S384" s="7">
        <f t="shared" si="1928"/>
        <v>25603.1433898305</v>
      </c>
      <c r="T384" s="7">
        <f t="shared" si="1928"/>
        <v>25488.653389830499</v>
      </c>
      <c r="U384" s="7">
        <f t="shared" si="1928"/>
        <v>25374.163389830497</v>
      </c>
      <c r="V384" s="7">
        <f t="shared" si="1928"/>
        <v>25259.673389830496</v>
      </c>
      <c r="W384" s="7">
        <f t="shared" si="1928"/>
        <v>25145.183389830494</v>
      </c>
      <c r="X384" s="7">
        <f t="shared" si="1928"/>
        <v>25030.693389830492</v>
      </c>
      <c r="Y384" s="7">
        <f t="shared" si="1928"/>
        <v>24916.203389830491</v>
      </c>
      <c r="Z384" s="7">
        <f t="shared" si="1928"/>
        <v>24801.713389830489</v>
      </c>
      <c r="AA384" s="7">
        <f t="shared" si="1853"/>
        <v>560.75037457627081</v>
      </c>
      <c r="AB384" s="7"/>
      <c r="AC384" s="7">
        <f t="shared" si="1613"/>
        <v>1373.8799999999999</v>
      </c>
      <c r="AD384" s="7">
        <f t="shared" si="1614"/>
        <v>24687.223389830488</v>
      </c>
      <c r="AE384" s="7">
        <f t="shared" si="1940"/>
        <v>24572.733389830486</v>
      </c>
      <c r="AF384" s="7">
        <f t="shared" si="1940"/>
        <v>24458.243389830484</v>
      </c>
      <c r="AG384" s="7">
        <f t="shared" si="1940"/>
        <v>24343.753389830483</v>
      </c>
      <c r="AH384" s="7">
        <f t="shared" si="1940"/>
        <v>24229.263389830481</v>
      </c>
      <c r="AI384" s="7">
        <f t="shared" si="1940"/>
        <v>24114.77338983048</v>
      </c>
      <c r="AJ384" s="7">
        <f t="shared" si="1940"/>
        <v>24000.283389830478</v>
      </c>
      <c r="AK384" s="7">
        <f t="shared" si="1940"/>
        <v>23885.793389830476</v>
      </c>
      <c r="AL384" s="7">
        <f t="shared" si="1940"/>
        <v>23771.303389830475</v>
      </c>
      <c r="AM384" s="7">
        <f t="shared" si="1940"/>
        <v>23656.813389830473</v>
      </c>
      <c r="AN384" s="7">
        <f t="shared" si="1940"/>
        <v>23542.323389830472</v>
      </c>
      <c r="AO384" s="7">
        <f t="shared" si="1940"/>
        <v>23427.83338983047</v>
      </c>
      <c r="AP384" s="222">
        <f t="shared" si="1857"/>
        <v>530.52501457627056</v>
      </c>
      <c r="AQ384" s="7">
        <v>114.49</v>
      </c>
      <c r="AR384" s="7">
        <f t="shared" si="1615"/>
        <v>114.4900000000016</v>
      </c>
      <c r="AS384" s="7">
        <f t="shared" si="1616"/>
        <v>1.6058265828178264E-12</v>
      </c>
      <c r="AT384" s="7">
        <f t="shared" si="1941"/>
        <v>1373.8799999999999</v>
      </c>
      <c r="AU384" s="7">
        <f t="shared" si="1942"/>
        <v>23313.343389830468</v>
      </c>
      <c r="AV384" s="7">
        <f t="shared" si="1943"/>
        <v>23198.853389830467</v>
      </c>
      <c r="AW384" s="7">
        <f t="shared" si="1943"/>
        <v>23084.363389830465</v>
      </c>
      <c r="AX384" s="7">
        <f t="shared" si="1943"/>
        <v>22969.873389830464</v>
      </c>
      <c r="AY384" s="7">
        <f t="shared" si="1943"/>
        <v>22855.383389830462</v>
      </c>
      <c r="AZ384" s="7">
        <f t="shared" si="1943"/>
        <v>22740.89338983046</v>
      </c>
      <c r="BA384" s="7">
        <f t="shared" si="1943"/>
        <v>22626.403389830459</v>
      </c>
      <c r="BB384" s="7">
        <f t="shared" si="1943"/>
        <v>22511.913389830457</v>
      </c>
      <c r="BC384" s="7">
        <f t="shared" si="1943"/>
        <v>22397.423389830456</v>
      </c>
      <c r="BD384" s="7">
        <f t="shared" si="1943"/>
        <v>22282.933389830454</v>
      </c>
      <c r="BE384" s="7">
        <f t="shared" si="1943"/>
        <v>22168.443389830452</v>
      </c>
      <c r="BF384" s="7">
        <f t="shared" si="1943"/>
        <v>22053.953389830451</v>
      </c>
      <c r="BG384" s="236">
        <f t="shared" si="1598"/>
        <v>500.29965457627009</v>
      </c>
      <c r="BH384" s="7">
        <v>114.49</v>
      </c>
      <c r="BI384" s="39">
        <f t="shared" si="1944"/>
        <v>1373.8799999999999</v>
      </c>
      <c r="BJ384" s="7">
        <f t="shared" si="1945"/>
        <v>21939.463389830449</v>
      </c>
      <c r="BK384" s="7">
        <f t="shared" si="1946"/>
        <v>21824.973389830448</v>
      </c>
      <c r="BL384" s="7">
        <f t="shared" si="1947"/>
        <v>21710.483389830446</v>
      </c>
      <c r="BM384" s="7">
        <f t="shared" si="1948"/>
        <v>21595.993389830444</v>
      </c>
      <c r="BN384" s="7">
        <f t="shared" si="1949"/>
        <v>21481.503389830443</v>
      </c>
      <c r="BO384" s="7">
        <f t="shared" si="1950"/>
        <v>21367.013389830441</v>
      </c>
      <c r="BP384" s="7">
        <f t="shared" si="1951"/>
        <v>21252.52338983044</v>
      </c>
      <c r="BQ384" s="7">
        <f t="shared" si="1952"/>
        <v>21138.033389830438</v>
      </c>
      <c r="BR384" s="7">
        <f t="shared" si="1953"/>
        <v>21023.543389830436</v>
      </c>
      <c r="BS384" s="7">
        <f t="shared" si="1954"/>
        <v>20909.053389830435</v>
      </c>
      <c r="BT384" s="7">
        <f t="shared" si="1955"/>
        <v>20794.563389830433</v>
      </c>
      <c r="BU384" s="7">
        <f t="shared" si="1956"/>
        <v>20680.073389830432</v>
      </c>
      <c r="BV384" s="236">
        <f t="shared" si="1854"/>
        <v>470.07429457626966</v>
      </c>
      <c r="BW384" s="7">
        <v>114.49</v>
      </c>
      <c r="BX384" s="39">
        <f t="shared" si="1957"/>
        <v>1373.8799999999999</v>
      </c>
      <c r="BY384" s="7">
        <f t="shared" si="1958"/>
        <v>20565.58338983043</v>
      </c>
      <c r="BZ384" s="7">
        <f t="shared" si="1959"/>
        <v>20451.093389830428</v>
      </c>
      <c r="CA384" s="7">
        <f t="shared" si="1960"/>
        <v>20336.603389830427</v>
      </c>
      <c r="CB384" s="7">
        <f t="shared" si="1961"/>
        <v>20222.113389830425</v>
      </c>
      <c r="CC384" s="7">
        <f t="shared" si="1962"/>
        <v>20107.623389830424</v>
      </c>
      <c r="CD384" s="7">
        <f t="shared" si="1963"/>
        <v>19993.133389830422</v>
      </c>
      <c r="CE384" s="7">
        <f t="shared" si="1964"/>
        <v>19878.64338983042</v>
      </c>
      <c r="CF384" s="7">
        <f t="shared" si="1965"/>
        <v>19764.153389830419</v>
      </c>
      <c r="CG384" s="7">
        <f t="shared" si="1966"/>
        <v>19649.663389830417</v>
      </c>
      <c r="CH384" s="7">
        <f t="shared" si="1967"/>
        <v>19535.173389830416</v>
      </c>
      <c r="CI384" s="7">
        <f t="shared" si="1968"/>
        <v>19420.683389830414</v>
      </c>
      <c r="CJ384" s="7">
        <f t="shared" si="1969"/>
        <v>19306.193389830412</v>
      </c>
      <c r="CK384" s="236">
        <f t="shared" si="1855"/>
        <v>439.84893457626919</v>
      </c>
      <c r="CL384" s="7">
        <v>114.49</v>
      </c>
      <c r="CM384" s="39">
        <f t="shared" si="1970"/>
        <v>1373.8799999999999</v>
      </c>
      <c r="CN384" s="7">
        <f t="shared" si="1971"/>
        <v>19191.703389830411</v>
      </c>
      <c r="CO384" s="7">
        <f t="shared" si="1972"/>
        <v>19077.213389830409</v>
      </c>
      <c r="CP384" s="7">
        <f t="shared" si="1973"/>
        <v>18962.723389830408</v>
      </c>
      <c r="CQ384" s="7">
        <f t="shared" si="1974"/>
        <v>18848.233389830406</v>
      </c>
      <c r="CR384" s="7">
        <f t="shared" si="1975"/>
        <v>18733.743389830404</v>
      </c>
      <c r="CS384" s="7">
        <f t="shared" si="1976"/>
        <v>18619.253389830403</v>
      </c>
      <c r="CT384" s="7">
        <f t="shared" si="1977"/>
        <v>18504.763389830401</v>
      </c>
      <c r="CU384" s="7">
        <f t="shared" si="1978"/>
        <v>18390.2733898304</v>
      </c>
      <c r="CV384" s="7">
        <f t="shared" si="1979"/>
        <v>18275.783389830398</v>
      </c>
      <c r="CW384" s="7">
        <f t="shared" si="1980"/>
        <v>18161.293389830396</v>
      </c>
      <c r="CX384" s="7">
        <f t="shared" si="1981"/>
        <v>18046.803389830395</v>
      </c>
      <c r="CY384" s="7">
        <f t="shared" si="1982"/>
        <v>17932.313389830393</v>
      </c>
      <c r="CZ384" s="236">
        <f t="shared" si="1856"/>
        <v>409.62357457626882</v>
      </c>
    </row>
    <row r="385" spans="1:104" x14ac:dyDescent="0.2">
      <c r="A385" s="6" t="str">
        <f>'[1]2021 УГРЦТ'!A388</f>
        <v>ТП №28/1 "Юбилейная"</v>
      </c>
      <c r="B385" t="str">
        <f>'[1]2021 УГРЦТ'!B388</f>
        <v>000001646</v>
      </c>
      <c r="C385" t="str">
        <f>'[1]2021 УГРЦТ'!C388</f>
        <v>ПЕРЕДАЧА</v>
      </c>
      <c r="D385" t="str">
        <f>'[1]2021 УГРЦТ'!D388</f>
        <v>Сооружения</v>
      </c>
      <c r="E385" t="str">
        <f>'[1]2021 УГРЦТ'!E388</f>
        <v>31.12.2014</v>
      </c>
      <c r="F385" t="str">
        <f>'[1]2021 УГРЦТ'!F388</f>
        <v>Цех электрических сетей</v>
      </c>
      <c r="G385">
        <f>'[1]2021 УГРЦТ'!AC388</f>
        <v>240</v>
      </c>
      <c r="H385" s="7">
        <f>'[1]2021 УГРЦТ'!X388</f>
        <v>1622740.26</v>
      </c>
      <c r="I385" s="7">
        <f>'[1]2021 УГРЦТ'!Y388</f>
        <v>567959.25300000003</v>
      </c>
      <c r="J385" s="7">
        <f>'[1]2021 УГРЦТ'!Z388</f>
        <v>1054781.007</v>
      </c>
      <c r="K385" s="8">
        <v>1</v>
      </c>
      <c r="L385" s="7">
        <v>6761.4199999999992</v>
      </c>
      <c r="M385" s="7"/>
      <c r="N385" s="7">
        <f t="shared" si="1814"/>
        <v>81137.039999999994</v>
      </c>
      <c r="O385" s="7">
        <f t="shared" si="1612"/>
        <v>1048019.5869999999</v>
      </c>
      <c r="P385" s="7">
        <f t="shared" si="1928"/>
        <v>1041258.1669999999</v>
      </c>
      <c r="Q385" s="7">
        <f t="shared" si="1928"/>
        <v>1034496.7469999999</v>
      </c>
      <c r="R385" s="7">
        <f t="shared" si="1928"/>
        <v>1027735.3269999998</v>
      </c>
      <c r="S385" s="7">
        <f t="shared" si="1928"/>
        <v>1020973.9069999998</v>
      </c>
      <c r="T385" s="7">
        <f t="shared" si="1928"/>
        <v>1014212.4869999997</v>
      </c>
      <c r="U385" s="7">
        <f t="shared" si="1928"/>
        <v>1007451.0669999997</v>
      </c>
      <c r="V385" s="7">
        <f t="shared" si="1928"/>
        <v>1000689.6469999996</v>
      </c>
      <c r="W385" s="7">
        <f t="shared" si="1928"/>
        <v>993928.22699999961</v>
      </c>
      <c r="X385" s="7">
        <f t="shared" si="1928"/>
        <v>987166.80699999956</v>
      </c>
      <c r="Y385" s="7">
        <f t="shared" si="1928"/>
        <v>980405.38699999952</v>
      </c>
      <c r="Z385" s="7">
        <f t="shared" si="1928"/>
        <v>973643.96699999948</v>
      </c>
      <c r="AA385" s="7">
        <f t="shared" si="1853"/>
        <v>22312.674713999997</v>
      </c>
      <c r="AB385" s="7"/>
      <c r="AC385" s="7">
        <f t="shared" si="1613"/>
        <v>81137.039999999994</v>
      </c>
      <c r="AD385" s="7">
        <f t="shared" si="1614"/>
        <v>966882.54699999944</v>
      </c>
      <c r="AE385" s="7">
        <f t="shared" si="1940"/>
        <v>960121.1269999994</v>
      </c>
      <c r="AF385" s="7">
        <f t="shared" si="1940"/>
        <v>953359.70699999935</v>
      </c>
      <c r="AG385" s="7">
        <f t="shared" si="1940"/>
        <v>946598.28699999931</v>
      </c>
      <c r="AH385" s="7">
        <f t="shared" si="1940"/>
        <v>939836.86699999927</v>
      </c>
      <c r="AI385" s="7">
        <f t="shared" si="1940"/>
        <v>933075.44699999923</v>
      </c>
      <c r="AJ385" s="7">
        <f t="shared" si="1940"/>
        <v>926314.02699999919</v>
      </c>
      <c r="AK385" s="7">
        <f t="shared" si="1940"/>
        <v>919552.60699999915</v>
      </c>
      <c r="AL385" s="7">
        <f t="shared" si="1940"/>
        <v>912791.1869999991</v>
      </c>
      <c r="AM385" s="7">
        <f t="shared" si="1940"/>
        <v>906029.76699999906</v>
      </c>
      <c r="AN385" s="7">
        <f t="shared" si="1940"/>
        <v>899268.34699999902</v>
      </c>
      <c r="AO385" s="7">
        <f t="shared" si="1940"/>
        <v>892506.92699999898</v>
      </c>
      <c r="AP385" s="222">
        <f t="shared" si="1857"/>
        <v>20527.659833999984</v>
      </c>
      <c r="AQ385" s="7">
        <v>6761.4199999999992</v>
      </c>
      <c r="AR385" s="7">
        <f t="shared" si="1615"/>
        <v>6761.4200000000419</v>
      </c>
      <c r="AS385" s="7">
        <f t="shared" si="1616"/>
        <v>4.2746250983327627E-11</v>
      </c>
      <c r="AT385" s="7">
        <f t="shared" si="1941"/>
        <v>81137.039999999994</v>
      </c>
      <c r="AU385" s="7">
        <f t="shared" si="1942"/>
        <v>885745.50699999894</v>
      </c>
      <c r="AV385" s="7">
        <f t="shared" si="1943"/>
        <v>878984.08699999889</v>
      </c>
      <c r="AW385" s="7">
        <f t="shared" si="1943"/>
        <v>872222.66699999885</v>
      </c>
      <c r="AX385" s="7">
        <f t="shared" si="1943"/>
        <v>865461.24699999881</v>
      </c>
      <c r="AY385" s="7">
        <f t="shared" si="1943"/>
        <v>858699.82699999877</v>
      </c>
      <c r="AZ385" s="7">
        <f t="shared" si="1943"/>
        <v>851938.40699999873</v>
      </c>
      <c r="BA385" s="7">
        <f t="shared" si="1943"/>
        <v>845176.98699999868</v>
      </c>
      <c r="BB385" s="7">
        <f t="shared" si="1943"/>
        <v>838415.56699999864</v>
      </c>
      <c r="BC385" s="7">
        <f t="shared" si="1943"/>
        <v>831654.1469999986</v>
      </c>
      <c r="BD385" s="7">
        <f t="shared" si="1943"/>
        <v>824892.72699999856</v>
      </c>
      <c r="BE385" s="7">
        <f t="shared" si="1943"/>
        <v>818131.30699999852</v>
      </c>
      <c r="BF385" s="7">
        <f t="shared" si="1943"/>
        <v>811369.88699999847</v>
      </c>
      <c r="BG385" s="236">
        <f t="shared" si="1598"/>
        <v>18742.644953999974</v>
      </c>
      <c r="BH385" s="7">
        <v>6761.4199999999992</v>
      </c>
      <c r="BI385" s="39">
        <f t="shared" si="1944"/>
        <v>81137.039999999994</v>
      </c>
      <c r="BJ385" s="7">
        <f t="shared" si="1945"/>
        <v>804608.46699999843</v>
      </c>
      <c r="BK385" s="7">
        <f t="shared" si="1946"/>
        <v>797847.04699999839</v>
      </c>
      <c r="BL385" s="7">
        <f t="shared" si="1947"/>
        <v>791085.62699999835</v>
      </c>
      <c r="BM385" s="7">
        <f t="shared" si="1948"/>
        <v>784324.20699999831</v>
      </c>
      <c r="BN385" s="7">
        <f t="shared" si="1949"/>
        <v>777562.78699999826</v>
      </c>
      <c r="BO385" s="7">
        <f t="shared" si="1950"/>
        <v>770801.36699999822</v>
      </c>
      <c r="BP385" s="7">
        <f t="shared" si="1951"/>
        <v>764039.94699999818</v>
      </c>
      <c r="BQ385" s="7">
        <f t="shared" si="1952"/>
        <v>757278.52699999814</v>
      </c>
      <c r="BR385" s="7">
        <f t="shared" si="1953"/>
        <v>750517.1069999981</v>
      </c>
      <c r="BS385" s="7">
        <f t="shared" si="1954"/>
        <v>743755.68699999806</v>
      </c>
      <c r="BT385" s="7">
        <f t="shared" si="1955"/>
        <v>736994.26699999801</v>
      </c>
      <c r="BU385" s="7">
        <f t="shared" si="1956"/>
        <v>730232.84699999797</v>
      </c>
      <c r="BV385" s="236">
        <f t="shared" si="1854"/>
        <v>16957.630073999957</v>
      </c>
      <c r="BW385" s="7">
        <v>6761.4199999999992</v>
      </c>
      <c r="BX385" s="39">
        <f t="shared" si="1957"/>
        <v>81137.039999999994</v>
      </c>
      <c r="BY385" s="7">
        <f t="shared" si="1958"/>
        <v>723471.42699999793</v>
      </c>
      <c r="BZ385" s="7">
        <f t="shared" si="1959"/>
        <v>716710.00699999789</v>
      </c>
      <c r="CA385" s="7">
        <f t="shared" si="1960"/>
        <v>709948.58699999785</v>
      </c>
      <c r="CB385" s="7">
        <f t="shared" si="1961"/>
        <v>703187.1669999978</v>
      </c>
      <c r="CC385" s="7">
        <f t="shared" si="1962"/>
        <v>696425.74699999776</v>
      </c>
      <c r="CD385" s="7">
        <f t="shared" si="1963"/>
        <v>689664.32699999772</v>
      </c>
      <c r="CE385" s="7">
        <f t="shared" si="1964"/>
        <v>682902.90699999768</v>
      </c>
      <c r="CF385" s="7">
        <f t="shared" si="1965"/>
        <v>676141.48699999764</v>
      </c>
      <c r="CG385" s="7">
        <f t="shared" si="1966"/>
        <v>669380.06699999759</v>
      </c>
      <c r="CH385" s="7">
        <f t="shared" si="1967"/>
        <v>662618.64699999755</v>
      </c>
      <c r="CI385" s="7">
        <f t="shared" si="1968"/>
        <v>655857.22699999751</v>
      </c>
      <c r="CJ385" s="7">
        <f t="shared" si="1969"/>
        <v>649095.80699999747</v>
      </c>
      <c r="CK385" s="236">
        <f t="shared" si="1855"/>
        <v>15172.615193999949</v>
      </c>
      <c r="CL385" s="7">
        <v>6761.4199999999992</v>
      </c>
      <c r="CM385" s="39">
        <f t="shared" si="1970"/>
        <v>81137.039999999994</v>
      </c>
      <c r="CN385" s="7">
        <f t="shared" si="1971"/>
        <v>642334.38699999743</v>
      </c>
      <c r="CO385" s="7">
        <f t="shared" si="1972"/>
        <v>635572.96699999738</v>
      </c>
      <c r="CP385" s="7">
        <f t="shared" si="1973"/>
        <v>628811.54699999734</v>
      </c>
      <c r="CQ385" s="7">
        <f t="shared" si="1974"/>
        <v>622050.1269999973</v>
      </c>
      <c r="CR385" s="7">
        <f t="shared" si="1975"/>
        <v>615288.70699999726</v>
      </c>
      <c r="CS385" s="7">
        <f t="shared" si="1976"/>
        <v>608527.28699999722</v>
      </c>
      <c r="CT385" s="7">
        <f t="shared" si="1977"/>
        <v>601765.86699999718</v>
      </c>
      <c r="CU385" s="7">
        <f t="shared" si="1978"/>
        <v>595004.44699999713</v>
      </c>
      <c r="CV385" s="7">
        <f t="shared" si="1979"/>
        <v>588243.02699999709</v>
      </c>
      <c r="CW385" s="7">
        <f t="shared" si="1980"/>
        <v>581481.60699999705</v>
      </c>
      <c r="CX385" s="7">
        <f t="shared" si="1981"/>
        <v>574720.18699999701</v>
      </c>
      <c r="CY385" s="7">
        <f t="shared" si="1982"/>
        <v>567958.76699999697</v>
      </c>
      <c r="CZ385" s="236">
        <f t="shared" si="1856"/>
        <v>13387.600313999937</v>
      </c>
    </row>
    <row r="386" spans="1:104" x14ac:dyDescent="0.2">
      <c r="A386" s="6" t="str">
        <f>'[1]2021 УГРЦТ'!A389</f>
        <v>ТП №3 больница 1988г.</v>
      </c>
      <c r="B386" t="str">
        <f>'[1]2021 УГРЦТ'!B389</f>
        <v>00000126</v>
      </c>
      <c r="C386" t="str">
        <f>'[1]2021 УГРЦТ'!C389</f>
        <v>ПЕРЕДАЧА</v>
      </c>
      <c r="D386" t="str">
        <f>'[1]2021 УГРЦТ'!D389</f>
        <v>Здания</v>
      </c>
      <c r="E386" t="str">
        <f>'[1]2021 УГРЦТ'!E389</f>
        <v>31.01.1988</v>
      </c>
      <c r="F386" t="str">
        <f>'[1]2021 УГРЦТ'!F389</f>
        <v>Цех электрических сетей</v>
      </c>
      <c r="G386">
        <f>'[1]2021 УГРЦТ'!AC389</f>
        <v>708</v>
      </c>
      <c r="H386" s="7">
        <f>'[1]2021 УГРЦТ'!X389</f>
        <v>139755</v>
      </c>
      <c r="I386" s="7">
        <f>'[1]2021 УГРЦТ'!Y389</f>
        <v>79241.99881355933</v>
      </c>
      <c r="J386" s="7">
        <f>'[1]2021 УГРЦТ'!Z389</f>
        <v>60513.00118644067</v>
      </c>
      <c r="K386" s="8">
        <v>1</v>
      </c>
      <c r="L386" s="7">
        <v>197.4</v>
      </c>
      <c r="M386" s="7"/>
      <c r="N386" s="7">
        <f t="shared" si="1814"/>
        <v>2368.8000000000002</v>
      </c>
      <c r="O386" s="7">
        <f t="shared" si="1612"/>
        <v>60315.601186440668</v>
      </c>
      <c r="P386" s="7">
        <f t="shared" si="1928"/>
        <v>60118.201186440667</v>
      </c>
      <c r="Q386" s="7">
        <f t="shared" si="1928"/>
        <v>59920.801186440665</v>
      </c>
      <c r="R386" s="7">
        <f t="shared" si="1928"/>
        <v>59723.401186440664</v>
      </c>
      <c r="S386" s="7">
        <f t="shared" si="1928"/>
        <v>59526.001186440662</v>
      </c>
      <c r="T386" s="7">
        <f t="shared" si="1928"/>
        <v>59328.601186440661</v>
      </c>
      <c r="U386" s="7">
        <f t="shared" si="1928"/>
        <v>59131.20118644066</v>
      </c>
      <c r="V386" s="7">
        <f t="shared" si="1928"/>
        <v>58933.801186440658</v>
      </c>
      <c r="W386" s="7">
        <f t="shared" si="1928"/>
        <v>58736.401186440657</v>
      </c>
      <c r="X386" s="7">
        <f t="shared" si="1928"/>
        <v>58539.001186440655</v>
      </c>
      <c r="Y386" s="7">
        <f t="shared" si="1928"/>
        <v>58341.601186440654</v>
      </c>
      <c r="Z386" s="7">
        <f t="shared" si="1928"/>
        <v>58144.201186440652</v>
      </c>
      <c r="AA386" s="7">
        <f t="shared" si="1853"/>
        <v>1305.2292261016946</v>
      </c>
      <c r="AB386" s="7"/>
      <c r="AC386" s="7">
        <f t="shared" si="1613"/>
        <v>2368.8000000000002</v>
      </c>
      <c r="AD386" s="7">
        <f t="shared" si="1614"/>
        <v>57946.801186440651</v>
      </c>
      <c r="AE386" s="7">
        <f t="shared" si="1940"/>
        <v>57749.401186440649</v>
      </c>
      <c r="AF386" s="7">
        <f t="shared" si="1940"/>
        <v>57552.001186440648</v>
      </c>
      <c r="AG386" s="7">
        <f t="shared" si="1940"/>
        <v>57354.601186440646</v>
      </c>
      <c r="AH386" s="7">
        <f t="shared" si="1940"/>
        <v>57157.201186440645</v>
      </c>
      <c r="AI386" s="7">
        <f t="shared" si="1940"/>
        <v>56959.801186440644</v>
      </c>
      <c r="AJ386" s="7">
        <f t="shared" si="1940"/>
        <v>56762.401186440642</v>
      </c>
      <c r="AK386" s="7">
        <f t="shared" si="1940"/>
        <v>56565.001186440641</v>
      </c>
      <c r="AL386" s="7">
        <f t="shared" si="1940"/>
        <v>56367.601186440639</v>
      </c>
      <c r="AM386" s="7">
        <f t="shared" si="1940"/>
        <v>56170.201186440638</v>
      </c>
      <c r="AN386" s="7">
        <f t="shared" si="1940"/>
        <v>55972.801186440636</v>
      </c>
      <c r="AO386" s="7">
        <f t="shared" si="1940"/>
        <v>55775.401186440635</v>
      </c>
      <c r="AP386" s="222">
        <f t="shared" si="1857"/>
        <v>1253.115626101694</v>
      </c>
      <c r="AQ386" s="7">
        <v>197.4</v>
      </c>
      <c r="AR386" s="7">
        <f t="shared" si="1615"/>
        <v>197.40000000000146</v>
      </c>
      <c r="AS386" s="7">
        <f t="shared" si="1616"/>
        <v>1.4495071809506044E-12</v>
      </c>
      <c r="AT386" s="7">
        <f t="shared" si="1941"/>
        <v>2368.8000000000002</v>
      </c>
      <c r="AU386" s="7">
        <f t="shared" si="1942"/>
        <v>55578.001186440633</v>
      </c>
      <c r="AV386" s="7">
        <f t="shared" si="1943"/>
        <v>55380.601186440632</v>
      </c>
      <c r="AW386" s="7">
        <f t="shared" si="1943"/>
        <v>55183.20118644063</v>
      </c>
      <c r="AX386" s="7">
        <f t="shared" si="1943"/>
        <v>54985.801186440629</v>
      </c>
      <c r="AY386" s="7">
        <f t="shared" si="1943"/>
        <v>54788.401186440627</v>
      </c>
      <c r="AZ386" s="7">
        <f t="shared" si="1943"/>
        <v>54591.001186440626</v>
      </c>
      <c r="BA386" s="7">
        <f t="shared" si="1943"/>
        <v>54393.601186440625</v>
      </c>
      <c r="BB386" s="7">
        <f t="shared" si="1943"/>
        <v>54196.201186440623</v>
      </c>
      <c r="BC386" s="7">
        <f t="shared" si="1943"/>
        <v>53998.801186440622</v>
      </c>
      <c r="BD386" s="7">
        <f t="shared" si="1943"/>
        <v>53801.40118644062</v>
      </c>
      <c r="BE386" s="7">
        <f t="shared" si="1943"/>
        <v>53604.001186440619</v>
      </c>
      <c r="BF386" s="7">
        <f t="shared" si="1943"/>
        <v>53406.601186440617</v>
      </c>
      <c r="BG386" s="236">
        <f t="shared" si="1598"/>
        <v>1201.0020261016937</v>
      </c>
      <c r="BH386" s="7">
        <v>197.4</v>
      </c>
      <c r="BI386" s="39">
        <f t="shared" si="1944"/>
        <v>2368.8000000000002</v>
      </c>
      <c r="BJ386" s="7">
        <f t="shared" si="1945"/>
        <v>53209.201186440616</v>
      </c>
      <c r="BK386" s="7">
        <f t="shared" si="1946"/>
        <v>53011.801186440614</v>
      </c>
      <c r="BL386" s="7">
        <f t="shared" si="1947"/>
        <v>52814.401186440613</v>
      </c>
      <c r="BM386" s="7">
        <f t="shared" si="1948"/>
        <v>52617.001186440611</v>
      </c>
      <c r="BN386" s="7">
        <f t="shared" si="1949"/>
        <v>52419.60118644061</v>
      </c>
      <c r="BO386" s="7">
        <f t="shared" si="1950"/>
        <v>52222.201186440609</v>
      </c>
      <c r="BP386" s="7">
        <f t="shared" si="1951"/>
        <v>52024.801186440607</v>
      </c>
      <c r="BQ386" s="7">
        <f t="shared" si="1952"/>
        <v>51827.401186440606</v>
      </c>
      <c r="BR386" s="7">
        <f t="shared" si="1953"/>
        <v>51630.001186440604</v>
      </c>
      <c r="BS386" s="7">
        <f t="shared" si="1954"/>
        <v>51432.601186440603</v>
      </c>
      <c r="BT386" s="7">
        <f t="shared" si="1955"/>
        <v>51235.201186440601</v>
      </c>
      <c r="BU386" s="7">
        <f t="shared" si="1956"/>
        <v>51037.8011864406</v>
      </c>
      <c r="BV386" s="236">
        <f t="shared" si="1854"/>
        <v>1148.8884261016935</v>
      </c>
      <c r="BW386" s="7">
        <v>197.4</v>
      </c>
      <c r="BX386" s="39">
        <f t="shared" si="1957"/>
        <v>2368.8000000000002</v>
      </c>
      <c r="BY386" s="7">
        <f t="shared" si="1958"/>
        <v>50840.401186440598</v>
      </c>
      <c r="BZ386" s="7">
        <f t="shared" si="1959"/>
        <v>50643.001186440597</v>
      </c>
      <c r="CA386" s="7">
        <f t="shared" si="1960"/>
        <v>50445.601186440595</v>
      </c>
      <c r="CB386" s="7">
        <f t="shared" si="1961"/>
        <v>50248.201186440594</v>
      </c>
      <c r="CC386" s="7">
        <f t="shared" si="1962"/>
        <v>50050.801186440593</v>
      </c>
      <c r="CD386" s="7">
        <f t="shared" si="1963"/>
        <v>49853.401186440591</v>
      </c>
      <c r="CE386" s="7">
        <f t="shared" si="1964"/>
        <v>49656.00118644059</v>
      </c>
      <c r="CF386" s="7">
        <f t="shared" si="1965"/>
        <v>49458.601186440588</v>
      </c>
      <c r="CG386" s="7">
        <f t="shared" si="1966"/>
        <v>49261.201186440587</v>
      </c>
      <c r="CH386" s="7">
        <f t="shared" si="1967"/>
        <v>49063.801186440585</v>
      </c>
      <c r="CI386" s="7">
        <f t="shared" si="1968"/>
        <v>48866.401186440584</v>
      </c>
      <c r="CJ386" s="7">
        <f t="shared" si="1969"/>
        <v>48669.001186440582</v>
      </c>
      <c r="CK386" s="236">
        <f t="shared" si="1855"/>
        <v>1096.7748261016932</v>
      </c>
      <c r="CL386" s="7">
        <v>197.4</v>
      </c>
      <c r="CM386" s="39">
        <f t="shared" si="1970"/>
        <v>2368.8000000000002</v>
      </c>
      <c r="CN386" s="7">
        <f t="shared" si="1971"/>
        <v>48471.601186440581</v>
      </c>
      <c r="CO386" s="7">
        <f t="shared" si="1972"/>
        <v>48274.201186440579</v>
      </c>
      <c r="CP386" s="7">
        <f t="shared" si="1973"/>
        <v>48076.801186440578</v>
      </c>
      <c r="CQ386" s="7">
        <f t="shared" si="1974"/>
        <v>47879.401186440577</v>
      </c>
      <c r="CR386" s="7">
        <f t="shared" si="1975"/>
        <v>47682.001186440575</v>
      </c>
      <c r="CS386" s="7">
        <f t="shared" si="1976"/>
        <v>47484.601186440574</v>
      </c>
      <c r="CT386" s="7">
        <f t="shared" si="1977"/>
        <v>47287.201186440572</v>
      </c>
      <c r="CU386" s="7">
        <f t="shared" si="1978"/>
        <v>47089.801186440571</v>
      </c>
      <c r="CV386" s="7">
        <f t="shared" si="1979"/>
        <v>46892.401186440569</v>
      </c>
      <c r="CW386" s="7">
        <f t="shared" si="1980"/>
        <v>46695.001186440568</v>
      </c>
      <c r="CX386" s="7">
        <f t="shared" si="1981"/>
        <v>46497.601186440566</v>
      </c>
      <c r="CY386" s="7">
        <f t="shared" si="1982"/>
        <v>46300.201186440565</v>
      </c>
      <c r="CZ386" s="236">
        <f t="shared" si="1856"/>
        <v>1044.6612261016926</v>
      </c>
    </row>
    <row r="387" spans="1:104" x14ac:dyDescent="0.2">
      <c r="A387" s="6" t="str">
        <f>'[1]2021 УГРЦТ'!A390</f>
        <v>ТП №31 Озерная  водонасосная 1986г</v>
      </c>
      <c r="B387" t="str">
        <f>'[1]2021 УГРЦТ'!B390</f>
        <v>00000585</v>
      </c>
      <c r="C387" t="str">
        <f>'[1]2021 УГРЦТ'!C390</f>
        <v>ПЕРЕДАЧА</v>
      </c>
      <c r="D387" t="str">
        <f>'[1]2021 УГРЦТ'!D390</f>
        <v>Здания</v>
      </c>
      <c r="E387" t="str">
        <f>'[1]2021 УГРЦТ'!E390</f>
        <v>01.01.1986</v>
      </c>
      <c r="F387" t="str">
        <f>'[1]2021 УГРЦТ'!F390</f>
        <v>Цех электрических сетей</v>
      </c>
      <c r="G387">
        <f>'[1]2021 УГРЦТ'!AC390</f>
        <v>708</v>
      </c>
      <c r="H387" s="7">
        <f>'[1]2021 УГРЦТ'!X390</f>
        <v>138425</v>
      </c>
      <c r="I387" s="7">
        <f>'[1]2021 УГРЦТ'!Y390</f>
        <v>82639.53644067797</v>
      </c>
      <c r="J387" s="7">
        <f>'[1]2021 УГРЦТ'!Z390</f>
        <v>55785.46355932203</v>
      </c>
      <c r="K387" s="8">
        <v>1</v>
      </c>
      <c r="L387" s="7">
        <v>195.51</v>
      </c>
      <c r="M387" s="7"/>
      <c r="N387" s="7">
        <f t="shared" si="1814"/>
        <v>2346.12</v>
      </c>
      <c r="O387" s="7">
        <f t="shared" si="1612"/>
        <v>55589.953559322028</v>
      </c>
      <c r="P387" s="7">
        <f t="shared" si="1928"/>
        <v>55394.443559322026</v>
      </c>
      <c r="Q387" s="7">
        <f t="shared" si="1928"/>
        <v>55198.933559322024</v>
      </c>
      <c r="R387" s="7">
        <f t="shared" si="1928"/>
        <v>55003.423559322022</v>
      </c>
      <c r="S387" s="7">
        <f t="shared" si="1928"/>
        <v>54807.91355932202</v>
      </c>
      <c r="T387" s="7">
        <f t="shared" si="1928"/>
        <v>54612.403559322018</v>
      </c>
      <c r="U387" s="7">
        <f t="shared" si="1928"/>
        <v>54416.893559322016</v>
      </c>
      <c r="V387" s="7">
        <f t="shared" si="1928"/>
        <v>54221.383559322014</v>
      </c>
      <c r="W387" s="7">
        <f t="shared" si="1928"/>
        <v>54025.873559322012</v>
      </c>
      <c r="X387" s="7">
        <f t="shared" si="1928"/>
        <v>53830.36355932201</v>
      </c>
      <c r="Y387" s="7">
        <f t="shared" si="1928"/>
        <v>53634.853559322008</v>
      </c>
      <c r="Z387" s="7">
        <f t="shared" si="1928"/>
        <v>53439.343559322006</v>
      </c>
      <c r="AA387" s="7">
        <f t="shared" si="1853"/>
        <v>1201.4728783050844</v>
      </c>
      <c r="AB387" s="7"/>
      <c r="AC387" s="7">
        <f t="shared" si="1613"/>
        <v>2346.12</v>
      </c>
      <c r="AD387" s="7">
        <f t="shared" si="1614"/>
        <v>53243.833559322004</v>
      </c>
      <c r="AE387" s="7">
        <f t="shared" si="1940"/>
        <v>53048.323559322002</v>
      </c>
      <c r="AF387" s="7">
        <f t="shared" si="1940"/>
        <v>52852.813559321999</v>
      </c>
      <c r="AG387" s="7">
        <f t="shared" si="1940"/>
        <v>52657.303559321997</v>
      </c>
      <c r="AH387" s="7">
        <f t="shared" si="1940"/>
        <v>52461.793559321995</v>
      </c>
      <c r="AI387" s="7">
        <f t="shared" si="1940"/>
        <v>52266.283559321993</v>
      </c>
      <c r="AJ387" s="7">
        <f t="shared" si="1940"/>
        <v>52070.773559321991</v>
      </c>
      <c r="AK387" s="7">
        <f t="shared" si="1940"/>
        <v>51875.263559321989</v>
      </c>
      <c r="AL387" s="7">
        <f t="shared" si="1940"/>
        <v>51679.753559321987</v>
      </c>
      <c r="AM387" s="7">
        <f t="shared" si="1940"/>
        <v>51484.243559321985</v>
      </c>
      <c r="AN387" s="7">
        <f t="shared" si="1940"/>
        <v>51288.733559321983</v>
      </c>
      <c r="AO387" s="7">
        <f t="shared" si="1940"/>
        <v>51093.223559321981</v>
      </c>
      <c r="AP387" s="222">
        <f t="shared" si="1857"/>
        <v>1149.8582383050839</v>
      </c>
      <c r="AQ387" s="7">
        <v>195.51</v>
      </c>
      <c r="AR387" s="7">
        <f t="shared" si="1615"/>
        <v>195.51000000000204</v>
      </c>
      <c r="AS387" s="7">
        <f t="shared" si="1616"/>
        <v>2.0463630789890885E-12</v>
      </c>
      <c r="AT387" s="7">
        <f t="shared" si="1941"/>
        <v>2346.12</v>
      </c>
      <c r="AU387" s="7">
        <f t="shared" si="1942"/>
        <v>50897.713559321979</v>
      </c>
      <c r="AV387" s="7">
        <f t="shared" si="1943"/>
        <v>50702.203559321977</v>
      </c>
      <c r="AW387" s="7">
        <f t="shared" si="1943"/>
        <v>50506.693559321975</v>
      </c>
      <c r="AX387" s="7">
        <f t="shared" si="1943"/>
        <v>50311.183559321973</v>
      </c>
      <c r="AY387" s="7">
        <f t="shared" si="1943"/>
        <v>50115.673559321971</v>
      </c>
      <c r="AZ387" s="7">
        <f t="shared" si="1943"/>
        <v>49920.163559321969</v>
      </c>
      <c r="BA387" s="7">
        <f t="shared" si="1943"/>
        <v>49724.653559321967</v>
      </c>
      <c r="BB387" s="7">
        <f t="shared" si="1943"/>
        <v>49529.143559321965</v>
      </c>
      <c r="BC387" s="7">
        <f t="shared" si="1943"/>
        <v>49333.633559321963</v>
      </c>
      <c r="BD387" s="7">
        <f t="shared" si="1943"/>
        <v>49138.123559321961</v>
      </c>
      <c r="BE387" s="7">
        <f t="shared" si="1943"/>
        <v>48942.613559321959</v>
      </c>
      <c r="BF387" s="7">
        <f t="shared" si="1943"/>
        <v>48747.103559321957</v>
      </c>
      <c r="BG387" s="236">
        <f t="shared" si="1598"/>
        <v>1098.2435983050832</v>
      </c>
      <c r="BH387" s="7">
        <v>195.51</v>
      </c>
      <c r="BI387" s="39">
        <f t="shared" si="1944"/>
        <v>2346.12</v>
      </c>
      <c r="BJ387" s="7">
        <f t="shared" si="1945"/>
        <v>48551.593559321955</v>
      </c>
      <c r="BK387" s="7">
        <f t="shared" si="1946"/>
        <v>48356.083559321953</v>
      </c>
      <c r="BL387" s="7">
        <f t="shared" si="1947"/>
        <v>48160.573559321951</v>
      </c>
      <c r="BM387" s="7">
        <f t="shared" si="1948"/>
        <v>47965.063559321949</v>
      </c>
      <c r="BN387" s="7">
        <f t="shared" si="1949"/>
        <v>47769.553559321947</v>
      </c>
      <c r="BO387" s="7">
        <f t="shared" si="1950"/>
        <v>47574.043559321944</v>
      </c>
      <c r="BP387" s="7">
        <f t="shared" si="1951"/>
        <v>47378.533559321942</v>
      </c>
      <c r="BQ387" s="7">
        <f t="shared" si="1952"/>
        <v>47183.02355932194</v>
      </c>
      <c r="BR387" s="7">
        <f t="shared" si="1953"/>
        <v>46987.513559321938</v>
      </c>
      <c r="BS387" s="7">
        <f t="shared" si="1954"/>
        <v>46792.003559321936</v>
      </c>
      <c r="BT387" s="7">
        <f t="shared" si="1955"/>
        <v>46596.493559321934</v>
      </c>
      <c r="BU387" s="7">
        <f t="shared" si="1956"/>
        <v>46400.983559321932</v>
      </c>
      <c r="BV387" s="236">
        <f t="shared" si="1854"/>
        <v>1046.6289583050827</v>
      </c>
      <c r="BW387" s="7">
        <v>195.51</v>
      </c>
      <c r="BX387" s="39">
        <f t="shared" si="1957"/>
        <v>2346.12</v>
      </c>
      <c r="BY387" s="7">
        <f t="shared" si="1958"/>
        <v>46205.47355932193</v>
      </c>
      <c r="BZ387" s="7">
        <f t="shared" si="1959"/>
        <v>46009.963559321928</v>
      </c>
      <c r="CA387" s="7">
        <f t="shared" si="1960"/>
        <v>45814.453559321926</v>
      </c>
      <c r="CB387" s="7">
        <f t="shared" si="1961"/>
        <v>45618.943559321924</v>
      </c>
      <c r="CC387" s="7">
        <f t="shared" si="1962"/>
        <v>45423.433559321922</v>
      </c>
      <c r="CD387" s="7">
        <f t="shared" si="1963"/>
        <v>45227.92355932192</v>
      </c>
      <c r="CE387" s="7">
        <f t="shared" si="1964"/>
        <v>45032.413559321918</v>
      </c>
      <c r="CF387" s="7">
        <f t="shared" si="1965"/>
        <v>44836.903559321916</v>
      </c>
      <c r="CG387" s="7">
        <f t="shared" si="1966"/>
        <v>44641.393559321914</v>
      </c>
      <c r="CH387" s="7">
        <f t="shared" si="1967"/>
        <v>44445.883559321912</v>
      </c>
      <c r="CI387" s="7">
        <f t="shared" si="1968"/>
        <v>44250.37355932191</v>
      </c>
      <c r="CJ387" s="7">
        <f t="shared" si="1969"/>
        <v>44054.863559321908</v>
      </c>
      <c r="CK387" s="236">
        <f t="shared" si="1855"/>
        <v>995.01431830508216</v>
      </c>
      <c r="CL387" s="7">
        <v>195.51</v>
      </c>
      <c r="CM387" s="39">
        <f t="shared" si="1970"/>
        <v>2346.12</v>
      </c>
      <c r="CN387" s="7">
        <f t="shared" si="1971"/>
        <v>43859.353559321906</v>
      </c>
      <c r="CO387" s="7">
        <f t="shared" si="1972"/>
        <v>43663.843559321904</v>
      </c>
      <c r="CP387" s="7">
        <f t="shared" si="1973"/>
        <v>43468.333559321902</v>
      </c>
      <c r="CQ387" s="7">
        <f t="shared" si="1974"/>
        <v>43272.8235593219</v>
      </c>
      <c r="CR387" s="7">
        <f t="shared" si="1975"/>
        <v>43077.313559321898</v>
      </c>
      <c r="CS387" s="7">
        <f t="shared" si="1976"/>
        <v>42881.803559321896</v>
      </c>
      <c r="CT387" s="7">
        <f t="shared" si="1977"/>
        <v>42686.293559321894</v>
      </c>
      <c r="CU387" s="7">
        <f t="shared" si="1978"/>
        <v>42490.783559321892</v>
      </c>
      <c r="CV387" s="7">
        <f t="shared" si="1979"/>
        <v>42295.273559321889</v>
      </c>
      <c r="CW387" s="7">
        <f t="shared" si="1980"/>
        <v>42099.763559321887</v>
      </c>
      <c r="CX387" s="7">
        <f t="shared" si="1981"/>
        <v>41904.253559321885</v>
      </c>
      <c r="CY387" s="7">
        <f t="shared" si="1982"/>
        <v>41708.743559321883</v>
      </c>
      <c r="CZ387" s="236">
        <f t="shared" si="1856"/>
        <v>943.39967830508169</v>
      </c>
    </row>
    <row r="388" spans="1:104" x14ac:dyDescent="0.2">
      <c r="A388" s="6" t="str">
        <f>'[1]2021 УГРЦТ'!A391</f>
        <v>ТП №32 ул Ленина 41  1985г.</v>
      </c>
      <c r="B388" t="str">
        <f>'[1]2021 УГРЦТ'!B391</f>
        <v>00000588</v>
      </c>
      <c r="C388" t="str">
        <f>'[1]2021 УГРЦТ'!C391</f>
        <v>ПЕРЕДАЧА</v>
      </c>
      <c r="D388" t="str">
        <f>'[1]2021 УГРЦТ'!D391</f>
        <v>Здания</v>
      </c>
      <c r="E388" t="str">
        <f>'[1]2021 УГРЦТ'!E391</f>
        <v>31.01.1985</v>
      </c>
      <c r="F388" t="str">
        <f>'[1]2021 УГРЦТ'!F391</f>
        <v>Цех электрических сетей</v>
      </c>
      <c r="G388">
        <f>'[1]2021 УГРЦТ'!AC391</f>
        <v>708</v>
      </c>
      <c r="H388" s="7">
        <f>'[1]2021 УГРЦТ'!X391</f>
        <v>104326</v>
      </c>
      <c r="I388" s="7">
        <f>'[1]2021 УГРЦТ'!Y391</f>
        <v>64374.107288135594</v>
      </c>
      <c r="J388" s="7">
        <f>'[1]2021 УГРЦТ'!Z391</f>
        <v>39951.892711864406</v>
      </c>
      <c r="K388" s="8">
        <v>1</v>
      </c>
      <c r="L388" s="7">
        <v>147.36000000000001</v>
      </c>
      <c r="M388" s="7"/>
      <c r="N388" s="7">
        <f t="shared" si="1814"/>
        <v>1768.3200000000002</v>
      </c>
      <c r="O388" s="7">
        <f t="shared" si="1612"/>
        <v>39804.532711864405</v>
      </c>
      <c r="P388" s="7">
        <f t="shared" si="1928"/>
        <v>39657.172711864405</v>
      </c>
      <c r="Q388" s="7">
        <f t="shared" si="1928"/>
        <v>39509.812711864404</v>
      </c>
      <c r="R388" s="7">
        <f t="shared" si="1928"/>
        <v>39362.452711864404</v>
      </c>
      <c r="S388" s="7">
        <f t="shared" si="1928"/>
        <v>39215.092711864403</v>
      </c>
      <c r="T388" s="7">
        <f t="shared" si="1928"/>
        <v>39067.732711864403</v>
      </c>
      <c r="U388" s="7">
        <f t="shared" si="1928"/>
        <v>38920.372711864402</v>
      </c>
      <c r="V388" s="7">
        <f t="shared" si="1928"/>
        <v>38773.012711864401</v>
      </c>
      <c r="W388" s="7">
        <f t="shared" si="1928"/>
        <v>38625.652711864401</v>
      </c>
      <c r="X388" s="7">
        <f t="shared" si="1928"/>
        <v>38478.2927118644</v>
      </c>
      <c r="Y388" s="7">
        <f t="shared" si="1928"/>
        <v>38330.9327118644</v>
      </c>
      <c r="Z388" s="7">
        <f t="shared" si="1928"/>
        <v>38183.572711864399</v>
      </c>
      <c r="AA388" s="7">
        <f t="shared" si="1853"/>
        <v>859.49011966101693</v>
      </c>
      <c r="AB388" s="7"/>
      <c r="AC388" s="7">
        <f t="shared" si="1613"/>
        <v>1768.3200000000002</v>
      </c>
      <c r="AD388" s="7">
        <f t="shared" si="1614"/>
        <v>38036.212711864398</v>
      </c>
      <c r="AE388" s="7">
        <f t="shared" si="1940"/>
        <v>37888.852711864398</v>
      </c>
      <c r="AF388" s="7">
        <f t="shared" si="1940"/>
        <v>37741.492711864397</v>
      </c>
      <c r="AG388" s="7">
        <f t="shared" si="1940"/>
        <v>37594.132711864397</v>
      </c>
      <c r="AH388" s="7">
        <f t="shared" si="1940"/>
        <v>37446.772711864396</v>
      </c>
      <c r="AI388" s="7">
        <f t="shared" si="1940"/>
        <v>37299.412711864396</v>
      </c>
      <c r="AJ388" s="7">
        <f t="shared" si="1940"/>
        <v>37152.052711864395</v>
      </c>
      <c r="AK388" s="7">
        <f t="shared" si="1940"/>
        <v>37004.692711864394</v>
      </c>
      <c r="AL388" s="7">
        <f t="shared" si="1940"/>
        <v>36857.332711864394</v>
      </c>
      <c r="AM388" s="7">
        <f t="shared" si="1940"/>
        <v>36709.972711864393</v>
      </c>
      <c r="AN388" s="7">
        <f t="shared" si="1940"/>
        <v>36562.612711864393</v>
      </c>
      <c r="AO388" s="7">
        <f t="shared" si="1940"/>
        <v>36415.252711864392</v>
      </c>
      <c r="AP388" s="222">
        <f t="shared" si="1857"/>
        <v>820.58707966101679</v>
      </c>
      <c r="AQ388" s="7">
        <v>147.36000000000001</v>
      </c>
      <c r="AR388" s="7">
        <f t="shared" si="1615"/>
        <v>147.36000000000058</v>
      </c>
      <c r="AS388" s="7">
        <f t="shared" si="1616"/>
        <v>5.6843418860808015E-13</v>
      </c>
      <c r="AT388" s="7">
        <f t="shared" si="1941"/>
        <v>1768.3200000000002</v>
      </c>
      <c r="AU388" s="7">
        <f t="shared" si="1942"/>
        <v>36267.892711864391</v>
      </c>
      <c r="AV388" s="7">
        <f t="shared" si="1943"/>
        <v>36120.532711864391</v>
      </c>
      <c r="AW388" s="7">
        <f t="shared" si="1943"/>
        <v>35973.17271186439</v>
      </c>
      <c r="AX388" s="7">
        <f t="shared" si="1943"/>
        <v>35825.81271186439</v>
      </c>
      <c r="AY388" s="7">
        <f t="shared" si="1943"/>
        <v>35678.452711864389</v>
      </c>
      <c r="AZ388" s="7">
        <f t="shared" si="1943"/>
        <v>35531.092711864389</v>
      </c>
      <c r="BA388" s="7">
        <f t="shared" si="1943"/>
        <v>35383.732711864388</v>
      </c>
      <c r="BB388" s="7">
        <f t="shared" si="1943"/>
        <v>35236.372711864387</v>
      </c>
      <c r="BC388" s="7">
        <f t="shared" si="1943"/>
        <v>35089.012711864387</v>
      </c>
      <c r="BD388" s="7">
        <f t="shared" si="1943"/>
        <v>34941.652711864386</v>
      </c>
      <c r="BE388" s="7">
        <f t="shared" si="1943"/>
        <v>34794.292711864386</v>
      </c>
      <c r="BF388" s="7">
        <f t="shared" si="1943"/>
        <v>34646.932711864385</v>
      </c>
      <c r="BG388" s="236">
        <f t="shared" ref="BG388:BG451" si="1983">IF(K388&lt;1,0,SUM(AU388:BF388,AO388)/13*$BG$1)</f>
        <v>781.68403966101664</v>
      </c>
      <c r="BH388" s="7">
        <v>147.36000000000001</v>
      </c>
      <c r="BI388" s="39">
        <f t="shared" si="1944"/>
        <v>1768.3200000000002</v>
      </c>
      <c r="BJ388" s="7">
        <f t="shared" si="1945"/>
        <v>34499.572711864384</v>
      </c>
      <c r="BK388" s="7">
        <f t="shared" si="1946"/>
        <v>34352.212711864384</v>
      </c>
      <c r="BL388" s="7">
        <f t="shared" si="1947"/>
        <v>34204.852711864383</v>
      </c>
      <c r="BM388" s="7">
        <f t="shared" si="1948"/>
        <v>34057.492711864383</v>
      </c>
      <c r="BN388" s="7">
        <f t="shared" si="1949"/>
        <v>33910.132711864382</v>
      </c>
      <c r="BO388" s="7">
        <f t="shared" si="1950"/>
        <v>33762.772711864382</v>
      </c>
      <c r="BP388" s="7">
        <f t="shared" si="1951"/>
        <v>33615.412711864381</v>
      </c>
      <c r="BQ388" s="7">
        <f t="shared" si="1952"/>
        <v>33468.05271186438</v>
      </c>
      <c r="BR388" s="7">
        <f t="shared" si="1953"/>
        <v>33320.69271186438</v>
      </c>
      <c r="BS388" s="7">
        <f t="shared" si="1954"/>
        <v>33173.332711864379</v>
      </c>
      <c r="BT388" s="7">
        <f t="shared" si="1955"/>
        <v>33025.972711864379</v>
      </c>
      <c r="BU388" s="7">
        <f t="shared" si="1956"/>
        <v>32878.612711864378</v>
      </c>
      <c r="BV388" s="236">
        <f t="shared" si="1854"/>
        <v>742.78099966101649</v>
      </c>
      <c r="BW388" s="7">
        <v>147.36000000000001</v>
      </c>
      <c r="BX388" s="39">
        <f t="shared" si="1957"/>
        <v>1768.3200000000002</v>
      </c>
      <c r="BY388" s="7">
        <f t="shared" si="1958"/>
        <v>32731.252711864377</v>
      </c>
      <c r="BZ388" s="7">
        <f t="shared" si="1959"/>
        <v>32583.892711864377</v>
      </c>
      <c r="CA388" s="7">
        <f t="shared" si="1960"/>
        <v>32436.532711864376</v>
      </c>
      <c r="CB388" s="7">
        <f t="shared" si="1961"/>
        <v>32289.172711864376</v>
      </c>
      <c r="CC388" s="7">
        <f t="shared" si="1962"/>
        <v>32141.812711864375</v>
      </c>
      <c r="CD388" s="7">
        <f t="shared" si="1963"/>
        <v>31994.452711864375</v>
      </c>
      <c r="CE388" s="7">
        <f t="shared" si="1964"/>
        <v>31847.092711864374</v>
      </c>
      <c r="CF388" s="7">
        <f t="shared" si="1965"/>
        <v>31699.732711864373</v>
      </c>
      <c r="CG388" s="7">
        <f t="shared" si="1966"/>
        <v>31552.372711864373</v>
      </c>
      <c r="CH388" s="7">
        <f t="shared" si="1967"/>
        <v>31405.012711864372</v>
      </c>
      <c r="CI388" s="7">
        <f t="shared" si="1968"/>
        <v>31257.652711864372</v>
      </c>
      <c r="CJ388" s="7">
        <f t="shared" si="1969"/>
        <v>31110.292711864371</v>
      </c>
      <c r="CK388" s="236">
        <f t="shared" si="1855"/>
        <v>703.87795966101635</v>
      </c>
      <c r="CL388" s="7">
        <v>147.36000000000001</v>
      </c>
      <c r="CM388" s="39">
        <f t="shared" si="1970"/>
        <v>1768.3200000000002</v>
      </c>
      <c r="CN388" s="7">
        <f t="shared" si="1971"/>
        <v>30962.932711864371</v>
      </c>
      <c r="CO388" s="7">
        <f t="shared" si="1972"/>
        <v>30815.57271186437</v>
      </c>
      <c r="CP388" s="7">
        <f t="shared" si="1973"/>
        <v>30668.212711864369</v>
      </c>
      <c r="CQ388" s="7">
        <f t="shared" si="1974"/>
        <v>30520.852711864369</v>
      </c>
      <c r="CR388" s="7">
        <f t="shared" si="1975"/>
        <v>30373.492711864368</v>
      </c>
      <c r="CS388" s="7">
        <f t="shared" si="1976"/>
        <v>30226.132711864368</v>
      </c>
      <c r="CT388" s="7">
        <f t="shared" si="1977"/>
        <v>30078.772711864367</v>
      </c>
      <c r="CU388" s="7">
        <f t="shared" si="1978"/>
        <v>29931.412711864366</v>
      </c>
      <c r="CV388" s="7">
        <f t="shared" si="1979"/>
        <v>29784.052711864366</v>
      </c>
      <c r="CW388" s="7">
        <f t="shared" si="1980"/>
        <v>29636.692711864365</v>
      </c>
      <c r="CX388" s="7">
        <f t="shared" si="1981"/>
        <v>29489.332711864365</v>
      </c>
      <c r="CY388" s="7">
        <f t="shared" si="1982"/>
        <v>29341.972711864364</v>
      </c>
      <c r="CZ388" s="236">
        <f t="shared" si="1856"/>
        <v>664.97491966101609</v>
      </c>
    </row>
    <row r="389" spans="1:104" x14ac:dyDescent="0.2">
      <c r="A389" s="6" t="str">
        <f>'[1]2021 УГРЦТ'!A392</f>
        <v>ТП №34 ул Южная 43а  ГКТП 1991г.</v>
      </c>
      <c r="B389" t="str">
        <f>'[1]2021 УГРЦТ'!B392</f>
        <v>00000223</v>
      </c>
      <c r="C389" t="str">
        <f>'[1]2021 УГРЦТ'!C392</f>
        <v>ПЕРЕДАЧА</v>
      </c>
      <c r="D389" t="str">
        <f>'[1]2021 УГРЦТ'!D392</f>
        <v>Здания</v>
      </c>
      <c r="E389" t="str">
        <f>'[1]2021 УГРЦТ'!E392</f>
        <v>30.01.1991</v>
      </c>
      <c r="F389" t="str">
        <f>'[1]2021 УГРЦТ'!F392</f>
        <v>Цех электрических сетей</v>
      </c>
      <c r="G389">
        <f>'[1]2021 УГРЦТ'!AC392</f>
        <v>0</v>
      </c>
      <c r="H389" s="7">
        <f>'[1]2021 УГРЦТ'!X392</f>
        <v>340105.33</v>
      </c>
      <c r="I389" s="7">
        <f>'[1]2021 УГРЦТ'!Y392</f>
        <v>268938.81</v>
      </c>
      <c r="J389" s="7">
        <f>'[1]2021 УГРЦТ'!Z392</f>
        <v>71166.520000000019</v>
      </c>
      <c r="K389" s="8">
        <v>1</v>
      </c>
      <c r="L389" s="7">
        <v>2093.14</v>
      </c>
      <c r="M389" s="7"/>
      <c r="N389" s="7">
        <f t="shared" si="1814"/>
        <v>25117.68</v>
      </c>
      <c r="O389" s="7">
        <f t="shared" ref="O389:O452" si="1984">J389-$L389</f>
        <v>69073.380000000019</v>
      </c>
      <c r="P389" s="7">
        <f t="shared" si="1928"/>
        <v>66980.24000000002</v>
      </c>
      <c r="Q389" s="7">
        <f t="shared" si="1928"/>
        <v>64887.10000000002</v>
      </c>
      <c r="R389" s="7">
        <f t="shared" si="1928"/>
        <v>62793.960000000021</v>
      </c>
      <c r="S389" s="7">
        <f t="shared" si="1928"/>
        <v>60700.820000000022</v>
      </c>
      <c r="T389" s="7">
        <f t="shared" si="1928"/>
        <v>58607.680000000022</v>
      </c>
      <c r="U389" s="7">
        <f t="shared" si="1928"/>
        <v>56514.540000000023</v>
      </c>
      <c r="V389" s="7">
        <f t="shared" si="1928"/>
        <v>54421.400000000023</v>
      </c>
      <c r="W389" s="7">
        <f t="shared" si="1928"/>
        <v>52328.260000000024</v>
      </c>
      <c r="X389" s="7">
        <f t="shared" si="1928"/>
        <v>50235.120000000024</v>
      </c>
      <c r="Y389" s="7">
        <f t="shared" si="1928"/>
        <v>48141.980000000025</v>
      </c>
      <c r="Z389" s="7">
        <f t="shared" si="1928"/>
        <v>46048.840000000026</v>
      </c>
      <c r="AA389" s="7">
        <f t="shared" si="1853"/>
        <v>1289.3689600000005</v>
      </c>
      <c r="AB389" s="7"/>
      <c r="AC389" s="7">
        <f t="shared" ref="AC389:AC452" si="1985">L389*12</f>
        <v>25117.68</v>
      </c>
      <c r="AD389" s="7">
        <f t="shared" ref="AD389:AD452" si="1986">Z389-$L389</f>
        <v>43955.700000000026</v>
      </c>
      <c r="AE389" s="7">
        <f t="shared" si="1940"/>
        <v>41862.560000000027</v>
      </c>
      <c r="AF389" s="7">
        <f t="shared" si="1940"/>
        <v>39769.420000000027</v>
      </c>
      <c r="AG389" s="7">
        <f t="shared" si="1940"/>
        <v>37676.280000000028</v>
      </c>
      <c r="AH389" s="7">
        <f t="shared" si="1940"/>
        <v>35583.140000000029</v>
      </c>
      <c r="AI389" s="7">
        <f t="shared" si="1940"/>
        <v>33490.000000000029</v>
      </c>
      <c r="AJ389" s="7">
        <f t="shared" si="1940"/>
        <v>31396.86000000003</v>
      </c>
      <c r="AK389" s="7">
        <f t="shared" si="1940"/>
        <v>29303.72000000003</v>
      </c>
      <c r="AL389" s="7">
        <f t="shared" si="1940"/>
        <v>27210.580000000031</v>
      </c>
      <c r="AM389" s="7">
        <f t="shared" si="1940"/>
        <v>25117.440000000031</v>
      </c>
      <c r="AN389" s="7">
        <f t="shared" si="1940"/>
        <v>23024.300000000032</v>
      </c>
      <c r="AO389" s="7">
        <f t="shared" si="1940"/>
        <v>20931.160000000033</v>
      </c>
      <c r="AP389" s="222">
        <f t="shared" si="1857"/>
        <v>736.78000000000054</v>
      </c>
      <c r="AQ389" s="7">
        <v>2093.14</v>
      </c>
      <c r="AR389" s="7">
        <f t="shared" ref="AR389:AR452" si="1987">AN389-AO389</f>
        <v>2093.1399999999994</v>
      </c>
      <c r="AS389" s="7">
        <f t="shared" ref="AS389:AS452" si="1988">AR389-AQ389</f>
        <v>0</v>
      </c>
      <c r="AT389" s="7">
        <f>L389*10-0.24</f>
        <v>20931.159999999996</v>
      </c>
      <c r="AU389" s="7">
        <f t="shared" si="1942"/>
        <v>18838.020000000033</v>
      </c>
      <c r="AV389" s="7">
        <f t="shared" si="1943"/>
        <v>16744.880000000034</v>
      </c>
      <c r="AW389" s="7">
        <f t="shared" si="1943"/>
        <v>14651.740000000034</v>
      </c>
      <c r="AX389" s="7">
        <f t="shared" si="1943"/>
        <v>12558.600000000035</v>
      </c>
      <c r="AY389" s="7">
        <f t="shared" si="1943"/>
        <v>10465.460000000036</v>
      </c>
      <c r="AZ389" s="7">
        <f t="shared" si="1943"/>
        <v>8372.3200000000361</v>
      </c>
      <c r="BA389" s="7">
        <f t="shared" si="1943"/>
        <v>6279.1800000000367</v>
      </c>
      <c r="BB389" s="7">
        <f t="shared" si="1943"/>
        <v>4186.0400000000373</v>
      </c>
      <c r="BC389" s="7">
        <f t="shared" si="1943"/>
        <v>2092.9000000000374</v>
      </c>
      <c r="BD389" s="7">
        <f>BC389-$L389+0.24</f>
        <v>3.7507552619331364E-11</v>
      </c>
      <c r="BE389" s="7">
        <f t="shared" ref="BE389:BF389" si="1989">BD389-$L389*0</f>
        <v>3.7507552619331364E-11</v>
      </c>
      <c r="BF389" s="7">
        <f t="shared" si="1989"/>
        <v>3.7507552619331364E-11</v>
      </c>
      <c r="BG389" s="236">
        <f t="shared" si="1983"/>
        <v>194.81896923077005</v>
      </c>
      <c r="BH389" s="7">
        <v>2093.14</v>
      </c>
      <c r="BI389" s="39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236">
        <f t="shared" si="1854"/>
        <v>6.3474319817329991E-14</v>
      </c>
      <c r="BW389" s="7">
        <v>2093.14</v>
      </c>
      <c r="BX389" s="39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236">
        <f t="shared" si="1855"/>
        <v>0</v>
      </c>
      <c r="CL389" s="7">
        <v>2093.14</v>
      </c>
      <c r="CM389" s="39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236">
        <f t="shared" si="1856"/>
        <v>0</v>
      </c>
    </row>
    <row r="390" spans="1:104" x14ac:dyDescent="0.2">
      <c r="A390" s="6" t="str">
        <f>'[1]2021 УГРЦТ'!A393</f>
        <v>ТП №35 ул Ленина 5  1993г.</v>
      </c>
      <c r="B390" t="str">
        <f>'[1]2021 УГРЦТ'!B393</f>
        <v>00000551</v>
      </c>
      <c r="C390" t="str">
        <f>'[1]2021 УГРЦТ'!C393</f>
        <v>ПЕРЕДАЧА</v>
      </c>
      <c r="D390" t="str">
        <f>'[1]2021 УГРЦТ'!D393</f>
        <v>Здания</v>
      </c>
      <c r="E390" t="str">
        <f>'[1]2021 УГРЦТ'!E393</f>
        <v>31.01.1993</v>
      </c>
      <c r="F390" t="str">
        <f>'[1]2021 УГРЦТ'!F393</f>
        <v>Цех электрических сетей</v>
      </c>
      <c r="G390">
        <f>'[1]2021 УГРЦТ'!AC393</f>
        <v>708</v>
      </c>
      <c r="H390" s="7">
        <f>'[1]2021 УГРЦТ'!X393</f>
        <v>2184</v>
      </c>
      <c r="I390" s="7">
        <f>'[1]2021 УГРЦТ'!Y393</f>
        <v>1016.4069491525423</v>
      </c>
      <c r="J390" s="7">
        <f>'[1]2021 УГРЦТ'!Z393</f>
        <v>1167.5930508474576</v>
      </c>
      <c r="K390" s="8">
        <v>1</v>
      </c>
      <c r="L390" s="7">
        <v>3.09</v>
      </c>
      <c r="M390" s="7"/>
      <c r="N390" s="7">
        <f t="shared" si="1814"/>
        <v>37.08</v>
      </c>
      <c r="O390" s="7">
        <f t="shared" si="1984"/>
        <v>1164.5030508474576</v>
      </c>
      <c r="P390" s="7">
        <f t="shared" si="1928"/>
        <v>1161.4130508474577</v>
      </c>
      <c r="Q390" s="7">
        <f t="shared" si="1928"/>
        <v>1158.3230508474578</v>
      </c>
      <c r="R390" s="7">
        <f t="shared" si="1928"/>
        <v>1155.2330508474579</v>
      </c>
      <c r="S390" s="7">
        <f t="shared" si="1928"/>
        <v>1152.143050847458</v>
      </c>
      <c r="T390" s="7">
        <f t="shared" si="1928"/>
        <v>1149.0530508474581</v>
      </c>
      <c r="U390" s="7">
        <f t="shared" si="1928"/>
        <v>1145.9630508474581</v>
      </c>
      <c r="V390" s="7">
        <f t="shared" si="1928"/>
        <v>1142.8730508474582</v>
      </c>
      <c r="W390" s="7">
        <f t="shared" si="1928"/>
        <v>1139.7830508474583</v>
      </c>
      <c r="X390" s="7">
        <f t="shared" si="1928"/>
        <v>1136.6930508474584</v>
      </c>
      <c r="Y390" s="7">
        <f t="shared" si="1928"/>
        <v>1133.6030508474585</v>
      </c>
      <c r="Z390" s="7">
        <f t="shared" si="1928"/>
        <v>1130.5130508474585</v>
      </c>
      <c r="AA390" s="7">
        <f t="shared" si="1853"/>
        <v>25.279167118644075</v>
      </c>
      <c r="AB390" s="7"/>
      <c r="AC390" s="7">
        <f t="shared" si="1985"/>
        <v>37.08</v>
      </c>
      <c r="AD390" s="7">
        <f t="shared" si="1986"/>
        <v>1127.4230508474586</v>
      </c>
      <c r="AE390" s="7">
        <f t="shared" si="1940"/>
        <v>1124.3330508474587</v>
      </c>
      <c r="AF390" s="7">
        <f t="shared" si="1940"/>
        <v>1121.2430508474588</v>
      </c>
      <c r="AG390" s="7">
        <f t="shared" si="1940"/>
        <v>1118.1530508474589</v>
      </c>
      <c r="AH390" s="7">
        <f t="shared" si="1940"/>
        <v>1115.063050847459</v>
      </c>
      <c r="AI390" s="7">
        <f t="shared" si="1940"/>
        <v>1111.973050847459</v>
      </c>
      <c r="AJ390" s="7">
        <f t="shared" si="1940"/>
        <v>1108.8830508474591</v>
      </c>
      <c r="AK390" s="7">
        <f t="shared" si="1940"/>
        <v>1105.7930508474592</v>
      </c>
      <c r="AL390" s="7">
        <f t="shared" si="1940"/>
        <v>1102.7030508474593</v>
      </c>
      <c r="AM390" s="7">
        <f t="shared" si="1940"/>
        <v>1099.6130508474594</v>
      </c>
      <c r="AN390" s="7">
        <f t="shared" si="1940"/>
        <v>1096.5230508474594</v>
      </c>
      <c r="AO390" s="7">
        <f t="shared" si="1940"/>
        <v>1093.4330508474595</v>
      </c>
      <c r="AP390" s="222">
        <f t="shared" si="1857"/>
        <v>24.463407118644103</v>
      </c>
      <c r="AQ390" s="7">
        <v>3.09</v>
      </c>
      <c r="AR390" s="7">
        <f t="shared" si="1987"/>
        <v>3.0899999999999181</v>
      </c>
      <c r="AS390" s="7">
        <f t="shared" si="1988"/>
        <v>-8.1712414612411521E-14</v>
      </c>
      <c r="AT390" s="7">
        <f t="shared" si="1941"/>
        <v>37.08</v>
      </c>
      <c r="AU390" s="7">
        <f t="shared" si="1942"/>
        <v>1090.3430508474596</v>
      </c>
      <c r="AV390" s="7">
        <f t="shared" si="1943"/>
        <v>1087.2530508474597</v>
      </c>
      <c r="AW390" s="7">
        <f t="shared" si="1943"/>
        <v>1084.1630508474598</v>
      </c>
      <c r="AX390" s="7">
        <f t="shared" si="1943"/>
        <v>1081.0730508474599</v>
      </c>
      <c r="AY390" s="7">
        <f t="shared" si="1943"/>
        <v>1077.9830508474599</v>
      </c>
      <c r="AZ390" s="7">
        <f t="shared" si="1943"/>
        <v>1074.89305084746</v>
      </c>
      <c r="BA390" s="7">
        <f t="shared" si="1943"/>
        <v>1071.8030508474601</v>
      </c>
      <c r="BB390" s="7">
        <f t="shared" si="1943"/>
        <v>1068.7130508474602</v>
      </c>
      <c r="BC390" s="7">
        <f t="shared" si="1943"/>
        <v>1065.6230508474603</v>
      </c>
      <c r="BD390" s="7">
        <f t="shared" si="1943"/>
        <v>1062.5330508474603</v>
      </c>
      <c r="BE390" s="7">
        <f t="shared" si="1943"/>
        <v>1059.4430508474604</v>
      </c>
      <c r="BF390" s="7">
        <f t="shared" si="1943"/>
        <v>1056.3530508474605</v>
      </c>
      <c r="BG390" s="236">
        <f t="shared" si="1983"/>
        <v>23.64764711864412</v>
      </c>
      <c r="BH390" s="7">
        <v>3.09</v>
      </c>
      <c r="BI390" s="39">
        <f>BH390*12</f>
        <v>37.08</v>
      </c>
      <c r="BJ390" s="7">
        <f>BF390-BH390</f>
        <v>1053.2630508474606</v>
      </c>
      <c r="BK390" s="7">
        <f t="shared" si="1946"/>
        <v>1050.1730508474607</v>
      </c>
      <c r="BL390" s="7">
        <f t="shared" si="1947"/>
        <v>1047.0830508474608</v>
      </c>
      <c r="BM390" s="7">
        <f t="shared" si="1948"/>
        <v>1043.9930508474608</v>
      </c>
      <c r="BN390" s="7">
        <f t="shared" si="1949"/>
        <v>1040.9030508474609</v>
      </c>
      <c r="BO390" s="7">
        <f t="shared" si="1950"/>
        <v>1037.813050847461</v>
      </c>
      <c r="BP390" s="7">
        <f t="shared" si="1951"/>
        <v>1034.7230508474611</v>
      </c>
      <c r="BQ390" s="7">
        <f t="shared" si="1952"/>
        <v>1031.6330508474612</v>
      </c>
      <c r="BR390" s="7">
        <f t="shared" si="1953"/>
        <v>1028.5430508474612</v>
      </c>
      <c r="BS390" s="7">
        <f t="shared" ref="BS390:BS399" si="1990">BR390-$L390</f>
        <v>1025.4530508474613</v>
      </c>
      <c r="BT390" s="7">
        <f t="shared" ref="BT390:BT399" si="1991">BS390-$L390</f>
        <v>1022.3630508474613</v>
      </c>
      <c r="BU390" s="7">
        <f t="shared" ref="BU390:BU399" si="1992">BT390-$L390</f>
        <v>1019.2730508474613</v>
      </c>
      <c r="BV390" s="236">
        <f t="shared" si="1854"/>
        <v>22.83188711864414</v>
      </c>
      <c r="BW390" s="7">
        <v>3.09</v>
      </c>
      <c r="BX390" s="39">
        <f>BW390*12</f>
        <v>37.08</v>
      </c>
      <c r="BY390" s="7">
        <f>BU390-BW390</f>
        <v>1016.1830508474612</v>
      </c>
      <c r="BZ390" s="7">
        <f t="shared" ref="BZ390:BZ391" si="1993">BY390-$L390</f>
        <v>1013.0930508474612</v>
      </c>
      <c r="CA390" s="7">
        <f t="shared" ref="CA390:CA391" si="1994">BZ390-$L390</f>
        <v>1010.0030508474612</v>
      </c>
      <c r="CB390" s="7">
        <f t="shared" ref="CB390:CB391" si="1995">CA390-$L390</f>
        <v>1006.9130508474611</v>
      </c>
      <c r="CC390" s="7">
        <f t="shared" ref="CC390:CC391" si="1996">CB390-$L390</f>
        <v>1003.8230508474611</v>
      </c>
      <c r="CD390" s="7">
        <f t="shared" ref="CD390:CD391" si="1997">CC390-$L390</f>
        <v>1000.7330508474611</v>
      </c>
      <c r="CE390" s="7">
        <f t="shared" ref="CE390:CE391" si="1998">CD390-$L390</f>
        <v>997.64305084746104</v>
      </c>
      <c r="CF390" s="7">
        <f t="shared" ref="CF390:CF391" si="1999">CE390-$L390</f>
        <v>994.55305084746101</v>
      </c>
      <c r="CG390" s="7">
        <f t="shared" ref="CG390:CG391" si="2000">CF390-$L390</f>
        <v>991.46305084746098</v>
      </c>
      <c r="CH390" s="7">
        <f t="shared" ref="CH390:CH391" si="2001">CG390-$L390</f>
        <v>988.37305084746095</v>
      </c>
      <c r="CI390" s="7">
        <f t="shared" ref="CI390:CI391" si="2002">CH390-$L390</f>
        <v>985.28305084746091</v>
      </c>
      <c r="CJ390" s="7">
        <f t="shared" ref="CJ390:CJ391" si="2003">CI390-$L390</f>
        <v>982.19305084746088</v>
      </c>
      <c r="CK390" s="236">
        <f t="shared" si="1855"/>
        <v>22.016127118644146</v>
      </c>
      <c r="CL390" s="7">
        <v>3.09</v>
      </c>
      <c r="CM390" s="39">
        <f>CL390*12</f>
        <v>37.08</v>
      </c>
      <c r="CN390" s="7">
        <f>CJ390-CL390</f>
        <v>979.10305084746085</v>
      </c>
      <c r="CO390" s="7">
        <f t="shared" ref="CO390:CO391" si="2004">CN390-$L390</f>
        <v>976.01305084746082</v>
      </c>
      <c r="CP390" s="7">
        <f t="shared" ref="CP390:CP391" si="2005">CO390-$L390</f>
        <v>972.92305084746079</v>
      </c>
      <c r="CQ390" s="7">
        <f t="shared" ref="CQ390:CQ391" si="2006">CP390-$L390</f>
        <v>969.83305084746075</v>
      </c>
      <c r="CR390" s="7">
        <f t="shared" ref="CR390:CR391" si="2007">CQ390-$L390</f>
        <v>966.74305084746072</v>
      </c>
      <c r="CS390" s="7">
        <f t="shared" ref="CS390:CS391" si="2008">CR390-$L390</f>
        <v>963.65305084746069</v>
      </c>
      <c r="CT390" s="7">
        <f t="shared" ref="CT390:CT391" si="2009">CS390-$L390</f>
        <v>960.56305084746066</v>
      </c>
      <c r="CU390" s="7">
        <f t="shared" ref="CU390:CU391" si="2010">CT390-$L390</f>
        <v>957.47305084746063</v>
      </c>
      <c r="CV390" s="7">
        <f t="shared" ref="CV390:CV391" si="2011">CU390-$L390</f>
        <v>954.38305084746059</v>
      </c>
      <c r="CW390" s="7">
        <f t="shared" ref="CW390:CW391" si="2012">CV390-$L390</f>
        <v>951.29305084746056</v>
      </c>
      <c r="CX390" s="7">
        <f t="shared" ref="CX390:CX391" si="2013">CW390-$L390</f>
        <v>948.20305084746053</v>
      </c>
      <c r="CY390" s="7">
        <f t="shared" ref="CY390:CY391" si="2014">CX390-$L390</f>
        <v>945.1130508474605</v>
      </c>
      <c r="CZ390" s="236">
        <f t="shared" si="1856"/>
        <v>21.200367118644131</v>
      </c>
    </row>
    <row r="391" spans="1:104" x14ac:dyDescent="0.2">
      <c r="A391" s="6" t="str">
        <f>'[1]2021 УГРЦТ'!A394</f>
        <v>ТП №35 ул. Ленина р-он д.№5 2008г(оборуд-е)</v>
      </c>
      <c r="B391" t="str">
        <f>'[1]2021 УГРЦТ'!B394</f>
        <v>00001089</v>
      </c>
      <c r="C391" t="str">
        <f>'[1]2021 УГРЦТ'!C394</f>
        <v>ПЕРЕДАЧА</v>
      </c>
      <c r="D391" t="str">
        <f>'[1]2021 УГРЦТ'!D394</f>
        <v>Машины и оборудование (кроме офисного)</v>
      </c>
      <c r="E391" t="str">
        <f>'[1]2021 УГРЦТ'!E394</f>
        <v>30.09.2008</v>
      </c>
      <c r="F391" t="str">
        <f>'[1]2021 УГРЦТ'!F394</f>
        <v>Цех электрических сетей</v>
      </c>
      <c r="G391">
        <f>'[1]2021 УГРЦТ'!AC394</f>
        <v>315</v>
      </c>
      <c r="H391" s="7">
        <f>'[1]2021 УГРЦТ'!X394</f>
        <v>603015.09</v>
      </c>
      <c r="I391" s="7">
        <f>'[1]2021 УГРЦТ'!Y394</f>
        <v>209953.68</v>
      </c>
      <c r="J391" s="7">
        <f>'[1]2021 УГРЦТ'!Z394</f>
        <v>393061.41</v>
      </c>
      <c r="K391" s="8">
        <v>0</v>
      </c>
      <c r="L391" s="7">
        <v>2519.6199999999994</v>
      </c>
      <c r="M391" s="7"/>
      <c r="N391" s="7">
        <f t="shared" si="1814"/>
        <v>30235.439999999995</v>
      </c>
      <c r="O391" s="7">
        <f t="shared" si="1984"/>
        <v>390541.79</v>
      </c>
      <c r="P391" s="7">
        <f t="shared" ref="P391:Z406" si="2015">O391-$L391</f>
        <v>388022.17</v>
      </c>
      <c r="Q391" s="7">
        <f t="shared" si="2015"/>
        <v>385502.55</v>
      </c>
      <c r="R391" s="7">
        <f t="shared" si="2015"/>
        <v>382982.93</v>
      </c>
      <c r="S391" s="7">
        <f t="shared" si="2015"/>
        <v>380463.31</v>
      </c>
      <c r="T391" s="7">
        <f t="shared" si="2015"/>
        <v>377943.69</v>
      </c>
      <c r="U391" s="7">
        <f t="shared" si="2015"/>
        <v>375424.07</v>
      </c>
      <c r="V391" s="7">
        <f t="shared" si="2015"/>
        <v>372904.45</v>
      </c>
      <c r="W391" s="7">
        <f t="shared" si="2015"/>
        <v>370384.83</v>
      </c>
      <c r="X391" s="7">
        <f t="shared" si="2015"/>
        <v>367865.21</v>
      </c>
      <c r="Y391" s="7">
        <f t="shared" si="2015"/>
        <v>365345.59</v>
      </c>
      <c r="Z391" s="7">
        <f t="shared" si="2015"/>
        <v>362825.97000000003</v>
      </c>
      <c r="AA391" s="7"/>
      <c r="AB391" s="7"/>
      <c r="AC391" s="7">
        <f t="shared" si="1985"/>
        <v>30235.439999999995</v>
      </c>
      <c r="AD391" s="7">
        <f t="shared" si="1986"/>
        <v>360306.35000000003</v>
      </c>
      <c r="AE391" s="7">
        <f t="shared" si="1940"/>
        <v>357786.73000000004</v>
      </c>
      <c r="AF391" s="7">
        <f t="shared" si="1940"/>
        <v>355267.11000000004</v>
      </c>
      <c r="AG391" s="7">
        <f t="shared" si="1940"/>
        <v>352747.49000000005</v>
      </c>
      <c r="AH391" s="7">
        <f t="shared" si="1940"/>
        <v>350227.87000000005</v>
      </c>
      <c r="AI391" s="7">
        <f t="shared" si="1940"/>
        <v>347708.25000000006</v>
      </c>
      <c r="AJ391" s="7">
        <f t="shared" si="1940"/>
        <v>345188.63000000006</v>
      </c>
      <c r="AK391" s="7">
        <f t="shared" si="1940"/>
        <v>342669.01000000007</v>
      </c>
      <c r="AL391" s="7">
        <f t="shared" si="1940"/>
        <v>340149.39000000007</v>
      </c>
      <c r="AM391" s="7">
        <f t="shared" si="1940"/>
        <v>337629.77000000008</v>
      </c>
      <c r="AN391" s="7">
        <f t="shared" si="1940"/>
        <v>335110.15000000008</v>
      </c>
      <c r="AO391" s="7">
        <f t="shared" si="1940"/>
        <v>332590.53000000009</v>
      </c>
      <c r="AP391" s="222"/>
      <c r="AQ391" s="7">
        <v>2519.6199999999994</v>
      </c>
      <c r="AR391" s="7">
        <f t="shared" si="1987"/>
        <v>2519.6199999999953</v>
      </c>
      <c r="AS391" s="7">
        <f t="shared" si="1988"/>
        <v>-4.0927261579781771E-12</v>
      </c>
      <c r="AT391" s="7">
        <f t="shared" si="1941"/>
        <v>30235.439999999995</v>
      </c>
      <c r="AU391" s="7">
        <f t="shared" si="1942"/>
        <v>330070.91000000009</v>
      </c>
      <c r="AV391" s="7">
        <f t="shared" si="1943"/>
        <v>327551.2900000001</v>
      </c>
      <c r="AW391" s="7">
        <f t="shared" si="1943"/>
        <v>325031.6700000001</v>
      </c>
      <c r="AX391" s="7">
        <f t="shared" si="1943"/>
        <v>322512.0500000001</v>
      </c>
      <c r="AY391" s="7">
        <f t="shared" si="1943"/>
        <v>319992.43000000011</v>
      </c>
      <c r="AZ391" s="7">
        <f t="shared" si="1943"/>
        <v>317472.81000000011</v>
      </c>
      <c r="BA391" s="7">
        <f t="shared" si="1943"/>
        <v>314953.19000000012</v>
      </c>
      <c r="BB391" s="7">
        <f t="shared" si="1943"/>
        <v>312433.57000000012</v>
      </c>
      <c r="BC391" s="7">
        <f t="shared" si="1943"/>
        <v>309913.95000000013</v>
      </c>
      <c r="BD391" s="7">
        <f t="shared" si="1943"/>
        <v>307394.33000000013</v>
      </c>
      <c r="BE391" s="7">
        <f t="shared" si="1943"/>
        <v>304874.71000000014</v>
      </c>
      <c r="BF391" s="7">
        <f t="shared" si="1943"/>
        <v>302355.09000000014</v>
      </c>
      <c r="BG391" s="236">
        <f t="shared" si="1983"/>
        <v>0</v>
      </c>
      <c r="BH391" s="7">
        <v>2519.6199999999994</v>
      </c>
      <c r="BI391" s="39">
        <f>BH391*12</f>
        <v>30235.439999999995</v>
      </c>
      <c r="BJ391" s="7">
        <f>BF391-BH391</f>
        <v>299835.47000000015</v>
      </c>
      <c r="BK391" s="7">
        <f t="shared" si="1946"/>
        <v>297315.85000000015</v>
      </c>
      <c r="BL391" s="7">
        <f t="shared" si="1947"/>
        <v>294796.23000000016</v>
      </c>
      <c r="BM391" s="7">
        <f t="shared" si="1948"/>
        <v>292276.61000000016</v>
      </c>
      <c r="BN391" s="7">
        <f t="shared" si="1949"/>
        <v>289756.99000000017</v>
      </c>
      <c r="BO391" s="7">
        <f t="shared" si="1950"/>
        <v>287237.37000000017</v>
      </c>
      <c r="BP391" s="7">
        <f t="shared" si="1951"/>
        <v>284717.75000000017</v>
      </c>
      <c r="BQ391" s="7">
        <f t="shared" si="1952"/>
        <v>282198.13000000018</v>
      </c>
      <c r="BR391" s="7">
        <f t="shared" si="1953"/>
        <v>279678.51000000018</v>
      </c>
      <c r="BS391" s="7">
        <f t="shared" si="1990"/>
        <v>277158.89000000019</v>
      </c>
      <c r="BT391" s="7">
        <f t="shared" si="1991"/>
        <v>274639.27000000019</v>
      </c>
      <c r="BU391" s="7">
        <f t="shared" si="1992"/>
        <v>272119.6500000002</v>
      </c>
      <c r="BV391" s="236">
        <v>0</v>
      </c>
      <c r="BW391" s="7">
        <v>2519.6199999999994</v>
      </c>
      <c r="BX391" s="39">
        <f>BW391*12</f>
        <v>30235.439999999995</v>
      </c>
      <c r="BY391" s="7">
        <f>BU391-BW391</f>
        <v>269600.0300000002</v>
      </c>
      <c r="BZ391" s="7">
        <f t="shared" si="1993"/>
        <v>267080.41000000021</v>
      </c>
      <c r="CA391" s="7">
        <f t="shared" si="1994"/>
        <v>264560.79000000021</v>
      </c>
      <c r="CB391" s="7">
        <f t="shared" si="1995"/>
        <v>262041.17000000022</v>
      </c>
      <c r="CC391" s="7">
        <f t="shared" si="1996"/>
        <v>259521.55000000022</v>
      </c>
      <c r="CD391" s="7">
        <f t="shared" si="1997"/>
        <v>257001.93000000023</v>
      </c>
      <c r="CE391" s="7">
        <f t="shared" si="1998"/>
        <v>254482.31000000023</v>
      </c>
      <c r="CF391" s="7">
        <f t="shared" si="1999"/>
        <v>251962.69000000024</v>
      </c>
      <c r="CG391" s="7">
        <f t="shared" si="2000"/>
        <v>249443.07000000024</v>
      </c>
      <c r="CH391" s="7">
        <f t="shared" si="2001"/>
        <v>246923.45000000024</v>
      </c>
      <c r="CI391" s="7">
        <f t="shared" si="2002"/>
        <v>244403.83000000025</v>
      </c>
      <c r="CJ391" s="7">
        <f t="shared" si="2003"/>
        <v>241884.21000000025</v>
      </c>
      <c r="CK391" s="236">
        <v>0</v>
      </c>
      <c r="CL391" s="7">
        <v>2519.6199999999994</v>
      </c>
      <c r="CM391" s="39">
        <f>CL391*12</f>
        <v>30235.439999999995</v>
      </c>
      <c r="CN391" s="7">
        <f>CJ391-CL391</f>
        <v>239364.59000000026</v>
      </c>
      <c r="CO391" s="7">
        <f t="shared" si="2004"/>
        <v>236844.97000000026</v>
      </c>
      <c r="CP391" s="7">
        <f t="shared" si="2005"/>
        <v>234325.35000000027</v>
      </c>
      <c r="CQ391" s="7">
        <f t="shared" si="2006"/>
        <v>231805.73000000027</v>
      </c>
      <c r="CR391" s="7">
        <f t="shared" si="2007"/>
        <v>229286.11000000028</v>
      </c>
      <c r="CS391" s="7">
        <f t="shared" si="2008"/>
        <v>226766.49000000028</v>
      </c>
      <c r="CT391" s="7">
        <f t="shared" si="2009"/>
        <v>224246.87000000029</v>
      </c>
      <c r="CU391" s="7">
        <f t="shared" si="2010"/>
        <v>221727.25000000029</v>
      </c>
      <c r="CV391" s="7">
        <f t="shared" si="2011"/>
        <v>219207.6300000003</v>
      </c>
      <c r="CW391" s="7">
        <f t="shared" si="2012"/>
        <v>216688.0100000003</v>
      </c>
      <c r="CX391" s="7">
        <f t="shared" si="2013"/>
        <v>214168.39000000031</v>
      </c>
      <c r="CY391" s="7">
        <f t="shared" si="2014"/>
        <v>211648.77000000031</v>
      </c>
      <c r="CZ391" s="236">
        <v>0</v>
      </c>
    </row>
    <row r="392" spans="1:104" x14ac:dyDescent="0.2">
      <c r="A392" s="6" t="str">
        <f>'[1]2021 УГРЦТ'!A395</f>
        <v>ТП №36  КОП ресторан Север 1993г</v>
      </c>
      <c r="B392" t="str">
        <f>'[1]2021 УГРЦТ'!B395</f>
        <v>00000227</v>
      </c>
      <c r="C392" t="str">
        <f>'[1]2021 УГРЦТ'!C395</f>
        <v>ПЕРЕДАЧА</v>
      </c>
      <c r="D392" t="str">
        <f>'[1]2021 УГРЦТ'!D395</f>
        <v>Здания</v>
      </c>
      <c r="E392" t="str">
        <f>'[1]2021 УГРЦТ'!E395</f>
        <v>31.01.1993</v>
      </c>
      <c r="F392" t="str">
        <f>'[1]2021 УГРЦТ'!F395</f>
        <v>Цех электрических сетей</v>
      </c>
      <c r="G392">
        <f>'[1]2021 УГРЦТ'!AC395</f>
        <v>384</v>
      </c>
      <c r="H392" s="7">
        <f>'[1]2021 УГРЦТ'!X395</f>
        <v>401728.31</v>
      </c>
      <c r="I392" s="7">
        <f>'[1]2021 УГРЦТ'!Y395</f>
        <v>322684.40000000002</v>
      </c>
      <c r="J392" s="7">
        <f>'[1]2021 УГРЦТ'!Z395</f>
        <v>79043.909999999974</v>
      </c>
      <c r="K392" s="8">
        <v>1</v>
      </c>
      <c r="L392" s="7">
        <v>2136.3300000000004</v>
      </c>
      <c r="M392" s="7"/>
      <c r="N392" s="7">
        <f t="shared" si="1814"/>
        <v>25635.960000000006</v>
      </c>
      <c r="O392" s="7">
        <f t="shared" si="1984"/>
        <v>76907.579999999973</v>
      </c>
      <c r="P392" s="7">
        <f t="shared" si="2015"/>
        <v>74771.249999999971</v>
      </c>
      <c r="Q392" s="7">
        <f t="shared" si="2015"/>
        <v>72634.919999999969</v>
      </c>
      <c r="R392" s="7">
        <f t="shared" si="2015"/>
        <v>70498.589999999967</v>
      </c>
      <c r="S392" s="7">
        <f t="shared" si="2015"/>
        <v>68362.259999999966</v>
      </c>
      <c r="T392" s="7">
        <f t="shared" si="2015"/>
        <v>66225.929999999964</v>
      </c>
      <c r="U392" s="7">
        <f t="shared" si="2015"/>
        <v>64089.599999999962</v>
      </c>
      <c r="V392" s="7">
        <f t="shared" si="2015"/>
        <v>61953.26999999996</v>
      </c>
      <c r="W392" s="7">
        <f t="shared" si="2015"/>
        <v>59816.939999999959</v>
      </c>
      <c r="X392" s="7">
        <f t="shared" si="2015"/>
        <v>57680.609999999957</v>
      </c>
      <c r="Y392" s="7">
        <f t="shared" si="2015"/>
        <v>55544.279999999955</v>
      </c>
      <c r="Z392" s="7">
        <f t="shared" si="2015"/>
        <v>53407.949999999953</v>
      </c>
      <c r="AA392" s="7">
        <f t="shared" ref="AA392:AA393" si="2016">SUM(O392:Z392,J392)/13*$AA$1</f>
        <v>1456.9704599999989</v>
      </c>
      <c r="AB392" s="7"/>
      <c r="AC392" s="7">
        <f t="shared" si="1985"/>
        <v>25635.960000000006</v>
      </c>
      <c r="AD392" s="7">
        <f t="shared" si="1986"/>
        <v>51271.619999999952</v>
      </c>
      <c r="AE392" s="7">
        <f t="shared" si="1940"/>
        <v>49135.28999999995</v>
      </c>
      <c r="AF392" s="7">
        <f t="shared" si="1940"/>
        <v>46998.959999999948</v>
      </c>
      <c r="AG392" s="7">
        <f t="shared" si="1940"/>
        <v>44862.629999999946</v>
      </c>
      <c r="AH392" s="7">
        <f t="shared" si="1940"/>
        <v>42726.299999999945</v>
      </c>
      <c r="AI392" s="7">
        <f t="shared" si="1940"/>
        <v>40589.969999999943</v>
      </c>
      <c r="AJ392" s="7">
        <f t="shared" si="1940"/>
        <v>38453.639999999941</v>
      </c>
      <c r="AK392" s="7">
        <f t="shared" si="1940"/>
        <v>36317.309999999939</v>
      </c>
      <c r="AL392" s="7">
        <f t="shared" si="1940"/>
        <v>34180.979999999938</v>
      </c>
      <c r="AM392" s="7">
        <f t="shared" si="1940"/>
        <v>32044.649999999936</v>
      </c>
      <c r="AN392" s="7">
        <f t="shared" si="1940"/>
        <v>29908.319999999934</v>
      </c>
      <c r="AO392" s="7">
        <f t="shared" si="1940"/>
        <v>27771.989999999932</v>
      </c>
      <c r="AP392" s="222">
        <f>IF(K392&lt;1,0,SUM(AD392:AO392,Z392)/13*$BG$1)</f>
        <v>892.9793399999985</v>
      </c>
      <c r="AQ392" s="7">
        <v>2136.3300000000004</v>
      </c>
      <c r="AR392" s="7">
        <f t="shared" si="1987"/>
        <v>2136.3300000000017</v>
      </c>
      <c r="AS392" s="7">
        <f t="shared" si="1988"/>
        <v>0</v>
      </c>
      <c r="AT392" s="7">
        <f t="shared" si="1941"/>
        <v>25635.960000000006</v>
      </c>
      <c r="AU392" s="7">
        <f t="shared" si="1942"/>
        <v>25635.659999999931</v>
      </c>
      <c r="AV392" s="7">
        <f t="shared" si="1943"/>
        <v>23499.329999999929</v>
      </c>
      <c r="AW392" s="7">
        <f t="shared" si="1943"/>
        <v>21362.999999999927</v>
      </c>
      <c r="AX392" s="7">
        <f t="shared" si="1943"/>
        <v>19226.669999999925</v>
      </c>
      <c r="AY392" s="7">
        <f t="shared" si="1943"/>
        <v>17090.339999999924</v>
      </c>
      <c r="AZ392" s="7">
        <f t="shared" si="1943"/>
        <v>14954.009999999924</v>
      </c>
      <c r="BA392" s="7">
        <f t="shared" si="1943"/>
        <v>12817.679999999924</v>
      </c>
      <c r="BB392" s="7">
        <f t="shared" si="1943"/>
        <v>10681.349999999924</v>
      </c>
      <c r="BC392" s="7">
        <f t="shared" si="1943"/>
        <v>8545.019999999924</v>
      </c>
      <c r="BD392" s="7">
        <f t="shared" si="1943"/>
        <v>6408.6899999999241</v>
      </c>
      <c r="BE392" s="7">
        <f t="shared" si="1943"/>
        <v>4272.3599999999242</v>
      </c>
      <c r="BF392" s="7">
        <f t="shared" si="1943"/>
        <v>2136.0299999999238</v>
      </c>
      <c r="BG392" s="236">
        <f t="shared" si="1983"/>
        <v>328.98821999999831</v>
      </c>
      <c r="BH392" s="7">
        <v>2136.3300000000004</v>
      </c>
      <c r="BI392" s="39">
        <v>2136.0300000000002</v>
      </c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236">
        <f>IF(Z392&lt;1,0,SUM(BJ392:BU392,BF392)/13*$BG$1)</f>
        <v>3.6148199999998711</v>
      </c>
      <c r="BW392" s="7">
        <v>2136.3300000000004</v>
      </c>
      <c r="BX392" s="39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236">
        <f>IF(AO392&lt;1,0,SUM(BY392:CJ392,BU392)/13*$BG$1)</f>
        <v>0</v>
      </c>
      <c r="CL392" s="7">
        <v>2136.3300000000004</v>
      </c>
      <c r="CM392" s="39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236">
        <f>IF(BF392&lt;1,0,SUM(CN392:CY392,CJ392)/13*$BG$1)</f>
        <v>0</v>
      </c>
    </row>
    <row r="393" spans="1:104" x14ac:dyDescent="0.2">
      <c r="A393" s="6" t="str">
        <f>'[1]2021 УГРЦТ'!A396</f>
        <v>ТП №37 жил, дом Ленина 27  1984г.</v>
      </c>
      <c r="B393" t="str">
        <f>'[1]2021 УГРЦТ'!B396</f>
        <v>00000150</v>
      </c>
      <c r="C393" t="str">
        <f>'[1]2021 УГРЦТ'!C396</f>
        <v>ПЕРЕДАЧА</v>
      </c>
      <c r="D393" t="str">
        <f>'[1]2021 УГРЦТ'!D396</f>
        <v>Здания</v>
      </c>
      <c r="E393" t="str">
        <f>'[1]2021 УГРЦТ'!E396</f>
        <v>31.01.1994</v>
      </c>
      <c r="F393" t="str">
        <f>'[1]2021 УГРЦТ'!F396</f>
        <v>Цех электрических сетей</v>
      </c>
      <c r="G393">
        <f>'[1]2021 УГРЦТ'!AC396</f>
        <v>708</v>
      </c>
      <c r="H393" s="7">
        <f>'[1]2021 УГРЦТ'!X396</f>
        <v>490429.34</v>
      </c>
      <c r="I393" s="7">
        <f>'[1]2021 УГРЦТ'!Y396</f>
        <v>135458.97999999998</v>
      </c>
      <c r="J393" s="7">
        <f>'[1]2021 УГРЦТ'!Z396</f>
        <v>354970.36000000004</v>
      </c>
      <c r="K393" s="8">
        <v>1</v>
      </c>
      <c r="L393" s="7">
        <v>952.62999999999977</v>
      </c>
      <c r="M393" s="7"/>
      <c r="N393" s="7">
        <f t="shared" si="1814"/>
        <v>11431.559999999998</v>
      </c>
      <c r="O393" s="7">
        <f t="shared" si="1984"/>
        <v>354017.73000000004</v>
      </c>
      <c r="P393" s="7">
        <f t="shared" si="2015"/>
        <v>353065.10000000003</v>
      </c>
      <c r="Q393" s="7">
        <f t="shared" si="2015"/>
        <v>352112.47000000003</v>
      </c>
      <c r="R393" s="7">
        <f t="shared" si="2015"/>
        <v>351159.84</v>
      </c>
      <c r="S393" s="7">
        <f t="shared" si="2015"/>
        <v>350207.21</v>
      </c>
      <c r="T393" s="7">
        <f t="shared" si="2015"/>
        <v>349254.58</v>
      </c>
      <c r="U393" s="7">
        <f t="shared" si="2015"/>
        <v>348301.95</v>
      </c>
      <c r="V393" s="7">
        <f t="shared" si="2015"/>
        <v>347349.32</v>
      </c>
      <c r="W393" s="7">
        <f t="shared" si="2015"/>
        <v>346396.69</v>
      </c>
      <c r="X393" s="7">
        <f t="shared" si="2015"/>
        <v>345444.06</v>
      </c>
      <c r="Y393" s="7">
        <f t="shared" si="2015"/>
        <v>344491.43</v>
      </c>
      <c r="Z393" s="7">
        <f t="shared" si="2015"/>
        <v>343538.8</v>
      </c>
      <c r="AA393" s="7">
        <f t="shared" si="2016"/>
        <v>7683.6007600000003</v>
      </c>
      <c r="AB393" s="7"/>
      <c r="AC393" s="7">
        <f t="shared" si="1985"/>
        <v>11431.559999999998</v>
      </c>
      <c r="AD393" s="7">
        <f t="shared" si="1986"/>
        <v>342586.17</v>
      </c>
      <c r="AE393" s="7">
        <f t="shared" si="1940"/>
        <v>341633.54</v>
      </c>
      <c r="AF393" s="7">
        <f t="shared" si="1940"/>
        <v>340680.91</v>
      </c>
      <c r="AG393" s="7">
        <f t="shared" si="1940"/>
        <v>339728.27999999997</v>
      </c>
      <c r="AH393" s="7">
        <f t="shared" si="1940"/>
        <v>338775.64999999997</v>
      </c>
      <c r="AI393" s="7">
        <f t="shared" si="1940"/>
        <v>337823.01999999996</v>
      </c>
      <c r="AJ393" s="7">
        <f t="shared" si="1940"/>
        <v>336870.38999999996</v>
      </c>
      <c r="AK393" s="7">
        <f t="shared" si="1940"/>
        <v>335917.75999999995</v>
      </c>
      <c r="AL393" s="7">
        <f t="shared" si="1940"/>
        <v>334965.12999999995</v>
      </c>
      <c r="AM393" s="7">
        <f t="shared" si="1940"/>
        <v>334012.49999999994</v>
      </c>
      <c r="AN393" s="7">
        <f t="shared" si="1940"/>
        <v>333059.86999999994</v>
      </c>
      <c r="AO393" s="7">
        <f t="shared" si="1940"/>
        <v>332107.23999999993</v>
      </c>
      <c r="AP393" s="222">
        <f>IF(K393&lt;1,0,SUM(AD393:AO393,Z393)/13*$BG$1)</f>
        <v>7432.1064399999987</v>
      </c>
      <c r="AQ393" s="7">
        <v>952.62999999999977</v>
      </c>
      <c r="AR393" s="7">
        <f t="shared" si="1987"/>
        <v>952.63000000000466</v>
      </c>
      <c r="AS393" s="7">
        <f t="shared" si="1988"/>
        <v>4.8885340220294893E-12</v>
      </c>
      <c r="AT393" s="7">
        <f t="shared" si="1941"/>
        <v>11431.559999999998</v>
      </c>
      <c r="AU393" s="7">
        <f t="shared" si="1942"/>
        <v>331154.60999999993</v>
      </c>
      <c r="AV393" s="7">
        <f t="shared" si="1943"/>
        <v>330201.97999999992</v>
      </c>
      <c r="AW393" s="7">
        <f t="shared" si="1943"/>
        <v>329249.34999999992</v>
      </c>
      <c r="AX393" s="7">
        <f t="shared" si="1943"/>
        <v>328296.71999999991</v>
      </c>
      <c r="AY393" s="7">
        <f t="shared" si="1943"/>
        <v>327344.08999999991</v>
      </c>
      <c r="AZ393" s="7">
        <f t="shared" si="1943"/>
        <v>326391.4599999999</v>
      </c>
      <c r="BA393" s="7">
        <f t="shared" si="1943"/>
        <v>325438.8299999999</v>
      </c>
      <c r="BB393" s="7">
        <f t="shared" si="1943"/>
        <v>324486.1999999999</v>
      </c>
      <c r="BC393" s="7">
        <f t="shared" si="1943"/>
        <v>323533.56999999989</v>
      </c>
      <c r="BD393" s="7">
        <f t="shared" si="1943"/>
        <v>322580.93999999989</v>
      </c>
      <c r="BE393" s="7">
        <f t="shared" si="1943"/>
        <v>321628.30999999988</v>
      </c>
      <c r="BF393" s="7">
        <f t="shared" si="1943"/>
        <v>320675.67999999988</v>
      </c>
      <c r="BG393" s="236">
        <f t="shared" si="1983"/>
        <v>7180.612119999997</v>
      </c>
      <c r="BH393" s="7">
        <v>952.62999999999977</v>
      </c>
      <c r="BI393" s="39">
        <f t="shared" ref="BI393:BI399" si="2017">BH393*12</f>
        <v>11431.559999999998</v>
      </c>
      <c r="BJ393" s="7">
        <f t="shared" ref="BJ393:BJ399" si="2018">BF393-BH393</f>
        <v>319723.04999999987</v>
      </c>
      <c r="BK393" s="7">
        <f t="shared" si="1946"/>
        <v>318770.41999999987</v>
      </c>
      <c r="BL393" s="7">
        <f t="shared" si="1947"/>
        <v>317817.78999999986</v>
      </c>
      <c r="BM393" s="7">
        <f t="shared" si="1948"/>
        <v>316865.15999999986</v>
      </c>
      <c r="BN393" s="7">
        <f t="shared" si="1949"/>
        <v>315912.52999999985</v>
      </c>
      <c r="BO393" s="7">
        <f t="shared" si="1950"/>
        <v>314959.89999999985</v>
      </c>
      <c r="BP393" s="7">
        <f t="shared" si="1951"/>
        <v>314007.26999999984</v>
      </c>
      <c r="BQ393" s="7">
        <f t="shared" si="1952"/>
        <v>313054.63999999984</v>
      </c>
      <c r="BR393" s="7">
        <f t="shared" si="1953"/>
        <v>312102.00999999983</v>
      </c>
      <c r="BS393" s="7">
        <f t="shared" si="1990"/>
        <v>311149.37999999983</v>
      </c>
      <c r="BT393" s="7">
        <f t="shared" si="1991"/>
        <v>310196.74999999983</v>
      </c>
      <c r="BU393" s="7">
        <f t="shared" si="1992"/>
        <v>309244.11999999982</v>
      </c>
      <c r="BV393" s="236">
        <f>IF(Z393&lt;1,0,SUM(BJ393:BU393,BF393)/13*$BG$1)</f>
        <v>6929.1177999999964</v>
      </c>
      <c r="BW393" s="7">
        <v>952.62999999999977</v>
      </c>
      <c r="BX393" s="39">
        <f t="shared" ref="BX393:BX399" si="2019">BW393*12</f>
        <v>11431.559999999998</v>
      </c>
      <c r="BY393" s="7">
        <f t="shared" ref="BY393:BY399" si="2020">BU393-BW393</f>
        <v>308291.48999999982</v>
      </c>
      <c r="BZ393" s="7">
        <f t="shared" ref="BZ393:BZ399" si="2021">BY393-$L393</f>
        <v>307338.85999999981</v>
      </c>
      <c r="CA393" s="7">
        <f t="shared" ref="CA393:CA399" si="2022">BZ393-$L393</f>
        <v>306386.22999999981</v>
      </c>
      <c r="CB393" s="7">
        <f t="shared" ref="CB393:CB399" si="2023">CA393-$L393</f>
        <v>305433.5999999998</v>
      </c>
      <c r="CC393" s="7">
        <f t="shared" ref="CC393:CC399" si="2024">CB393-$L393</f>
        <v>304480.9699999998</v>
      </c>
      <c r="CD393" s="7">
        <f t="shared" ref="CD393:CD399" si="2025">CC393-$L393</f>
        <v>303528.33999999979</v>
      </c>
      <c r="CE393" s="7">
        <f t="shared" ref="CE393:CE399" si="2026">CD393-$L393</f>
        <v>302575.70999999979</v>
      </c>
      <c r="CF393" s="7">
        <f t="shared" ref="CF393:CF399" si="2027">CE393-$L393</f>
        <v>301623.07999999978</v>
      </c>
      <c r="CG393" s="7">
        <f t="shared" ref="CG393:CG399" si="2028">CF393-$L393</f>
        <v>300670.44999999978</v>
      </c>
      <c r="CH393" s="7">
        <f t="shared" ref="CH393:CH399" si="2029">CG393-$L393</f>
        <v>299717.81999999977</v>
      </c>
      <c r="CI393" s="7">
        <f t="shared" ref="CI393:CI399" si="2030">CH393-$L393</f>
        <v>298765.18999999977</v>
      </c>
      <c r="CJ393" s="7">
        <f t="shared" ref="CJ393:CJ399" si="2031">CI393-$L393</f>
        <v>297812.55999999976</v>
      </c>
      <c r="CK393" s="236">
        <f>IF(AO393&lt;1,0,SUM(BY393:CJ393,BU393)/13*$BG$1)</f>
        <v>6677.6234799999947</v>
      </c>
      <c r="CL393" s="7">
        <v>952.62999999999977</v>
      </c>
      <c r="CM393" s="39">
        <f t="shared" ref="CM393:CM399" si="2032">CL393*12</f>
        <v>11431.559999999998</v>
      </c>
      <c r="CN393" s="7">
        <f t="shared" ref="CN393:CN399" si="2033">CJ393-CL393</f>
        <v>296859.92999999976</v>
      </c>
      <c r="CO393" s="7">
        <f t="shared" ref="CO393:CO399" si="2034">CN393-$L393</f>
        <v>295907.29999999976</v>
      </c>
      <c r="CP393" s="7">
        <f t="shared" ref="CP393:CP399" si="2035">CO393-$L393</f>
        <v>294954.66999999975</v>
      </c>
      <c r="CQ393" s="7">
        <f t="shared" ref="CQ393:CQ399" si="2036">CP393-$L393</f>
        <v>294002.03999999975</v>
      </c>
      <c r="CR393" s="7">
        <f t="shared" ref="CR393:CR399" si="2037">CQ393-$L393</f>
        <v>293049.40999999974</v>
      </c>
      <c r="CS393" s="7">
        <f t="shared" ref="CS393:CS399" si="2038">CR393-$L393</f>
        <v>292096.77999999974</v>
      </c>
      <c r="CT393" s="7">
        <f t="shared" ref="CT393:CT399" si="2039">CS393-$L393</f>
        <v>291144.14999999973</v>
      </c>
      <c r="CU393" s="7">
        <f t="shared" ref="CU393:CU399" si="2040">CT393-$L393</f>
        <v>290191.51999999973</v>
      </c>
      <c r="CV393" s="7">
        <f t="shared" ref="CV393:CV399" si="2041">CU393-$L393</f>
        <v>289238.88999999972</v>
      </c>
      <c r="CW393" s="7">
        <f t="shared" ref="CW393:CW399" si="2042">CV393-$L393</f>
        <v>288286.25999999972</v>
      </c>
      <c r="CX393" s="7">
        <f t="shared" ref="CX393:CX399" si="2043">CW393-$L393</f>
        <v>287333.62999999971</v>
      </c>
      <c r="CY393" s="7">
        <f t="shared" ref="CY393:CY399" si="2044">CX393-$L393</f>
        <v>286380.99999999971</v>
      </c>
      <c r="CZ393" s="236">
        <f>IF(BF393&lt;1,0,SUM(CN393:CY393,CJ393)/13*$BG$1)</f>
        <v>6426.129159999994</v>
      </c>
    </row>
    <row r="394" spans="1:104" x14ac:dyDescent="0.2">
      <c r="A394" s="6" t="str">
        <f>'[1]2021 УГРЦТ'!A397</f>
        <v>ТП №38 ул Заполярная   1985г.</v>
      </c>
      <c r="B394" t="str">
        <f>'[1]2021 УГРЦТ'!B397</f>
        <v>00000229</v>
      </c>
      <c r="C394" t="str">
        <f>'[1]2021 УГРЦТ'!C397</f>
        <v>ПЕРЕДАЧА</v>
      </c>
      <c r="D394" t="str">
        <f>'[1]2021 УГРЦТ'!D397</f>
        <v>Машины и оборудование (кроме офисного)</v>
      </c>
      <c r="E394" t="str">
        <f>'[1]2021 УГРЦТ'!E397</f>
        <v>31.12.2011</v>
      </c>
      <c r="F394" t="str">
        <f>'[1]2021 УГРЦТ'!F397</f>
        <v>Цех электрических сетей</v>
      </c>
      <c r="G394">
        <f>'[1]2021 УГРЦТ'!AC397</f>
        <v>708</v>
      </c>
      <c r="H394" s="7">
        <f>'[1]2021 УГРЦТ'!X397</f>
        <v>153796.03</v>
      </c>
      <c r="I394" s="7">
        <f>'[1]2021 УГРЦТ'!Y397</f>
        <v>32673.98</v>
      </c>
      <c r="J394" s="7">
        <f>'[1]2021 УГРЦТ'!Z397</f>
        <v>121122.05</v>
      </c>
      <c r="K394" s="8">
        <v>0</v>
      </c>
      <c r="L394" s="7">
        <v>205.99</v>
      </c>
      <c r="M394" s="7"/>
      <c r="N394" s="7">
        <f t="shared" si="1814"/>
        <v>2471.88</v>
      </c>
      <c r="O394" s="7">
        <f t="shared" si="1984"/>
        <v>120916.06</v>
      </c>
      <c r="P394" s="7">
        <f t="shared" si="2015"/>
        <v>120710.06999999999</v>
      </c>
      <c r="Q394" s="7">
        <f t="shared" si="2015"/>
        <v>120504.07999999999</v>
      </c>
      <c r="R394" s="7">
        <f t="shared" si="2015"/>
        <v>120298.08999999998</v>
      </c>
      <c r="S394" s="7">
        <f t="shared" si="2015"/>
        <v>120092.09999999998</v>
      </c>
      <c r="T394" s="7">
        <f t="shared" si="2015"/>
        <v>119886.10999999997</v>
      </c>
      <c r="U394" s="7">
        <f t="shared" si="2015"/>
        <v>119680.11999999997</v>
      </c>
      <c r="V394" s="7">
        <f t="shared" si="2015"/>
        <v>119474.12999999996</v>
      </c>
      <c r="W394" s="7">
        <f t="shared" si="2015"/>
        <v>119268.13999999996</v>
      </c>
      <c r="X394" s="7">
        <f t="shared" si="2015"/>
        <v>119062.14999999995</v>
      </c>
      <c r="Y394" s="7">
        <f t="shared" si="2015"/>
        <v>118856.15999999995</v>
      </c>
      <c r="Z394" s="7">
        <f t="shared" si="2015"/>
        <v>118650.16999999994</v>
      </c>
      <c r="AA394" s="7"/>
      <c r="AB394" s="7"/>
      <c r="AC394" s="7">
        <f t="shared" si="1985"/>
        <v>2471.88</v>
      </c>
      <c r="AD394" s="7">
        <f t="shared" si="1986"/>
        <v>118444.17999999993</v>
      </c>
      <c r="AE394" s="7">
        <f t="shared" si="1940"/>
        <v>118238.18999999993</v>
      </c>
      <c r="AF394" s="7">
        <f t="shared" si="1940"/>
        <v>118032.19999999992</v>
      </c>
      <c r="AG394" s="7">
        <f t="shared" si="1940"/>
        <v>117826.20999999992</v>
      </c>
      <c r="AH394" s="7">
        <f t="shared" si="1940"/>
        <v>117620.21999999991</v>
      </c>
      <c r="AI394" s="7">
        <f t="shared" si="1940"/>
        <v>117414.22999999991</v>
      </c>
      <c r="AJ394" s="7">
        <f t="shared" si="1940"/>
        <v>117208.2399999999</v>
      </c>
      <c r="AK394" s="7">
        <f t="shared" si="1940"/>
        <v>117002.2499999999</v>
      </c>
      <c r="AL394" s="7">
        <f t="shared" si="1940"/>
        <v>116796.25999999989</v>
      </c>
      <c r="AM394" s="7">
        <f t="shared" si="1940"/>
        <v>116590.26999999989</v>
      </c>
      <c r="AN394" s="7">
        <f t="shared" si="1940"/>
        <v>116384.27999999988</v>
      </c>
      <c r="AO394" s="7">
        <f t="shared" si="1940"/>
        <v>116178.28999999988</v>
      </c>
      <c r="AP394" s="222"/>
      <c r="AQ394" s="7">
        <v>205.99</v>
      </c>
      <c r="AR394" s="7">
        <f t="shared" si="1987"/>
        <v>205.99000000000524</v>
      </c>
      <c r="AS394" s="7">
        <f t="shared" si="1988"/>
        <v>5.2295945351943374E-12</v>
      </c>
      <c r="AT394" s="7">
        <f t="shared" si="1941"/>
        <v>2471.88</v>
      </c>
      <c r="AU394" s="7">
        <f t="shared" si="1942"/>
        <v>115972.29999999987</v>
      </c>
      <c r="AV394" s="7">
        <f t="shared" si="1943"/>
        <v>115766.30999999987</v>
      </c>
      <c r="AW394" s="7">
        <f t="shared" si="1943"/>
        <v>115560.31999999986</v>
      </c>
      <c r="AX394" s="7">
        <f t="shared" si="1943"/>
        <v>115354.32999999986</v>
      </c>
      <c r="AY394" s="7">
        <f t="shared" si="1943"/>
        <v>115148.33999999985</v>
      </c>
      <c r="AZ394" s="7">
        <f t="shared" si="1943"/>
        <v>114942.34999999985</v>
      </c>
      <c r="BA394" s="7">
        <f t="shared" si="1943"/>
        <v>114736.35999999984</v>
      </c>
      <c r="BB394" s="7">
        <f t="shared" si="1943"/>
        <v>114530.36999999984</v>
      </c>
      <c r="BC394" s="7">
        <f t="shared" si="1943"/>
        <v>114324.37999999983</v>
      </c>
      <c r="BD394" s="7">
        <f t="shared" si="1943"/>
        <v>114118.38999999982</v>
      </c>
      <c r="BE394" s="7">
        <f t="shared" si="1943"/>
        <v>113912.39999999982</v>
      </c>
      <c r="BF394" s="7">
        <f t="shared" si="1943"/>
        <v>113706.40999999981</v>
      </c>
      <c r="BG394" s="236">
        <f t="shared" si="1983"/>
        <v>0</v>
      </c>
      <c r="BH394" s="7">
        <v>205.99</v>
      </c>
      <c r="BI394" s="39">
        <f t="shared" si="2017"/>
        <v>2471.88</v>
      </c>
      <c r="BJ394" s="7">
        <f t="shared" si="2018"/>
        <v>113500.41999999981</v>
      </c>
      <c r="BK394" s="7">
        <f t="shared" si="1946"/>
        <v>113294.4299999998</v>
      </c>
      <c r="BL394" s="7">
        <f t="shared" si="1947"/>
        <v>113088.4399999998</v>
      </c>
      <c r="BM394" s="7">
        <f t="shared" si="1948"/>
        <v>112882.44999999979</v>
      </c>
      <c r="BN394" s="7">
        <f t="shared" si="1949"/>
        <v>112676.45999999979</v>
      </c>
      <c r="BO394" s="7">
        <f t="shared" si="1950"/>
        <v>112470.46999999978</v>
      </c>
      <c r="BP394" s="7">
        <f t="shared" si="1951"/>
        <v>112264.47999999978</v>
      </c>
      <c r="BQ394" s="7">
        <f t="shared" si="1952"/>
        <v>112058.48999999977</v>
      </c>
      <c r="BR394" s="7">
        <f t="shared" si="1953"/>
        <v>111852.49999999977</v>
      </c>
      <c r="BS394" s="7">
        <f t="shared" si="1990"/>
        <v>111646.50999999976</v>
      </c>
      <c r="BT394" s="7">
        <f t="shared" si="1991"/>
        <v>111440.51999999976</v>
      </c>
      <c r="BU394" s="7">
        <f t="shared" si="1992"/>
        <v>111234.52999999975</v>
      </c>
      <c r="BV394" s="236">
        <v>0</v>
      </c>
      <c r="BW394" s="7">
        <v>205.99</v>
      </c>
      <c r="BX394" s="39">
        <f t="shared" si="2019"/>
        <v>2471.88</v>
      </c>
      <c r="BY394" s="7">
        <f t="shared" si="2020"/>
        <v>111028.53999999975</v>
      </c>
      <c r="BZ394" s="7">
        <f t="shared" si="2021"/>
        <v>110822.54999999974</v>
      </c>
      <c r="CA394" s="7">
        <f t="shared" si="2022"/>
        <v>110616.55999999974</v>
      </c>
      <c r="CB394" s="7">
        <f t="shared" si="2023"/>
        <v>110410.56999999973</v>
      </c>
      <c r="CC394" s="7">
        <f t="shared" si="2024"/>
        <v>110204.57999999973</v>
      </c>
      <c r="CD394" s="7">
        <f t="shared" si="2025"/>
        <v>109998.58999999972</v>
      </c>
      <c r="CE394" s="7">
        <f t="shared" si="2026"/>
        <v>109792.59999999971</v>
      </c>
      <c r="CF394" s="7">
        <f t="shared" si="2027"/>
        <v>109586.60999999971</v>
      </c>
      <c r="CG394" s="7">
        <f t="shared" si="2028"/>
        <v>109380.6199999997</v>
      </c>
      <c r="CH394" s="7">
        <f t="shared" si="2029"/>
        <v>109174.6299999997</v>
      </c>
      <c r="CI394" s="7">
        <f t="shared" si="2030"/>
        <v>108968.63999999969</v>
      </c>
      <c r="CJ394" s="7">
        <f t="shared" si="2031"/>
        <v>108762.64999999969</v>
      </c>
      <c r="CK394" s="236">
        <v>0</v>
      </c>
      <c r="CL394" s="7">
        <v>205.99</v>
      </c>
      <c r="CM394" s="39">
        <f t="shared" si="2032"/>
        <v>2471.88</v>
      </c>
      <c r="CN394" s="7">
        <f t="shared" si="2033"/>
        <v>108556.65999999968</v>
      </c>
      <c r="CO394" s="7">
        <f t="shared" si="2034"/>
        <v>108350.66999999968</v>
      </c>
      <c r="CP394" s="7">
        <f t="shared" si="2035"/>
        <v>108144.67999999967</v>
      </c>
      <c r="CQ394" s="7">
        <f t="shared" si="2036"/>
        <v>107938.68999999967</v>
      </c>
      <c r="CR394" s="7">
        <f t="shared" si="2037"/>
        <v>107732.69999999966</v>
      </c>
      <c r="CS394" s="7">
        <f t="shared" si="2038"/>
        <v>107526.70999999966</v>
      </c>
      <c r="CT394" s="7">
        <f t="shared" si="2039"/>
        <v>107320.71999999965</v>
      </c>
      <c r="CU394" s="7">
        <f t="shared" si="2040"/>
        <v>107114.72999999965</v>
      </c>
      <c r="CV394" s="7">
        <f t="shared" si="2041"/>
        <v>106908.73999999964</v>
      </c>
      <c r="CW394" s="7">
        <f t="shared" si="2042"/>
        <v>106702.74999999964</v>
      </c>
      <c r="CX394" s="7">
        <f t="shared" si="2043"/>
        <v>106496.75999999963</v>
      </c>
      <c r="CY394" s="7">
        <f t="shared" si="2044"/>
        <v>106290.76999999963</v>
      </c>
      <c r="CZ394" s="236">
        <v>0</v>
      </c>
    </row>
    <row r="395" spans="1:104" x14ac:dyDescent="0.2">
      <c r="A395" s="6" t="str">
        <f>'[1]2021 УГРЦТ'!A398</f>
        <v>ТП №4 АТС  КБО 1993г</v>
      </c>
      <c r="B395" t="str">
        <f>'[1]2021 УГРЦТ'!B398</f>
        <v>00000539</v>
      </c>
      <c r="C395" t="str">
        <f>'[1]2021 УГРЦТ'!C398</f>
        <v>ПЕРЕДАЧА</v>
      </c>
      <c r="D395" t="str">
        <f>'[1]2021 УГРЦТ'!D398</f>
        <v>Здания</v>
      </c>
      <c r="E395" t="str">
        <f>'[1]2021 УГРЦТ'!E398</f>
        <v>31.01.1993</v>
      </c>
      <c r="F395" t="str">
        <f>'[1]2021 УГРЦТ'!F398</f>
        <v>Цех электрических сетей</v>
      </c>
      <c r="G395">
        <f>'[1]2021 УГРЦТ'!AC398</f>
        <v>708</v>
      </c>
      <c r="H395" s="7">
        <f>'[1]2021 УГРЦТ'!X398</f>
        <v>3990</v>
      </c>
      <c r="I395" s="7">
        <f>'[1]2021 УГРЦТ'!Y398</f>
        <v>1872.5671186440679</v>
      </c>
      <c r="J395" s="7">
        <f>'[1]2021 УГРЦТ'!Z398</f>
        <v>2117.4328813559323</v>
      </c>
      <c r="K395" s="8">
        <v>1</v>
      </c>
      <c r="L395" s="7">
        <v>5.63</v>
      </c>
      <c r="M395" s="7"/>
      <c r="N395" s="7">
        <f t="shared" si="1814"/>
        <v>67.56</v>
      </c>
      <c r="O395" s="7">
        <f t="shared" si="1984"/>
        <v>2111.8028813559322</v>
      </c>
      <c r="P395" s="7">
        <f t="shared" si="2015"/>
        <v>2106.1728813559321</v>
      </c>
      <c r="Q395" s="7">
        <f t="shared" si="2015"/>
        <v>2100.542881355932</v>
      </c>
      <c r="R395" s="7">
        <f t="shared" si="2015"/>
        <v>2094.9128813559319</v>
      </c>
      <c r="S395" s="7">
        <f t="shared" si="2015"/>
        <v>2089.2828813559317</v>
      </c>
      <c r="T395" s="7">
        <f t="shared" si="2015"/>
        <v>2083.6528813559316</v>
      </c>
      <c r="U395" s="7">
        <f t="shared" si="2015"/>
        <v>2078.0228813559315</v>
      </c>
      <c r="V395" s="7">
        <f t="shared" si="2015"/>
        <v>2072.3928813559314</v>
      </c>
      <c r="W395" s="7">
        <f t="shared" si="2015"/>
        <v>2066.7628813559313</v>
      </c>
      <c r="X395" s="7">
        <f t="shared" si="2015"/>
        <v>2061.1328813559312</v>
      </c>
      <c r="Y395" s="7">
        <f t="shared" si="2015"/>
        <v>2055.5028813559311</v>
      </c>
      <c r="Z395" s="7">
        <f t="shared" si="2015"/>
        <v>2049.872881355931</v>
      </c>
      <c r="AA395" s="7">
        <f t="shared" ref="AA395:AA396" si="2045">SUM(O395:Z395,J395)/13*$AA$1</f>
        <v>45.840363389830493</v>
      </c>
      <c r="AB395" s="7"/>
      <c r="AC395" s="7">
        <f t="shared" si="1985"/>
        <v>67.56</v>
      </c>
      <c r="AD395" s="7">
        <f t="shared" si="1986"/>
        <v>2044.2428813559309</v>
      </c>
      <c r="AE395" s="7">
        <f t="shared" si="1940"/>
        <v>2038.6128813559308</v>
      </c>
      <c r="AF395" s="7">
        <f t="shared" si="1940"/>
        <v>2032.9828813559307</v>
      </c>
      <c r="AG395" s="7">
        <f t="shared" si="1940"/>
        <v>2027.3528813559305</v>
      </c>
      <c r="AH395" s="7">
        <f t="shared" si="1940"/>
        <v>2021.7228813559304</v>
      </c>
      <c r="AI395" s="7">
        <f t="shared" si="1940"/>
        <v>2016.0928813559303</v>
      </c>
      <c r="AJ395" s="7">
        <f t="shared" si="1940"/>
        <v>2010.4628813559302</v>
      </c>
      <c r="AK395" s="7">
        <f t="shared" si="1940"/>
        <v>2004.8328813559301</v>
      </c>
      <c r="AL395" s="7">
        <f t="shared" si="1940"/>
        <v>1999.20288135593</v>
      </c>
      <c r="AM395" s="7">
        <f t="shared" si="1940"/>
        <v>1993.5728813559299</v>
      </c>
      <c r="AN395" s="7">
        <f t="shared" si="1940"/>
        <v>1987.9428813559298</v>
      </c>
      <c r="AO395" s="7">
        <f t="shared" si="1940"/>
        <v>1982.3128813559297</v>
      </c>
      <c r="AP395" s="222">
        <f>IF(K395&lt;1,0,SUM(AD395:AO395,Z395)/13*$BG$1)</f>
        <v>44.354043389830466</v>
      </c>
      <c r="AQ395" s="7">
        <v>5.63</v>
      </c>
      <c r="AR395" s="7">
        <f t="shared" si="1987"/>
        <v>5.6300000000001091</v>
      </c>
      <c r="AS395" s="7">
        <f t="shared" si="1988"/>
        <v>1.092459456231154E-13</v>
      </c>
      <c r="AT395" s="7">
        <f t="shared" si="1941"/>
        <v>67.56</v>
      </c>
      <c r="AU395" s="7">
        <f t="shared" si="1942"/>
        <v>1976.6828813559296</v>
      </c>
      <c r="AV395" s="7">
        <f t="shared" si="1943"/>
        <v>1971.0528813559295</v>
      </c>
      <c r="AW395" s="7">
        <f t="shared" si="1943"/>
        <v>1965.4228813559293</v>
      </c>
      <c r="AX395" s="7">
        <f t="shared" si="1943"/>
        <v>1959.7928813559292</v>
      </c>
      <c r="AY395" s="7">
        <f t="shared" si="1943"/>
        <v>1954.1628813559291</v>
      </c>
      <c r="AZ395" s="7">
        <f t="shared" si="1943"/>
        <v>1948.532881355929</v>
      </c>
      <c r="BA395" s="7">
        <f t="shared" si="1943"/>
        <v>1942.9028813559289</v>
      </c>
      <c r="BB395" s="7">
        <f t="shared" si="1943"/>
        <v>1937.2728813559288</v>
      </c>
      <c r="BC395" s="7">
        <f t="shared" si="1943"/>
        <v>1931.6428813559287</v>
      </c>
      <c r="BD395" s="7">
        <f t="shared" si="1943"/>
        <v>1926.0128813559286</v>
      </c>
      <c r="BE395" s="7">
        <f t="shared" si="1943"/>
        <v>1920.3828813559285</v>
      </c>
      <c r="BF395" s="7">
        <f t="shared" si="1943"/>
        <v>1914.7528813559284</v>
      </c>
      <c r="BG395" s="236">
        <f t="shared" si="1983"/>
        <v>42.867723389830438</v>
      </c>
      <c r="BH395" s="7">
        <v>5.63</v>
      </c>
      <c r="BI395" s="39">
        <f t="shared" si="2017"/>
        <v>67.56</v>
      </c>
      <c r="BJ395" s="7">
        <f t="shared" si="2018"/>
        <v>1909.1228813559283</v>
      </c>
      <c r="BK395" s="7">
        <f t="shared" si="1946"/>
        <v>1903.4928813559281</v>
      </c>
      <c r="BL395" s="7">
        <f t="shared" si="1947"/>
        <v>1897.862881355928</v>
      </c>
      <c r="BM395" s="7">
        <f t="shared" si="1948"/>
        <v>1892.2328813559279</v>
      </c>
      <c r="BN395" s="7">
        <f t="shared" si="1949"/>
        <v>1886.6028813559278</v>
      </c>
      <c r="BO395" s="7">
        <f t="shared" si="1950"/>
        <v>1880.9728813559277</v>
      </c>
      <c r="BP395" s="7">
        <f t="shared" si="1951"/>
        <v>1875.3428813559276</v>
      </c>
      <c r="BQ395" s="7">
        <f t="shared" si="1952"/>
        <v>1869.7128813559275</v>
      </c>
      <c r="BR395" s="7">
        <f t="shared" si="1953"/>
        <v>1864.0828813559274</v>
      </c>
      <c r="BS395" s="7">
        <f t="shared" si="1990"/>
        <v>1858.4528813559273</v>
      </c>
      <c r="BT395" s="7">
        <f t="shared" si="1991"/>
        <v>1852.8228813559272</v>
      </c>
      <c r="BU395" s="7">
        <f t="shared" si="1992"/>
        <v>1847.1928813559271</v>
      </c>
      <c r="BV395" s="236">
        <f>IF(Z395&lt;1,0,SUM(BJ395:BU395,BF395)/13*$BG$1)</f>
        <v>41.38140338983041</v>
      </c>
      <c r="BW395" s="7">
        <v>5.63</v>
      </c>
      <c r="BX395" s="39">
        <f t="shared" si="2019"/>
        <v>67.56</v>
      </c>
      <c r="BY395" s="7">
        <f t="shared" si="2020"/>
        <v>1841.5628813559269</v>
      </c>
      <c r="BZ395" s="7">
        <f t="shared" si="2021"/>
        <v>1835.9328813559268</v>
      </c>
      <c r="CA395" s="7">
        <f t="shared" si="2022"/>
        <v>1830.3028813559267</v>
      </c>
      <c r="CB395" s="7">
        <f t="shared" si="2023"/>
        <v>1824.6728813559266</v>
      </c>
      <c r="CC395" s="7">
        <f t="shared" si="2024"/>
        <v>1819.0428813559265</v>
      </c>
      <c r="CD395" s="7">
        <f t="shared" si="2025"/>
        <v>1813.4128813559264</v>
      </c>
      <c r="CE395" s="7">
        <f t="shared" si="2026"/>
        <v>1807.7828813559263</v>
      </c>
      <c r="CF395" s="7">
        <f t="shared" si="2027"/>
        <v>1802.1528813559262</v>
      </c>
      <c r="CG395" s="7">
        <f t="shared" si="2028"/>
        <v>1796.5228813559261</v>
      </c>
      <c r="CH395" s="7">
        <f t="shared" si="2029"/>
        <v>1790.892881355926</v>
      </c>
      <c r="CI395" s="7">
        <f t="shared" si="2030"/>
        <v>1785.2628813559259</v>
      </c>
      <c r="CJ395" s="7">
        <f t="shared" si="2031"/>
        <v>1779.6328813559257</v>
      </c>
      <c r="CK395" s="236">
        <f>IF(AO395&lt;1,0,SUM(BY395:CJ395,BU395)/13*$BG$1)</f>
        <v>39.895083389830383</v>
      </c>
      <c r="CL395" s="7">
        <v>5.63</v>
      </c>
      <c r="CM395" s="39">
        <f t="shared" si="2032"/>
        <v>67.56</v>
      </c>
      <c r="CN395" s="7">
        <f t="shared" si="2033"/>
        <v>1774.0028813559256</v>
      </c>
      <c r="CO395" s="7">
        <f t="shared" si="2034"/>
        <v>1768.3728813559255</v>
      </c>
      <c r="CP395" s="7">
        <f t="shared" si="2035"/>
        <v>1762.7428813559254</v>
      </c>
      <c r="CQ395" s="7">
        <f t="shared" si="2036"/>
        <v>1757.1128813559253</v>
      </c>
      <c r="CR395" s="7">
        <f t="shared" si="2037"/>
        <v>1751.4828813559252</v>
      </c>
      <c r="CS395" s="7">
        <f t="shared" si="2038"/>
        <v>1745.8528813559251</v>
      </c>
      <c r="CT395" s="7">
        <f t="shared" si="2039"/>
        <v>1740.222881355925</v>
      </c>
      <c r="CU395" s="7">
        <f t="shared" si="2040"/>
        <v>1734.5928813559249</v>
      </c>
      <c r="CV395" s="7">
        <f t="shared" si="2041"/>
        <v>1728.9628813559248</v>
      </c>
      <c r="CW395" s="7">
        <f t="shared" si="2042"/>
        <v>1723.3328813559247</v>
      </c>
      <c r="CX395" s="7">
        <f t="shared" si="2043"/>
        <v>1717.7028813559245</v>
      </c>
      <c r="CY395" s="7">
        <f t="shared" si="2044"/>
        <v>1712.0728813559244</v>
      </c>
      <c r="CZ395" s="236">
        <f>IF(BF395&lt;1,0,SUM(CN395:CY395,CJ395)/13*$BG$1)</f>
        <v>38.408763389830348</v>
      </c>
    </row>
    <row r="396" spans="1:104" x14ac:dyDescent="0.2">
      <c r="A396" s="6" t="str">
        <f>'[1]2021 УГРЦТ'!A399</f>
        <v>ТП №40-1 школа №2-новая</v>
      </c>
      <c r="B396" t="str">
        <f>'[1]2021 УГРЦТ'!B399</f>
        <v>00001155</v>
      </c>
      <c r="C396" t="str">
        <f>'[1]2021 УГРЦТ'!C399</f>
        <v>ПЕРЕДАЧА</v>
      </c>
      <c r="D396" t="str">
        <f>'[1]2021 УГРЦТ'!D399</f>
        <v>Сооружения</v>
      </c>
      <c r="E396" t="str">
        <f>'[1]2021 УГРЦТ'!E399</f>
        <v>31.12.2009</v>
      </c>
      <c r="F396" t="str">
        <f>'[1]2021 УГРЦТ'!F399</f>
        <v>Цех электрических сетей</v>
      </c>
      <c r="G396">
        <f>'[1]2021 УГРЦТ'!AC399</f>
        <v>360</v>
      </c>
      <c r="H396" s="7">
        <f>'[1]2021 УГРЦТ'!X399</f>
        <v>709010.42</v>
      </c>
      <c r="I396" s="7">
        <f>'[1]2021 УГРЦТ'!Y399</f>
        <v>283603.72066666669</v>
      </c>
      <c r="J396" s="7">
        <f>'[1]2021 УГРЦТ'!Z399</f>
        <v>425406.69933333335</v>
      </c>
      <c r="K396" s="8">
        <v>1</v>
      </c>
      <c r="L396" s="7">
        <v>1969.4700000000003</v>
      </c>
      <c r="M396" s="7"/>
      <c r="N396" s="7">
        <f t="shared" si="1814"/>
        <v>23633.640000000003</v>
      </c>
      <c r="O396" s="7">
        <f t="shared" si="1984"/>
        <v>423437.22933333338</v>
      </c>
      <c r="P396" s="7">
        <f t="shared" si="2015"/>
        <v>421467.75933333341</v>
      </c>
      <c r="Q396" s="7">
        <f t="shared" si="2015"/>
        <v>419498.28933333344</v>
      </c>
      <c r="R396" s="7">
        <f t="shared" si="2015"/>
        <v>417528.81933333346</v>
      </c>
      <c r="S396" s="7">
        <f t="shared" si="2015"/>
        <v>415559.34933333349</v>
      </c>
      <c r="T396" s="7">
        <f t="shared" si="2015"/>
        <v>413589.87933333352</v>
      </c>
      <c r="U396" s="7">
        <f t="shared" si="2015"/>
        <v>411620.40933333355</v>
      </c>
      <c r="V396" s="7">
        <f t="shared" si="2015"/>
        <v>409650.93933333358</v>
      </c>
      <c r="W396" s="7">
        <f t="shared" si="2015"/>
        <v>407681.4693333336</v>
      </c>
      <c r="X396" s="7">
        <f t="shared" si="2015"/>
        <v>405711.99933333363</v>
      </c>
      <c r="Y396" s="7">
        <f t="shared" si="2015"/>
        <v>403742.52933333366</v>
      </c>
      <c r="Z396" s="7">
        <f t="shared" si="2015"/>
        <v>401773.05933333369</v>
      </c>
      <c r="AA396" s="7">
        <f t="shared" si="2045"/>
        <v>9098.9773453333364</v>
      </c>
      <c r="AB396" s="7"/>
      <c r="AC396" s="7">
        <f t="shared" si="1985"/>
        <v>23633.640000000003</v>
      </c>
      <c r="AD396" s="7">
        <f t="shared" si="1986"/>
        <v>399803.58933333372</v>
      </c>
      <c r="AE396" s="7">
        <f t="shared" ref="AE396:AO411" si="2046">AD396-$L396</f>
        <v>397834.11933333374</v>
      </c>
      <c r="AF396" s="7">
        <f t="shared" si="2046"/>
        <v>395864.64933333377</v>
      </c>
      <c r="AG396" s="7">
        <f t="shared" si="2046"/>
        <v>393895.1793333338</v>
      </c>
      <c r="AH396" s="7">
        <f t="shared" si="2046"/>
        <v>391925.70933333383</v>
      </c>
      <c r="AI396" s="7">
        <f t="shared" si="2046"/>
        <v>389956.23933333386</v>
      </c>
      <c r="AJ396" s="7">
        <f t="shared" si="2046"/>
        <v>387986.76933333388</v>
      </c>
      <c r="AK396" s="7">
        <f t="shared" si="2046"/>
        <v>386017.29933333391</v>
      </c>
      <c r="AL396" s="7">
        <f t="shared" si="2046"/>
        <v>384047.82933333394</v>
      </c>
      <c r="AM396" s="7">
        <f t="shared" si="2046"/>
        <v>382078.35933333397</v>
      </c>
      <c r="AN396" s="7">
        <f t="shared" si="2046"/>
        <v>380108.88933333399</v>
      </c>
      <c r="AO396" s="7">
        <f t="shared" si="2046"/>
        <v>378139.41933333402</v>
      </c>
      <c r="AP396" s="222">
        <f>IF(K396&lt;1,0,SUM(AD396:AO396,Z396)/13*$BG$1)</f>
        <v>8579.0372653333452</v>
      </c>
      <c r="AQ396" s="7">
        <v>1969.4700000000003</v>
      </c>
      <c r="AR396" s="7">
        <f t="shared" si="1987"/>
        <v>1969.4699999999721</v>
      </c>
      <c r="AS396" s="7">
        <f t="shared" si="1988"/>
        <v>-2.8194335754960775E-11</v>
      </c>
      <c r="AT396" s="7">
        <f t="shared" si="1941"/>
        <v>23633.640000000003</v>
      </c>
      <c r="AU396" s="7">
        <f t="shared" si="1942"/>
        <v>376169.94933333405</v>
      </c>
      <c r="AV396" s="7">
        <f t="shared" si="1943"/>
        <v>374200.47933333408</v>
      </c>
      <c r="AW396" s="7">
        <f t="shared" si="1943"/>
        <v>372231.00933333411</v>
      </c>
      <c r="AX396" s="7">
        <f t="shared" si="1943"/>
        <v>370261.53933333413</v>
      </c>
      <c r="AY396" s="7">
        <f t="shared" si="1943"/>
        <v>368292.06933333416</v>
      </c>
      <c r="AZ396" s="7">
        <f t="shared" si="1943"/>
        <v>366322.59933333419</v>
      </c>
      <c r="BA396" s="7">
        <f t="shared" si="1943"/>
        <v>364353.12933333422</v>
      </c>
      <c r="BB396" s="7">
        <f t="shared" si="1943"/>
        <v>362383.65933333425</v>
      </c>
      <c r="BC396" s="7">
        <f t="shared" si="1943"/>
        <v>360414.18933333427</v>
      </c>
      <c r="BD396" s="7">
        <f t="shared" si="1943"/>
        <v>358444.7193333343</v>
      </c>
      <c r="BE396" s="7">
        <f t="shared" si="1943"/>
        <v>356475.24933333433</v>
      </c>
      <c r="BF396" s="7">
        <f t="shared" si="1943"/>
        <v>354505.77933333436</v>
      </c>
      <c r="BG396" s="236">
        <f t="shared" si="1983"/>
        <v>8059.0971853333504</v>
      </c>
      <c r="BH396" s="7">
        <v>1969.4700000000003</v>
      </c>
      <c r="BI396" s="39">
        <f t="shared" si="2017"/>
        <v>23633.640000000003</v>
      </c>
      <c r="BJ396" s="7">
        <f t="shared" si="2018"/>
        <v>352536.30933333439</v>
      </c>
      <c r="BK396" s="7">
        <f t="shared" si="1946"/>
        <v>350566.83933333441</v>
      </c>
      <c r="BL396" s="7">
        <f t="shared" si="1947"/>
        <v>348597.36933333444</v>
      </c>
      <c r="BM396" s="7">
        <f t="shared" si="1948"/>
        <v>346627.89933333447</v>
      </c>
      <c r="BN396" s="7">
        <f t="shared" si="1949"/>
        <v>344658.4293333345</v>
      </c>
      <c r="BO396" s="7">
        <f t="shared" si="1950"/>
        <v>342688.95933333453</v>
      </c>
      <c r="BP396" s="7">
        <f t="shared" si="1951"/>
        <v>340719.48933333455</v>
      </c>
      <c r="BQ396" s="7">
        <f t="shared" si="1952"/>
        <v>338750.01933333458</v>
      </c>
      <c r="BR396" s="7">
        <f t="shared" si="1953"/>
        <v>336780.54933333461</v>
      </c>
      <c r="BS396" s="7">
        <f t="shared" si="1990"/>
        <v>334811.07933333464</v>
      </c>
      <c r="BT396" s="7">
        <f t="shared" si="1991"/>
        <v>332841.60933333467</v>
      </c>
      <c r="BU396" s="7">
        <f t="shared" si="1992"/>
        <v>330872.13933333469</v>
      </c>
      <c r="BV396" s="236">
        <f>IF(Z396&lt;1,0,SUM(BJ396:BU396,BF396)/13*$BG$1)</f>
        <v>7539.1571053333582</v>
      </c>
      <c r="BW396" s="7">
        <v>1969.4700000000003</v>
      </c>
      <c r="BX396" s="39">
        <f t="shared" si="2019"/>
        <v>23633.640000000003</v>
      </c>
      <c r="BY396" s="7">
        <f t="shared" si="2020"/>
        <v>328902.66933333472</v>
      </c>
      <c r="BZ396" s="7">
        <f t="shared" si="2021"/>
        <v>326933.19933333475</v>
      </c>
      <c r="CA396" s="7">
        <f t="shared" si="2022"/>
        <v>324963.72933333478</v>
      </c>
      <c r="CB396" s="7">
        <f t="shared" si="2023"/>
        <v>322994.2593333348</v>
      </c>
      <c r="CC396" s="7">
        <f t="shared" si="2024"/>
        <v>321024.78933333483</v>
      </c>
      <c r="CD396" s="7">
        <f t="shared" si="2025"/>
        <v>319055.31933333486</v>
      </c>
      <c r="CE396" s="7">
        <f t="shared" si="2026"/>
        <v>317085.84933333489</v>
      </c>
      <c r="CF396" s="7">
        <f t="shared" si="2027"/>
        <v>315116.37933333492</v>
      </c>
      <c r="CG396" s="7">
        <f t="shared" si="2028"/>
        <v>313146.90933333494</v>
      </c>
      <c r="CH396" s="7">
        <f t="shared" si="2029"/>
        <v>311177.43933333497</v>
      </c>
      <c r="CI396" s="7">
        <f t="shared" si="2030"/>
        <v>309207.969333335</v>
      </c>
      <c r="CJ396" s="7">
        <f t="shared" si="2031"/>
        <v>307238.49933333503</v>
      </c>
      <c r="CK396" s="236">
        <f>IF(AO396&lt;1,0,SUM(BY396:CJ396,BU396)/13*$BG$1)</f>
        <v>7019.2170253333661</v>
      </c>
      <c r="CL396" s="7">
        <v>1969.4700000000003</v>
      </c>
      <c r="CM396" s="39">
        <f t="shared" si="2032"/>
        <v>23633.640000000003</v>
      </c>
      <c r="CN396" s="7">
        <f t="shared" si="2033"/>
        <v>305269.02933333506</v>
      </c>
      <c r="CO396" s="7">
        <f t="shared" si="2034"/>
        <v>303299.55933333508</v>
      </c>
      <c r="CP396" s="7">
        <f t="shared" si="2035"/>
        <v>301330.08933333511</v>
      </c>
      <c r="CQ396" s="7">
        <f t="shared" si="2036"/>
        <v>299360.61933333514</v>
      </c>
      <c r="CR396" s="7">
        <f t="shared" si="2037"/>
        <v>297391.14933333517</v>
      </c>
      <c r="CS396" s="7">
        <f t="shared" si="2038"/>
        <v>295421.6793333352</v>
      </c>
      <c r="CT396" s="7">
        <f t="shared" si="2039"/>
        <v>293452.20933333522</v>
      </c>
      <c r="CU396" s="7">
        <f t="shared" si="2040"/>
        <v>291482.73933333525</v>
      </c>
      <c r="CV396" s="7">
        <f t="shared" si="2041"/>
        <v>289513.26933333528</v>
      </c>
      <c r="CW396" s="7">
        <f t="shared" si="2042"/>
        <v>287543.79933333531</v>
      </c>
      <c r="CX396" s="7">
        <f t="shared" si="2043"/>
        <v>285574.32933333534</v>
      </c>
      <c r="CY396" s="7">
        <f t="shared" si="2044"/>
        <v>283604.85933333536</v>
      </c>
      <c r="CZ396" s="236">
        <f>IF(BF396&lt;1,0,SUM(CN396:CY396,CJ396)/13*$BG$1)</f>
        <v>6499.276945333374</v>
      </c>
    </row>
    <row r="397" spans="1:104" x14ac:dyDescent="0.2">
      <c r="A397" s="6" t="str">
        <f>'[1]2021 УГРЦТ'!A400</f>
        <v>ТП №42 по ул. Рабочая  2008г(оборуд-е)</v>
      </c>
      <c r="B397" t="str">
        <f>'[1]2021 УГРЦТ'!B400</f>
        <v>00001088</v>
      </c>
      <c r="C397" t="str">
        <f>'[1]2021 УГРЦТ'!C400</f>
        <v>ПЕРЕДАЧА</v>
      </c>
      <c r="D397" t="str">
        <f>'[1]2021 УГРЦТ'!D400</f>
        <v>Машины и оборудование (кроме офисного)</v>
      </c>
      <c r="E397" t="str">
        <f>'[1]2021 УГРЦТ'!E400</f>
        <v>30.09.2008</v>
      </c>
      <c r="F397" t="str">
        <f>'[1]2021 УГРЦТ'!F400</f>
        <v>Цех электрических сетей</v>
      </c>
      <c r="G397">
        <f>'[1]2021 УГРЦТ'!AC400</f>
        <v>708</v>
      </c>
      <c r="H397" s="7">
        <f>'[1]2021 УГРЦТ'!X400</f>
        <v>792311.92</v>
      </c>
      <c r="I397" s="7">
        <f>'[1]2021 УГРЦТ'!Y400</f>
        <v>369117.8</v>
      </c>
      <c r="J397" s="7">
        <f>'[1]2021 УГРЦТ'!Z400</f>
        <v>423194.12000000005</v>
      </c>
      <c r="K397" s="8">
        <v>0</v>
      </c>
      <c r="L397" s="7">
        <v>2784.1699999999996</v>
      </c>
      <c r="M397" s="7"/>
      <c r="N397" s="7">
        <f t="shared" si="1814"/>
        <v>33410.039999999994</v>
      </c>
      <c r="O397" s="7">
        <f t="shared" si="1984"/>
        <v>420409.95000000007</v>
      </c>
      <c r="P397" s="7">
        <f t="shared" si="2015"/>
        <v>417625.78000000009</v>
      </c>
      <c r="Q397" s="7">
        <f t="shared" si="2015"/>
        <v>414841.6100000001</v>
      </c>
      <c r="R397" s="7">
        <f t="shared" si="2015"/>
        <v>412057.44000000012</v>
      </c>
      <c r="S397" s="7">
        <f t="shared" si="2015"/>
        <v>409273.27000000014</v>
      </c>
      <c r="T397" s="7">
        <f t="shared" si="2015"/>
        <v>406489.10000000015</v>
      </c>
      <c r="U397" s="7">
        <f t="shared" si="2015"/>
        <v>403704.93000000017</v>
      </c>
      <c r="V397" s="7">
        <f t="shared" si="2015"/>
        <v>400920.76000000018</v>
      </c>
      <c r="W397" s="7">
        <f t="shared" si="2015"/>
        <v>398136.5900000002</v>
      </c>
      <c r="X397" s="7">
        <f t="shared" si="2015"/>
        <v>395352.42000000022</v>
      </c>
      <c r="Y397" s="7">
        <f t="shared" si="2015"/>
        <v>392568.25000000023</v>
      </c>
      <c r="Z397" s="7">
        <f t="shared" si="2015"/>
        <v>389784.08000000025</v>
      </c>
      <c r="AA397" s="7"/>
      <c r="AB397" s="7"/>
      <c r="AC397" s="7">
        <f t="shared" si="1985"/>
        <v>33410.039999999994</v>
      </c>
      <c r="AD397" s="7">
        <f t="shared" si="1986"/>
        <v>386999.91000000027</v>
      </c>
      <c r="AE397" s="7">
        <f t="shared" si="2046"/>
        <v>384215.74000000028</v>
      </c>
      <c r="AF397" s="7">
        <f t="shared" si="2046"/>
        <v>381431.5700000003</v>
      </c>
      <c r="AG397" s="7">
        <f t="shared" si="2046"/>
        <v>378647.40000000031</v>
      </c>
      <c r="AH397" s="7">
        <f t="shared" si="2046"/>
        <v>375863.23000000033</v>
      </c>
      <c r="AI397" s="7">
        <f t="shared" si="2046"/>
        <v>373079.06000000035</v>
      </c>
      <c r="AJ397" s="7">
        <f t="shared" si="2046"/>
        <v>370294.89000000036</v>
      </c>
      <c r="AK397" s="7">
        <f t="shared" si="2046"/>
        <v>367510.72000000038</v>
      </c>
      <c r="AL397" s="7">
        <f t="shared" si="2046"/>
        <v>364726.5500000004</v>
      </c>
      <c r="AM397" s="7">
        <f t="shared" si="2046"/>
        <v>361942.38000000041</v>
      </c>
      <c r="AN397" s="7">
        <f t="shared" si="2046"/>
        <v>359158.21000000043</v>
      </c>
      <c r="AO397" s="7">
        <f t="shared" si="2046"/>
        <v>356374.04000000044</v>
      </c>
      <c r="AP397" s="222"/>
      <c r="AQ397" s="7">
        <v>2784.1699999999996</v>
      </c>
      <c r="AR397" s="7">
        <f t="shared" si="1987"/>
        <v>2784.1699999999837</v>
      </c>
      <c r="AS397" s="7">
        <f t="shared" si="1988"/>
        <v>-1.5916157281026244E-11</v>
      </c>
      <c r="AT397" s="7">
        <f t="shared" si="1941"/>
        <v>33410.039999999994</v>
      </c>
      <c r="AU397" s="7">
        <f t="shared" si="1942"/>
        <v>353589.87000000046</v>
      </c>
      <c r="AV397" s="7">
        <f t="shared" ref="AV397:BF399" si="2047">AU397-$L397</f>
        <v>350805.70000000048</v>
      </c>
      <c r="AW397" s="7">
        <f t="shared" si="2047"/>
        <v>348021.53000000049</v>
      </c>
      <c r="AX397" s="7">
        <f t="shared" si="2047"/>
        <v>345237.36000000051</v>
      </c>
      <c r="AY397" s="7">
        <f t="shared" si="2047"/>
        <v>342453.19000000053</v>
      </c>
      <c r="AZ397" s="7">
        <f t="shared" si="2047"/>
        <v>339669.02000000054</v>
      </c>
      <c r="BA397" s="7">
        <f t="shared" si="2047"/>
        <v>336884.85000000056</v>
      </c>
      <c r="BB397" s="7">
        <f t="shared" si="2047"/>
        <v>334100.68000000058</v>
      </c>
      <c r="BC397" s="7">
        <f t="shared" si="2047"/>
        <v>331316.51000000059</v>
      </c>
      <c r="BD397" s="7">
        <f t="shared" si="2047"/>
        <v>328532.34000000061</v>
      </c>
      <c r="BE397" s="7">
        <f t="shared" si="2047"/>
        <v>325748.17000000062</v>
      </c>
      <c r="BF397" s="7">
        <f t="shared" si="2047"/>
        <v>322964.00000000064</v>
      </c>
      <c r="BG397" s="236">
        <f t="shared" si="1983"/>
        <v>0</v>
      </c>
      <c r="BH397" s="7">
        <v>2784.1699999999996</v>
      </c>
      <c r="BI397" s="39">
        <f t="shared" si="2017"/>
        <v>33410.039999999994</v>
      </c>
      <c r="BJ397" s="7">
        <f t="shared" si="2018"/>
        <v>320179.83000000066</v>
      </c>
      <c r="BK397" s="7">
        <f t="shared" si="1946"/>
        <v>317395.66000000067</v>
      </c>
      <c r="BL397" s="7">
        <f t="shared" si="1947"/>
        <v>314611.49000000069</v>
      </c>
      <c r="BM397" s="7">
        <f t="shared" si="1948"/>
        <v>311827.32000000071</v>
      </c>
      <c r="BN397" s="7">
        <f t="shared" si="1949"/>
        <v>309043.15000000072</v>
      </c>
      <c r="BO397" s="7">
        <f t="shared" si="1950"/>
        <v>306258.98000000074</v>
      </c>
      <c r="BP397" s="7">
        <f t="shared" si="1951"/>
        <v>303474.81000000075</v>
      </c>
      <c r="BQ397" s="7">
        <f t="shared" si="1952"/>
        <v>300690.64000000077</v>
      </c>
      <c r="BR397" s="7">
        <f t="shared" si="1953"/>
        <v>297906.47000000079</v>
      </c>
      <c r="BS397" s="7">
        <f t="shared" si="1990"/>
        <v>295122.3000000008</v>
      </c>
      <c r="BT397" s="7">
        <f t="shared" si="1991"/>
        <v>292338.13000000082</v>
      </c>
      <c r="BU397" s="7">
        <f t="shared" si="1992"/>
        <v>289553.96000000084</v>
      </c>
      <c r="BV397" s="236">
        <v>0</v>
      </c>
      <c r="BW397" s="7">
        <v>2784.1699999999996</v>
      </c>
      <c r="BX397" s="39">
        <f t="shared" si="2019"/>
        <v>33410.039999999994</v>
      </c>
      <c r="BY397" s="7">
        <f t="shared" si="2020"/>
        <v>286769.79000000085</v>
      </c>
      <c r="BZ397" s="7">
        <f t="shared" si="2021"/>
        <v>283985.62000000087</v>
      </c>
      <c r="CA397" s="7">
        <f t="shared" si="2022"/>
        <v>281201.45000000088</v>
      </c>
      <c r="CB397" s="7">
        <f t="shared" si="2023"/>
        <v>278417.2800000009</v>
      </c>
      <c r="CC397" s="7">
        <f t="shared" si="2024"/>
        <v>275633.11000000092</v>
      </c>
      <c r="CD397" s="7">
        <f t="shared" si="2025"/>
        <v>272848.94000000093</v>
      </c>
      <c r="CE397" s="7">
        <f t="shared" si="2026"/>
        <v>270064.77000000095</v>
      </c>
      <c r="CF397" s="7">
        <f t="shared" si="2027"/>
        <v>267280.60000000097</v>
      </c>
      <c r="CG397" s="7">
        <f t="shared" si="2028"/>
        <v>264496.43000000098</v>
      </c>
      <c r="CH397" s="7">
        <f t="shared" si="2029"/>
        <v>261712.26000000097</v>
      </c>
      <c r="CI397" s="7">
        <f t="shared" si="2030"/>
        <v>258928.09000000096</v>
      </c>
      <c r="CJ397" s="7">
        <f t="shared" si="2031"/>
        <v>256143.92000000094</v>
      </c>
      <c r="CK397" s="236">
        <v>0</v>
      </c>
      <c r="CL397" s="7">
        <v>2784.1699999999996</v>
      </c>
      <c r="CM397" s="39">
        <f t="shared" si="2032"/>
        <v>33410.039999999994</v>
      </c>
      <c r="CN397" s="7">
        <f t="shared" si="2033"/>
        <v>253359.75000000093</v>
      </c>
      <c r="CO397" s="7">
        <f t="shared" si="2034"/>
        <v>250575.58000000092</v>
      </c>
      <c r="CP397" s="7">
        <f t="shared" si="2035"/>
        <v>247791.41000000091</v>
      </c>
      <c r="CQ397" s="7">
        <f t="shared" si="2036"/>
        <v>245007.24000000089</v>
      </c>
      <c r="CR397" s="7">
        <f t="shared" si="2037"/>
        <v>242223.07000000088</v>
      </c>
      <c r="CS397" s="7">
        <f t="shared" si="2038"/>
        <v>239438.90000000087</v>
      </c>
      <c r="CT397" s="7">
        <f t="shared" si="2039"/>
        <v>236654.73000000085</v>
      </c>
      <c r="CU397" s="7">
        <f t="shared" si="2040"/>
        <v>233870.56000000084</v>
      </c>
      <c r="CV397" s="7">
        <f t="shared" si="2041"/>
        <v>231086.39000000083</v>
      </c>
      <c r="CW397" s="7">
        <f t="shared" si="2042"/>
        <v>228302.22000000082</v>
      </c>
      <c r="CX397" s="7">
        <f t="shared" si="2043"/>
        <v>225518.0500000008</v>
      </c>
      <c r="CY397" s="7">
        <f t="shared" si="2044"/>
        <v>222733.88000000079</v>
      </c>
      <c r="CZ397" s="236">
        <v>0</v>
      </c>
    </row>
    <row r="398" spans="1:104" x14ac:dyDescent="0.2">
      <c r="A398" s="6" t="str">
        <f>'[1]2021 УГРЦТ'!A401</f>
        <v>ТП №42 ул Рабочая 21 1980г</v>
      </c>
      <c r="B398" t="str">
        <f>'[1]2021 УГРЦТ'!B401</f>
        <v>00000156</v>
      </c>
      <c r="C398" t="str">
        <f>'[1]2021 УГРЦТ'!C401</f>
        <v>ПЕРЕДАЧА</v>
      </c>
      <c r="D398" t="str">
        <f>'[1]2021 УГРЦТ'!D401</f>
        <v>Здания</v>
      </c>
      <c r="E398" t="str">
        <f>'[1]2021 УГРЦТ'!E401</f>
        <v>31.01.1980</v>
      </c>
      <c r="F398" t="str">
        <f>'[1]2021 УГРЦТ'!F401</f>
        <v>Цех электрических сетей</v>
      </c>
      <c r="G398">
        <f>'[1]2021 УГРЦТ'!AC401</f>
        <v>708</v>
      </c>
      <c r="H398" s="7">
        <f>'[1]2021 УГРЦТ'!X401</f>
        <v>94845</v>
      </c>
      <c r="I398" s="7">
        <f>'[1]2021 УГРЦТ'!Y401</f>
        <v>70889.162372881357</v>
      </c>
      <c r="J398" s="7">
        <f>'[1]2021 УГРЦТ'!Z401</f>
        <v>23955.837627118643</v>
      </c>
      <c r="K398" s="8">
        <v>1</v>
      </c>
      <c r="L398" s="7">
        <v>133.97</v>
      </c>
      <c r="M398" s="7"/>
      <c r="N398" s="7">
        <f t="shared" si="1814"/>
        <v>1607.6399999999999</v>
      </c>
      <c r="O398" s="7">
        <f t="shared" si="1984"/>
        <v>23821.867627118641</v>
      </c>
      <c r="P398" s="7">
        <f t="shared" si="2015"/>
        <v>23687.89762711864</v>
      </c>
      <c r="Q398" s="7">
        <f t="shared" si="2015"/>
        <v>23553.927627118639</v>
      </c>
      <c r="R398" s="7">
        <f t="shared" si="2015"/>
        <v>23419.957627118638</v>
      </c>
      <c r="S398" s="7">
        <f t="shared" si="2015"/>
        <v>23285.987627118637</v>
      </c>
      <c r="T398" s="7">
        <f t="shared" si="2015"/>
        <v>23152.017627118636</v>
      </c>
      <c r="U398" s="7">
        <f t="shared" si="2015"/>
        <v>23018.047627118634</v>
      </c>
      <c r="V398" s="7">
        <f t="shared" si="2015"/>
        <v>22884.077627118633</v>
      </c>
      <c r="W398" s="7">
        <f t="shared" si="2015"/>
        <v>22750.107627118632</v>
      </c>
      <c r="X398" s="7">
        <f t="shared" si="2015"/>
        <v>22616.137627118631</v>
      </c>
      <c r="Y398" s="7">
        <f t="shared" si="2015"/>
        <v>22482.16762711863</v>
      </c>
      <c r="Z398" s="7">
        <f t="shared" si="2015"/>
        <v>22348.197627118629</v>
      </c>
      <c r="AA398" s="7">
        <f t="shared" ref="AA398:AA408" si="2048">SUM(O398:Z398,J398)/13*$AA$1</f>
        <v>509.34438779660996</v>
      </c>
      <c r="AB398" s="7"/>
      <c r="AC398" s="7">
        <f t="shared" si="1985"/>
        <v>1607.6399999999999</v>
      </c>
      <c r="AD398" s="7">
        <f t="shared" si="1986"/>
        <v>22214.227627118627</v>
      </c>
      <c r="AE398" s="7">
        <f t="shared" si="2046"/>
        <v>22080.257627118626</v>
      </c>
      <c r="AF398" s="7">
        <f t="shared" si="2046"/>
        <v>21946.287627118625</v>
      </c>
      <c r="AG398" s="7">
        <f t="shared" si="2046"/>
        <v>21812.317627118624</v>
      </c>
      <c r="AH398" s="7">
        <f t="shared" si="2046"/>
        <v>21678.347627118623</v>
      </c>
      <c r="AI398" s="7">
        <f t="shared" si="2046"/>
        <v>21544.377627118622</v>
      </c>
      <c r="AJ398" s="7">
        <f t="shared" si="2046"/>
        <v>21410.40762711862</v>
      </c>
      <c r="AK398" s="7">
        <f t="shared" si="2046"/>
        <v>21276.437627118619</v>
      </c>
      <c r="AL398" s="7">
        <f t="shared" si="2046"/>
        <v>21142.467627118618</v>
      </c>
      <c r="AM398" s="7">
        <f t="shared" si="2046"/>
        <v>21008.497627118617</v>
      </c>
      <c r="AN398" s="7">
        <f t="shared" si="2046"/>
        <v>20874.527627118616</v>
      </c>
      <c r="AO398" s="7">
        <f t="shared" si="2046"/>
        <v>20740.557627118615</v>
      </c>
      <c r="AP398" s="222">
        <f t="shared" ref="AP398:AP406" si="2049">IF(K398&lt;1,0,SUM(AD398:AO398,Z398)/13*$BG$1)</f>
        <v>473.97630779660966</v>
      </c>
      <c r="AQ398" s="7">
        <v>133.97</v>
      </c>
      <c r="AR398" s="7">
        <f t="shared" si="1987"/>
        <v>133.97000000000116</v>
      </c>
      <c r="AS398" s="7">
        <f t="shared" si="1988"/>
        <v>1.1652900866465643E-12</v>
      </c>
      <c r="AT398" s="7">
        <f t="shared" si="1941"/>
        <v>1607.6399999999999</v>
      </c>
      <c r="AU398" s="7">
        <f t="shared" si="1942"/>
        <v>20606.587627118613</v>
      </c>
      <c r="AV398" s="7">
        <f t="shared" si="2047"/>
        <v>20472.617627118612</v>
      </c>
      <c r="AW398" s="7">
        <f t="shared" si="2047"/>
        <v>20338.647627118611</v>
      </c>
      <c r="AX398" s="7">
        <f t="shared" si="2047"/>
        <v>20204.67762711861</v>
      </c>
      <c r="AY398" s="7">
        <f t="shared" si="2047"/>
        <v>20070.707627118609</v>
      </c>
      <c r="AZ398" s="7">
        <f t="shared" si="2047"/>
        <v>19936.737627118608</v>
      </c>
      <c r="BA398" s="7">
        <f t="shared" si="2047"/>
        <v>19802.767627118606</v>
      </c>
      <c r="BB398" s="7">
        <f t="shared" si="2047"/>
        <v>19668.797627118605</v>
      </c>
      <c r="BC398" s="7">
        <f t="shared" si="2047"/>
        <v>19534.827627118604</v>
      </c>
      <c r="BD398" s="7">
        <f t="shared" si="2047"/>
        <v>19400.857627118603</v>
      </c>
      <c r="BE398" s="7">
        <f t="shared" si="2047"/>
        <v>19266.887627118602</v>
      </c>
      <c r="BF398" s="7">
        <f t="shared" si="2047"/>
        <v>19132.917627118601</v>
      </c>
      <c r="BG398" s="236">
        <f t="shared" si="1983"/>
        <v>438.60822779660936</v>
      </c>
      <c r="BH398" s="7">
        <v>133.97</v>
      </c>
      <c r="BI398" s="39">
        <f t="shared" si="2017"/>
        <v>1607.6399999999999</v>
      </c>
      <c r="BJ398" s="7">
        <f t="shared" si="2018"/>
        <v>18998.947627118599</v>
      </c>
      <c r="BK398" s="7">
        <f t="shared" si="1946"/>
        <v>18864.977627118598</v>
      </c>
      <c r="BL398" s="7">
        <f t="shared" si="1947"/>
        <v>18731.007627118597</v>
      </c>
      <c r="BM398" s="7">
        <f t="shared" si="1948"/>
        <v>18597.037627118596</v>
      </c>
      <c r="BN398" s="7">
        <f t="shared" si="1949"/>
        <v>18463.067627118595</v>
      </c>
      <c r="BO398" s="7">
        <f t="shared" si="1950"/>
        <v>18329.097627118594</v>
      </c>
      <c r="BP398" s="7">
        <f t="shared" si="1951"/>
        <v>18195.127627118592</v>
      </c>
      <c r="BQ398" s="7">
        <f t="shared" si="1952"/>
        <v>18061.157627118591</v>
      </c>
      <c r="BR398" s="7">
        <f t="shared" si="1953"/>
        <v>17927.18762711859</v>
      </c>
      <c r="BS398" s="7">
        <f t="shared" si="1990"/>
        <v>17793.217627118589</v>
      </c>
      <c r="BT398" s="7">
        <f t="shared" si="1991"/>
        <v>17659.247627118588</v>
      </c>
      <c r="BU398" s="7">
        <f t="shared" si="1992"/>
        <v>17525.277627118587</v>
      </c>
      <c r="BV398" s="236">
        <f t="shared" ref="BV398:BV408" si="2050">IF(Z398&lt;1,0,SUM(BJ398:BU398,BF398)/13*$BG$1)</f>
        <v>403.24014779660905</v>
      </c>
      <c r="BW398" s="7">
        <v>133.97</v>
      </c>
      <c r="BX398" s="39">
        <f t="shared" si="2019"/>
        <v>1607.6399999999999</v>
      </c>
      <c r="BY398" s="7">
        <f t="shared" si="2020"/>
        <v>17391.307627118586</v>
      </c>
      <c r="BZ398" s="7">
        <f t="shared" si="2021"/>
        <v>17257.337627118584</v>
      </c>
      <c r="CA398" s="7">
        <f t="shared" si="2022"/>
        <v>17123.367627118583</v>
      </c>
      <c r="CB398" s="7">
        <f t="shared" si="2023"/>
        <v>16989.397627118582</v>
      </c>
      <c r="CC398" s="7">
        <f t="shared" si="2024"/>
        <v>16855.427627118581</v>
      </c>
      <c r="CD398" s="7">
        <f t="shared" si="2025"/>
        <v>16721.45762711858</v>
      </c>
      <c r="CE398" s="7">
        <f t="shared" si="2026"/>
        <v>16587.487627118579</v>
      </c>
      <c r="CF398" s="7">
        <f t="shared" si="2027"/>
        <v>16453.517627118577</v>
      </c>
      <c r="CG398" s="7">
        <f t="shared" si="2028"/>
        <v>16319.547627118578</v>
      </c>
      <c r="CH398" s="7">
        <f t="shared" si="2029"/>
        <v>16185.577627118579</v>
      </c>
      <c r="CI398" s="7">
        <f t="shared" si="2030"/>
        <v>16051.607627118579</v>
      </c>
      <c r="CJ398" s="7">
        <f t="shared" si="2031"/>
        <v>15917.63762711858</v>
      </c>
      <c r="CK398" s="236">
        <f t="shared" ref="CK398:CK408" si="2051">IF(AO398&lt;1,0,SUM(BY398:CJ398,BU398)/13*$BG$1)</f>
        <v>367.8720677966088</v>
      </c>
      <c r="CL398" s="7">
        <v>133.97</v>
      </c>
      <c r="CM398" s="39">
        <f t="shared" si="2032"/>
        <v>1607.6399999999999</v>
      </c>
      <c r="CN398" s="7">
        <f t="shared" si="2033"/>
        <v>15783.667627118581</v>
      </c>
      <c r="CO398" s="7">
        <f t="shared" si="2034"/>
        <v>15649.697627118581</v>
      </c>
      <c r="CP398" s="7">
        <f t="shared" si="2035"/>
        <v>15515.727627118582</v>
      </c>
      <c r="CQ398" s="7">
        <f t="shared" si="2036"/>
        <v>15381.757627118583</v>
      </c>
      <c r="CR398" s="7">
        <f t="shared" si="2037"/>
        <v>15247.787627118583</v>
      </c>
      <c r="CS398" s="7">
        <f t="shared" si="2038"/>
        <v>15113.817627118584</v>
      </c>
      <c r="CT398" s="7">
        <f t="shared" si="2039"/>
        <v>14979.847627118585</v>
      </c>
      <c r="CU398" s="7">
        <f t="shared" si="2040"/>
        <v>14845.877627118585</v>
      </c>
      <c r="CV398" s="7">
        <f t="shared" si="2041"/>
        <v>14711.907627118586</v>
      </c>
      <c r="CW398" s="7">
        <f t="shared" si="2042"/>
        <v>14577.937627118587</v>
      </c>
      <c r="CX398" s="7">
        <f t="shared" si="2043"/>
        <v>14443.967627118587</v>
      </c>
      <c r="CY398" s="7">
        <f t="shared" si="2044"/>
        <v>14309.997627118588</v>
      </c>
      <c r="CZ398" s="236">
        <f t="shared" ref="CZ398:CZ408" si="2052">IF(BF398&lt;1,0,SUM(CN398:CY398,CJ398)/13*$BG$1)</f>
        <v>332.50398779660873</v>
      </c>
    </row>
    <row r="399" spans="1:104" x14ac:dyDescent="0.2">
      <c r="A399" s="6" t="str">
        <f>'[1]2021 УГРЦТ'!A402</f>
        <v>ТП №44 "Ненецкая СББЖ г.Нарьян-Мара"</v>
      </c>
      <c r="B399" t="str">
        <f>'[1]2021 УГРЦТ'!B402</f>
        <v>000001668</v>
      </c>
      <c r="C399" t="str">
        <f>'[1]2021 УГРЦТ'!C402</f>
        <v>ПЕРЕДАЧА</v>
      </c>
      <c r="D399" t="str">
        <f>'[1]2021 УГРЦТ'!D402</f>
        <v>Сооружения</v>
      </c>
      <c r="E399" t="str">
        <f>'[1]2021 УГРЦТ'!E402</f>
        <v>31.12.2015</v>
      </c>
      <c r="F399" t="str">
        <f>'[1]2021 УГРЦТ'!F402</f>
        <v>Цех электрических сетей</v>
      </c>
      <c r="G399">
        <f>'[1]2021 УГРЦТ'!AC402</f>
        <v>240</v>
      </c>
      <c r="H399" s="7">
        <f>'[1]2021 УГРЦТ'!X402</f>
        <v>1561848.18</v>
      </c>
      <c r="I399" s="7">
        <f>'[1]2021 УГРЦТ'!Y402</f>
        <v>468554.40899999999</v>
      </c>
      <c r="J399" s="7">
        <f>'[1]2021 УГРЦТ'!Z402</f>
        <v>1093293.7709999999</v>
      </c>
      <c r="K399" s="8">
        <v>1</v>
      </c>
      <c r="L399" s="7">
        <v>6507.699999999998</v>
      </c>
      <c r="M399" s="7"/>
      <c r="N399" s="7">
        <f t="shared" si="1814"/>
        <v>78092.39999999998</v>
      </c>
      <c r="O399" s="7">
        <f t="shared" si="1984"/>
        <v>1086786.071</v>
      </c>
      <c r="P399" s="7">
        <f t="shared" si="2015"/>
        <v>1080278.371</v>
      </c>
      <c r="Q399" s="7">
        <f t="shared" si="2015"/>
        <v>1073770.6710000001</v>
      </c>
      <c r="R399" s="7">
        <f t="shared" si="2015"/>
        <v>1067262.9710000001</v>
      </c>
      <c r="S399" s="7">
        <f t="shared" si="2015"/>
        <v>1060755.2710000002</v>
      </c>
      <c r="T399" s="7">
        <f t="shared" si="2015"/>
        <v>1054247.5710000002</v>
      </c>
      <c r="U399" s="7">
        <f t="shared" si="2015"/>
        <v>1047739.8710000003</v>
      </c>
      <c r="V399" s="7">
        <f t="shared" si="2015"/>
        <v>1041232.1710000003</v>
      </c>
      <c r="W399" s="7">
        <f t="shared" si="2015"/>
        <v>1034724.4710000004</v>
      </c>
      <c r="X399" s="7">
        <f t="shared" si="2015"/>
        <v>1028216.7710000004</v>
      </c>
      <c r="Y399" s="7">
        <f t="shared" si="2015"/>
        <v>1021709.0710000005</v>
      </c>
      <c r="Z399" s="7">
        <f t="shared" si="2015"/>
        <v>1015201.3710000005</v>
      </c>
      <c r="AA399" s="7">
        <f t="shared" si="2048"/>
        <v>23193.446562000005</v>
      </c>
      <c r="AB399" s="7"/>
      <c r="AC399" s="7">
        <f t="shared" si="1985"/>
        <v>78092.39999999998</v>
      </c>
      <c r="AD399" s="7">
        <f t="shared" si="1986"/>
        <v>1008693.6710000006</v>
      </c>
      <c r="AE399" s="7">
        <f t="shared" si="2046"/>
        <v>1002185.9710000006</v>
      </c>
      <c r="AF399" s="7">
        <f t="shared" si="2046"/>
        <v>995678.27100000065</v>
      </c>
      <c r="AG399" s="7">
        <f t="shared" si="2046"/>
        <v>989170.57100000069</v>
      </c>
      <c r="AH399" s="7">
        <f t="shared" si="2046"/>
        <v>982662.87100000074</v>
      </c>
      <c r="AI399" s="7">
        <f t="shared" si="2046"/>
        <v>976155.17100000079</v>
      </c>
      <c r="AJ399" s="7">
        <f t="shared" si="2046"/>
        <v>969647.47100000083</v>
      </c>
      <c r="AK399" s="7">
        <f t="shared" si="2046"/>
        <v>963139.77100000088</v>
      </c>
      <c r="AL399" s="7">
        <f t="shared" si="2046"/>
        <v>956632.07100000093</v>
      </c>
      <c r="AM399" s="7">
        <f t="shared" si="2046"/>
        <v>950124.37100000097</v>
      </c>
      <c r="AN399" s="7">
        <f t="shared" si="2046"/>
        <v>943616.67100000102</v>
      </c>
      <c r="AO399" s="7">
        <f t="shared" si="2046"/>
        <v>937108.97100000107</v>
      </c>
      <c r="AP399" s="222">
        <f t="shared" si="2049"/>
        <v>21475.413762000015</v>
      </c>
      <c r="AQ399" s="7">
        <v>6507.699999999998</v>
      </c>
      <c r="AR399" s="7">
        <f t="shared" si="1987"/>
        <v>6507.6999999999534</v>
      </c>
      <c r="AS399" s="7">
        <f t="shared" si="1988"/>
        <v>-4.4565240386873484E-11</v>
      </c>
      <c r="AT399" s="7">
        <f t="shared" si="1941"/>
        <v>78092.39999999998</v>
      </c>
      <c r="AU399" s="7">
        <f t="shared" si="1942"/>
        <v>930601.27100000111</v>
      </c>
      <c r="AV399" s="7">
        <f t="shared" si="2047"/>
        <v>924093.57100000116</v>
      </c>
      <c r="AW399" s="7">
        <f t="shared" si="2047"/>
        <v>917585.87100000121</v>
      </c>
      <c r="AX399" s="7">
        <f t="shared" si="2047"/>
        <v>911078.17100000125</v>
      </c>
      <c r="AY399" s="7">
        <f t="shared" si="2047"/>
        <v>904570.4710000013</v>
      </c>
      <c r="AZ399" s="7">
        <f t="shared" si="2047"/>
        <v>898062.77100000135</v>
      </c>
      <c r="BA399" s="7">
        <f t="shared" si="2047"/>
        <v>891555.07100000139</v>
      </c>
      <c r="BB399" s="7">
        <f t="shared" si="2047"/>
        <v>885047.37100000144</v>
      </c>
      <c r="BC399" s="7">
        <f t="shared" si="2047"/>
        <v>878539.67100000149</v>
      </c>
      <c r="BD399" s="7">
        <f t="shared" si="2047"/>
        <v>872031.97100000153</v>
      </c>
      <c r="BE399" s="7">
        <f t="shared" si="2047"/>
        <v>865524.27100000158</v>
      </c>
      <c r="BF399" s="7">
        <f t="shared" si="2047"/>
        <v>859016.57100000163</v>
      </c>
      <c r="BG399" s="236">
        <f t="shared" si="1983"/>
        <v>19757.380962000028</v>
      </c>
      <c r="BH399" s="7">
        <v>6507.699999999998</v>
      </c>
      <c r="BI399" s="39">
        <f t="shared" si="2017"/>
        <v>78092.39999999998</v>
      </c>
      <c r="BJ399" s="7">
        <f t="shared" si="2018"/>
        <v>852508.87100000167</v>
      </c>
      <c r="BK399" s="7">
        <f t="shared" si="1946"/>
        <v>846001.17100000172</v>
      </c>
      <c r="BL399" s="7">
        <f t="shared" si="1947"/>
        <v>839493.47100000177</v>
      </c>
      <c r="BM399" s="7">
        <f t="shared" si="1948"/>
        <v>832985.77100000181</v>
      </c>
      <c r="BN399" s="7">
        <f t="shared" si="1949"/>
        <v>826478.07100000186</v>
      </c>
      <c r="BO399" s="7">
        <f t="shared" si="1950"/>
        <v>819970.37100000191</v>
      </c>
      <c r="BP399" s="7">
        <f t="shared" si="1951"/>
        <v>813462.67100000195</v>
      </c>
      <c r="BQ399" s="7">
        <f t="shared" si="1952"/>
        <v>806954.971000002</v>
      </c>
      <c r="BR399" s="7">
        <f t="shared" si="1953"/>
        <v>800447.27100000205</v>
      </c>
      <c r="BS399" s="7">
        <f t="shared" si="1990"/>
        <v>793939.57100000209</v>
      </c>
      <c r="BT399" s="7">
        <f t="shared" si="1991"/>
        <v>787431.87100000214</v>
      </c>
      <c r="BU399" s="7">
        <f t="shared" si="1992"/>
        <v>780924.17100000218</v>
      </c>
      <c r="BV399" s="236">
        <f t="shared" si="2050"/>
        <v>18039.348162000038</v>
      </c>
      <c r="BW399" s="7">
        <v>6507.699999999998</v>
      </c>
      <c r="BX399" s="39">
        <f t="shared" si="2019"/>
        <v>78092.39999999998</v>
      </c>
      <c r="BY399" s="7">
        <f t="shared" si="2020"/>
        <v>774416.47100000223</v>
      </c>
      <c r="BZ399" s="7">
        <f t="shared" si="2021"/>
        <v>767908.77100000228</v>
      </c>
      <c r="CA399" s="7">
        <f t="shared" si="2022"/>
        <v>761401.07100000232</v>
      </c>
      <c r="CB399" s="7">
        <f t="shared" si="2023"/>
        <v>754893.37100000237</v>
      </c>
      <c r="CC399" s="7">
        <f t="shared" si="2024"/>
        <v>748385.67100000242</v>
      </c>
      <c r="CD399" s="7">
        <f t="shared" si="2025"/>
        <v>741877.97100000246</v>
      </c>
      <c r="CE399" s="7">
        <f t="shared" si="2026"/>
        <v>735370.27100000251</v>
      </c>
      <c r="CF399" s="7">
        <f t="shared" si="2027"/>
        <v>728862.57100000256</v>
      </c>
      <c r="CG399" s="7">
        <f t="shared" si="2028"/>
        <v>722354.8710000026</v>
      </c>
      <c r="CH399" s="7">
        <f t="shared" si="2029"/>
        <v>715847.17100000265</v>
      </c>
      <c r="CI399" s="7">
        <f t="shared" si="2030"/>
        <v>709339.4710000027</v>
      </c>
      <c r="CJ399" s="7">
        <f t="shared" si="2031"/>
        <v>702831.77100000274</v>
      </c>
      <c r="CK399" s="236">
        <f t="shared" si="2051"/>
        <v>16321.315362000054</v>
      </c>
      <c r="CL399" s="7">
        <v>6507.699999999998</v>
      </c>
      <c r="CM399" s="39">
        <f t="shared" si="2032"/>
        <v>78092.39999999998</v>
      </c>
      <c r="CN399" s="7">
        <f t="shared" si="2033"/>
        <v>696324.07100000279</v>
      </c>
      <c r="CO399" s="7">
        <f t="shared" si="2034"/>
        <v>689816.37100000284</v>
      </c>
      <c r="CP399" s="7">
        <f t="shared" si="2035"/>
        <v>683308.67100000288</v>
      </c>
      <c r="CQ399" s="7">
        <f t="shared" si="2036"/>
        <v>676800.97100000293</v>
      </c>
      <c r="CR399" s="7">
        <f t="shared" si="2037"/>
        <v>670293.27100000298</v>
      </c>
      <c r="CS399" s="7">
        <f t="shared" si="2038"/>
        <v>663785.57100000302</v>
      </c>
      <c r="CT399" s="7">
        <f t="shared" si="2039"/>
        <v>657277.87100000307</v>
      </c>
      <c r="CU399" s="7">
        <f t="shared" si="2040"/>
        <v>650770.17100000312</v>
      </c>
      <c r="CV399" s="7">
        <f t="shared" si="2041"/>
        <v>644262.47100000316</v>
      </c>
      <c r="CW399" s="7">
        <f t="shared" si="2042"/>
        <v>637754.77100000321</v>
      </c>
      <c r="CX399" s="7">
        <f t="shared" si="2043"/>
        <v>631247.07100000326</v>
      </c>
      <c r="CY399" s="7">
        <f t="shared" si="2044"/>
        <v>624739.3710000033</v>
      </c>
      <c r="CZ399" s="236">
        <f t="shared" si="2052"/>
        <v>14603.282562000066</v>
      </c>
    </row>
    <row r="400" spans="1:104" x14ac:dyDescent="0.2">
      <c r="A400" s="6" t="str">
        <f>'[1]2021 УГРЦТ'!A403</f>
        <v>ТП №45 ПОКиТС 2008г</v>
      </c>
      <c r="B400" t="str">
        <f>'[1]2021 УГРЦТ'!B403</f>
        <v>00001096</v>
      </c>
      <c r="C400" t="str">
        <f>'[1]2021 УГРЦТ'!C403</f>
        <v>ПЕРЕДАЧА</v>
      </c>
      <c r="D400" t="str">
        <f>'[1]2021 УГРЦТ'!D403</f>
        <v>Сооружения</v>
      </c>
      <c r="E400" t="str">
        <f>'[1]2021 УГРЦТ'!E403</f>
        <v>31.10.2008</v>
      </c>
      <c r="F400" t="str">
        <f>'[1]2021 УГРЦТ'!F403</f>
        <v>Цех электрических сетей</v>
      </c>
      <c r="G400">
        <f>'[1]2021 УГРЦТ'!AC403</f>
        <v>180</v>
      </c>
      <c r="H400" s="7">
        <f>'[1]2021 УГРЦТ'!X403</f>
        <v>636241.19999999995</v>
      </c>
      <c r="I400" s="7">
        <f>'[1]2021 УГРЦТ'!Y403</f>
        <v>558477.9</v>
      </c>
      <c r="J400" s="7">
        <f>'[1]2021 УГРЦТ'!Z403</f>
        <v>77763.29999999993</v>
      </c>
      <c r="K400" s="8">
        <v>1</v>
      </c>
      <c r="L400" s="7">
        <v>3534.6699999999987</v>
      </c>
      <c r="M400" s="7"/>
      <c r="N400" s="7">
        <f t="shared" si="1814"/>
        <v>42416.039999999986</v>
      </c>
      <c r="O400" s="7">
        <f t="shared" si="1984"/>
        <v>74228.629999999932</v>
      </c>
      <c r="P400" s="7">
        <f t="shared" si="2015"/>
        <v>70693.959999999934</v>
      </c>
      <c r="Q400" s="7">
        <f t="shared" si="2015"/>
        <v>67159.289999999935</v>
      </c>
      <c r="R400" s="7">
        <f t="shared" si="2015"/>
        <v>63624.619999999937</v>
      </c>
      <c r="S400" s="7">
        <f t="shared" si="2015"/>
        <v>60089.949999999939</v>
      </c>
      <c r="T400" s="7">
        <f t="shared" si="2015"/>
        <v>56555.279999999941</v>
      </c>
      <c r="U400" s="7">
        <f t="shared" si="2015"/>
        <v>53020.609999999942</v>
      </c>
      <c r="V400" s="7">
        <f t="shared" si="2015"/>
        <v>49485.939999999944</v>
      </c>
      <c r="W400" s="7">
        <f t="shared" si="2015"/>
        <v>45951.269999999946</v>
      </c>
      <c r="X400" s="7">
        <f t="shared" si="2015"/>
        <v>42416.599999999948</v>
      </c>
      <c r="Y400" s="7">
        <f t="shared" si="2015"/>
        <v>38881.929999999949</v>
      </c>
      <c r="Z400" s="7">
        <f t="shared" si="2015"/>
        <v>35347.259999999951</v>
      </c>
      <c r="AA400" s="7">
        <f t="shared" si="2048"/>
        <v>1244.2161599999988</v>
      </c>
      <c r="AB400" s="7"/>
      <c r="AC400" s="7">
        <f>L400*10+0.56</f>
        <v>35347.259999999987</v>
      </c>
      <c r="AD400" s="7">
        <f t="shared" si="1986"/>
        <v>31812.589999999953</v>
      </c>
      <c r="AE400" s="7">
        <f t="shared" si="2046"/>
        <v>28277.919999999955</v>
      </c>
      <c r="AF400" s="7">
        <f t="shared" si="2046"/>
        <v>24743.249999999956</v>
      </c>
      <c r="AG400" s="7">
        <f t="shared" si="2046"/>
        <v>21208.579999999958</v>
      </c>
      <c r="AH400" s="7">
        <f t="shared" si="2046"/>
        <v>17673.90999999996</v>
      </c>
      <c r="AI400" s="7">
        <f t="shared" si="2046"/>
        <v>14139.239999999962</v>
      </c>
      <c r="AJ400" s="7">
        <f t="shared" si="2046"/>
        <v>10604.569999999963</v>
      </c>
      <c r="AK400" s="7">
        <f t="shared" si="2046"/>
        <v>7069.8999999999651</v>
      </c>
      <c r="AL400" s="7">
        <f t="shared" si="2046"/>
        <v>3535.2299999999664</v>
      </c>
      <c r="AM400" s="7">
        <f t="shared" si="2046"/>
        <v>0.55999999996765837</v>
      </c>
      <c r="AN400" s="7"/>
      <c r="AO400" s="7"/>
      <c r="AP400" s="222">
        <f t="shared" si="2049"/>
        <v>329.00663230769152</v>
      </c>
      <c r="AQ400" s="7">
        <v>0</v>
      </c>
      <c r="AR400" s="7">
        <f t="shared" si="1987"/>
        <v>0</v>
      </c>
      <c r="AS400" s="7">
        <f t="shared" si="1988"/>
        <v>0</v>
      </c>
      <c r="BG400" s="236">
        <f t="shared" si="1983"/>
        <v>0</v>
      </c>
      <c r="BH400" s="7">
        <v>0</v>
      </c>
      <c r="BV400" s="236">
        <f t="shared" si="2050"/>
        <v>0</v>
      </c>
      <c r="BW400" s="7">
        <v>0</v>
      </c>
      <c r="CK400" s="236">
        <f t="shared" si="2051"/>
        <v>0</v>
      </c>
      <c r="CL400" s="7">
        <v>0</v>
      </c>
      <c r="CZ400" s="236">
        <f t="shared" si="2052"/>
        <v>0</v>
      </c>
    </row>
    <row r="401" spans="1:104" x14ac:dyDescent="0.2">
      <c r="A401" s="6" t="str">
        <f>'[1]2021 УГРЦТ'!A404</f>
        <v>ТП №48 Угольная</v>
      </c>
      <c r="B401" t="str">
        <f>'[1]2021 УГРЦТ'!B404</f>
        <v>00000231</v>
      </c>
      <c r="C401" t="str">
        <f>'[1]2021 УГРЦТ'!C404</f>
        <v>ПЕРЕДАЧА</v>
      </c>
      <c r="D401" t="str">
        <f>'[1]2021 УГРЦТ'!D404</f>
        <v>Сооружения</v>
      </c>
      <c r="E401" t="str">
        <f>'[1]2021 УГРЦТ'!E404</f>
        <v>01.01.1996</v>
      </c>
      <c r="F401" t="str">
        <f>'[1]2021 УГРЦТ'!F404</f>
        <v>Цех электрических сетей</v>
      </c>
      <c r="G401">
        <f>'[1]2021 УГРЦТ'!AC404</f>
        <v>708</v>
      </c>
      <c r="H401" s="7">
        <f>'[1]2021 УГРЦТ'!X404</f>
        <v>84493.17</v>
      </c>
      <c r="I401" s="7">
        <f>'[1]2021 УГРЦТ'!Y404</f>
        <v>22796.84</v>
      </c>
      <c r="J401" s="7">
        <f>'[1]2021 УГРЦТ'!Z404</f>
        <v>61696.33</v>
      </c>
      <c r="K401" s="8">
        <v>1</v>
      </c>
      <c r="L401" s="7">
        <v>155.40000000000003</v>
      </c>
      <c r="M401" s="7"/>
      <c r="N401" s="7">
        <f t="shared" si="1814"/>
        <v>1864.8000000000004</v>
      </c>
      <c r="O401" s="7">
        <f t="shared" si="1984"/>
        <v>61540.93</v>
      </c>
      <c r="P401" s="7">
        <f t="shared" si="2015"/>
        <v>61385.53</v>
      </c>
      <c r="Q401" s="7">
        <f t="shared" si="2015"/>
        <v>61230.13</v>
      </c>
      <c r="R401" s="7">
        <f t="shared" si="2015"/>
        <v>61074.729999999996</v>
      </c>
      <c r="S401" s="7">
        <f t="shared" si="2015"/>
        <v>60919.329999999994</v>
      </c>
      <c r="T401" s="7">
        <f t="shared" si="2015"/>
        <v>60763.929999999993</v>
      </c>
      <c r="U401" s="7">
        <f t="shared" si="2015"/>
        <v>60608.529999999992</v>
      </c>
      <c r="V401" s="7">
        <f t="shared" si="2015"/>
        <v>60453.12999999999</v>
      </c>
      <c r="W401" s="7">
        <f t="shared" si="2015"/>
        <v>60297.729999999989</v>
      </c>
      <c r="X401" s="7">
        <f t="shared" si="2015"/>
        <v>60142.329999999987</v>
      </c>
      <c r="Y401" s="7">
        <f t="shared" si="2015"/>
        <v>59986.929999999986</v>
      </c>
      <c r="Z401" s="7">
        <f t="shared" si="2015"/>
        <v>59831.529999999984</v>
      </c>
      <c r="AA401" s="7">
        <f t="shared" si="2048"/>
        <v>1336.8064599999996</v>
      </c>
      <c r="AB401" s="7"/>
      <c r="AC401" s="7">
        <f t="shared" si="1985"/>
        <v>1864.8000000000004</v>
      </c>
      <c r="AD401" s="7">
        <f t="shared" si="1986"/>
        <v>59676.129999999983</v>
      </c>
      <c r="AE401" s="7">
        <f t="shared" si="2046"/>
        <v>59520.729999999981</v>
      </c>
      <c r="AF401" s="7">
        <f t="shared" si="2046"/>
        <v>59365.32999999998</v>
      </c>
      <c r="AG401" s="7">
        <f t="shared" si="2046"/>
        <v>59209.929999999978</v>
      </c>
      <c r="AH401" s="7">
        <f t="shared" si="2046"/>
        <v>59054.529999999977</v>
      </c>
      <c r="AI401" s="7">
        <f t="shared" si="2046"/>
        <v>58899.129999999976</v>
      </c>
      <c r="AJ401" s="7">
        <f t="shared" si="2046"/>
        <v>58743.729999999974</v>
      </c>
      <c r="AK401" s="7">
        <f t="shared" si="2046"/>
        <v>58588.329999999973</v>
      </c>
      <c r="AL401" s="7">
        <f t="shared" si="2046"/>
        <v>58432.929999999971</v>
      </c>
      <c r="AM401" s="7">
        <f t="shared" si="2046"/>
        <v>58277.52999999997</v>
      </c>
      <c r="AN401" s="7">
        <f t="shared" si="2046"/>
        <v>58122.129999999968</v>
      </c>
      <c r="AO401" s="7">
        <f t="shared" si="2046"/>
        <v>57966.729999999967</v>
      </c>
      <c r="AP401" s="222">
        <f t="shared" si="2049"/>
        <v>1295.7808599999996</v>
      </c>
      <c r="AQ401" s="7">
        <v>155.40000000000003</v>
      </c>
      <c r="AR401" s="7">
        <f t="shared" si="1987"/>
        <v>155.40000000000146</v>
      </c>
      <c r="AS401" s="7">
        <f t="shared" si="1988"/>
        <v>1.4210854715202004E-12</v>
      </c>
      <c r="AT401" s="7">
        <f t="shared" ref="AT401:AT406" si="2053">L401*12</f>
        <v>1864.8000000000004</v>
      </c>
      <c r="AU401" s="7">
        <f>AO401-$L401</f>
        <v>57811.329999999965</v>
      </c>
      <c r="AV401" s="7">
        <f t="shared" ref="AV401:BF406" si="2054">AU401-$L401</f>
        <v>57655.929999999964</v>
      </c>
      <c r="AW401" s="7">
        <f t="shared" si="2054"/>
        <v>57500.529999999962</v>
      </c>
      <c r="AX401" s="7">
        <f t="shared" si="2054"/>
        <v>57345.129999999961</v>
      </c>
      <c r="AY401" s="7">
        <f t="shared" si="2054"/>
        <v>57189.72999999996</v>
      </c>
      <c r="AZ401" s="7">
        <f t="shared" si="2054"/>
        <v>57034.329999999958</v>
      </c>
      <c r="BA401" s="7">
        <f t="shared" si="2054"/>
        <v>56878.929999999957</v>
      </c>
      <c r="BB401" s="7">
        <f t="shared" si="2054"/>
        <v>56723.529999999955</v>
      </c>
      <c r="BC401" s="7">
        <f t="shared" si="2054"/>
        <v>56568.129999999954</v>
      </c>
      <c r="BD401" s="7">
        <f t="shared" si="2054"/>
        <v>56412.729999999952</v>
      </c>
      <c r="BE401" s="7">
        <f t="shared" si="2054"/>
        <v>56257.329999999951</v>
      </c>
      <c r="BF401" s="7">
        <f t="shared" si="2054"/>
        <v>56101.929999999949</v>
      </c>
      <c r="BG401" s="236">
        <f t="shared" si="1983"/>
        <v>1254.755259999999</v>
      </c>
      <c r="BH401" s="7">
        <v>155.40000000000003</v>
      </c>
      <c r="BI401" s="39">
        <f>BH401*12</f>
        <v>1864.8000000000004</v>
      </c>
      <c r="BJ401" s="7">
        <f>BF401-BH401</f>
        <v>55946.529999999948</v>
      </c>
      <c r="BK401" s="7">
        <f t="shared" ref="BK401:BK402" si="2055">BJ401-$L401</f>
        <v>55791.129999999946</v>
      </c>
      <c r="BL401" s="7">
        <f t="shared" ref="BL401:BL402" si="2056">BK401-$L401</f>
        <v>55635.729999999945</v>
      </c>
      <c r="BM401" s="7">
        <f t="shared" ref="BM401:BM402" si="2057">BL401-$L401</f>
        <v>55480.329999999944</v>
      </c>
      <c r="BN401" s="7">
        <f t="shared" ref="BN401:BN402" si="2058">BM401-$L401</f>
        <v>55324.929999999942</v>
      </c>
      <c r="BO401" s="7">
        <f t="shared" ref="BO401:BO402" si="2059">BN401-$L401</f>
        <v>55169.529999999941</v>
      </c>
      <c r="BP401" s="7">
        <f t="shared" ref="BP401:BP402" si="2060">BO401-$L401</f>
        <v>55014.129999999939</v>
      </c>
      <c r="BQ401" s="7">
        <f t="shared" ref="BQ401:BQ402" si="2061">BP401-$L401</f>
        <v>54858.729999999938</v>
      </c>
      <c r="BR401" s="7">
        <f t="shared" ref="BR401:BR402" si="2062">BQ401-$L401</f>
        <v>54703.329999999936</v>
      </c>
      <c r="BS401" s="7">
        <f t="shared" ref="BS401:BS402" si="2063">BR401-$L401</f>
        <v>54547.929999999935</v>
      </c>
      <c r="BT401" s="7">
        <f t="shared" ref="BT401:BT402" si="2064">BS401-$L401</f>
        <v>54392.529999999933</v>
      </c>
      <c r="BU401" s="7">
        <f t="shared" ref="BU401:BU402" si="2065">BT401-$L401</f>
        <v>54237.129999999932</v>
      </c>
      <c r="BV401" s="236">
        <f t="shared" si="2050"/>
        <v>1213.7296599999986</v>
      </c>
      <c r="BW401" s="7">
        <v>155.40000000000003</v>
      </c>
      <c r="BX401" s="39">
        <f>BW401*12</f>
        <v>1864.8000000000004</v>
      </c>
      <c r="BY401" s="7">
        <f>BU401-BW401</f>
        <v>54081.72999999993</v>
      </c>
      <c r="BZ401" s="7">
        <f t="shared" ref="BZ401:BZ402" si="2066">BY401-$L401</f>
        <v>53926.329999999929</v>
      </c>
      <c r="CA401" s="7">
        <f t="shared" ref="CA401:CA402" si="2067">BZ401-$L401</f>
        <v>53770.929999999928</v>
      </c>
      <c r="CB401" s="7">
        <f t="shared" ref="CB401:CB402" si="2068">CA401-$L401</f>
        <v>53615.529999999926</v>
      </c>
      <c r="CC401" s="7">
        <f t="shared" ref="CC401:CC402" si="2069">CB401-$L401</f>
        <v>53460.129999999925</v>
      </c>
      <c r="CD401" s="7">
        <f t="shared" ref="CD401:CD402" si="2070">CC401-$L401</f>
        <v>53304.729999999923</v>
      </c>
      <c r="CE401" s="7">
        <f t="shared" ref="CE401:CE402" si="2071">CD401-$L401</f>
        <v>53149.329999999922</v>
      </c>
      <c r="CF401" s="7">
        <f t="shared" ref="CF401:CF402" si="2072">CE401-$L401</f>
        <v>52993.92999999992</v>
      </c>
      <c r="CG401" s="7">
        <f t="shared" ref="CG401:CG402" si="2073">CF401-$L401</f>
        <v>52838.529999999919</v>
      </c>
      <c r="CH401" s="7">
        <f t="shared" ref="CH401:CH402" si="2074">CG401-$L401</f>
        <v>52683.129999999917</v>
      </c>
      <c r="CI401" s="7">
        <f t="shared" ref="CI401:CI402" si="2075">CH401-$L401</f>
        <v>52527.729999999916</v>
      </c>
      <c r="CJ401" s="7">
        <f t="shared" ref="CJ401:CJ402" si="2076">CI401-$L401</f>
        <v>52372.329999999914</v>
      </c>
      <c r="CK401" s="236">
        <f t="shared" si="2051"/>
        <v>1172.704059999998</v>
      </c>
      <c r="CL401" s="7">
        <v>155.40000000000003</v>
      </c>
      <c r="CM401" s="39">
        <f>CL401*12</f>
        <v>1864.8000000000004</v>
      </c>
      <c r="CN401" s="7">
        <f>CJ401-CL401</f>
        <v>52216.929999999913</v>
      </c>
      <c r="CO401" s="7">
        <f t="shared" ref="CO401:CO402" si="2077">CN401-$L401</f>
        <v>52061.529999999912</v>
      </c>
      <c r="CP401" s="7">
        <f t="shared" ref="CP401:CP402" si="2078">CO401-$L401</f>
        <v>51906.12999999991</v>
      </c>
      <c r="CQ401" s="7">
        <f t="shared" ref="CQ401:CQ402" si="2079">CP401-$L401</f>
        <v>51750.729999999909</v>
      </c>
      <c r="CR401" s="7">
        <f t="shared" ref="CR401:CR402" si="2080">CQ401-$L401</f>
        <v>51595.329999999907</v>
      </c>
      <c r="CS401" s="7">
        <f t="shared" ref="CS401:CS402" si="2081">CR401-$L401</f>
        <v>51439.929999999906</v>
      </c>
      <c r="CT401" s="7">
        <f t="shared" ref="CT401:CT402" si="2082">CS401-$L401</f>
        <v>51284.529999999904</v>
      </c>
      <c r="CU401" s="7">
        <f t="shared" ref="CU401:CU402" si="2083">CT401-$L401</f>
        <v>51129.129999999903</v>
      </c>
      <c r="CV401" s="7">
        <f t="shared" ref="CV401:CV402" si="2084">CU401-$L401</f>
        <v>50973.729999999901</v>
      </c>
      <c r="CW401" s="7">
        <f t="shared" ref="CW401:CW402" si="2085">CV401-$L401</f>
        <v>50818.3299999999</v>
      </c>
      <c r="CX401" s="7">
        <f t="shared" ref="CX401:CX402" si="2086">CW401-$L401</f>
        <v>50662.929999999898</v>
      </c>
      <c r="CY401" s="7">
        <f t="shared" ref="CY401:CY402" si="2087">CX401-$L401</f>
        <v>50507.529999999897</v>
      </c>
      <c r="CZ401" s="236">
        <f t="shared" si="2052"/>
        <v>1131.6784599999983</v>
      </c>
    </row>
    <row r="402" spans="1:104" x14ac:dyDescent="0.2">
      <c r="A402" s="6" t="str">
        <f>'[1]2021 УГРЦТ'!A405</f>
        <v>ТП №5/1 2КТПН-630/6/0,4 Смидовича 20А 2010г</v>
      </c>
      <c r="B402" t="str">
        <f>'[1]2021 УГРЦТ'!B405</f>
        <v>00000927</v>
      </c>
      <c r="C402" t="str">
        <f>'[1]2021 УГРЦТ'!C405</f>
        <v>ПЕРЕДАЧА</v>
      </c>
      <c r="D402" t="str">
        <f>'[1]2021 УГРЦТ'!D405</f>
        <v>Сооружения</v>
      </c>
      <c r="E402" t="str">
        <f>'[1]2021 УГРЦТ'!E405</f>
        <v>31.12.2010</v>
      </c>
      <c r="F402" t="str">
        <f>'[1]2021 УГРЦТ'!F405</f>
        <v>Цех электрических сетей</v>
      </c>
      <c r="G402">
        <f>'[1]2021 УГРЦТ'!AC405</f>
        <v>240</v>
      </c>
      <c r="H402" s="7">
        <f>'[1]2021 УГРЦТ'!X405</f>
        <v>5770950</v>
      </c>
      <c r="I402" s="7">
        <f>'[1]2021 УГРЦТ'!Y405</f>
        <v>3174023.1</v>
      </c>
      <c r="J402" s="7">
        <f>'[1]2021 УГРЦТ'!Z405</f>
        <v>2596926.9</v>
      </c>
      <c r="K402" s="8">
        <v>1</v>
      </c>
      <c r="L402" s="7">
        <v>24045.63</v>
      </c>
      <c r="M402" s="7"/>
      <c r="N402" s="7">
        <f t="shared" si="1814"/>
        <v>288547.56</v>
      </c>
      <c r="O402" s="7">
        <f t="shared" si="1984"/>
        <v>2572881.27</v>
      </c>
      <c r="P402" s="7">
        <f t="shared" si="2015"/>
        <v>2548835.64</v>
      </c>
      <c r="Q402" s="7">
        <f t="shared" si="2015"/>
        <v>2524790.0100000002</v>
      </c>
      <c r="R402" s="7">
        <f t="shared" si="2015"/>
        <v>2500744.3800000004</v>
      </c>
      <c r="S402" s="7">
        <f t="shared" si="2015"/>
        <v>2476698.7500000005</v>
      </c>
      <c r="T402" s="7">
        <f t="shared" si="2015"/>
        <v>2452653.1200000006</v>
      </c>
      <c r="U402" s="7">
        <f t="shared" si="2015"/>
        <v>2428607.4900000007</v>
      </c>
      <c r="V402" s="7">
        <f t="shared" si="2015"/>
        <v>2404561.8600000008</v>
      </c>
      <c r="W402" s="7">
        <f t="shared" si="2015"/>
        <v>2380516.2300000009</v>
      </c>
      <c r="X402" s="7">
        <f t="shared" si="2015"/>
        <v>2356470.600000001</v>
      </c>
      <c r="Y402" s="7">
        <f t="shared" si="2015"/>
        <v>2332424.9700000011</v>
      </c>
      <c r="Z402" s="7">
        <f t="shared" si="2015"/>
        <v>2308379.3400000012</v>
      </c>
      <c r="AA402" s="7">
        <f t="shared" si="2048"/>
        <v>53958.368640000008</v>
      </c>
      <c r="AB402" s="7"/>
      <c r="AC402" s="7">
        <f t="shared" si="1985"/>
        <v>288547.56</v>
      </c>
      <c r="AD402" s="7">
        <f t="shared" si="1986"/>
        <v>2284333.7100000014</v>
      </c>
      <c r="AE402" s="7">
        <f t="shared" si="2046"/>
        <v>2260288.0800000015</v>
      </c>
      <c r="AF402" s="7">
        <f t="shared" si="2046"/>
        <v>2236242.4500000016</v>
      </c>
      <c r="AG402" s="7">
        <f t="shared" si="2046"/>
        <v>2212196.8200000017</v>
      </c>
      <c r="AH402" s="7">
        <f t="shared" si="2046"/>
        <v>2188151.1900000018</v>
      </c>
      <c r="AI402" s="7">
        <f t="shared" si="2046"/>
        <v>2164105.5600000019</v>
      </c>
      <c r="AJ402" s="7">
        <f t="shared" si="2046"/>
        <v>2140059.930000002</v>
      </c>
      <c r="AK402" s="7">
        <f t="shared" si="2046"/>
        <v>2116014.3000000021</v>
      </c>
      <c r="AL402" s="7">
        <f t="shared" si="2046"/>
        <v>2091968.6700000023</v>
      </c>
      <c r="AM402" s="7">
        <f t="shared" si="2046"/>
        <v>2067923.0400000024</v>
      </c>
      <c r="AN402" s="7">
        <f t="shared" si="2046"/>
        <v>2043877.4100000025</v>
      </c>
      <c r="AO402" s="7">
        <f t="shared" si="2046"/>
        <v>2019831.7800000026</v>
      </c>
      <c r="AP402" s="222">
        <f t="shared" si="2049"/>
        <v>47610.322320000043</v>
      </c>
      <c r="AQ402" s="7">
        <v>24045.63</v>
      </c>
      <c r="AR402" s="7">
        <f t="shared" si="1987"/>
        <v>24045.629999999888</v>
      </c>
      <c r="AS402" s="7">
        <f t="shared" si="1988"/>
        <v>-1.127773430198431E-10</v>
      </c>
      <c r="AT402" s="7">
        <f t="shared" si="2053"/>
        <v>288547.56</v>
      </c>
      <c r="AU402" s="7">
        <f>AO402-$L402</f>
        <v>1995786.1500000027</v>
      </c>
      <c r="AV402" s="7">
        <f t="shared" si="2054"/>
        <v>1971740.5200000028</v>
      </c>
      <c r="AW402" s="7">
        <f t="shared" si="2054"/>
        <v>1947694.8900000029</v>
      </c>
      <c r="AX402" s="7">
        <f t="shared" si="2054"/>
        <v>1923649.260000003</v>
      </c>
      <c r="AY402" s="7">
        <f t="shared" si="2054"/>
        <v>1899603.6300000031</v>
      </c>
      <c r="AZ402" s="7">
        <f t="shared" si="2054"/>
        <v>1875558.0000000033</v>
      </c>
      <c r="BA402" s="7">
        <f t="shared" si="2054"/>
        <v>1851512.3700000034</v>
      </c>
      <c r="BB402" s="7">
        <f t="shared" si="2054"/>
        <v>1827466.7400000035</v>
      </c>
      <c r="BC402" s="7">
        <f t="shared" si="2054"/>
        <v>1803421.1100000036</v>
      </c>
      <c r="BD402" s="7">
        <f t="shared" si="2054"/>
        <v>1779375.4800000037</v>
      </c>
      <c r="BE402" s="7">
        <f t="shared" si="2054"/>
        <v>1755329.8500000038</v>
      </c>
      <c r="BF402" s="7">
        <f t="shared" si="2054"/>
        <v>1731284.2200000039</v>
      </c>
      <c r="BG402" s="236">
        <f t="shared" si="1983"/>
        <v>41262.276000000071</v>
      </c>
      <c r="BH402" s="7">
        <v>24045.63</v>
      </c>
      <c r="BI402" s="39">
        <f>BH402*12</f>
        <v>288547.56</v>
      </c>
      <c r="BJ402" s="7">
        <f>BF402-BH402</f>
        <v>1707238.590000004</v>
      </c>
      <c r="BK402" s="7">
        <f t="shared" si="2055"/>
        <v>1683192.9600000042</v>
      </c>
      <c r="BL402" s="7">
        <f t="shared" si="2056"/>
        <v>1659147.3300000043</v>
      </c>
      <c r="BM402" s="7">
        <f t="shared" si="2057"/>
        <v>1635101.7000000044</v>
      </c>
      <c r="BN402" s="7">
        <f t="shared" si="2058"/>
        <v>1611056.0700000045</v>
      </c>
      <c r="BO402" s="7">
        <f t="shared" si="2059"/>
        <v>1587010.4400000046</v>
      </c>
      <c r="BP402" s="7">
        <f t="shared" si="2060"/>
        <v>1562964.8100000047</v>
      </c>
      <c r="BQ402" s="7">
        <f t="shared" si="2061"/>
        <v>1538919.1800000048</v>
      </c>
      <c r="BR402" s="7">
        <f t="shared" si="2062"/>
        <v>1514873.5500000049</v>
      </c>
      <c r="BS402" s="7">
        <f t="shared" si="2063"/>
        <v>1490827.920000005</v>
      </c>
      <c r="BT402" s="7">
        <f t="shared" si="2064"/>
        <v>1466782.2900000052</v>
      </c>
      <c r="BU402" s="7">
        <f t="shared" si="2065"/>
        <v>1442736.6600000053</v>
      </c>
      <c r="BV402" s="236">
        <f t="shared" si="2050"/>
        <v>34914.229680000099</v>
      </c>
      <c r="BW402" s="7">
        <v>24045.63</v>
      </c>
      <c r="BX402" s="39">
        <f>BW402*12</f>
        <v>288547.56</v>
      </c>
      <c r="BY402" s="7">
        <f>BU402-BW402</f>
        <v>1418691.0300000054</v>
      </c>
      <c r="BZ402" s="7">
        <f t="shared" si="2066"/>
        <v>1394645.4000000055</v>
      </c>
      <c r="CA402" s="7">
        <f t="shared" si="2067"/>
        <v>1370599.7700000056</v>
      </c>
      <c r="CB402" s="7">
        <f t="shared" si="2068"/>
        <v>1346554.1400000057</v>
      </c>
      <c r="CC402" s="7">
        <f t="shared" si="2069"/>
        <v>1322508.5100000058</v>
      </c>
      <c r="CD402" s="7">
        <f t="shared" si="2070"/>
        <v>1298462.8800000059</v>
      </c>
      <c r="CE402" s="7">
        <f t="shared" si="2071"/>
        <v>1274417.2500000061</v>
      </c>
      <c r="CF402" s="7">
        <f t="shared" si="2072"/>
        <v>1250371.6200000062</v>
      </c>
      <c r="CG402" s="7">
        <f t="shared" si="2073"/>
        <v>1226325.9900000063</v>
      </c>
      <c r="CH402" s="7">
        <f t="shared" si="2074"/>
        <v>1202280.3600000064</v>
      </c>
      <c r="CI402" s="7">
        <f t="shared" si="2075"/>
        <v>1178234.7300000065</v>
      </c>
      <c r="CJ402" s="7">
        <f t="shared" si="2076"/>
        <v>1154189.1000000066</v>
      </c>
      <c r="CK402" s="236">
        <f t="shared" si="2051"/>
        <v>28566.18336000013</v>
      </c>
      <c r="CL402" s="7">
        <v>24045.63</v>
      </c>
      <c r="CM402" s="39">
        <f>CL402*12</f>
        <v>288547.56</v>
      </c>
      <c r="CN402" s="7">
        <f>CJ402-CL402</f>
        <v>1130143.4700000067</v>
      </c>
      <c r="CO402" s="7">
        <f t="shared" si="2077"/>
        <v>1106097.8400000068</v>
      </c>
      <c r="CP402" s="7">
        <f t="shared" si="2078"/>
        <v>1082052.2100000069</v>
      </c>
      <c r="CQ402" s="7">
        <f t="shared" si="2079"/>
        <v>1058006.5800000071</v>
      </c>
      <c r="CR402" s="7">
        <f t="shared" si="2080"/>
        <v>1033960.9500000071</v>
      </c>
      <c r="CS402" s="7">
        <f t="shared" si="2081"/>
        <v>1009915.3200000071</v>
      </c>
      <c r="CT402" s="7">
        <f t="shared" si="2082"/>
        <v>985869.69000000705</v>
      </c>
      <c r="CU402" s="7">
        <f t="shared" si="2083"/>
        <v>961824.06000000704</v>
      </c>
      <c r="CV402" s="7">
        <f t="shared" si="2084"/>
        <v>937778.43000000704</v>
      </c>
      <c r="CW402" s="7">
        <f t="shared" si="2085"/>
        <v>913732.80000000703</v>
      </c>
      <c r="CX402" s="7">
        <f t="shared" si="2086"/>
        <v>889687.17000000703</v>
      </c>
      <c r="CY402" s="7">
        <f t="shared" si="2087"/>
        <v>865641.54000000702</v>
      </c>
      <c r="CZ402" s="236">
        <f t="shared" si="2052"/>
        <v>22218.137040000151</v>
      </c>
    </row>
    <row r="403" spans="1:104" x14ac:dyDescent="0.2">
      <c r="A403" s="6" t="str">
        <f>'[1]2021 УГРЦТ'!A406</f>
        <v>ТП №51 ГОСНИ по НАО К-42-630 1997г.</v>
      </c>
      <c r="B403" t="str">
        <f>'[1]2021 УГРЦТ'!B406</f>
        <v>00000094</v>
      </c>
      <c r="C403" t="str">
        <f>'[1]2021 УГРЦТ'!C406</f>
        <v>ПЕРЕДАЧА</v>
      </c>
      <c r="D403" t="str">
        <f>'[1]2021 УГРЦТ'!D406</f>
        <v>Здания</v>
      </c>
      <c r="E403" t="str">
        <f>'[1]2021 УГРЦТ'!E406</f>
        <v>01.12.1997</v>
      </c>
      <c r="F403" t="str">
        <f>'[1]2021 УГРЦТ'!F406</f>
        <v>Цех электрических сетей</v>
      </c>
      <c r="G403">
        <v>708</v>
      </c>
      <c r="H403" s="7">
        <f>'[1]2021 УГРЦТ'!X406</f>
        <v>511304</v>
      </c>
      <c r="I403" s="7">
        <f>L403*12*24</f>
        <v>207988.06779661015</v>
      </c>
      <c r="J403" s="7">
        <f>H403-I403</f>
        <v>303315.93220338982</v>
      </c>
      <c r="K403" s="8">
        <v>1</v>
      </c>
      <c r="L403" s="7">
        <v>722.18079096045199</v>
      </c>
      <c r="M403" s="7"/>
      <c r="N403" s="7">
        <f>L403*12</f>
        <v>8666.1694915254229</v>
      </c>
      <c r="O403" s="7">
        <f>J403-$L403</f>
        <v>302593.75141242938</v>
      </c>
      <c r="P403" s="7">
        <f t="shared" si="2015"/>
        <v>301871.57062146894</v>
      </c>
      <c r="Q403" s="7">
        <f t="shared" si="2015"/>
        <v>301149.3898305085</v>
      </c>
      <c r="R403" s="7">
        <f t="shared" si="2015"/>
        <v>300427.20903954806</v>
      </c>
      <c r="S403" s="7">
        <f t="shared" si="2015"/>
        <v>299705.02824858762</v>
      </c>
      <c r="T403" s="7">
        <f t="shared" si="2015"/>
        <v>298982.84745762718</v>
      </c>
      <c r="U403" s="7">
        <f t="shared" si="2015"/>
        <v>298260.66666666674</v>
      </c>
      <c r="V403" s="7">
        <f t="shared" si="2015"/>
        <v>297538.4858757063</v>
      </c>
      <c r="W403" s="7">
        <f t="shared" si="2015"/>
        <v>296816.30508474587</v>
      </c>
      <c r="X403" s="7">
        <f t="shared" si="2015"/>
        <v>296094.12429378543</v>
      </c>
      <c r="Y403" s="7">
        <f t="shared" si="2015"/>
        <v>295371.94350282499</v>
      </c>
      <c r="Z403" s="7">
        <f>Лист1!I18+Лист1!J18</f>
        <v>10070920.572711864</v>
      </c>
      <c r="AA403" s="7">
        <f t="shared" si="2048"/>
        <v>23122.08093791395</v>
      </c>
      <c r="AB403" s="7">
        <f>Лист1!L18</f>
        <v>24683.628854685943</v>
      </c>
      <c r="AC403" s="7">
        <f>IF(AB403&gt;0,AB403*12,L403*12)</f>
        <v>296203.54625623132</v>
      </c>
      <c r="AD403" s="7">
        <f>Лист1!I18+Лист1!J18-$AB403</f>
        <v>10046236.943857178</v>
      </c>
      <c r="AE403" s="7">
        <f>AD403-$AB403</f>
        <v>10021553.315002492</v>
      </c>
      <c r="AF403" s="7">
        <f>AE403-$AB403</f>
        <v>9996869.6861478053</v>
      </c>
      <c r="AG403" s="7">
        <f>AF403-$AB403</f>
        <v>9972186.0572931189</v>
      </c>
      <c r="AH403" s="7">
        <f t="shared" ref="AH403:AN403" si="2088">AG403-$AB403</f>
        <v>9947502.4284384325</v>
      </c>
      <c r="AI403" s="7">
        <f t="shared" si="2088"/>
        <v>9922818.7995837461</v>
      </c>
      <c r="AJ403" s="7">
        <f t="shared" si="2088"/>
        <v>9898135.1707290597</v>
      </c>
      <c r="AK403" s="7">
        <f t="shared" si="2088"/>
        <v>9873451.5418743733</v>
      </c>
      <c r="AL403" s="7">
        <f t="shared" si="2088"/>
        <v>9848767.9130196869</v>
      </c>
      <c r="AM403" s="7">
        <f t="shared" si="2088"/>
        <v>9824084.2841650005</v>
      </c>
      <c r="AN403" s="7">
        <f t="shared" si="2088"/>
        <v>9799400.6553103141</v>
      </c>
      <c r="AO403" s="7">
        <f>AN403-$AB403</f>
        <v>9774717.0264556278</v>
      </c>
      <c r="AP403" s="222">
        <f t="shared" si="2049"/>
        <v>218302.0135908424</v>
      </c>
      <c r="AQ403" s="7">
        <v>24683.628854685943</v>
      </c>
      <c r="AR403" s="7">
        <f t="shared" si="1987"/>
        <v>24683.628854686394</v>
      </c>
      <c r="AS403" s="7">
        <f t="shared" si="1988"/>
        <v>4.5110937207937241E-10</v>
      </c>
      <c r="AT403" s="7">
        <f>AQ403*12</f>
        <v>296203.54625623132</v>
      </c>
      <c r="AU403" s="7">
        <f>AO403-$AQ403</f>
        <v>9750033.3976009414</v>
      </c>
      <c r="AV403" s="7">
        <f>AU403-$AQ403</f>
        <v>9725349.768746255</v>
      </c>
      <c r="AW403" s="7">
        <f t="shared" ref="AW403:BF403" si="2089">AV403-$AQ403</f>
        <v>9700666.1398915686</v>
      </c>
      <c r="AX403" s="7">
        <f t="shared" si="2089"/>
        <v>9675982.5110368822</v>
      </c>
      <c r="AY403" s="7">
        <f t="shared" si="2089"/>
        <v>9651298.8821821958</v>
      </c>
      <c r="AZ403" s="7">
        <f t="shared" si="2089"/>
        <v>9626615.2533275094</v>
      </c>
      <c r="BA403" s="7">
        <f t="shared" si="2089"/>
        <v>9601931.624472823</v>
      </c>
      <c r="BB403" s="7">
        <f t="shared" si="2089"/>
        <v>9577247.9956181366</v>
      </c>
      <c r="BC403" s="7">
        <f>BB403-$AQ403</f>
        <v>9552564.3667634502</v>
      </c>
      <c r="BD403" s="7">
        <f t="shared" si="2089"/>
        <v>9527880.7379087638</v>
      </c>
      <c r="BE403" s="7">
        <f t="shared" si="2089"/>
        <v>9503197.1090540774</v>
      </c>
      <c r="BF403" s="7">
        <f t="shared" si="2089"/>
        <v>9478513.480199391</v>
      </c>
      <c r="BG403" s="236">
        <f t="shared" si="1983"/>
        <v>211785.53557320524</v>
      </c>
      <c r="BH403" s="7">
        <v>24683.628854685943</v>
      </c>
      <c r="BI403" s="39">
        <f>BH403*12</f>
        <v>296203.54625623132</v>
      </c>
      <c r="BJ403" s="7">
        <f>BF403-BH403</f>
        <v>9453829.8513447046</v>
      </c>
      <c r="BK403" s="7">
        <f>BJ403-$AQ403</f>
        <v>9429146.2224900182</v>
      </c>
      <c r="BL403" s="7">
        <f t="shared" ref="BL403" si="2090">BK403-$AQ403</f>
        <v>9404462.5936353318</v>
      </c>
      <c r="BM403" s="7">
        <f t="shared" ref="BM403" si="2091">BL403-$AQ403</f>
        <v>9379778.9647806454</v>
      </c>
      <c r="BN403" s="7">
        <f t="shared" ref="BN403" si="2092">BM403-$AQ403</f>
        <v>9355095.3359259591</v>
      </c>
      <c r="BO403" s="7">
        <f t="shared" ref="BO403" si="2093">BN403-$AQ403</f>
        <v>9330411.7070712727</v>
      </c>
      <c r="BP403" s="7">
        <f t="shared" ref="BP403" si="2094">BO403-$AQ403</f>
        <v>9305728.0782165863</v>
      </c>
      <c r="BQ403" s="7">
        <f t="shared" ref="BQ403" si="2095">BP403-$AQ403</f>
        <v>9281044.4493618999</v>
      </c>
      <c r="BR403" s="7">
        <f>BQ403-$AQ403</f>
        <v>9256360.8205072135</v>
      </c>
      <c r="BS403" s="7">
        <f t="shared" ref="BS403" si="2096">BR403-$AQ403</f>
        <v>9231677.1916525271</v>
      </c>
      <c r="BT403" s="7">
        <f t="shared" ref="BT403" si="2097">BS403-$AQ403</f>
        <v>9206993.5627978407</v>
      </c>
      <c r="BU403" s="7">
        <f t="shared" ref="BU403" si="2098">BT403-$AQ403</f>
        <v>9182309.9339431543</v>
      </c>
      <c r="BV403" s="236">
        <f t="shared" si="2050"/>
        <v>205269.057555568</v>
      </c>
      <c r="BW403" s="7">
        <v>24683.628854685943</v>
      </c>
      <c r="BX403" s="39">
        <f>BW403*12</f>
        <v>296203.54625623132</v>
      </c>
      <c r="BY403" s="7">
        <f>BU403-BW403</f>
        <v>9157626.3050884679</v>
      </c>
      <c r="BZ403" s="7">
        <f>BY403-$AQ403</f>
        <v>9132942.6762337815</v>
      </c>
      <c r="CA403" s="7">
        <f t="shared" ref="CA403" si="2099">BZ403-$AQ403</f>
        <v>9108259.0473790951</v>
      </c>
      <c r="CB403" s="7">
        <f t="shared" ref="CB403" si="2100">CA403-$AQ403</f>
        <v>9083575.4185244087</v>
      </c>
      <c r="CC403" s="7">
        <f t="shared" ref="CC403" si="2101">CB403-$AQ403</f>
        <v>9058891.7896697223</v>
      </c>
      <c r="CD403" s="7">
        <f t="shared" ref="CD403" si="2102">CC403-$AQ403</f>
        <v>9034208.1608150359</v>
      </c>
      <c r="CE403" s="7">
        <f t="shared" ref="CE403" si="2103">CD403-$AQ403</f>
        <v>9009524.5319603495</v>
      </c>
      <c r="CF403" s="7">
        <f t="shared" ref="CF403" si="2104">CE403-$AQ403</f>
        <v>8984840.9031056631</v>
      </c>
      <c r="CG403" s="7">
        <f>CF403-$AQ403</f>
        <v>8960157.2742509767</v>
      </c>
      <c r="CH403" s="7">
        <f t="shared" ref="CH403" si="2105">CG403-$AQ403</f>
        <v>8935473.6453962903</v>
      </c>
      <c r="CI403" s="7">
        <f t="shared" ref="CI403" si="2106">CH403-$AQ403</f>
        <v>8910790.016541604</v>
      </c>
      <c r="CJ403" s="7">
        <f t="shared" ref="CJ403" si="2107">CI403-$AQ403</f>
        <v>8886106.3876869176</v>
      </c>
      <c r="CK403" s="236">
        <f t="shared" si="2051"/>
        <v>198752.57953793078</v>
      </c>
      <c r="CL403" s="7">
        <v>24683.628854685943</v>
      </c>
      <c r="CM403" s="39">
        <f>CL403*12</f>
        <v>296203.54625623132</v>
      </c>
      <c r="CN403" s="7">
        <f>CJ403-CL403</f>
        <v>8861422.7588322312</v>
      </c>
      <c r="CO403" s="7">
        <f>CN403-$AQ403</f>
        <v>8836739.1299775448</v>
      </c>
      <c r="CP403" s="7">
        <f t="shared" ref="CP403" si="2108">CO403-$AQ403</f>
        <v>8812055.5011228584</v>
      </c>
      <c r="CQ403" s="7">
        <f t="shared" ref="CQ403" si="2109">CP403-$AQ403</f>
        <v>8787371.872268172</v>
      </c>
      <c r="CR403" s="7">
        <f t="shared" ref="CR403" si="2110">CQ403-$AQ403</f>
        <v>8762688.2434134856</v>
      </c>
      <c r="CS403" s="7">
        <f t="shared" ref="CS403" si="2111">CR403-$AQ403</f>
        <v>8738004.6145587992</v>
      </c>
      <c r="CT403" s="7">
        <f t="shared" ref="CT403" si="2112">CS403-$AQ403</f>
        <v>8713320.9857041128</v>
      </c>
      <c r="CU403" s="7">
        <f t="shared" ref="CU403" si="2113">CT403-$AQ403</f>
        <v>8688637.3568494264</v>
      </c>
      <c r="CV403" s="7">
        <f>CU403-$AQ403</f>
        <v>8663953.72799474</v>
      </c>
      <c r="CW403" s="7">
        <f t="shared" ref="CW403" si="2114">CV403-$AQ403</f>
        <v>8639270.0991400536</v>
      </c>
      <c r="CX403" s="7">
        <f t="shared" ref="CX403" si="2115">CW403-$AQ403</f>
        <v>8614586.4702853672</v>
      </c>
      <c r="CY403" s="7">
        <f t="shared" ref="CY403" si="2116">CX403-$AQ403</f>
        <v>8589902.8414306808</v>
      </c>
      <c r="CZ403" s="236">
        <f t="shared" si="2052"/>
        <v>192236.10152029357</v>
      </c>
    </row>
    <row r="404" spans="1:104" x14ac:dyDescent="0.2">
      <c r="A404" s="6" t="str">
        <f>'[1]2021 УГРЦТ'!A407</f>
        <v>ТП №54  на базе ДРСУ</v>
      </c>
      <c r="B404" t="str">
        <f>'[1]2021 УГРЦТ'!B407</f>
        <v>00000093</v>
      </c>
      <c r="C404" t="str">
        <f>'[1]2021 УГРЦТ'!C407</f>
        <v>ПЕРЕДАЧА</v>
      </c>
      <c r="D404" t="str">
        <f>'[1]2021 УГРЦТ'!D407</f>
        <v>Сооружения</v>
      </c>
      <c r="E404" t="str">
        <f>'[1]2021 УГРЦТ'!E407</f>
        <v>01.12.1997</v>
      </c>
      <c r="F404" t="str">
        <f>'[1]2021 УГРЦТ'!F407</f>
        <v>Цех электрических сетей</v>
      </c>
      <c r="G404">
        <f>'[1]2021 УГРЦТ'!AC407</f>
        <v>276</v>
      </c>
      <c r="H404" s="7">
        <f>'[1]2021 УГРЦТ'!X407</f>
        <v>55000</v>
      </c>
      <c r="I404" s="7">
        <f>'[1]2021 УГРЦТ'!Y407</f>
        <v>48854.504347826085</v>
      </c>
      <c r="J404" s="7">
        <f>'[1]2021 УГРЦТ'!Z407</f>
        <v>6145.495652173915</v>
      </c>
      <c r="K404" s="8">
        <v>1</v>
      </c>
      <c r="L404" s="7">
        <v>199.28</v>
      </c>
      <c r="M404" s="7"/>
      <c r="N404" s="7">
        <f t="shared" si="1814"/>
        <v>2391.36</v>
      </c>
      <c r="O404" s="7">
        <f t="shared" si="1984"/>
        <v>5946.2156521739153</v>
      </c>
      <c r="P404" s="7">
        <f t="shared" si="2015"/>
        <v>5746.9356521739155</v>
      </c>
      <c r="Q404" s="7">
        <f t="shared" si="2015"/>
        <v>5547.6556521739158</v>
      </c>
      <c r="R404" s="7">
        <f t="shared" si="2015"/>
        <v>5348.375652173916</v>
      </c>
      <c r="S404" s="7">
        <f t="shared" si="2015"/>
        <v>5149.0956521739163</v>
      </c>
      <c r="T404" s="7">
        <f t="shared" si="2015"/>
        <v>4949.8156521739165</v>
      </c>
      <c r="U404" s="7">
        <f t="shared" si="2015"/>
        <v>4750.5356521739168</v>
      </c>
      <c r="V404" s="7">
        <f t="shared" si="2015"/>
        <v>4551.255652173917</v>
      </c>
      <c r="W404" s="7">
        <f t="shared" si="2015"/>
        <v>4351.9756521739173</v>
      </c>
      <c r="X404" s="7">
        <f t="shared" si="2015"/>
        <v>4152.6956521739176</v>
      </c>
      <c r="Y404" s="7">
        <f t="shared" si="2015"/>
        <v>3953.4156521739174</v>
      </c>
      <c r="Z404" s="7">
        <f t="shared" si="2015"/>
        <v>3754.1356521739172</v>
      </c>
      <c r="AA404" s="7">
        <f t="shared" si="2048"/>
        <v>108.89594434782616</v>
      </c>
      <c r="AB404" s="7"/>
      <c r="AC404" s="7">
        <f t="shared" si="1985"/>
        <v>2391.36</v>
      </c>
      <c r="AD404" s="7">
        <f t="shared" si="1986"/>
        <v>3554.855652173917</v>
      </c>
      <c r="AE404" s="7">
        <f t="shared" si="2046"/>
        <v>3355.5756521739168</v>
      </c>
      <c r="AF404" s="7">
        <f t="shared" si="2046"/>
        <v>3156.2956521739166</v>
      </c>
      <c r="AG404" s="7">
        <f t="shared" si="2046"/>
        <v>2957.0156521739164</v>
      </c>
      <c r="AH404" s="7">
        <f t="shared" si="2046"/>
        <v>2757.7356521739162</v>
      </c>
      <c r="AI404" s="7">
        <f t="shared" si="2046"/>
        <v>2558.455652173916</v>
      </c>
      <c r="AJ404" s="7">
        <f t="shared" si="2046"/>
        <v>2359.1756521739158</v>
      </c>
      <c r="AK404" s="7">
        <f t="shared" si="2046"/>
        <v>2159.8956521739156</v>
      </c>
      <c r="AL404" s="7">
        <f t="shared" si="2046"/>
        <v>1960.6156521739156</v>
      </c>
      <c r="AM404" s="7">
        <f t="shared" si="2046"/>
        <v>1761.3356521739156</v>
      </c>
      <c r="AN404" s="7">
        <f t="shared" si="2046"/>
        <v>1562.0556521739156</v>
      </c>
      <c r="AO404" s="7">
        <f t="shared" si="2046"/>
        <v>1362.7756521739157</v>
      </c>
      <c r="AP404" s="222">
        <f t="shared" si="2049"/>
        <v>56.286024347826149</v>
      </c>
      <c r="AQ404" s="7">
        <v>199.28</v>
      </c>
      <c r="AR404" s="7">
        <f t="shared" si="1987"/>
        <v>199.27999999999997</v>
      </c>
      <c r="AS404" s="7">
        <f t="shared" si="1988"/>
        <v>0</v>
      </c>
      <c r="AT404" s="7">
        <f>L404*7-32.18</f>
        <v>1362.78</v>
      </c>
      <c r="AU404" s="7">
        <f>AO404-$L404</f>
        <v>1163.4956521739157</v>
      </c>
      <c r="AV404" s="7">
        <f t="shared" si="2054"/>
        <v>964.21565217391571</v>
      </c>
      <c r="AW404" s="7">
        <f t="shared" si="2054"/>
        <v>764.93565217391574</v>
      </c>
      <c r="AX404" s="7">
        <f t="shared" si="2054"/>
        <v>565.65565217391577</v>
      </c>
      <c r="AY404" s="7">
        <f t="shared" si="2054"/>
        <v>366.3756521739158</v>
      </c>
      <c r="AZ404" s="7">
        <f t="shared" si="2054"/>
        <v>167.09565217391579</v>
      </c>
      <c r="BA404" s="7"/>
      <c r="BB404" s="7"/>
      <c r="BC404" s="7"/>
      <c r="BD404" s="7"/>
      <c r="BE404" s="7"/>
      <c r="BF404" s="7"/>
      <c r="BG404" s="236">
        <f t="shared" si="1983"/>
        <v>9.0615454180602324</v>
      </c>
      <c r="BH404" s="7">
        <v>199.28</v>
      </c>
      <c r="BI404" s="39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236">
        <f t="shared" si="2050"/>
        <v>0</v>
      </c>
      <c r="BW404" s="7">
        <v>199.28</v>
      </c>
      <c r="BX404" s="39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236">
        <f t="shared" si="2051"/>
        <v>0</v>
      </c>
      <c r="CL404" s="7">
        <v>199.28</v>
      </c>
      <c r="CM404" s="39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236">
        <f t="shared" si="2052"/>
        <v>0</v>
      </c>
    </row>
    <row r="405" spans="1:104" x14ac:dyDescent="0.2">
      <c r="A405" s="6" t="str">
        <f>'[1]2021 УГРЦТ'!A408</f>
        <v>ТП №56 Факел звероферма КТП  1997г  ч/з ле/з курью</v>
      </c>
      <c r="B405" t="str">
        <f>'[1]2021 УГРЦТ'!B408</f>
        <v>00000092</v>
      </c>
      <c r="C405" t="str">
        <f>'[1]2021 УГРЦТ'!C408</f>
        <v>ПЕРЕДАЧА</v>
      </c>
      <c r="D405" t="str">
        <f>'[1]2021 УГРЦТ'!D408</f>
        <v>Сооружения</v>
      </c>
      <c r="E405" t="str">
        <f>'[1]2021 УГРЦТ'!E408</f>
        <v>01.01.1997</v>
      </c>
      <c r="F405" t="str">
        <f>'[1]2021 УГРЦТ'!F408</f>
        <v>Цех электрических сетей</v>
      </c>
      <c r="G405">
        <f>'[1]2021 УГРЦТ'!AC408</f>
        <v>708</v>
      </c>
      <c r="H405" s="7">
        <f>'[1]2021 УГРЦТ'!X408</f>
        <v>15845</v>
      </c>
      <c r="I405" s="7">
        <f>'[1]2021 УГРЦТ'!Y408</f>
        <v>6437.9493220338991</v>
      </c>
      <c r="J405" s="7">
        <f>'[1]2021 УГРЦТ'!Z408</f>
        <v>9407.0506779661009</v>
      </c>
      <c r="K405" s="8">
        <v>1</v>
      </c>
      <c r="L405" s="7">
        <v>22.38</v>
      </c>
      <c r="M405" s="7"/>
      <c r="N405" s="7">
        <f t="shared" si="1814"/>
        <v>268.56</v>
      </c>
      <c r="O405" s="7">
        <f t="shared" si="1984"/>
        <v>9384.6706779661017</v>
      </c>
      <c r="P405" s="7">
        <f t="shared" si="2015"/>
        <v>9362.2906779661025</v>
      </c>
      <c r="Q405" s="7">
        <f t="shared" si="2015"/>
        <v>9339.9106779661033</v>
      </c>
      <c r="R405" s="7">
        <f t="shared" si="2015"/>
        <v>9317.5306779661041</v>
      </c>
      <c r="S405" s="7">
        <f t="shared" si="2015"/>
        <v>9295.1506779661049</v>
      </c>
      <c r="T405" s="7">
        <f t="shared" si="2015"/>
        <v>9272.7706779661057</v>
      </c>
      <c r="U405" s="7">
        <f t="shared" si="2015"/>
        <v>9250.3906779661065</v>
      </c>
      <c r="V405" s="7">
        <f t="shared" si="2015"/>
        <v>9228.0106779661073</v>
      </c>
      <c r="W405" s="7">
        <f t="shared" si="2015"/>
        <v>9205.6306779661081</v>
      </c>
      <c r="X405" s="7">
        <f t="shared" si="2015"/>
        <v>9183.2506779661089</v>
      </c>
      <c r="Y405" s="7">
        <f t="shared" si="2015"/>
        <v>9160.8706779661097</v>
      </c>
      <c r="Z405" s="7">
        <f t="shared" si="2015"/>
        <v>9138.4906779661105</v>
      </c>
      <c r="AA405" s="7">
        <f t="shared" si="2048"/>
        <v>204.00095491525431</v>
      </c>
      <c r="AB405" s="7"/>
      <c r="AC405" s="7">
        <f t="shared" si="1985"/>
        <v>268.56</v>
      </c>
      <c r="AD405" s="7">
        <f t="shared" si="1986"/>
        <v>9116.1106779661113</v>
      </c>
      <c r="AE405" s="7">
        <f t="shared" si="2046"/>
        <v>9093.7306779661121</v>
      </c>
      <c r="AF405" s="7">
        <f t="shared" si="2046"/>
        <v>9071.3506779661129</v>
      </c>
      <c r="AG405" s="7">
        <f t="shared" si="2046"/>
        <v>9048.9706779661137</v>
      </c>
      <c r="AH405" s="7">
        <f t="shared" si="2046"/>
        <v>9026.5906779661145</v>
      </c>
      <c r="AI405" s="7">
        <f t="shared" si="2046"/>
        <v>9004.2106779661153</v>
      </c>
      <c r="AJ405" s="7">
        <f t="shared" si="2046"/>
        <v>8981.8306779661161</v>
      </c>
      <c r="AK405" s="7">
        <f t="shared" si="2046"/>
        <v>8959.4506779661169</v>
      </c>
      <c r="AL405" s="7">
        <f t="shared" si="2046"/>
        <v>8937.0706779661177</v>
      </c>
      <c r="AM405" s="7">
        <f t="shared" si="2046"/>
        <v>8914.6906779661185</v>
      </c>
      <c r="AN405" s="7">
        <f t="shared" si="2046"/>
        <v>8892.3106779661193</v>
      </c>
      <c r="AO405" s="7">
        <f t="shared" si="2046"/>
        <v>8869.9306779661201</v>
      </c>
      <c r="AP405" s="222">
        <f t="shared" si="2049"/>
        <v>198.09263491525454</v>
      </c>
      <c r="AQ405" s="7">
        <v>22.38</v>
      </c>
      <c r="AR405" s="7">
        <f t="shared" si="1987"/>
        <v>22.3799999999992</v>
      </c>
      <c r="AS405" s="7">
        <f t="shared" si="1988"/>
        <v>-7.9936057773011271E-13</v>
      </c>
      <c r="AT405" s="7">
        <f t="shared" si="2053"/>
        <v>268.56</v>
      </c>
      <c r="AU405" s="7">
        <f>AO405-$L405</f>
        <v>8847.5506779661209</v>
      </c>
      <c r="AV405" s="7">
        <f t="shared" si="2054"/>
        <v>8825.1706779661217</v>
      </c>
      <c r="AW405" s="7">
        <f t="shared" si="2054"/>
        <v>8802.7906779661225</v>
      </c>
      <c r="AX405" s="7">
        <f t="shared" si="2054"/>
        <v>8780.4106779661233</v>
      </c>
      <c r="AY405" s="7">
        <f t="shared" si="2054"/>
        <v>8758.0306779661241</v>
      </c>
      <c r="AZ405" s="7">
        <f t="shared" si="2054"/>
        <v>8735.6506779661249</v>
      </c>
      <c r="BA405" s="7">
        <f t="shared" si="2054"/>
        <v>8713.2706779661257</v>
      </c>
      <c r="BB405" s="7">
        <f t="shared" si="2054"/>
        <v>8690.8906779661265</v>
      </c>
      <c r="BC405" s="7">
        <f t="shared" si="2054"/>
        <v>8668.5106779661273</v>
      </c>
      <c r="BD405" s="7">
        <f t="shared" si="2054"/>
        <v>8646.1306779661281</v>
      </c>
      <c r="BE405" s="7">
        <f t="shared" si="2054"/>
        <v>8623.7506779661289</v>
      </c>
      <c r="BF405" s="7">
        <f t="shared" si="2054"/>
        <v>8601.3706779661297</v>
      </c>
      <c r="BG405" s="236">
        <f t="shared" si="1983"/>
        <v>192.18431491525479</v>
      </c>
      <c r="BH405" s="7">
        <v>22.38</v>
      </c>
      <c r="BI405" s="39">
        <f>BH405*12</f>
        <v>268.56</v>
      </c>
      <c r="BJ405" s="7">
        <f>BF405-BH405</f>
        <v>8578.9906779661305</v>
      </c>
      <c r="BK405" s="7">
        <f t="shared" ref="BK405:BK406" si="2117">BJ405-$L405</f>
        <v>8556.6106779661313</v>
      </c>
      <c r="BL405" s="7">
        <f t="shared" ref="BL405:BL406" si="2118">BK405-$L405</f>
        <v>8534.2306779661321</v>
      </c>
      <c r="BM405" s="7">
        <f t="shared" ref="BM405:BM406" si="2119">BL405-$L405</f>
        <v>8511.8506779661329</v>
      </c>
      <c r="BN405" s="7">
        <f t="shared" ref="BN405:BN406" si="2120">BM405-$L405</f>
        <v>8489.4706779661337</v>
      </c>
      <c r="BO405" s="7">
        <f t="shared" ref="BO405:BO406" si="2121">BN405-$L405</f>
        <v>8467.0906779661345</v>
      </c>
      <c r="BP405" s="7">
        <f t="shared" ref="BP405:BP406" si="2122">BO405-$L405</f>
        <v>8444.7106779661353</v>
      </c>
      <c r="BQ405" s="7">
        <f t="shared" ref="BQ405:BQ406" si="2123">BP405-$L405</f>
        <v>8422.3306779661361</v>
      </c>
      <c r="BR405" s="7">
        <f t="shared" ref="BR405:BR406" si="2124">BQ405-$L405</f>
        <v>8399.9506779661369</v>
      </c>
      <c r="BS405" s="7">
        <f t="shared" ref="BS405:BS406" si="2125">BR405-$L405</f>
        <v>8377.5706779661377</v>
      </c>
      <c r="BT405" s="7">
        <f t="shared" ref="BT405:BT406" si="2126">BS405-$L405</f>
        <v>8355.1906779661385</v>
      </c>
      <c r="BU405" s="7">
        <f t="shared" ref="BU405:BU406" si="2127">BT405-$L405</f>
        <v>8332.8106779661393</v>
      </c>
      <c r="BV405" s="236">
        <f t="shared" si="2050"/>
        <v>186.27599491525496</v>
      </c>
      <c r="BW405" s="7">
        <v>22.38</v>
      </c>
      <c r="BX405" s="39">
        <f>BW405*12</f>
        <v>268.56</v>
      </c>
      <c r="BY405" s="7">
        <f>BU405-BW405</f>
        <v>8310.4306779661401</v>
      </c>
      <c r="BZ405" s="7">
        <f t="shared" ref="BZ405:BZ406" si="2128">BY405-$L405</f>
        <v>8288.0506779661409</v>
      </c>
      <c r="CA405" s="7">
        <f t="shared" ref="CA405:CA406" si="2129">BZ405-$L405</f>
        <v>8265.6706779661417</v>
      </c>
      <c r="CB405" s="7">
        <f t="shared" ref="CB405:CB406" si="2130">CA405-$L405</f>
        <v>8243.2906779661425</v>
      </c>
      <c r="CC405" s="7">
        <f t="shared" ref="CC405:CC406" si="2131">CB405-$L405</f>
        <v>8220.9106779661433</v>
      </c>
      <c r="CD405" s="7">
        <f t="shared" ref="CD405:CD406" si="2132">CC405-$L405</f>
        <v>8198.5306779661441</v>
      </c>
      <c r="CE405" s="7">
        <f t="shared" ref="CE405:CE406" si="2133">CD405-$L405</f>
        <v>8176.150677966144</v>
      </c>
      <c r="CF405" s="7">
        <f t="shared" ref="CF405:CF406" si="2134">CE405-$L405</f>
        <v>8153.7706779661439</v>
      </c>
      <c r="CG405" s="7">
        <f t="shared" ref="CG405:CG406" si="2135">CF405-$L405</f>
        <v>8131.3906779661438</v>
      </c>
      <c r="CH405" s="7">
        <f t="shared" ref="CH405:CH406" si="2136">CG405-$L405</f>
        <v>8109.0106779661437</v>
      </c>
      <c r="CI405" s="7">
        <f t="shared" ref="CI405:CI406" si="2137">CH405-$L405</f>
        <v>8086.6306779661436</v>
      </c>
      <c r="CJ405" s="7">
        <f t="shared" ref="CJ405:CJ406" si="2138">CI405-$L405</f>
        <v>8064.2506779661435</v>
      </c>
      <c r="CK405" s="236">
        <f t="shared" si="2051"/>
        <v>180.36767491525512</v>
      </c>
      <c r="CL405" s="7">
        <v>22.38</v>
      </c>
      <c r="CM405" s="39">
        <f>CL405*12</f>
        <v>268.56</v>
      </c>
      <c r="CN405" s="7">
        <f>CJ405-CL405</f>
        <v>8041.8706779661434</v>
      </c>
      <c r="CO405" s="7">
        <f t="shared" ref="CO405:CO406" si="2139">CN405-$L405</f>
        <v>8019.4906779661433</v>
      </c>
      <c r="CP405" s="7">
        <f t="shared" ref="CP405:CP406" si="2140">CO405-$L405</f>
        <v>7997.1106779661432</v>
      </c>
      <c r="CQ405" s="7">
        <f t="shared" ref="CQ405:CQ406" si="2141">CP405-$L405</f>
        <v>7974.730677966143</v>
      </c>
      <c r="CR405" s="7">
        <f t="shared" ref="CR405:CR406" si="2142">CQ405-$L405</f>
        <v>7952.3506779661429</v>
      </c>
      <c r="CS405" s="7">
        <f t="shared" ref="CS405:CS406" si="2143">CR405-$L405</f>
        <v>7929.9706779661428</v>
      </c>
      <c r="CT405" s="7">
        <f t="shared" ref="CT405:CT406" si="2144">CS405-$L405</f>
        <v>7907.5906779661427</v>
      </c>
      <c r="CU405" s="7">
        <f t="shared" ref="CU405:CU406" si="2145">CT405-$L405</f>
        <v>7885.2106779661426</v>
      </c>
      <c r="CV405" s="7">
        <f t="shared" ref="CV405:CV406" si="2146">CU405-$L405</f>
        <v>7862.8306779661425</v>
      </c>
      <c r="CW405" s="7">
        <f t="shared" ref="CW405:CW406" si="2147">CV405-$L405</f>
        <v>7840.4506779661424</v>
      </c>
      <c r="CX405" s="7">
        <f t="shared" ref="CX405:CX406" si="2148">CW405-$L405</f>
        <v>7818.0706779661423</v>
      </c>
      <c r="CY405" s="7">
        <f t="shared" ref="CY405:CY406" si="2149">CX405-$L405</f>
        <v>7795.6906779661422</v>
      </c>
      <c r="CZ405" s="236">
        <f t="shared" si="2052"/>
        <v>174.45935491525512</v>
      </c>
    </row>
    <row r="406" spans="1:104" x14ac:dyDescent="0.2">
      <c r="A406" s="6" t="str">
        <f>'[1]2021 УГРЦТ'!A409</f>
        <v>ТП №57 Геолог 2х ТМ-250 п Искателей  1981г.</v>
      </c>
      <c r="B406" t="str">
        <f>'[1]2021 УГРЦТ'!B409</f>
        <v>00000496</v>
      </c>
      <c r="C406" t="str">
        <f>'[1]2021 УГРЦТ'!C409</f>
        <v>ПЕРЕДАЧА</v>
      </c>
      <c r="D406" t="str">
        <f>'[1]2021 УГРЦТ'!D409</f>
        <v>Здания</v>
      </c>
      <c r="E406" t="str">
        <f>'[1]2021 УГРЦТ'!E409</f>
        <v>01.12.1997</v>
      </c>
      <c r="F406" t="str">
        <f>'[1]2021 УГРЦТ'!F409</f>
        <v>Цех электрических сетей</v>
      </c>
      <c r="G406">
        <f>'[1]2021 УГРЦТ'!AC409</f>
        <v>708</v>
      </c>
      <c r="H406" s="7">
        <f>'[1]2021 УГРЦТ'!X409</f>
        <v>1759133.06</v>
      </c>
      <c r="I406" s="7">
        <f>'[1]2021 УГРЦТ'!Y409</f>
        <v>110763.87</v>
      </c>
      <c r="J406" s="7">
        <f>'[1]2021 УГРЦТ'!Z409</f>
        <v>1648369.19</v>
      </c>
      <c r="K406" s="8">
        <v>1</v>
      </c>
      <c r="L406" s="7">
        <v>3924.6900000000005</v>
      </c>
      <c r="M406" s="7"/>
      <c r="N406" s="7">
        <f t="shared" si="1814"/>
        <v>47096.280000000006</v>
      </c>
      <c r="O406" s="7">
        <f t="shared" si="1984"/>
        <v>1644444.5</v>
      </c>
      <c r="P406" s="7">
        <f t="shared" si="2015"/>
        <v>1640519.81</v>
      </c>
      <c r="Q406" s="7">
        <f t="shared" si="2015"/>
        <v>1636595.12</v>
      </c>
      <c r="R406" s="7">
        <f t="shared" si="2015"/>
        <v>1632670.4300000002</v>
      </c>
      <c r="S406" s="7">
        <f t="shared" si="2015"/>
        <v>1628745.7400000002</v>
      </c>
      <c r="T406" s="7">
        <f t="shared" si="2015"/>
        <v>1624821.0500000003</v>
      </c>
      <c r="U406" s="7">
        <f t="shared" si="2015"/>
        <v>1620896.3600000003</v>
      </c>
      <c r="V406" s="7">
        <f t="shared" si="2015"/>
        <v>1616971.6700000004</v>
      </c>
      <c r="W406" s="7">
        <f t="shared" si="2015"/>
        <v>1613046.9800000004</v>
      </c>
      <c r="X406" s="7">
        <f t="shared" si="2015"/>
        <v>1609122.2900000005</v>
      </c>
      <c r="Y406" s="7">
        <f t="shared" si="2015"/>
        <v>1605197.6000000006</v>
      </c>
      <c r="Z406" s="7">
        <f t="shared" si="2015"/>
        <v>1601272.9100000006</v>
      </c>
      <c r="AA406" s="7">
        <f t="shared" si="2048"/>
        <v>35746.063100000007</v>
      </c>
      <c r="AB406" s="7"/>
      <c r="AC406" s="7">
        <f t="shared" si="1985"/>
        <v>47096.280000000006</v>
      </c>
      <c r="AD406" s="7">
        <f t="shared" si="1986"/>
        <v>1597348.2200000007</v>
      </c>
      <c r="AE406" s="7">
        <f t="shared" si="2046"/>
        <v>1593423.5300000007</v>
      </c>
      <c r="AF406" s="7">
        <f t="shared" si="2046"/>
        <v>1589498.8400000008</v>
      </c>
      <c r="AG406" s="7">
        <f t="shared" si="2046"/>
        <v>1585574.1500000008</v>
      </c>
      <c r="AH406" s="7">
        <f t="shared" si="2046"/>
        <v>1581649.4600000009</v>
      </c>
      <c r="AI406" s="7">
        <f t="shared" si="2046"/>
        <v>1577724.7700000009</v>
      </c>
      <c r="AJ406" s="7">
        <f t="shared" si="2046"/>
        <v>1573800.080000001</v>
      </c>
      <c r="AK406" s="7">
        <f t="shared" si="2046"/>
        <v>1569875.3900000011</v>
      </c>
      <c r="AL406" s="7">
        <f t="shared" si="2046"/>
        <v>1565950.7000000011</v>
      </c>
      <c r="AM406" s="7">
        <f t="shared" si="2046"/>
        <v>1562026.0100000012</v>
      </c>
      <c r="AN406" s="7">
        <f t="shared" si="2046"/>
        <v>1558101.3200000012</v>
      </c>
      <c r="AO406" s="7">
        <f t="shared" si="2046"/>
        <v>1554176.6300000013</v>
      </c>
      <c r="AP406" s="222">
        <f t="shared" si="2049"/>
        <v>34709.944940000016</v>
      </c>
      <c r="AQ406" s="7">
        <v>3924.6900000000005</v>
      </c>
      <c r="AR406" s="7">
        <f t="shared" si="1987"/>
        <v>3924.6899999999441</v>
      </c>
      <c r="AS406" s="7">
        <f t="shared" si="1988"/>
        <v>-5.6388671509921551E-11</v>
      </c>
      <c r="AT406" s="7">
        <f t="shared" si="2053"/>
        <v>47096.280000000006</v>
      </c>
      <c r="AU406" s="7">
        <f>AO406-$L406</f>
        <v>1550251.9400000013</v>
      </c>
      <c r="AV406" s="7">
        <f t="shared" si="2054"/>
        <v>1546327.2500000014</v>
      </c>
      <c r="AW406" s="7">
        <f t="shared" si="2054"/>
        <v>1542402.5600000015</v>
      </c>
      <c r="AX406" s="7">
        <f t="shared" si="2054"/>
        <v>1538477.8700000015</v>
      </c>
      <c r="AY406" s="7">
        <f t="shared" si="2054"/>
        <v>1534553.1800000016</v>
      </c>
      <c r="AZ406" s="7">
        <f t="shared" si="2054"/>
        <v>1530628.4900000016</v>
      </c>
      <c r="BA406" s="7">
        <f t="shared" si="2054"/>
        <v>1526703.8000000017</v>
      </c>
      <c r="BB406" s="7">
        <f t="shared" si="2054"/>
        <v>1522779.1100000017</v>
      </c>
      <c r="BC406" s="7">
        <f t="shared" si="2054"/>
        <v>1518854.4200000018</v>
      </c>
      <c r="BD406" s="7">
        <f t="shared" si="2054"/>
        <v>1514929.7300000018</v>
      </c>
      <c r="BE406" s="7">
        <f t="shared" si="2054"/>
        <v>1511005.0400000019</v>
      </c>
      <c r="BF406" s="7">
        <f t="shared" si="2054"/>
        <v>1507080.350000002</v>
      </c>
      <c r="BG406" s="236">
        <f t="shared" si="1983"/>
        <v>33673.826780000039</v>
      </c>
      <c r="BH406" s="7">
        <v>3924.6900000000005</v>
      </c>
      <c r="BI406" s="39">
        <f>BH406*12</f>
        <v>47096.280000000006</v>
      </c>
      <c r="BJ406" s="7">
        <f>BF406-BH406</f>
        <v>1503155.660000002</v>
      </c>
      <c r="BK406" s="7">
        <f t="shared" si="2117"/>
        <v>1499230.9700000021</v>
      </c>
      <c r="BL406" s="7">
        <f t="shared" si="2118"/>
        <v>1495306.2800000021</v>
      </c>
      <c r="BM406" s="7">
        <f t="shared" si="2119"/>
        <v>1491381.5900000022</v>
      </c>
      <c r="BN406" s="7">
        <f t="shared" si="2120"/>
        <v>1487456.9000000022</v>
      </c>
      <c r="BO406" s="7">
        <f t="shared" si="2121"/>
        <v>1483532.2100000023</v>
      </c>
      <c r="BP406" s="7">
        <f t="shared" si="2122"/>
        <v>1479607.5200000023</v>
      </c>
      <c r="BQ406" s="7">
        <f t="shared" si="2123"/>
        <v>1475682.8300000024</v>
      </c>
      <c r="BR406" s="7">
        <f t="shared" si="2124"/>
        <v>1471758.1400000025</v>
      </c>
      <c r="BS406" s="7">
        <f t="shared" si="2125"/>
        <v>1467833.4500000025</v>
      </c>
      <c r="BT406" s="7">
        <f t="shared" si="2126"/>
        <v>1463908.7600000026</v>
      </c>
      <c r="BU406" s="7">
        <f t="shared" si="2127"/>
        <v>1459984.0700000026</v>
      </c>
      <c r="BV406" s="236">
        <f t="shared" si="2050"/>
        <v>32637.708620000049</v>
      </c>
      <c r="BW406" s="7">
        <v>3924.6900000000005</v>
      </c>
      <c r="BX406" s="39">
        <f>BW406*12</f>
        <v>47096.280000000006</v>
      </c>
      <c r="BY406" s="7">
        <f>BU406-BW406</f>
        <v>1456059.3800000027</v>
      </c>
      <c r="BZ406" s="7">
        <f t="shared" si="2128"/>
        <v>1452134.6900000027</v>
      </c>
      <c r="CA406" s="7">
        <f t="shared" si="2129"/>
        <v>1448210.0000000028</v>
      </c>
      <c r="CB406" s="7">
        <f t="shared" si="2130"/>
        <v>1444285.3100000028</v>
      </c>
      <c r="CC406" s="7">
        <f t="shared" si="2131"/>
        <v>1440360.6200000029</v>
      </c>
      <c r="CD406" s="7">
        <f t="shared" si="2132"/>
        <v>1436435.930000003</v>
      </c>
      <c r="CE406" s="7">
        <f t="shared" si="2133"/>
        <v>1432511.240000003</v>
      </c>
      <c r="CF406" s="7">
        <f t="shared" si="2134"/>
        <v>1428586.5500000031</v>
      </c>
      <c r="CG406" s="7">
        <f t="shared" si="2135"/>
        <v>1424661.8600000031</v>
      </c>
      <c r="CH406" s="7">
        <f t="shared" si="2136"/>
        <v>1420737.1700000032</v>
      </c>
      <c r="CI406" s="7">
        <f t="shared" si="2137"/>
        <v>1416812.4800000032</v>
      </c>
      <c r="CJ406" s="7">
        <f t="shared" si="2138"/>
        <v>1412887.7900000033</v>
      </c>
      <c r="CK406" s="236">
        <f t="shared" si="2051"/>
        <v>31601.590460000069</v>
      </c>
      <c r="CL406" s="7">
        <v>3924.6900000000005</v>
      </c>
      <c r="CM406" s="39">
        <f>CL406*12</f>
        <v>47096.280000000006</v>
      </c>
      <c r="CN406" s="7">
        <f>CJ406-CL406</f>
        <v>1408963.1000000034</v>
      </c>
      <c r="CO406" s="7">
        <f t="shared" si="2139"/>
        <v>1405038.4100000034</v>
      </c>
      <c r="CP406" s="7">
        <f t="shared" si="2140"/>
        <v>1401113.7200000035</v>
      </c>
      <c r="CQ406" s="7">
        <f t="shared" si="2141"/>
        <v>1397189.0300000035</v>
      </c>
      <c r="CR406" s="7">
        <f t="shared" si="2142"/>
        <v>1393264.3400000036</v>
      </c>
      <c r="CS406" s="7">
        <f t="shared" si="2143"/>
        <v>1389339.6500000036</v>
      </c>
      <c r="CT406" s="7">
        <f t="shared" si="2144"/>
        <v>1385414.9600000037</v>
      </c>
      <c r="CU406" s="7">
        <f t="shared" si="2145"/>
        <v>1381490.2700000037</v>
      </c>
      <c r="CV406" s="7">
        <f t="shared" si="2146"/>
        <v>1377565.5800000038</v>
      </c>
      <c r="CW406" s="7">
        <f t="shared" si="2147"/>
        <v>1373640.8900000039</v>
      </c>
      <c r="CX406" s="7">
        <f t="shared" si="2148"/>
        <v>1369716.2000000039</v>
      </c>
      <c r="CY406" s="7">
        <f t="shared" si="2149"/>
        <v>1365791.510000004</v>
      </c>
      <c r="CZ406" s="236">
        <f t="shared" si="2052"/>
        <v>30565.472300000078</v>
      </c>
    </row>
    <row r="407" spans="1:104" x14ac:dyDescent="0.2">
      <c r="A407" s="6" t="str">
        <f>'[1]2021 УГРЦТ'!A410</f>
        <v>ТП №58 ГКТПН 10-400</v>
      </c>
      <c r="B407" t="str">
        <f>'[1]2021 УГРЦТ'!B410</f>
        <v>00000249</v>
      </c>
      <c r="C407" t="str">
        <f>'[1]2021 УГРЦТ'!C410</f>
        <v>ПЕРЕДАЧА</v>
      </c>
      <c r="D407" t="str">
        <f>'[1]2021 УГРЦТ'!D410</f>
        <v>Сооружения</v>
      </c>
      <c r="E407" t="str">
        <f>'[1]2021 УГРЦТ'!E410</f>
        <v>01.06.1998</v>
      </c>
      <c r="F407" t="str">
        <f>'[1]2021 УГРЦТ'!F410</f>
        <v>Цех электрических сетей</v>
      </c>
      <c r="G407">
        <f>'[1]2021 УГРЦТ'!AC410</f>
        <v>276</v>
      </c>
      <c r="H407" s="7">
        <f>'[1]2021 УГРЦТ'!X410</f>
        <v>41158.949999999997</v>
      </c>
      <c r="I407" s="7">
        <f>'[1]2021 УГРЦТ'!Y410</f>
        <v>41158.950000000004</v>
      </c>
      <c r="J407" s="7">
        <f>'[1]2021 УГРЦТ'!Z410</f>
        <v>0</v>
      </c>
      <c r="K407" s="8">
        <v>1</v>
      </c>
      <c r="L407" s="7">
        <v>0</v>
      </c>
      <c r="M407" s="7"/>
      <c r="N407" s="7">
        <f t="shared" si="1814"/>
        <v>0</v>
      </c>
      <c r="O407" s="7">
        <f t="shared" si="1984"/>
        <v>0</v>
      </c>
      <c r="P407" s="7">
        <f t="shared" ref="P407:Z422" si="2150">O407-$L407</f>
        <v>0</v>
      </c>
      <c r="Q407" s="7">
        <f t="shared" si="2150"/>
        <v>0</v>
      </c>
      <c r="R407" s="7">
        <f t="shared" si="2150"/>
        <v>0</v>
      </c>
      <c r="S407" s="7">
        <f t="shared" si="2150"/>
        <v>0</v>
      </c>
      <c r="T407" s="7">
        <f t="shared" si="2150"/>
        <v>0</v>
      </c>
      <c r="U407" s="7">
        <f t="shared" si="2150"/>
        <v>0</v>
      </c>
      <c r="V407" s="7">
        <f t="shared" si="2150"/>
        <v>0</v>
      </c>
      <c r="W407" s="7">
        <f t="shared" si="2150"/>
        <v>0</v>
      </c>
      <c r="X407" s="7">
        <f t="shared" si="2150"/>
        <v>0</v>
      </c>
      <c r="Y407" s="7">
        <f t="shared" si="2150"/>
        <v>0</v>
      </c>
      <c r="Z407" s="7">
        <f t="shared" si="2150"/>
        <v>0</v>
      </c>
      <c r="AA407" s="7">
        <f t="shared" si="2048"/>
        <v>0</v>
      </c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222"/>
      <c r="AQ407" s="7">
        <v>0</v>
      </c>
      <c r="AR407" s="7">
        <f t="shared" si="1987"/>
        <v>0</v>
      </c>
      <c r="AS407" s="7">
        <f t="shared" si="1988"/>
        <v>0</v>
      </c>
      <c r="BG407" s="236">
        <f t="shared" si="1983"/>
        <v>0</v>
      </c>
      <c r="BH407" s="7">
        <v>0</v>
      </c>
      <c r="BV407" s="236">
        <f t="shared" si="2050"/>
        <v>0</v>
      </c>
      <c r="BW407" s="7">
        <v>0</v>
      </c>
      <c r="CK407" s="236">
        <f t="shared" si="2051"/>
        <v>0</v>
      </c>
      <c r="CL407" s="7">
        <v>0</v>
      </c>
      <c r="CZ407" s="236">
        <f t="shared" si="2052"/>
        <v>0</v>
      </c>
    </row>
    <row r="408" spans="1:104" x14ac:dyDescent="0.2">
      <c r="A408" s="6" t="str">
        <f>'[1]2021 УГРЦТ'!A411</f>
        <v>ТП №59 ТМ-250 школа п.Искателей 1997г</v>
      </c>
      <c r="B408" t="str">
        <f>'[1]2021 УГРЦТ'!B411</f>
        <v>00000096</v>
      </c>
      <c r="C408" t="str">
        <f>'[1]2021 УГРЦТ'!C411</f>
        <v>ПЕРЕДАЧА</v>
      </c>
      <c r="D408" t="str">
        <f>'[1]2021 УГРЦТ'!D411</f>
        <v>Здания</v>
      </c>
      <c r="E408" t="str">
        <f>'[1]2021 УГРЦТ'!E411</f>
        <v>01.12.1997</v>
      </c>
      <c r="F408" t="str">
        <f>'[1]2021 УГРЦТ'!F411</f>
        <v>Цех электрических сетей</v>
      </c>
      <c r="G408">
        <f>'[1]2021 УГРЦТ'!AC411</f>
        <v>708</v>
      </c>
      <c r="H408" s="7">
        <f>'[1]2021 УГРЦТ'!X411</f>
        <v>11932</v>
      </c>
      <c r="I408" s="7">
        <f>'[1]2021 УГРЦТ'!Y411</f>
        <v>4264.1572881355933</v>
      </c>
      <c r="J408" s="7">
        <f>'[1]2021 УГРЦТ'!Z411</f>
        <v>7667.8427118644067</v>
      </c>
      <c r="K408" s="8">
        <v>1</v>
      </c>
      <c r="L408" s="7">
        <v>16.86</v>
      </c>
      <c r="M408" s="7"/>
      <c r="N408" s="7">
        <f t="shared" si="1814"/>
        <v>202.32</v>
      </c>
      <c r="O408" s="7">
        <f t="shared" si="1984"/>
        <v>7650.9827118644071</v>
      </c>
      <c r="P408" s="7">
        <f t="shared" si="2150"/>
        <v>7634.1227118644074</v>
      </c>
      <c r="Q408" s="7">
        <f t="shared" si="2150"/>
        <v>7617.2627118644077</v>
      </c>
      <c r="R408" s="7">
        <f t="shared" si="2150"/>
        <v>7600.402711864408</v>
      </c>
      <c r="S408" s="7">
        <f t="shared" si="2150"/>
        <v>7583.5427118644084</v>
      </c>
      <c r="T408" s="7">
        <f t="shared" si="2150"/>
        <v>7566.6827118644087</v>
      </c>
      <c r="U408" s="7">
        <f t="shared" si="2150"/>
        <v>7549.822711864409</v>
      </c>
      <c r="V408" s="7">
        <f t="shared" si="2150"/>
        <v>7532.9627118644094</v>
      </c>
      <c r="W408" s="7">
        <f t="shared" si="2150"/>
        <v>7516.1027118644097</v>
      </c>
      <c r="X408" s="7">
        <f t="shared" si="2150"/>
        <v>7499.24271186441</v>
      </c>
      <c r="Y408" s="7">
        <f t="shared" si="2150"/>
        <v>7482.3827118644103</v>
      </c>
      <c r="Z408" s="7">
        <f t="shared" si="2150"/>
        <v>7465.5227118644107</v>
      </c>
      <c r="AA408" s="7">
        <f t="shared" si="2048"/>
        <v>166.46701966101699</v>
      </c>
      <c r="AB408" s="7"/>
      <c r="AC408" s="7">
        <f t="shared" si="1985"/>
        <v>202.32</v>
      </c>
      <c r="AD408" s="7">
        <f t="shared" si="1986"/>
        <v>7448.662711864411</v>
      </c>
      <c r="AE408" s="7">
        <f t="shared" si="2046"/>
        <v>7431.8027118644113</v>
      </c>
      <c r="AF408" s="7">
        <f t="shared" si="2046"/>
        <v>7414.9427118644116</v>
      </c>
      <c r="AG408" s="7">
        <f t="shared" si="2046"/>
        <v>7398.082711864412</v>
      </c>
      <c r="AH408" s="7">
        <f t="shared" si="2046"/>
        <v>7381.2227118644123</v>
      </c>
      <c r="AI408" s="7">
        <f t="shared" si="2046"/>
        <v>7364.3627118644126</v>
      </c>
      <c r="AJ408" s="7">
        <f t="shared" si="2046"/>
        <v>7347.502711864413</v>
      </c>
      <c r="AK408" s="7">
        <f t="shared" si="2046"/>
        <v>7330.6427118644133</v>
      </c>
      <c r="AL408" s="7">
        <f t="shared" si="2046"/>
        <v>7313.7827118644136</v>
      </c>
      <c r="AM408" s="7">
        <f t="shared" si="2046"/>
        <v>7296.9227118644139</v>
      </c>
      <c r="AN408" s="7">
        <f t="shared" si="2046"/>
        <v>7280.0627118644143</v>
      </c>
      <c r="AO408" s="7">
        <f t="shared" si="2046"/>
        <v>7263.2027118644146</v>
      </c>
      <c r="AP408" s="222">
        <f>IF(K408&lt;1,0,SUM(AD408:AO408,Z408)/13*$BG$1)</f>
        <v>162.0159796610171</v>
      </c>
      <c r="AQ408" s="7">
        <v>16.86</v>
      </c>
      <c r="AR408" s="7">
        <f t="shared" si="1987"/>
        <v>16.859999999999673</v>
      </c>
      <c r="AS408" s="7">
        <f t="shared" si="1988"/>
        <v>-3.2684965844964609E-13</v>
      </c>
      <c r="AT408" s="7">
        <f t="shared" ref="AT408:AT417" si="2151">L408*12</f>
        <v>202.32</v>
      </c>
      <c r="AU408" s="7">
        <f t="shared" ref="AU408:AU417" si="2152">AO408-$L408</f>
        <v>7246.3427118644149</v>
      </c>
      <c r="AV408" s="7">
        <f t="shared" ref="AV408:BF417" si="2153">AU408-$L408</f>
        <v>7229.4827118644153</v>
      </c>
      <c r="AW408" s="7">
        <f t="shared" si="2153"/>
        <v>7212.6227118644156</v>
      </c>
      <c r="AX408" s="7">
        <f t="shared" si="2153"/>
        <v>7195.7627118644159</v>
      </c>
      <c r="AY408" s="7">
        <f t="shared" si="2153"/>
        <v>7178.9027118644162</v>
      </c>
      <c r="AZ408" s="7">
        <f t="shared" si="2153"/>
        <v>7162.0427118644166</v>
      </c>
      <c r="BA408" s="7">
        <f t="shared" si="2153"/>
        <v>7145.1827118644169</v>
      </c>
      <c r="BB408" s="7">
        <f t="shared" si="2153"/>
        <v>7128.3227118644172</v>
      </c>
      <c r="BC408" s="7">
        <f t="shared" si="2153"/>
        <v>7111.4627118644175</v>
      </c>
      <c r="BD408" s="7">
        <f t="shared" si="2153"/>
        <v>7094.6027118644179</v>
      </c>
      <c r="BE408" s="7">
        <f t="shared" si="2153"/>
        <v>7077.7427118644182</v>
      </c>
      <c r="BF408" s="7">
        <f t="shared" si="2153"/>
        <v>7060.8827118644185</v>
      </c>
      <c r="BG408" s="236">
        <f t="shared" si="1983"/>
        <v>157.56493966101715</v>
      </c>
      <c r="BH408" s="7">
        <v>16.86</v>
      </c>
      <c r="BI408" s="39">
        <f>BH408*12</f>
        <v>202.32</v>
      </c>
      <c r="BJ408" s="7">
        <f>BF408-BH408</f>
        <v>7044.0227118644189</v>
      </c>
      <c r="BK408" s="7">
        <f t="shared" ref="BK408:BK417" si="2154">BJ408-$L408</f>
        <v>7027.1627118644192</v>
      </c>
      <c r="BL408" s="7">
        <f t="shared" ref="BL408:BL417" si="2155">BK408-$L408</f>
        <v>7010.3027118644195</v>
      </c>
      <c r="BM408" s="7">
        <f t="shared" ref="BM408:BM417" si="2156">BL408-$L408</f>
        <v>6993.4427118644198</v>
      </c>
      <c r="BN408" s="7">
        <f t="shared" ref="BN408:BN417" si="2157">BM408-$L408</f>
        <v>6976.5827118644202</v>
      </c>
      <c r="BO408" s="7">
        <f t="shared" ref="BO408:BO417" si="2158">BN408-$L408</f>
        <v>6959.7227118644205</v>
      </c>
      <c r="BP408" s="7">
        <f t="shared" ref="BP408:BP411" si="2159">BO408-$L408</f>
        <v>6942.8627118644208</v>
      </c>
      <c r="BQ408" s="7">
        <f t="shared" ref="BQ408:BQ411" si="2160">BP408-$L408</f>
        <v>6926.0027118644211</v>
      </c>
      <c r="BR408" s="7">
        <f t="shared" ref="BR408:BR411" si="2161">BQ408-$L408</f>
        <v>6909.1427118644215</v>
      </c>
      <c r="BS408" s="7">
        <f t="shared" ref="BS408:BS411" si="2162">BR408-$L408</f>
        <v>6892.2827118644218</v>
      </c>
      <c r="BT408" s="7">
        <f t="shared" ref="BT408:BT411" si="2163">BS408-$L408</f>
        <v>6875.4227118644221</v>
      </c>
      <c r="BU408" s="7">
        <f t="shared" ref="BU408:BU411" si="2164">BT408-$L408</f>
        <v>6858.5627118644225</v>
      </c>
      <c r="BV408" s="236">
        <f t="shared" si="2050"/>
        <v>153.11389966101723</v>
      </c>
      <c r="BW408" s="7">
        <v>16.86</v>
      </c>
      <c r="BX408" s="39">
        <f>BW408*12</f>
        <v>202.32</v>
      </c>
      <c r="BY408" s="7">
        <f>BU408-BW408</f>
        <v>6841.7027118644228</v>
      </c>
      <c r="BZ408" s="7">
        <f t="shared" ref="BZ408:BZ411" si="2165">BY408-$L408</f>
        <v>6824.8427118644231</v>
      </c>
      <c r="CA408" s="7">
        <f t="shared" ref="CA408:CA411" si="2166">BZ408-$L408</f>
        <v>6807.9827118644234</v>
      </c>
      <c r="CB408" s="7">
        <f t="shared" ref="CB408:CB411" si="2167">CA408-$L408</f>
        <v>6791.1227118644238</v>
      </c>
      <c r="CC408" s="7">
        <f t="shared" ref="CC408:CC411" si="2168">CB408-$L408</f>
        <v>6774.2627118644241</v>
      </c>
      <c r="CD408" s="7">
        <f t="shared" ref="CD408:CD411" si="2169">CC408-$L408</f>
        <v>6757.4027118644244</v>
      </c>
      <c r="CE408" s="7">
        <f t="shared" ref="CE408:CE411" si="2170">CD408-$L408</f>
        <v>6740.5427118644247</v>
      </c>
      <c r="CF408" s="7">
        <f t="shared" ref="CF408:CF411" si="2171">CE408-$L408</f>
        <v>6723.6827118644251</v>
      </c>
      <c r="CG408" s="7">
        <f t="shared" ref="CG408:CG411" si="2172">CF408-$L408</f>
        <v>6706.8227118644254</v>
      </c>
      <c r="CH408" s="7">
        <f t="shared" ref="CH408:CH411" si="2173">CG408-$L408</f>
        <v>6689.9627118644257</v>
      </c>
      <c r="CI408" s="7">
        <f t="shared" ref="CI408:CI411" si="2174">CH408-$L408</f>
        <v>6673.1027118644261</v>
      </c>
      <c r="CJ408" s="7">
        <f t="shared" ref="CJ408:CJ411" si="2175">CI408-$L408</f>
        <v>6656.2427118644264</v>
      </c>
      <c r="CK408" s="236">
        <f t="shared" si="2051"/>
        <v>148.66285966101734</v>
      </c>
      <c r="CL408" s="7">
        <v>16.86</v>
      </c>
      <c r="CM408" s="39">
        <f>CL408*12</f>
        <v>202.32</v>
      </c>
      <c r="CN408" s="7">
        <f>CJ408-CL408</f>
        <v>6639.3827118644267</v>
      </c>
      <c r="CO408" s="7">
        <f t="shared" ref="CO408:CO411" si="2176">CN408-$L408</f>
        <v>6622.522711864427</v>
      </c>
      <c r="CP408" s="7">
        <f t="shared" ref="CP408:CP411" si="2177">CO408-$L408</f>
        <v>6605.6627118644274</v>
      </c>
      <c r="CQ408" s="7">
        <f t="shared" ref="CQ408:CQ411" si="2178">CP408-$L408</f>
        <v>6588.8027118644277</v>
      </c>
      <c r="CR408" s="7">
        <f t="shared" ref="CR408:CR411" si="2179">CQ408-$L408</f>
        <v>6571.942711864428</v>
      </c>
      <c r="CS408" s="7">
        <f t="shared" ref="CS408:CS411" si="2180">CR408-$L408</f>
        <v>6555.0827118644283</v>
      </c>
      <c r="CT408" s="7">
        <f t="shared" ref="CT408:CT411" si="2181">CS408-$L408</f>
        <v>6538.2227118644287</v>
      </c>
      <c r="CU408" s="7">
        <f t="shared" ref="CU408:CU411" si="2182">CT408-$L408</f>
        <v>6521.362711864429</v>
      </c>
      <c r="CV408" s="7">
        <f t="shared" ref="CV408:CV411" si="2183">CU408-$L408</f>
        <v>6504.5027118644293</v>
      </c>
      <c r="CW408" s="7">
        <f t="shared" ref="CW408:CW411" si="2184">CV408-$L408</f>
        <v>6487.6427118644297</v>
      </c>
      <c r="CX408" s="7">
        <f t="shared" ref="CX408:CX411" si="2185">CW408-$L408</f>
        <v>6470.78271186443</v>
      </c>
      <c r="CY408" s="7">
        <f t="shared" ref="CY408:CY411" si="2186">CX408-$L408</f>
        <v>6453.9227118644303</v>
      </c>
      <c r="CZ408" s="236">
        <f t="shared" si="2052"/>
        <v>144.21181966101744</v>
      </c>
    </row>
    <row r="409" spans="1:104" x14ac:dyDescent="0.2">
      <c r="A409" s="6" t="str">
        <f>'[1]2021 УГРЦТ'!A412</f>
        <v>ТП №60</v>
      </c>
      <c r="B409" t="str">
        <f>'[1]2021 УГРЦТ'!B412</f>
        <v>00000228</v>
      </c>
      <c r="C409" t="str">
        <f>'[1]2021 УГРЦТ'!C412</f>
        <v>ПЕРЕДАЧА</v>
      </c>
      <c r="D409" t="str">
        <f>'[1]2021 УГРЦТ'!D412</f>
        <v>Машины и оборудование (кроме офисного)</v>
      </c>
      <c r="E409" t="str">
        <f>'[1]2021 УГРЦТ'!E412</f>
        <v>01.01.1995</v>
      </c>
      <c r="F409" t="str">
        <f>'[1]2021 УГРЦТ'!F412</f>
        <v>Цех электрических сетей</v>
      </c>
      <c r="G409">
        <f>'[1]2021 УГРЦТ'!AC412</f>
        <v>708</v>
      </c>
      <c r="H409" s="7">
        <f>'[1]2021 УГРЦТ'!X412</f>
        <v>1794513.35</v>
      </c>
      <c r="I409" s="7">
        <f>'[1]2021 УГРЦТ'!Y412</f>
        <v>614904.75</v>
      </c>
      <c r="J409" s="7">
        <f>'[1]2021 УГРЦТ'!Z412</f>
        <v>1179608.6000000001</v>
      </c>
      <c r="K409" s="8">
        <v>0</v>
      </c>
      <c r="L409" s="7">
        <v>11342.39</v>
      </c>
      <c r="M409" s="7"/>
      <c r="N409" s="7">
        <f t="shared" si="1814"/>
        <v>136108.68</v>
      </c>
      <c r="O409" s="7">
        <f t="shared" si="1984"/>
        <v>1168266.2100000002</v>
      </c>
      <c r="P409" s="7">
        <f t="shared" si="2150"/>
        <v>1156923.8200000003</v>
      </c>
      <c r="Q409" s="7">
        <f t="shared" si="2150"/>
        <v>1145581.4300000004</v>
      </c>
      <c r="R409" s="7">
        <f t="shared" si="2150"/>
        <v>1134239.0400000005</v>
      </c>
      <c r="S409" s="7">
        <f t="shared" si="2150"/>
        <v>1122896.6500000006</v>
      </c>
      <c r="T409" s="7">
        <f t="shared" si="2150"/>
        <v>1111554.2600000007</v>
      </c>
      <c r="U409" s="7">
        <f t="shared" si="2150"/>
        <v>1100211.8700000008</v>
      </c>
      <c r="V409" s="7">
        <f t="shared" si="2150"/>
        <v>1088869.4800000009</v>
      </c>
      <c r="W409" s="7">
        <f t="shared" si="2150"/>
        <v>1077527.090000001</v>
      </c>
      <c r="X409" s="7">
        <f t="shared" si="2150"/>
        <v>1066184.7000000011</v>
      </c>
      <c r="Y409" s="7">
        <f t="shared" si="2150"/>
        <v>1054842.3100000012</v>
      </c>
      <c r="Z409" s="7">
        <f t="shared" si="2150"/>
        <v>1043499.9200000012</v>
      </c>
      <c r="AA409" s="7"/>
      <c r="AB409" s="7"/>
      <c r="AC409" s="7">
        <f t="shared" si="1985"/>
        <v>136108.68</v>
      </c>
      <c r="AD409" s="7">
        <f t="shared" si="1986"/>
        <v>1032157.5300000012</v>
      </c>
      <c r="AE409" s="7">
        <f t="shared" si="2046"/>
        <v>1020815.1400000012</v>
      </c>
      <c r="AF409" s="7">
        <f t="shared" si="2046"/>
        <v>1009472.7500000012</v>
      </c>
      <c r="AG409" s="7">
        <f t="shared" si="2046"/>
        <v>998130.36000000115</v>
      </c>
      <c r="AH409" s="7">
        <f t="shared" si="2046"/>
        <v>986787.97000000114</v>
      </c>
      <c r="AI409" s="7">
        <f t="shared" si="2046"/>
        <v>975445.58000000112</v>
      </c>
      <c r="AJ409" s="7">
        <f t="shared" si="2046"/>
        <v>964103.19000000111</v>
      </c>
      <c r="AK409" s="7">
        <f t="shared" si="2046"/>
        <v>952760.80000000109</v>
      </c>
      <c r="AL409" s="7">
        <f t="shared" si="2046"/>
        <v>941418.41000000108</v>
      </c>
      <c r="AM409" s="7">
        <f t="shared" si="2046"/>
        <v>930076.02000000107</v>
      </c>
      <c r="AN409" s="7">
        <f t="shared" si="2046"/>
        <v>918733.63000000105</v>
      </c>
      <c r="AO409" s="7">
        <f t="shared" si="2046"/>
        <v>907391.24000000104</v>
      </c>
      <c r="AP409" s="222"/>
      <c r="AQ409" s="7">
        <v>11342.39</v>
      </c>
      <c r="AR409" s="7">
        <f t="shared" si="1987"/>
        <v>11342.390000000014</v>
      </c>
      <c r="AS409" s="7">
        <f t="shared" si="1988"/>
        <v>1.4551915228366852E-11</v>
      </c>
      <c r="AT409" s="7">
        <f t="shared" si="2151"/>
        <v>136108.68</v>
      </c>
      <c r="AU409" s="7">
        <f t="shared" si="2152"/>
        <v>896048.85000000102</v>
      </c>
      <c r="AV409" s="7">
        <f t="shared" si="2153"/>
        <v>884706.46000000101</v>
      </c>
      <c r="AW409" s="7">
        <f t="shared" si="2153"/>
        <v>873364.070000001</v>
      </c>
      <c r="AX409" s="7">
        <f t="shared" si="2153"/>
        <v>862021.68000000098</v>
      </c>
      <c r="AY409" s="7">
        <f t="shared" si="2153"/>
        <v>850679.29000000097</v>
      </c>
      <c r="AZ409" s="7">
        <f t="shared" si="2153"/>
        <v>839336.90000000095</v>
      </c>
      <c r="BA409" s="7">
        <f t="shared" si="2153"/>
        <v>827994.51000000094</v>
      </c>
      <c r="BB409" s="7">
        <f t="shared" si="2153"/>
        <v>816652.12000000093</v>
      </c>
      <c r="BC409" s="7">
        <f t="shared" si="2153"/>
        <v>805309.73000000091</v>
      </c>
      <c r="BD409" s="7">
        <f t="shared" si="2153"/>
        <v>793967.3400000009</v>
      </c>
      <c r="BE409" s="7">
        <f t="shared" si="2153"/>
        <v>782624.95000000088</v>
      </c>
      <c r="BF409" s="7">
        <f t="shared" si="2153"/>
        <v>771282.56000000087</v>
      </c>
      <c r="BG409" s="236">
        <f t="shared" si="1983"/>
        <v>0</v>
      </c>
      <c r="BH409" s="7">
        <v>11342.39</v>
      </c>
      <c r="BI409" s="39">
        <f>BH409*12</f>
        <v>136108.68</v>
      </c>
      <c r="BJ409" s="7">
        <f>BF409-BH409</f>
        <v>759940.17000000086</v>
      </c>
      <c r="BK409" s="7">
        <f t="shared" si="2154"/>
        <v>748597.78000000084</v>
      </c>
      <c r="BL409" s="7">
        <f t="shared" si="2155"/>
        <v>737255.39000000083</v>
      </c>
      <c r="BM409" s="7">
        <f t="shared" si="2156"/>
        <v>725913.00000000081</v>
      </c>
      <c r="BN409" s="7">
        <f t="shared" si="2157"/>
        <v>714570.6100000008</v>
      </c>
      <c r="BO409" s="7">
        <f t="shared" si="2158"/>
        <v>703228.22000000079</v>
      </c>
      <c r="BP409" s="7">
        <f t="shared" si="2159"/>
        <v>691885.83000000077</v>
      </c>
      <c r="BQ409" s="7">
        <f t="shared" si="2160"/>
        <v>680543.44000000076</v>
      </c>
      <c r="BR409" s="7">
        <f t="shared" si="2161"/>
        <v>669201.05000000075</v>
      </c>
      <c r="BS409" s="7">
        <f t="shared" si="2162"/>
        <v>657858.66000000073</v>
      </c>
      <c r="BT409" s="7">
        <f t="shared" si="2163"/>
        <v>646516.27000000072</v>
      </c>
      <c r="BU409" s="7">
        <f t="shared" si="2164"/>
        <v>635173.8800000007</v>
      </c>
      <c r="BV409" s="236">
        <v>0</v>
      </c>
      <c r="BW409" s="7">
        <v>11342.39</v>
      </c>
      <c r="BX409" s="39">
        <f>BW409*12</f>
        <v>136108.68</v>
      </c>
      <c r="BY409" s="7">
        <f>BU409-BW409</f>
        <v>623831.49000000069</v>
      </c>
      <c r="BZ409" s="7">
        <f t="shared" si="2165"/>
        <v>612489.10000000068</v>
      </c>
      <c r="CA409" s="7">
        <f t="shared" si="2166"/>
        <v>601146.71000000066</v>
      </c>
      <c r="CB409" s="7">
        <f t="shared" si="2167"/>
        <v>589804.32000000065</v>
      </c>
      <c r="CC409" s="7">
        <f t="shared" si="2168"/>
        <v>578461.93000000063</v>
      </c>
      <c r="CD409" s="7">
        <f t="shared" si="2169"/>
        <v>567119.54000000062</v>
      </c>
      <c r="CE409" s="7">
        <f t="shared" si="2170"/>
        <v>555777.15000000061</v>
      </c>
      <c r="CF409" s="7">
        <f t="shared" si="2171"/>
        <v>544434.76000000059</v>
      </c>
      <c r="CG409" s="7">
        <f t="shared" si="2172"/>
        <v>533092.37000000058</v>
      </c>
      <c r="CH409" s="7">
        <f t="shared" si="2173"/>
        <v>521749.98000000056</v>
      </c>
      <c r="CI409" s="7">
        <f t="shared" si="2174"/>
        <v>510407.59000000055</v>
      </c>
      <c r="CJ409" s="7">
        <f t="shared" si="2175"/>
        <v>499065.20000000054</v>
      </c>
      <c r="CK409" s="236">
        <v>0</v>
      </c>
      <c r="CL409" s="7">
        <v>11342.39</v>
      </c>
      <c r="CM409" s="39">
        <f>CL409*12</f>
        <v>136108.68</v>
      </c>
      <c r="CN409" s="7">
        <f>CJ409-CL409</f>
        <v>487722.81000000052</v>
      </c>
      <c r="CO409" s="7">
        <f t="shared" si="2176"/>
        <v>476380.42000000051</v>
      </c>
      <c r="CP409" s="7">
        <f t="shared" si="2177"/>
        <v>465038.03000000049</v>
      </c>
      <c r="CQ409" s="7">
        <f t="shared" si="2178"/>
        <v>453695.64000000048</v>
      </c>
      <c r="CR409" s="7">
        <f t="shared" si="2179"/>
        <v>442353.25000000047</v>
      </c>
      <c r="CS409" s="7">
        <f t="shared" si="2180"/>
        <v>431010.86000000045</v>
      </c>
      <c r="CT409" s="7">
        <f t="shared" si="2181"/>
        <v>419668.47000000044</v>
      </c>
      <c r="CU409" s="7">
        <f t="shared" si="2182"/>
        <v>408326.08000000042</v>
      </c>
      <c r="CV409" s="7">
        <f t="shared" si="2183"/>
        <v>396983.69000000041</v>
      </c>
      <c r="CW409" s="7">
        <f t="shared" si="2184"/>
        <v>385641.3000000004</v>
      </c>
      <c r="CX409" s="7">
        <f t="shared" si="2185"/>
        <v>374298.91000000038</v>
      </c>
      <c r="CY409" s="7">
        <f t="shared" si="2186"/>
        <v>362956.52000000037</v>
      </c>
      <c r="CZ409" s="236">
        <v>0</v>
      </c>
    </row>
    <row r="410" spans="1:104" x14ac:dyDescent="0.2">
      <c r="A410" s="6" t="str">
        <f>'[1]2021 УГРЦТ'!A413</f>
        <v xml:space="preserve">ТП №60 Озерная 6  Искателей </v>
      </c>
      <c r="B410" t="str">
        <f>'[1]2021 УГРЦТ'!B413</f>
        <v>00000098</v>
      </c>
      <c r="C410" t="str">
        <f>'[1]2021 УГРЦТ'!C413</f>
        <v>ПЕРЕДАЧА</v>
      </c>
      <c r="D410" t="str">
        <f>'[1]2021 УГРЦТ'!D413</f>
        <v>Здания</v>
      </c>
      <c r="E410" t="str">
        <f>'[1]2021 УГРЦТ'!E413</f>
        <v>01.12.1997</v>
      </c>
      <c r="F410" t="str">
        <f>'[1]2021 УГРЦТ'!F413</f>
        <v>Цех электрических сетей</v>
      </c>
      <c r="G410">
        <f>'[1]2021 УГРЦТ'!AC413</f>
        <v>708</v>
      </c>
      <c r="H410" s="7">
        <f>'[1]2021 УГРЦТ'!X413</f>
        <v>15582</v>
      </c>
      <c r="I410" s="7">
        <f>'[1]2021 УГРЦТ'!Y413</f>
        <v>5569.6116949152547</v>
      </c>
      <c r="J410" s="7">
        <f>'[1]2021 УГРЦТ'!Z413</f>
        <v>10012.388305084745</v>
      </c>
      <c r="K410" s="8">
        <v>1</v>
      </c>
      <c r="L410" s="7">
        <v>22.009999999999994</v>
      </c>
      <c r="M410" s="7"/>
      <c r="N410" s="7">
        <f t="shared" si="1814"/>
        <v>264.11999999999995</v>
      </c>
      <c r="O410" s="7">
        <f t="shared" si="1984"/>
        <v>9990.3783050847451</v>
      </c>
      <c r="P410" s="7">
        <f t="shared" si="2150"/>
        <v>9968.3683050847449</v>
      </c>
      <c r="Q410" s="7">
        <f t="shared" si="2150"/>
        <v>9946.3583050847446</v>
      </c>
      <c r="R410" s="7">
        <f t="shared" si="2150"/>
        <v>9924.3483050847444</v>
      </c>
      <c r="S410" s="7">
        <f t="shared" si="2150"/>
        <v>9902.3383050847442</v>
      </c>
      <c r="T410" s="7">
        <f t="shared" si="2150"/>
        <v>9880.328305084744</v>
      </c>
      <c r="U410" s="7">
        <f t="shared" si="2150"/>
        <v>9858.3183050847438</v>
      </c>
      <c r="V410" s="7">
        <f t="shared" si="2150"/>
        <v>9836.3083050847436</v>
      </c>
      <c r="W410" s="7">
        <f t="shared" si="2150"/>
        <v>9814.2983050847433</v>
      </c>
      <c r="X410" s="7">
        <f t="shared" si="2150"/>
        <v>9792.2883050847431</v>
      </c>
      <c r="Y410" s="7">
        <f t="shared" si="2150"/>
        <v>9770.2783050847429</v>
      </c>
      <c r="Z410" s="7">
        <f t="shared" si="2150"/>
        <v>9748.2683050847427</v>
      </c>
      <c r="AA410" s="7">
        <f t="shared" ref="AA410:AA430" si="2187">SUM(O410:Z410,J410)/13*$AA$1</f>
        <v>217.36722271186431</v>
      </c>
      <c r="AB410" s="7"/>
      <c r="AC410" s="7">
        <f t="shared" si="1985"/>
        <v>264.11999999999995</v>
      </c>
      <c r="AD410" s="7">
        <f t="shared" si="1986"/>
        <v>9726.2583050847425</v>
      </c>
      <c r="AE410" s="7">
        <f t="shared" si="2046"/>
        <v>9704.2483050847422</v>
      </c>
      <c r="AF410" s="7">
        <f t="shared" si="2046"/>
        <v>9682.238305084742</v>
      </c>
      <c r="AG410" s="7">
        <f t="shared" si="2046"/>
        <v>9660.2283050847418</v>
      </c>
      <c r="AH410" s="7">
        <f t="shared" si="2046"/>
        <v>9638.2183050847416</v>
      </c>
      <c r="AI410" s="7">
        <f t="shared" si="2046"/>
        <v>9616.2083050847414</v>
      </c>
      <c r="AJ410" s="7">
        <f t="shared" si="2046"/>
        <v>9594.1983050847412</v>
      </c>
      <c r="AK410" s="7">
        <f t="shared" si="2046"/>
        <v>9572.1883050847409</v>
      </c>
      <c r="AL410" s="7">
        <f t="shared" si="2046"/>
        <v>9550.1783050847407</v>
      </c>
      <c r="AM410" s="7">
        <f t="shared" si="2046"/>
        <v>9528.1683050847405</v>
      </c>
      <c r="AN410" s="7">
        <f t="shared" si="2046"/>
        <v>9506.1583050847403</v>
      </c>
      <c r="AO410" s="7">
        <f t="shared" si="2046"/>
        <v>9484.1483050847401</v>
      </c>
      <c r="AP410" s="222">
        <f t="shared" ref="AP410:AP417" si="2188">IF(K410&lt;1,0,SUM(AD410:AO410,Z410)/13*$BG$1)</f>
        <v>211.55658271186431</v>
      </c>
      <c r="AQ410" s="7">
        <v>22.009999999999994</v>
      </c>
      <c r="AR410" s="7">
        <f t="shared" si="1987"/>
        <v>22.010000000000218</v>
      </c>
      <c r="AS410" s="7">
        <f t="shared" si="1988"/>
        <v>2.2382096176443156E-13</v>
      </c>
      <c r="AT410" s="7">
        <f t="shared" si="2151"/>
        <v>264.11999999999995</v>
      </c>
      <c r="AU410" s="7">
        <f t="shared" si="2152"/>
        <v>9462.1383050847398</v>
      </c>
      <c r="AV410" s="7">
        <f t="shared" si="2153"/>
        <v>9440.1283050847396</v>
      </c>
      <c r="AW410" s="7">
        <f t="shared" si="2153"/>
        <v>9418.1183050847394</v>
      </c>
      <c r="AX410" s="7">
        <f t="shared" si="2153"/>
        <v>9396.1083050847392</v>
      </c>
      <c r="AY410" s="7">
        <f t="shared" si="2153"/>
        <v>9374.098305084739</v>
      </c>
      <c r="AZ410" s="7">
        <f t="shared" si="2153"/>
        <v>9352.0883050847387</v>
      </c>
      <c r="BA410" s="7">
        <f t="shared" si="2153"/>
        <v>9330.0783050847385</v>
      </c>
      <c r="BB410" s="7">
        <f t="shared" si="2153"/>
        <v>9308.0683050847383</v>
      </c>
      <c r="BC410" s="7">
        <f t="shared" si="2153"/>
        <v>9286.0583050847381</v>
      </c>
      <c r="BD410" s="7">
        <f t="shared" si="2153"/>
        <v>9264.0483050847379</v>
      </c>
      <c r="BE410" s="7">
        <f t="shared" si="2153"/>
        <v>9242.0383050847377</v>
      </c>
      <c r="BF410" s="7">
        <f t="shared" si="2153"/>
        <v>9220.0283050847374</v>
      </c>
      <c r="BG410" s="236">
        <f t="shared" si="1983"/>
        <v>205.74594271186425</v>
      </c>
      <c r="BH410" s="7">
        <v>22.009999999999994</v>
      </c>
      <c r="BI410" s="39">
        <f>BH410*12</f>
        <v>264.11999999999995</v>
      </c>
      <c r="BJ410" s="7">
        <f>BF410-BH410</f>
        <v>9198.0183050847372</v>
      </c>
      <c r="BK410" s="7">
        <f t="shared" si="2154"/>
        <v>9176.008305084737</v>
      </c>
      <c r="BL410" s="7">
        <f t="shared" si="2155"/>
        <v>9153.9983050847368</v>
      </c>
      <c r="BM410" s="7">
        <f t="shared" si="2156"/>
        <v>9131.9883050847366</v>
      </c>
      <c r="BN410" s="7">
        <f t="shared" si="2157"/>
        <v>9109.9783050847363</v>
      </c>
      <c r="BO410" s="7">
        <f t="shared" si="2158"/>
        <v>9087.9683050847361</v>
      </c>
      <c r="BP410" s="7">
        <f t="shared" si="2159"/>
        <v>9065.9583050847359</v>
      </c>
      <c r="BQ410" s="7">
        <f t="shared" si="2160"/>
        <v>9043.9483050847357</v>
      </c>
      <c r="BR410" s="7">
        <f t="shared" si="2161"/>
        <v>9021.9383050847355</v>
      </c>
      <c r="BS410" s="7">
        <f t="shared" si="2162"/>
        <v>8999.9283050847353</v>
      </c>
      <c r="BT410" s="7">
        <f t="shared" si="2163"/>
        <v>8977.918305084735</v>
      </c>
      <c r="BU410" s="7">
        <f t="shared" si="2164"/>
        <v>8955.9083050847348</v>
      </c>
      <c r="BV410" s="236">
        <f t="shared" ref="BV410:BV431" si="2189">IF(Z410&lt;1,0,SUM(BJ410:BU410,BF410)/13*$BG$1)</f>
        <v>199.93530271186418</v>
      </c>
      <c r="BW410" s="7">
        <v>22.009999999999994</v>
      </c>
      <c r="BX410" s="39">
        <f>BW410*12</f>
        <v>264.11999999999995</v>
      </c>
      <c r="BY410" s="7">
        <f>BU410-BW410</f>
        <v>8933.8983050847346</v>
      </c>
      <c r="BZ410" s="7">
        <f t="shared" si="2165"/>
        <v>8911.8883050847344</v>
      </c>
      <c r="CA410" s="7">
        <f t="shared" si="2166"/>
        <v>8889.8783050847342</v>
      </c>
      <c r="CB410" s="7">
        <f t="shared" si="2167"/>
        <v>8867.8683050847339</v>
      </c>
      <c r="CC410" s="7">
        <f t="shared" si="2168"/>
        <v>8845.8583050847337</v>
      </c>
      <c r="CD410" s="7">
        <f t="shared" si="2169"/>
        <v>8823.8483050847335</v>
      </c>
      <c r="CE410" s="7">
        <f t="shared" si="2170"/>
        <v>8801.8383050847333</v>
      </c>
      <c r="CF410" s="7">
        <f t="shared" si="2171"/>
        <v>8779.8283050847331</v>
      </c>
      <c r="CG410" s="7">
        <f t="shared" si="2172"/>
        <v>8757.8183050847329</v>
      </c>
      <c r="CH410" s="7">
        <f t="shared" si="2173"/>
        <v>8735.8083050847326</v>
      </c>
      <c r="CI410" s="7">
        <f t="shared" si="2174"/>
        <v>8713.7983050847324</v>
      </c>
      <c r="CJ410" s="7">
        <f t="shared" si="2175"/>
        <v>8691.7883050847322</v>
      </c>
      <c r="CK410" s="236">
        <f t="shared" ref="CK410:CK431" si="2190">IF(AO410&lt;1,0,SUM(BY410:CJ410,BU410)/13*$BG$1)</f>
        <v>194.12466271186409</v>
      </c>
      <c r="CL410" s="7">
        <v>22.009999999999994</v>
      </c>
      <c r="CM410" s="39">
        <f>CL410*12</f>
        <v>264.11999999999995</v>
      </c>
      <c r="CN410" s="7">
        <f>CJ410-CL410</f>
        <v>8669.778305084732</v>
      </c>
      <c r="CO410" s="7">
        <f t="shared" si="2176"/>
        <v>8647.7683050847318</v>
      </c>
      <c r="CP410" s="7">
        <f t="shared" si="2177"/>
        <v>8625.7583050847315</v>
      </c>
      <c r="CQ410" s="7">
        <f t="shared" si="2178"/>
        <v>8603.7483050847313</v>
      </c>
      <c r="CR410" s="7">
        <f t="shared" si="2179"/>
        <v>8581.7383050847311</v>
      </c>
      <c r="CS410" s="7">
        <f t="shared" si="2180"/>
        <v>8559.7283050847309</v>
      </c>
      <c r="CT410" s="7">
        <f t="shared" si="2181"/>
        <v>8537.7183050847307</v>
      </c>
      <c r="CU410" s="7">
        <f t="shared" si="2182"/>
        <v>8515.7083050847305</v>
      </c>
      <c r="CV410" s="7">
        <f t="shared" si="2183"/>
        <v>8493.6983050847302</v>
      </c>
      <c r="CW410" s="7">
        <f t="shared" si="2184"/>
        <v>8471.68830508473</v>
      </c>
      <c r="CX410" s="7">
        <f t="shared" si="2185"/>
        <v>8449.6783050847298</v>
      </c>
      <c r="CY410" s="7">
        <f t="shared" si="2186"/>
        <v>8427.6683050847296</v>
      </c>
      <c r="CZ410" s="236">
        <f t="shared" ref="CZ410:CZ431" si="2191">IF(BF410&lt;1,0,SUM(CN410:CY410,CJ410)/13*$BG$1)</f>
        <v>188.31402271186406</v>
      </c>
    </row>
    <row r="411" spans="1:104" x14ac:dyDescent="0.2">
      <c r="A411" s="6" t="str">
        <f>'[1]2021 УГРЦТ'!A414</f>
        <v>ТП №6-1 ул Ненец-Оленн-Выуч-Полярн 96-кв дом 2010г</v>
      </c>
      <c r="B411" t="str">
        <f>'[1]2021 УГРЦТ'!B414</f>
        <v>00001220</v>
      </c>
      <c r="C411" t="str">
        <f>'[1]2021 УГРЦТ'!C414</f>
        <v>ПЕРЕДАЧА</v>
      </c>
      <c r="D411" t="str">
        <f>'[1]2021 УГРЦТ'!D414</f>
        <v>Здания</v>
      </c>
      <c r="E411" t="str">
        <f>'[1]2021 УГРЦТ'!E414</f>
        <v>31.05.2010</v>
      </c>
      <c r="F411" t="str">
        <f>'[1]2021 УГРЦТ'!F414</f>
        <v>Цех электрических сетей</v>
      </c>
      <c r="G411">
        <f>'[1]2021 УГРЦТ'!AC414</f>
        <v>240</v>
      </c>
      <c r="H411" s="7">
        <f>'[1]2021 УГРЦТ'!X414</f>
        <v>5475203</v>
      </c>
      <c r="I411" s="7">
        <f>'[1]2021 УГРЦТ'!Y414</f>
        <v>3171055.6</v>
      </c>
      <c r="J411" s="7">
        <f>'[1]2021 УГРЦТ'!Z414</f>
        <v>2304147.4</v>
      </c>
      <c r="K411" s="8">
        <v>1</v>
      </c>
      <c r="L411" s="7">
        <v>22813.350000000002</v>
      </c>
      <c r="M411" s="7"/>
      <c r="N411" s="7">
        <f t="shared" si="1814"/>
        <v>273760.2</v>
      </c>
      <c r="O411" s="7">
        <f t="shared" si="1984"/>
        <v>2281334.0499999998</v>
      </c>
      <c r="P411" s="7">
        <f t="shared" si="2150"/>
        <v>2258520.6999999997</v>
      </c>
      <c r="Q411" s="7">
        <f t="shared" si="2150"/>
        <v>2235707.3499999996</v>
      </c>
      <c r="R411" s="7">
        <f t="shared" si="2150"/>
        <v>2212893.9999999995</v>
      </c>
      <c r="S411" s="7">
        <f t="shared" si="2150"/>
        <v>2190080.6499999994</v>
      </c>
      <c r="T411" s="7">
        <f t="shared" si="2150"/>
        <v>2167267.2999999993</v>
      </c>
      <c r="U411" s="7">
        <f t="shared" si="2150"/>
        <v>2144453.9499999993</v>
      </c>
      <c r="V411" s="7">
        <f t="shared" si="2150"/>
        <v>2121640.5999999992</v>
      </c>
      <c r="W411" s="7">
        <f t="shared" si="2150"/>
        <v>2098827.2499999991</v>
      </c>
      <c r="X411" s="7">
        <f t="shared" si="2150"/>
        <v>2076013.899999999</v>
      </c>
      <c r="Y411" s="7">
        <f t="shared" si="2150"/>
        <v>2053200.5499999989</v>
      </c>
      <c r="Z411" s="7">
        <f t="shared" si="2150"/>
        <v>2030387.1999999988</v>
      </c>
      <c r="AA411" s="7">
        <f t="shared" si="2187"/>
        <v>47679.880599999989</v>
      </c>
      <c r="AB411" s="7"/>
      <c r="AC411" s="7">
        <f t="shared" si="1985"/>
        <v>273760.2</v>
      </c>
      <c r="AD411" s="7">
        <f t="shared" si="1986"/>
        <v>2007573.8499999987</v>
      </c>
      <c r="AE411" s="7">
        <f t="shared" si="2046"/>
        <v>1984760.4999999986</v>
      </c>
      <c r="AF411" s="7">
        <f t="shared" si="2046"/>
        <v>1961947.1499999985</v>
      </c>
      <c r="AG411" s="7">
        <f t="shared" si="2046"/>
        <v>1939133.7999999984</v>
      </c>
      <c r="AH411" s="7">
        <f t="shared" si="2046"/>
        <v>1916320.4499999983</v>
      </c>
      <c r="AI411" s="7">
        <f t="shared" si="2046"/>
        <v>1893507.0999999982</v>
      </c>
      <c r="AJ411" s="7">
        <f t="shared" si="2046"/>
        <v>1870693.7499999981</v>
      </c>
      <c r="AK411" s="7">
        <f t="shared" si="2046"/>
        <v>1847880.399999998</v>
      </c>
      <c r="AL411" s="7">
        <f t="shared" si="2046"/>
        <v>1825067.049999998</v>
      </c>
      <c r="AM411" s="7">
        <f t="shared" si="2046"/>
        <v>1802253.6999999979</v>
      </c>
      <c r="AN411" s="7">
        <f t="shared" si="2046"/>
        <v>1779440.3499999978</v>
      </c>
      <c r="AO411" s="7">
        <f t="shared" si="2046"/>
        <v>1756626.9999999977</v>
      </c>
      <c r="AP411" s="222">
        <f t="shared" si="2188"/>
        <v>41657.156199999961</v>
      </c>
      <c r="AQ411" s="7">
        <v>22813.350000000002</v>
      </c>
      <c r="AR411" s="7">
        <f t="shared" si="1987"/>
        <v>22813.350000000093</v>
      </c>
      <c r="AS411" s="7">
        <f t="shared" si="1988"/>
        <v>9.0949470177292824E-11</v>
      </c>
      <c r="AT411" s="7">
        <f t="shared" si="2151"/>
        <v>273760.2</v>
      </c>
      <c r="AU411" s="7">
        <f t="shared" si="2152"/>
        <v>1733813.6499999976</v>
      </c>
      <c r="AV411" s="7">
        <f t="shared" si="2153"/>
        <v>1711000.2999999975</v>
      </c>
      <c r="AW411" s="7">
        <f t="shared" si="2153"/>
        <v>1688186.9499999974</v>
      </c>
      <c r="AX411" s="7">
        <f t="shared" si="2153"/>
        <v>1665373.5999999973</v>
      </c>
      <c r="AY411" s="7">
        <f t="shared" si="2153"/>
        <v>1642560.2499999972</v>
      </c>
      <c r="AZ411" s="7">
        <f t="shared" si="2153"/>
        <v>1619746.8999999971</v>
      </c>
      <c r="BA411" s="7">
        <f t="shared" si="2153"/>
        <v>1596933.549999997</v>
      </c>
      <c r="BB411" s="7">
        <f t="shared" si="2153"/>
        <v>1574120.1999999969</v>
      </c>
      <c r="BC411" s="7">
        <f t="shared" si="2153"/>
        <v>1551306.8499999968</v>
      </c>
      <c r="BD411" s="7">
        <f t="shared" si="2153"/>
        <v>1528493.4999999967</v>
      </c>
      <c r="BE411" s="7">
        <f t="shared" si="2153"/>
        <v>1505680.1499999966</v>
      </c>
      <c r="BF411" s="7">
        <f t="shared" si="2153"/>
        <v>1482866.7999999966</v>
      </c>
      <c r="BG411" s="236">
        <f t="shared" si="1983"/>
        <v>35634.431799999933</v>
      </c>
      <c r="BH411" s="7">
        <v>22813.350000000002</v>
      </c>
      <c r="BI411" s="39">
        <f>BH411*12</f>
        <v>273760.2</v>
      </c>
      <c r="BJ411" s="7">
        <f>BF411-BH411</f>
        <v>1460053.4499999965</v>
      </c>
      <c r="BK411" s="7">
        <f t="shared" si="2154"/>
        <v>1437240.0999999964</v>
      </c>
      <c r="BL411" s="7">
        <f t="shared" si="2155"/>
        <v>1414426.7499999963</v>
      </c>
      <c r="BM411" s="7">
        <f t="shared" si="2156"/>
        <v>1391613.3999999962</v>
      </c>
      <c r="BN411" s="7">
        <f t="shared" si="2157"/>
        <v>1368800.0499999961</v>
      </c>
      <c r="BO411" s="7">
        <f t="shared" si="2158"/>
        <v>1345986.699999996</v>
      </c>
      <c r="BP411" s="7">
        <f t="shared" si="2159"/>
        <v>1323173.3499999959</v>
      </c>
      <c r="BQ411" s="7">
        <f t="shared" si="2160"/>
        <v>1300359.9999999958</v>
      </c>
      <c r="BR411" s="7">
        <f t="shared" si="2161"/>
        <v>1277546.6499999957</v>
      </c>
      <c r="BS411" s="7">
        <f t="shared" si="2162"/>
        <v>1254733.2999999956</v>
      </c>
      <c r="BT411" s="7">
        <f t="shared" si="2163"/>
        <v>1231919.9499999955</v>
      </c>
      <c r="BU411" s="7">
        <f t="shared" si="2164"/>
        <v>1209106.5999999954</v>
      </c>
      <c r="BV411" s="236">
        <f t="shared" si="2189"/>
        <v>29611.707399999908</v>
      </c>
      <c r="BW411" s="7">
        <v>22813.350000000002</v>
      </c>
      <c r="BX411" s="39">
        <f>BW411*12</f>
        <v>273760.2</v>
      </c>
      <c r="BY411" s="7">
        <f>BU411-BW411</f>
        <v>1186293.2499999953</v>
      </c>
      <c r="BZ411" s="7">
        <f t="shared" si="2165"/>
        <v>1163479.8999999953</v>
      </c>
      <c r="CA411" s="7">
        <f t="shared" si="2166"/>
        <v>1140666.5499999952</v>
      </c>
      <c r="CB411" s="7">
        <f t="shared" si="2167"/>
        <v>1117853.1999999951</v>
      </c>
      <c r="CC411" s="7">
        <f t="shared" si="2168"/>
        <v>1095039.849999995</v>
      </c>
      <c r="CD411" s="7">
        <f t="shared" si="2169"/>
        <v>1072226.4999999949</v>
      </c>
      <c r="CE411" s="7">
        <f t="shared" si="2170"/>
        <v>1049413.1499999948</v>
      </c>
      <c r="CF411" s="7">
        <f t="shared" si="2171"/>
        <v>1026599.7999999948</v>
      </c>
      <c r="CG411" s="7">
        <f t="shared" si="2172"/>
        <v>1003786.4499999948</v>
      </c>
      <c r="CH411" s="7">
        <f t="shared" si="2173"/>
        <v>980973.09999999485</v>
      </c>
      <c r="CI411" s="7">
        <f t="shared" si="2174"/>
        <v>958159.74999999488</v>
      </c>
      <c r="CJ411" s="7">
        <f t="shared" si="2175"/>
        <v>935346.3999999949</v>
      </c>
      <c r="CK411" s="236">
        <f t="shared" si="2190"/>
        <v>23588.982999999887</v>
      </c>
      <c r="CL411" s="7">
        <v>22813.350000000002</v>
      </c>
      <c r="CM411" s="39">
        <f>CL411*12</f>
        <v>273760.2</v>
      </c>
      <c r="CN411" s="7">
        <f>CJ411-CL411</f>
        <v>912533.04999999492</v>
      </c>
      <c r="CO411" s="7">
        <f t="shared" si="2176"/>
        <v>889719.69999999495</v>
      </c>
      <c r="CP411" s="7">
        <f t="shared" si="2177"/>
        <v>866906.34999999497</v>
      </c>
      <c r="CQ411" s="7">
        <f t="shared" si="2178"/>
        <v>844092.99999999499</v>
      </c>
      <c r="CR411" s="7">
        <f t="shared" si="2179"/>
        <v>821279.64999999502</v>
      </c>
      <c r="CS411" s="7">
        <f t="shared" si="2180"/>
        <v>798466.29999999504</v>
      </c>
      <c r="CT411" s="7">
        <f t="shared" si="2181"/>
        <v>775652.94999999506</v>
      </c>
      <c r="CU411" s="7">
        <f t="shared" si="2182"/>
        <v>752839.59999999509</v>
      </c>
      <c r="CV411" s="7">
        <f t="shared" si="2183"/>
        <v>730026.24999999511</v>
      </c>
      <c r="CW411" s="7">
        <f t="shared" si="2184"/>
        <v>707212.89999999513</v>
      </c>
      <c r="CX411" s="7">
        <f t="shared" si="2185"/>
        <v>684399.54999999516</v>
      </c>
      <c r="CY411" s="7">
        <f t="shared" si="2186"/>
        <v>661586.19999999518</v>
      </c>
      <c r="CZ411" s="236">
        <f t="shared" si="2191"/>
        <v>17566.258599999888</v>
      </c>
    </row>
    <row r="412" spans="1:104" x14ac:dyDescent="0.2">
      <c r="A412" s="6" t="str">
        <f>'[1]2021 УГРЦТ'!A415</f>
        <v>ТП №64  Рассихина 7 ГКТП ТМ-320 пИскателей 1997г</v>
      </c>
      <c r="B412" t="str">
        <f>'[1]2021 УГРЦТ'!B415</f>
        <v>00000095</v>
      </c>
      <c r="C412" t="str">
        <f>'[1]2021 УГРЦТ'!C415</f>
        <v>ПЕРЕДАЧА</v>
      </c>
      <c r="D412" t="str">
        <f>'[1]2021 УГРЦТ'!D415</f>
        <v>Сооружения</v>
      </c>
      <c r="E412" t="str">
        <f>'[1]2021 УГРЦТ'!E415</f>
        <v>01.12.1997</v>
      </c>
      <c r="F412" t="str">
        <f>'[1]2021 УГРЦТ'!F415</f>
        <v>Цех электрических сетей</v>
      </c>
      <c r="G412">
        <f>'[1]2021 УГРЦТ'!AC415</f>
        <v>276</v>
      </c>
      <c r="H412" s="7">
        <f>'[1]2021 УГРЦТ'!X415</f>
        <v>141293</v>
      </c>
      <c r="I412" s="7">
        <f>'[1]2021 УГРЦТ'!Y415</f>
        <v>125502.12391304347</v>
      </c>
      <c r="J412" s="7">
        <f>'[1]2021 УГРЦТ'!Z415</f>
        <v>15790.87608695653</v>
      </c>
      <c r="K412" s="8">
        <v>1</v>
      </c>
      <c r="L412" s="7">
        <v>511.93000000000006</v>
      </c>
      <c r="M412" s="7"/>
      <c r="N412" s="7">
        <f t="shared" si="1814"/>
        <v>6143.1600000000008</v>
      </c>
      <c r="O412" s="7">
        <f t="shared" si="1984"/>
        <v>15278.94608695653</v>
      </c>
      <c r="P412" s="7">
        <f t="shared" si="2150"/>
        <v>14767.01608695653</v>
      </c>
      <c r="Q412" s="7">
        <f t="shared" si="2150"/>
        <v>14255.086086956529</v>
      </c>
      <c r="R412" s="7">
        <f t="shared" si="2150"/>
        <v>13743.156086956529</v>
      </c>
      <c r="S412" s="7">
        <f t="shared" si="2150"/>
        <v>13231.226086956529</v>
      </c>
      <c r="T412" s="7">
        <f t="shared" si="2150"/>
        <v>12719.296086956529</v>
      </c>
      <c r="U412" s="7">
        <f t="shared" si="2150"/>
        <v>12207.366086956528</v>
      </c>
      <c r="V412" s="7">
        <f t="shared" si="2150"/>
        <v>11695.436086956528</v>
      </c>
      <c r="W412" s="7">
        <f t="shared" si="2150"/>
        <v>11183.506086956528</v>
      </c>
      <c r="X412" s="7">
        <f t="shared" si="2150"/>
        <v>10671.576086956527</v>
      </c>
      <c r="Y412" s="7">
        <f t="shared" si="2150"/>
        <v>10159.646086956527</v>
      </c>
      <c r="Z412" s="7">
        <f t="shared" si="2150"/>
        <v>9647.7160869565269</v>
      </c>
      <c r="AA412" s="7">
        <f t="shared" si="2187"/>
        <v>279.82451391304363</v>
      </c>
      <c r="AB412" s="7"/>
      <c r="AC412" s="7">
        <f t="shared" si="1985"/>
        <v>6143.1600000000008</v>
      </c>
      <c r="AD412" s="7">
        <f t="shared" si="1986"/>
        <v>9135.7860869565266</v>
      </c>
      <c r="AE412" s="7">
        <f t="shared" ref="AE412:AO417" si="2192">AD412-$L412</f>
        <v>8623.8560869565263</v>
      </c>
      <c r="AF412" s="7">
        <f t="shared" si="2192"/>
        <v>8111.926086956526</v>
      </c>
      <c r="AG412" s="7">
        <f t="shared" si="2192"/>
        <v>7599.9960869565257</v>
      </c>
      <c r="AH412" s="7">
        <f t="shared" si="2192"/>
        <v>7088.0660869565254</v>
      </c>
      <c r="AI412" s="7">
        <f t="shared" si="2192"/>
        <v>6576.1360869565251</v>
      </c>
      <c r="AJ412" s="7">
        <f t="shared" si="2192"/>
        <v>6064.2060869565248</v>
      </c>
      <c r="AK412" s="7">
        <f t="shared" si="2192"/>
        <v>5552.2760869565245</v>
      </c>
      <c r="AL412" s="7">
        <f t="shared" si="2192"/>
        <v>5040.3460869565242</v>
      </c>
      <c r="AM412" s="7">
        <f t="shared" si="2192"/>
        <v>4528.4160869565239</v>
      </c>
      <c r="AN412" s="7">
        <f t="shared" si="2192"/>
        <v>4016.4860869565236</v>
      </c>
      <c r="AO412" s="7">
        <f t="shared" si="2192"/>
        <v>3504.5560869565234</v>
      </c>
      <c r="AP412" s="222">
        <f t="shared" si="2188"/>
        <v>144.67499391304352</v>
      </c>
      <c r="AQ412" s="7">
        <v>511.93000000000006</v>
      </c>
      <c r="AR412" s="7">
        <f t="shared" si="1987"/>
        <v>511.93000000000029</v>
      </c>
      <c r="AS412" s="7">
        <f t="shared" si="1988"/>
        <v>0</v>
      </c>
      <c r="AT412" s="7">
        <f>L412*7-78.95</f>
        <v>3504.5600000000004</v>
      </c>
      <c r="AU412" s="7">
        <f t="shared" si="2152"/>
        <v>2992.6260869565231</v>
      </c>
      <c r="AV412" s="7">
        <f t="shared" si="2153"/>
        <v>2480.6960869565228</v>
      </c>
      <c r="AW412" s="7">
        <f t="shared" si="2153"/>
        <v>1968.7660869565227</v>
      </c>
      <c r="AX412" s="7">
        <f t="shared" si="2153"/>
        <v>1456.8360869565226</v>
      </c>
      <c r="AY412" s="7">
        <f t="shared" si="2153"/>
        <v>944.90608695652259</v>
      </c>
      <c r="AZ412" s="7">
        <f t="shared" si="2153"/>
        <v>432.97608695652252</v>
      </c>
      <c r="BA412" s="7">
        <f>AZ412-$L412+78.95</f>
        <v>-3.9130434775387357E-3</v>
      </c>
      <c r="BB412" s="7">
        <f t="shared" ref="BB412:BF412" si="2193">BA412-$L412*0</f>
        <v>-3.9130434775387357E-3</v>
      </c>
      <c r="BC412" s="7">
        <f t="shared" si="2193"/>
        <v>-3.9130434775387357E-3</v>
      </c>
      <c r="BD412" s="7">
        <f t="shared" si="2193"/>
        <v>-3.9130434775387357E-3</v>
      </c>
      <c r="BE412" s="7">
        <f t="shared" si="2193"/>
        <v>-3.9130434775387357E-3</v>
      </c>
      <c r="BF412" s="7">
        <f t="shared" si="2193"/>
        <v>-3.9130434775387357E-3</v>
      </c>
      <c r="BG412" s="236">
        <f t="shared" si="1983"/>
        <v>23.322266220735795</v>
      </c>
      <c r="BH412" s="7">
        <v>511.93000000000006</v>
      </c>
      <c r="BI412" s="39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236">
        <f t="shared" si="2189"/>
        <v>-6.6220735773732441E-6</v>
      </c>
      <c r="BW412" s="7">
        <v>511.93000000000006</v>
      </c>
      <c r="BX412" s="39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236">
        <f t="shared" si="2190"/>
        <v>0</v>
      </c>
      <c r="CL412" s="7">
        <v>511.93000000000006</v>
      </c>
      <c r="CM412" s="39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236">
        <f t="shared" si="2191"/>
        <v>0</v>
      </c>
    </row>
    <row r="413" spans="1:104" x14ac:dyDescent="0.2">
      <c r="A413" s="6" t="str">
        <f>'[1]2021 УГРЦТ'!A416</f>
        <v>ТП №65 Строителей 8  пИскателей 1997г</v>
      </c>
      <c r="B413" t="str">
        <f>'[1]2021 УГРЦТ'!B416</f>
        <v>00000506</v>
      </c>
      <c r="C413" t="str">
        <f>'[1]2021 УГРЦТ'!C416</f>
        <v>ПЕРЕДАЧА</v>
      </c>
      <c r="D413" t="str">
        <f>'[1]2021 УГРЦТ'!D416</f>
        <v>Сооружения</v>
      </c>
      <c r="E413" t="str">
        <f>'[1]2021 УГРЦТ'!E416</f>
        <v>01.12.1997</v>
      </c>
      <c r="F413" t="str">
        <f>'[1]2021 УГРЦТ'!F416</f>
        <v>Цех электрических сетей</v>
      </c>
      <c r="G413">
        <f>'[1]2021 УГРЦТ'!AC416</f>
        <v>708</v>
      </c>
      <c r="H413" s="7">
        <f>'[1]2021 УГРЦТ'!X416</f>
        <v>177359</v>
      </c>
      <c r="I413" s="7">
        <f>'[1]2021 УГРЦТ'!Y416</f>
        <v>47188.53</v>
      </c>
      <c r="J413" s="7">
        <f>'[1]2021 УГРЦТ'!Z416</f>
        <v>130170.47</v>
      </c>
      <c r="K413" s="8">
        <v>1</v>
      </c>
      <c r="L413" s="7">
        <v>309.92999999999995</v>
      </c>
      <c r="M413" s="7"/>
      <c r="N413" s="7">
        <f t="shared" si="1814"/>
        <v>3719.1599999999994</v>
      </c>
      <c r="O413" s="7">
        <f t="shared" si="1984"/>
        <v>129860.54000000001</v>
      </c>
      <c r="P413" s="7">
        <f t="shared" si="2150"/>
        <v>129550.61000000002</v>
      </c>
      <c r="Q413" s="7">
        <f t="shared" si="2150"/>
        <v>129240.68000000002</v>
      </c>
      <c r="R413" s="7">
        <f t="shared" si="2150"/>
        <v>128930.75000000003</v>
      </c>
      <c r="S413" s="7">
        <f t="shared" si="2150"/>
        <v>128620.82000000004</v>
      </c>
      <c r="T413" s="7">
        <f t="shared" si="2150"/>
        <v>128310.89000000004</v>
      </c>
      <c r="U413" s="7">
        <f t="shared" si="2150"/>
        <v>128000.96000000005</v>
      </c>
      <c r="V413" s="7">
        <f t="shared" si="2150"/>
        <v>127691.03000000006</v>
      </c>
      <c r="W413" s="7">
        <f t="shared" si="2150"/>
        <v>127381.10000000006</v>
      </c>
      <c r="X413" s="7">
        <f t="shared" si="2150"/>
        <v>127071.17000000007</v>
      </c>
      <c r="Y413" s="7">
        <f t="shared" si="2150"/>
        <v>126761.24000000008</v>
      </c>
      <c r="Z413" s="7">
        <f t="shared" si="2150"/>
        <v>126451.31000000008</v>
      </c>
      <c r="AA413" s="7">
        <f t="shared" si="2187"/>
        <v>2822.8395800000008</v>
      </c>
      <c r="AB413" s="7"/>
      <c r="AC413" s="7">
        <f t="shared" si="1985"/>
        <v>3719.1599999999994</v>
      </c>
      <c r="AD413" s="7">
        <f t="shared" si="1986"/>
        <v>126141.38000000009</v>
      </c>
      <c r="AE413" s="7">
        <f t="shared" si="2192"/>
        <v>125831.4500000001</v>
      </c>
      <c r="AF413" s="7">
        <f t="shared" si="2192"/>
        <v>125521.52000000011</v>
      </c>
      <c r="AG413" s="7">
        <f t="shared" si="2192"/>
        <v>125211.59000000011</v>
      </c>
      <c r="AH413" s="7">
        <f t="shared" si="2192"/>
        <v>124901.66000000012</v>
      </c>
      <c r="AI413" s="7">
        <f t="shared" si="2192"/>
        <v>124591.73000000013</v>
      </c>
      <c r="AJ413" s="7">
        <f t="shared" si="2192"/>
        <v>124281.80000000013</v>
      </c>
      <c r="AK413" s="7">
        <f t="shared" si="2192"/>
        <v>123971.87000000014</v>
      </c>
      <c r="AL413" s="7">
        <f t="shared" si="2192"/>
        <v>123661.94000000015</v>
      </c>
      <c r="AM413" s="7">
        <f t="shared" si="2192"/>
        <v>123352.01000000015</v>
      </c>
      <c r="AN413" s="7">
        <f t="shared" si="2192"/>
        <v>123042.08000000016</v>
      </c>
      <c r="AO413" s="7">
        <f t="shared" si="2192"/>
        <v>122732.15000000017</v>
      </c>
      <c r="AP413" s="222">
        <f t="shared" si="2188"/>
        <v>2741.0180600000026</v>
      </c>
      <c r="AQ413" s="7">
        <v>309.92999999999995</v>
      </c>
      <c r="AR413" s="7">
        <f t="shared" si="1987"/>
        <v>309.92999999999302</v>
      </c>
      <c r="AS413" s="7">
        <f t="shared" si="1988"/>
        <v>-6.9348971010185778E-12</v>
      </c>
      <c r="AT413" s="7">
        <f t="shared" si="2151"/>
        <v>3719.1599999999994</v>
      </c>
      <c r="AU413" s="7">
        <f t="shared" si="2152"/>
        <v>122422.22000000018</v>
      </c>
      <c r="AV413" s="7">
        <f t="shared" si="2153"/>
        <v>122112.29000000018</v>
      </c>
      <c r="AW413" s="7">
        <f t="shared" si="2153"/>
        <v>121802.36000000019</v>
      </c>
      <c r="AX413" s="7">
        <f t="shared" si="2153"/>
        <v>121492.4300000002</v>
      </c>
      <c r="AY413" s="7">
        <f t="shared" si="2153"/>
        <v>121182.5000000002</v>
      </c>
      <c r="AZ413" s="7">
        <f t="shared" si="2153"/>
        <v>120872.57000000021</v>
      </c>
      <c r="BA413" s="7">
        <f t="shared" si="2153"/>
        <v>120562.64000000022</v>
      </c>
      <c r="BB413" s="7">
        <f t="shared" si="2153"/>
        <v>120252.71000000022</v>
      </c>
      <c r="BC413" s="7">
        <f t="shared" si="2153"/>
        <v>119942.78000000023</v>
      </c>
      <c r="BD413" s="7">
        <f t="shared" si="2153"/>
        <v>119632.85000000024</v>
      </c>
      <c r="BE413" s="7">
        <f t="shared" si="2153"/>
        <v>119322.92000000025</v>
      </c>
      <c r="BF413" s="7">
        <f t="shared" si="2153"/>
        <v>119012.99000000025</v>
      </c>
      <c r="BG413" s="236">
        <f t="shared" si="1983"/>
        <v>2659.1965400000045</v>
      </c>
      <c r="BH413" s="7">
        <v>309.92999999999995</v>
      </c>
      <c r="BI413" s="39">
        <f>BH413*12</f>
        <v>3719.1599999999994</v>
      </c>
      <c r="BJ413" s="7">
        <f>BF413-BH413</f>
        <v>118703.06000000026</v>
      </c>
      <c r="BK413" s="7">
        <f t="shared" si="2154"/>
        <v>118393.13000000027</v>
      </c>
      <c r="BL413" s="7">
        <f t="shared" si="2155"/>
        <v>118083.20000000027</v>
      </c>
      <c r="BM413" s="7">
        <f t="shared" si="2156"/>
        <v>117773.27000000028</v>
      </c>
      <c r="BN413" s="7">
        <f t="shared" si="2157"/>
        <v>117463.34000000029</v>
      </c>
      <c r="BO413" s="7">
        <f t="shared" si="2158"/>
        <v>117153.41000000029</v>
      </c>
      <c r="BP413" s="7">
        <f t="shared" ref="BP413:BP417" si="2194">BO413-$L413</f>
        <v>116843.4800000003</v>
      </c>
      <c r="BQ413" s="7">
        <f t="shared" ref="BQ413:BQ417" si="2195">BP413-$L413</f>
        <v>116533.55000000031</v>
      </c>
      <c r="BR413" s="7">
        <f t="shared" ref="BR413:BR417" si="2196">BQ413-$L413</f>
        <v>116223.62000000032</v>
      </c>
      <c r="BS413" s="7">
        <f t="shared" ref="BS413:BS417" si="2197">BR413-$L413</f>
        <v>115913.69000000032</v>
      </c>
      <c r="BT413" s="7">
        <f t="shared" ref="BT413:BT417" si="2198">BS413-$L413</f>
        <v>115603.76000000033</v>
      </c>
      <c r="BU413" s="7">
        <f t="shared" ref="BU413:BU417" si="2199">BT413-$L413</f>
        <v>115293.83000000034</v>
      </c>
      <c r="BV413" s="236">
        <f t="shared" si="2189"/>
        <v>2577.3750200000063</v>
      </c>
      <c r="BW413" s="7">
        <v>309.92999999999995</v>
      </c>
      <c r="BX413" s="39">
        <f>BW413*12</f>
        <v>3719.1599999999994</v>
      </c>
      <c r="BY413" s="7">
        <f>BU413-BW413</f>
        <v>114983.90000000034</v>
      </c>
      <c r="BZ413" s="7">
        <f t="shared" ref="BZ413:BZ417" si="2200">BY413-$L413</f>
        <v>114673.97000000035</v>
      </c>
      <c r="CA413" s="7">
        <f t="shared" ref="CA413:CA417" si="2201">BZ413-$L413</f>
        <v>114364.04000000036</v>
      </c>
      <c r="CB413" s="7">
        <f t="shared" ref="CB413:CB417" si="2202">CA413-$L413</f>
        <v>114054.11000000036</v>
      </c>
      <c r="CC413" s="7">
        <f t="shared" ref="CC413:CC417" si="2203">CB413-$L413</f>
        <v>113744.18000000037</v>
      </c>
      <c r="CD413" s="7">
        <f t="shared" ref="CD413:CD417" si="2204">CC413-$L413</f>
        <v>113434.25000000038</v>
      </c>
      <c r="CE413" s="7">
        <f t="shared" ref="CE413:CE417" si="2205">CD413-$L413</f>
        <v>113124.32000000039</v>
      </c>
      <c r="CF413" s="7">
        <f t="shared" ref="CF413:CF417" si="2206">CE413-$L413</f>
        <v>112814.39000000039</v>
      </c>
      <c r="CG413" s="7">
        <f t="shared" ref="CG413:CG417" si="2207">CF413-$L413</f>
        <v>112504.4600000004</v>
      </c>
      <c r="CH413" s="7">
        <f t="shared" ref="CH413:CH417" si="2208">CG413-$L413</f>
        <v>112194.53000000041</v>
      </c>
      <c r="CI413" s="7">
        <f t="shared" ref="CI413:CI417" si="2209">CH413-$L413</f>
        <v>111884.60000000041</v>
      </c>
      <c r="CJ413" s="7">
        <f t="shared" ref="CJ413:CJ417" si="2210">CI413-$L413</f>
        <v>111574.67000000042</v>
      </c>
      <c r="CK413" s="236">
        <f t="shared" si="2190"/>
        <v>2495.5535000000082</v>
      </c>
      <c r="CL413" s="7">
        <v>309.92999999999995</v>
      </c>
      <c r="CM413" s="39">
        <f>CL413*12</f>
        <v>3719.1599999999994</v>
      </c>
      <c r="CN413" s="7">
        <f>CJ413-CL413</f>
        <v>111264.74000000043</v>
      </c>
      <c r="CO413" s="7">
        <f t="shared" ref="CO413:CO415" si="2211">CN413-$L413</f>
        <v>110954.81000000043</v>
      </c>
      <c r="CP413" s="7">
        <f t="shared" ref="CP413:CP415" si="2212">CO413-$L413</f>
        <v>110644.88000000044</v>
      </c>
      <c r="CQ413" s="7">
        <f t="shared" ref="CQ413:CQ415" si="2213">CP413-$L413</f>
        <v>110334.95000000045</v>
      </c>
      <c r="CR413" s="7">
        <f t="shared" ref="CR413:CR415" si="2214">CQ413-$L413</f>
        <v>110025.02000000046</v>
      </c>
      <c r="CS413" s="7">
        <f t="shared" ref="CS413:CS415" si="2215">CR413-$L413</f>
        <v>109715.09000000046</v>
      </c>
      <c r="CT413" s="7">
        <f t="shared" ref="CT413:CT415" si="2216">CS413-$L413</f>
        <v>109405.16000000047</v>
      </c>
      <c r="CU413" s="7">
        <f t="shared" ref="CU413:CU415" si="2217">CT413-$L413</f>
        <v>109095.23000000048</v>
      </c>
      <c r="CV413" s="7">
        <f t="shared" ref="CV413:CV415" si="2218">CU413-$L413</f>
        <v>108785.30000000048</v>
      </c>
      <c r="CW413" s="7">
        <f t="shared" ref="CW413:CW415" si="2219">CV413-$L413</f>
        <v>108475.37000000049</v>
      </c>
      <c r="CX413" s="7">
        <f t="shared" ref="CX413:CX415" si="2220">CW413-$L413</f>
        <v>108165.4400000005</v>
      </c>
      <c r="CY413" s="7">
        <f t="shared" ref="CY413:CY415" si="2221">CX413-$L413</f>
        <v>107855.5100000005</v>
      </c>
      <c r="CZ413" s="236">
        <f t="shared" si="2191"/>
        <v>2413.73198000001</v>
      </c>
    </row>
    <row r="414" spans="1:104" x14ac:dyDescent="0.2">
      <c r="A414" s="6" t="str">
        <f>'[1]2021 УГРЦТ'!A417</f>
        <v>ТП №66  МРП</v>
      </c>
      <c r="B414" t="str">
        <f>'[1]2021 УГРЦТ'!B417</f>
        <v>00000533</v>
      </c>
      <c r="C414" t="str">
        <f>'[1]2021 УГРЦТ'!C417</f>
        <v>ПЕРЕДАЧА</v>
      </c>
      <c r="D414" t="str">
        <f>'[1]2021 УГРЦТ'!D417</f>
        <v>Здания</v>
      </c>
      <c r="E414" t="str">
        <f>'[1]2021 УГРЦТ'!E417</f>
        <v>31.05.1998</v>
      </c>
      <c r="F414" t="str">
        <f>'[1]2021 УГРЦТ'!F417</f>
        <v>Цех электрических сетей</v>
      </c>
      <c r="G414">
        <f>'[1]2021 УГРЦТ'!AC417</f>
        <v>708</v>
      </c>
      <c r="H414" s="7">
        <f>'[1]2021 УГРЦТ'!X417</f>
        <v>264000</v>
      </c>
      <c r="I414" s="7">
        <f>'[1]2021 УГРЦТ'!Y417</f>
        <v>37223.980000000003</v>
      </c>
      <c r="J414" s="7">
        <f>'[1]2021 УГРЦТ'!Z417</f>
        <v>226776.02</v>
      </c>
      <c r="K414" s="8">
        <v>1</v>
      </c>
      <c r="L414" s="7">
        <v>533.59</v>
      </c>
      <c r="M414" s="7"/>
      <c r="N414" s="7">
        <f t="shared" si="1814"/>
        <v>6403.08</v>
      </c>
      <c r="O414" s="7">
        <f t="shared" si="1984"/>
        <v>226242.43</v>
      </c>
      <c r="P414" s="7">
        <f t="shared" si="2150"/>
        <v>225708.84</v>
      </c>
      <c r="Q414" s="7">
        <f t="shared" si="2150"/>
        <v>225175.25</v>
      </c>
      <c r="R414" s="7">
        <f t="shared" si="2150"/>
        <v>224641.66</v>
      </c>
      <c r="S414" s="7">
        <f t="shared" si="2150"/>
        <v>224108.07</v>
      </c>
      <c r="T414" s="7">
        <f t="shared" si="2150"/>
        <v>223574.48</v>
      </c>
      <c r="U414" s="7">
        <f t="shared" si="2150"/>
        <v>223040.89</v>
      </c>
      <c r="V414" s="7">
        <f t="shared" si="2150"/>
        <v>222507.30000000002</v>
      </c>
      <c r="W414" s="7">
        <f t="shared" si="2150"/>
        <v>221973.71000000002</v>
      </c>
      <c r="X414" s="7">
        <f t="shared" si="2150"/>
        <v>221440.12000000002</v>
      </c>
      <c r="Y414" s="7">
        <f t="shared" si="2150"/>
        <v>220906.53000000003</v>
      </c>
      <c r="Z414" s="7">
        <f t="shared" si="2150"/>
        <v>220372.94000000003</v>
      </c>
      <c r="AA414" s="7">
        <f t="shared" si="2187"/>
        <v>4918.6385600000003</v>
      </c>
      <c r="AB414" s="7"/>
      <c r="AC414" s="7">
        <f t="shared" si="1985"/>
        <v>6403.08</v>
      </c>
      <c r="AD414" s="7">
        <f t="shared" si="1986"/>
        <v>219839.35000000003</v>
      </c>
      <c r="AE414" s="7">
        <f t="shared" si="2192"/>
        <v>219305.76000000004</v>
      </c>
      <c r="AF414" s="7">
        <f t="shared" si="2192"/>
        <v>218772.17000000004</v>
      </c>
      <c r="AG414" s="7">
        <f t="shared" si="2192"/>
        <v>218238.58000000005</v>
      </c>
      <c r="AH414" s="7">
        <f t="shared" si="2192"/>
        <v>217704.99000000005</v>
      </c>
      <c r="AI414" s="7">
        <f t="shared" si="2192"/>
        <v>217171.40000000005</v>
      </c>
      <c r="AJ414" s="7">
        <f t="shared" si="2192"/>
        <v>216637.81000000006</v>
      </c>
      <c r="AK414" s="7">
        <f t="shared" si="2192"/>
        <v>216104.22000000006</v>
      </c>
      <c r="AL414" s="7">
        <f t="shared" si="2192"/>
        <v>215570.63000000006</v>
      </c>
      <c r="AM414" s="7">
        <f t="shared" si="2192"/>
        <v>215037.04000000007</v>
      </c>
      <c r="AN414" s="7">
        <f t="shared" si="2192"/>
        <v>214503.45000000007</v>
      </c>
      <c r="AO414" s="7">
        <f t="shared" si="2192"/>
        <v>213969.86000000007</v>
      </c>
      <c r="AP414" s="222">
        <f t="shared" si="2188"/>
        <v>4777.7708000000011</v>
      </c>
      <c r="AQ414" s="7">
        <v>533.59</v>
      </c>
      <c r="AR414" s="7">
        <f t="shared" si="1987"/>
        <v>533.58999999999651</v>
      </c>
      <c r="AS414" s="7">
        <f t="shared" si="1988"/>
        <v>-3.5242919693700969E-12</v>
      </c>
      <c r="AT414" s="7">
        <f t="shared" si="2151"/>
        <v>6403.08</v>
      </c>
      <c r="AU414" s="7">
        <f t="shared" si="2152"/>
        <v>213436.27000000008</v>
      </c>
      <c r="AV414" s="7">
        <f t="shared" si="2153"/>
        <v>212902.68000000008</v>
      </c>
      <c r="AW414" s="7">
        <f t="shared" si="2153"/>
        <v>212369.09000000008</v>
      </c>
      <c r="AX414" s="7">
        <f t="shared" si="2153"/>
        <v>211835.50000000009</v>
      </c>
      <c r="AY414" s="7">
        <f t="shared" si="2153"/>
        <v>211301.91000000009</v>
      </c>
      <c r="AZ414" s="7">
        <f t="shared" si="2153"/>
        <v>210768.32000000009</v>
      </c>
      <c r="BA414" s="7">
        <f t="shared" si="2153"/>
        <v>210234.7300000001</v>
      </c>
      <c r="BB414" s="7">
        <f t="shared" si="2153"/>
        <v>209701.1400000001</v>
      </c>
      <c r="BC414" s="7">
        <f t="shared" si="2153"/>
        <v>209167.5500000001</v>
      </c>
      <c r="BD414" s="7">
        <f t="shared" si="2153"/>
        <v>208633.96000000011</v>
      </c>
      <c r="BE414" s="7">
        <f t="shared" si="2153"/>
        <v>208100.37000000011</v>
      </c>
      <c r="BF414" s="7">
        <f t="shared" si="2153"/>
        <v>207566.78000000012</v>
      </c>
      <c r="BG414" s="236">
        <f t="shared" si="1983"/>
        <v>4636.903040000002</v>
      </c>
      <c r="BH414" s="7">
        <v>533.59</v>
      </c>
      <c r="BI414" s="39">
        <f>BH414*12</f>
        <v>6403.08</v>
      </c>
      <c r="BJ414" s="7">
        <f>BF414-BH414</f>
        <v>207033.19000000012</v>
      </c>
      <c r="BK414" s="7">
        <f t="shared" si="2154"/>
        <v>206499.60000000012</v>
      </c>
      <c r="BL414" s="7">
        <f t="shared" si="2155"/>
        <v>205966.01000000013</v>
      </c>
      <c r="BM414" s="7">
        <f t="shared" si="2156"/>
        <v>205432.42000000013</v>
      </c>
      <c r="BN414" s="7">
        <f t="shared" si="2157"/>
        <v>204898.83000000013</v>
      </c>
      <c r="BO414" s="7">
        <f t="shared" si="2158"/>
        <v>204365.24000000014</v>
      </c>
      <c r="BP414" s="7">
        <f t="shared" si="2194"/>
        <v>203831.65000000014</v>
      </c>
      <c r="BQ414" s="7">
        <f t="shared" si="2195"/>
        <v>203298.06000000014</v>
      </c>
      <c r="BR414" s="7">
        <f t="shared" si="2196"/>
        <v>202764.47000000015</v>
      </c>
      <c r="BS414" s="7">
        <f t="shared" si="2197"/>
        <v>202230.88000000015</v>
      </c>
      <c r="BT414" s="7">
        <f t="shared" si="2198"/>
        <v>201697.29000000015</v>
      </c>
      <c r="BU414" s="7">
        <f t="shared" si="2199"/>
        <v>201163.70000000016</v>
      </c>
      <c r="BV414" s="236">
        <f t="shared" si="2189"/>
        <v>4496.0352800000037</v>
      </c>
      <c r="BW414" s="7">
        <v>533.59</v>
      </c>
      <c r="BX414" s="39">
        <f>BW414*12</f>
        <v>6403.08</v>
      </c>
      <c r="BY414" s="7">
        <f>BU414-BW414</f>
        <v>200630.11000000016</v>
      </c>
      <c r="BZ414" s="7">
        <f t="shared" si="2200"/>
        <v>200096.52000000016</v>
      </c>
      <c r="CA414" s="7">
        <f t="shared" si="2201"/>
        <v>199562.93000000017</v>
      </c>
      <c r="CB414" s="7">
        <f t="shared" si="2202"/>
        <v>199029.34000000017</v>
      </c>
      <c r="CC414" s="7">
        <f t="shared" si="2203"/>
        <v>198495.75000000017</v>
      </c>
      <c r="CD414" s="7">
        <f t="shared" si="2204"/>
        <v>197962.16000000018</v>
      </c>
      <c r="CE414" s="7">
        <f t="shared" si="2205"/>
        <v>197428.57000000018</v>
      </c>
      <c r="CF414" s="7">
        <f t="shared" si="2206"/>
        <v>196894.98000000019</v>
      </c>
      <c r="CG414" s="7">
        <f t="shared" si="2207"/>
        <v>196361.39000000019</v>
      </c>
      <c r="CH414" s="7">
        <f t="shared" si="2208"/>
        <v>195827.80000000019</v>
      </c>
      <c r="CI414" s="7">
        <f t="shared" si="2209"/>
        <v>195294.2100000002</v>
      </c>
      <c r="CJ414" s="7">
        <f t="shared" si="2210"/>
        <v>194760.6200000002</v>
      </c>
      <c r="CK414" s="236">
        <f t="shared" si="2190"/>
        <v>4355.1675200000036</v>
      </c>
      <c r="CL414" s="7">
        <v>533.59</v>
      </c>
      <c r="CM414" s="39">
        <f>CL414*12</f>
        <v>6403.08</v>
      </c>
      <c r="CN414" s="7">
        <f>CJ414-CL414</f>
        <v>194227.0300000002</v>
      </c>
      <c r="CO414" s="7">
        <f t="shared" si="2211"/>
        <v>193693.44000000021</v>
      </c>
      <c r="CP414" s="7">
        <f t="shared" si="2212"/>
        <v>193159.85000000021</v>
      </c>
      <c r="CQ414" s="7">
        <f t="shared" si="2213"/>
        <v>192626.26000000021</v>
      </c>
      <c r="CR414" s="7">
        <f t="shared" si="2214"/>
        <v>192092.67000000022</v>
      </c>
      <c r="CS414" s="7">
        <f t="shared" si="2215"/>
        <v>191559.08000000022</v>
      </c>
      <c r="CT414" s="7">
        <f t="shared" si="2216"/>
        <v>191025.49000000022</v>
      </c>
      <c r="CU414" s="7">
        <f t="shared" si="2217"/>
        <v>190491.90000000023</v>
      </c>
      <c r="CV414" s="7">
        <f t="shared" si="2218"/>
        <v>189958.31000000023</v>
      </c>
      <c r="CW414" s="7">
        <f t="shared" si="2219"/>
        <v>189424.72000000023</v>
      </c>
      <c r="CX414" s="7">
        <f t="shared" si="2220"/>
        <v>188891.13000000024</v>
      </c>
      <c r="CY414" s="7">
        <f t="shared" si="2221"/>
        <v>188357.54000000024</v>
      </c>
      <c r="CZ414" s="236">
        <f t="shared" si="2191"/>
        <v>4214.2997600000044</v>
      </c>
    </row>
    <row r="415" spans="1:104" x14ac:dyDescent="0.2">
      <c r="A415" s="6" t="str">
        <f>'[1]2021 УГРЦТ'!A418</f>
        <v>ТП №67 школа№5 2000г.</v>
      </c>
      <c r="B415" t="str">
        <f>'[1]2021 УГРЦТ'!B418</f>
        <v>00000262</v>
      </c>
      <c r="C415" t="str">
        <f>'[1]2021 УГРЦТ'!C418</f>
        <v>ПЕРЕДАЧА</v>
      </c>
      <c r="D415" t="str">
        <f>'[1]2021 УГРЦТ'!D418</f>
        <v>Здания</v>
      </c>
      <c r="E415" t="str">
        <f>'[1]2021 УГРЦТ'!E418</f>
        <v>01.05.2000</v>
      </c>
      <c r="F415" t="str">
        <f>'[1]2021 УГРЦТ'!F418</f>
        <v>Цех электрических сетей</v>
      </c>
      <c r="G415">
        <f>'[1]2021 УГРЦТ'!AC418</f>
        <v>708</v>
      </c>
      <c r="H415" s="7">
        <f>'[1]2021 УГРЦТ'!X418</f>
        <v>110253</v>
      </c>
      <c r="I415" s="7">
        <f>'[1]2021 УГРЦТ'!Y418</f>
        <v>40342.724915254235</v>
      </c>
      <c r="J415" s="7">
        <f>'[1]2021 УГРЦТ'!Z418</f>
        <v>69910.275084745765</v>
      </c>
      <c r="K415" s="8">
        <v>1</v>
      </c>
      <c r="L415" s="7">
        <v>155.72999999999999</v>
      </c>
      <c r="M415" s="7"/>
      <c r="N415" s="7">
        <f t="shared" si="1814"/>
        <v>1868.7599999999998</v>
      </c>
      <c r="O415" s="7">
        <f t="shared" si="1984"/>
        <v>69754.545084745769</v>
      </c>
      <c r="P415" s="7">
        <f t="shared" si="2150"/>
        <v>69598.815084745773</v>
      </c>
      <c r="Q415" s="7">
        <f t="shared" si="2150"/>
        <v>69443.085084745777</v>
      </c>
      <c r="R415" s="7">
        <f t="shared" si="2150"/>
        <v>69287.355084745781</v>
      </c>
      <c r="S415" s="7">
        <f t="shared" si="2150"/>
        <v>69131.625084745785</v>
      </c>
      <c r="T415" s="7">
        <f t="shared" si="2150"/>
        <v>68975.895084745789</v>
      </c>
      <c r="U415" s="7">
        <f t="shared" si="2150"/>
        <v>68820.165084745793</v>
      </c>
      <c r="V415" s="7">
        <f t="shared" si="2150"/>
        <v>68664.435084745797</v>
      </c>
      <c r="W415" s="7">
        <f t="shared" si="2150"/>
        <v>68508.705084745801</v>
      </c>
      <c r="X415" s="7">
        <f t="shared" si="2150"/>
        <v>68352.975084745805</v>
      </c>
      <c r="Y415" s="7">
        <f t="shared" si="2150"/>
        <v>68197.245084745809</v>
      </c>
      <c r="Z415" s="7">
        <f t="shared" si="2150"/>
        <v>68041.515084745814</v>
      </c>
      <c r="AA415" s="7">
        <f t="shared" si="2187"/>
        <v>1517.469691864407</v>
      </c>
      <c r="AB415" s="7"/>
      <c r="AC415" s="7">
        <f t="shared" si="1985"/>
        <v>1868.7599999999998</v>
      </c>
      <c r="AD415" s="7">
        <f t="shared" si="1986"/>
        <v>67885.785084745818</v>
      </c>
      <c r="AE415" s="7">
        <f t="shared" si="2192"/>
        <v>67730.055084745822</v>
      </c>
      <c r="AF415" s="7">
        <f t="shared" si="2192"/>
        <v>67574.325084745826</v>
      </c>
      <c r="AG415" s="7">
        <f t="shared" si="2192"/>
        <v>67418.59508474583</v>
      </c>
      <c r="AH415" s="7">
        <f t="shared" si="2192"/>
        <v>67262.865084745834</v>
      </c>
      <c r="AI415" s="7">
        <f t="shared" si="2192"/>
        <v>67107.135084745838</v>
      </c>
      <c r="AJ415" s="7">
        <f t="shared" si="2192"/>
        <v>66951.405084745842</v>
      </c>
      <c r="AK415" s="7">
        <f t="shared" si="2192"/>
        <v>66795.675084745846</v>
      </c>
      <c r="AL415" s="7">
        <f t="shared" si="2192"/>
        <v>66639.94508474585</v>
      </c>
      <c r="AM415" s="7">
        <f t="shared" si="2192"/>
        <v>66484.215084745854</v>
      </c>
      <c r="AN415" s="7">
        <f t="shared" si="2192"/>
        <v>66328.485084745858</v>
      </c>
      <c r="AO415" s="7">
        <f t="shared" si="2192"/>
        <v>66172.755084745862</v>
      </c>
      <c r="AP415" s="222">
        <f t="shared" si="2188"/>
        <v>1476.3569718644087</v>
      </c>
      <c r="AQ415" s="7">
        <v>155.72999999999999</v>
      </c>
      <c r="AR415" s="7">
        <f t="shared" si="1987"/>
        <v>155.72999999999593</v>
      </c>
      <c r="AS415" s="7">
        <f t="shared" si="1988"/>
        <v>-4.0643044485477731E-12</v>
      </c>
      <c r="AT415" s="7">
        <f t="shared" si="2151"/>
        <v>1868.7599999999998</v>
      </c>
      <c r="AU415" s="7">
        <f t="shared" si="2152"/>
        <v>66017.025084745866</v>
      </c>
      <c r="AV415" s="7">
        <f t="shared" si="2153"/>
        <v>65861.295084745871</v>
      </c>
      <c r="AW415" s="7">
        <f t="shared" si="2153"/>
        <v>65705.565084745875</v>
      </c>
      <c r="AX415" s="7">
        <f t="shared" si="2153"/>
        <v>65549.835084745879</v>
      </c>
      <c r="AY415" s="7">
        <f t="shared" si="2153"/>
        <v>65394.105084745876</v>
      </c>
      <c r="AZ415" s="7">
        <f t="shared" si="2153"/>
        <v>65238.375084745872</v>
      </c>
      <c r="BA415" s="7">
        <f t="shared" si="2153"/>
        <v>65082.645084745869</v>
      </c>
      <c r="BB415" s="7">
        <f t="shared" si="2153"/>
        <v>64926.915084745866</v>
      </c>
      <c r="BC415" s="7">
        <f t="shared" si="2153"/>
        <v>64771.185084745863</v>
      </c>
      <c r="BD415" s="7">
        <f t="shared" si="2153"/>
        <v>64615.455084745859</v>
      </c>
      <c r="BE415" s="7">
        <f t="shared" si="2153"/>
        <v>64459.725084745856</v>
      </c>
      <c r="BF415" s="7">
        <f t="shared" si="2153"/>
        <v>64303.995084745853</v>
      </c>
      <c r="BG415" s="236">
        <f t="shared" si="1983"/>
        <v>1435.2442518644089</v>
      </c>
      <c r="BH415" s="7">
        <v>155.72999999999999</v>
      </c>
      <c r="BI415" s="39">
        <f>BH415*12</f>
        <v>1868.7599999999998</v>
      </c>
      <c r="BJ415" s="7">
        <f>BF415-BH415</f>
        <v>64148.26508474585</v>
      </c>
      <c r="BK415" s="7">
        <f t="shared" si="2154"/>
        <v>63992.535084745847</v>
      </c>
      <c r="BL415" s="7">
        <f t="shared" si="2155"/>
        <v>63836.805084745843</v>
      </c>
      <c r="BM415" s="7">
        <f t="shared" si="2156"/>
        <v>63681.07508474584</v>
      </c>
      <c r="BN415" s="7">
        <f t="shared" si="2157"/>
        <v>63525.345084745837</v>
      </c>
      <c r="BO415" s="7">
        <f t="shared" si="2158"/>
        <v>63369.615084745834</v>
      </c>
      <c r="BP415" s="7">
        <f t="shared" si="2194"/>
        <v>63213.885084745831</v>
      </c>
      <c r="BQ415" s="7">
        <f t="shared" si="2195"/>
        <v>63058.155084745827</v>
      </c>
      <c r="BR415" s="7">
        <f t="shared" si="2196"/>
        <v>62902.425084745824</v>
      </c>
      <c r="BS415" s="7">
        <f t="shared" si="2197"/>
        <v>62746.695084745821</v>
      </c>
      <c r="BT415" s="7">
        <f t="shared" si="2198"/>
        <v>62590.965084745818</v>
      </c>
      <c r="BU415" s="7">
        <f t="shared" si="2199"/>
        <v>62435.235084745815</v>
      </c>
      <c r="BV415" s="236">
        <f t="shared" si="2189"/>
        <v>1394.1315318644083</v>
      </c>
      <c r="BW415" s="7">
        <v>155.72999999999999</v>
      </c>
      <c r="BX415" s="39">
        <f>BW415*12</f>
        <v>1868.7599999999998</v>
      </c>
      <c r="BY415" s="7">
        <f>BU415-BW415</f>
        <v>62279.505084745811</v>
      </c>
      <c r="BZ415" s="7">
        <f t="shared" si="2200"/>
        <v>62123.775084745808</v>
      </c>
      <c r="CA415" s="7">
        <f t="shared" si="2201"/>
        <v>61968.045084745805</v>
      </c>
      <c r="CB415" s="7">
        <f t="shared" si="2202"/>
        <v>61812.315084745802</v>
      </c>
      <c r="CC415" s="7">
        <f t="shared" si="2203"/>
        <v>61656.585084745799</v>
      </c>
      <c r="CD415" s="7">
        <f t="shared" si="2204"/>
        <v>61500.855084745795</v>
      </c>
      <c r="CE415" s="7">
        <f t="shared" si="2205"/>
        <v>61345.125084745792</v>
      </c>
      <c r="CF415" s="7">
        <f t="shared" si="2206"/>
        <v>61189.395084745789</v>
      </c>
      <c r="CG415" s="7">
        <f t="shared" si="2207"/>
        <v>61033.665084745786</v>
      </c>
      <c r="CH415" s="7">
        <f t="shared" si="2208"/>
        <v>60877.935084745783</v>
      </c>
      <c r="CI415" s="7">
        <f t="shared" si="2209"/>
        <v>60722.205084745779</v>
      </c>
      <c r="CJ415" s="7">
        <f t="shared" si="2210"/>
        <v>60566.475084745776</v>
      </c>
      <c r="CK415" s="236">
        <f t="shared" si="2190"/>
        <v>1353.0188118644073</v>
      </c>
      <c r="CL415" s="7">
        <v>155.72999999999999</v>
      </c>
      <c r="CM415" s="39">
        <f>CL415*12</f>
        <v>1868.7599999999998</v>
      </c>
      <c r="CN415" s="7">
        <f>CJ415-CL415</f>
        <v>60410.745084745773</v>
      </c>
      <c r="CO415" s="7">
        <f t="shared" si="2211"/>
        <v>60255.01508474577</v>
      </c>
      <c r="CP415" s="7">
        <f t="shared" si="2212"/>
        <v>60099.285084745767</v>
      </c>
      <c r="CQ415" s="7">
        <f t="shared" si="2213"/>
        <v>59943.555084745763</v>
      </c>
      <c r="CR415" s="7">
        <f t="shared" si="2214"/>
        <v>59787.82508474576</v>
      </c>
      <c r="CS415" s="7">
        <f t="shared" si="2215"/>
        <v>59632.095084745757</v>
      </c>
      <c r="CT415" s="7">
        <f t="shared" si="2216"/>
        <v>59476.365084745754</v>
      </c>
      <c r="CU415" s="7">
        <f t="shared" si="2217"/>
        <v>59320.635084745751</v>
      </c>
      <c r="CV415" s="7">
        <f t="shared" si="2218"/>
        <v>59164.905084745747</v>
      </c>
      <c r="CW415" s="7">
        <f t="shared" si="2219"/>
        <v>59009.175084745744</v>
      </c>
      <c r="CX415" s="7">
        <f t="shared" si="2220"/>
        <v>58853.445084745741</v>
      </c>
      <c r="CY415" s="7">
        <f t="shared" si="2221"/>
        <v>58697.715084745738</v>
      </c>
      <c r="CZ415" s="236">
        <f t="shared" si="2191"/>
        <v>1311.9060918644066</v>
      </c>
    </row>
    <row r="416" spans="1:104" x14ac:dyDescent="0.2">
      <c r="A416" s="6" t="str">
        <f>'[1]2021 УГРЦТ'!A419</f>
        <v>ТП №7 столовая 1  1967г.</v>
      </c>
      <c r="B416" t="str">
        <f>'[1]2021 УГРЦТ'!B419</f>
        <v>00000529</v>
      </c>
      <c r="C416" t="str">
        <f>'[1]2021 УГРЦТ'!C419</f>
        <v>ПЕРЕДАЧА</v>
      </c>
      <c r="D416" t="str">
        <f>'[1]2021 УГРЦТ'!D419</f>
        <v>Здания</v>
      </c>
      <c r="E416" t="str">
        <f>'[1]2021 УГРЦТ'!E419</f>
        <v>31.01.1967</v>
      </c>
      <c r="F416" t="str">
        <f>'[1]2021 УГРЦТ'!F419</f>
        <v>Цех электрических сетей</v>
      </c>
      <c r="G416">
        <f>'[1]2021 УГРЦТ'!AC419</f>
        <v>708</v>
      </c>
      <c r="H416" s="7">
        <f>'[1]2021 УГРЦТ'!X419</f>
        <v>410888.55</v>
      </c>
      <c r="I416" s="7">
        <f>'[1]2021 УГРЦТ'!Y419</f>
        <v>285348.40999999997</v>
      </c>
      <c r="J416" s="7">
        <f>'[1]2021 УГРЦТ'!Z419</f>
        <v>125540.14000000001</v>
      </c>
      <c r="K416" s="8">
        <v>1</v>
      </c>
      <c r="L416" s="7">
        <v>2562.8499999999995</v>
      </c>
      <c r="M416" s="7"/>
      <c r="N416" s="7">
        <f t="shared" si="1814"/>
        <v>30754.199999999993</v>
      </c>
      <c r="O416" s="7">
        <f t="shared" si="1984"/>
        <v>122977.29000000001</v>
      </c>
      <c r="P416" s="7">
        <f t="shared" si="2150"/>
        <v>120414.44</v>
      </c>
      <c r="Q416" s="7">
        <f t="shared" si="2150"/>
        <v>117851.59</v>
      </c>
      <c r="R416" s="7">
        <f t="shared" si="2150"/>
        <v>115288.73999999999</v>
      </c>
      <c r="S416" s="7">
        <f t="shared" si="2150"/>
        <v>112725.88999999998</v>
      </c>
      <c r="T416" s="7">
        <f t="shared" si="2150"/>
        <v>110163.03999999998</v>
      </c>
      <c r="U416" s="7">
        <f t="shared" si="2150"/>
        <v>107600.18999999997</v>
      </c>
      <c r="V416" s="7">
        <f t="shared" si="2150"/>
        <v>105037.33999999997</v>
      </c>
      <c r="W416" s="7">
        <f t="shared" si="2150"/>
        <v>102474.48999999996</v>
      </c>
      <c r="X416" s="7">
        <f t="shared" si="2150"/>
        <v>99911.639999999956</v>
      </c>
      <c r="Y416" s="7">
        <f t="shared" si="2150"/>
        <v>97348.78999999995</v>
      </c>
      <c r="Z416" s="7">
        <f t="shared" si="2150"/>
        <v>94785.939999999944</v>
      </c>
      <c r="AA416" s="7">
        <f t="shared" si="2187"/>
        <v>2423.5868799999998</v>
      </c>
      <c r="AB416" s="7"/>
      <c r="AC416" s="7">
        <f t="shared" si="1985"/>
        <v>30754.199999999993</v>
      </c>
      <c r="AD416" s="7">
        <f t="shared" si="1986"/>
        <v>92223.089999999938</v>
      </c>
      <c r="AE416" s="7">
        <f t="shared" si="2192"/>
        <v>89660.239999999932</v>
      </c>
      <c r="AF416" s="7">
        <f t="shared" si="2192"/>
        <v>87097.389999999927</v>
      </c>
      <c r="AG416" s="7">
        <f t="shared" si="2192"/>
        <v>84534.539999999921</v>
      </c>
      <c r="AH416" s="7">
        <f t="shared" si="2192"/>
        <v>81971.689999999915</v>
      </c>
      <c r="AI416" s="7">
        <f t="shared" si="2192"/>
        <v>79408.839999999909</v>
      </c>
      <c r="AJ416" s="7">
        <f t="shared" si="2192"/>
        <v>76845.989999999903</v>
      </c>
      <c r="AK416" s="7">
        <f t="shared" si="2192"/>
        <v>74283.139999999898</v>
      </c>
      <c r="AL416" s="7">
        <f t="shared" si="2192"/>
        <v>71720.289999999892</v>
      </c>
      <c r="AM416" s="7">
        <f t="shared" si="2192"/>
        <v>69157.439999999886</v>
      </c>
      <c r="AN416" s="7">
        <f t="shared" si="2192"/>
        <v>66594.58999999988</v>
      </c>
      <c r="AO416" s="7">
        <f t="shared" si="2192"/>
        <v>64031.739999999882</v>
      </c>
      <c r="AP416" s="222">
        <f t="shared" si="2188"/>
        <v>1746.9944799999978</v>
      </c>
      <c r="AQ416" s="7">
        <v>2562.8499999999995</v>
      </c>
      <c r="AR416" s="7">
        <f t="shared" si="1987"/>
        <v>2562.8499999999985</v>
      </c>
      <c r="AS416" s="7">
        <f t="shared" si="1988"/>
        <v>0</v>
      </c>
      <c r="AT416" s="7">
        <f t="shared" si="2151"/>
        <v>30754.199999999993</v>
      </c>
      <c r="AU416" s="7">
        <f t="shared" si="2152"/>
        <v>61468.889999999883</v>
      </c>
      <c r="AV416" s="7">
        <f t="shared" si="2153"/>
        <v>58906.039999999884</v>
      </c>
      <c r="AW416" s="7">
        <f t="shared" si="2153"/>
        <v>56343.189999999886</v>
      </c>
      <c r="AX416" s="7">
        <f t="shared" si="2153"/>
        <v>53780.339999999887</v>
      </c>
      <c r="AY416" s="7">
        <f t="shared" si="2153"/>
        <v>51217.489999999889</v>
      </c>
      <c r="AZ416" s="7">
        <f t="shared" si="2153"/>
        <v>48654.63999999989</v>
      </c>
      <c r="BA416" s="7">
        <f t="shared" si="2153"/>
        <v>46091.789999999892</v>
      </c>
      <c r="BB416" s="7">
        <f t="shared" si="2153"/>
        <v>43528.939999999893</v>
      </c>
      <c r="BC416" s="7">
        <f t="shared" si="2153"/>
        <v>40966.089999999895</v>
      </c>
      <c r="BD416" s="7">
        <f t="shared" si="2153"/>
        <v>38403.239999999896</v>
      </c>
      <c r="BE416" s="7">
        <f t="shared" si="2153"/>
        <v>35840.389999999898</v>
      </c>
      <c r="BF416" s="7">
        <f t="shared" si="2153"/>
        <v>33277.539999999899</v>
      </c>
      <c r="BG416" s="236">
        <f t="shared" si="1983"/>
        <v>1070.4020799999976</v>
      </c>
      <c r="BH416" s="7">
        <v>2562.8499999999995</v>
      </c>
      <c r="BI416" s="39">
        <f>BH416*12</f>
        <v>30754.199999999993</v>
      </c>
      <c r="BJ416" s="7">
        <f>BF416-BH416</f>
        <v>30714.6899999999</v>
      </c>
      <c r="BK416" s="7">
        <f t="shared" si="2154"/>
        <v>28151.839999999902</v>
      </c>
      <c r="BL416" s="7">
        <f t="shared" si="2155"/>
        <v>25588.989999999903</v>
      </c>
      <c r="BM416" s="7">
        <f t="shared" si="2156"/>
        <v>23026.139999999905</v>
      </c>
      <c r="BN416" s="7">
        <f t="shared" si="2157"/>
        <v>20463.289999999906</v>
      </c>
      <c r="BO416" s="7">
        <f t="shared" si="2158"/>
        <v>17900.439999999908</v>
      </c>
      <c r="BP416" s="7">
        <f t="shared" si="2194"/>
        <v>15337.589999999909</v>
      </c>
      <c r="BQ416" s="7">
        <f t="shared" si="2195"/>
        <v>12774.739999999911</v>
      </c>
      <c r="BR416" s="7">
        <f t="shared" si="2196"/>
        <v>10211.889999999912</v>
      </c>
      <c r="BS416" s="7">
        <f t="shared" si="2197"/>
        <v>7649.0399999999127</v>
      </c>
      <c r="BT416" s="7">
        <f t="shared" si="2198"/>
        <v>5086.1899999999132</v>
      </c>
      <c r="BU416" s="7">
        <f t="shared" si="2199"/>
        <v>2523.3399999999137</v>
      </c>
      <c r="BV416" s="236">
        <f t="shared" si="2189"/>
        <v>393.80967999999785</v>
      </c>
      <c r="BW416" s="7">
        <v>2562.8499999999995</v>
      </c>
      <c r="BX416" s="39">
        <v>2523.34</v>
      </c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236">
        <f t="shared" si="2190"/>
        <v>4.270267692307546</v>
      </c>
      <c r="CL416" s="7">
        <v>2562.8499999999995</v>
      </c>
      <c r="CM416" s="39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236">
        <f t="shared" si="2191"/>
        <v>0</v>
      </c>
    </row>
    <row r="417" spans="1:104" x14ac:dyDescent="0.2">
      <c r="A417" s="6" t="str">
        <f>'[1]2021 УГРЦТ'!A420</f>
        <v>ТП №73(Трансформаторная подстанция Ленина 35б )</v>
      </c>
      <c r="B417" t="str">
        <f>'[1]2021 УГРЦТ'!B420</f>
        <v>00001122</v>
      </c>
      <c r="C417" t="str">
        <f>'[1]2021 УГРЦТ'!C420</f>
        <v>ПЕРЕДАЧА</v>
      </c>
      <c r="D417" t="str">
        <f>'[1]2021 УГРЦТ'!D420</f>
        <v>Здания</v>
      </c>
      <c r="E417" t="str">
        <f>'[1]2021 УГРЦТ'!E420</f>
        <v>31.07.2009</v>
      </c>
      <c r="F417" t="str">
        <f>'[1]2021 УГРЦТ'!F420</f>
        <v>Цех электрических сетей</v>
      </c>
      <c r="G417">
        <f>'[1]2021 УГРЦТ'!AC420</f>
        <v>240</v>
      </c>
      <c r="H417" s="7">
        <f>'[1]2021 УГРЦТ'!X420</f>
        <v>442207.81</v>
      </c>
      <c r="I417" s="7">
        <f>'[1]2021 УГРЦТ'!Y420</f>
        <v>274537.00049999997</v>
      </c>
      <c r="J417" s="7">
        <f>'[1]2021 УГРЦТ'!Z420</f>
        <v>167670.80950000003</v>
      </c>
      <c r="K417" s="8">
        <v>1</v>
      </c>
      <c r="L417" s="7">
        <v>1842.54</v>
      </c>
      <c r="M417" s="7"/>
      <c r="N417" s="7">
        <f t="shared" si="1814"/>
        <v>22110.48</v>
      </c>
      <c r="O417" s="7">
        <f t="shared" si="1984"/>
        <v>165828.26950000002</v>
      </c>
      <c r="P417" s="7">
        <f t="shared" si="2150"/>
        <v>163985.72950000002</v>
      </c>
      <c r="Q417" s="7">
        <f t="shared" si="2150"/>
        <v>162143.18950000001</v>
      </c>
      <c r="R417" s="7">
        <f t="shared" si="2150"/>
        <v>160300.6495</v>
      </c>
      <c r="S417" s="7">
        <f t="shared" si="2150"/>
        <v>158458.10949999999</v>
      </c>
      <c r="T417" s="7">
        <f t="shared" si="2150"/>
        <v>156615.56949999998</v>
      </c>
      <c r="U417" s="7">
        <f t="shared" si="2150"/>
        <v>154773.02949999998</v>
      </c>
      <c r="V417" s="7">
        <f t="shared" si="2150"/>
        <v>152930.48949999997</v>
      </c>
      <c r="W417" s="7">
        <f t="shared" si="2150"/>
        <v>151087.94949999996</v>
      </c>
      <c r="X417" s="7">
        <f t="shared" si="2150"/>
        <v>149245.40949999995</v>
      </c>
      <c r="Y417" s="7">
        <f t="shared" si="2150"/>
        <v>147402.86949999994</v>
      </c>
      <c r="Z417" s="7">
        <f t="shared" si="2150"/>
        <v>145560.32949999993</v>
      </c>
      <c r="AA417" s="7">
        <f t="shared" si="2187"/>
        <v>3445.5425289999989</v>
      </c>
      <c r="AB417" s="7"/>
      <c r="AC417" s="7">
        <f t="shared" si="1985"/>
        <v>22110.48</v>
      </c>
      <c r="AD417" s="7">
        <f t="shared" si="1986"/>
        <v>143717.78949999993</v>
      </c>
      <c r="AE417" s="7">
        <f t="shared" si="2192"/>
        <v>141875.24949999992</v>
      </c>
      <c r="AF417" s="7">
        <f t="shared" si="2192"/>
        <v>140032.70949999991</v>
      </c>
      <c r="AG417" s="7">
        <f t="shared" si="2192"/>
        <v>138190.1694999999</v>
      </c>
      <c r="AH417" s="7">
        <f t="shared" si="2192"/>
        <v>136347.62949999989</v>
      </c>
      <c r="AI417" s="7">
        <f t="shared" si="2192"/>
        <v>134505.08949999989</v>
      </c>
      <c r="AJ417" s="7">
        <f t="shared" si="2192"/>
        <v>132662.54949999988</v>
      </c>
      <c r="AK417" s="7">
        <f t="shared" si="2192"/>
        <v>130820.00949999988</v>
      </c>
      <c r="AL417" s="7">
        <f t="shared" si="2192"/>
        <v>128977.46949999989</v>
      </c>
      <c r="AM417" s="7">
        <f t="shared" si="2192"/>
        <v>127134.9294999999</v>
      </c>
      <c r="AN417" s="7">
        <f t="shared" si="2192"/>
        <v>125292.3894999999</v>
      </c>
      <c r="AO417" s="7">
        <f t="shared" si="2192"/>
        <v>123449.84949999991</v>
      </c>
      <c r="AP417" s="222">
        <f t="shared" si="2188"/>
        <v>2959.1119689999973</v>
      </c>
      <c r="AQ417" s="7">
        <v>1842.54</v>
      </c>
      <c r="AR417" s="7">
        <f t="shared" si="1987"/>
        <v>1842.5399999999936</v>
      </c>
      <c r="AS417" s="7">
        <f t="shared" si="1988"/>
        <v>-6.3664629124104977E-12</v>
      </c>
      <c r="AT417" s="7">
        <f t="shared" si="2151"/>
        <v>22110.48</v>
      </c>
      <c r="AU417" s="7">
        <f t="shared" si="2152"/>
        <v>121607.30949999992</v>
      </c>
      <c r="AV417" s="7">
        <f t="shared" si="2153"/>
        <v>119764.76949999992</v>
      </c>
      <c r="AW417" s="7">
        <f t="shared" si="2153"/>
        <v>117922.22949999993</v>
      </c>
      <c r="AX417" s="7">
        <f t="shared" si="2153"/>
        <v>116079.68949999993</v>
      </c>
      <c r="AY417" s="7">
        <f t="shared" si="2153"/>
        <v>114237.14949999994</v>
      </c>
      <c r="AZ417" s="7">
        <f t="shared" si="2153"/>
        <v>112394.60949999995</v>
      </c>
      <c r="BA417" s="7">
        <f t="shared" si="2153"/>
        <v>110552.06949999995</v>
      </c>
      <c r="BB417" s="7">
        <f t="shared" si="2153"/>
        <v>108709.52949999996</v>
      </c>
      <c r="BC417" s="7">
        <f t="shared" si="2153"/>
        <v>106866.98949999997</v>
      </c>
      <c r="BD417" s="7">
        <f t="shared" si="2153"/>
        <v>105024.44949999997</v>
      </c>
      <c r="BE417" s="7">
        <f t="shared" si="2153"/>
        <v>103181.90949999998</v>
      </c>
      <c r="BF417" s="7">
        <f t="shared" si="2153"/>
        <v>101339.36949999999</v>
      </c>
      <c r="BG417" s="236">
        <f t="shared" si="1983"/>
        <v>2472.6814089999989</v>
      </c>
      <c r="BH417" s="7">
        <v>1842.54</v>
      </c>
      <c r="BI417" s="39">
        <f>BH417*12</f>
        <v>22110.48</v>
      </c>
      <c r="BJ417" s="7">
        <f>BF417-BH417</f>
        <v>99496.829499999993</v>
      </c>
      <c r="BK417" s="7">
        <f t="shared" si="2154"/>
        <v>97654.289499999999</v>
      </c>
      <c r="BL417" s="7">
        <f t="shared" si="2155"/>
        <v>95811.749500000005</v>
      </c>
      <c r="BM417" s="7">
        <f t="shared" si="2156"/>
        <v>93969.209500000012</v>
      </c>
      <c r="BN417" s="7">
        <f t="shared" si="2157"/>
        <v>92126.669500000018</v>
      </c>
      <c r="BO417" s="7">
        <f t="shared" si="2158"/>
        <v>90284.129500000025</v>
      </c>
      <c r="BP417" s="7">
        <f t="shared" si="2194"/>
        <v>88441.589500000031</v>
      </c>
      <c r="BQ417" s="7">
        <f t="shared" si="2195"/>
        <v>86599.049500000037</v>
      </c>
      <c r="BR417" s="7">
        <f t="shared" si="2196"/>
        <v>84756.509500000044</v>
      </c>
      <c r="BS417" s="7">
        <f t="shared" si="2197"/>
        <v>82913.96950000005</v>
      </c>
      <c r="BT417" s="7">
        <f t="shared" si="2198"/>
        <v>81071.429500000057</v>
      </c>
      <c r="BU417" s="7">
        <f t="shared" si="2199"/>
        <v>79228.889500000063</v>
      </c>
      <c r="BV417" s="236">
        <f t="shared" si="2189"/>
        <v>1986.2508490000005</v>
      </c>
      <c r="BW417" s="7">
        <v>1842.54</v>
      </c>
      <c r="BX417" s="39">
        <f>BW417*12</f>
        <v>22110.48</v>
      </c>
      <c r="BY417" s="7">
        <f>BU417-BW417</f>
        <v>77386.349500000069</v>
      </c>
      <c r="BZ417" s="7">
        <f t="shared" si="2200"/>
        <v>75543.809500000076</v>
      </c>
      <c r="CA417" s="7">
        <f t="shared" si="2201"/>
        <v>73701.269500000082</v>
      </c>
      <c r="CB417" s="7">
        <f t="shared" si="2202"/>
        <v>71858.729500000089</v>
      </c>
      <c r="CC417" s="7">
        <f t="shared" si="2203"/>
        <v>70016.189500000095</v>
      </c>
      <c r="CD417" s="7">
        <f t="shared" si="2204"/>
        <v>68173.649500000101</v>
      </c>
      <c r="CE417" s="7">
        <f t="shared" si="2205"/>
        <v>66331.109500000108</v>
      </c>
      <c r="CF417" s="7">
        <f t="shared" si="2206"/>
        <v>64488.569500000107</v>
      </c>
      <c r="CG417" s="7">
        <f t="shared" si="2207"/>
        <v>62646.029500000106</v>
      </c>
      <c r="CH417" s="7">
        <f t="shared" si="2208"/>
        <v>60803.489500000105</v>
      </c>
      <c r="CI417" s="7">
        <f t="shared" si="2209"/>
        <v>58960.949500000104</v>
      </c>
      <c r="CJ417" s="7">
        <f t="shared" si="2210"/>
        <v>57118.409500000103</v>
      </c>
      <c r="CK417" s="236">
        <f t="shared" si="2190"/>
        <v>1499.8202890000018</v>
      </c>
      <c r="CL417" s="7">
        <v>1842.54</v>
      </c>
      <c r="CM417" s="39">
        <f>CL417*12</f>
        <v>22110.48</v>
      </c>
      <c r="CN417" s="7">
        <f>CJ417-CL417</f>
        <v>55275.869500000103</v>
      </c>
      <c r="CO417" s="7">
        <f t="shared" ref="CO417" si="2222">CN417-$L417</f>
        <v>53433.329500000102</v>
      </c>
      <c r="CP417" s="7">
        <f t="shared" ref="CP417" si="2223">CO417-$L417</f>
        <v>51590.789500000101</v>
      </c>
      <c r="CQ417" s="7">
        <f t="shared" ref="CQ417" si="2224">CP417-$L417</f>
        <v>49748.2495000001</v>
      </c>
      <c r="CR417" s="7">
        <f t="shared" ref="CR417" si="2225">CQ417-$L417</f>
        <v>47905.709500000099</v>
      </c>
      <c r="CS417" s="7">
        <f t="shared" ref="CS417" si="2226">CR417-$L417</f>
        <v>46063.169500000098</v>
      </c>
      <c r="CT417" s="7">
        <f t="shared" ref="CT417" si="2227">CS417-$L417</f>
        <v>44220.629500000097</v>
      </c>
      <c r="CU417" s="7">
        <f t="shared" ref="CU417" si="2228">CT417-$L417</f>
        <v>42378.089500000096</v>
      </c>
      <c r="CV417" s="7">
        <f t="shared" ref="CV417" si="2229">CU417-$L417</f>
        <v>40535.549500000096</v>
      </c>
      <c r="CW417" s="7">
        <f t="shared" ref="CW417" si="2230">CV417-$L417</f>
        <v>38693.009500000095</v>
      </c>
      <c r="CX417" s="7">
        <f t="shared" ref="CX417" si="2231">CW417-$L417</f>
        <v>36850.469500000094</v>
      </c>
      <c r="CY417" s="7">
        <f t="shared" ref="CY417" si="2232">CX417-$L417</f>
        <v>35007.929500000093</v>
      </c>
      <c r="CZ417" s="236">
        <f t="shared" si="2191"/>
        <v>1013.3897290000019</v>
      </c>
    </row>
    <row r="418" spans="1:104" x14ac:dyDescent="0.2">
      <c r="A418" s="6" t="str">
        <f>'[1]2021 УГРЦТ'!A421</f>
        <v>ТП №75 КТП /ПК-К-250/10/04 на Неф-в 11а  2006г</v>
      </c>
      <c r="B418" t="str">
        <f>'[1]2021 УГРЦТ'!B421</f>
        <v>00000982</v>
      </c>
      <c r="C418" t="str">
        <f>'[1]2021 УГРЦТ'!C421</f>
        <v>ПЕРЕДАЧА</v>
      </c>
      <c r="D418" t="str">
        <f>'[1]2021 УГРЦТ'!D421</f>
        <v>Сооружения</v>
      </c>
      <c r="E418" t="str">
        <f>'[1]2021 УГРЦТ'!E421</f>
        <v>31.08.2006</v>
      </c>
      <c r="F418" t="str">
        <f>'[1]2021 УГРЦТ'!F421</f>
        <v>Цех электрических сетей</v>
      </c>
      <c r="G418">
        <f>'[1]2021 УГРЦТ'!AC421</f>
        <v>180</v>
      </c>
      <c r="H418" s="7">
        <f>'[1]2021 УГРЦТ'!X421</f>
        <v>213802.94</v>
      </c>
      <c r="I418" s="7">
        <f>'[1]2021 УГРЦТ'!Y421</f>
        <v>213802.94</v>
      </c>
      <c r="J418" s="7">
        <f>'[1]2021 УГРЦТ'!Z421</f>
        <v>0</v>
      </c>
      <c r="K418" s="8">
        <v>1</v>
      </c>
      <c r="L418" s="7">
        <v>0</v>
      </c>
      <c r="M418" s="7"/>
      <c r="N418" s="7">
        <f t="shared" si="1814"/>
        <v>0</v>
      </c>
      <c r="O418" s="7">
        <f t="shared" si="1984"/>
        <v>0</v>
      </c>
      <c r="P418" s="7">
        <f t="shared" si="2150"/>
        <v>0</v>
      </c>
      <c r="Q418" s="7">
        <f t="shared" si="2150"/>
        <v>0</v>
      </c>
      <c r="R418" s="7">
        <f t="shared" si="2150"/>
        <v>0</v>
      </c>
      <c r="S418" s="7">
        <f t="shared" si="2150"/>
        <v>0</v>
      </c>
      <c r="T418" s="7">
        <f t="shared" si="2150"/>
        <v>0</v>
      </c>
      <c r="U418" s="7">
        <f t="shared" si="2150"/>
        <v>0</v>
      </c>
      <c r="V418" s="7">
        <f t="shared" si="2150"/>
        <v>0</v>
      </c>
      <c r="W418" s="7">
        <f t="shared" si="2150"/>
        <v>0</v>
      </c>
      <c r="X418" s="7">
        <f t="shared" si="2150"/>
        <v>0</v>
      </c>
      <c r="Y418" s="7">
        <f t="shared" si="2150"/>
        <v>0</v>
      </c>
      <c r="Z418" s="7">
        <f t="shared" si="2150"/>
        <v>0</v>
      </c>
      <c r="AA418" s="7">
        <f t="shared" si="2187"/>
        <v>0</v>
      </c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222"/>
      <c r="AQ418" s="7">
        <v>0</v>
      </c>
      <c r="AR418" s="7">
        <f t="shared" si="1987"/>
        <v>0</v>
      </c>
      <c r="AS418" s="7">
        <f t="shared" si="1988"/>
        <v>0</v>
      </c>
      <c r="BG418" s="236">
        <f t="shared" si="1983"/>
        <v>0</v>
      </c>
      <c r="BH418" s="7">
        <v>0</v>
      </c>
      <c r="BV418" s="236">
        <f t="shared" si="2189"/>
        <v>0</v>
      </c>
      <c r="BW418" s="7">
        <v>0</v>
      </c>
      <c r="CK418" s="236">
        <f t="shared" si="2190"/>
        <v>0</v>
      </c>
      <c r="CL418" s="7">
        <v>0</v>
      </c>
      <c r="CZ418" s="236">
        <f t="shared" si="2191"/>
        <v>0</v>
      </c>
    </row>
    <row r="419" spans="1:104" x14ac:dyDescent="0.2">
      <c r="A419" s="6" t="str">
        <f>'[1]2021 УГРЦТ'!A422</f>
        <v>ТП №76 котельная №2</v>
      </c>
      <c r="B419" t="str">
        <f>'[1]2021 УГРЦТ'!B422</f>
        <v>00001000</v>
      </c>
      <c r="C419" t="str">
        <f>'[1]2021 УГРЦТ'!C422</f>
        <v>ПЕРЕДАЧА</v>
      </c>
      <c r="D419" t="str">
        <f>'[1]2021 УГРЦТ'!D422</f>
        <v>Сооружения</v>
      </c>
      <c r="E419" t="str">
        <f>'[1]2021 УГРЦТ'!E422</f>
        <v>31.10.2006</v>
      </c>
      <c r="F419" t="str">
        <f>'[1]2021 УГРЦТ'!F422</f>
        <v>Цех электрических сетей</v>
      </c>
      <c r="G419">
        <f>'[1]2021 УГРЦТ'!AC422</f>
        <v>180</v>
      </c>
      <c r="H419" s="7">
        <f>'[1]2021 УГРЦТ'!X422</f>
        <v>236505.42</v>
      </c>
      <c r="I419" s="7">
        <f>'[1]2021 УГРЦТ'!Y422</f>
        <v>236505.421</v>
      </c>
      <c r="J419" s="7">
        <f>'[1]2021 УГРЦТ'!Z422</f>
        <v>-9.9999998928979039E-4</v>
      </c>
      <c r="K419" s="8">
        <v>1</v>
      </c>
      <c r="L419" s="7">
        <v>0</v>
      </c>
      <c r="M419" s="7"/>
      <c r="N419" s="7">
        <f t="shared" si="1814"/>
        <v>0</v>
      </c>
      <c r="O419" s="7">
        <f t="shared" si="1984"/>
        <v>-9.9999998928979039E-4</v>
      </c>
      <c r="P419" s="7">
        <f t="shared" si="2150"/>
        <v>-9.9999998928979039E-4</v>
      </c>
      <c r="Q419" s="7">
        <f t="shared" si="2150"/>
        <v>-9.9999998928979039E-4</v>
      </c>
      <c r="R419" s="7">
        <f t="shared" si="2150"/>
        <v>-9.9999998928979039E-4</v>
      </c>
      <c r="S419" s="7">
        <f t="shared" si="2150"/>
        <v>-9.9999998928979039E-4</v>
      </c>
      <c r="T419" s="7">
        <f t="shared" si="2150"/>
        <v>-9.9999998928979039E-4</v>
      </c>
      <c r="U419" s="7">
        <f t="shared" si="2150"/>
        <v>-9.9999998928979039E-4</v>
      </c>
      <c r="V419" s="7">
        <f t="shared" si="2150"/>
        <v>-9.9999998928979039E-4</v>
      </c>
      <c r="W419" s="7">
        <f t="shared" si="2150"/>
        <v>-9.9999998928979039E-4</v>
      </c>
      <c r="X419" s="7">
        <f t="shared" si="2150"/>
        <v>-9.9999998928979039E-4</v>
      </c>
      <c r="Y419" s="7">
        <f t="shared" si="2150"/>
        <v>-9.9999998928979039E-4</v>
      </c>
      <c r="Z419" s="7">
        <f t="shared" si="2150"/>
        <v>-9.9999998928979039E-4</v>
      </c>
      <c r="AA419" s="7">
        <f t="shared" si="2187"/>
        <v>-2.1999999764375386E-5</v>
      </c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222"/>
      <c r="AQ419" s="7">
        <v>0</v>
      </c>
      <c r="AR419" s="7">
        <f t="shared" si="1987"/>
        <v>0</v>
      </c>
      <c r="AS419" s="7">
        <f t="shared" si="1988"/>
        <v>0</v>
      </c>
      <c r="BG419" s="236">
        <f t="shared" si="1983"/>
        <v>0</v>
      </c>
      <c r="BH419" s="7">
        <v>0</v>
      </c>
      <c r="BV419" s="236">
        <f t="shared" si="2189"/>
        <v>0</v>
      </c>
      <c r="BW419" s="7">
        <v>0</v>
      </c>
      <c r="CK419" s="236">
        <f t="shared" si="2190"/>
        <v>0</v>
      </c>
      <c r="CL419" s="7">
        <v>0</v>
      </c>
      <c r="CZ419" s="236">
        <f t="shared" si="2191"/>
        <v>0</v>
      </c>
    </row>
    <row r="420" spans="1:104" x14ac:dyDescent="0.2">
      <c r="A420" s="6" t="str">
        <f>'[1]2021 УГРЦТ'!A423</f>
        <v>ТП №77 пер Антипина п Мирный 2007г</v>
      </c>
      <c r="B420" t="str">
        <f>'[1]2021 УГРЦТ'!B423</f>
        <v>00001053</v>
      </c>
      <c r="C420" t="str">
        <f>'[1]2021 УГРЦТ'!C423</f>
        <v>ПЕРЕДАЧА</v>
      </c>
      <c r="D420" t="str">
        <f>'[1]2021 УГРЦТ'!D423</f>
        <v>Сооружения</v>
      </c>
      <c r="E420" t="str">
        <f>'[1]2021 УГРЦТ'!E423</f>
        <v>16.10.2007</v>
      </c>
      <c r="F420" t="str">
        <f>'[1]2021 УГРЦТ'!F423</f>
        <v>Цех электрических сетей</v>
      </c>
      <c r="G420">
        <f>'[1]2021 УГРЦТ'!AC423</f>
        <v>180</v>
      </c>
      <c r="H420" s="7">
        <f>'[1]2021 УГРЦТ'!X423</f>
        <v>604017.51</v>
      </c>
      <c r="I420" s="7">
        <f>'[1]2021 УГРЦТ'!Y423</f>
        <v>570460.53399999999</v>
      </c>
      <c r="J420" s="7">
        <f>'[1]2021 УГРЦТ'!Z423</f>
        <v>33556.976000000024</v>
      </c>
      <c r="K420" s="8">
        <v>1</v>
      </c>
      <c r="L420" s="7">
        <v>3355.650000000001</v>
      </c>
      <c r="M420" s="7"/>
      <c r="N420" s="7">
        <f>L420*10+0.48</f>
        <v>33556.98000000001</v>
      </c>
      <c r="O420" s="7">
        <f t="shared" si="1984"/>
        <v>30201.326000000023</v>
      </c>
      <c r="P420" s="7">
        <f t="shared" si="2150"/>
        <v>26845.676000000021</v>
      </c>
      <c r="Q420" s="7">
        <f t="shared" si="2150"/>
        <v>23490.02600000002</v>
      </c>
      <c r="R420" s="7">
        <f t="shared" si="2150"/>
        <v>20134.376000000018</v>
      </c>
      <c r="S420" s="7">
        <f t="shared" si="2150"/>
        <v>16778.726000000017</v>
      </c>
      <c r="T420" s="7">
        <f t="shared" si="2150"/>
        <v>13423.076000000015</v>
      </c>
      <c r="U420" s="7">
        <f t="shared" si="2150"/>
        <v>10067.426000000014</v>
      </c>
      <c r="V420" s="7">
        <f t="shared" si="2150"/>
        <v>6711.7760000000126</v>
      </c>
      <c r="W420" s="7">
        <f t="shared" si="2150"/>
        <v>3356.1260000000116</v>
      </c>
      <c r="X420" s="7">
        <f t="shared" si="2150"/>
        <v>0.47600000001057197</v>
      </c>
      <c r="Y420" s="7">
        <f>X420-0.48</f>
        <v>-3.9999999894280158E-3</v>
      </c>
      <c r="Z420" s="7">
        <f>Y420-$L420*0</f>
        <v>-3.9999999894280158E-3</v>
      </c>
      <c r="AA420" s="7">
        <f t="shared" si="2187"/>
        <v>312.34242430769268</v>
      </c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222"/>
      <c r="AQ420" s="7">
        <v>0</v>
      </c>
      <c r="AR420" s="7">
        <f t="shared" si="1987"/>
        <v>0</v>
      </c>
      <c r="AS420" s="7">
        <f t="shared" si="1988"/>
        <v>0</v>
      </c>
      <c r="BG420" s="236">
        <f t="shared" si="1983"/>
        <v>0</v>
      </c>
      <c r="BH420" s="7">
        <v>0</v>
      </c>
      <c r="BV420" s="236">
        <f t="shared" si="2189"/>
        <v>0</v>
      </c>
      <c r="BW420" s="7">
        <v>0</v>
      </c>
      <c r="CK420" s="236">
        <f t="shared" si="2190"/>
        <v>0</v>
      </c>
      <c r="CL420" s="7">
        <v>0</v>
      </c>
      <c r="CZ420" s="236">
        <f t="shared" si="2191"/>
        <v>0</v>
      </c>
    </row>
    <row r="421" spans="1:104" x14ac:dyDescent="0.2">
      <c r="A421" s="6" t="str">
        <f>'[1]2021 УГРЦТ'!A424</f>
        <v>ТП №8 ул Ленина 47, 47а  1978г.</v>
      </c>
      <c r="B421" t="str">
        <f>'[1]2021 УГРЦТ'!B424</f>
        <v>00000581</v>
      </c>
      <c r="C421" t="str">
        <f>'[1]2021 УГРЦТ'!C424</f>
        <v>ПЕРЕДАЧА</v>
      </c>
      <c r="D421" t="str">
        <f>'[1]2021 УГРЦТ'!D424</f>
        <v>Здания</v>
      </c>
      <c r="E421" t="str">
        <f>'[1]2021 УГРЦТ'!E424</f>
        <v>31.01.1978</v>
      </c>
      <c r="F421" t="str">
        <f>'[1]2021 УГРЦТ'!F424</f>
        <v>Цех электрических сетей</v>
      </c>
      <c r="G421">
        <f>'[1]2021 УГРЦТ'!AC424</f>
        <v>708</v>
      </c>
      <c r="H421" s="7">
        <f>'[1]2021 УГРЦТ'!X424</f>
        <v>35347</v>
      </c>
      <c r="I421" s="7">
        <f>'[1]2021 УГРЦТ'!Y424</f>
        <v>26403.621694915255</v>
      </c>
      <c r="J421" s="7">
        <f>'[1]2021 УГРЦТ'!Z424</f>
        <v>8943.3783050847451</v>
      </c>
      <c r="K421" s="8">
        <v>1</v>
      </c>
      <c r="L421" s="7">
        <v>49.91</v>
      </c>
      <c r="M421" s="7"/>
      <c r="N421" s="7">
        <f t="shared" si="1814"/>
        <v>598.91999999999996</v>
      </c>
      <c r="O421" s="7">
        <f t="shared" si="1984"/>
        <v>8893.4683050847452</v>
      </c>
      <c r="P421" s="7">
        <f t="shared" si="2150"/>
        <v>8843.5583050847454</v>
      </c>
      <c r="Q421" s="7">
        <f t="shared" si="2150"/>
        <v>8793.6483050847455</v>
      </c>
      <c r="R421" s="7">
        <f t="shared" si="2150"/>
        <v>8743.7383050847457</v>
      </c>
      <c r="S421" s="7">
        <f t="shared" si="2150"/>
        <v>8693.8283050847458</v>
      </c>
      <c r="T421" s="7">
        <f t="shared" si="2150"/>
        <v>8643.918305084746</v>
      </c>
      <c r="U421" s="7">
        <f t="shared" si="2150"/>
        <v>8594.0083050847461</v>
      </c>
      <c r="V421" s="7">
        <f t="shared" si="2150"/>
        <v>8544.0983050847462</v>
      </c>
      <c r="W421" s="7">
        <f t="shared" si="2150"/>
        <v>8494.1883050847464</v>
      </c>
      <c r="X421" s="7">
        <f t="shared" si="2150"/>
        <v>8444.2783050847465</v>
      </c>
      <c r="Y421" s="7">
        <f t="shared" si="2150"/>
        <v>8394.3683050847467</v>
      </c>
      <c r="Z421" s="7">
        <f t="shared" si="2150"/>
        <v>8344.4583050847468</v>
      </c>
      <c r="AA421" s="7">
        <f t="shared" si="2187"/>
        <v>190.1662027118644</v>
      </c>
      <c r="AB421" s="7"/>
      <c r="AC421" s="7">
        <f t="shared" si="1985"/>
        <v>598.91999999999996</v>
      </c>
      <c r="AD421" s="7">
        <f t="shared" si="1986"/>
        <v>8294.548305084747</v>
      </c>
      <c r="AE421" s="7">
        <f t="shared" ref="AE421:AO430" si="2233">AD421-$L421</f>
        <v>8244.6383050847471</v>
      </c>
      <c r="AF421" s="7">
        <f t="shared" si="2233"/>
        <v>8194.7283050847473</v>
      </c>
      <c r="AG421" s="7">
        <f t="shared" si="2233"/>
        <v>8144.8183050847474</v>
      </c>
      <c r="AH421" s="7">
        <f t="shared" si="2233"/>
        <v>8094.9083050847476</v>
      </c>
      <c r="AI421" s="7">
        <f t="shared" si="2233"/>
        <v>8044.9983050847477</v>
      </c>
      <c r="AJ421" s="7">
        <f t="shared" si="2233"/>
        <v>7995.0883050847478</v>
      </c>
      <c r="AK421" s="7">
        <f t="shared" si="2233"/>
        <v>7945.178305084748</v>
      </c>
      <c r="AL421" s="7">
        <f t="shared" si="2233"/>
        <v>7895.2683050847481</v>
      </c>
      <c r="AM421" s="7">
        <f t="shared" si="2233"/>
        <v>7845.3583050847483</v>
      </c>
      <c r="AN421" s="7">
        <f t="shared" si="2233"/>
        <v>7795.4483050847484</v>
      </c>
      <c r="AO421" s="7">
        <f t="shared" si="2233"/>
        <v>7745.5383050847486</v>
      </c>
      <c r="AP421" s="222">
        <f t="shared" ref="AP421:AP430" si="2234">IF(K421&lt;1,0,SUM(AD421:AO421,Z421)/13*$BG$1)</f>
        <v>176.98996271186442</v>
      </c>
      <c r="AQ421" s="7">
        <v>49.91</v>
      </c>
      <c r="AR421" s="7">
        <f t="shared" si="1987"/>
        <v>49.909999999999854</v>
      </c>
      <c r="AS421" s="7">
        <f t="shared" si="1988"/>
        <v>-1.4210854715202004E-13</v>
      </c>
      <c r="AT421" s="7">
        <f t="shared" ref="AT421:AT424" si="2235">L421*12</f>
        <v>598.91999999999996</v>
      </c>
      <c r="AU421" s="7">
        <f>AO421-$L421</f>
        <v>7695.6283050847487</v>
      </c>
      <c r="AV421" s="7">
        <f t="shared" ref="AV421:BF424" si="2236">AU421-$L421</f>
        <v>7645.7183050847489</v>
      </c>
      <c r="AW421" s="7">
        <f t="shared" si="2236"/>
        <v>7595.808305084749</v>
      </c>
      <c r="AX421" s="7">
        <f t="shared" si="2236"/>
        <v>7545.8983050847492</v>
      </c>
      <c r="AY421" s="7">
        <f t="shared" si="2236"/>
        <v>7495.9883050847493</v>
      </c>
      <c r="AZ421" s="7">
        <f t="shared" si="2236"/>
        <v>7446.0783050847494</v>
      </c>
      <c r="BA421" s="7">
        <f t="shared" si="2236"/>
        <v>7396.1683050847496</v>
      </c>
      <c r="BB421" s="7">
        <f t="shared" si="2236"/>
        <v>7346.2583050847497</v>
      </c>
      <c r="BC421" s="7">
        <f t="shared" si="2236"/>
        <v>7296.3483050847499</v>
      </c>
      <c r="BD421" s="7">
        <f t="shared" si="2236"/>
        <v>7246.43830508475</v>
      </c>
      <c r="BE421" s="7">
        <f t="shared" si="2236"/>
        <v>7196.5283050847502</v>
      </c>
      <c r="BF421" s="7">
        <f t="shared" si="2236"/>
        <v>7146.6183050847503</v>
      </c>
      <c r="BG421" s="236">
        <f t="shared" si="1983"/>
        <v>163.81372271186447</v>
      </c>
      <c r="BH421" s="7">
        <v>49.91</v>
      </c>
      <c r="BI421" s="39">
        <f>BH421*12</f>
        <v>598.91999999999996</v>
      </c>
      <c r="BJ421" s="7">
        <f>BF421-BH421</f>
        <v>7096.7083050847505</v>
      </c>
      <c r="BK421" s="7">
        <f t="shared" ref="BK421:BK424" si="2237">BJ421-$L421</f>
        <v>7046.7983050847506</v>
      </c>
      <c r="BL421" s="7">
        <f t="shared" ref="BL421:BL422" si="2238">BK421-$L421</f>
        <v>6996.8883050847508</v>
      </c>
      <c r="BM421" s="7">
        <f t="shared" ref="BM421:BM422" si="2239">BL421-$L421</f>
        <v>6946.9783050847509</v>
      </c>
      <c r="BN421" s="7">
        <f t="shared" ref="BN421:BN422" si="2240">BM421-$L421</f>
        <v>6897.068305084751</v>
      </c>
      <c r="BO421" s="7">
        <f t="shared" ref="BO421:BO422" si="2241">BN421-$L421</f>
        <v>6847.1583050847512</v>
      </c>
      <c r="BP421" s="7">
        <f t="shared" ref="BP421:BP422" si="2242">BO421-$L421</f>
        <v>6797.2483050847513</v>
      </c>
      <c r="BQ421" s="7">
        <f t="shared" ref="BQ421:BQ422" si="2243">BP421-$L421</f>
        <v>6747.3383050847515</v>
      </c>
      <c r="BR421" s="7">
        <f t="shared" ref="BR421:BR422" si="2244">BQ421-$L421</f>
        <v>6697.4283050847516</v>
      </c>
      <c r="BS421" s="7">
        <f t="shared" ref="BS421:BS422" si="2245">BR421-$L421</f>
        <v>6647.5183050847518</v>
      </c>
      <c r="BT421" s="7">
        <f t="shared" ref="BT421:BT422" si="2246">BS421-$L421</f>
        <v>6597.6083050847519</v>
      </c>
      <c r="BU421" s="7">
        <f t="shared" ref="BU421:BU422" si="2247">BT421-$L421</f>
        <v>6547.6983050847521</v>
      </c>
      <c r="BV421" s="236">
        <f t="shared" si="2189"/>
        <v>150.63748271186449</v>
      </c>
      <c r="BW421" s="7">
        <v>49.91</v>
      </c>
      <c r="BX421" s="39">
        <f>BW421*12</f>
        <v>598.91999999999996</v>
      </c>
      <c r="BY421" s="7">
        <f>BU421-BW421</f>
        <v>6497.7883050847522</v>
      </c>
      <c r="BZ421" s="7">
        <f t="shared" ref="BZ421:BZ422" si="2248">BY421-$L421</f>
        <v>6447.8783050847524</v>
      </c>
      <c r="CA421" s="7">
        <f t="shared" ref="CA421:CA422" si="2249">BZ421-$L421</f>
        <v>6397.9683050847525</v>
      </c>
      <c r="CB421" s="7">
        <f t="shared" ref="CB421:CB422" si="2250">CA421-$L421</f>
        <v>6348.0583050847526</v>
      </c>
      <c r="CC421" s="7">
        <f t="shared" ref="CC421:CC422" si="2251">CB421-$L421</f>
        <v>6298.1483050847528</v>
      </c>
      <c r="CD421" s="7">
        <f t="shared" ref="CD421:CD422" si="2252">CC421-$L421</f>
        <v>6248.2383050847529</v>
      </c>
      <c r="CE421" s="7">
        <f t="shared" ref="CE421:CE422" si="2253">CD421-$L421</f>
        <v>6198.3283050847531</v>
      </c>
      <c r="CF421" s="7">
        <f t="shared" ref="CF421:CF422" si="2254">CE421-$L421</f>
        <v>6148.4183050847532</v>
      </c>
      <c r="CG421" s="7">
        <f t="shared" ref="CG421:CG422" si="2255">CF421-$L421</f>
        <v>6098.5083050847534</v>
      </c>
      <c r="CH421" s="7">
        <f t="shared" ref="CH421:CH422" si="2256">CG421-$L421</f>
        <v>6048.5983050847535</v>
      </c>
      <c r="CI421" s="7">
        <f t="shared" ref="CI421:CI422" si="2257">CH421-$L421</f>
        <v>5998.6883050847537</v>
      </c>
      <c r="CJ421" s="7">
        <f t="shared" ref="CJ421:CJ422" si="2258">CI421-$L421</f>
        <v>5948.7783050847538</v>
      </c>
      <c r="CK421" s="236">
        <f t="shared" si="2190"/>
        <v>137.46124271186454</v>
      </c>
      <c r="CL421" s="7">
        <v>49.91</v>
      </c>
      <c r="CM421" s="39">
        <f>CL421*12</f>
        <v>598.91999999999996</v>
      </c>
      <c r="CN421" s="7">
        <f>CJ421-CL421</f>
        <v>5898.868305084754</v>
      </c>
      <c r="CO421" s="7">
        <f t="shared" ref="CO421:CO422" si="2259">CN421-$L421</f>
        <v>5848.9583050847541</v>
      </c>
      <c r="CP421" s="7">
        <f t="shared" ref="CP421:CP422" si="2260">CO421-$L421</f>
        <v>5799.0483050847542</v>
      </c>
      <c r="CQ421" s="7">
        <f t="shared" ref="CQ421:CQ422" si="2261">CP421-$L421</f>
        <v>5749.1383050847544</v>
      </c>
      <c r="CR421" s="7">
        <f t="shared" ref="CR421:CR422" si="2262">CQ421-$L421</f>
        <v>5699.2283050847545</v>
      </c>
      <c r="CS421" s="7">
        <f t="shared" ref="CS421:CS422" si="2263">CR421-$L421</f>
        <v>5649.3183050847547</v>
      </c>
      <c r="CT421" s="7">
        <f t="shared" ref="CT421:CT422" si="2264">CS421-$L421</f>
        <v>5599.4083050847548</v>
      </c>
      <c r="CU421" s="7">
        <f t="shared" ref="CU421:CU422" si="2265">CT421-$L421</f>
        <v>5549.498305084755</v>
      </c>
      <c r="CV421" s="7">
        <f t="shared" ref="CV421:CV422" si="2266">CU421-$L421</f>
        <v>5499.5883050847551</v>
      </c>
      <c r="CW421" s="7">
        <f t="shared" ref="CW421:CW422" si="2267">CV421-$L421</f>
        <v>5449.6783050847553</v>
      </c>
      <c r="CX421" s="7">
        <f t="shared" ref="CX421:CX422" si="2268">CW421-$L421</f>
        <v>5399.7683050847554</v>
      </c>
      <c r="CY421" s="7">
        <f t="shared" ref="CY421:CY422" si="2269">CX421-$L421</f>
        <v>5349.8583050847556</v>
      </c>
      <c r="CZ421" s="236">
        <f t="shared" si="2191"/>
        <v>124.28500271186458</v>
      </c>
    </row>
    <row r="422" spans="1:104" x14ac:dyDescent="0.2">
      <c r="A422" s="6" t="str">
        <f>'[1]2021 УГРЦТ'!A425</f>
        <v>ТП №80 "Окруж.музей" ул. Победы, р -он д.5</v>
      </c>
      <c r="B422" t="str">
        <f>'[1]2021 УГРЦТ'!B425</f>
        <v>00001159</v>
      </c>
      <c r="C422" t="str">
        <f>'[1]2021 УГРЦТ'!C425</f>
        <v>ПЕРЕДАЧА</v>
      </c>
      <c r="D422" t="str">
        <f>'[1]2021 УГРЦТ'!D425</f>
        <v>Здания</v>
      </c>
      <c r="E422" t="str">
        <f>'[1]2021 УГРЦТ'!E425</f>
        <v>31.10.2009</v>
      </c>
      <c r="F422" t="str">
        <f>'[1]2021 УГРЦТ'!F425</f>
        <v>Цех электрических сетей</v>
      </c>
      <c r="G422">
        <f>'[1]2021 УГРЦТ'!AC425</f>
        <v>240</v>
      </c>
      <c r="H422" s="7">
        <f>'[1]2021 УГРЦТ'!X425</f>
        <v>2890765</v>
      </c>
      <c r="I422" s="7">
        <f>'[1]2021 УГРЦТ'!Y425</f>
        <v>1758548.11</v>
      </c>
      <c r="J422" s="7">
        <f>'[1]2021 УГРЦТ'!Z425</f>
        <v>1132216.8899999999</v>
      </c>
      <c r="K422" s="8">
        <v>1</v>
      </c>
      <c r="L422" s="7">
        <v>12044.850000000004</v>
      </c>
      <c r="M422" s="7"/>
      <c r="N422" s="7">
        <f t="shared" si="1814"/>
        <v>144538.20000000004</v>
      </c>
      <c r="O422" s="7">
        <f t="shared" si="1984"/>
        <v>1120172.0399999998</v>
      </c>
      <c r="P422" s="7">
        <f t="shared" si="2150"/>
        <v>1108127.1899999997</v>
      </c>
      <c r="Q422" s="7">
        <f t="shared" si="2150"/>
        <v>1096082.3399999996</v>
      </c>
      <c r="R422" s="7">
        <f t="shared" si="2150"/>
        <v>1084037.4899999995</v>
      </c>
      <c r="S422" s="7">
        <f t="shared" si="2150"/>
        <v>1071992.6399999994</v>
      </c>
      <c r="T422" s="7">
        <f t="shared" si="2150"/>
        <v>1059947.7899999993</v>
      </c>
      <c r="U422" s="7">
        <f t="shared" si="2150"/>
        <v>1047902.9399999994</v>
      </c>
      <c r="V422" s="7">
        <f t="shared" si="2150"/>
        <v>1035858.0899999994</v>
      </c>
      <c r="W422" s="7">
        <f t="shared" si="2150"/>
        <v>1023813.2399999994</v>
      </c>
      <c r="X422" s="7">
        <f t="shared" si="2150"/>
        <v>1011768.3899999994</v>
      </c>
      <c r="Y422" s="7">
        <f t="shared" si="2150"/>
        <v>999723.53999999946</v>
      </c>
      <c r="Z422" s="7">
        <f t="shared" si="2150"/>
        <v>987678.68999999948</v>
      </c>
      <c r="AA422" s="7">
        <f t="shared" si="2187"/>
        <v>23318.851379999989</v>
      </c>
      <c r="AB422" s="7"/>
      <c r="AC422" s="7">
        <f t="shared" si="1985"/>
        <v>144538.20000000004</v>
      </c>
      <c r="AD422" s="7">
        <f t="shared" si="1986"/>
        <v>975633.8399999995</v>
      </c>
      <c r="AE422" s="7">
        <f t="shared" si="2233"/>
        <v>963588.98999999953</v>
      </c>
      <c r="AF422" s="7">
        <f t="shared" si="2233"/>
        <v>951544.13999999955</v>
      </c>
      <c r="AG422" s="7">
        <f t="shared" si="2233"/>
        <v>939499.28999999957</v>
      </c>
      <c r="AH422" s="7">
        <f t="shared" si="2233"/>
        <v>927454.43999999959</v>
      </c>
      <c r="AI422" s="7">
        <f t="shared" si="2233"/>
        <v>915409.58999999962</v>
      </c>
      <c r="AJ422" s="7">
        <f t="shared" si="2233"/>
        <v>903364.73999999964</v>
      </c>
      <c r="AK422" s="7">
        <f t="shared" si="2233"/>
        <v>891319.88999999966</v>
      </c>
      <c r="AL422" s="7">
        <f t="shared" si="2233"/>
        <v>879275.03999999969</v>
      </c>
      <c r="AM422" s="7">
        <f t="shared" si="2233"/>
        <v>867230.18999999971</v>
      </c>
      <c r="AN422" s="7">
        <f t="shared" si="2233"/>
        <v>855185.33999999973</v>
      </c>
      <c r="AO422" s="7">
        <f t="shared" si="2233"/>
        <v>843140.48999999976</v>
      </c>
      <c r="AP422" s="222">
        <f t="shared" si="2234"/>
        <v>20139.010979999992</v>
      </c>
      <c r="AQ422" s="7">
        <v>12044.850000000004</v>
      </c>
      <c r="AR422" s="7">
        <f t="shared" si="1987"/>
        <v>12044.849999999977</v>
      </c>
      <c r="AS422" s="7">
        <f t="shared" si="1988"/>
        <v>-2.7284841053187847E-11</v>
      </c>
      <c r="AT422" s="7">
        <f t="shared" si="2235"/>
        <v>144538.20000000004</v>
      </c>
      <c r="AU422" s="7">
        <f>AO422-$L422</f>
        <v>831095.63999999978</v>
      </c>
      <c r="AV422" s="7">
        <f t="shared" si="2236"/>
        <v>819050.7899999998</v>
      </c>
      <c r="AW422" s="7">
        <f t="shared" si="2236"/>
        <v>807005.93999999983</v>
      </c>
      <c r="AX422" s="7">
        <f t="shared" si="2236"/>
        <v>794961.08999999985</v>
      </c>
      <c r="AY422" s="7">
        <f t="shared" si="2236"/>
        <v>782916.23999999987</v>
      </c>
      <c r="AZ422" s="7">
        <f t="shared" si="2236"/>
        <v>770871.3899999999</v>
      </c>
      <c r="BA422" s="7">
        <f t="shared" si="2236"/>
        <v>758826.53999999992</v>
      </c>
      <c r="BB422" s="7">
        <f t="shared" si="2236"/>
        <v>746781.69</v>
      </c>
      <c r="BC422" s="7">
        <f t="shared" si="2236"/>
        <v>734736.84</v>
      </c>
      <c r="BD422" s="7">
        <f t="shared" si="2236"/>
        <v>722691.99</v>
      </c>
      <c r="BE422" s="7">
        <f t="shared" si="2236"/>
        <v>710647.14</v>
      </c>
      <c r="BF422" s="7">
        <f t="shared" si="2236"/>
        <v>698602.29</v>
      </c>
      <c r="BG422" s="236">
        <f t="shared" si="1983"/>
        <v>16959.170579999998</v>
      </c>
      <c r="BH422" s="7">
        <v>12044.850000000004</v>
      </c>
      <c r="BI422" s="39">
        <f>BH422*12</f>
        <v>144538.20000000004</v>
      </c>
      <c r="BJ422" s="7">
        <f>BF422-BH422</f>
        <v>686557.44000000006</v>
      </c>
      <c r="BK422" s="7">
        <f t="shared" si="2237"/>
        <v>674512.59000000008</v>
      </c>
      <c r="BL422" s="7">
        <f t="shared" si="2238"/>
        <v>662467.74000000011</v>
      </c>
      <c r="BM422" s="7">
        <f t="shared" si="2239"/>
        <v>650422.89000000013</v>
      </c>
      <c r="BN422" s="7">
        <f t="shared" si="2240"/>
        <v>638378.04000000015</v>
      </c>
      <c r="BO422" s="7">
        <f t="shared" si="2241"/>
        <v>626333.19000000018</v>
      </c>
      <c r="BP422" s="7">
        <f t="shared" si="2242"/>
        <v>614288.3400000002</v>
      </c>
      <c r="BQ422" s="7">
        <f t="shared" si="2243"/>
        <v>602243.49000000022</v>
      </c>
      <c r="BR422" s="7">
        <f t="shared" si="2244"/>
        <v>590198.64000000025</v>
      </c>
      <c r="BS422" s="7">
        <f t="shared" si="2245"/>
        <v>578153.79000000027</v>
      </c>
      <c r="BT422" s="7">
        <f t="shared" si="2246"/>
        <v>566108.94000000029</v>
      </c>
      <c r="BU422" s="7">
        <f t="shared" si="2247"/>
        <v>554064.09000000032</v>
      </c>
      <c r="BV422" s="236">
        <f t="shared" si="2189"/>
        <v>13779.330180000003</v>
      </c>
      <c r="BW422" s="7">
        <v>12044.850000000004</v>
      </c>
      <c r="BX422" s="39">
        <f>BW422*12</f>
        <v>144538.20000000004</v>
      </c>
      <c r="BY422" s="7">
        <f>BU422-BW422</f>
        <v>542019.24000000034</v>
      </c>
      <c r="BZ422" s="7">
        <f t="shared" si="2248"/>
        <v>529974.39000000036</v>
      </c>
      <c r="CA422" s="7">
        <f t="shared" si="2249"/>
        <v>517929.54000000039</v>
      </c>
      <c r="CB422" s="7">
        <f t="shared" si="2250"/>
        <v>505884.69000000041</v>
      </c>
      <c r="CC422" s="7">
        <f t="shared" si="2251"/>
        <v>493839.84000000043</v>
      </c>
      <c r="CD422" s="7">
        <f t="shared" si="2252"/>
        <v>481794.99000000046</v>
      </c>
      <c r="CE422" s="7">
        <f t="shared" si="2253"/>
        <v>469750.14000000048</v>
      </c>
      <c r="CF422" s="7">
        <f t="shared" si="2254"/>
        <v>457705.2900000005</v>
      </c>
      <c r="CG422" s="7">
        <f t="shared" si="2255"/>
        <v>445660.44000000053</v>
      </c>
      <c r="CH422" s="7">
        <f t="shared" si="2256"/>
        <v>433615.59000000055</v>
      </c>
      <c r="CI422" s="7">
        <f t="shared" si="2257"/>
        <v>421570.74000000057</v>
      </c>
      <c r="CJ422" s="7">
        <f t="shared" si="2258"/>
        <v>409525.8900000006</v>
      </c>
      <c r="CK422" s="236">
        <f t="shared" si="2190"/>
        <v>10599.489780000011</v>
      </c>
      <c r="CL422" s="7">
        <v>12044.850000000004</v>
      </c>
      <c r="CM422" s="39">
        <f>CL422*12</f>
        <v>144538.20000000004</v>
      </c>
      <c r="CN422" s="7">
        <f>CJ422-CL422</f>
        <v>397481.04000000062</v>
      </c>
      <c r="CO422" s="7">
        <f t="shared" si="2259"/>
        <v>385436.19000000064</v>
      </c>
      <c r="CP422" s="7">
        <f t="shared" si="2260"/>
        <v>373391.34000000067</v>
      </c>
      <c r="CQ422" s="7">
        <f t="shared" si="2261"/>
        <v>361346.49000000069</v>
      </c>
      <c r="CR422" s="7">
        <f t="shared" si="2262"/>
        <v>349301.64000000071</v>
      </c>
      <c r="CS422" s="7">
        <f t="shared" si="2263"/>
        <v>337256.79000000074</v>
      </c>
      <c r="CT422" s="7">
        <f t="shared" si="2264"/>
        <v>325211.94000000076</v>
      </c>
      <c r="CU422" s="7">
        <f t="shared" si="2265"/>
        <v>313167.09000000078</v>
      </c>
      <c r="CV422" s="7">
        <f t="shared" si="2266"/>
        <v>301122.24000000081</v>
      </c>
      <c r="CW422" s="7">
        <f t="shared" si="2267"/>
        <v>289077.39000000083</v>
      </c>
      <c r="CX422" s="7">
        <f t="shared" si="2268"/>
        <v>277032.54000000085</v>
      </c>
      <c r="CY422" s="7">
        <f t="shared" si="2269"/>
        <v>264987.69000000088</v>
      </c>
      <c r="CZ422" s="236">
        <f t="shared" si="2191"/>
        <v>7419.6493800000144</v>
      </c>
    </row>
    <row r="423" spans="1:104" x14ac:dyDescent="0.2">
      <c r="A423" s="6" t="str">
        <f>'[1]2021 УГРЦТ'!A426</f>
        <v>ТП №85 по ул Ненецкая ул Первомайская</v>
      </c>
      <c r="B423" t="str">
        <f>'[1]2021 УГРЦТ'!B426</f>
        <v>00001113</v>
      </c>
      <c r="C423" t="str">
        <f>'[1]2021 УГРЦТ'!C426</f>
        <v>ПЕРЕДАЧА</v>
      </c>
      <c r="D423" t="str">
        <f>'[1]2021 УГРЦТ'!D426</f>
        <v>Сооружения</v>
      </c>
      <c r="E423" t="str">
        <f>'[1]2021 УГРЦТ'!E426</f>
        <v>28.02.2009</v>
      </c>
      <c r="F423" t="str">
        <f>'[1]2021 УГРЦТ'!F426</f>
        <v>Цех электрических сетей</v>
      </c>
      <c r="G423">
        <f>'[1]2021 УГРЦТ'!AC426</f>
        <v>180</v>
      </c>
      <c r="H423" s="7">
        <f>'[1]2021 УГРЦТ'!X426</f>
        <v>5253378</v>
      </c>
      <c r="I423" s="7">
        <f>'[1]2021 УГРЦТ'!Y426</f>
        <v>4494556.26</v>
      </c>
      <c r="J423" s="7">
        <f>'[1]2021 УГРЦТ'!Z426</f>
        <v>758821.74000000022</v>
      </c>
      <c r="K423" s="8">
        <v>1</v>
      </c>
      <c r="L423" s="7">
        <v>29185.429999999997</v>
      </c>
      <c r="M423" s="7"/>
      <c r="N423" s="7">
        <f t="shared" ref="N423:N486" si="2270">L423*12</f>
        <v>350225.16</v>
      </c>
      <c r="O423" s="7">
        <f t="shared" si="1984"/>
        <v>729636.31000000017</v>
      </c>
      <c r="P423" s="7">
        <f t="shared" ref="P423:Z430" si="2271">O423-$L423</f>
        <v>700450.88000000012</v>
      </c>
      <c r="Q423" s="7">
        <f t="shared" si="2271"/>
        <v>671265.45000000007</v>
      </c>
      <c r="R423" s="7">
        <f t="shared" si="2271"/>
        <v>642080.02</v>
      </c>
      <c r="S423" s="7">
        <f t="shared" si="2271"/>
        <v>612894.59</v>
      </c>
      <c r="T423" s="7">
        <f t="shared" si="2271"/>
        <v>583709.15999999992</v>
      </c>
      <c r="U423" s="7">
        <f t="shared" si="2271"/>
        <v>554523.72999999986</v>
      </c>
      <c r="V423" s="7">
        <f t="shared" si="2271"/>
        <v>525338.29999999981</v>
      </c>
      <c r="W423" s="7">
        <f t="shared" si="2271"/>
        <v>496152.86999999982</v>
      </c>
      <c r="X423" s="7">
        <f t="shared" si="2271"/>
        <v>466967.43999999983</v>
      </c>
      <c r="Y423" s="7">
        <f t="shared" si="2271"/>
        <v>437782.00999999983</v>
      </c>
      <c r="Z423" s="7">
        <f t="shared" si="2271"/>
        <v>408596.57999999984</v>
      </c>
      <c r="AA423" s="7">
        <f t="shared" si="2187"/>
        <v>12841.601519999997</v>
      </c>
      <c r="AB423" s="7"/>
      <c r="AC423" s="7">
        <f t="shared" si="1985"/>
        <v>350225.16</v>
      </c>
      <c r="AD423" s="7">
        <f t="shared" si="1986"/>
        <v>379411.14999999985</v>
      </c>
      <c r="AE423" s="7">
        <f t="shared" si="2233"/>
        <v>350225.71999999986</v>
      </c>
      <c r="AF423" s="7">
        <f t="shared" si="2233"/>
        <v>321040.28999999986</v>
      </c>
      <c r="AG423" s="7">
        <f t="shared" si="2233"/>
        <v>291854.85999999987</v>
      </c>
      <c r="AH423" s="7">
        <f t="shared" si="2233"/>
        <v>262669.42999999988</v>
      </c>
      <c r="AI423" s="7">
        <f t="shared" si="2233"/>
        <v>233483.99999999988</v>
      </c>
      <c r="AJ423" s="7">
        <f t="shared" si="2233"/>
        <v>204298.56999999989</v>
      </c>
      <c r="AK423" s="7">
        <f t="shared" si="2233"/>
        <v>175113.1399999999</v>
      </c>
      <c r="AL423" s="7">
        <f t="shared" si="2233"/>
        <v>145927.7099999999</v>
      </c>
      <c r="AM423" s="7">
        <f t="shared" si="2233"/>
        <v>116742.27999999991</v>
      </c>
      <c r="AN423" s="7">
        <f t="shared" si="2233"/>
        <v>87556.849999999919</v>
      </c>
      <c r="AO423" s="7">
        <f t="shared" si="2233"/>
        <v>58371.419999999925</v>
      </c>
      <c r="AP423" s="222">
        <f t="shared" si="2234"/>
        <v>5136.6479999999983</v>
      </c>
      <c r="AQ423" s="7">
        <v>29185.429999999997</v>
      </c>
      <c r="AR423" s="7">
        <f t="shared" si="1987"/>
        <v>29185.429999999993</v>
      </c>
      <c r="AS423" s="7">
        <f t="shared" si="1988"/>
        <v>0</v>
      </c>
      <c r="AT423" s="7">
        <f>L423*2+0.56</f>
        <v>58371.419999999991</v>
      </c>
      <c r="AU423" s="7">
        <f>AO423-$L423</f>
        <v>29185.989999999929</v>
      </c>
      <c r="AV423" s="7">
        <f t="shared" si="2236"/>
        <v>0.55999999993218808</v>
      </c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236">
        <f t="shared" si="1983"/>
        <v>148.17502615384578</v>
      </c>
      <c r="BH423" s="7">
        <v>29185.429999999997</v>
      </c>
      <c r="BI423" s="39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236">
        <f t="shared" si="2189"/>
        <v>0</v>
      </c>
      <c r="BW423" s="7">
        <v>29185.429999999997</v>
      </c>
      <c r="BX423" s="39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236">
        <f t="shared" si="2190"/>
        <v>0</v>
      </c>
      <c r="CL423" s="7">
        <v>29185.429999999997</v>
      </c>
      <c r="CM423" s="39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236">
        <f t="shared" si="2191"/>
        <v>0</v>
      </c>
    </row>
    <row r="424" spans="1:104" ht="22.5" x14ac:dyDescent="0.2">
      <c r="A424" s="6" t="str">
        <f>'[1]2021 УГРЦТ'!A427</f>
        <v>ТП №86  "Детский сад/ясли на 220 мест с бассейном" в центральной части г. Нарьян-Мара</v>
      </c>
      <c r="B424" t="str">
        <f>'[1]2021 УГРЦТ'!B427</f>
        <v>000001503</v>
      </c>
      <c r="C424" t="str">
        <f>'[1]2021 УГРЦТ'!C427</f>
        <v>ПЕРЕДАЧА</v>
      </c>
      <c r="D424" t="str">
        <f>'[1]2021 УГРЦТ'!D427</f>
        <v>Сооружения</v>
      </c>
      <c r="E424" t="str">
        <f>'[1]2021 УГРЦТ'!E427</f>
        <v>01.11.2012</v>
      </c>
      <c r="F424" t="str">
        <f>'[1]2021 УГРЦТ'!F427</f>
        <v>Цех электрических сетей</v>
      </c>
      <c r="G424">
        <f>'[1]2021 УГРЦТ'!AC427</f>
        <v>240</v>
      </c>
      <c r="H424" s="7">
        <f>'[1]2021 УГРЦТ'!X427</f>
        <v>4351220.7</v>
      </c>
      <c r="I424" s="7">
        <f>'[1]2021 УГРЦТ'!Y427</f>
        <v>1969959.73</v>
      </c>
      <c r="J424" s="7">
        <f>'[1]2021 УГРЦТ'!Z427</f>
        <v>2381260.9700000002</v>
      </c>
      <c r="K424" s="8">
        <v>1</v>
      </c>
      <c r="L424" s="7">
        <v>18177.570000000003</v>
      </c>
      <c r="M424" s="7"/>
      <c r="N424" s="7">
        <f t="shared" si="2270"/>
        <v>218130.84000000003</v>
      </c>
      <c r="O424" s="7">
        <f t="shared" si="1984"/>
        <v>2363083.4000000004</v>
      </c>
      <c r="P424" s="7">
        <f t="shared" si="2271"/>
        <v>2344905.8300000005</v>
      </c>
      <c r="Q424" s="7">
        <f t="shared" si="2271"/>
        <v>2326728.2600000007</v>
      </c>
      <c r="R424" s="7">
        <f t="shared" si="2271"/>
        <v>2308550.6900000009</v>
      </c>
      <c r="S424" s="7">
        <f t="shared" si="2271"/>
        <v>2290373.120000001</v>
      </c>
      <c r="T424" s="7">
        <f t="shared" si="2271"/>
        <v>2272195.5500000012</v>
      </c>
      <c r="U424" s="7">
        <f t="shared" si="2271"/>
        <v>2254017.9800000014</v>
      </c>
      <c r="V424" s="7">
        <f t="shared" si="2271"/>
        <v>2235840.4100000015</v>
      </c>
      <c r="W424" s="7">
        <f t="shared" si="2271"/>
        <v>2217662.8400000017</v>
      </c>
      <c r="X424" s="7">
        <f t="shared" si="2271"/>
        <v>2199485.2700000019</v>
      </c>
      <c r="Y424" s="7">
        <f t="shared" si="2271"/>
        <v>2181307.700000002</v>
      </c>
      <c r="Z424" s="7">
        <f t="shared" si="2271"/>
        <v>2163130.1300000022</v>
      </c>
      <c r="AA424" s="7">
        <f t="shared" si="2187"/>
        <v>49988.302100000023</v>
      </c>
      <c r="AB424" s="7"/>
      <c r="AC424" s="7">
        <f t="shared" si="1985"/>
        <v>218130.84000000003</v>
      </c>
      <c r="AD424" s="7">
        <f t="shared" si="1986"/>
        <v>2144952.5600000024</v>
      </c>
      <c r="AE424" s="7">
        <f t="shared" si="2233"/>
        <v>2126774.9900000026</v>
      </c>
      <c r="AF424" s="7">
        <f t="shared" si="2233"/>
        <v>2108597.4200000027</v>
      </c>
      <c r="AG424" s="7">
        <f t="shared" si="2233"/>
        <v>2090419.8500000027</v>
      </c>
      <c r="AH424" s="7">
        <f t="shared" si="2233"/>
        <v>2072242.2800000026</v>
      </c>
      <c r="AI424" s="7">
        <f t="shared" si="2233"/>
        <v>2054064.7100000025</v>
      </c>
      <c r="AJ424" s="7">
        <f t="shared" si="2233"/>
        <v>2035887.1400000025</v>
      </c>
      <c r="AK424" s="7">
        <f t="shared" si="2233"/>
        <v>2017709.5700000024</v>
      </c>
      <c r="AL424" s="7">
        <f t="shared" si="2233"/>
        <v>1999532.0000000023</v>
      </c>
      <c r="AM424" s="7">
        <f t="shared" si="2233"/>
        <v>1981354.4300000023</v>
      </c>
      <c r="AN424" s="7">
        <f t="shared" si="2233"/>
        <v>1963176.8600000022</v>
      </c>
      <c r="AO424" s="7">
        <f t="shared" si="2233"/>
        <v>1944999.2900000021</v>
      </c>
      <c r="AP424" s="222">
        <f t="shared" si="2234"/>
        <v>45189.423620000052</v>
      </c>
      <c r="AQ424" s="7">
        <v>18177.570000000003</v>
      </c>
      <c r="AR424" s="7">
        <f t="shared" si="1987"/>
        <v>18177.570000000065</v>
      </c>
      <c r="AS424" s="7">
        <f t="shared" si="1988"/>
        <v>6.184563972055912E-11</v>
      </c>
      <c r="AT424" s="7">
        <f t="shared" si="2235"/>
        <v>218130.84000000003</v>
      </c>
      <c r="AU424" s="7">
        <f>AO424-$L424</f>
        <v>1926821.7200000021</v>
      </c>
      <c r="AV424" s="7">
        <f t="shared" si="2236"/>
        <v>1908644.150000002</v>
      </c>
      <c r="AW424" s="7">
        <f t="shared" si="2236"/>
        <v>1890466.5800000019</v>
      </c>
      <c r="AX424" s="7">
        <f t="shared" si="2236"/>
        <v>1872289.0100000019</v>
      </c>
      <c r="AY424" s="7">
        <f t="shared" si="2236"/>
        <v>1854111.4400000018</v>
      </c>
      <c r="AZ424" s="7">
        <f t="shared" si="2236"/>
        <v>1835933.8700000017</v>
      </c>
      <c r="BA424" s="7">
        <f t="shared" si="2236"/>
        <v>1817756.3000000017</v>
      </c>
      <c r="BB424" s="7">
        <f t="shared" si="2236"/>
        <v>1799578.7300000016</v>
      </c>
      <c r="BC424" s="7">
        <f t="shared" si="2236"/>
        <v>1781401.1600000015</v>
      </c>
      <c r="BD424" s="7">
        <f t="shared" si="2236"/>
        <v>1763223.5900000015</v>
      </c>
      <c r="BE424" s="7">
        <f t="shared" si="2236"/>
        <v>1745046.0200000014</v>
      </c>
      <c r="BF424" s="7">
        <f t="shared" si="2236"/>
        <v>1726868.4500000014</v>
      </c>
      <c r="BG424" s="236">
        <f t="shared" si="1983"/>
        <v>40390.545140000031</v>
      </c>
      <c r="BH424" s="7">
        <v>18177.570000000003</v>
      </c>
      <c r="BI424" s="39">
        <f>BH424*12</f>
        <v>218130.84000000003</v>
      </c>
      <c r="BJ424" s="7">
        <f>BF424-BH424</f>
        <v>1708690.8800000013</v>
      </c>
      <c r="BK424" s="7">
        <f t="shared" si="2237"/>
        <v>1690513.3100000012</v>
      </c>
      <c r="BL424" s="7">
        <f t="shared" ref="BL424" si="2272">BK424-$L424</f>
        <v>1672335.7400000012</v>
      </c>
      <c r="BM424" s="7">
        <f t="shared" ref="BM424" si="2273">BL424-$L424</f>
        <v>1654158.1700000011</v>
      </c>
      <c r="BN424" s="7">
        <f t="shared" ref="BN424" si="2274">BM424-$L424</f>
        <v>1635980.600000001</v>
      </c>
      <c r="BO424" s="7">
        <f t="shared" ref="BO424" si="2275">BN424-$L424</f>
        <v>1617803.030000001</v>
      </c>
      <c r="BP424" s="7">
        <f t="shared" ref="BP424" si="2276">BO424-$L424</f>
        <v>1599625.4600000009</v>
      </c>
      <c r="BQ424" s="7">
        <f t="shared" ref="BQ424" si="2277">BP424-$L424</f>
        <v>1581447.8900000008</v>
      </c>
      <c r="BR424" s="7">
        <f t="shared" ref="BR424" si="2278">BQ424-$L424</f>
        <v>1563270.3200000008</v>
      </c>
      <c r="BS424" s="7">
        <f t="shared" ref="BS424" si="2279">BR424-$L424</f>
        <v>1545092.7500000007</v>
      </c>
      <c r="BT424" s="7">
        <f t="shared" ref="BT424" si="2280">BS424-$L424</f>
        <v>1526915.1800000006</v>
      </c>
      <c r="BU424" s="7">
        <f t="shared" ref="BU424" si="2281">BT424-$L424</f>
        <v>1508737.6100000006</v>
      </c>
      <c r="BV424" s="236">
        <f t="shared" si="2189"/>
        <v>35591.666660000017</v>
      </c>
      <c r="BW424" s="7">
        <v>18177.570000000003</v>
      </c>
      <c r="BX424" s="39">
        <f>BW424*12</f>
        <v>218130.84000000003</v>
      </c>
      <c r="BY424" s="7">
        <f>BU424-BW424</f>
        <v>1490560.0400000005</v>
      </c>
      <c r="BZ424" s="7">
        <f t="shared" ref="BZ424" si="2282">BY424-$L424</f>
        <v>1472382.4700000004</v>
      </c>
      <c r="CA424" s="7">
        <f t="shared" ref="CA424" si="2283">BZ424-$L424</f>
        <v>1454204.9000000004</v>
      </c>
      <c r="CB424" s="7">
        <f t="shared" ref="CB424" si="2284">CA424-$L424</f>
        <v>1436027.3300000003</v>
      </c>
      <c r="CC424" s="7">
        <f t="shared" ref="CC424" si="2285">CB424-$L424</f>
        <v>1417849.7600000002</v>
      </c>
      <c r="CD424" s="7">
        <f t="shared" ref="CD424" si="2286">CC424-$L424</f>
        <v>1399672.1900000002</v>
      </c>
      <c r="CE424" s="7">
        <f t="shared" ref="CE424" si="2287">CD424-$L424</f>
        <v>1381494.62</v>
      </c>
      <c r="CF424" s="7">
        <f t="shared" ref="CF424" si="2288">CE424-$L424</f>
        <v>1363317.05</v>
      </c>
      <c r="CG424" s="7">
        <f t="shared" ref="CG424" si="2289">CF424-$L424</f>
        <v>1345139.48</v>
      </c>
      <c r="CH424" s="7">
        <f t="shared" ref="CH424" si="2290">CG424-$L424</f>
        <v>1326961.9099999999</v>
      </c>
      <c r="CI424" s="7">
        <f t="shared" ref="CI424" si="2291">CH424-$L424</f>
        <v>1308784.3399999999</v>
      </c>
      <c r="CJ424" s="7">
        <f t="shared" ref="CJ424" si="2292">CI424-$L424</f>
        <v>1290606.7699999998</v>
      </c>
      <c r="CK424" s="236">
        <f t="shared" si="2190"/>
        <v>30792.788180000003</v>
      </c>
      <c r="CL424" s="7">
        <v>18177.570000000003</v>
      </c>
      <c r="CM424" s="39">
        <f>CL424*12</f>
        <v>218130.84000000003</v>
      </c>
      <c r="CN424" s="7">
        <f>CJ424-CL424</f>
        <v>1272429.1999999997</v>
      </c>
      <c r="CO424" s="7">
        <f t="shared" ref="CO424" si="2293">CN424-$L424</f>
        <v>1254251.6299999997</v>
      </c>
      <c r="CP424" s="7">
        <f t="shared" ref="CP424" si="2294">CO424-$L424</f>
        <v>1236074.0599999996</v>
      </c>
      <c r="CQ424" s="7">
        <f t="shared" ref="CQ424" si="2295">CP424-$L424</f>
        <v>1217896.4899999995</v>
      </c>
      <c r="CR424" s="7">
        <f t="shared" ref="CR424" si="2296">CQ424-$L424</f>
        <v>1199718.9199999995</v>
      </c>
      <c r="CS424" s="7">
        <f t="shared" ref="CS424" si="2297">CR424-$L424</f>
        <v>1181541.3499999994</v>
      </c>
      <c r="CT424" s="7">
        <f t="shared" ref="CT424" si="2298">CS424-$L424</f>
        <v>1163363.7799999993</v>
      </c>
      <c r="CU424" s="7">
        <f t="shared" ref="CU424" si="2299">CT424-$L424</f>
        <v>1145186.2099999993</v>
      </c>
      <c r="CV424" s="7">
        <f t="shared" ref="CV424" si="2300">CU424-$L424</f>
        <v>1127008.6399999992</v>
      </c>
      <c r="CW424" s="7">
        <f t="shared" ref="CW424" si="2301">CV424-$L424</f>
        <v>1108831.0699999991</v>
      </c>
      <c r="CX424" s="7">
        <f t="shared" ref="CX424" si="2302">CW424-$L424</f>
        <v>1090653.4999999991</v>
      </c>
      <c r="CY424" s="7">
        <f t="shared" ref="CY424" si="2303">CX424-$L424</f>
        <v>1072475.929999999</v>
      </c>
      <c r="CZ424" s="236">
        <f t="shared" si="2191"/>
        <v>25993.909699999978</v>
      </c>
    </row>
    <row r="425" spans="1:104" x14ac:dyDescent="0.2">
      <c r="A425" s="6" t="str">
        <f>'[1]2021 УГРЦТ'!A428</f>
        <v>ТП №87 "Промзона в районе аэропорта" 2008г</v>
      </c>
      <c r="B425" t="str">
        <f>'[1]2021 УГРЦТ'!B428</f>
        <v>00001092</v>
      </c>
      <c r="C425" t="str">
        <f>'[1]2021 УГРЦТ'!C428</f>
        <v>ПЕРЕДАЧА</v>
      </c>
      <c r="D425" t="str">
        <f>'[1]2021 УГРЦТ'!D428</f>
        <v>Сооружения</v>
      </c>
      <c r="E425" t="str">
        <f>'[1]2021 УГРЦТ'!E428</f>
        <v>30.09.2008</v>
      </c>
      <c r="F425" t="str">
        <f>'[1]2021 УГРЦТ'!F428</f>
        <v>Цех электрических сетей</v>
      </c>
      <c r="G425">
        <f>'[1]2021 УГРЦТ'!AC428</f>
        <v>180</v>
      </c>
      <c r="H425" s="7">
        <f>'[1]2021 УГРЦТ'!X428</f>
        <v>614430.39</v>
      </c>
      <c r="I425" s="7">
        <f>'[1]2021 УГРЦТ'!Y428</f>
        <v>542746.52599999995</v>
      </c>
      <c r="J425" s="7">
        <f>'[1]2021 УГРЦТ'!Z428</f>
        <v>71683.86400000006</v>
      </c>
      <c r="K425" s="8">
        <v>1</v>
      </c>
      <c r="L425" s="7">
        <v>3413.5</v>
      </c>
      <c r="M425" s="7"/>
      <c r="N425" s="7">
        <f t="shared" si="2270"/>
        <v>40962</v>
      </c>
      <c r="O425" s="7">
        <f t="shared" si="1984"/>
        <v>68270.36400000006</v>
      </c>
      <c r="P425" s="7">
        <f t="shared" si="2271"/>
        <v>64856.86400000006</v>
      </c>
      <c r="Q425" s="7">
        <f t="shared" si="2271"/>
        <v>61443.36400000006</v>
      </c>
      <c r="R425" s="7">
        <f t="shared" si="2271"/>
        <v>58029.86400000006</v>
      </c>
      <c r="S425" s="7">
        <f t="shared" si="2271"/>
        <v>54616.36400000006</v>
      </c>
      <c r="T425" s="7">
        <f t="shared" si="2271"/>
        <v>51202.86400000006</v>
      </c>
      <c r="U425" s="7">
        <f t="shared" si="2271"/>
        <v>47789.36400000006</v>
      </c>
      <c r="V425" s="7">
        <f t="shared" si="2271"/>
        <v>44375.86400000006</v>
      </c>
      <c r="W425" s="7">
        <f t="shared" si="2271"/>
        <v>40962.36400000006</v>
      </c>
      <c r="X425" s="7">
        <f t="shared" si="2271"/>
        <v>37548.86400000006</v>
      </c>
      <c r="Y425" s="7">
        <f t="shared" si="2271"/>
        <v>34135.36400000006</v>
      </c>
      <c r="Z425" s="7">
        <f t="shared" si="2271"/>
        <v>30721.86400000006</v>
      </c>
      <c r="AA425" s="7">
        <f t="shared" si="2187"/>
        <v>1126.4630080000013</v>
      </c>
      <c r="AB425" s="7"/>
      <c r="AC425" s="7">
        <f>L425*9+0.36</f>
        <v>30721.86</v>
      </c>
      <c r="AD425" s="7">
        <f t="shared" si="1986"/>
        <v>27308.36400000006</v>
      </c>
      <c r="AE425" s="7">
        <f t="shared" si="2233"/>
        <v>23894.86400000006</v>
      </c>
      <c r="AF425" s="7">
        <f t="shared" si="2233"/>
        <v>20481.36400000006</v>
      </c>
      <c r="AG425" s="7">
        <f t="shared" si="2233"/>
        <v>17067.86400000006</v>
      </c>
      <c r="AH425" s="7">
        <f t="shared" si="2233"/>
        <v>13654.36400000006</v>
      </c>
      <c r="AI425" s="7">
        <f t="shared" si="2233"/>
        <v>10240.86400000006</v>
      </c>
      <c r="AJ425" s="7">
        <f t="shared" si="2233"/>
        <v>6827.3640000000596</v>
      </c>
      <c r="AK425" s="7">
        <f t="shared" si="2233"/>
        <v>3413.8640000000596</v>
      </c>
      <c r="AL425" s="7">
        <f t="shared" si="2233"/>
        <v>0.36400000005960464</v>
      </c>
      <c r="AM425" s="7"/>
      <c r="AN425" s="7"/>
      <c r="AO425" s="7"/>
      <c r="AP425" s="222">
        <f t="shared" si="2234"/>
        <v>259.95731384615488</v>
      </c>
      <c r="AQ425" s="7">
        <v>3413.5</v>
      </c>
      <c r="AR425" s="7"/>
      <c r="AS425" s="7"/>
      <c r="BG425" s="236">
        <f t="shared" si="1983"/>
        <v>0</v>
      </c>
      <c r="BH425" s="7">
        <v>3413.5</v>
      </c>
      <c r="BV425" s="236">
        <f t="shared" si="2189"/>
        <v>0</v>
      </c>
      <c r="BW425" s="7">
        <v>3413.5</v>
      </c>
      <c r="CK425" s="236">
        <f t="shared" si="2190"/>
        <v>0</v>
      </c>
      <c r="CL425" s="7">
        <v>3413.5</v>
      </c>
      <c r="CZ425" s="236">
        <f t="shared" si="2191"/>
        <v>0</v>
      </c>
    </row>
    <row r="426" spans="1:104" x14ac:dyDescent="0.2">
      <c r="A426" s="6" t="str">
        <f>'[1]2021 УГРЦТ'!A429</f>
        <v>ТП №89 ул Россихина 2010г</v>
      </c>
      <c r="B426" t="str">
        <f>'[1]2021 УГРЦТ'!B429</f>
        <v>00001235</v>
      </c>
      <c r="C426" t="str">
        <f>'[1]2021 УГРЦТ'!C429</f>
        <v>ПЕРЕДАЧА</v>
      </c>
      <c r="D426" t="str">
        <f>'[1]2021 УГРЦТ'!D429</f>
        <v>Сооружения</v>
      </c>
      <c r="E426" t="str">
        <f>'[1]2021 УГРЦТ'!E429</f>
        <v>31.08.2010</v>
      </c>
      <c r="F426" t="str">
        <f>'[1]2021 УГРЦТ'!F429</f>
        <v>Цех электрических сетей</v>
      </c>
      <c r="G426">
        <f>'[1]2021 УГРЦТ'!AC429</f>
        <v>240</v>
      </c>
      <c r="H426" s="7">
        <f>'[1]2021 УГРЦТ'!X429</f>
        <v>1032832</v>
      </c>
      <c r="I426" s="7">
        <f>'[1]2021 УГРЦТ'!Y429</f>
        <v>585271.88</v>
      </c>
      <c r="J426" s="7">
        <f>'[1]2021 УГРЦТ'!Z429</f>
        <v>447560.12</v>
      </c>
      <c r="K426" s="8">
        <v>1</v>
      </c>
      <c r="L426" s="7">
        <v>4303.47</v>
      </c>
      <c r="M426" s="7"/>
      <c r="N426" s="7">
        <f t="shared" si="2270"/>
        <v>51641.64</v>
      </c>
      <c r="O426" s="7">
        <f t="shared" si="1984"/>
        <v>443256.65</v>
      </c>
      <c r="P426" s="7">
        <f t="shared" si="2271"/>
        <v>438953.18000000005</v>
      </c>
      <c r="Q426" s="7">
        <f t="shared" si="2271"/>
        <v>434649.71000000008</v>
      </c>
      <c r="R426" s="7">
        <f t="shared" si="2271"/>
        <v>430346.24000000011</v>
      </c>
      <c r="S426" s="7">
        <f t="shared" si="2271"/>
        <v>426042.77000000014</v>
      </c>
      <c r="T426" s="7">
        <f t="shared" si="2271"/>
        <v>421739.30000000016</v>
      </c>
      <c r="U426" s="7">
        <f t="shared" si="2271"/>
        <v>417435.83000000019</v>
      </c>
      <c r="V426" s="7">
        <f t="shared" si="2271"/>
        <v>413132.36000000022</v>
      </c>
      <c r="W426" s="7">
        <f t="shared" si="2271"/>
        <v>408828.89000000025</v>
      </c>
      <c r="X426" s="7">
        <f t="shared" si="2271"/>
        <v>404525.42000000027</v>
      </c>
      <c r="Y426" s="7">
        <f t="shared" si="2271"/>
        <v>400221.9500000003</v>
      </c>
      <c r="Z426" s="7">
        <f t="shared" si="2271"/>
        <v>395918.48000000033</v>
      </c>
      <c r="AA426" s="7">
        <f t="shared" si="2187"/>
        <v>9278.2646000000022</v>
      </c>
      <c r="AB426" s="7"/>
      <c r="AC426" s="7">
        <f t="shared" si="1985"/>
        <v>51641.64</v>
      </c>
      <c r="AD426" s="7">
        <f t="shared" si="1986"/>
        <v>391615.01000000036</v>
      </c>
      <c r="AE426" s="7">
        <f t="shared" si="2233"/>
        <v>387311.54000000039</v>
      </c>
      <c r="AF426" s="7">
        <f t="shared" si="2233"/>
        <v>383008.07000000041</v>
      </c>
      <c r="AG426" s="7">
        <f t="shared" si="2233"/>
        <v>378704.60000000044</v>
      </c>
      <c r="AH426" s="7">
        <f t="shared" si="2233"/>
        <v>374401.13000000047</v>
      </c>
      <c r="AI426" s="7">
        <f t="shared" si="2233"/>
        <v>370097.6600000005</v>
      </c>
      <c r="AJ426" s="7">
        <f t="shared" si="2233"/>
        <v>365794.19000000053</v>
      </c>
      <c r="AK426" s="7">
        <f t="shared" si="2233"/>
        <v>361490.72000000055</v>
      </c>
      <c r="AL426" s="7">
        <f t="shared" si="2233"/>
        <v>357187.25000000058</v>
      </c>
      <c r="AM426" s="7">
        <f t="shared" si="2233"/>
        <v>352883.78000000061</v>
      </c>
      <c r="AN426" s="7">
        <f t="shared" si="2233"/>
        <v>348580.31000000064</v>
      </c>
      <c r="AO426" s="7">
        <f t="shared" si="2233"/>
        <v>344276.84000000067</v>
      </c>
      <c r="AP426" s="222">
        <f t="shared" si="2234"/>
        <v>8142.1485200000106</v>
      </c>
      <c r="AQ426" s="7">
        <v>4303.47</v>
      </c>
      <c r="AR426" s="7">
        <f t="shared" si="1987"/>
        <v>4303.4699999999721</v>
      </c>
      <c r="AS426" s="7">
        <f t="shared" si="1988"/>
        <v>-2.8194335754960775E-11</v>
      </c>
      <c r="AT426" s="7">
        <f t="shared" ref="AT426:AT430" si="2304">L426*12</f>
        <v>51641.64</v>
      </c>
      <c r="AU426" s="7">
        <f>AO426-$L426</f>
        <v>339973.37000000069</v>
      </c>
      <c r="AV426" s="7">
        <f t="shared" ref="AV426:BF430" si="2305">AU426-$L426</f>
        <v>335669.90000000072</v>
      </c>
      <c r="AW426" s="7">
        <f t="shared" si="2305"/>
        <v>331366.43000000075</v>
      </c>
      <c r="AX426" s="7">
        <f t="shared" si="2305"/>
        <v>327062.96000000078</v>
      </c>
      <c r="AY426" s="7">
        <f t="shared" si="2305"/>
        <v>322759.49000000081</v>
      </c>
      <c r="AZ426" s="7">
        <f t="shared" si="2305"/>
        <v>318456.02000000083</v>
      </c>
      <c r="BA426" s="7">
        <f t="shared" si="2305"/>
        <v>314152.55000000086</v>
      </c>
      <c r="BB426" s="7">
        <f t="shared" si="2305"/>
        <v>309849.08000000089</v>
      </c>
      <c r="BC426" s="7">
        <f t="shared" si="2305"/>
        <v>305545.61000000092</v>
      </c>
      <c r="BD426" s="7">
        <f t="shared" si="2305"/>
        <v>301242.14000000095</v>
      </c>
      <c r="BE426" s="7">
        <f t="shared" si="2305"/>
        <v>296938.67000000097</v>
      </c>
      <c r="BF426" s="7">
        <f t="shared" si="2305"/>
        <v>292635.200000001</v>
      </c>
      <c r="BG426" s="236">
        <f t="shared" si="1983"/>
        <v>7006.0324400000181</v>
      </c>
      <c r="BH426" s="7">
        <v>4303.47</v>
      </c>
      <c r="BI426" s="39">
        <f>BH426*12</f>
        <v>51641.64</v>
      </c>
      <c r="BJ426" s="7">
        <f>BF426-BH426</f>
        <v>288331.73000000103</v>
      </c>
      <c r="BK426" s="7">
        <f t="shared" ref="BK426:BK430" si="2306">BJ426-$L426</f>
        <v>284028.26000000106</v>
      </c>
      <c r="BL426" s="7">
        <f t="shared" ref="BL426:BL430" si="2307">BK426-$L426</f>
        <v>279724.79000000108</v>
      </c>
      <c r="BM426" s="7">
        <f t="shared" ref="BM426:BM430" si="2308">BL426-$L426</f>
        <v>275421.32000000111</v>
      </c>
      <c r="BN426" s="7">
        <f t="shared" ref="BN426:BN430" si="2309">BM426-$L426</f>
        <v>271117.85000000114</v>
      </c>
      <c r="BO426" s="7">
        <f t="shared" ref="BO426:BO430" si="2310">BN426-$L426</f>
        <v>266814.38000000117</v>
      </c>
      <c r="BP426" s="7">
        <f t="shared" ref="BP426:BP430" si="2311">BO426-$L426</f>
        <v>262510.9100000012</v>
      </c>
      <c r="BQ426" s="7">
        <f t="shared" ref="BQ426:BQ430" si="2312">BP426-$L426</f>
        <v>258207.4400000012</v>
      </c>
      <c r="BR426" s="7">
        <f t="shared" ref="BR426:BR430" si="2313">BQ426-$L426</f>
        <v>253903.97000000119</v>
      </c>
      <c r="BS426" s="7">
        <f t="shared" ref="BS426:BS430" si="2314">BR426-$L426</f>
        <v>249600.50000000119</v>
      </c>
      <c r="BT426" s="7">
        <f t="shared" ref="BT426:BT430" si="2315">BS426-$L426</f>
        <v>245297.03000000119</v>
      </c>
      <c r="BU426" s="7">
        <f t="shared" ref="BU426:BU430" si="2316">BT426-$L426</f>
        <v>240993.56000000119</v>
      </c>
      <c r="BV426" s="236">
        <f t="shared" si="2189"/>
        <v>5869.9163600000256</v>
      </c>
      <c r="BW426" s="7">
        <v>4303.47</v>
      </c>
      <c r="BX426" s="39">
        <f>BW426*12</f>
        <v>51641.64</v>
      </c>
      <c r="BY426" s="7">
        <f>BU426-BW426</f>
        <v>236690.09000000119</v>
      </c>
      <c r="BZ426" s="7">
        <f t="shared" ref="BZ426" si="2317">BY426-$L426</f>
        <v>232386.62000000119</v>
      </c>
      <c r="CA426" s="7">
        <f t="shared" ref="CA426" si="2318">BZ426-$L426</f>
        <v>228083.15000000119</v>
      </c>
      <c r="CB426" s="7">
        <f t="shared" ref="CB426" si="2319">CA426-$L426</f>
        <v>223779.68000000119</v>
      </c>
      <c r="CC426" s="7">
        <f t="shared" ref="CC426" si="2320">CB426-$L426</f>
        <v>219476.21000000119</v>
      </c>
      <c r="CD426" s="7">
        <f t="shared" ref="CD426" si="2321">CC426-$L426</f>
        <v>215172.74000000118</v>
      </c>
      <c r="CE426" s="7">
        <f t="shared" ref="CE426" si="2322">CD426-$L426</f>
        <v>210869.27000000118</v>
      </c>
      <c r="CF426" s="7">
        <f t="shared" ref="CF426" si="2323">CE426-$L426</f>
        <v>206565.80000000118</v>
      </c>
      <c r="CG426" s="7">
        <f t="shared" ref="CG426" si="2324">CF426-$L426</f>
        <v>202262.33000000118</v>
      </c>
      <c r="CH426" s="7">
        <f t="shared" ref="CH426" si="2325">CG426-$L426</f>
        <v>197958.86000000118</v>
      </c>
      <c r="CI426" s="7">
        <f t="shared" ref="CI426" si="2326">CH426-$L426</f>
        <v>193655.39000000118</v>
      </c>
      <c r="CJ426" s="7">
        <f t="shared" ref="CJ426" si="2327">CI426-$L426</f>
        <v>189351.92000000118</v>
      </c>
      <c r="CK426" s="236">
        <f t="shared" si="2190"/>
        <v>4733.8002800000259</v>
      </c>
      <c r="CL426" s="7">
        <v>4303.47</v>
      </c>
      <c r="CM426" s="39">
        <f>CL426*12</f>
        <v>51641.64</v>
      </c>
      <c r="CN426" s="7">
        <f>CJ426-CL426</f>
        <v>185048.45000000118</v>
      </c>
      <c r="CO426" s="7">
        <f t="shared" ref="CO426" si="2328">CN426-$L426</f>
        <v>180744.98000000117</v>
      </c>
      <c r="CP426" s="7">
        <f t="shared" ref="CP426" si="2329">CO426-$L426</f>
        <v>176441.51000000117</v>
      </c>
      <c r="CQ426" s="7">
        <f t="shared" ref="CQ426" si="2330">CP426-$L426</f>
        <v>172138.04000000117</v>
      </c>
      <c r="CR426" s="7">
        <f t="shared" ref="CR426" si="2331">CQ426-$L426</f>
        <v>167834.57000000117</v>
      </c>
      <c r="CS426" s="7">
        <f t="shared" ref="CS426" si="2332">CR426-$L426</f>
        <v>163531.10000000117</v>
      </c>
      <c r="CT426" s="7">
        <f t="shared" ref="CT426" si="2333">CS426-$L426</f>
        <v>159227.63000000117</v>
      </c>
      <c r="CU426" s="7">
        <f t="shared" ref="CU426" si="2334">CT426-$L426</f>
        <v>154924.16000000117</v>
      </c>
      <c r="CV426" s="7">
        <f t="shared" ref="CV426" si="2335">CU426-$L426</f>
        <v>150620.69000000117</v>
      </c>
      <c r="CW426" s="7">
        <f t="shared" ref="CW426" si="2336">CV426-$L426</f>
        <v>146317.22000000117</v>
      </c>
      <c r="CX426" s="7">
        <f t="shared" ref="CX426" si="2337">CW426-$L426</f>
        <v>142013.75000000116</v>
      </c>
      <c r="CY426" s="7">
        <f t="shared" ref="CY426" si="2338">CX426-$L426</f>
        <v>137710.28000000116</v>
      </c>
      <c r="CZ426" s="236">
        <f t="shared" si="2191"/>
        <v>3597.6842000000256</v>
      </c>
    </row>
    <row r="427" spans="1:104" x14ac:dyDescent="0.2">
      <c r="A427" s="6" t="str">
        <f>'[1]2021 УГРЦТ'!A430</f>
        <v>ТП №9 ул Октябрьская 17  1966г.</v>
      </c>
      <c r="B427" t="str">
        <f>'[1]2021 УГРЦТ'!B430</f>
        <v>00000137</v>
      </c>
      <c r="C427" t="str">
        <f>'[1]2021 УГРЦТ'!C430</f>
        <v>ПЕРЕДАЧА</v>
      </c>
      <c r="D427" t="str">
        <f>'[1]2021 УГРЦТ'!D430</f>
        <v>Здания</v>
      </c>
      <c r="E427" t="str">
        <f>'[1]2021 УГРЦТ'!E430</f>
        <v>31.01.1966</v>
      </c>
      <c r="F427" t="str">
        <f>'[1]2021 УГРЦТ'!F430</f>
        <v>Цех электрических сетей</v>
      </c>
      <c r="G427">
        <f>'[1]2021 УГРЦТ'!AC430</f>
        <v>708</v>
      </c>
      <c r="H427" s="7">
        <f>'[1]2021 УГРЦТ'!X430</f>
        <v>28452</v>
      </c>
      <c r="I427" s="7">
        <f>'[1]2021 УГРЦТ'!Y430</f>
        <v>26937.387288135596</v>
      </c>
      <c r="J427" s="7">
        <f>'[1]2021 УГРЦТ'!Z430</f>
        <v>1514.6127118644035</v>
      </c>
      <c r="K427" s="8">
        <v>1</v>
      </c>
      <c r="L427" s="7">
        <v>40.19</v>
      </c>
      <c r="M427" s="7"/>
      <c r="N427" s="7">
        <f t="shared" si="2270"/>
        <v>482.28</v>
      </c>
      <c r="O427" s="7">
        <f t="shared" si="1984"/>
        <v>1474.4227118644035</v>
      </c>
      <c r="P427" s="7">
        <f t="shared" si="2271"/>
        <v>1434.2327118644034</v>
      </c>
      <c r="Q427" s="7">
        <f t="shared" si="2271"/>
        <v>1394.0427118644034</v>
      </c>
      <c r="R427" s="7">
        <f t="shared" si="2271"/>
        <v>1353.8527118644033</v>
      </c>
      <c r="S427" s="7">
        <f t="shared" si="2271"/>
        <v>1313.6627118644033</v>
      </c>
      <c r="T427" s="7">
        <f t="shared" si="2271"/>
        <v>1273.4727118644032</v>
      </c>
      <c r="U427" s="7">
        <f t="shared" si="2271"/>
        <v>1233.2827118644032</v>
      </c>
      <c r="V427" s="7">
        <f t="shared" si="2271"/>
        <v>1193.0927118644031</v>
      </c>
      <c r="W427" s="7">
        <f t="shared" si="2271"/>
        <v>1152.902711864403</v>
      </c>
      <c r="X427" s="7">
        <f t="shared" si="2271"/>
        <v>1112.712711864403</v>
      </c>
      <c r="Y427" s="7">
        <f t="shared" si="2271"/>
        <v>1072.5227118644029</v>
      </c>
      <c r="Z427" s="7">
        <f t="shared" si="2271"/>
        <v>1032.3327118644029</v>
      </c>
      <c r="AA427" s="7">
        <f t="shared" si="2187"/>
        <v>28.01639966101687</v>
      </c>
      <c r="AB427" s="7"/>
      <c r="AC427" s="7">
        <f t="shared" si="1985"/>
        <v>482.28</v>
      </c>
      <c r="AD427" s="7">
        <f t="shared" si="1986"/>
        <v>992.14271186440283</v>
      </c>
      <c r="AE427" s="7">
        <f t="shared" si="2233"/>
        <v>951.95271186440277</v>
      </c>
      <c r="AF427" s="7">
        <f t="shared" si="2233"/>
        <v>911.76271186440272</v>
      </c>
      <c r="AG427" s="7">
        <f t="shared" si="2233"/>
        <v>871.57271186440266</v>
      </c>
      <c r="AH427" s="7">
        <f t="shared" si="2233"/>
        <v>831.38271186440261</v>
      </c>
      <c r="AI427" s="7">
        <f t="shared" si="2233"/>
        <v>791.19271186440255</v>
      </c>
      <c r="AJ427" s="7">
        <f t="shared" si="2233"/>
        <v>751.0027118644025</v>
      </c>
      <c r="AK427" s="7">
        <f t="shared" si="2233"/>
        <v>710.81271186440244</v>
      </c>
      <c r="AL427" s="7">
        <f t="shared" si="2233"/>
        <v>670.62271186440239</v>
      </c>
      <c r="AM427" s="7">
        <f t="shared" si="2233"/>
        <v>630.43271186440234</v>
      </c>
      <c r="AN427" s="7">
        <f t="shared" si="2233"/>
        <v>590.24271186440228</v>
      </c>
      <c r="AO427" s="7">
        <f t="shared" si="2233"/>
        <v>550.05271186440223</v>
      </c>
      <c r="AP427" s="222">
        <f t="shared" si="2234"/>
        <v>17.406239661016851</v>
      </c>
      <c r="AQ427" s="7">
        <v>40.19</v>
      </c>
      <c r="AR427" s="7">
        <f t="shared" si="1987"/>
        <v>40.190000000000055</v>
      </c>
      <c r="AS427" s="7">
        <f t="shared" si="1988"/>
        <v>5.6843418860808015E-14</v>
      </c>
      <c r="AT427" s="7">
        <f t="shared" si="2304"/>
        <v>482.28</v>
      </c>
      <c r="AU427" s="7">
        <f>AO427-$L427</f>
        <v>509.86271186440223</v>
      </c>
      <c r="AV427" s="7">
        <f t="shared" si="2305"/>
        <v>469.67271186440223</v>
      </c>
      <c r="AW427" s="7">
        <f t="shared" si="2305"/>
        <v>429.48271186440223</v>
      </c>
      <c r="AX427" s="7">
        <f t="shared" si="2305"/>
        <v>389.29271186440224</v>
      </c>
      <c r="AY427" s="7">
        <f t="shared" si="2305"/>
        <v>349.10271186440224</v>
      </c>
      <c r="AZ427" s="7">
        <f t="shared" si="2305"/>
        <v>308.91271186440224</v>
      </c>
      <c r="BA427" s="7">
        <f t="shared" si="2305"/>
        <v>268.72271186440224</v>
      </c>
      <c r="BB427" s="7">
        <f t="shared" si="2305"/>
        <v>228.53271186440224</v>
      </c>
      <c r="BC427" s="7">
        <f t="shared" si="2305"/>
        <v>188.34271186440225</v>
      </c>
      <c r="BD427" s="7">
        <f t="shared" si="2305"/>
        <v>148.15271186440225</v>
      </c>
      <c r="BE427" s="7">
        <f t="shared" si="2305"/>
        <v>107.96271186440225</v>
      </c>
      <c r="BF427" s="7">
        <f t="shared" si="2305"/>
        <v>67.772711864402254</v>
      </c>
      <c r="BG427" s="236">
        <f t="shared" si="1983"/>
        <v>6.796079661016849</v>
      </c>
      <c r="BH427" s="7">
        <v>40.19</v>
      </c>
      <c r="BI427" s="39">
        <v>67.77</v>
      </c>
      <c r="BJ427" s="7">
        <f>BF427-BH427</f>
        <v>27.582711864402256</v>
      </c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236">
        <f t="shared" si="2189"/>
        <v>0.16137071707951534</v>
      </c>
      <c r="BW427" s="7">
        <v>40.19</v>
      </c>
      <c r="BX427" s="39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236">
        <f t="shared" si="2190"/>
        <v>0</v>
      </c>
      <c r="CL427" s="7">
        <v>40.19</v>
      </c>
      <c r="CM427" s="39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236">
        <f t="shared" si="2191"/>
        <v>0</v>
      </c>
    </row>
    <row r="428" spans="1:104" x14ac:dyDescent="0.2">
      <c r="A428" s="6" t="str">
        <f>'[1]2021 УГРЦТ'!A431</f>
        <v>ТП №90 м-н Старый аэропорт(КТППК-В-400/6У1)</v>
      </c>
      <c r="B428" t="str">
        <f>'[1]2021 УГРЦТ'!B431</f>
        <v>000001492</v>
      </c>
      <c r="C428" t="str">
        <f>'[1]2021 УГРЦТ'!C431</f>
        <v>ПЕРЕДАЧА</v>
      </c>
      <c r="D428" t="str">
        <f>'[1]2021 УГРЦТ'!D431</f>
        <v>Сооружения</v>
      </c>
      <c r="E428" t="str">
        <f>'[1]2021 УГРЦТ'!E431</f>
        <v>31.10.2012</v>
      </c>
      <c r="F428" t="str">
        <f>'[1]2021 УГРЦТ'!F431</f>
        <v>Цех электрических сетей</v>
      </c>
      <c r="G428">
        <f>'[1]2021 УГРЦТ'!AC431</f>
        <v>238</v>
      </c>
      <c r="H428" s="7">
        <f>'[1]2021 УГРЦТ'!X431</f>
        <v>1978919</v>
      </c>
      <c r="I428" s="7">
        <f>'[1]2021 УГРЦТ'!Y431</f>
        <v>914626.84857142856</v>
      </c>
      <c r="J428" s="7">
        <f>'[1]2021 УГРЦТ'!Z431</f>
        <v>1064292.1514285714</v>
      </c>
      <c r="K428" s="8">
        <v>1</v>
      </c>
      <c r="L428" s="7">
        <v>8314.7900000000027</v>
      </c>
      <c r="M428" s="7"/>
      <c r="N428" s="7">
        <f t="shared" si="2270"/>
        <v>99777.48000000004</v>
      </c>
      <c r="O428" s="7">
        <f t="shared" si="1984"/>
        <v>1055977.3614285714</v>
      </c>
      <c r="P428" s="7">
        <f t="shared" si="2271"/>
        <v>1047662.5714285714</v>
      </c>
      <c r="Q428" s="7">
        <f t="shared" si="2271"/>
        <v>1039347.7814285713</v>
      </c>
      <c r="R428" s="7">
        <f t="shared" si="2271"/>
        <v>1031032.9914285713</v>
      </c>
      <c r="S428" s="7">
        <f t="shared" si="2271"/>
        <v>1022718.2014285713</v>
      </c>
      <c r="T428" s="7">
        <f t="shared" si="2271"/>
        <v>1014403.4114285712</v>
      </c>
      <c r="U428" s="7">
        <f t="shared" si="2271"/>
        <v>1006088.6214285712</v>
      </c>
      <c r="V428" s="7">
        <f t="shared" si="2271"/>
        <v>997773.83142857114</v>
      </c>
      <c r="W428" s="7">
        <f t="shared" si="2271"/>
        <v>989459.0414285711</v>
      </c>
      <c r="X428" s="7">
        <f t="shared" si="2271"/>
        <v>981144.25142857106</v>
      </c>
      <c r="Y428" s="7">
        <f t="shared" si="2271"/>
        <v>972829.46142857103</v>
      </c>
      <c r="Z428" s="7">
        <f t="shared" si="2271"/>
        <v>964514.67142857099</v>
      </c>
      <c r="AA428" s="7">
        <f t="shared" si="2187"/>
        <v>22316.875051428564</v>
      </c>
      <c r="AB428" s="7"/>
      <c r="AC428" s="7">
        <f t="shared" si="1985"/>
        <v>99777.48000000004</v>
      </c>
      <c r="AD428" s="7">
        <f t="shared" si="1986"/>
        <v>956199.88142857095</v>
      </c>
      <c r="AE428" s="7">
        <f t="shared" si="2233"/>
        <v>947885.09142857092</v>
      </c>
      <c r="AF428" s="7">
        <f t="shared" si="2233"/>
        <v>939570.30142857088</v>
      </c>
      <c r="AG428" s="7">
        <f t="shared" si="2233"/>
        <v>931255.51142857084</v>
      </c>
      <c r="AH428" s="7">
        <f t="shared" si="2233"/>
        <v>922940.7214285708</v>
      </c>
      <c r="AI428" s="7">
        <f t="shared" si="2233"/>
        <v>914625.93142857077</v>
      </c>
      <c r="AJ428" s="7">
        <f t="shared" si="2233"/>
        <v>906311.14142857073</v>
      </c>
      <c r="AK428" s="7">
        <f t="shared" si="2233"/>
        <v>897996.35142857069</v>
      </c>
      <c r="AL428" s="7">
        <f t="shared" si="2233"/>
        <v>889681.56142857065</v>
      </c>
      <c r="AM428" s="7">
        <f t="shared" si="2233"/>
        <v>881366.77142857062</v>
      </c>
      <c r="AN428" s="7">
        <f t="shared" si="2233"/>
        <v>873051.98142857058</v>
      </c>
      <c r="AO428" s="7">
        <f t="shared" si="2233"/>
        <v>864737.19142857054</v>
      </c>
      <c r="AP428" s="222">
        <f t="shared" si="2234"/>
        <v>20121.770491428557</v>
      </c>
      <c r="AQ428" s="7">
        <v>8314.7900000000027</v>
      </c>
      <c r="AR428" s="7">
        <f t="shared" si="1987"/>
        <v>8314.7900000000373</v>
      </c>
      <c r="AS428" s="7">
        <f t="shared" si="1988"/>
        <v>3.4560798667371273E-11</v>
      </c>
      <c r="AT428" s="7">
        <f t="shared" si="2304"/>
        <v>99777.48000000004</v>
      </c>
      <c r="AU428" s="7">
        <f>AO428-$L428</f>
        <v>856422.40142857051</v>
      </c>
      <c r="AV428" s="7">
        <f t="shared" si="2305"/>
        <v>848107.61142857047</v>
      </c>
      <c r="AW428" s="7">
        <f t="shared" si="2305"/>
        <v>839792.82142857043</v>
      </c>
      <c r="AX428" s="7">
        <f t="shared" si="2305"/>
        <v>831478.03142857039</v>
      </c>
      <c r="AY428" s="7">
        <f t="shared" si="2305"/>
        <v>823163.24142857036</v>
      </c>
      <c r="AZ428" s="7">
        <f t="shared" si="2305"/>
        <v>814848.45142857032</v>
      </c>
      <c r="BA428" s="7">
        <f t="shared" si="2305"/>
        <v>806533.66142857028</v>
      </c>
      <c r="BB428" s="7">
        <f t="shared" si="2305"/>
        <v>798218.87142857024</v>
      </c>
      <c r="BC428" s="7">
        <f t="shared" si="2305"/>
        <v>789904.08142857021</v>
      </c>
      <c r="BD428" s="7">
        <f t="shared" si="2305"/>
        <v>781589.29142857017</v>
      </c>
      <c r="BE428" s="7">
        <f t="shared" si="2305"/>
        <v>773274.50142857013</v>
      </c>
      <c r="BF428" s="7">
        <f t="shared" si="2305"/>
        <v>764959.7114285701</v>
      </c>
      <c r="BG428" s="236">
        <f t="shared" si="1983"/>
        <v>17926.665931428546</v>
      </c>
      <c r="BH428" s="7">
        <v>8314.7900000000027</v>
      </c>
      <c r="BI428" s="39">
        <f>BH428*12</f>
        <v>99777.48000000004</v>
      </c>
      <c r="BJ428" s="7">
        <f>BF428-BH428</f>
        <v>756644.92142857006</v>
      </c>
      <c r="BK428" s="7">
        <f t="shared" si="2306"/>
        <v>748330.13142857002</v>
      </c>
      <c r="BL428" s="7">
        <f t="shared" si="2307"/>
        <v>740015.34142856998</v>
      </c>
      <c r="BM428" s="7">
        <f t="shared" si="2308"/>
        <v>731700.55142856995</v>
      </c>
      <c r="BN428" s="7">
        <f t="shared" si="2309"/>
        <v>723385.76142856991</v>
      </c>
      <c r="BO428" s="7">
        <f t="shared" si="2310"/>
        <v>715070.97142856987</v>
      </c>
      <c r="BP428" s="7">
        <f t="shared" si="2311"/>
        <v>706756.18142856983</v>
      </c>
      <c r="BQ428" s="7">
        <f t="shared" si="2312"/>
        <v>698441.3914285698</v>
      </c>
      <c r="BR428" s="7">
        <f t="shared" si="2313"/>
        <v>690126.60142856976</v>
      </c>
      <c r="BS428" s="7">
        <f t="shared" si="2314"/>
        <v>681811.81142856972</v>
      </c>
      <c r="BT428" s="7">
        <f t="shared" si="2315"/>
        <v>673497.02142856969</v>
      </c>
      <c r="BU428" s="7">
        <f t="shared" si="2316"/>
        <v>665182.23142856965</v>
      </c>
      <c r="BV428" s="236">
        <f t="shared" si="2189"/>
        <v>15731.561371428535</v>
      </c>
      <c r="BW428" s="7">
        <v>8314.7900000000027</v>
      </c>
      <c r="BX428" s="39">
        <f>BW428*12</f>
        <v>99777.48000000004</v>
      </c>
      <c r="BY428" s="7">
        <f>BU428-BW428</f>
        <v>656867.44142856961</v>
      </c>
      <c r="BZ428" s="7">
        <f t="shared" ref="BZ428:BZ430" si="2339">BY428-$L428</f>
        <v>648552.65142856957</v>
      </c>
      <c r="CA428" s="7">
        <f t="shared" ref="CA428:CA430" si="2340">BZ428-$L428</f>
        <v>640237.86142856954</v>
      </c>
      <c r="CB428" s="7">
        <f t="shared" ref="CB428:CB430" si="2341">CA428-$L428</f>
        <v>631923.0714285695</v>
      </c>
      <c r="CC428" s="7">
        <f t="shared" ref="CC428:CC430" si="2342">CB428-$L428</f>
        <v>623608.28142856946</v>
      </c>
      <c r="CD428" s="7">
        <f t="shared" ref="CD428:CD430" si="2343">CC428-$L428</f>
        <v>615293.49142856942</v>
      </c>
      <c r="CE428" s="7">
        <f t="shared" ref="CE428:CE430" si="2344">CD428-$L428</f>
        <v>606978.70142856939</v>
      </c>
      <c r="CF428" s="7">
        <f t="shared" ref="CF428:CF430" si="2345">CE428-$L428</f>
        <v>598663.91142856935</v>
      </c>
      <c r="CG428" s="7">
        <f t="shared" ref="CG428:CG430" si="2346">CF428-$L428</f>
        <v>590349.12142856931</v>
      </c>
      <c r="CH428" s="7">
        <f t="shared" ref="CH428:CH430" si="2347">CG428-$L428</f>
        <v>582034.33142856928</v>
      </c>
      <c r="CI428" s="7">
        <f t="shared" ref="CI428:CI430" si="2348">CH428-$L428</f>
        <v>573719.54142856924</v>
      </c>
      <c r="CJ428" s="7">
        <f t="shared" ref="CJ428:CJ430" si="2349">CI428-$L428</f>
        <v>565404.7514285692</v>
      </c>
      <c r="CK428" s="236">
        <f t="shared" si="2190"/>
        <v>13536.456811428527</v>
      </c>
      <c r="CL428" s="7">
        <v>8314.7900000000027</v>
      </c>
      <c r="CM428" s="39">
        <f>CL428*12</f>
        <v>99777.48000000004</v>
      </c>
      <c r="CN428" s="7">
        <f>CJ428-CL428</f>
        <v>557089.96142856916</v>
      </c>
      <c r="CO428" s="7">
        <f t="shared" ref="CO428:CO430" si="2350">CN428-$L428</f>
        <v>548775.17142856913</v>
      </c>
      <c r="CP428" s="7">
        <f t="shared" ref="CP428:CP430" si="2351">CO428-$L428</f>
        <v>540460.38142856909</v>
      </c>
      <c r="CQ428" s="7">
        <f t="shared" ref="CQ428:CQ430" si="2352">CP428-$L428</f>
        <v>532145.59142856905</v>
      </c>
      <c r="CR428" s="7">
        <f t="shared" ref="CR428:CR430" si="2353">CQ428-$L428</f>
        <v>523830.80142856907</v>
      </c>
      <c r="CS428" s="7">
        <f t="shared" ref="CS428:CS430" si="2354">CR428-$L428</f>
        <v>515516.01142856909</v>
      </c>
      <c r="CT428" s="7">
        <f t="shared" ref="CT428:CT430" si="2355">CS428-$L428</f>
        <v>507201.22142856912</v>
      </c>
      <c r="CU428" s="7">
        <f t="shared" ref="CU428:CU430" si="2356">CT428-$L428</f>
        <v>498886.43142856914</v>
      </c>
      <c r="CV428" s="7">
        <f t="shared" ref="CV428:CV430" si="2357">CU428-$L428</f>
        <v>490571.64142856916</v>
      </c>
      <c r="CW428" s="7">
        <f t="shared" ref="CW428:CW430" si="2358">CV428-$L428</f>
        <v>482256.85142856918</v>
      </c>
      <c r="CX428" s="7">
        <f t="shared" ref="CX428:CX430" si="2359">CW428-$L428</f>
        <v>473942.0614285692</v>
      </c>
      <c r="CY428" s="7">
        <f t="shared" ref="CY428:CY430" si="2360">CX428-$L428</f>
        <v>465627.27142856922</v>
      </c>
      <c r="CZ428" s="236">
        <f t="shared" si="2191"/>
        <v>11341.35225142852</v>
      </c>
    </row>
    <row r="429" spans="1:104" x14ac:dyDescent="0.2">
      <c r="A429" s="6" t="str">
        <f>'[1]2021 УГРЦТ'!A432</f>
        <v>ТП №91 п. Мирный (КТП 6/0,4 кВ 1х400 кВа)</v>
      </c>
      <c r="B429" t="str">
        <f>'[1]2021 УГРЦТ'!B432</f>
        <v>000001491</v>
      </c>
      <c r="C429" t="str">
        <f>'[1]2021 УГРЦТ'!C432</f>
        <v>ПЕРЕДАЧА</v>
      </c>
      <c r="D429" t="str">
        <f>'[1]2021 УГРЦТ'!D432</f>
        <v>Сооружения</v>
      </c>
      <c r="E429" t="str">
        <f>'[1]2021 УГРЦТ'!E432</f>
        <v>31.10.2012</v>
      </c>
      <c r="F429" t="str">
        <f>'[1]2021 УГРЦТ'!F432</f>
        <v>Цех электрических сетей</v>
      </c>
      <c r="G429">
        <f>'[1]2021 УГРЦТ'!AC432</f>
        <v>240</v>
      </c>
      <c r="H429" s="7">
        <f>'[1]2021 УГРЦТ'!X432</f>
        <v>1896964.52</v>
      </c>
      <c r="I429" s="7">
        <f>'[1]2021 УГРЦТ'!Y432</f>
        <v>869442.18599999999</v>
      </c>
      <c r="J429" s="7">
        <f>'[1]2021 УГРЦТ'!Z432</f>
        <v>1027522.334</v>
      </c>
      <c r="K429" s="8">
        <v>1</v>
      </c>
      <c r="L429" s="7">
        <v>7904.0200000000032</v>
      </c>
      <c r="M429" s="7"/>
      <c r="N429" s="7">
        <f t="shared" si="2270"/>
        <v>94848.240000000034</v>
      </c>
      <c r="O429" s="7">
        <f t="shared" si="1984"/>
        <v>1019618.314</v>
      </c>
      <c r="P429" s="7">
        <f t="shared" si="2271"/>
        <v>1011714.294</v>
      </c>
      <c r="Q429" s="7">
        <f t="shared" si="2271"/>
        <v>1003810.274</v>
      </c>
      <c r="R429" s="7">
        <f t="shared" si="2271"/>
        <v>995906.25399999996</v>
      </c>
      <c r="S429" s="7">
        <f t="shared" si="2271"/>
        <v>988002.23399999994</v>
      </c>
      <c r="T429" s="7">
        <f t="shared" si="2271"/>
        <v>980098.21399999992</v>
      </c>
      <c r="U429" s="7">
        <f t="shared" si="2271"/>
        <v>972194.1939999999</v>
      </c>
      <c r="V429" s="7">
        <f t="shared" si="2271"/>
        <v>964290.17399999988</v>
      </c>
      <c r="W429" s="7">
        <f t="shared" si="2271"/>
        <v>956386.15399999986</v>
      </c>
      <c r="X429" s="7">
        <f t="shared" si="2271"/>
        <v>948482.13399999985</v>
      </c>
      <c r="Y429" s="7">
        <f t="shared" si="2271"/>
        <v>940578.11399999983</v>
      </c>
      <c r="Z429" s="7">
        <f t="shared" si="2271"/>
        <v>932674.09399999981</v>
      </c>
      <c r="AA429" s="7">
        <f t="shared" si="2187"/>
        <v>21562.160707999996</v>
      </c>
      <c r="AB429" s="7"/>
      <c r="AC429" s="7">
        <f t="shared" si="1985"/>
        <v>94848.240000000034</v>
      </c>
      <c r="AD429" s="7">
        <f t="shared" si="1986"/>
        <v>924770.07399999979</v>
      </c>
      <c r="AE429" s="7">
        <f t="shared" si="2233"/>
        <v>916866.05399999977</v>
      </c>
      <c r="AF429" s="7">
        <f t="shared" si="2233"/>
        <v>908962.03399999975</v>
      </c>
      <c r="AG429" s="7">
        <f t="shared" si="2233"/>
        <v>901058.01399999973</v>
      </c>
      <c r="AH429" s="7">
        <f t="shared" si="2233"/>
        <v>893153.99399999972</v>
      </c>
      <c r="AI429" s="7">
        <f t="shared" si="2233"/>
        <v>885249.9739999997</v>
      </c>
      <c r="AJ429" s="7">
        <f t="shared" si="2233"/>
        <v>877345.95399999968</v>
      </c>
      <c r="AK429" s="7">
        <f t="shared" si="2233"/>
        <v>869441.93399999966</v>
      </c>
      <c r="AL429" s="7">
        <f t="shared" si="2233"/>
        <v>861537.91399999964</v>
      </c>
      <c r="AM429" s="7">
        <f t="shared" si="2233"/>
        <v>853633.89399999962</v>
      </c>
      <c r="AN429" s="7">
        <f t="shared" si="2233"/>
        <v>845729.8739999996</v>
      </c>
      <c r="AO429" s="7">
        <f t="shared" si="2233"/>
        <v>837825.85399999958</v>
      </c>
      <c r="AP429" s="222">
        <f t="shared" si="2234"/>
        <v>19475.499427999996</v>
      </c>
      <c r="AQ429" s="7">
        <v>7904.0200000000032</v>
      </c>
      <c r="AR429" s="7">
        <f t="shared" si="1987"/>
        <v>7904.0200000000186</v>
      </c>
      <c r="AS429" s="7">
        <f t="shared" si="1988"/>
        <v>1.546140993013978E-11</v>
      </c>
      <c r="AT429" s="7">
        <f t="shared" si="2304"/>
        <v>94848.240000000034</v>
      </c>
      <c r="AU429" s="7">
        <f>AO429-$L429</f>
        <v>829921.83399999957</v>
      </c>
      <c r="AV429" s="7">
        <f t="shared" si="2305"/>
        <v>822017.81399999955</v>
      </c>
      <c r="AW429" s="7">
        <f t="shared" si="2305"/>
        <v>814113.79399999953</v>
      </c>
      <c r="AX429" s="7">
        <f t="shared" si="2305"/>
        <v>806209.77399999951</v>
      </c>
      <c r="AY429" s="7">
        <f t="shared" si="2305"/>
        <v>798305.75399999949</v>
      </c>
      <c r="AZ429" s="7">
        <f t="shared" si="2305"/>
        <v>790401.73399999947</v>
      </c>
      <c r="BA429" s="7">
        <f t="shared" si="2305"/>
        <v>782497.71399999945</v>
      </c>
      <c r="BB429" s="7">
        <f t="shared" si="2305"/>
        <v>774593.69399999944</v>
      </c>
      <c r="BC429" s="7">
        <f t="shared" si="2305"/>
        <v>766689.67399999942</v>
      </c>
      <c r="BD429" s="7">
        <f t="shared" si="2305"/>
        <v>758785.6539999994</v>
      </c>
      <c r="BE429" s="7">
        <f t="shared" si="2305"/>
        <v>750881.63399999938</v>
      </c>
      <c r="BF429" s="7">
        <f t="shared" si="2305"/>
        <v>742977.61399999936</v>
      </c>
      <c r="BG429" s="236">
        <f t="shared" si="1983"/>
        <v>17388.838147999988</v>
      </c>
      <c r="BH429" s="7">
        <v>7904.0200000000032</v>
      </c>
      <c r="BI429" s="39">
        <f>BH429*12</f>
        <v>94848.240000000034</v>
      </c>
      <c r="BJ429" s="7">
        <f>BF429-BH429</f>
        <v>735073.59399999934</v>
      </c>
      <c r="BK429" s="7">
        <f t="shared" si="2306"/>
        <v>727169.57399999932</v>
      </c>
      <c r="BL429" s="7">
        <f t="shared" si="2307"/>
        <v>719265.55399999931</v>
      </c>
      <c r="BM429" s="7">
        <f t="shared" si="2308"/>
        <v>711361.53399999929</v>
      </c>
      <c r="BN429" s="7">
        <f t="shared" si="2309"/>
        <v>703457.51399999927</v>
      </c>
      <c r="BO429" s="7">
        <f t="shared" si="2310"/>
        <v>695553.49399999925</v>
      </c>
      <c r="BP429" s="7">
        <f t="shared" si="2311"/>
        <v>687649.47399999923</v>
      </c>
      <c r="BQ429" s="7">
        <f t="shared" si="2312"/>
        <v>679745.45399999921</v>
      </c>
      <c r="BR429" s="7">
        <f t="shared" si="2313"/>
        <v>671841.43399999919</v>
      </c>
      <c r="BS429" s="7">
        <f t="shared" si="2314"/>
        <v>663937.41399999917</v>
      </c>
      <c r="BT429" s="7">
        <f t="shared" si="2315"/>
        <v>656033.39399999916</v>
      </c>
      <c r="BU429" s="7">
        <f t="shared" si="2316"/>
        <v>648129.37399999914</v>
      </c>
      <c r="BV429" s="236">
        <f t="shared" si="2189"/>
        <v>15302.176867999982</v>
      </c>
      <c r="BW429" s="7">
        <v>7904.0200000000032</v>
      </c>
      <c r="BX429" s="39">
        <f>BW429*12</f>
        <v>94848.240000000034</v>
      </c>
      <c r="BY429" s="7">
        <f>BU429-BW429</f>
        <v>640225.35399999912</v>
      </c>
      <c r="BZ429" s="7">
        <f t="shared" si="2339"/>
        <v>632321.3339999991</v>
      </c>
      <c r="CA429" s="7">
        <f t="shared" si="2340"/>
        <v>624417.31399999908</v>
      </c>
      <c r="CB429" s="7">
        <f t="shared" si="2341"/>
        <v>616513.29399999906</v>
      </c>
      <c r="CC429" s="7">
        <f t="shared" si="2342"/>
        <v>608609.27399999904</v>
      </c>
      <c r="CD429" s="7">
        <f t="shared" si="2343"/>
        <v>600705.25399999903</v>
      </c>
      <c r="CE429" s="7">
        <f t="shared" si="2344"/>
        <v>592801.23399999901</v>
      </c>
      <c r="CF429" s="7">
        <f t="shared" si="2345"/>
        <v>584897.21399999899</v>
      </c>
      <c r="CG429" s="7">
        <f t="shared" si="2346"/>
        <v>576993.19399999897</v>
      </c>
      <c r="CH429" s="7">
        <f t="shared" si="2347"/>
        <v>569089.17399999895</v>
      </c>
      <c r="CI429" s="7">
        <f t="shared" si="2348"/>
        <v>561185.15399999893</v>
      </c>
      <c r="CJ429" s="7">
        <f t="shared" si="2349"/>
        <v>553281.13399999891</v>
      </c>
      <c r="CK429" s="236">
        <f t="shared" si="2190"/>
        <v>13215.515587999978</v>
      </c>
      <c r="CL429" s="7">
        <v>7904.0200000000032</v>
      </c>
      <c r="CM429" s="39">
        <f>CL429*12</f>
        <v>94848.240000000034</v>
      </c>
      <c r="CN429" s="7">
        <f>CJ429-CL429</f>
        <v>545377.1139999989</v>
      </c>
      <c r="CO429" s="7">
        <f t="shared" si="2350"/>
        <v>537473.09399999888</v>
      </c>
      <c r="CP429" s="7">
        <f t="shared" si="2351"/>
        <v>529569.07399999886</v>
      </c>
      <c r="CQ429" s="7">
        <f t="shared" si="2352"/>
        <v>521665.05399999884</v>
      </c>
      <c r="CR429" s="7">
        <f t="shared" si="2353"/>
        <v>513761.03399999882</v>
      </c>
      <c r="CS429" s="7">
        <f t="shared" si="2354"/>
        <v>505857.0139999988</v>
      </c>
      <c r="CT429" s="7">
        <f t="shared" si="2355"/>
        <v>497952.99399999878</v>
      </c>
      <c r="CU429" s="7">
        <f t="shared" si="2356"/>
        <v>490048.97399999877</v>
      </c>
      <c r="CV429" s="7">
        <f t="shared" si="2357"/>
        <v>482144.95399999875</v>
      </c>
      <c r="CW429" s="7">
        <f t="shared" si="2358"/>
        <v>474240.93399999873</v>
      </c>
      <c r="CX429" s="7">
        <f t="shared" si="2359"/>
        <v>466336.91399999871</v>
      </c>
      <c r="CY429" s="7">
        <f t="shared" si="2360"/>
        <v>458432.89399999869</v>
      </c>
      <c r="CZ429" s="236">
        <f t="shared" si="2191"/>
        <v>11128.854307999973</v>
      </c>
    </row>
    <row r="430" spans="1:104" x14ac:dyDescent="0.2">
      <c r="A430" s="6" t="str">
        <f>'[1]2021 УГРЦТ'!A433</f>
        <v>ТП №98"Ледовый дворец" ул.Калмыкова 2011г</v>
      </c>
      <c r="B430" t="str">
        <f>'[1]2021 УГРЦТ'!B433</f>
        <v>00001348</v>
      </c>
      <c r="C430" t="str">
        <f>'[1]2021 УГРЦТ'!C433</f>
        <v>ПЕРЕДАЧА</v>
      </c>
      <c r="D430" t="str">
        <f>'[1]2021 УГРЦТ'!D433</f>
        <v>Здания</v>
      </c>
      <c r="E430" t="str">
        <f>'[1]2021 УГРЦТ'!E433</f>
        <v>17.02.2011</v>
      </c>
      <c r="F430" t="str">
        <f>'[1]2021 УГРЦТ'!F433</f>
        <v>Цех электрических сетей</v>
      </c>
      <c r="G430">
        <f>'[1]2021 УГРЦТ'!AC433</f>
        <v>240</v>
      </c>
      <c r="H430" s="7">
        <f>'[1]2021 УГРЦТ'!X433</f>
        <v>2329176.9</v>
      </c>
      <c r="I430" s="7">
        <f>'[1]2021 УГРЦТ'!Y433</f>
        <v>1261637.0449999999</v>
      </c>
      <c r="J430" s="7">
        <f>'[1]2021 УГРЦТ'!Z433</f>
        <v>1067539.855</v>
      </c>
      <c r="K430" s="8">
        <v>1</v>
      </c>
      <c r="L430" s="7">
        <v>9704.8999999999978</v>
      </c>
      <c r="M430" s="7"/>
      <c r="N430" s="7">
        <f t="shared" si="2270"/>
        <v>116458.79999999997</v>
      </c>
      <c r="O430" s="7">
        <f t="shared" si="1984"/>
        <v>1057834.9550000001</v>
      </c>
      <c r="P430" s="7">
        <f t="shared" si="2271"/>
        <v>1048130.0550000001</v>
      </c>
      <c r="Q430" s="7">
        <f t="shared" si="2271"/>
        <v>1038425.155</v>
      </c>
      <c r="R430" s="7">
        <f t="shared" si="2271"/>
        <v>1028720.255</v>
      </c>
      <c r="S430" s="7">
        <f t="shared" si="2271"/>
        <v>1019015.355</v>
      </c>
      <c r="T430" s="7">
        <f t="shared" si="2271"/>
        <v>1009310.455</v>
      </c>
      <c r="U430" s="7">
        <f t="shared" si="2271"/>
        <v>999605.55499999993</v>
      </c>
      <c r="V430" s="7">
        <f t="shared" si="2271"/>
        <v>989900.65499999991</v>
      </c>
      <c r="W430" s="7">
        <f t="shared" si="2271"/>
        <v>980195.75499999989</v>
      </c>
      <c r="X430" s="7">
        <f t="shared" si="2271"/>
        <v>970490.85499999986</v>
      </c>
      <c r="Y430" s="7">
        <f t="shared" si="2271"/>
        <v>960785.95499999984</v>
      </c>
      <c r="Z430" s="7">
        <f t="shared" si="2271"/>
        <v>951081.05499999982</v>
      </c>
      <c r="AA430" s="7">
        <f t="shared" si="2187"/>
        <v>22204.830010000001</v>
      </c>
      <c r="AB430" s="7"/>
      <c r="AC430" s="7">
        <f t="shared" si="1985"/>
        <v>116458.79999999997</v>
      </c>
      <c r="AD430" s="7">
        <f t="shared" si="1986"/>
        <v>941376.1549999998</v>
      </c>
      <c r="AE430" s="7">
        <f t="shared" si="2233"/>
        <v>931671.25499999977</v>
      </c>
      <c r="AF430" s="7">
        <f t="shared" si="2233"/>
        <v>921966.35499999975</v>
      </c>
      <c r="AG430" s="7">
        <f t="shared" si="2233"/>
        <v>912261.45499999973</v>
      </c>
      <c r="AH430" s="7">
        <f t="shared" si="2233"/>
        <v>902556.5549999997</v>
      </c>
      <c r="AI430" s="7">
        <f t="shared" si="2233"/>
        <v>892851.65499999968</v>
      </c>
      <c r="AJ430" s="7">
        <f t="shared" si="2233"/>
        <v>883146.75499999966</v>
      </c>
      <c r="AK430" s="7">
        <f t="shared" si="2233"/>
        <v>873441.85499999963</v>
      </c>
      <c r="AL430" s="7">
        <f t="shared" si="2233"/>
        <v>863736.95499999961</v>
      </c>
      <c r="AM430" s="7">
        <f t="shared" si="2233"/>
        <v>854032.05499999959</v>
      </c>
      <c r="AN430" s="7">
        <f t="shared" si="2233"/>
        <v>844327.15499999956</v>
      </c>
      <c r="AO430" s="7">
        <f t="shared" si="2233"/>
        <v>834622.25499999954</v>
      </c>
      <c r="AP430" s="222">
        <f t="shared" si="2234"/>
        <v>19642.73640999999</v>
      </c>
      <c r="AQ430" s="7">
        <v>9704.8999999999978</v>
      </c>
      <c r="AR430" s="7">
        <f t="shared" si="1987"/>
        <v>9704.9000000000233</v>
      </c>
      <c r="AS430" s="7">
        <f t="shared" si="1988"/>
        <v>2.5465851649641991E-11</v>
      </c>
      <c r="AT430" s="7">
        <f t="shared" si="2304"/>
        <v>116458.79999999997</v>
      </c>
      <c r="AU430" s="7">
        <f>AO430-$L430</f>
        <v>824917.35499999952</v>
      </c>
      <c r="AV430" s="7">
        <f t="shared" si="2305"/>
        <v>815212.45499999949</v>
      </c>
      <c r="AW430" s="7">
        <f t="shared" si="2305"/>
        <v>805507.55499999947</v>
      </c>
      <c r="AX430" s="7">
        <f t="shared" si="2305"/>
        <v>795802.65499999945</v>
      </c>
      <c r="AY430" s="7">
        <f t="shared" si="2305"/>
        <v>786097.75499999942</v>
      </c>
      <c r="AZ430" s="7">
        <f t="shared" si="2305"/>
        <v>776392.8549999994</v>
      </c>
      <c r="BA430" s="7">
        <f t="shared" si="2305"/>
        <v>766687.95499999938</v>
      </c>
      <c r="BB430" s="7">
        <f t="shared" si="2305"/>
        <v>756983.05499999935</v>
      </c>
      <c r="BC430" s="7">
        <f t="shared" si="2305"/>
        <v>747278.15499999933</v>
      </c>
      <c r="BD430" s="7">
        <f t="shared" si="2305"/>
        <v>737573.25499999931</v>
      </c>
      <c r="BE430" s="7">
        <f t="shared" si="2305"/>
        <v>727868.35499999928</v>
      </c>
      <c r="BF430" s="7">
        <f t="shared" si="2305"/>
        <v>718163.45499999926</v>
      </c>
      <c r="BG430" s="236">
        <f t="shared" si="1983"/>
        <v>17080.642809999983</v>
      </c>
      <c r="BH430" s="7">
        <v>9704.8999999999978</v>
      </c>
      <c r="BI430" s="39">
        <f>BH430*12</f>
        <v>116458.79999999997</v>
      </c>
      <c r="BJ430" s="7">
        <f>BF430-BH430</f>
        <v>708458.55499999924</v>
      </c>
      <c r="BK430" s="7">
        <f t="shared" si="2306"/>
        <v>698753.65499999921</v>
      </c>
      <c r="BL430" s="7">
        <f t="shared" si="2307"/>
        <v>689048.75499999919</v>
      </c>
      <c r="BM430" s="7">
        <f t="shared" si="2308"/>
        <v>679343.85499999917</v>
      </c>
      <c r="BN430" s="7">
        <f t="shared" si="2309"/>
        <v>669638.95499999914</v>
      </c>
      <c r="BO430" s="7">
        <f t="shared" si="2310"/>
        <v>659934.05499999912</v>
      </c>
      <c r="BP430" s="7">
        <f t="shared" si="2311"/>
        <v>650229.1549999991</v>
      </c>
      <c r="BQ430" s="7">
        <f t="shared" si="2312"/>
        <v>640524.25499999907</v>
      </c>
      <c r="BR430" s="7">
        <f t="shared" si="2313"/>
        <v>630819.35499999905</v>
      </c>
      <c r="BS430" s="7">
        <f t="shared" si="2314"/>
        <v>621114.45499999903</v>
      </c>
      <c r="BT430" s="7">
        <f t="shared" si="2315"/>
        <v>611409.554999999</v>
      </c>
      <c r="BU430" s="7">
        <f t="shared" si="2316"/>
        <v>601704.65499999898</v>
      </c>
      <c r="BV430" s="236">
        <f t="shared" si="2189"/>
        <v>14518.549209999983</v>
      </c>
      <c r="BW430" s="7">
        <v>9704.8999999999978</v>
      </c>
      <c r="BX430" s="39">
        <f>BW430*12</f>
        <v>116458.79999999997</v>
      </c>
      <c r="BY430" s="7">
        <f>BU430-BW430</f>
        <v>591999.75499999896</v>
      </c>
      <c r="BZ430" s="7">
        <f t="shared" si="2339"/>
        <v>582294.85499999893</v>
      </c>
      <c r="CA430" s="7">
        <f t="shared" si="2340"/>
        <v>572589.95499999891</v>
      </c>
      <c r="CB430" s="7">
        <f t="shared" si="2341"/>
        <v>562885.05499999889</v>
      </c>
      <c r="CC430" s="7">
        <f t="shared" si="2342"/>
        <v>553180.15499999886</v>
      </c>
      <c r="CD430" s="7">
        <f t="shared" si="2343"/>
        <v>543475.25499999884</v>
      </c>
      <c r="CE430" s="7">
        <f t="shared" si="2344"/>
        <v>533770.35499999882</v>
      </c>
      <c r="CF430" s="7">
        <f t="shared" si="2345"/>
        <v>524065.45499999879</v>
      </c>
      <c r="CG430" s="7">
        <f t="shared" si="2346"/>
        <v>514360.55499999877</v>
      </c>
      <c r="CH430" s="7">
        <f t="shared" si="2347"/>
        <v>504655.65499999875</v>
      </c>
      <c r="CI430" s="7">
        <f t="shared" si="2348"/>
        <v>494950.75499999872</v>
      </c>
      <c r="CJ430" s="7">
        <f t="shared" si="2349"/>
        <v>485245.8549999987</v>
      </c>
      <c r="CK430" s="236">
        <f t="shared" si="2190"/>
        <v>11956.455609999974</v>
      </c>
      <c r="CL430" s="7">
        <v>9704.8999999999978</v>
      </c>
      <c r="CM430" s="39">
        <f>CL430*12</f>
        <v>116458.79999999997</v>
      </c>
      <c r="CN430" s="7">
        <f>CJ430-CL430</f>
        <v>475540.95499999868</v>
      </c>
      <c r="CO430" s="7">
        <f t="shared" si="2350"/>
        <v>465836.05499999865</v>
      </c>
      <c r="CP430" s="7">
        <f t="shared" si="2351"/>
        <v>456131.15499999863</v>
      </c>
      <c r="CQ430" s="7">
        <f t="shared" si="2352"/>
        <v>446426.25499999861</v>
      </c>
      <c r="CR430" s="7">
        <f t="shared" si="2353"/>
        <v>436721.35499999858</v>
      </c>
      <c r="CS430" s="7">
        <f t="shared" si="2354"/>
        <v>427016.45499999856</v>
      </c>
      <c r="CT430" s="7">
        <f t="shared" si="2355"/>
        <v>417311.55499999854</v>
      </c>
      <c r="CU430" s="7">
        <f t="shared" si="2356"/>
        <v>407606.65499999851</v>
      </c>
      <c r="CV430" s="7">
        <f t="shared" si="2357"/>
        <v>397901.75499999849</v>
      </c>
      <c r="CW430" s="7">
        <f t="shared" si="2358"/>
        <v>388196.85499999847</v>
      </c>
      <c r="CX430" s="7">
        <f t="shared" si="2359"/>
        <v>378491.95499999844</v>
      </c>
      <c r="CY430" s="7">
        <f t="shared" si="2360"/>
        <v>368787.05499999842</v>
      </c>
      <c r="CZ430" s="236">
        <f t="shared" si="2191"/>
        <v>9394.3620099999662</v>
      </c>
    </row>
    <row r="431" spans="1:104" s="180" customFormat="1" x14ac:dyDescent="0.2">
      <c r="A431" s="179" t="str">
        <f>'[1]2021 УГРЦТ'!A434</f>
        <v>Трактор ХТЗ-150К-09 с оборудованием бурильно-крановым</v>
      </c>
      <c r="B431" s="180" t="str">
        <f>'[1]2021 УГРЦТ'!B434</f>
        <v>000001654</v>
      </c>
      <c r="C431" s="180" t="s">
        <v>41</v>
      </c>
      <c r="D431" s="180" t="s">
        <v>2689</v>
      </c>
      <c r="E431" s="180" t="s">
        <v>254</v>
      </c>
      <c r="F431" s="180" t="s">
        <v>76</v>
      </c>
      <c r="G431" s="180">
        <f>'[1]2021 УГРЦТ'!AC434</f>
        <v>82</v>
      </c>
      <c r="H431" s="181">
        <f>'[1]2021 УГРЦТ'!X434</f>
        <v>86602.39</v>
      </c>
      <c r="I431" s="181">
        <f>'[1]2021 УГРЦТ'!Y434</f>
        <v>85546.490487804884</v>
      </c>
      <c r="J431" s="181">
        <f>'[1]2021 УГРЦТ'!Z434</f>
        <v>1055.8995121951157</v>
      </c>
      <c r="K431" s="182">
        <v>0</v>
      </c>
      <c r="L431" s="181">
        <v>1056.1300000000003</v>
      </c>
      <c r="M431" s="181"/>
      <c r="N431" s="181">
        <f>L431*1-0.23</f>
        <v>1055.9000000000003</v>
      </c>
      <c r="O431" s="7">
        <f>J431-$L431+0.23</f>
        <v>-4.8780488466035332E-4</v>
      </c>
      <c r="P431" s="7">
        <f>O431-$L431*0</f>
        <v>-4.8780488466035332E-4</v>
      </c>
      <c r="Q431" s="7">
        <f t="shared" ref="Q431:Z431" si="2361">P431-$L431*0</f>
        <v>-4.8780488466035332E-4</v>
      </c>
      <c r="R431" s="7">
        <f t="shared" si="2361"/>
        <v>-4.8780488466035332E-4</v>
      </c>
      <c r="S431" s="7">
        <f t="shared" si="2361"/>
        <v>-4.8780488466035332E-4</v>
      </c>
      <c r="T431" s="7">
        <f t="shared" si="2361"/>
        <v>-4.8780488466035332E-4</v>
      </c>
      <c r="U431" s="7">
        <f t="shared" si="2361"/>
        <v>-4.8780488466035332E-4</v>
      </c>
      <c r="V431" s="7">
        <f t="shared" si="2361"/>
        <v>-4.8780488466035332E-4</v>
      </c>
      <c r="W431" s="7">
        <f t="shared" si="2361"/>
        <v>-4.8780488466035332E-4</v>
      </c>
      <c r="X431" s="7">
        <f t="shared" si="2361"/>
        <v>-4.8780488466035332E-4</v>
      </c>
      <c r="Y431" s="7">
        <f t="shared" si="2361"/>
        <v>-4.8780488466035332E-4</v>
      </c>
      <c r="Z431" s="7">
        <f t="shared" si="2361"/>
        <v>-4.8780488466035332E-4</v>
      </c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222"/>
      <c r="AQ431" s="7">
        <v>0</v>
      </c>
      <c r="AR431" s="7">
        <f t="shared" si="1987"/>
        <v>0</v>
      </c>
      <c r="AS431" s="7">
        <f t="shared" si="1988"/>
        <v>0</v>
      </c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 s="236">
        <f t="shared" si="1983"/>
        <v>0</v>
      </c>
      <c r="BH431" s="7">
        <v>0</v>
      </c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 s="236">
        <f t="shared" si="2189"/>
        <v>0</v>
      </c>
      <c r="BW431" s="7">
        <v>0</v>
      </c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 s="236">
        <f t="shared" si="2190"/>
        <v>0</v>
      </c>
      <c r="CL431" s="7">
        <v>0</v>
      </c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 s="236">
        <f t="shared" si="2191"/>
        <v>0</v>
      </c>
    </row>
    <row r="432" spans="1:104" x14ac:dyDescent="0.2">
      <c r="A432" s="6" t="str">
        <f>'[1]2021 УГРЦТ'!A435</f>
        <v>Трансформатор масляный ТМГ 250/6/0,4 Y/Yн-0 №0568</v>
      </c>
      <c r="B432" t="str">
        <f>'[1]2021 УГРЦТ'!B435</f>
        <v>00001252</v>
      </c>
      <c r="C432" t="str">
        <f>'[1]2021 УГРЦТ'!C435</f>
        <v>ПЕРЕДАЧА</v>
      </c>
      <c r="D432" t="str">
        <f>'[1]2021 УГРЦТ'!D435</f>
        <v>Машины и оборудование (кроме офисного)</v>
      </c>
      <c r="E432" t="str">
        <f>'[1]2021 УГРЦТ'!E435</f>
        <v>31.10.2010</v>
      </c>
      <c r="F432" t="str">
        <f>'[1]2021 УГРЦТ'!F435</f>
        <v>Цех электрических сетей</v>
      </c>
      <c r="G432">
        <f>'[1]2021 УГРЦТ'!AC435</f>
        <v>240</v>
      </c>
      <c r="H432" s="7">
        <f>'[1]2021 УГРЦТ'!X435</f>
        <v>153626.57999999999</v>
      </c>
      <c r="I432" s="7">
        <f>'[1]2021 УГРЦТ'!Y435</f>
        <v>85774.748999999996</v>
      </c>
      <c r="J432" s="7">
        <f>'[1]2021 УГРЦТ'!Z435</f>
        <v>67851.830999999991</v>
      </c>
      <c r="K432" s="8">
        <v>0</v>
      </c>
      <c r="L432" s="7">
        <v>640.1099999999999</v>
      </c>
      <c r="M432" s="7"/>
      <c r="N432" s="7">
        <f t="shared" si="2270"/>
        <v>7681.3199999999988</v>
      </c>
      <c r="O432" s="7">
        <f t="shared" si="1984"/>
        <v>67211.72099999999</v>
      </c>
      <c r="P432" s="7">
        <f t="shared" ref="P432:Z447" si="2362">O432-$L432</f>
        <v>66571.61099999999</v>
      </c>
      <c r="Q432" s="7">
        <f t="shared" si="2362"/>
        <v>65931.500999999989</v>
      </c>
      <c r="R432" s="7">
        <f t="shared" si="2362"/>
        <v>65291.390999999989</v>
      </c>
      <c r="S432" s="7">
        <f t="shared" si="2362"/>
        <v>64651.280999999988</v>
      </c>
      <c r="T432" s="7">
        <f t="shared" si="2362"/>
        <v>64011.170999999988</v>
      </c>
      <c r="U432" s="7">
        <f t="shared" si="2362"/>
        <v>63371.060999999987</v>
      </c>
      <c r="V432" s="7">
        <f t="shared" si="2362"/>
        <v>62730.950999999986</v>
      </c>
      <c r="W432" s="7">
        <f t="shared" si="2362"/>
        <v>62090.840999999986</v>
      </c>
      <c r="X432" s="7">
        <f t="shared" si="2362"/>
        <v>61450.730999999985</v>
      </c>
      <c r="Y432" s="7">
        <f t="shared" si="2362"/>
        <v>60810.620999999985</v>
      </c>
      <c r="Z432" s="7">
        <f t="shared" si="2362"/>
        <v>60170.510999999984</v>
      </c>
      <c r="AA432" s="7"/>
      <c r="AB432" s="7"/>
      <c r="AC432" s="7">
        <f t="shared" si="1985"/>
        <v>7681.3199999999988</v>
      </c>
      <c r="AD432" s="7">
        <f t="shared" si="1986"/>
        <v>59530.400999999983</v>
      </c>
      <c r="AE432" s="7">
        <f t="shared" ref="AE432:AO447" si="2363">AD432-$L432</f>
        <v>58890.290999999983</v>
      </c>
      <c r="AF432" s="7">
        <f t="shared" si="2363"/>
        <v>58250.180999999982</v>
      </c>
      <c r="AG432" s="7">
        <f t="shared" si="2363"/>
        <v>57610.070999999982</v>
      </c>
      <c r="AH432" s="7">
        <f t="shared" si="2363"/>
        <v>56969.960999999981</v>
      </c>
      <c r="AI432" s="7">
        <f t="shared" si="2363"/>
        <v>56329.850999999981</v>
      </c>
      <c r="AJ432" s="7">
        <f t="shared" si="2363"/>
        <v>55689.74099999998</v>
      </c>
      <c r="AK432" s="7">
        <f t="shared" si="2363"/>
        <v>55049.630999999979</v>
      </c>
      <c r="AL432" s="7">
        <f t="shared" si="2363"/>
        <v>54409.520999999979</v>
      </c>
      <c r="AM432" s="7">
        <f t="shared" si="2363"/>
        <v>53769.410999999978</v>
      </c>
      <c r="AN432" s="7">
        <f t="shared" si="2363"/>
        <v>53129.300999999978</v>
      </c>
      <c r="AO432" s="7">
        <f t="shared" si="2363"/>
        <v>52489.190999999977</v>
      </c>
      <c r="AP432" s="222"/>
      <c r="AQ432" s="7">
        <v>640.1099999999999</v>
      </c>
      <c r="AR432" s="7">
        <f t="shared" si="1987"/>
        <v>640.11000000000058</v>
      </c>
      <c r="AS432" s="7">
        <f t="shared" si="1988"/>
        <v>0</v>
      </c>
      <c r="AT432" s="7">
        <f t="shared" ref="AT432:AT434" si="2364">L432*12</f>
        <v>7681.3199999999988</v>
      </c>
      <c r="AU432" s="7">
        <f>AO432-$L432</f>
        <v>51849.080999999976</v>
      </c>
      <c r="AV432" s="7">
        <f t="shared" ref="AV432:BF436" si="2365">AU432-$L432</f>
        <v>51208.970999999976</v>
      </c>
      <c r="AW432" s="7">
        <f t="shared" si="2365"/>
        <v>50568.860999999975</v>
      </c>
      <c r="AX432" s="7">
        <f t="shared" si="2365"/>
        <v>49928.750999999975</v>
      </c>
      <c r="AY432" s="7">
        <f t="shared" si="2365"/>
        <v>49288.640999999974</v>
      </c>
      <c r="AZ432" s="7">
        <f t="shared" si="2365"/>
        <v>48648.530999999974</v>
      </c>
      <c r="BA432" s="7">
        <f t="shared" si="2365"/>
        <v>48008.420999999973</v>
      </c>
      <c r="BB432" s="7">
        <f t="shared" si="2365"/>
        <v>47368.310999999972</v>
      </c>
      <c r="BC432" s="7">
        <f t="shared" si="2365"/>
        <v>46728.200999999972</v>
      </c>
      <c r="BD432" s="7">
        <f t="shared" si="2365"/>
        <v>46088.090999999971</v>
      </c>
      <c r="BE432" s="7">
        <f t="shared" si="2365"/>
        <v>45447.980999999971</v>
      </c>
      <c r="BF432" s="7">
        <f t="shared" si="2365"/>
        <v>44807.87099999997</v>
      </c>
      <c r="BG432" s="236">
        <f t="shared" si="1983"/>
        <v>0</v>
      </c>
      <c r="BH432" s="7">
        <v>640.1099999999999</v>
      </c>
      <c r="BI432" s="39">
        <f>BH432*12</f>
        <v>7681.3199999999988</v>
      </c>
      <c r="BJ432" s="7">
        <f>BF432-BH432</f>
        <v>44167.760999999969</v>
      </c>
      <c r="BK432" s="7">
        <f t="shared" ref="BK432:BK434" si="2366">BJ432-$L432</f>
        <v>43527.650999999969</v>
      </c>
      <c r="BL432" s="7">
        <f t="shared" ref="BL432:BL434" si="2367">BK432-$L432</f>
        <v>42887.540999999968</v>
      </c>
      <c r="BM432" s="7">
        <f t="shared" ref="BM432:BM434" si="2368">BL432-$L432</f>
        <v>42247.430999999968</v>
      </c>
      <c r="BN432" s="7">
        <f t="shared" ref="BN432:BN434" si="2369">BM432-$L432</f>
        <v>41607.320999999967</v>
      </c>
      <c r="BO432" s="7">
        <f t="shared" ref="BO432:BO434" si="2370">BN432-$L432</f>
        <v>40967.210999999967</v>
      </c>
      <c r="BP432" s="7">
        <f t="shared" ref="BP432:BP434" si="2371">BO432-$L432</f>
        <v>40327.100999999966</v>
      </c>
      <c r="BQ432" s="7">
        <f t="shared" ref="BQ432:BQ434" si="2372">BP432-$L432</f>
        <v>39686.990999999965</v>
      </c>
      <c r="BR432" s="7">
        <f t="shared" ref="BR432:BR434" si="2373">BQ432-$L432</f>
        <v>39046.880999999965</v>
      </c>
      <c r="BS432" s="7">
        <f t="shared" ref="BS432:BS434" si="2374">BR432-$L432</f>
        <v>38406.770999999964</v>
      </c>
      <c r="BT432" s="7">
        <f t="shared" ref="BT432:BT434" si="2375">BS432-$L432</f>
        <v>37766.660999999964</v>
      </c>
      <c r="BU432" s="7">
        <f t="shared" ref="BU432:BU434" si="2376">BT432-$L432</f>
        <v>37126.550999999963</v>
      </c>
      <c r="BV432" s="236">
        <v>0</v>
      </c>
      <c r="BW432" s="7">
        <v>640.1099999999999</v>
      </c>
      <c r="BX432" s="39">
        <f>BW432*12</f>
        <v>7681.3199999999988</v>
      </c>
      <c r="BY432" s="7">
        <f>BU432-BW432</f>
        <v>36486.440999999963</v>
      </c>
      <c r="BZ432" s="7">
        <f t="shared" ref="BZ432:BZ434" si="2377">BY432-$L432</f>
        <v>35846.330999999962</v>
      </c>
      <c r="CA432" s="7">
        <f t="shared" ref="CA432:CA434" si="2378">BZ432-$L432</f>
        <v>35206.220999999961</v>
      </c>
      <c r="CB432" s="7">
        <f t="shared" ref="CB432:CB434" si="2379">CA432-$L432</f>
        <v>34566.110999999961</v>
      </c>
      <c r="CC432" s="7">
        <f t="shared" ref="CC432:CC434" si="2380">CB432-$L432</f>
        <v>33926.00099999996</v>
      </c>
      <c r="CD432" s="7">
        <f t="shared" ref="CD432:CD434" si="2381">CC432-$L432</f>
        <v>33285.89099999996</v>
      </c>
      <c r="CE432" s="7">
        <f t="shared" ref="CE432:CE434" si="2382">CD432-$L432</f>
        <v>32645.780999999959</v>
      </c>
      <c r="CF432" s="7">
        <f t="shared" ref="CF432:CF434" si="2383">CE432-$L432</f>
        <v>32005.670999999958</v>
      </c>
      <c r="CG432" s="7">
        <f t="shared" ref="CG432:CG434" si="2384">CF432-$L432</f>
        <v>31365.560999999958</v>
      </c>
      <c r="CH432" s="7">
        <f t="shared" ref="CH432:CH434" si="2385">CG432-$L432</f>
        <v>30725.450999999957</v>
      </c>
      <c r="CI432" s="7">
        <f t="shared" ref="CI432:CI434" si="2386">CH432-$L432</f>
        <v>30085.340999999957</v>
      </c>
      <c r="CJ432" s="7">
        <f t="shared" ref="CJ432:CJ434" si="2387">CI432-$L432</f>
        <v>29445.230999999956</v>
      </c>
      <c r="CK432" s="236">
        <v>0</v>
      </c>
      <c r="CL432" s="7">
        <v>640.1099999999999</v>
      </c>
      <c r="CM432" s="39">
        <f>CL432*12</f>
        <v>7681.3199999999988</v>
      </c>
      <c r="CN432" s="7">
        <f>CJ432-CL432</f>
        <v>28805.120999999956</v>
      </c>
      <c r="CO432" s="7">
        <f t="shared" ref="CO432:CO434" si="2388">CN432-$L432</f>
        <v>28165.010999999955</v>
      </c>
      <c r="CP432" s="7">
        <f t="shared" ref="CP432:CP434" si="2389">CO432-$L432</f>
        <v>27524.900999999954</v>
      </c>
      <c r="CQ432" s="7">
        <f t="shared" ref="CQ432:CQ434" si="2390">CP432-$L432</f>
        <v>26884.790999999954</v>
      </c>
      <c r="CR432" s="7">
        <f t="shared" ref="CR432:CR434" si="2391">CQ432-$L432</f>
        <v>26244.680999999953</v>
      </c>
      <c r="CS432" s="7">
        <f t="shared" ref="CS432:CS434" si="2392">CR432-$L432</f>
        <v>25604.570999999953</v>
      </c>
      <c r="CT432" s="7">
        <f t="shared" ref="CT432:CT434" si="2393">CS432-$L432</f>
        <v>24964.460999999952</v>
      </c>
      <c r="CU432" s="7">
        <f t="shared" ref="CU432:CU434" si="2394">CT432-$L432</f>
        <v>24324.350999999951</v>
      </c>
      <c r="CV432" s="7">
        <f t="shared" ref="CV432:CV434" si="2395">CU432-$L432</f>
        <v>23684.240999999951</v>
      </c>
      <c r="CW432" s="7">
        <f t="shared" ref="CW432:CW434" si="2396">CV432-$L432</f>
        <v>23044.13099999995</v>
      </c>
      <c r="CX432" s="7">
        <f t="shared" ref="CX432:CX434" si="2397">CW432-$L432</f>
        <v>22404.02099999995</v>
      </c>
      <c r="CY432" s="7">
        <f t="shared" ref="CY432:CY434" si="2398">CX432-$L432</f>
        <v>21763.910999999949</v>
      </c>
      <c r="CZ432" s="236">
        <v>0</v>
      </c>
    </row>
    <row r="433" spans="1:104" x14ac:dyDescent="0.2">
      <c r="A433" s="6" t="str">
        <f>'[1]2021 УГРЦТ'!A436</f>
        <v>Трансформатор масляный ТМГ 400/6/0,4У/Ун-0 зав.№1478</v>
      </c>
      <c r="B433" t="str">
        <f>'[1]2021 УГРЦТ'!B436</f>
        <v>00001350</v>
      </c>
      <c r="C433" t="str">
        <f>'[1]2021 УГРЦТ'!C436</f>
        <v>ПЕРЕДАЧА</v>
      </c>
      <c r="D433" t="str">
        <f>'[1]2021 УГРЦТ'!D436</f>
        <v>Машины и оборудование (кроме офисного)</v>
      </c>
      <c r="E433" t="str">
        <f>'[1]2021 УГРЦТ'!E436</f>
        <v>15.03.2011</v>
      </c>
      <c r="F433" t="str">
        <f>'[1]2021 УГРЦТ'!F436</f>
        <v>Цех электрических сетей</v>
      </c>
      <c r="G433">
        <f>'[1]2021 УГРЦТ'!AC436</f>
        <v>240</v>
      </c>
      <c r="H433" s="7">
        <f>'[1]2021 УГРЦТ'!X436</f>
        <v>205002.26</v>
      </c>
      <c r="I433" s="7">
        <f>'[1]2021 УГРЦТ'!Y436</f>
        <v>110189.173</v>
      </c>
      <c r="J433" s="7">
        <f>'[1]2021 УГРЦТ'!Z436</f>
        <v>94813.087000000014</v>
      </c>
      <c r="K433" s="8">
        <v>0</v>
      </c>
      <c r="L433" s="7">
        <v>854.18000000000018</v>
      </c>
      <c r="M433" s="7"/>
      <c r="N433" s="7">
        <f t="shared" si="2270"/>
        <v>10250.160000000002</v>
      </c>
      <c r="O433" s="7">
        <f t="shared" si="1984"/>
        <v>93958.907000000021</v>
      </c>
      <c r="P433" s="7">
        <f t="shared" si="2362"/>
        <v>93104.727000000028</v>
      </c>
      <c r="Q433" s="7">
        <f t="shared" si="2362"/>
        <v>92250.547000000035</v>
      </c>
      <c r="R433" s="7">
        <f t="shared" si="2362"/>
        <v>91396.367000000042</v>
      </c>
      <c r="S433" s="7">
        <f t="shared" si="2362"/>
        <v>90542.187000000049</v>
      </c>
      <c r="T433" s="7">
        <f t="shared" si="2362"/>
        <v>89688.007000000056</v>
      </c>
      <c r="U433" s="7">
        <f t="shared" si="2362"/>
        <v>88833.827000000063</v>
      </c>
      <c r="V433" s="7">
        <f t="shared" si="2362"/>
        <v>87979.64700000007</v>
      </c>
      <c r="W433" s="7">
        <f t="shared" si="2362"/>
        <v>87125.467000000077</v>
      </c>
      <c r="X433" s="7">
        <f t="shared" si="2362"/>
        <v>86271.287000000084</v>
      </c>
      <c r="Y433" s="7">
        <f t="shared" si="2362"/>
        <v>85417.107000000091</v>
      </c>
      <c r="Z433" s="7">
        <f t="shared" si="2362"/>
        <v>84562.927000000098</v>
      </c>
      <c r="AA433" s="7"/>
      <c r="AB433" s="7"/>
      <c r="AC433" s="7">
        <f t="shared" si="1985"/>
        <v>10250.160000000002</v>
      </c>
      <c r="AD433" s="7">
        <f t="shared" si="1986"/>
        <v>83708.747000000105</v>
      </c>
      <c r="AE433" s="7">
        <f t="shared" si="2363"/>
        <v>82854.567000000112</v>
      </c>
      <c r="AF433" s="7">
        <f t="shared" si="2363"/>
        <v>82000.387000000119</v>
      </c>
      <c r="AG433" s="7">
        <f t="shared" si="2363"/>
        <v>81146.207000000126</v>
      </c>
      <c r="AH433" s="7">
        <f t="shared" si="2363"/>
        <v>80292.027000000133</v>
      </c>
      <c r="AI433" s="7">
        <f t="shared" si="2363"/>
        <v>79437.84700000014</v>
      </c>
      <c r="AJ433" s="7">
        <f t="shared" si="2363"/>
        <v>78583.667000000147</v>
      </c>
      <c r="AK433" s="7">
        <f t="shared" si="2363"/>
        <v>77729.487000000154</v>
      </c>
      <c r="AL433" s="7">
        <f t="shared" si="2363"/>
        <v>76875.307000000161</v>
      </c>
      <c r="AM433" s="7">
        <f t="shared" si="2363"/>
        <v>76021.127000000168</v>
      </c>
      <c r="AN433" s="7">
        <f t="shared" si="2363"/>
        <v>75166.947000000175</v>
      </c>
      <c r="AO433" s="7">
        <f t="shared" si="2363"/>
        <v>74312.767000000182</v>
      </c>
      <c r="AP433" s="222"/>
      <c r="AQ433" s="7">
        <v>854.18000000000018</v>
      </c>
      <c r="AR433" s="7">
        <f t="shared" si="1987"/>
        <v>854.17999999999302</v>
      </c>
      <c r="AS433" s="7">
        <f t="shared" si="1988"/>
        <v>-7.1622707764618099E-12</v>
      </c>
      <c r="AT433" s="7">
        <f t="shared" si="2364"/>
        <v>10250.160000000002</v>
      </c>
      <c r="AU433" s="7">
        <f>AO433-$L433</f>
        <v>73458.587000000189</v>
      </c>
      <c r="AV433" s="7">
        <f t="shared" si="2365"/>
        <v>72604.407000000196</v>
      </c>
      <c r="AW433" s="7">
        <f t="shared" si="2365"/>
        <v>71750.227000000203</v>
      </c>
      <c r="AX433" s="7">
        <f t="shared" si="2365"/>
        <v>70896.04700000021</v>
      </c>
      <c r="AY433" s="7">
        <f t="shared" si="2365"/>
        <v>70041.867000000217</v>
      </c>
      <c r="AZ433" s="7">
        <f t="shared" si="2365"/>
        <v>69187.687000000224</v>
      </c>
      <c r="BA433" s="7">
        <f t="shared" si="2365"/>
        <v>68333.507000000231</v>
      </c>
      <c r="BB433" s="7">
        <f t="shared" si="2365"/>
        <v>67479.327000000238</v>
      </c>
      <c r="BC433" s="7">
        <f t="shared" si="2365"/>
        <v>66625.147000000245</v>
      </c>
      <c r="BD433" s="7">
        <f t="shared" si="2365"/>
        <v>65770.967000000252</v>
      </c>
      <c r="BE433" s="7">
        <f t="shared" si="2365"/>
        <v>64916.787000000251</v>
      </c>
      <c r="BF433" s="7">
        <f t="shared" si="2365"/>
        <v>64062.607000000251</v>
      </c>
      <c r="BG433" s="236">
        <f t="shared" si="1983"/>
        <v>0</v>
      </c>
      <c r="BH433" s="7">
        <v>854.18000000000018</v>
      </c>
      <c r="BI433" s="39">
        <f>BH433*12</f>
        <v>10250.160000000002</v>
      </c>
      <c r="BJ433" s="7">
        <f>BF433-BH433</f>
        <v>63208.427000000251</v>
      </c>
      <c r="BK433" s="7">
        <f t="shared" si="2366"/>
        <v>62354.24700000025</v>
      </c>
      <c r="BL433" s="7">
        <f t="shared" si="2367"/>
        <v>61500.06700000025</v>
      </c>
      <c r="BM433" s="7">
        <f t="shared" si="2368"/>
        <v>60645.88700000025</v>
      </c>
      <c r="BN433" s="7">
        <f t="shared" si="2369"/>
        <v>59791.70700000025</v>
      </c>
      <c r="BO433" s="7">
        <f t="shared" si="2370"/>
        <v>58937.527000000249</v>
      </c>
      <c r="BP433" s="7">
        <f t="shared" si="2371"/>
        <v>58083.347000000249</v>
      </c>
      <c r="BQ433" s="7">
        <f t="shared" si="2372"/>
        <v>57229.167000000249</v>
      </c>
      <c r="BR433" s="7">
        <f t="shared" si="2373"/>
        <v>56374.987000000248</v>
      </c>
      <c r="BS433" s="7">
        <f t="shared" si="2374"/>
        <v>55520.807000000248</v>
      </c>
      <c r="BT433" s="7">
        <f t="shared" si="2375"/>
        <v>54666.627000000248</v>
      </c>
      <c r="BU433" s="7">
        <f t="shared" si="2376"/>
        <v>53812.447000000247</v>
      </c>
      <c r="BV433" s="236">
        <v>0</v>
      </c>
      <c r="BW433" s="7">
        <v>854.18000000000018</v>
      </c>
      <c r="BX433" s="39">
        <f>BW433*12</f>
        <v>10250.160000000002</v>
      </c>
      <c r="BY433" s="7">
        <f>BU433-BW433</f>
        <v>52958.267000000247</v>
      </c>
      <c r="BZ433" s="7">
        <f t="shared" si="2377"/>
        <v>52104.087000000247</v>
      </c>
      <c r="CA433" s="7">
        <f t="shared" si="2378"/>
        <v>51249.907000000247</v>
      </c>
      <c r="CB433" s="7">
        <f t="shared" si="2379"/>
        <v>50395.727000000246</v>
      </c>
      <c r="CC433" s="7">
        <f t="shared" si="2380"/>
        <v>49541.547000000246</v>
      </c>
      <c r="CD433" s="7">
        <f t="shared" si="2381"/>
        <v>48687.367000000246</v>
      </c>
      <c r="CE433" s="7">
        <f t="shared" si="2382"/>
        <v>47833.187000000245</v>
      </c>
      <c r="CF433" s="7">
        <f t="shared" si="2383"/>
        <v>46979.007000000245</v>
      </c>
      <c r="CG433" s="7">
        <f t="shared" si="2384"/>
        <v>46124.827000000245</v>
      </c>
      <c r="CH433" s="7">
        <f t="shared" si="2385"/>
        <v>45270.647000000245</v>
      </c>
      <c r="CI433" s="7">
        <f t="shared" si="2386"/>
        <v>44416.467000000244</v>
      </c>
      <c r="CJ433" s="7">
        <f t="shared" si="2387"/>
        <v>43562.287000000244</v>
      </c>
      <c r="CK433" s="236">
        <v>0</v>
      </c>
      <c r="CL433" s="7">
        <v>854.18000000000018</v>
      </c>
      <c r="CM433" s="39">
        <f>CL433*12</f>
        <v>10250.160000000002</v>
      </c>
      <c r="CN433" s="7">
        <f>CJ433-CL433</f>
        <v>42708.107000000244</v>
      </c>
      <c r="CO433" s="7">
        <f t="shared" si="2388"/>
        <v>41853.927000000243</v>
      </c>
      <c r="CP433" s="7">
        <f t="shared" si="2389"/>
        <v>40999.747000000243</v>
      </c>
      <c r="CQ433" s="7">
        <f t="shared" si="2390"/>
        <v>40145.567000000243</v>
      </c>
      <c r="CR433" s="7">
        <f t="shared" si="2391"/>
        <v>39291.387000000243</v>
      </c>
      <c r="CS433" s="7">
        <f t="shared" si="2392"/>
        <v>38437.207000000242</v>
      </c>
      <c r="CT433" s="7">
        <f t="shared" si="2393"/>
        <v>37583.027000000242</v>
      </c>
      <c r="CU433" s="7">
        <f t="shared" si="2394"/>
        <v>36728.847000000242</v>
      </c>
      <c r="CV433" s="7">
        <f t="shared" si="2395"/>
        <v>35874.667000000241</v>
      </c>
      <c r="CW433" s="7">
        <f t="shared" si="2396"/>
        <v>35020.487000000241</v>
      </c>
      <c r="CX433" s="7">
        <f t="shared" si="2397"/>
        <v>34166.307000000241</v>
      </c>
      <c r="CY433" s="7">
        <f t="shared" si="2398"/>
        <v>33312.127000000241</v>
      </c>
      <c r="CZ433" s="236">
        <v>0</v>
      </c>
    </row>
    <row r="434" spans="1:104" x14ac:dyDescent="0.2">
      <c r="A434" s="6" t="str">
        <f>'[1]2021 УГРЦТ'!A437</f>
        <v>Трансформатор масляный ТМГ 400/6/0,4У/Ун-0 зав.№1484</v>
      </c>
      <c r="B434" t="str">
        <f>'[1]2021 УГРЦТ'!B437</f>
        <v>00001351</v>
      </c>
      <c r="C434" t="str">
        <f>'[1]2021 УГРЦТ'!C437</f>
        <v>ПЕРЕДАЧА</v>
      </c>
      <c r="D434" t="str">
        <f>'[1]2021 УГРЦТ'!D437</f>
        <v>Машины и оборудование (кроме офисного)</v>
      </c>
      <c r="E434" t="str">
        <f>'[1]2021 УГРЦТ'!E437</f>
        <v>15.03.2011</v>
      </c>
      <c r="F434" t="str">
        <f>'[1]2021 УГРЦТ'!F437</f>
        <v>Цех электрических сетей</v>
      </c>
      <c r="G434">
        <f>'[1]2021 УГРЦТ'!AC437</f>
        <v>240</v>
      </c>
      <c r="H434" s="7">
        <f>'[1]2021 УГРЦТ'!X437</f>
        <v>205002.26</v>
      </c>
      <c r="I434" s="7">
        <f>'[1]2021 УГРЦТ'!Y437</f>
        <v>110189.173</v>
      </c>
      <c r="J434" s="7">
        <f>'[1]2021 УГРЦТ'!Z437</f>
        <v>94813.087000000014</v>
      </c>
      <c r="K434" s="8">
        <v>0</v>
      </c>
      <c r="L434" s="7">
        <v>854.18000000000018</v>
      </c>
      <c r="M434" s="7"/>
      <c r="N434" s="7">
        <f t="shared" si="2270"/>
        <v>10250.160000000002</v>
      </c>
      <c r="O434" s="7">
        <f t="shared" si="1984"/>
        <v>93958.907000000021</v>
      </c>
      <c r="P434" s="7">
        <f t="shared" si="2362"/>
        <v>93104.727000000028</v>
      </c>
      <c r="Q434" s="7">
        <f t="shared" si="2362"/>
        <v>92250.547000000035</v>
      </c>
      <c r="R434" s="7">
        <f t="shared" si="2362"/>
        <v>91396.367000000042</v>
      </c>
      <c r="S434" s="7">
        <f t="shared" si="2362"/>
        <v>90542.187000000049</v>
      </c>
      <c r="T434" s="7">
        <f t="shared" si="2362"/>
        <v>89688.007000000056</v>
      </c>
      <c r="U434" s="7">
        <f t="shared" si="2362"/>
        <v>88833.827000000063</v>
      </c>
      <c r="V434" s="7">
        <f t="shared" si="2362"/>
        <v>87979.64700000007</v>
      </c>
      <c r="W434" s="7">
        <f t="shared" si="2362"/>
        <v>87125.467000000077</v>
      </c>
      <c r="X434" s="7">
        <f t="shared" si="2362"/>
        <v>86271.287000000084</v>
      </c>
      <c r="Y434" s="7">
        <f t="shared" si="2362"/>
        <v>85417.107000000091</v>
      </c>
      <c r="Z434" s="7">
        <f t="shared" si="2362"/>
        <v>84562.927000000098</v>
      </c>
      <c r="AA434" s="7"/>
      <c r="AB434" s="7"/>
      <c r="AC434" s="7">
        <f t="shared" si="1985"/>
        <v>10250.160000000002</v>
      </c>
      <c r="AD434" s="7">
        <f t="shared" si="1986"/>
        <v>83708.747000000105</v>
      </c>
      <c r="AE434" s="7">
        <f t="shared" si="2363"/>
        <v>82854.567000000112</v>
      </c>
      <c r="AF434" s="7">
        <f t="shared" si="2363"/>
        <v>82000.387000000119</v>
      </c>
      <c r="AG434" s="7">
        <f t="shared" si="2363"/>
        <v>81146.207000000126</v>
      </c>
      <c r="AH434" s="7">
        <f t="shared" si="2363"/>
        <v>80292.027000000133</v>
      </c>
      <c r="AI434" s="7">
        <f t="shared" si="2363"/>
        <v>79437.84700000014</v>
      </c>
      <c r="AJ434" s="7">
        <f t="shared" si="2363"/>
        <v>78583.667000000147</v>
      </c>
      <c r="AK434" s="7">
        <f t="shared" si="2363"/>
        <v>77729.487000000154</v>
      </c>
      <c r="AL434" s="7">
        <f t="shared" si="2363"/>
        <v>76875.307000000161</v>
      </c>
      <c r="AM434" s="7">
        <f t="shared" si="2363"/>
        <v>76021.127000000168</v>
      </c>
      <c r="AN434" s="7">
        <f t="shared" si="2363"/>
        <v>75166.947000000175</v>
      </c>
      <c r="AO434" s="7">
        <f t="shared" si="2363"/>
        <v>74312.767000000182</v>
      </c>
      <c r="AP434" s="222"/>
      <c r="AQ434" s="7">
        <v>854.18000000000018</v>
      </c>
      <c r="AR434" s="7">
        <f t="shared" si="1987"/>
        <v>854.17999999999302</v>
      </c>
      <c r="AS434" s="7">
        <f t="shared" si="1988"/>
        <v>-7.1622707764618099E-12</v>
      </c>
      <c r="AT434" s="7">
        <f t="shared" si="2364"/>
        <v>10250.160000000002</v>
      </c>
      <c r="AU434" s="7">
        <f>AO434-$L434</f>
        <v>73458.587000000189</v>
      </c>
      <c r="AV434" s="7">
        <f t="shared" si="2365"/>
        <v>72604.407000000196</v>
      </c>
      <c r="AW434" s="7">
        <f t="shared" si="2365"/>
        <v>71750.227000000203</v>
      </c>
      <c r="AX434" s="7">
        <f t="shared" si="2365"/>
        <v>70896.04700000021</v>
      </c>
      <c r="AY434" s="7">
        <f t="shared" si="2365"/>
        <v>70041.867000000217</v>
      </c>
      <c r="AZ434" s="7">
        <f t="shared" si="2365"/>
        <v>69187.687000000224</v>
      </c>
      <c r="BA434" s="7">
        <f t="shared" si="2365"/>
        <v>68333.507000000231</v>
      </c>
      <c r="BB434" s="7">
        <f t="shared" si="2365"/>
        <v>67479.327000000238</v>
      </c>
      <c r="BC434" s="7">
        <f t="shared" si="2365"/>
        <v>66625.147000000245</v>
      </c>
      <c r="BD434" s="7">
        <f t="shared" si="2365"/>
        <v>65770.967000000252</v>
      </c>
      <c r="BE434" s="7">
        <f t="shared" si="2365"/>
        <v>64916.787000000251</v>
      </c>
      <c r="BF434" s="7">
        <f t="shared" si="2365"/>
        <v>64062.607000000251</v>
      </c>
      <c r="BG434" s="236">
        <f t="shared" si="1983"/>
        <v>0</v>
      </c>
      <c r="BH434" s="7">
        <v>854.18000000000018</v>
      </c>
      <c r="BI434" s="39">
        <f>BH434*12</f>
        <v>10250.160000000002</v>
      </c>
      <c r="BJ434" s="7">
        <f>BF434-BH434</f>
        <v>63208.427000000251</v>
      </c>
      <c r="BK434" s="7">
        <f t="shared" si="2366"/>
        <v>62354.24700000025</v>
      </c>
      <c r="BL434" s="7">
        <f t="shared" si="2367"/>
        <v>61500.06700000025</v>
      </c>
      <c r="BM434" s="7">
        <f t="shared" si="2368"/>
        <v>60645.88700000025</v>
      </c>
      <c r="BN434" s="7">
        <f t="shared" si="2369"/>
        <v>59791.70700000025</v>
      </c>
      <c r="BO434" s="7">
        <f t="shared" si="2370"/>
        <v>58937.527000000249</v>
      </c>
      <c r="BP434" s="7">
        <f t="shared" si="2371"/>
        <v>58083.347000000249</v>
      </c>
      <c r="BQ434" s="7">
        <f t="shared" si="2372"/>
        <v>57229.167000000249</v>
      </c>
      <c r="BR434" s="7">
        <f t="shared" si="2373"/>
        <v>56374.987000000248</v>
      </c>
      <c r="BS434" s="7">
        <f t="shared" si="2374"/>
        <v>55520.807000000248</v>
      </c>
      <c r="BT434" s="7">
        <f t="shared" si="2375"/>
        <v>54666.627000000248</v>
      </c>
      <c r="BU434" s="7">
        <f t="shared" si="2376"/>
        <v>53812.447000000247</v>
      </c>
      <c r="BV434" s="236">
        <v>0</v>
      </c>
      <c r="BW434" s="7">
        <v>854.18000000000018</v>
      </c>
      <c r="BX434" s="39">
        <f>BW434*12</f>
        <v>10250.160000000002</v>
      </c>
      <c r="BY434" s="7">
        <f>BU434-BW434</f>
        <v>52958.267000000247</v>
      </c>
      <c r="BZ434" s="7">
        <f t="shared" si="2377"/>
        <v>52104.087000000247</v>
      </c>
      <c r="CA434" s="7">
        <f t="shared" si="2378"/>
        <v>51249.907000000247</v>
      </c>
      <c r="CB434" s="7">
        <f t="shared" si="2379"/>
        <v>50395.727000000246</v>
      </c>
      <c r="CC434" s="7">
        <f t="shared" si="2380"/>
        <v>49541.547000000246</v>
      </c>
      <c r="CD434" s="7">
        <f t="shared" si="2381"/>
        <v>48687.367000000246</v>
      </c>
      <c r="CE434" s="7">
        <f t="shared" si="2382"/>
        <v>47833.187000000245</v>
      </c>
      <c r="CF434" s="7">
        <f t="shared" si="2383"/>
        <v>46979.007000000245</v>
      </c>
      <c r="CG434" s="7">
        <f t="shared" si="2384"/>
        <v>46124.827000000245</v>
      </c>
      <c r="CH434" s="7">
        <f t="shared" si="2385"/>
        <v>45270.647000000245</v>
      </c>
      <c r="CI434" s="7">
        <f t="shared" si="2386"/>
        <v>44416.467000000244</v>
      </c>
      <c r="CJ434" s="7">
        <f t="shared" si="2387"/>
        <v>43562.287000000244</v>
      </c>
      <c r="CK434" s="236">
        <v>0</v>
      </c>
      <c r="CL434" s="7">
        <v>854.18000000000018</v>
      </c>
      <c r="CM434" s="39">
        <f>CL434*12</f>
        <v>10250.160000000002</v>
      </c>
      <c r="CN434" s="7">
        <f>CJ434-CL434</f>
        <v>42708.107000000244</v>
      </c>
      <c r="CO434" s="7">
        <f t="shared" si="2388"/>
        <v>41853.927000000243</v>
      </c>
      <c r="CP434" s="7">
        <f t="shared" si="2389"/>
        <v>40999.747000000243</v>
      </c>
      <c r="CQ434" s="7">
        <f t="shared" si="2390"/>
        <v>40145.567000000243</v>
      </c>
      <c r="CR434" s="7">
        <f t="shared" si="2391"/>
        <v>39291.387000000243</v>
      </c>
      <c r="CS434" s="7">
        <f t="shared" si="2392"/>
        <v>38437.207000000242</v>
      </c>
      <c r="CT434" s="7">
        <f t="shared" si="2393"/>
        <v>37583.027000000242</v>
      </c>
      <c r="CU434" s="7">
        <f t="shared" si="2394"/>
        <v>36728.847000000242</v>
      </c>
      <c r="CV434" s="7">
        <f t="shared" si="2395"/>
        <v>35874.667000000241</v>
      </c>
      <c r="CW434" s="7">
        <f t="shared" si="2396"/>
        <v>35020.487000000241</v>
      </c>
      <c r="CX434" s="7">
        <f t="shared" si="2397"/>
        <v>34166.307000000241</v>
      </c>
      <c r="CY434" s="7">
        <f t="shared" si="2398"/>
        <v>33312.127000000241</v>
      </c>
      <c r="CZ434" s="236">
        <v>0</v>
      </c>
    </row>
    <row r="435" spans="1:104" x14ac:dyDescent="0.2">
      <c r="A435" s="6" t="str">
        <f>'[1]2021 УГРЦТ'!A438</f>
        <v>Трансформатор МГ400/6 Ленина35б №1 1613837 Бела-сь</v>
      </c>
      <c r="B435" t="str">
        <f>'[1]2021 УГРЦТ'!B438</f>
        <v>00001124</v>
      </c>
      <c r="C435" t="str">
        <f>'[1]2021 УГРЦТ'!C438</f>
        <v>ПЕРЕДАЧА</v>
      </c>
      <c r="D435" t="str">
        <f>'[1]2021 УГРЦТ'!D438</f>
        <v>Машины и оборудование (кроме офисного)</v>
      </c>
      <c r="E435" t="str">
        <f>'[1]2021 УГРЦТ'!E438</f>
        <v>31.07.2009</v>
      </c>
      <c r="F435" t="str">
        <f>'[1]2021 УГРЦТ'!F438</f>
        <v>Цех электрических сетей</v>
      </c>
      <c r="G435">
        <f>'[1]2021 УГРЦТ'!AC438</f>
        <v>180</v>
      </c>
      <c r="H435" s="7">
        <f>'[1]2021 УГРЦТ'!X438</f>
        <v>232247.67</v>
      </c>
      <c r="I435" s="7">
        <f>'[1]2021 УГРЦТ'!Y438</f>
        <v>192248.79799999998</v>
      </c>
      <c r="J435" s="7">
        <f>'[1]2021 УГРЦТ'!Z438</f>
        <v>39998.872000000032</v>
      </c>
      <c r="K435" s="8">
        <v>0</v>
      </c>
      <c r="L435" s="7">
        <v>1290.26</v>
      </c>
      <c r="M435" s="7"/>
      <c r="N435" s="7">
        <f t="shared" si="2270"/>
        <v>15483.119999999999</v>
      </c>
      <c r="O435" s="7">
        <f t="shared" si="1984"/>
        <v>38708.61200000003</v>
      </c>
      <c r="P435" s="7">
        <f t="shared" si="2362"/>
        <v>37418.352000000028</v>
      </c>
      <c r="Q435" s="7">
        <f t="shared" si="2362"/>
        <v>36128.092000000026</v>
      </c>
      <c r="R435" s="7">
        <f t="shared" si="2362"/>
        <v>34837.832000000024</v>
      </c>
      <c r="S435" s="7">
        <f t="shared" si="2362"/>
        <v>33547.572000000022</v>
      </c>
      <c r="T435" s="7">
        <f t="shared" si="2362"/>
        <v>32257.312000000024</v>
      </c>
      <c r="U435" s="7">
        <f t="shared" si="2362"/>
        <v>30967.052000000025</v>
      </c>
      <c r="V435" s="7">
        <f t="shared" si="2362"/>
        <v>29676.792000000027</v>
      </c>
      <c r="W435" s="7">
        <f t="shared" si="2362"/>
        <v>28386.532000000028</v>
      </c>
      <c r="X435" s="7">
        <f t="shared" si="2362"/>
        <v>27096.27200000003</v>
      </c>
      <c r="Y435" s="7">
        <f t="shared" si="2362"/>
        <v>25806.012000000032</v>
      </c>
      <c r="Z435" s="7">
        <f t="shared" si="2362"/>
        <v>24515.752000000033</v>
      </c>
      <c r="AA435" s="7"/>
      <c r="AB435" s="7"/>
      <c r="AC435" s="7">
        <f t="shared" si="1985"/>
        <v>15483.119999999999</v>
      </c>
      <c r="AD435" s="7">
        <f t="shared" si="1986"/>
        <v>23225.492000000035</v>
      </c>
      <c r="AE435" s="7">
        <f t="shared" si="2363"/>
        <v>21935.232000000036</v>
      </c>
      <c r="AF435" s="7">
        <f t="shared" si="2363"/>
        <v>20644.972000000038</v>
      </c>
      <c r="AG435" s="7">
        <f t="shared" si="2363"/>
        <v>19354.71200000004</v>
      </c>
      <c r="AH435" s="7">
        <f t="shared" si="2363"/>
        <v>18064.452000000041</v>
      </c>
      <c r="AI435" s="7">
        <f t="shared" si="2363"/>
        <v>16774.192000000043</v>
      </c>
      <c r="AJ435" s="7">
        <f t="shared" si="2363"/>
        <v>15483.932000000043</v>
      </c>
      <c r="AK435" s="7">
        <f t="shared" si="2363"/>
        <v>14193.672000000042</v>
      </c>
      <c r="AL435" s="7">
        <f t="shared" si="2363"/>
        <v>12903.412000000042</v>
      </c>
      <c r="AM435" s="7">
        <f t="shared" si="2363"/>
        <v>11613.152000000042</v>
      </c>
      <c r="AN435" s="7">
        <f t="shared" si="2363"/>
        <v>10322.892000000042</v>
      </c>
      <c r="AO435" s="7">
        <f t="shared" si="2363"/>
        <v>9032.6320000000414</v>
      </c>
      <c r="AP435" s="222"/>
      <c r="AQ435" s="7">
        <v>1290.26</v>
      </c>
      <c r="AR435" s="7">
        <f t="shared" si="1987"/>
        <v>1290.2600000000002</v>
      </c>
      <c r="AS435" s="7">
        <f t="shared" si="1988"/>
        <v>0</v>
      </c>
      <c r="AT435" s="7">
        <f>L435*7+0.81</f>
        <v>9032.6299999999992</v>
      </c>
      <c r="AU435" s="7">
        <f>AO435-$L435</f>
        <v>7742.3720000000412</v>
      </c>
      <c r="AV435" s="7">
        <f t="shared" si="2365"/>
        <v>6452.112000000041</v>
      </c>
      <c r="AW435" s="7">
        <f t="shared" si="2365"/>
        <v>5161.8520000000408</v>
      </c>
      <c r="AX435" s="7">
        <f t="shared" si="2365"/>
        <v>3871.5920000000406</v>
      </c>
      <c r="AY435" s="7">
        <f t="shared" si="2365"/>
        <v>2581.3320000000404</v>
      </c>
      <c r="AZ435" s="7">
        <f t="shared" si="2365"/>
        <v>1291.0720000000404</v>
      </c>
      <c r="BA435" s="7">
        <f t="shared" si="2365"/>
        <v>0.81200000004037065</v>
      </c>
      <c r="BB435" s="7">
        <f>BA435-0.81</f>
        <v>2.0000000403705975E-3</v>
      </c>
      <c r="BC435" s="7">
        <f t="shared" ref="BC435:BF436" si="2399">BB435-$L435*0</f>
        <v>2.0000000403705975E-3</v>
      </c>
      <c r="BD435" s="7">
        <f t="shared" si="2399"/>
        <v>2.0000000403705975E-3</v>
      </c>
      <c r="BE435" s="7">
        <f t="shared" si="2399"/>
        <v>2.0000000403705975E-3</v>
      </c>
      <c r="BF435" s="7">
        <f t="shared" si="2399"/>
        <v>2.0000000403705975E-3</v>
      </c>
      <c r="BG435" s="236">
        <f t="shared" si="1983"/>
        <v>0</v>
      </c>
      <c r="BH435" s="7">
        <v>1290.26</v>
      </c>
      <c r="BI435" s="39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236">
        <f t="shared" ref="BV435:BV440" si="2400">IF(Z435&lt;1,0,SUM(BJ435:BU435,BF435)/13*$BG$1)</f>
        <v>3.384615452934857E-6</v>
      </c>
      <c r="BW435" s="7">
        <v>1290.26</v>
      </c>
      <c r="BX435" s="39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236">
        <f t="shared" ref="CK435:CK440" si="2401">IF(AO435&lt;1,0,SUM(BY435:CJ435,BU435)/13*$BG$1)</f>
        <v>0</v>
      </c>
      <c r="CL435" s="7">
        <v>1290.26</v>
      </c>
      <c r="CM435" s="39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236">
        <f t="shared" ref="CZ435:CZ440" si="2402">IF(BF435&lt;1,0,SUM(CN435:CY435,CJ435)/13*$BG$1)</f>
        <v>0</v>
      </c>
    </row>
    <row r="436" spans="1:104" x14ac:dyDescent="0.2">
      <c r="A436" s="6" t="str">
        <f>'[1]2021 УГРЦТ'!A439</f>
        <v>Трансформатор МГ400/6 Ленина35б №2 1512482 Бела-сь</v>
      </c>
      <c r="B436" t="str">
        <f>'[1]2021 УГРЦТ'!B439</f>
        <v>00001125</v>
      </c>
      <c r="C436" t="str">
        <f>'[1]2021 УГРЦТ'!C439</f>
        <v>ПЕРЕДАЧА</v>
      </c>
      <c r="D436" t="str">
        <f>'[1]2021 УГРЦТ'!D439</f>
        <v>Машины и оборудование (кроме офисного)</v>
      </c>
      <c r="E436" t="str">
        <f>'[1]2021 УГРЦТ'!E439</f>
        <v>31.07.2009</v>
      </c>
      <c r="F436" t="str">
        <f>'[1]2021 УГРЦТ'!F439</f>
        <v>Цех электрических сетей</v>
      </c>
      <c r="G436">
        <f>'[1]2021 УГРЦТ'!AC439</f>
        <v>180</v>
      </c>
      <c r="H436" s="7">
        <f>'[1]2021 УГРЦТ'!X439</f>
        <v>232247.67</v>
      </c>
      <c r="I436" s="7">
        <f>'[1]2021 УГРЦТ'!Y439</f>
        <v>192248.79799999998</v>
      </c>
      <c r="J436" s="7">
        <f>'[1]2021 УГРЦТ'!Z439</f>
        <v>39998.872000000032</v>
      </c>
      <c r="K436" s="8">
        <v>0</v>
      </c>
      <c r="L436" s="7">
        <v>1290.26</v>
      </c>
      <c r="M436" s="7"/>
      <c r="N436" s="7">
        <f t="shared" si="2270"/>
        <v>15483.119999999999</v>
      </c>
      <c r="O436" s="7">
        <f t="shared" si="1984"/>
        <v>38708.61200000003</v>
      </c>
      <c r="P436" s="7">
        <f t="shared" si="2362"/>
        <v>37418.352000000028</v>
      </c>
      <c r="Q436" s="7">
        <f t="shared" si="2362"/>
        <v>36128.092000000026</v>
      </c>
      <c r="R436" s="7">
        <f t="shared" si="2362"/>
        <v>34837.832000000024</v>
      </c>
      <c r="S436" s="7">
        <f t="shared" si="2362"/>
        <v>33547.572000000022</v>
      </c>
      <c r="T436" s="7">
        <f t="shared" si="2362"/>
        <v>32257.312000000024</v>
      </c>
      <c r="U436" s="7">
        <f t="shared" si="2362"/>
        <v>30967.052000000025</v>
      </c>
      <c r="V436" s="7">
        <f t="shared" si="2362"/>
        <v>29676.792000000027</v>
      </c>
      <c r="W436" s="7">
        <f t="shared" si="2362"/>
        <v>28386.532000000028</v>
      </c>
      <c r="X436" s="7">
        <f t="shared" si="2362"/>
        <v>27096.27200000003</v>
      </c>
      <c r="Y436" s="7">
        <f t="shared" si="2362"/>
        <v>25806.012000000032</v>
      </c>
      <c r="Z436" s="7">
        <f t="shared" si="2362"/>
        <v>24515.752000000033</v>
      </c>
      <c r="AA436" s="7"/>
      <c r="AB436" s="7"/>
      <c r="AC436" s="7">
        <f t="shared" si="1985"/>
        <v>15483.119999999999</v>
      </c>
      <c r="AD436" s="7">
        <f t="shared" si="1986"/>
        <v>23225.492000000035</v>
      </c>
      <c r="AE436" s="7">
        <f t="shared" si="2363"/>
        <v>21935.232000000036</v>
      </c>
      <c r="AF436" s="7">
        <f t="shared" si="2363"/>
        <v>20644.972000000038</v>
      </c>
      <c r="AG436" s="7">
        <f t="shared" si="2363"/>
        <v>19354.71200000004</v>
      </c>
      <c r="AH436" s="7">
        <f t="shared" si="2363"/>
        <v>18064.452000000041</v>
      </c>
      <c r="AI436" s="7">
        <f t="shared" si="2363"/>
        <v>16774.192000000043</v>
      </c>
      <c r="AJ436" s="7">
        <f t="shared" si="2363"/>
        <v>15483.932000000043</v>
      </c>
      <c r="AK436" s="7">
        <f t="shared" si="2363"/>
        <v>14193.672000000042</v>
      </c>
      <c r="AL436" s="7">
        <f t="shared" si="2363"/>
        <v>12903.412000000042</v>
      </c>
      <c r="AM436" s="7">
        <f t="shared" si="2363"/>
        <v>11613.152000000042</v>
      </c>
      <c r="AN436" s="7">
        <f t="shared" si="2363"/>
        <v>10322.892000000042</v>
      </c>
      <c r="AO436" s="7">
        <f t="shared" si="2363"/>
        <v>9032.6320000000414</v>
      </c>
      <c r="AP436" s="222"/>
      <c r="AQ436" s="7">
        <v>1290.26</v>
      </c>
      <c r="AR436" s="7">
        <f t="shared" si="1987"/>
        <v>1290.2600000000002</v>
      </c>
      <c r="AS436" s="7">
        <f t="shared" si="1988"/>
        <v>0</v>
      </c>
      <c r="AT436" s="7">
        <f>L436*7+0.81</f>
        <v>9032.6299999999992</v>
      </c>
      <c r="AU436" s="7">
        <f>AO436-$L436</f>
        <v>7742.3720000000412</v>
      </c>
      <c r="AV436" s="7">
        <f t="shared" si="2365"/>
        <v>6452.112000000041</v>
      </c>
      <c r="AW436" s="7">
        <f t="shared" si="2365"/>
        <v>5161.8520000000408</v>
      </c>
      <c r="AX436" s="7">
        <f t="shared" si="2365"/>
        <v>3871.5920000000406</v>
      </c>
      <c r="AY436" s="7">
        <f t="shared" si="2365"/>
        <v>2581.3320000000404</v>
      </c>
      <c r="AZ436" s="7">
        <f t="shared" si="2365"/>
        <v>1291.0720000000404</v>
      </c>
      <c r="BA436" s="7">
        <f t="shared" si="2365"/>
        <v>0.81200000004037065</v>
      </c>
      <c r="BB436" s="7">
        <f>BA436-0.81</f>
        <v>2.0000000403705975E-3</v>
      </c>
      <c r="BC436" s="7">
        <f t="shared" si="2399"/>
        <v>2.0000000403705975E-3</v>
      </c>
      <c r="BD436" s="7">
        <f t="shared" si="2399"/>
        <v>2.0000000403705975E-3</v>
      </c>
      <c r="BE436" s="7">
        <f t="shared" si="2399"/>
        <v>2.0000000403705975E-3</v>
      </c>
      <c r="BF436" s="7">
        <f t="shared" si="2399"/>
        <v>2.0000000403705975E-3</v>
      </c>
      <c r="BG436" s="236">
        <f t="shared" si="1983"/>
        <v>0</v>
      </c>
      <c r="BH436" s="7">
        <v>1290.26</v>
      </c>
      <c r="BI436" s="39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236">
        <f t="shared" si="2400"/>
        <v>3.384615452934857E-6</v>
      </c>
      <c r="BW436" s="7">
        <v>1290.26</v>
      </c>
      <c r="BX436" s="39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236">
        <f t="shared" si="2401"/>
        <v>0</v>
      </c>
      <c r="CL436" s="7">
        <v>1290.26</v>
      </c>
      <c r="CM436" s="39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236">
        <f t="shared" si="2402"/>
        <v>0</v>
      </c>
    </row>
    <row r="437" spans="1:104" x14ac:dyDescent="0.2">
      <c r="A437" s="6" t="str">
        <f>'[1]2021 УГРЦТ'!A440</f>
        <v>Трансформатор ТМ 250/6 №1 №906091</v>
      </c>
      <c r="B437" t="str">
        <f>'[1]2021 УГРЦТ'!B440</f>
        <v>00001100</v>
      </c>
      <c r="C437" t="str">
        <f>'[1]2021 УГРЦТ'!C440</f>
        <v>ПЕРЕДАЧА</v>
      </c>
      <c r="D437" t="str">
        <f>'[1]2021 УГРЦТ'!D440</f>
        <v>Машины и оборудование (кроме офисного)</v>
      </c>
      <c r="E437" t="str">
        <f>'[1]2021 УГРЦТ'!E440</f>
        <v>31.12.2008</v>
      </c>
      <c r="F437" t="str">
        <f>'[1]2021 УГРЦТ'!F440</f>
        <v>Цех электрических сетей</v>
      </c>
      <c r="G437">
        <f>'[1]2021 УГРЦТ'!AC440</f>
        <v>180</v>
      </c>
      <c r="H437" s="7">
        <f>'[1]2021 УГРЦТ'!X440</f>
        <v>183870.25</v>
      </c>
      <c r="I437" s="7">
        <f>'[1]2021 УГРЦТ'!Y440</f>
        <v>159354.01666666666</v>
      </c>
      <c r="J437" s="7">
        <f>'[1]2021 УГРЦТ'!Z440</f>
        <v>24516.233333333337</v>
      </c>
      <c r="K437" s="8">
        <v>0</v>
      </c>
      <c r="L437" s="7">
        <v>1021.5</v>
      </c>
      <c r="M437" s="7"/>
      <c r="N437" s="7">
        <f t="shared" si="2270"/>
        <v>12258</v>
      </c>
      <c r="O437" s="7">
        <f t="shared" si="1984"/>
        <v>23494.733333333337</v>
      </c>
      <c r="P437" s="7">
        <f t="shared" si="2362"/>
        <v>22473.233333333337</v>
      </c>
      <c r="Q437" s="7">
        <f t="shared" si="2362"/>
        <v>21451.733333333337</v>
      </c>
      <c r="R437" s="7">
        <f t="shared" si="2362"/>
        <v>20430.233333333337</v>
      </c>
      <c r="S437" s="7">
        <f t="shared" si="2362"/>
        <v>19408.733333333337</v>
      </c>
      <c r="T437" s="7">
        <f t="shared" si="2362"/>
        <v>18387.233333333337</v>
      </c>
      <c r="U437" s="7">
        <f t="shared" si="2362"/>
        <v>17365.733333333337</v>
      </c>
      <c r="V437" s="7">
        <f t="shared" si="2362"/>
        <v>16344.233333333337</v>
      </c>
      <c r="W437" s="7">
        <f t="shared" si="2362"/>
        <v>15322.733333333337</v>
      </c>
      <c r="X437" s="7">
        <f t="shared" si="2362"/>
        <v>14301.233333333337</v>
      </c>
      <c r="Y437" s="7">
        <f t="shared" si="2362"/>
        <v>13279.733333333337</v>
      </c>
      <c r="Z437" s="7">
        <f t="shared" si="2362"/>
        <v>12258.233333333337</v>
      </c>
      <c r="AA437" s="7"/>
      <c r="AB437" s="7"/>
      <c r="AC437" s="7">
        <f t="shared" si="1985"/>
        <v>12258</v>
      </c>
      <c r="AD437" s="7">
        <f t="shared" si="1986"/>
        <v>11236.733333333337</v>
      </c>
      <c r="AE437" s="7">
        <f t="shared" si="2363"/>
        <v>10215.233333333337</v>
      </c>
      <c r="AF437" s="7">
        <f t="shared" si="2363"/>
        <v>9193.7333333333372</v>
      </c>
      <c r="AG437" s="7">
        <f t="shared" si="2363"/>
        <v>8172.2333333333372</v>
      </c>
      <c r="AH437" s="7">
        <f t="shared" si="2363"/>
        <v>7150.7333333333372</v>
      </c>
      <c r="AI437" s="7">
        <f t="shared" si="2363"/>
        <v>6129.2333333333372</v>
      </c>
      <c r="AJ437" s="7">
        <f t="shared" si="2363"/>
        <v>5107.7333333333372</v>
      </c>
      <c r="AK437" s="7">
        <f t="shared" si="2363"/>
        <v>4086.2333333333372</v>
      </c>
      <c r="AL437" s="7">
        <f t="shared" si="2363"/>
        <v>3064.7333333333372</v>
      </c>
      <c r="AM437" s="7">
        <f t="shared" si="2363"/>
        <v>2043.2333333333372</v>
      </c>
      <c r="AN437" s="7">
        <f t="shared" si="2363"/>
        <v>1021.7333333333372</v>
      </c>
      <c r="AO437" s="7">
        <f t="shared" si="2363"/>
        <v>0.23333333333721384</v>
      </c>
      <c r="AP437" s="222"/>
      <c r="AQ437" s="7">
        <v>1021.5</v>
      </c>
      <c r="AR437" s="7">
        <f t="shared" si="1987"/>
        <v>1021.5</v>
      </c>
      <c r="AS437" s="7">
        <f t="shared" si="1988"/>
        <v>0</v>
      </c>
      <c r="AT437" s="7">
        <f>L437*0+0.23</f>
        <v>0.23</v>
      </c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236">
        <f t="shared" si="1983"/>
        <v>0</v>
      </c>
      <c r="BH437" s="7">
        <v>1021.5</v>
      </c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236">
        <f t="shared" si="2400"/>
        <v>0</v>
      </c>
      <c r="BW437" s="7">
        <v>1021.5</v>
      </c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236">
        <f t="shared" si="2401"/>
        <v>0</v>
      </c>
      <c r="CL437" s="7">
        <v>1021.5</v>
      </c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236">
        <f t="shared" si="2402"/>
        <v>0</v>
      </c>
    </row>
    <row r="438" spans="1:104" x14ac:dyDescent="0.2">
      <c r="A438" s="6" t="str">
        <f>'[1]2021 УГРЦТ'!A441</f>
        <v>Трансформатор ТМ 250/6 №2 №906092</v>
      </c>
      <c r="B438" t="str">
        <f>'[1]2021 УГРЦТ'!B441</f>
        <v>00001101</v>
      </c>
      <c r="C438" t="str">
        <f>'[1]2021 УГРЦТ'!C441</f>
        <v>ПЕРЕДАЧА</v>
      </c>
      <c r="D438" t="str">
        <f>'[1]2021 УГРЦТ'!D441</f>
        <v>Машины и оборудование (кроме офисного)</v>
      </c>
      <c r="E438" t="str">
        <f>'[1]2021 УГРЦТ'!E441</f>
        <v>31.12.2008</v>
      </c>
      <c r="F438" t="str">
        <f>'[1]2021 УГРЦТ'!F441</f>
        <v>Цех электрических сетей</v>
      </c>
      <c r="G438">
        <f>'[1]2021 УГРЦТ'!AC441</f>
        <v>180</v>
      </c>
      <c r="H438" s="7">
        <f>'[1]2021 УГРЦТ'!X441</f>
        <v>183870.25</v>
      </c>
      <c r="I438" s="7">
        <f>'[1]2021 УГРЦТ'!Y441</f>
        <v>159354.01666666666</v>
      </c>
      <c r="J438" s="7">
        <f>'[1]2021 УГРЦТ'!Z441</f>
        <v>24516.233333333337</v>
      </c>
      <c r="K438" s="8">
        <v>0</v>
      </c>
      <c r="L438" s="7">
        <v>1021.5</v>
      </c>
      <c r="M438" s="7"/>
      <c r="N438" s="7">
        <f t="shared" si="2270"/>
        <v>12258</v>
      </c>
      <c r="O438" s="7">
        <f t="shared" si="1984"/>
        <v>23494.733333333337</v>
      </c>
      <c r="P438" s="7">
        <f t="shared" si="2362"/>
        <v>22473.233333333337</v>
      </c>
      <c r="Q438" s="7">
        <f t="shared" si="2362"/>
        <v>21451.733333333337</v>
      </c>
      <c r="R438" s="7">
        <f t="shared" si="2362"/>
        <v>20430.233333333337</v>
      </c>
      <c r="S438" s="7">
        <f t="shared" si="2362"/>
        <v>19408.733333333337</v>
      </c>
      <c r="T438" s="7">
        <f t="shared" si="2362"/>
        <v>18387.233333333337</v>
      </c>
      <c r="U438" s="7">
        <f t="shared" si="2362"/>
        <v>17365.733333333337</v>
      </c>
      <c r="V438" s="7">
        <f t="shared" si="2362"/>
        <v>16344.233333333337</v>
      </c>
      <c r="W438" s="7">
        <f t="shared" si="2362"/>
        <v>15322.733333333337</v>
      </c>
      <c r="X438" s="7">
        <f t="shared" si="2362"/>
        <v>14301.233333333337</v>
      </c>
      <c r="Y438" s="7">
        <f t="shared" si="2362"/>
        <v>13279.733333333337</v>
      </c>
      <c r="Z438" s="7">
        <f t="shared" si="2362"/>
        <v>12258.233333333337</v>
      </c>
      <c r="AA438" s="7"/>
      <c r="AB438" s="7"/>
      <c r="AC438" s="7">
        <f t="shared" si="1985"/>
        <v>12258</v>
      </c>
      <c r="AD438" s="7">
        <f t="shared" si="1986"/>
        <v>11236.733333333337</v>
      </c>
      <c r="AE438" s="7">
        <f t="shared" si="2363"/>
        <v>10215.233333333337</v>
      </c>
      <c r="AF438" s="7">
        <f t="shared" si="2363"/>
        <v>9193.7333333333372</v>
      </c>
      <c r="AG438" s="7">
        <f t="shared" si="2363"/>
        <v>8172.2333333333372</v>
      </c>
      <c r="AH438" s="7">
        <f t="shared" si="2363"/>
        <v>7150.7333333333372</v>
      </c>
      <c r="AI438" s="7">
        <f t="shared" si="2363"/>
        <v>6129.2333333333372</v>
      </c>
      <c r="AJ438" s="7">
        <f t="shared" si="2363"/>
        <v>5107.7333333333372</v>
      </c>
      <c r="AK438" s="7">
        <f t="shared" si="2363"/>
        <v>4086.2333333333372</v>
      </c>
      <c r="AL438" s="7">
        <f t="shared" si="2363"/>
        <v>3064.7333333333372</v>
      </c>
      <c r="AM438" s="7">
        <f t="shared" si="2363"/>
        <v>2043.2333333333372</v>
      </c>
      <c r="AN438" s="7">
        <f t="shared" si="2363"/>
        <v>1021.7333333333372</v>
      </c>
      <c r="AO438" s="7">
        <f t="shared" si="2363"/>
        <v>0.23333333333721384</v>
      </c>
      <c r="AP438" s="222"/>
      <c r="AQ438" s="7">
        <v>1021.5</v>
      </c>
      <c r="AR438" s="7">
        <f t="shared" si="1987"/>
        <v>1021.5</v>
      </c>
      <c r="AS438" s="7">
        <f t="shared" si="1988"/>
        <v>0</v>
      </c>
      <c r="AT438" s="7">
        <f>L438*0+0.23</f>
        <v>0.23</v>
      </c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236">
        <f t="shared" si="1983"/>
        <v>0</v>
      </c>
      <c r="BH438" s="7">
        <v>1021.5</v>
      </c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236">
        <f t="shared" si="2400"/>
        <v>0</v>
      </c>
      <c r="BW438" s="7">
        <v>1021.5</v>
      </c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236">
        <f t="shared" si="2401"/>
        <v>0</v>
      </c>
      <c r="CL438" s="7">
        <v>1021.5</v>
      </c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236">
        <f t="shared" si="2402"/>
        <v>0</v>
      </c>
    </row>
    <row r="439" spans="1:104" x14ac:dyDescent="0.2">
      <c r="A439" s="6" t="str">
        <f>'[1]2021 УГРЦТ'!A442</f>
        <v>Трансформатор ТМ 400/6 №2 №1542662 ТП-46</v>
      </c>
      <c r="B439" t="str">
        <f>'[1]2021 УГРЦТ'!B442</f>
        <v>00001103</v>
      </c>
      <c r="C439" t="str">
        <f>'[1]2021 УГРЦТ'!C442</f>
        <v>ПЕРЕДАЧА</v>
      </c>
      <c r="D439" t="str">
        <f>'[1]2021 УГРЦТ'!D442</f>
        <v>Машины и оборудование (кроме офисного)</v>
      </c>
      <c r="E439" t="str">
        <f>'[1]2021 УГРЦТ'!E442</f>
        <v>31.12.2008</v>
      </c>
      <c r="F439" t="str">
        <f>'[1]2021 УГРЦТ'!F442</f>
        <v>Цех электрических сетей</v>
      </c>
      <c r="G439">
        <f>'[1]2021 УГРЦТ'!AC442</f>
        <v>180</v>
      </c>
      <c r="H439" s="7">
        <f>'[1]2021 УГРЦТ'!X442</f>
        <v>225395.68</v>
      </c>
      <c r="I439" s="7">
        <f>'[1]2021 УГРЦТ'!Y442</f>
        <v>195343.17866666664</v>
      </c>
      <c r="J439" s="7">
        <f>'[1]2021 УГРЦТ'!Z442</f>
        <v>30052.501333333348</v>
      </c>
      <c r="K439" s="8">
        <v>0</v>
      </c>
      <c r="L439" s="7">
        <v>1252.2000000000003</v>
      </c>
      <c r="M439" s="7"/>
      <c r="N439" s="7">
        <f t="shared" si="2270"/>
        <v>15026.400000000003</v>
      </c>
      <c r="O439" s="7">
        <f t="shared" si="1984"/>
        <v>28800.301333333347</v>
      </c>
      <c r="P439" s="7">
        <f t="shared" si="2362"/>
        <v>27548.101333333347</v>
      </c>
      <c r="Q439" s="7">
        <f t="shared" si="2362"/>
        <v>26295.901333333346</v>
      </c>
      <c r="R439" s="7">
        <f t="shared" si="2362"/>
        <v>25043.701333333345</v>
      </c>
      <c r="S439" s="7">
        <f t="shared" si="2362"/>
        <v>23791.501333333345</v>
      </c>
      <c r="T439" s="7">
        <f t="shared" si="2362"/>
        <v>22539.301333333344</v>
      </c>
      <c r="U439" s="7">
        <f t="shared" si="2362"/>
        <v>21287.101333333343</v>
      </c>
      <c r="V439" s="7">
        <f t="shared" si="2362"/>
        <v>20034.901333333342</v>
      </c>
      <c r="W439" s="7">
        <f t="shared" si="2362"/>
        <v>18782.701333333342</v>
      </c>
      <c r="X439" s="7">
        <f t="shared" si="2362"/>
        <v>17530.501333333341</v>
      </c>
      <c r="Y439" s="7">
        <f t="shared" si="2362"/>
        <v>16278.30133333334</v>
      </c>
      <c r="Z439" s="7">
        <f t="shared" si="2362"/>
        <v>15026.101333333339</v>
      </c>
      <c r="AA439" s="7"/>
      <c r="AB439" s="7"/>
      <c r="AC439" s="7">
        <f>L439*12-0.3</f>
        <v>15026.100000000004</v>
      </c>
      <c r="AD439" s="7">
        <f t="shared" si="1986"/>
        <v>13773.901333333339</v>
      </c>
      <c r="AE439" s="7">
        <f t="shared" si="2363"/>
        <v>12521.701333333338</v>
      </c>
      <c r="AF439" s="7">
        <f t="shared" si="2363"/>
        <v>11269.501333333337</v>
      </c>
      <c r="AG439" s="7">
        <f t="shared" si="2363"/>
        <v>10017.301333333337</v>
      </c>
      <c r="AH439" s="7">
        <f t="shared" si="2363"/>
        <v>8765.1013333333358</v>
      </c>
      <c r="AI439" s="7">
        <f t="shared" si="2363"/>
        <v>7512.9013333333351</v>
      </c>
      <c r="AJ439" s="7">
        <f t="shared" si="2363"/>
        <v>6260.7013333333343</v>
      </c>
      <c r="AK439" s="7">
        <f t="shared" si="2363"/>
        <v>5008.5013333333336</v>
      </c>
      <c r="AL439" s="7">
        <f t="shared" si="2363"/>
        <v>3756.3013333333333</v>
      </c>
      <c r="AM439" s="7">
        <f t="shared" si="2363"/>
        <v>2504.1013333333331</v>
      </c>
      <c r="AN439" s="7">
        <f t="shared" si="2363"/>
        <v>1251.9013333333328</v>
      </c>
      <c r="AO439" s="7">
        <f>AN439-$L439+0.3</f>
        <v>1.3333333325135643E-3</v>
      </c>
      <c r="AP439" s="222"/>
      <c r="AQ439" s="7">
        <v>1252.2000000000003</v>
      </c>
      <c r="AR439" s="7"/>
      <c r="AS439" s="7"/>
      <c r="BG439" s="236">
        <f t="shared" si="1983"/>
        <v>0</v>
      </c>
      <c r="BH439" s="7">
        <v>1252.2000000000003</v>
      </c>
      <c r="BV439" s="236">
        <f t="shared" si="2400"/>
        <v>0</v>
      </c>
      <c r="BW439" s="7">
        <v>1252.2000000000003</v>
      </c>
      <c r="CK439" s="236">
        <f t="shared" si="2401"/>
        <v>0</v>
      </c>
      <c r="CL439" s="7">
        <v>1252.2000000000003</v>
      </c>
      <c r="CZ439" s="236">
        <f t="shared" si="2402"/>
        <v>0</v>
      </c>
    </row>
    <row r="440" spans="1:104" x14ac:dyDescent="0.2">
      <c r="A440" s="6" t="str">
        <f>'[1]2021 УГРЦТ'!A443</f>
        <v>Трансформатор ТМ 630/6 (школа №2)</v>
      </c>
      <c r="B440" t="str">
        <f>'[1]2021 УГРЦТ'!B443</f>
        <v>00001104</v>
      </c>
      <c r="C440" t="str">
        <f>'[1]2021 УГРЦТ'!C443</f>
        <v>ПЕРЕДАЧА</v>
      </c>
      <c r="D440" t="str">
        <f>'[1]2021 УГРЦТ'!D443</f>
        <v>Машины и оборудование (кроме офисного)</v>
      </c>
      <c r="E440" t="str">
        <f>'[1]2021 УГРЦТ'!E443</f>
        <v>31.12.2008</v>
      </c>
      <c r="F440" t="str">
        <f>'[1]2021 УГРЦТ'!F443</f>
        <v>Цех электрических сетей</v>
      </c>
      <c r="G440">
        <f>'[1]2021 УГРЦТ'!AC443</f>
        <v>180</v>
      </c>
      <c r="H440" s="7">
        <f>'[1]2021 УГРЦТ'!X443</f>
        <v>335565.17</v>
      </c>
      <c r="I440" s="7">
        <f>'[1]2021 УГРЦТ'!Y443</f>
        <v>290823.01133333333</v>
      </c>
      <c r="J440" s="7">
        <f>'[1]2021 УГРЦТ'!Z443</f>
        <v>44742.158666666655</v>
      </c>
      <c r="K440" s="8">
        <v>0</v>
      </c>
      <c r="L440" s="7">
        <v>1864.25</v>
      </c>
      <c r="M440" s="7"/>
      <c r="N440" s="7">
        <f t="shared" si="2270"/>
        <v>22371</v>
      </c>
      <c r="O440" s="7">
        <f t="shared" si="1984"/>
        <v>42877.908666666655</v>
      </c>
      <c r="P440" s="7">
        <f t="shared" si="2362"/>
        <v>41013.658666666655</v>
      </c>
      <c r="Q440" s="7">
        <f t="shared" si="2362"/>
        <v>39149.408666666655</v>
      </c>
      <c r="R440" s="7">
        <f t="shared" si="2362"/>
        <v>37285.158666666655</v>
      </c>
      <c r="S440" s="7">
        <f t="shared" si="2362"/>
        <v>35420.908666666655</v>
      </c>
      <c r="T440" s="7">
        <f t="shared" si="2362"/>
        <v>33556.658666666655</v>
      </c>
      <c r="U440" s="7">
        <f t="shared" si="2362"/>
        <v>31692.408666666655</v>
      </c>
      <c r="V440" s="7">
        <f t="shared" si="2362"/>
        <v>29828.158666666655</v>
      </c>
      <c r="W440" s="7">
        <f t="shared" si="2362"/>
        <v>27963.908666666655</v>
      </c>
      <c r="X440" s="7">
        <f t="shared" si="2362"/>
        <v>26099.658666666655</v>
      </c>
      <c r="Y440" s="7">
        <f t="shared" si="2362"/>
        <v>24235.408666666655</v>
      </c>
      <c r="Z440" s="7">
        <f t="shared" si="2362"/>
        <v>22371.158666666655</v>
      </c>
      <c r="AA440" s="7"/>
      <c r="AB440" s="7"/>
      <c r="AC440" s="7">
        <f t="shared" si="1985"/>
        <v>22371</v>
      </c>
      <c r="AD440" s="7">
        <f t="shared" si="1986"/>
        <v>20506.908666666655</v>
      </c>
      <c r="AE440" s="7">
        <f t="shared" si="2363"/>
        <v>18642.658666666655</v>
      </c>
      <c r="AF440" s="7">
        <f t="shared" si="2363"/>
        <v>16778.408666666655</v>
      </c>
      <c r="AG440" s="7">
        <f t="shared" si="2363"/>
        <v>14914.158666666655</v>
      </c>
      <c r="AH440" s="7">
        <f t="shared" si="2363"/>
        <v>13049.908666666655</v>
      </c>
      <c r="AI440" s="7">
        <f t="shared" si="2363"/>
        <v>11185.658666666655</v>
      </c>
      <c r="AJ440" s="7">
        <f t="shared" si="2363"/>
        <v>9321.4086666666553</v>
      </c>
      <c r="AK440" s="7">
        <f t="shared" si="2363"/>
        <v>7457.1586666666553</v>
      </c>
      <c r="AL440" s="7">
        <f t="shared" si="2363"/>
        <v>5592.9086666666553</v>
      </c>
      <c r="AM440" s="7">
        <f t="shared" si="2363"/>
        <v>3728.6586666666553</v>
      </c>
      <c r="AN440" s="7">
        <f t="shared" si="2363"/>
        <v>1864.4086666666553</v>
      </c>
      <c r="AO440" s="7">
        <f t="shared" si="2363"/>
        <v>0.15866666665533558</v>
      </c>
      <c r="AP440" s="222"/>
      <c r="AQ440" s="7">
        <v>1864.25</v>
      </c>
      <c r="AR440" s="7">
        <f t="shared" si="1987"/>
        <v>1864.25</v>
      </c>
      <c r="AS440" s="7">
        <f t="shared" si="1988"/>
        <v>0</v>
      </c>
      <c r="AT440" s="7">
        <f>L440*0+0.16</f>
        <v>0.16</v>
      </c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236">
        <f t="shared" si="1983"/>
        <v>0</v>
      </c>
      <c r="BH440" s="7">
        <v>1864.25</v>
      </c>
      <c r="BI440" s="39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236">
        <f t="shared" si="2400"/>
        <v>0</v>
      </c>
      <c r="BW440" s="7">
        <v>1864.25</v>
      </c>
      <c r="BX440" s="39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236">
        <f t="shared" si="2401"/>
        <v>0</v>
      </c>
      <c r="CL440" s="7">
        <v>1864.25</v>
      </c>
      <c r="CM440" s="39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236">
        <f t="shared" si="2402"/>
        <v>0</v>
      </c>
    </row>
    <row r="441" spans="1:104" x14ac:dyDescent="0.2">
      <c r="A441" s="6" t="str">
        <f>'[1]2021 УГРЦТ'!A444</f>
        <v>Трансформатор ТМ-160 КВА 6/0,4 №2984 2007г</v>
      </c>
      <c r="B441" t="str">
        <f>'[1]2021 УГРЦТ'!B444</f>
        <v>00001042</v>
      </c>
      <c r="C441" t="str">
        <f>'[1]2021 УГРЦТ'!C444</f>
        <v>ПЕРЕДАЧА</v>
      </c>
      <c r="D441" t="str">
        <f>'[1]2021 УГРЦТ'!D444</f>
        <v>Машины и оборудование (кроме офисного)</v>
      </c>
      <c r="E441" t="str">
        <f>'[1]2021 УГРЦТ'!E444</f>
        <v>31.07.2007</v>
      </c>
      <c r="F441" t="str">
        <f>'[1]2021 УГРЦТ'!F444</f>
        <v>Цех электрических сетей</v>
      </c>
      <c r="G441">
        <f>'[1]2021 УГРЦТ'!AC444</f>
        <v>240</v>
      </c>
      <c r="H441" s="7">
        <f>'[1]2021 УГРЦТ'!X444</f>
        <v>133941.4</v>
      </c>
      <c r="I441" s="7">
        <f>'[1]2021 УГРЦТ'!Y444</f>
        <v>96549.56</v>
      </c>
      <c r="J441" s="7">
        <f>'[1]2021 УГРЦТ'!Z444</f>
        <v>37391.839999999997</v>
      </c>
      <c r="K441" s="8">
        <v>0</v>
      </c>
      <c r="L441" s="7">
        <v>558.09</v>
      </c>
      <c r="M441" s="7"/>
      <c r="N441" s="7">
        <f t="shared" si="2270"/>
        <v>6697.08</v>
      </c>
      <c r="O441" s="7">
        <f t="shared" si="1984"/>
        <v>36833.75</v>
      </c>
      <c r="P441" s="7">
        <f t="shared" si="2362"/>
        <v>36275.660000000003</v>
      </c>
      <c r="Q441" s="7">
        <f t="shared" si="2362"/>
        <v>35717.570000000007</v>
      </c>
      <c r="R441" s="7">
        <f t="shared" si="2362"/>
        <v>35159.48000000001</v>
      </c>
      <c r="S441" s="7">
        <f t="shared" si="2362"/>
        <v>34601.390000000014</v>
      </c>
      <c r="T441" s="7">
        <f t="shared" si="2362"/>
        <v>34043.300000000017</v>
      </c>
      <c r="U441" s="7">
        <f t="shared" si="2362"/>
        <v>33485.210000000021</v>
      </c>
      <c r="V441" s="7">
        <f t="shared" si="2362"/>
        <v>32927.120000000024</v>
      </c>
      <c r="W441" s="7">
        <f t="shared" si="2362"/>
        <v>32369.030000000024</v>
      </c>
      <c r="X441" s="7">
        <f t="shared" si="2362"/>
        <v>31810.940000000024</v>
      </c>
      <c r="Y441" s="7">
        <f t="shared" si="2362"/>
        <v>31252.850000000024</v>
      </c>
      <c r="Z441" s="7">
        <f t="shared" si="2362"/>
        <v>30694.760000000024</v>
      </c>
      <c r="AA441" s="7"/>
      <c r="AB441" s="7"/>
      <c r="AC441" s="7">
        <f t="shared" si="1985"/>
        <v>6697.08</v>
      </c>
      <c r="AD441" s="7">
        <f t="shared" si="1986"/>
        <v>30136.670000000024</v>
      </c>
      <c r="AE441" s="7">
        <f t="shared" si="2363"/>
        <v>29578.580000000024</v>
      </c>
      <c r="AF441" s="7">
        <f t="shared" si="2363"/>
        <v>29020.490000000023</v>
      </c>
      <c r="AG441" s="7">
        <f t="shared" si="2363"/>
        <v>28462.400000000023</v>
      </c>
      <c r="AH441" s="7">
        <f t="shared" si="2363"/>
        <v>27904.310000000023</v>
      </c>
      <c r="AI441" s="7">
        <f t="shared" si="2363"/>
        <v>27346.220000000023</v>
      </c>
      <c r="AJ441" s="7">
        <f t="shared" si="2363"/>
        <v>26788.130000000023</v>
      </c>
      <c r="AK441" s="7">
        <f t="shared" si="2363"/>
        <v>26230.040000000023</v>
      </c>
      <c r="AL441" s="7">
        <f t="shared" si="2363"/>
        <v>25671.950000000023</v>
      </c>
      <c r="AM441" s="7">
        <f t="shared" si="2363"/>
        <v>25113.860000000022</v>
      </c>
      <c r="AN441" s="7">
        <f t="shared" si="2363"/>
        <v>24555.770000000022</v>
      </c>
      <c r="AO441" s="7">
        <f t="shared" si="2363"/>
        <v>23997.680000000022</v>
      </c>
      <c r="AP441" s="222"/>
      <c r="AQ441" s="7">
        <v>558.09</v>
      </c>
      <c r="AR441" s="7">
        <f t="shared" si="1987"/>
        <v>558.09000000000015</v>
      </c>
      <c r="AS441" s="7">
        <f t="shared" si="1988"/>
        <v>0</v>
      </c>
      <c r="AT441" s="7">
        <f t="shared" ref="AT441:AT443" si="2403">L441*12</f>
        <v>6697.08</v>
      </c>
      <c r="AU441" s="7">
        <f>AO441-$L441</f>
        <v>23439.590000000022</v>
      </c>
      <c r="AV441" s="7">
        <f t="shared" ref="AV441:BF443" si="2404">AU441-$L441</f>
        <v>22881.500000000022</v>
      </c>
      <c r="AW441" s="7">
        <f t="shared" si="2404"/>
        <v>22323.410000000022</v>
      </c>
      <c r="AX441" s="7">
        <f t="shared" si="2404"/>
        <v>21765.320000000022</v>
      </c>
      <c r="AY441" s="7">
        <f t="shared" si="2404"/>
        <v>21207.230000000021</v>
      </c>
      <c r="AZ441" s="7">
        <f t="shared" si="2404"/>
        <v>20649.140000000021</v>
      </c>
      <c r="BA441" s="7">
        <f t="shared" si="2404"/>
        <v>20091.050000000021</v>
      </c>
      <c r="BB441" s="7">
        <f t="shared" si="2404"/>
        <v>19532.960000000021</v>
      </c>
      <c r="BC441" s="7">
        <f t="shared" si="2404"/>
        <v>18974.870000000021</v>
      </c>
      <c r="BD441" s="7">
        <f t="shared" si="2404"/>
        <v>18416.780000000021</v>
      </c>
      <c r="BE441" s="7">
        <f t="shared" si="2404"/>
        <v>17858.690000000021</v>
      </c>
      <c r="BF441" s="7">
        <f t="shared" si="2404"/>
        <v>17300.60000000002</v>
      </c>
      <c r="BG441" s="236">
        <f t="shared" si="1983"/>
        <v>0</v>
      </c>
      <c r="BH441" s="7">
        <v>558.09</v>
      </c>
      <c r="BI441" s="39">
        <f>BH441*12</f>
        <v>6697.08</v>
      </c>
      <c r="BJ441" s="7">
        <f>BF441-BH441</f>
        <v>16742.51000000002</v>
      </c>
      <c r="BK441" s="7">
        <f t="shared" ref="BK441:BK443" si="2405">BJ441-$L441</f>
        <v>16184.42000000002</v>
      </c>
      <c r="BL441" s="7">
        <f t="shared" ref="BL441:BL443" si="2406">BK441-$L441</f>
        <v>15626.33000000002</v>
      </c>
      <c r="BM441" s="7">
        <f t="shared" ref="BM441:BM443" si="2407">BL441-$L441</f>
        <v>15068.24000000002</v>
      </c>
      <c r="BN441" s="7">
        <f t="shared" ref="BN441:BN443" si="2408">BM441-$L441</f>
        <v>14510.15000000002</v>
      </c>
      <c r="BO441" s="7">
        <f t="shared" ref="BO441:BO443" si="2409">BN441-$L441</f>
        <v>13952.060000000019</v>
      </c>
      <c r="BP441" s="7">
        <f t="shared" ref="BP441:BP443" si="2410">BO441-$L441</f>
        <v>13393.970000000019</v>
      </c>
      <c r="BQ441" s="7">
        <f t="shared" ref="BQ441:BQ443" si="2411">BP441-$L441</f>
        <v>12835.880000000019</v>
      </c>
      <c r="BR441" s="7">
        <f t="shared" ref="BR441:BR443" si="2412">BQ441-$L441</f>
        <v>12277.790000000019</v>
      </c>
      <c r="BS441" s="7">
        <f t="shared" ref="BS441:BS443" si="2413">BR441-$L441</f>
        <v>11719.700000000019</v>
      </c>
      <c r="BT441" s="7">
        <f t="shared" ref="BT441:BT443" si="2414">BS441-$L441</f>
        <v>11161.610000000019</v>
      </c>
      <c r="BU441" s="7">
        <f t="shared" ref="BU441:BU443" si="2415">BT441-$L441</f>
        <v>10603.520000000019</v>
      </c>
      <c r="BV441" s="236">
        <v>0</v>
      </c>
      <c r="BW441" s="7">
        <v>558.09</v>
      </c>
      <c r="BX441" s="39">
        <f>BW441*12</f>
        <v>6697.08</v>
      </c>
      <c r="BY441" s="7">
        <f>BU441-BW441</f>
        <v>10045.430000000018</v>
      </c>
      <c r="BZ441" s="7">
        <f t="shared" ref="BZ441:BZ443" si="2416">BY441-$L441</f>
        <v>9487.3400000000183</v>
      </c>
      <c r="CA441" s="7">
        <f t="shared" ref="CA441:CA443" si="2417">BZ441-$L441</f>
        <v>8929.2500000000182</v>
      </c>
      <c r="CB441" s="7">
        <f t="shared" ref="CB441:CB443" si="2418">CA441-$L441</f>
        <v>8371.160000000018</v>
      </c>
      <c r="CC441" s="7">
        <f t="shared" ref="CC441:CC443" si="2419">CB441-$L441</f>
        <v>7813.0700000000179</v>
      </c>
      <c r="CD441" s="7">
        <f t="shared" ref="CD441:CD443" si="2420">CC441-$L441</f>
        <v>7254.9800000000178</v>
      </c>
      <c r="CE441" s="7">
        <f t="shared" ref="CE441:CE443" si="2421">CD441-$L441</f>
        <v>6696.8900000000176</v>
      </c>
      <c r="CF441" s="7">
        <f t="shared" ref="CF441:CF443" si="2422">CE441-$L441</f>
        <v>6138.8000000000175</v>
      </c>
      <c r="CG441" s="7">
        <f t="shared" ref="CG441:CG443" si="2423">CF441-$L441</f>
        <v>5580.7100000000173</v>
      </c>
      <c r="CH441" s="7">
        <f t="shared" ref="CH441:CH443" si="2424">CG441-$L441</f>
        <v>5022.6200000000172</v>
      </c>
      <c r="CI441" s="7">
        <f t="shared" ref="CI441:CI442" si="2425">CH441-$L441</f>
        <v>4464.530000000017</v>
      </c>
      <c r="CJ441" s="7">
        <f t="shared" ref="CJ441:CJ442" si="2426">CI441-$L441</f>
        <v>3906.4400000000169</v>
      </c>
      <c r="CK441" s="236">
        <v>0</v>
      </c>
      <c r="CL441" s="7">
        <v>558.09</v>
      </c>
      <c r="CM441" s="39">
        <v>3906.44</v>
      </c>
      <c r="CN441" s="7">
        <f>CJ441-CL441</f>
        <v>3348.3500000000167</v>
      </c>
      <c r="CO441" s="7">
        <f t="shared" ref="CO441:CO442" si="2427">CN441-$L441</f>
        <v>2790.2600000000166</v>
      </c>
      <c r="CP441" s="7">
        <f t="shared" ref="CP441:CP442" si="2428">CO441-$L441</f>
        <v>2232.1700000000164</v>
      </c>
      <c r="CQ441" s="7">
        <f t="shared" ref="CQ441:CQ442" si="2429">CP441-$L441</f>
        <v>1674.0800000000163</v>
      </c>
      <c r="CR441" s="7">
        <f t="shared" ref="CR441:CR442" si="2430">CQ441-$L441</f>
        <v>1115.9900000000162</v>
      </c>
      <c r="CS441" s="7">
        <f t="shared" ref="CS441:CS442" si="2431">CR441-$L441</f>
        <v>557.90000000001612</v>
      </c>
      <c r="CT441" s="7"/>
      <c r="CU441" s="7"/>
      <c r="CV441" s="7"/>
      <c r="CW441" s="7"/>
      <c r="CX441" s="7"/>
      <c r="CY441" s="7"/>
      <c r="CZ441" s="236">
        <v>0</v>
      </c>
    </row>
    <row r="442" spans="1:104" x14ac:dyDescent="0.2">
      <c r="A442" s="6" t="str">
        <f>'[1]2021 УГРЦТ'!A445</f>
        <v>Трансформатор ТМ-160 КВА 6/0,4 №641107</v>
      </c>
      <c r="B442" t="str">
        <f>'[1]2021 УГРЦТ'!B445</f>
        <v>00001039</v>
      </c>
      <c r="C442" t="str">
        <f>'[1]2021 УГРЦТ'!C445</f>
        <v>ПЕРЕДАЧА</v>
      </c>
      <c r="D442" t="str">
        <f>'[1]2021 УГРЦТ'!D445</f>
        <v>Машины и оборудование (кроме офисного)</v>
      </c>
      <c r="E442" t="str">
        <f>'[1]2021 УГРЦТ'!E445</f>
        <v>31.10.2007</v>
      </c>
      <c r="F442" t="str">
        <f>'[1]2021 УГРЦТ'!F445</f>
        <v>Цех электрических сетей</v>
      </c>
      <c r="G442">
        <f>'[1]2021 УГРЦТ'!AC445</f>
        <v>240</v>
      </c>
      <c r="H442" s="7">
        <f>'[1]2021 УГРЦТ'!X445</f>
        <v>134415.48000000001</v>
      </c>
      <c r="I442" s="7">
        <f>'[1]2021 УГРЦТ'!Y445</f>
        <v>95210.254000000001</v>
      </c>
      <c r="J442" s="7">
        <f>'[1]2021 УГРЦТ'!Z445</f>
        <v>39205.22600000001</v>
      </c>
      <c r="K442" s="8">
        <v>0</v>
      </c>
      <c r="L442" s="7">
        <v>560.05999999999983</v>
      </c>
      <c r="M442" s="7"/>
      <c r="N442" s="7">
        <f t="shared" si="2270"/>
        <v>6720.7199999999975</v>
      </c>
      <c r="O442" s="7">
        <f t="shared" si="1984"/>
        <v>38645.166000000012</v>
      </c>
      <c r="P442" s="7">
        <f t="shared" si="2362"/>
        <v>38085.106000000014</v>
      </c>
      <c r="Q442" s="7">
        <f t="shared" si="2362"/>
        <v>37525.046000000017</v>
      </c>
      <c r="R442" s="7">
        <f t="shared" si="2362"/>
        <v>36964.986000000019</v>
      </c>
      <c r="S442" s="7">
        <f t="shared" si="2362"/>
        <v>36404.926000000021</v>
      </c>
      <c r="T442" s="7">
        <f t="shared" si="2362"/>
        <v>35844.866000000024</v>
      </c>
      <c r="U442" s="7">
        <f t="shared" si="2362"/>
        <v>35284.806000000026</v>
      </c>
      <c r="V442" s="7">
        <f t="shared" si="2362"/>
        <v>34724.746000000028</v>
      </c>
      <c r="W442" s="7">
        <f t="shared" si="2362"/>
        <v>34164.686000000031</v>
      </c>
      <c r="X442" s="7">
        <f t="shared" si="2362"/>
        <v>33604.626000000033</v>
      </c>
      <c r="Y442" s="7">
        <f t="shared" si="2362"/>
        <v>33044.566000000035</v>
      </c>
      <c r="Z442" s="7">
        <f t="shared" si="2362"/>
        <v>32484.506000000034</v>
      </c>
      <c r="AA442" s="7"/>
      <c r="AB442" s="7"/>
      <c r="AC442" s="7">
        <f t="shared" si="1985"/>
        <v>6720.7199999999975</v>
      </c>
      <c r="AD442" s="7">
        <f t="shared" si="1986"/>
        <v>31924.446000000033</v>
      </c>
      <c r="AE442" s="7">
        <f t="shared" si="2363"/>
        <v>31364.386000000031</v>
      </c>
      <c r="AF442" s="7">
        <f t="shared" si="2363"/>
        <v>30804.32600000003</v>
      </c>
      <c r="AG442" s="7">
        <f t="shared" si="2363"/>
        <v>30244.266000000029</v>
      </c>
      <c r="AH442" s="7">
        <f t="shared" si="2363"/>
        <v>29684.206000000027</v>
      </c>
      <c r="AI442" s="7">
        <f t="shared" si="2363"/>
        <v>29124.146000000026</v>
      </c>
      <c r="AJ442" s="7">
        <f t="shared" si="2363"/>
        <v>28564.086000000025</v>
      </c>
      <c r="AK442" s="7">
        <f t="shared" si="2363"/>
        <v>28004.026000000023</v>
      </c>
      <c r="AL442" s="7">
        <f t="shared" si="2363"/>
        <v>27443.966000000022</v>
      </c>
      <c r="AM442" s="7">
        <f t="shared" si="2363"/>
        <v>26883.906000000021</v>
      </c>
      <c r="AN442" s="7">
        <f t="shared" si="2363"/>
        <v>26323.84600000002</v>
      </c>
      <c r="AO442" s="7">
        <f t="shared" si="2363"/>
        <v>25763.786000000018</v>
      </c>
      <c r="AP442" s="222"/>
      <c r="AQ442" s="7">
        <v>560.05999999999983</v>
      </c>
      <c r="AR442" s="7">
        <f t="shared" si="1987"/>
        <v>560.06000000000131</v>
      </c>
      <c r="AS442" s="7">
        <f t="shared" si="1988"/>
        <v>1.4779288903810084E-12</v>
      </c>
      <c r="AT442" s="7">
        <f t="shared" si="2403"/>
        <v>6720.7199999999975</v>
      </c>
      <c r="AU442" s="7">
        <f>AO442-$L442</f>
        <v>25203.726000000017</v>
      </c>
      <c r="AV442" s="7">
        <f t="shared" si="2404"/>
        <v>24643.666000000016</v>
      </c>
      <c r="AW442" s="7">
        <f t="shared" si="2404"/>
        <v>24083.606000000014</v>
      </c>
      <c r="AX442" s="7">
        <f t="shared" si="2404"/>
        <v>23523.546000000013</v>
      </c>
      <c r="AY442" s="7">
        <f t="shared" si="2404"/>
        <v>22963.486000000012</v>
      </c>
      <c r="AZ442" s="7">
        <f t="shared" si="2404"/>
        <v>22403.42600000001</v>
      </c>
      <c r="BA442" s="7">
        <f t="shared" si="2404"/>
        <v>21843.366000000009</v>
      </c>
      <c r="BB442" s="7">
        <f t="shared" si="2404"/>
        <v>21283.306000000008</v>
      </c>
      <c r="BC442" s="7">
        <f t="shared" si="2404"/>
        <v>20723.246000000006</v>
      </c>
      <c r="BD442" s="7">
        <f t="shared" si="2404"/>
        <v>20163.186000000005</v>
      </c>
      <c r="BE442" s="7">
        <f t="shared" si="2404"/>
        <v>19603.126000000004</v>
      </c>
      <c r="BF442" s="7">
        <f t="shared" si="2404"/>
        <v>19043.066000000003</v>
      </c>
      <c r="BG442" s="236">
        <f t="shared" si="1983"/>
        <v>0</v>
      </c>
      <c r="BH442" s="7">
        <v>560.05999999999983</v>
      </c>
      <c r="BI442" s="39">
        <f>BH442*12</f>
        <v>6720.7199999999975</v>
      </c>
      <c r="BJ442" s="7">
        <f>BF442-BH442</f>
        <v>18483.006000000001</v>
      </c>
      <c r="BK442" s="7">
        <f t="shared" si="2405"/>
        <v>17922.946</v>
      </c>
      <c r="BL442" s="7">
        <f t="shared" si="2406"/>
        <v>17362.885999999999</v>
      </c>
      <c r="BM442" s="7">
        <f t="shared" si="2407"/>
        <v>16802.825999999997</v>
      </c>
      <c r="BN442" s="7">
        <f t="shared" si="2408"/>
        <v>16242.765999999998</v>
      </c>
      <c r="BO442" s="7">
        <f t="shared" si="2409"/>
        <v>15682.705999999998</v>
      </c>
      <c r="BP442" s="7">
        <f t="shared" si="2410"/>
        <v>15122.645999999999</v>
      </c>
      <c r="BQ442" s="7">
        <f t="shared" si="2411"/>
        <v>14562.585999999999</v>
      </c>
      <c r="BR442" s="7">
        <f t="shared" si="2412"/>
        <v>14002.526</v>
      </c>
      <c r="BS442" s="7">
        <f t="shared" si="2413"/>
        <v>13442.466</v>
      </c>
      <c r="BT442" s="7">
        <f t="shared" si="2414"/>
        <v>12882.406000000001</v>
      </c>
      <c r="BU442" s="7">
        <f t="shared" si="2415"/>
        <v>12322.346000000001</v>
      </c>
      <c r="BV442" s="236">
        <v>0</v>
      </c>
      <c r="BW442" s="7">
        <v>560.05999999999983</v>
      </c>
      <c r="BX442" s="39">
        <f>BW442*12</f>
        <v>6720.7199999999975</v>
      </c>
      <c r="BY442" s="7">
        <f>BU442-BW442</f>
        <v>11762.286000000002</v>
      </c>
      <c r="BZ442" s="7">
        <f t="shared" si="2416"/>
        <v>11202.226000000002</v>
      </c>
      <c r="CA442" s="7">
        <f t="shared" si="2417"/>
        <v>10642.166000000003</v>
      </c>
      <c r="CB442" s="7">
        <f t="shared" si="2418"/>
        <v>10082.106000000003</v>
      </c>
      <c r="CC442" s="7">
        <f t="shared" si="2419"/>
        <v>9522.0460000000039</v>
      </c>
      <c r="CD442" s="7">
        <f t="shared" si="2420"/>
        <v>8961.9860000000044</v>
      </c>
      <c r="CE442" s="7">
        <f t="shared" si="2421"/>
        <v>8401.9260000000049</v>
      </c>
      <c r="CF442" s="7">
        <f t="shared" si="2422"/>
        <v>7841.8660000000054</v>
      </c>
      <c r="CG442" s="7">
        <f t="shared" si="2423"/>
        <v>7281.806000000006</v>
      </c>
      <c r="CH442" s="7">
        <f t="shared" si="2424"/>
        <v>6721.7460000000065</v>
      </c>
      <c r="CI442" s="7">
        <f t="shared" si="2425"/>
        <v>6161.686000000007</v>
      </c>
      <c r="CJ442" s="7">
        <f t="shared" si="2426"/>
        <v>5601.6260000000075</v>
      </c>
      <c r="CK442" s="236">
        <v>0</v>
      </c>
      <c r="CL442" s="7">
        <v>560.05999999999983</v>
      </c>
      <c r="CM442" s="39">
        <v>5601.63</v>
      </c>
      <c r="CN442" s="7">
        <f>CJ442-CL442</f>
        <v>5041.566000000008</v>
      </c>
      <c r="CO442" s="7">
        <f t="shared" si="2427"/>
        <v>4481.5060000000085</v>
      </c>
      <c r="CP442" s="7">
        <f t="shared" si="2428"/>
        <v>3921.4460000000086</v>
      </c>
      <c r="CQ442" s="7">
        <f t="shared" si="2429"/>
        <v>3361.3860000000086</v>
      </c>
      <c r="CR442" s="7">
        <f t="shared" si="2430"/>
        <v>2801.3260000000087</v>
      </c>
      <c r="CS442" s="7">
        <f t="shared" si="2431"/>
        <v>2241.2660000000087</v>
      </c>
      <c r="CT442" s="7">
        <f t="shared" ref="CT442" si="2432">CS442-$L442</f>
        <v>1681.2060000000088</v>
      </c>
      <c r="CU442" s="7">
        <f t="shared" ref="CU442" si="2433">CT442-$L442</f>
        <v>1121.1460000000088</v>
      </c>
      <c r="CV442" s="7">
        <f t="shared" ref="CV442" si="2434">CU442-$L442</f>
        <v>561.08600000000899</v>
      </c>
      <c r="CW442" s="7">
        <f t="shared" ref="CW442" si="2435">CV442-$L442</f>
        <v>1.0260000000091622</v>
      </c>
      <c r="CX442" s="7"/>
      <c r="CY442" s="7"/>
      <c r="CZ442" s="236">
        <v>0</v>
      </c>
    </row>
    <row r="443" spans="1:104" x14ac:dyDescent="0.2">
      <c r="A443" s="6" t="str">
        <f>'[1]2021 УГРЦТ'!A446</f>
        <v>Трансформатор ТМ-160/6/0,4</v>
      </c>
      <c r="B443" t="str">
        <f>'[1]2021 УГРЦТ'!B446</f>
        <v>00001016</v>
      </c>
      <c r="C443" t="str">
        <f>'[1]2021 УГРЦТ'!C446</f>
        <v>ПЕРЕДАЧА</v>
      </c>
      <c r="D443" t="str">
        <f>'[1]2021 УГРЦТ'!D446</f>
        <v>Машины и оборудование (кроме офисного)</v>
      </c>
      <c r="E443" t="str">
        <f>'[1]2021 УГРЦТ'!E446</f>
        <v>30.11.2006</v>
      </c>
      <c r="F443" t="str">
        <f>'[1]2021 УГРЦТ'!F446</f>
        <v>Цех электрических сетей</v>
      </c>
      <c r="G443">
        <f>'[1]2021 УГРЦТ'!AC446</f>
        <v>240</v>
      </c>
      <c r="H443" s="7">
        <f>'[1]2021 УГРЦТ'!X446</f>
        <v>82765.77</v>
      </c>
      <c r="I443" s="7">
        <f>'[1]2021 УГРЦТ'!Y446</f>
        <v>62419.628499999999</v>
      </c>
      <c r="J443" s="7">
        <f>'[1]2021 УГРЦТ'!Z446</f>
        <v>20346.141500000005</v>
      </c>
      <c r="K443" s="8">
        <v>0</v>
      </c>
      <c r="L443" s="7">
        <v>344.86000000000007</v>
      </c>
      <c r="M443" s="7"/>
      <c r="N443" s="7">
        <f t="shared" si="2270"/>
        <v>4138.3200000000006</v>
      </c>
      <c r="O443" s="7">
        <f t="shared" si="1984"/>
        <v>20001.281500000005</v>
      </c>
      <c r="P443" s="7">
        <f t="shared" si="2362"/>
        <v>19656.421500000004</v>
      </c>
      <c r="Q443" s="7">
        <f t="shared" si="2362"/>
        <v>19311.561500000003</v>
      </c>
      <c r="R443" s="7">
        <f t="shared" si="2362"/>
        <v>18966.701500000003</v>
      </c>
      <c r="S443" s="7">
        <f t="shared" si="2362"/>
        <v>18621.841500000002</v>
      </c>
      <c r="T443" s="7">
        <f t="shared" si="2362"/>
        <v>18276.981500000002</v>
      </c>
      <c r="U443" s="7">
        <f t="shared" si="2362"/>
        <v>17932.121500000001</v>
      </c>
      <c r="V443" s="7">
        <f t="shared" si="2362"/>
        <v>17587.261500000001</v>
      </c>
      <c r="W443" s="7">
        <f t="shared" si="2362"/>
        <v>17242.4015</v>
      </c>
      <c r="X443" s="7">
        <f t="shared" si="2362"/>
        <v>16897.541499999999</v>
      </c>
      <c r="Y443" s="7">
        <f t="shared" si="2362"/>
        <v>16552.681499999999</v>
      </c>
      <c r="Z443" s="7">
        <f t="shared" si="2362"/>
        <v>16207.821499999998</v>
      </c>
      <c r="AA443" s="7"/>
      <c r="AB443" s="7"/>
      <c r="AC443" s="7">
        <f t="shared" si="1985"/>
        <v>4138.3200000000006</v>
      </c>
      <c r="AD443" s="7">
        <f t="shared" si="1986"/>
        <v>15862.961499999998</v>
      </c>
      <c r="AE443" s="7">
        <f t="shared" si="2363"/>
        <v>15518.101499999997</v>
      </c>
      <c r="AF443" s="7">
        <f t="shared" si="2363"/>
        <v>15173.241499999996</v>
      </c>
      <c r="AG443" s="7">
        <f t="shared" si="2363"/>
        <v>14828.381499999996</v>
      </c>
      <c r="AH443" s="7">
        <f t="shared" si="2363"/>
        <v>14483.521499999995</v>
      </c>
      <c r="AI443" s="7">
        <f t="shared" si="2363"/>
        <v>14138.661499999995</v>
      </c>
      <c r="AJ443" s="7">
        <f t="shared" si="2363"/>
        <v>13793.801499999994</v>
      </c>
      <c r="AK443" s="7">
        <f t="shared" si="2363"/>
        <v>13448.941499999994</v>
      </c>
      <c r="AL443" s="7">
        <f t="shared" si="2363"/>
        <v>13104.081499999993</v>
      </c>
      <c r="AM443" s="7">
        <f t="shared" si="2363"/>
        <v>12759.221499999992</v>
      </c>
      <c r="AN443" s="7">
        <f t="shared" si="2363"/>
        <v>12414.361499999992</v>
      </c>
      <c r="AO443" s="7">
        <f t="shared" si="2363"/>
        <v>12069.501499999991</v>
      </c>
      <c r="AP443" s="222"/>
      <c r="AQ443" s="7">
        <v>344.86000000000007</v>
      </c>
      <c r="AR443" s="7">
        <f t="shared" si="1987"/>
        <v>344.86000000000058</v>
      </c>
      <c r="AS443" s="7">
        <f t="shared" si="1988"/>
        <v>5.1159076974727213E-13</v>
      </c>
      <c r="AT443" s="7">
        <f t="shared" si="2403"/>
        <v>4138.3200000000006</v>
      </c>
      <c r="AU443" s="7">
        <f>AO443-$L443</f>
        <v>11724.641499999991</v>
      </c>
      <c r="AV443" s="7">
        <f t="shared" si="2404"/>
        <v>11379.78149999999</v>
      </c>
      <c r="AW443" s="7">
        <f t="shared" si="2404"/>
        <v>11034.921499999989</v>
      </c>
      <c r="AX443" s="7">
        <f t="shared" si="2404"/>
        <v>10690.061499999989</v>
      </c>
      <c r="AY443" s="7">
        <f t="shared" si="2404"/>
        <v>10345.201499999988</v>
      </c>
      <c r="AZ443" s="7">
        <f t="shared" si="2404"/>
        <v>10000.341499999988</v>
      </c>
      <c r="BA443" s="7">
        <f t="shared" si="2404"/>
        <v>9655.4814999999871</v>
      </c>
      <c r="BB443" s="7">
        <f t="shared" si="2404"/>
        <v>9310.6214999999866</v>
      </c>
      <c r="BC443" s="7">
        <f t="shared" si="2404"/>
        <v>8965.761499999986</v>
      </c>
      <c r="BD443" s="7">
        <f t="shared" si="2404"/>
        <v>8620.9014999999854</v>
      </c>
      <c r="BE443" s="7">
        <f t="shared" si="2404"/>
        <v>8276.0414999999848</v>
      </c>
      <c r="BF443" s="7">
        <f t="shared" si="2404"/>
        <v>7931.1814999999851</v>
      </c>
      <c r="BG443" s="236">
        <f t="shared" si="1983"/>
        <v>0</v>
      </c>
      <c r="BH443" s="7">
        <v>344.86000000000007</v>
      </c>
      <c r="BI443" s="39">
        <f>BH443*12</f>
        <v>4138.3200000000006</v>
      </c>
      <c r="BJ443" s="7">
        <f>BF443-BH443</f>
        <v>7586.3214999999855</v>
      </c>
      <c r="BK443" s="7">
        <f t="shared" si="2405"/>
        <v>7241.4614999999858</v>
      </c>
      <c r="BL443" s="7">
        <f t="shared" si="2406"/>
        <v>6896.6014999999861</v>
      </c>
      <c r="BM443" s="7">
        <f t="shared" si="2407"/>
        <v>6551.7414999999864</v>
      </c>
      <c r="BN443" s="7">
        <f t="shared" si="2408"/>
        <v>6206.8814999999868</v>
      </c>
      <c r="BO443" s="7">
        <f t="shared" si="2409"/>
        <v>5862.0214999999871</v>
      </c>
      <c r="BP443" s="7">
        <f t="shared" si="2410"/>
        <v>5517.1614999999874</v>
      </c>
      <c r="BQ443" s="7">
        <f t="shared" si="2411"/>
        <v>5172.3014999999878</v>
      </c>
      <c r="BR443" s="7">
        <f t="shared" si="2412"/>
        <v>4827.4414999999881</v>
      </c>
      <c r="BS443" s="7">
        <f t="shared" si="2413"/>
        <v>4482.5814999999884</v>
      </c>
      <c r="BT443" s="7">
        <f t="shared" si="2414"/>
        <v>4137.7214999999887</v>
      </c>
      <c r="BU443" s="7">
        <f t="shared" si="2415"/>
        <v>3792.8614999999886</v>
      </c>
      <c r="BV443" s="236">
        <v>0</v>
      </c>
      <c r="BW443" s="7">
        <v>344.86000000000007</v>
      </c>
      <c r="BX443" s="39">
        <f>BW443*12</f>
        <v>4138.3200000000006</v>
      </c>
      <c r="BY443" s="7">
        <f>BU443-BW443</f>
        <v>3448.0014999999885</v>
      </c>
      <c r="BZ443" s="7">
        <f t="shared" si="2416"/>
        <v>3103.1414999999884</v>
      </c>
      <c r="CA443" s="7">
        <f t="shared" si="2417"/>
        <v>2758.2814999999882</v>
      </c>
      <c r="CB443" s="7">
        <f t="shared" si="2418"/>
        <v>2413.4214999999881</v>
      </c>
      <c r="CC443" s="7">
        <f t="shared" si="2419"/>
        <v>2068.561499999988</v>
      </c>
      <c r="CD443" s="7">
        <f t="shared" si="2420"/>
        <v>1723.7014999999878</v>
      </c>
      <c r="CE443" s="7">
        <f t="shared" si="2421"/>
        <v>1378.8414999999877</v>
      </c>
      <c r="CF443" s="7">
        <f t="shared" si="2422"/>
        <v>1033.9814999999876</v>
      </c>
      <c r="CG443" s="7">
        <f t="shared" si="2423"/>
        <v>689.12149999998746</v>
      </c>
      <c r="CH443" s="7">
        <f t="shared" si="2424"/>
        <v>344.26149999998739</v>
      </c>
      <c r="CI443" s="7"/>
      <c r="CJ443" s="7"/>
      <c r="CK443" s="236">
        <v>0</v>
      </c>
      <c r="CL443" s="7">
        <v>344.86000000000007</v>
      </c>
      <c r="CM443" s="39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236">
        <v>0</v>
      </c>
    </row>
    <row r="444" spans="1:104" x14ac:dyDescent="0.2">
      <c r="A444" s="6" t="str">
        <f>'[1]2021 УГРЦТ'!A447</f>
        <v>Трансформатор ТМ-250-6-0,4  №399099г 2000г выпуск</v>
      </c>
      <c r="B444" t="str">
        <f>'[1]2021 УГРЦТ'!B447</f>
        <v>00000267</v>
      </c>
      <c r="C444" t="str">
        <f>'[1]2021 УГРЦТ'!C447</f>
        <v>ПЕРЕДАЧА</v>
      </c>
      <c r="D444" t="str">
        <f>'[1]2021 УГРЦТ'!D447</f>
        <v>Машины и оборудование (кроме офисного)</v>
      </c>
      <c r="E444" t="str">
        <f>'[1]2021 УГРЦТ'!E447</f>
        <v>01.09.2000</v>
      </c>
      <c r="F444" t="str">
        <f>'[1]2021 УГРЦТ'!F447</f>
        <v>Цех электрических сетей</v>
      </c>
      <c r="G444">
        <f>'[1]2021 УГРЦТ'!AC447</f>
        <v>276</v>
      </c>
      <c r="H444" s="7">
        <f>'[1]2021 УГРЦТ'!X447</f>
        <v>41151.67</v>
      </c>
      <c r="I444" s="7">
        <f>'[1]2021 УГРЦТ'!Y447</f>
        <v>38043.103043478259</v>
      </c>
      <c r="J444" s="7">
        <f>'[1]2021 УГРЦТ'!Z447</f>
        <v>3108.5669565217395</v>
      </c>
      <c r="K444" s="8">
        <v>0</v>
      </c>
      <c r="L444" s="7">
        <v>149.09999999999997</v>
      </c>
      <c r="M444" s="7"/>
      <c r="N444" s="7">
        <f t="shared" si="2270"/>
        <v>1789.1999999999996</v>
      </c>
      <c r="O444" s="7">
        <f t="shared" si="1984"/>
        <v>2959.4669565217396</v>
      </c>
      <c r="P444" s="7">
        <f t="shared" si="2362"/>
        <v>2810.3669565217397</v>
      </c>
      <c r="Q444" s="7">
        <f t="shared" si="2362"/>
        <v>2661.2669565217398</v>
      </c>
      <c r="R444" s="7">
        <f t="shared" si="2362"/>
        <v>2512.1669565217398</v>
      </c>
      <c r="S444" s="7">
        <f t="shared" si="2362"/>
        <v>2363.0669565217399</v>
      </c>
      <c r="T444" s="7">
        <f t="shared" si="2362"/>
        <v>2213.96695652174</v>
      </c>
      <c r="U444" s="7">
        <f t="shared" si="2362"/>
        <v>2064.8669565217401</v>
      </c>
      <c r="V444" s="7">
        <f t="shared" si="2362"/>
        <v>1915.7669565217402</v>
      </c>
      <c r="W444" s="7">
        <f t="shared" si="2362"/>
        <v>1766.6669565217403</v>
      </c>
      <c r="X444" s="7">
        <f t="shared" si="2362"/>
        <v>1617.5669565217404</v>
      </c>
      <c r="Y444" s="7">
        <f t="shared" si="2362"/>
        <v>1468.4669565217405</v>
      </c>
      <c r="Z444" s="7">
        <f t="shared" si="2362"/>
        <v>1319.3669565217406</v>
      </c>
      <c r="AA444" s="7"/>
      <c r="AB444" s="7"/>
      <c r="AC444" s="7">
        <f>L444*9-22.53</f>
        <v>1319.3699999999997</v>
      </c>
      <c r="AD444" s="7">
        <f t="shared" si="1986"/>
        <v>1170.2669565217407</v>
      </c>
      <c r="AE444" s="7">
        <f t="shared" si="2363"/>
        <v>1021.1669565217408</v>
      </c>
      <c r="AF444" s="7">
        <f t="shared" si="2363"/>
        <v>872.06695652174085</v>
      </c>
      <c r="AG444" s="7">
        <f t="shared" si="2363"/>
        <v>722.96695652174094</v>
      </c>
      <c r="AH444" s="7">
        <f t="shared" si="2363"/>
        <v>573.86695652174103</v>
      </c>
      <c r="AI444" s="7">
        <f t="shared" si="2363"/>
        <v>424.76695652174106</v>
      </c>
      <c r="AJ444" s="7">
        <f t="shared" si="2363"/>
        <v>275.6669565217411</v>
      </c>
      <c r="AK444" s="7">
        <f t="shared" si="2363"/>
        <v>126.56695652174113</v>
      </c>
      <c r="AL444" s="7"/>
      <c r="AM444" s="7"/>
      <c r="AN444" s="7"/>
      <c r="AO444" s="7"/>
      <c r="AP444" s="222"/>
      <c r="AQ444" s="7">
        <v>0</v>
      </c>
      <c r="AR444" s="7">
        <f t="shared" si="1987"/>
        <v>0</v>
      </c>
      <c r="AS444" s="7">
        <f t="shared" si="1988"/>
        <v>0</v>
      </c>
      <c r="BG444" s="236">
        <f t="shared" si="1983"/>
        <v>0</v>
      </c>
      <c r="BH444" s="7">
        <v>0</v>
      </c>
      <c r="BV444" s="236">
        <f>IF(Z444&lt;1,0,SUM(BJ444:BU444,BF444)/13*$BG$1)</f>
        <v>0</v>
      </c>
      <c r="BW444" s="7">
        <v>0</v>
      </c>
      <c r="CK444" s="236">
        <f>IF(AO444&lt;1,0,SUM(BY444:CJ444,BU444)/13*$BG$1)</f>
        <v>0</v>
      </c>
      <c r="CL444" s="7">
        <v>0</v>
      </c>
      <c r="CZ444" s="236">
        <f>IF(BF444&lt;1,0,SUM(CN444:CY444,CJ444)/13*$BG$1)</f>
        <v>0</v>
      </c>
    </row>
    <row r="445" spans="1:104" x14ac:dyDescent="0.2">
      <c r="A445" s="6" t="str">
        <f>'[1]2021 УГРЦТ'!A448</f>
        <v>Трансформатор ТМ-400 КВА 6/0,4 №30854 2007г</v>
      </c>
      <c r="B445" t="str">
        <f>'[1]2021 УГРЦТ'!B448</f>
        <v>000001689</v>
      </c>
      <c r="C445" t="str">
        <f>'[1]2021 УГРЦТ'!C448</f>
        <v>ПЕРЕДАЧА</v>
      </c>
      <c r="D445" t="str">
        <f>'[1]2021 УГРЦТ'!D448</f>
        <v>Машины и оборудование (кроме офисного)</v>
      </c>
      <c r="E445" t="str">
        <f>'[1]2021 УГРЦТ'!E448</f>
        <v>29.07.2016</v>
      </c>
      <c r="F445" t="str">
        <f>'[1]2021 УГРЦТ'!F448</f>
        <v>Цех электрических сетей</v>
      </c>
      <c r="G445">
        <f>'[1]2021 УГРЦТ'!AC448</f>
        <v>132</v>
      </c>
      <c r="H445" s="7">
        <f>'[1]2021 УГРЦТ'!X448</f>
        <v>47535.41</v>
      </c>
      <c r="I445" s="7">
        <f>'[1]2021 УГРЦТ'!Y448</f>
        <v>23407.76090909091</v>
      </c>
      <c r="J445" s="7">
        <f>'[1]2021 УГРЦТ'!Z448</f>
        <v>24127.649090909094</v>
      </c>
      <c r="K445" s="8">
        <v>0</v>
      </c>
      <c r="L445" s="7">
        <v>360.11999999999995</v>
      </c>
      <c r="M445" s="7"/>
      <c r="N445" s="7">
        <f t="shared" si="2270"/>
        <v>4321.4399999999996</v>
      </c>
      <c r="O445" s="7">
        <f t="shared" si="1984"/>
        <v>23767.529090909095</v>
      </c>
      <c r="P445" s="7">
        <f t="shared" si="2362"/>
        <v>23407.409090909096</v>
      </c>
      <c r="Q445" s="7">
        <f t="shared" si="2362"/>
        <v>23047.289090909097</v>
      </c>
      <c r="R445" s="7">
        <f t="shared" si="2362"/>
        <v>22687.169090909098</v>
      </c>
      <c r="S445" s="7">
        <f t="shared" si="2362"/>
        <v>22327.049090909099</v>
      </c>
      <c r="T445" s="7">
        <f t="shared" si="2362"/>
        <v>21966.9290909091</v>
      </c>
      <c r="U445" s="7">
        <f t="shared" si="2362"/>
        <v>21606.809090909101</v>
      </c>
      <c r="V445" s="7">
        <f t="shared" si="2362"/>
        <v>21246.689090909102</v>
      </c>
      <c r="W445" s="7">
        <f t="shared" si="2362"/>
        <v>20886.569090909103</v>
      </c>
      <c r="X445" s="7">
        <f t="shared" si="2362"/>
        <v>20526.449090909104</v>
      </c>
      <c r="Y445" s="7">
        <f t="shared" si="2362"/>
        <v>20166.329090909105</v>
      </c>
      <c r="Z445" s="7">
        <f t="shared" si="2362"/>
        <v>19806.209090909106</v>
      </c>
      <c r="AA445" s="7"/>
      <c r="AB445" s="7"/>
      <c r="AC445" s="7">
        <f t="shared" si="1985"/>
        <v>4321.4399999999996</v>
      </c>
      <c r="AD445" s="7">
        <f t="shared" si="1986"/>
        <v>19446.089090909107</v>
      </c>
      <c r="AE445" s="7">
        <f t="shared" si="2363"/>
        <v>19085.969090909108</v>
      </c>
      <c r="AF445" s="7">
        <f t="shared" si="2363"/>
        <v>18725.849090909109</v>
      </c>
      <c r="AG445" s="7">
        <f t="shared" si="2363"/>
        <v>18365.72909090911</v>
      </c>
      <c r="AH445" s="7">
        <f t="shared" si="2363"/>
        <v>18005.609090909111</v>
      </c>
      <c r="AI445" s="7">
        <f t="shared" si="2363"/>
        <v>17645.489090909112</v>
      </c>
      <c r="AJ445" s="7">
        <f t="shared" si="2363"/>
        <v>17285.369090909113</v>
      </c>
      <c r="AK445" s="7">
        <f t="shared" si="2363"/>
        <v>16925.249090909114</v>
      </c>
      <c r="AL445" s="7">
        <f t="shared" si="2363"/>
        <v>16565.129090909115</v>
      </c>
      <c r="AM445" s="7">
        <f t="shared" si="2363"/>
        <v>16205.009090909114</v>
      </c>
      <c r="AN445" s="7">
        <f t="shared" si="2363"/>
        <v>15844.889090909113</v>
      </c>
      <c r="AO445" s="7">
        <f t="shared" si="2363"/>
        <v>15484.769090909112</v>
      </c>
      <c r="AP445" s="222"/>
      <c r="AQ445" s="7">
        <v>360.11999999999995</v>
      </c>
      <c r="AR445" s="7">
        <f t="shared" si="1987"/>
        <v>360.1200000000008</v>
      </c>
      <c r="AS445" s="7">
        <f t="shared" si="1988"/>
        <v>8.5265128291212022E-13</v>
      </c>
      <c r="AT445" s="7">
        <f t="shared" ref="AT445:AT447" si="2436">L445*12</f>
        <v>4321.4399999999996</v>
      </c>
      <c r="AU445" s="7">
        <f>AO445-$L445</f>
        <v>15124.649090909112</v>
      </c>
      <c r="AV445" s="7">
        <f t="shared" ref="AV445:BF447" si="2437">AU445-$L445</f>
        <v>14764.529090909111</v>
      </c>
      <c r="AW445" s="7">
        <f t="shared" si="2437"/>
        <v>14404.40909090911</v>
      </c>
      <c r="AX445" s="7">
        <f t="shared" si="2437"/>
        <v>14044.289090909109</v>
      </c>
      <c r="AY445" s="7">
        <f t="shared" si="2437"/>
        <v>13684.169090909108</v>
      </c>
      <c r="AZ445" s="7">
        <f t="shared" si="2437"/>
        <v>13324.049090909108</v>
      </c>
      <c r="BA445" s="7">
        <f t="shared" si="2437"/>
        <v>12963.929090909107</v>
      </c>
      <c r="BB445" s="7">
        <f t="shared" si="2437"/>
        <v>12603.809090909106</v>
      </c>
      <c r="BC445" s="7">
        <f t="shared" si="2437"/>
        <v>12243.689090909105</v>
      </c>
      <c r="BD445" s="7">
        <f t="shared" si="2437"/>
        <v>11883.569090909104</v>
      </c>
      <c r="BE445" s="7">
        <f t="shared" si="2437"/>
        <v>11523.449090909104</v>
      </c>
      <c r="BF445" s="7">
        <f t="shared" si="2437"/>
        <v>11163.329090909103</v>
      </c>
      <c r="BG445" s="236">
        <f t="shared" si="1983"/>
        <v>0</v>
      </c>
      <c r="BH445" s="7">
        <v>360.11999999999995</v>
      </c>
      <c r="BI445" s="39">
        <f>BH445*12</f>
        <v>4321.4399999999996</v>
      </c>
      <c r="BJ445" s="7">
        <f>BF445-BH445</f>
        <v>10803.209090909102</v>
      </c>
      <c r="BK445" s="7">
        <f t="shared" ref="BK445:BK447" si="2438">BJ445-$L445</f>
        <v>10443.089090909101</v>
      </c>
      <c r="BL445" s="7">
        <f t="shared" ref="BL445:BL447" si="2439">BK445-$L445</f>
        <v>10082.9690909091</v>
      </c>
      <c r="BM445" s="7">
        <f t="shared" ref="BM445:BM447" si="2440">BL445-$L445</f>
        <v>9722.8490909090997</v>
      </c>
      <c r="BN445" s="7">
        <f t="shared" ref="BN445:BN447" si="2441">BM445-$L445</f>
        <v>9362.7290909090989</v>
      </c>
      <c r="BO445" s="7">
        <f t="shared" ref="BO445:BO447" si="2442">BN445-$L445</f>
        <v>9002.6090909090981</v>
      </c>
      <c r="BP445" s="7">
        <f t="shared" ref="BP445:BP447" si="2443">BO445-$L445</f>
        <v>8642.4890909090973</v>
      </c>
      <c r="BQ445" s="7">
        <f t="shared" ref="BQ445:BQ447" si="2444">BP445-$L445</f>
        <v>8282.3690909090965</v>
      </c>
      <c r="BR445" s="7">
        <f t="shared" ref="BR445:BR447" si="2445">BQ445-$L445</f>
        <v>7922.2490909090966</v>
      </c>
      <c r="BS445" s="7">
        <f t="shared" ref="BS445:BS447" si="2446">BR445-$L445</f>
        <v>7562.1290909090967</v>
      </c>
      <c r="BT445" s="7">
        <f t="shared" ref="BT445:BT447" si="2447">BS445-$L445</f>
        <v>7202.0090909090968</v>
      </c>
      <c r="BU445" s="7">
        <f t="shared" ref="BU445:BU447" si="2448">BT445-$L445</f>
        <v>6841.8890909090969</v>
      </c>
      <c r="BV445" s="236">
        <v>0</v>
      </c>
      <c r="BW445" s="7">
        <v>360.11999999999995</v>
      </c>
      <c r="BX445" s="39">
        <f>BW445*12</f>
        <v>4321.4399999999996</v>
      </c>
      <c r="BY445" s="7">
        <f>BU445-BW445</f>
        <v>6481.769090909097</v>
      </c>
      <c r="BZ445" s="7">
        <f t="shared" ref="BZ445:BZ447" si="2449">BY445-$L445</f>
        <v>6121.6490909090971</v>
      </c>
      <c r="CA445" s="7">
        <f t="shared" ref="CA445:CA447" si="2450">BZ445-$L445</f>
        <v>5761.5290909090972</v>
      </c>
      <c r="CB445" s="7">
        <f t="shared" ref="CB445:CB447" si="2451">CA445-$L445</f>
        <v>5401.4090909090974</v>
      </c>
      <c r="CC445" s="7">
        <f t="shared" ref="CC445:CC447" si="2452">CB445-$L445</f>
        <v>5041.2890909090975</v>
      </c>
      <c r="CD445" s="7">
        <f t="shared" ref="CD445:CD447" si="2453">CC445-$L445</f>
        <v>4681.1690909090976</v>
      </c>
      <c r="CE445" s="7">
        <f t="shared" ref="CE445:CE447" si="2454">CD445-$L445</f>
        <v>4321.0490909090977</v>
      </c>
      <c r="CF445" s="7">
        <f t="shared" ref="CF445:CF447" si="2455">CE445-$L445</f>
        <v>3960.9290909090978</v>
      </c>
      <c r="CG445" s="7">
        <f t="shared" ref="CG445:CG447" si="2456">CF445-$L445</f>
        <v>3600.8090909090979</v>
      </c>
      <c r="CH445" s="7">
        <f t="shared" ref="CH445:CH447" si="2457">CG445-$L445</f>
        <v>3240.689090909098</v>
      </c>
      <c r="CI445" s="7">
        <f t="shared" ref="CI445:CI447" si="2458">CH445-$L445</f>
        <v>2880.5690909090981</v>
      </c>
      <c r="CJ445" s="7">
        <f t="shared" ref="CJ445:CJ447" si="2459">CI445-$L445</f>
        <v>2520.4490909090982</v>
      </c>
      <c r="CK445" s="236">
        <v>0</v>
      </c>
      <c r="CL445" s="7">
        <v>360.11999999999995</v>
      </c>
      <c r="CM445" s="39">
        <v>2520.4499999999998</v>
      </c>
      <c r="CN445" s="7">
        <f>CJ445-CL445</f>
        <v>2160.3290909090983</v>
      </c>
      <c r="CO445" s="7">
        <f t="shared" ref="CO445:CO447" si="2460">CN445-$L445</f>
        <v>1800.2090909090984</v>
      </c>
      <c r="CP445" s="7">
        <f t="shared" ref="CP445:CP447" si="2461">CO445-$L445</f>
        <v>1440.0890909090986</v>
      </c>
      <c r="CQ445" s="7">
        <f t="shared" ref="CQ445:CQ447" si="2462">CP445-$L445</f>
        <v>1079.9690909090987</v>
      </c>
      <c r="CR445" s="7">
        <f t="shared" ref="CR445:CR447" si="2463">CQ445-$L445</f>
        <v>719.84909090909878</v>
      </c>
      <c r="CS445" s="7">
        <f t="shared" ref="CS445:CS447" si="2464">CR445-$L445</f>
        <v>359.72909090909883</v>
      </c>
      <c r="CT445" s="7"/>
      <c r="CU445" s="7"/>
      <c r="CV445" s="7"/>
      <c r="CW445" s="7"/>
      <c r="CX445" s="7"/>
      <c r="CY445" s="7"/>
      <c r="CZ445" s="236">
        <v>0</v>
      </c>
    </row>
    <row r="446" spans="1:104" x14ac:dyDescent="0.2">
      <c r="A446" s="6" t="str">
        <f>'[1]2021 УГРЦТ'!A449</f>
        <v>Трансформатор ТМ-400 КВА 6/0,4 №5909 2007г</v>
      </c>
      <c r="B446" t="str">
        <f>'[1]2021 УГРЦТ'!B449</f>
        <v>00001043</v>
      </c>
      <c r="C446" t="str">
        <f>'[1]2021 УГРЦТ'!C449</f>
        <v>ПЕРЕДАЧА</v>
      </c>
      <c r="D446" t="str">
        <f>'[1]2021 УГРЦТ'!D449</f>
        <v>Машины и оборудование (кроме офисного)</v>
      </c>
      <c r="E446" t="str">
        <f>'[1]2021 УГРЦТ'!E449</f>
        <v>31.07.2007</v>
      </c>
      <c r="F446" t="str">
        <f>'[1]2021 УГРЦТ'!F449</f>
        <v>Цех электрических сетей</v>
      </c>
      <c r="G446">
        <f>'[1]2021 УГРЦТ'!AC449</f>
        <v>240</v>
      </c>
      <c r="H446" s="7">
        <f>'[1]2021 УГРЦТ'!X449</f>
        <v>182634.78</v>
      </c>
      <c r="I446" s="7">
        <f>'[1]2021 УГРЦТ'!Y449</f>
        <v>131649.519</v>
      </c>
      <c r="J446" s="7">
        <f>'[1]2021 УГРЦТ'!Z449</f>
        <v>50985.260999999999</v>
      </c>
      <c r="K446" s="8">
        <v>0</v>
      </c>
      <c r="L446" s="7">
        <v>760.9799999999999</v>
      </c>
      <c r="M446" s="7"/>
      <c r="N446" s="7">
        <f t="shared" si="2270"/>
        <v>9131.7599999999984</v>
      </c>
      <c r="O446" s="7">
        <f t="shared" si="1984"/>
        <v>50224.280999999995</v>
      </c>
      <c r="P446" s="7">
        <f t="shared" si="2362"/>
        <v>49463.300999999992</v>
      </c>
      <c r="Q446" s="7">
        <f t="shared" si="2362"/>
        <v>48702.320999999989</v>
      </c>
      <c r="R446" s="7">
        <f t="shared" si="2362"/>
        <v>47941.340999999986</v>
      </c>
      <c r="S446" s="7">
        <f t="shared" si="2362"/>
        <v>47180.360999999983</v>
      </c>
      <c r="T446" s="7">
        <f t="shared" si="2362"/>
        <v>46419.380999999979</v>
      </c>
      <c r="U446" s="7">
        <f t="shared" si="2362"/>
        <v>45658.400999999976</v>
      </c>
      <c r="V446" s="7">
        <f t="shared" si="2362"/>
        <v>44897.420999999973</v>
      </c>
      <c r="W446" s="7">
        <f t="shared" si="2362"/>
        <v>44136.44099999997</v>
      </c>
      <c r="X446" s="7">
        <f t="shared" si="2362"/>
        <v>43375.460999999967</v>
      </c>
      <c r="Y446" s="7">
        <f t="shared" si="2362"/>
        <v>42614.480999999963</v>
      </c>
      <c r="Z446" s="7">
        <f t="shared" si="2362"/>
        <v>41853.50099999996</v>
      </c>
      <c r="AA446" s="7"/>
      <c r="AB446" s="7"/>
      <c r="AC446" s="7">
        <f t="shared" si="1985"/>
        <v>9131.7599999999984</v>
      </c>
      <c r="AD446" s="7">
        <f t="shared" si="1986"/>
        <v>41092.520999999957</v>
      </c>
      <c r="AE446" s="7">
        <f t="shared" si="2363"/>
        <v>40331.540999999954</v>
      </c>
      <c r="AF446" s="7">
        <f t="shared" si="2363"/>
        <v>39570.560999999951</v>
      </c>
      <c r="AG446" s="7">
        <f t="shared" si="2363"/>
        <v>38809.580999999947</v>
      </c>
      <c r="AH446" s="7">
        <f t="shared" si="2363"/>
        <v>38048.600999999944</v>
      </c>
      <c r="AI446" s="7">
        <f t="shared" si="2363"/>
        <v>37287.620999999941</v>
      </c>
      <c r="AJ446" s="7">
        <f t="shared" si="2363"/>
        <v>36526.640999999938</v>
      </c>
      <c r="AK446" s="7">
        <f t="shared" si="2363"/>
        <v>35765.660999999935</v>
      </c>
      <c r="AL446" s="7">
        <f t="shared" si="2363"/>
        <v>35004.680999999931</v>
      </c>
      <c r="AM446" s="7">
        <f t="shared" si="2363"/>
        <v>34243.700999999928</v>
      </c>
      <c r="AN446" s="7">
        <f t="shared" si="2363"/>
        <v>33482.720999999925</v>
      </c>
      <c r="AO446" s="7">
        <f t="shared" si="2363"/>
        <v>32721.740999999925</v>
      </c>
      <c r="AP446" s="222"/>
      <c r="AQ446" s="7">
        <v>760.9799999999999</v>
      </c>
      <c r="AR446" s="7">
        <f t="shared" si="1987"/>
        <v>760.97999999999956</v>
      </c>
      <c r="AS446" s="7">
        <f t="shared" si="1988"/>
        <v>0</v>
      </c>
      <c r="AT446" s="7">
        <f t="shared" si="2436"/>
        <v>9131.7599999999984</v>
      </c>
      <c r="AU446" s="7">
        <f>AO446-$L446</f>
        <v>31960.760999999926</v>
      </c>
      <c r="AV446" s="7">
        <f t="shared" si="2437"/>
        <v>31199.780999999926</v>
      </c>
      <c r="AW446" s="7">
        <f t="shared" si="2437"/>
        <v>30438.800999999927</v>
      </c>
      <c r="AX446" s="7">
        <f t="shared" si="2437"/>
        <v>29677.820999999927</v>
      </c>
      <c r="AY446" s="7">
        <f t="shared" si="2437"/>
        <v>28916.840999999928</v>
      </c>
      <c r="AZ446" s="7">
        <f t="shared" si="2437"/>
        <v>28155.860999999928</v>
      </c>
      <c r="BA446" s="7">
        <f t="shared" si="2437"/>
        <v>27394.880999999928</v>
      </c>
      <c r="BB446" s="7">
        <f t="shared" si="2437"/>
        <v>26633.900999999929</v>
      </c>
      <c r="BC446" s="7">
        <f t="shared" si="2437"/>
        <v>25872.920999999929</v>
      </c>
      <c r="BD446" s="7">
        <f t="shared" si="2437"/>
        <v>25111.94099999993</v>
      </c>
      <c r="BE446" s="7">
        <f t="shared" si="2437"/>
        <v>24350.96099999993</v>
      </c>
      <c r="BF446" s="7">
        <f t="shared" si="2437"/>
        <v>23589.980999999931</v>
      </c>
      <c r="BG446" s="236">
        <f t="shared" si="1983"/>
        <v>0</v>
      </c>
      <c r="BH446" s="7">
        <v>760.9799999999999</v>
      </c>
      <c r="BI446" s="39">
        <f>BH446*12</f>
        <v>9131.7599999999984</v>
      </c>
      <c r="BJ446" s="7">
        <f>BF446-BH446</f>
        <v>22829.000999999931</v>
      </c>
      <c r="BK446" s="7">
        <f t="shared" si="2438"/>
        <v>22068.020999999932</v>
      </c>
      <c r="BL446" s="7">
        <f t="shared" si="2439"/>
        <v>21307.040999999932</v>
      </c>
      <c r="BM446" s="7">
        <f t="shared" si="2440"/>
        <v>20546.060999999932</v>
      </c>
      <c r="BN446" s="7">
        <f t="shared" si="2441"/>
        <v>19785.080999999933</v>
      </c>
      <c r="BO446" s="7">
        <f t="shared" si="2442"/>
        <v>19024.100999999933</v>
      </c>
      <c r="BP446" s="7">
        <f t="shared" si="2443"/>
        <v>18263.120999999934</v>
      </c>
      <c r="BQ446" s="7">
        <f t="shared" si="2444"/>
        <v>17502.140999999934</v>
      </c>
      <c r="BR446" s="7">
        <f t="shared" si="2445"/>
        <v>16741.160999999935</v>
      </c>
      <c r="BS446" s="7">
        <f t="shared" si="2446"/>
        <v>15980.180999999935</v>
      </c>
      <c r="BT446" s="7">
        <f t="shared" si="2447"/>
        <v>15219.200999999935</v>
      </c>
      <c r="BU446" s="7">
        <f t="shared" si="2448"/>
        <v>14458.220999999936</v>
      </c>
      <c r="BV446" s="236">
        <v>0</v>
      </c>
      <c r="BW446" s="7">
        <v>760.9799999999999</v>
      </c>
      <c r="BX446" s="39">
        <f>BW446*12</f>
        <v>9131.7599999999984</v>
      </c>
      <c r="BY446" s="7">
        <f>BU446-BW446</f>
        <v>13697.240999999936</v>
      </c>
      <c r="BZ446" s="7">
        <f t="shared" si="2449"/>
        <v>12936.260999999937</v>
      </c>
      <c r="CA446" s="7">
        <f t="shared" si="2450"/>
        <v>12175.280999999937</v>
      </c>
      <c r="CB446" s="7">
        <f t="shared" si="2451"/>
        <v>11414.300999999938</v>
      </c>
      <c r="CC446" s="7">
        <f t="shared" si="2452"/>
        <v>10653.320999999938</v>
      </c>
      <c r="CD446" s="7">
        <f t="shared" si="2453"/>
        <v>9892.3409999999385</v>
      </c>
      <c r="CE446" s="7">
        <f t="shared" si="2454"/>
        <v>9131.3609999999389</v>
      </c>
      <c r="CF446" s="7">
        <f t="shared" si="2455"/>
        <v>8370.3809999999394</v>
      </c>
      <c r="CG446" s="7">
        <f t="shared" si="2456"/>
        <v>7609.4009999999398</v>
      </c>
      <c r="CH446" s="7">
        <f t="shared" si="2457"/>
        <v>6848.4209999999402</v>
      </c>
      <c r="CI446" s="7">
        <f t="shared" si="2458"/>
        <v>6087.4409999999407</v>
      </c>
      <c r="CJ446" s="7">
        <f t="shared" si="2459"/>
        <v>5326.4609999999411</v>
      </c>
      <c r="CK446" s="236">
        <v>0</v>
      </c>
      <c r="CL446" s="7">
        <v>760.9799999999999</v>
      </c>
      <c r="CM446" s="39">
        <v>5326.46</v>
      </c>
      <c r="CN446" s="7">
        <f>CJ446-CL446</f>
        <v>4565.4809999999416</v>
      </c>
      <c r="CO446" s="7">
        <f t="shared" si="2460"/>
        <v>3804.5009999999415</v>
      </c>
      <c r="CP446" s="7">
        <f t="shared" si="2461"/>
        <v>3043.5209999999415</v>
      </c>
      <c r="CQ446" s="7">
        <f t="shared" si="2462"/>
        <v>2282.5409999999415</v>
      </c>
      <c r="CR446" s="7">
        <f t="shared" si="2463"/>
        <v>1521.5609999999415</v>
      </c>
      <c r="CS446" s="7">
        <f t="shared" si="2464"/>
        <v>760.58099999994158</v>
      </c>
      <c r="CT446" s="7"/>
      <c r="CU446" s="7"/>
      <c r="CV446" s="7"/>
      <c r="CW446" s="7"/>
      <c r="CX446" s="7"/>
      <c r="CY446" s="7"/>
      <c r="CZ446" s="236">
        <v>0</v>
      </c>
    </row>
    <row r="447" spans="1:104" x14ac:dyDescent="0.2">
      <c r="A447" s="6" t="str">
        <f>'[1]2021 УГРЦТ'!A450</f>
        <v>Трансформатор ТМ-400 КВА6/0,4 №3192 2007г</v>
      </c>
      <c r="B447" t="str">
        <f>'[1]2021 УГРЦТ'!B450</f>
        <v>00001045</v>
      </c>
      <c r="C447" t="str">
        <f>'[1]2021 УГРЦТ'!C450</f>
        <v>ПЕРЕДАЧА</v>
      </c>
      <c r="D447" t="str">
        <f>'[1]2021 УГРЦТ'!D450</f>
        <v>Машины и оборудование (кроме офисного)</v>
      </c>
      <c r="E447" t="str">
        <f>'[1]2021 УГРЦТ'!E450</f>
        <v>31.07.2007</v>
      </c>
      <c r="F447" t="str">
        <f>'[1]2021 УГРЦТ'!F450</f>
        <v>Цех электрических сетей</v>
      </c>
      <c r="G447">
        <f>'[1]2021 УГРЦТ'!AC450</f>
        <v>240</v>
      </c>
      <c r="H447" s="7">
        <f>'[1]2021 УГРЦТ'!X450</f>
        <v>182634.77</v>
      </c>
      <c r="I447" s="7">
        <f>'[1]2021 УГРЦТ'!Y450</f>
        <v>131649.51850000001</v>
      </c>
      <c r="J447" s="7">
        <f>'[1]2021 УГРЦТ'!Z450</f>
        <v>50985.251499999984</v>
      </c>
      <c r="K447" s="8">
        <v>0</v>
      </c>
      <c r="L447" s="7">
        <v>760.9799999999999</v>
      </c>
      <c r="M447" s="7"/>
      <c r="N447" s="7">
        <f t="shared" si="2270"/>
        <v>9131.7599999999984</v>
      </c>
      <c r="O447" s="7">
        <f t="shared" si="1984"/>
        <v>50224.271499999981</v>
      </c>
      <c r="P447" s="7">
        <f t="shared" si="2362"/>
        <v>49463.291499999978</v>
      </c>
      <c r="Q447" s="7">
        <f t="shared" si="2362"/>
        <v>48702.311499999974</v>
      </c>
      <c r="R447" s="7">
        <f t="shared" si="2362"/>
        <v>47941.331499999971</v>
      </c>
      <c r="S447" s="7">
        <f t="shared" si="2362"/>
        <v>47180.351499999968</v>
      </c>
      <c r="T447" s="7">
        <f t="shared" si="2362"/>
        <v>46419.371499999965</v>
      </c>
      <c r="U447" s="7">
        <f t="shared" si="2362"/>
        <v>45658.391499999962</v>
      </c>
      <c r="V447" s="7">
        <f t="shared" si="2362"/>
        <v>44897.411499999958</v>
      </c>
      <c r="W447" s="7">
        <f t="shared" si="2362"/>
        <v>44136.431499999955</v>
      </c>
      <c r="X447" s="7">
        <f t="shared" si="2362"/>
        <v>43375.451499999952</v>
      </c>
      <c r="Y447" s="7">
        <f t="shared" si="2362"/>
        <v>42614.471499999949</v>
      </c>
      <c r="Z447" s="7">
        <f t="shared" si="2362"/>
        <v>41853.491499999946</v>
      </c>
      <c r="AA447" s="7"/>
      <c r="AB447" s="7"/>
      <c r="AC447" s="7">
        <f t="shared" si="1985"/>
        <v>9131.7599999999984</v>
      </c>
      <c r="AD447" s="7">
        <f t="shared" si="1986"/>
        <v>41092.511499999942</v>
      </c>
      <c r="AE447" s="7">
        <f t="shared" si="2363"/>
        <v>40331.531499999939</v>
      </c>
      <c r="AF447" s="7">
        <f t="shared" si="2363"/>
        <v>39570.551499999936</v>
      </c>
      <c r="AG447" s="7">
        <f t="shared" si="2363"/>
        <v>38809.571499999933</v>
      </c>
      <c r="AH447" s="7">
        <f t="shared" si="2363"/>
        <v>38048.59149999993</v>
      </c>
      <c r="AI447" s="7">
        <f t="shared" si="2363"/>
        <v>37287.611499999926</v>
      </c>
      <c r="AJ447" s="7">
        <f t="shared" si="2363"/>
        <v>36526.631499999923</v>
      </c>
      <c r="AK447" s="7">
        <f t="shared" si="2363"/>
        <v>35765.65149999992</v>
      </c>
      <c r="AL447" s="7">
        <f t="shared" si="2363"/>
        <v>35004.671499999917</v>
      </c>
      <c r="AM447" s="7">
        <f t="shared" si="2363"/>
        <v>34243.691499999914</v>
      </c>
      <c r="AN447" s="7">
        <f t="shared" si="2363"/>
        <v>33482.71149999991</v>
      </c>
      <c r="AO447" s="7">
        <f t="shared" si="2363"/>
        <v>32721.731499999911</v>
      </c>
      <c r="AP447" s="222"/>
      <c r="AQ447" s="7">
        <v>760.9799999999999</v>
      </c>
      <c r="AR447" s="7">
        <f t="shared" si="1987"/>
        <v>760.97999999999956</v>
      </c>
      <c r="AS447" s="7">
        <f t="shared" si="1988"/>
        <v>0</v>
      </c>
      <c r="AT447" s="7">
        <f t="shared" si="2436"/>
        <v>9131.7599999999984</v>
      </c>
      <c r="AU447" s="7">
        <f>AO447-$L447</f>
        <v>31960.751499999911</v>
      </c>
      <c r="AV447" s="7">
        <f t="shared" si="2437"/>
        <v>31199.771499999912</v>
      </c>
      <c r="AW447" s="7">
        <f t="shared" si="2437"/>
        <v>30438.791499999912</v>
      </c>
      <c r="AX447" s="7">
        <f t="shared" si="2437"/>
        <v>29677.811499999912</v>
      </c>
      <c r="AY447" s="7">
        <f t="shared" si="2437"/>
        <v>28916.831499999913</v>
      </c>
      <c r="AZ447" s="7">
        <f t="shared" si="2437"/>
        <v>28155.851499999913</v>
      </c>
      <c r="BA447" s="7">
        <f t="shared" si="2437"/>
        <v>27394.871499999914</v>
      </c>
      <c r="BB447" s="7">
        <f t="shared" si="2437"/>
        <v>26633.891499999914</v>
      </c>
      <c r="BC447" s="7">
        <f t="shared" si="2437"/>
        <v>25872.911499999915</v>
      </c>
      <c r="BD447" s="7">
        <f t="shared" si="2437"/>
        <v>25111.931499999915</v>
      </c>
      <c r="BE447" s="7">
        <f t="shared" si="2437"/>
        <v>24350.951499999916</v>
      </c>
      <c r="BF447" s="7">
        <f t="shared" si="2437"/>
        <v>23589.971499999916</v>
      </c>
      <c r="BG447" s="236">
        <f t="shared" si="1983"/>
        <v>0</v>
      </c>
      <c r="BH447" s="7">
        <v>760.9799999999999</v>
      </c>
      <c r="BI447" s="39">
        <f>BH447*12</f>
        <v>9131.7599999999984</v>
      </c>
      <c r="BJ447" s="7">
        <f>BF447-BH447</f>
        <v>22828.991499999916</v>
      </c>
      <c r="BK447" s="7">
        <f t="shared" si="2438"/>
        <v>22068.011499999917</v>
      </c>
      <c r="BL447" s="7">
        <f t="shared" si="2439"/>
        <v>21307.031499999917</v>
      </c>
      <c r="BM447" s="7">
        <f t="shared" si="2440"/>
        <v>20546.051499999918</v>
      </c>
      <c r="BN447" s="7">
        <f t="shared" si="2441"/>
        <v>19785.071499999918</v>
      </c>
      <c r="BO447" s="7">
        <f t="shared" si="2442"/>
        <v>19024.091499999919</v>
      </c>
      <c r="BP447" s="7">
        <f t="shared" si="2443"/>
        <v>18263.111499999919</v>
      </c>
      <c r="BQ447" s="7">
        <f t="shared" si="2444"/>
        <v>17502.131499999919</v>
      </c>
      <c r="BR447" s="7">
        <f t="shared" si="2445"/>
        <v>16741.15149999992</v>
      </c>
      <c r="BS447" s="7">
        <f t="shared" si="2446"/>
        <v>15980.17149999992</v>
      </c>
      <c r="BT447" s="7">
        <f t="shared" si="2447"/>
        <v>15219.191499999921</v>
      </c>
      <c r="BU447" s="7">
        <f t="shared" si="2448"/>
        <v>14458.211499999921</v>
      </c>
      <c r="BV447" s="236">
        <v>0</v>
      </c>
      <c r="BW447" s="7">
        <v>760.9799999999999</v>
      </c>
      <c r="BX447" s="39">
        <f>BW447*12</f>
        <v>9131.7599999999984</v>
      </c>
      <c r="BY447" s="7">
        <f>BU447-BW447</f>
        <v>13697.231499999922</v>
      </c>
      <c r="BZ447" s="7">
        <f t="shared" si="2449"/>
        <v>12936.251499999922</v>
      </c>
      <c r="CA447" s="7">
        <f t="shared" si="2450"/>
        <v>12175.271499999923</v>
      </c>
      <c r="CB447" s="7">
        <f t="shared" si="2451"/>
        <v>11414.291499999923</v>
      </c>
      <c r="CC447" s="7">
        <f t="shared" si="2452"/>
        <v>10653.311499999923</v>
      </c>
      <c r="CD447" s="7">
        <f t="shared" si="2453"/>
        <v>9892.3314999999238</v>
      </c>
      <c r="CE447" s="7">
        <f t="shared" si="2454"/>
        <v>9131.3514999999243</v>
      </c>
      <c r="CF447" s="7">
        <f t="shared" si="2455"/>
        <v>8370.3714999999247</v>
      </c>
      <c r="CG447" s="7">
        <f t="shared" si="2456"/>
        <v>7609.3914999999251</v>
      </c>
      <c r="CH447" s="7">
        <f t="shared" si="2457"/>
        <v>6848.4114999999256</v>
      </c>
      <c r="CI447" s="7">
        <f t="shared" si="2458"/>
        <v>6087.431499999926</v>
      </c>
      <c r="CJ447" s="7">
        <f t="shared" si="2459"/>
        <v>5326.4514999999265</v>
      </c>
      <c r="CK447" s="236">
        <v>0</v>
      </c>
      <c r="CL447" s="7">
        <v>760.9799999999999</v>
      </c>
      <c r="CM447" s="39">
        <v>5326.45</v>
      </c>
      <c r="CN447" s="7">
        <f>CJ447-CL447</f>
        <v>4565.4714999999269</v>
      </c>
      <c r="CO447" s="7">
        <f t="shared" si="2460"/>
        <v>3804.4914999999269</v>
      </c>
      <c r="CP447" s="7">
        <f t="shared" si="2461"/>
        <v>3043.5114999999269</v>
      </c>
      <c r="CQ447" s="7">
        <f t="shared" si="2462"/>
        <v>2282.5314999999268</v>
      </c>
      <c r="CR447" s="7">
        <f t="shared" si="2463"/>
        <v>1521.5514999999268</v>
      </c>
      <c r="CS447" s="7">
        <f t="shared" si="2464"/>
        <v>760.57149999992691</v>
      </c>
      <c r="CT447" s="7"/>
      <c r="CU447" s="7"/>
      <c r="CV447" s="7"/>
      <c r="CW447" s="7"/>
      <c r="CX447" s="7"/>
      <c r="CY447" s="7"/>
      <c r="CZ447" s="236">
        <v>0</v>
      </c>
    </row>
    <row r="448" spans="1:104" x14ac:dyDescent="0.2">
      <c r="A448" s="6" t="str">
        <f>'[1]2021 УГРЦТ'!A451</f>
        <v>Трансформатор ТМ400/6 №1510715 (ТП №65 с 18.08.09)</v>
      </c>
      <c r="B448" t="str">
        <f>'[1]2021 УГРЦТ'!B451</f>
        <v>00001102</v>
      </c>
      <c r="C448" t="str">
        <f>'[1]2021 УГРЦТ'!C451</f>
        <v>ПЕРЕДАЧА</v>
      </c>
      <c r="D448" t="str">
        <f>'[1]2021 УГРЦТ'!D451</f>
        <v>Машины и оборудование (кроме офисного)</v>
      </c>
      <c r="E448" t="str">
        <f>'[1]2021 УГРЦТ'!E451</f>
        <v>31.12.2008</v>
      </c>
      <c r="F448" t="str">
        <f>'[1]2021 УГРЦТ'!F451</f>
        <v>Цех электрических сетей</v>
      </c>
      <c r="G448">
        <f>'[1]2021 УГРЦТ'!AC451</f>
        <v>180</v>
      </c>
      <c r="H448" s="7">
        <f>'[1]2021 УГРЦТ'!X451</f>
        <v>225395.68</v>
      </c>
      <c r="I448" s="7">
        <f>'[1]2021 УГРЦТ'!Y451</f>
        <v>195343.17866666664</v>
      </c>
      <c r="J448" s="7">
        <f>'[1]2021 УГРЦТ'!Z451</f>
        <v>30052.501333333348</v>
      </c>
      <c r="K448" s="8">
        <v>0</v>
      </c>
      <c r="L448" s="7">
        <v>1252.2000000000003</v>
      </c>
      <c r="M448" s="7"/>
      <c r="N448" s="7">
        <f t="shared" si="2270"/>
        <v>15026.400000000003</v>
      </c>
      <c r="O448" s="7">
        <f t="shared" si="1984"/>
        <v>28800.301333333347</v>
      </c>
      <c r="P448" s="7">
        <f t="shared" ref="P448:Z463" si="2465">O448-$L448</f>
        <v>27548.101333333347</v>
      </c>
      <c r="Q448" s="7">
        <f t="shared" si="2465"/>
        <v>26295.901333333346</v>
      </c>
      <c r="R448" s="7">
        <f t="shared" si="2465"/>
        <v>25043.701333333345</v>
      </c>
      <c r="S448" s="7">
        <f t="shared" si="2465"/>
        <v>23791.501333333345</v>
      </c>
      <c r="T448" s="7">
        <f t="shared" si="2465"/>
        <v>22539.301333333344</v>
      </c>
      <c r="U448" s="7">
        <f t="shared" si="2465"/>
        <v>21287.101333333343</v>
      </c>
      <c r="V448" s="7">
        <f t="shared" si="2465"/>
        <v>20034.901333333342</v>
      </c>
      <c r="W448" s="7">
        <f t="shared" si="2465"/>
        <v>18782.701333333342</v>
      </c>
      <c r="X448" s="7">
        <f t="shared" si="2465"/>
        <v>17530.501333333341</v>
      </c>
      <c r="Y448" s="7">
        <f t="shared" si="2465"/>
        <v>16278.30133333334</v>
      </c>
      <c r="Z448" s="7">
        <f t="shared" si="2465"/>
        <v>15026.101333333339</v>
      </c>
      <c r="AA448" s="7"/>
      <c r="AB448" s="7"/>
      <c r="AC448" s="7">
        <f>L448*12-0.3</f>
        <v>15026.100000000004</v>
      </c>
      <c r="AD448" s="7">
        <f t="shared" si="1986"/>
        <v>13773.901333333339</v>
      </c>
      <c r="AE448" s="7">
        <f t="shared" ref="AE448:AO463" si="2466">AD448-$L448</f>
        <v>12521.701333333338</v>
      </c>
      <c r="AF448" s="7">
        <f t="shared" si="2466"/>
        <v>11269.501333333337</v>
      </c>
      <c r="AG448" s="7">
        <f t="shared" si="2466"/>
        <v>10017.301333333337</v>
      </c>
      <c r="AH448" s="7">
        <f t="shared" si="2466"/>
        <v>8765.1013333333358</v>
      </c>
      <c r="AI448" s="7">
        <f t="shared" si="2466"/>
        <v>7512.9013333333351</v>
      </c>
      <c r="AJ448" s="7">
        <f t="shared" si="2466"/>
        <v>6260.7013333333343</v>
      </c>
      <c r="AK448" s="7">
        <f t="shared" si="2466"/>
        <v>5008.5013333333336</v>
      </c>
      <c r="AL448" s="7">
        <f t="shared" si="2466"/>
        <v>3756.3013333333333</v>
      </c>
      <c r="AM448" s="7">
        <f t="shared" si="2466"/>
        <v>2504.1013333333331</v>
      </c>
      <c r="AN448" s="7">
        <f t="shared" si="2466"/>
        <v>1251.9013333333328</v>
      </c>
      <c r="AO448" s="7">
        <f>AN448-$L448+0.3</f>
        <v>1.3333333325135643E-3</v>
      </c>
      <c r="AP448" s="222"/>
      <c r="AQ448" s="7">
        <v>1252.2000000000003</v>
      </c>
      <c r="AR448" s="7"/>
      <c r="AS448" s="7"/>
      <c r="BG448" s="236">
        <f t="shared" si="1983"/>
        <v>0</v>
      </c>
      <c r="BH448" s="7">
        <v>1252.2000000000003</v>
      </c>
      <c r="BV448" s="236">
        <f>IF(Z448&lt;1,0,SUM(BJ448:BU448,BF448)/13*$BG$1)</f>
        <v>0</v>
      </c>
      <c r="BW448" s="7">
        <v>1252.2000000000003</v>
      </c>
      <c r="CK448" s="236">
        <f>IF(AO448&lt;1,0,SUM(BY448:CJ448,BU448)/13*$BG$1)</f>
        <v>0</v>
      </c>
      <c r="CL448" s="7">
        <v>1252.2000000000003</v>
      </c>
      <c r="CZ448" s="236">
        <f>IF(BF448&lt;1,0,SUM(CN448:CY448,CJ448)/13*$BG$1)</f>
        <v>0</v>
      </c>
    </row>
    <row r="449" spans="1:104" x14ac:dyDescent="0.2">
      <c r="A449" s="6" t="str">
        <f>'[1]2021 УГРЦТ'!A452</f>
        <v>Трансформатор ТМГ-160/6 1379549</v>
      </c>
      <c r="B449" t="str">
        <f>'[1]2021 УГРЦТ'!B452</f>
        <v>00001015</v>
      </c>
      <c r="C449" t="str">
        <f>'[1]2021 УГРЦТ'!C452</f>
        <v>ПЕРЕДАЧА</v>
      </c>
      <c r="D449" t="str">
        <f>'[1]2021 УГРЦТ'!D452</f>
        <v>Машины и оборудование (кроме офисного)</v>
      </c>
      <c r="E449" t="str">
        <f>'[1]2021 УГРЦТ'!E452</f>
        <v>30.11.2006</v>
      </c>
      <c r="F449" t="str">
        <f>'[1]2021 УГРЦТ'!F452</f>
        <v>Цех электрических сетей</v>
      </c>
      <c r="G449">
        <f>'[1]2021 УГРЦТ'!AC452</f>
        <v>240</v>
      </c>
      <c r="H449" s="7">
        <f>'[1]2021 УГРЦТ'!X452</f>
        <v>115398.53</v>
      </c>
      <c r="I449" s="7">
        <f>'[1]2021 УГРЦТ'!Y452</f>
        <v>87030.196500000005</v>
      </c>
      <c r="J449" s="7">
        <f>'[1]2021 УГРЦТ'!Z452</f>
        <v>28368.333499999993</v>
      </c>
      <c r="K449" s="8">
        <v>0</v>
      </c>
      <c r="L449" s="7">
        <v>480.83</v>
      </c>
      <c r="M449" s="7"/>
      <c r="N449" s="7">
        <f t="shared" si="2270"/>
        <v>5769.96</v>
      </c>
      <c r="O449" s="7">
        <f t="shared" si="1984"/>
        <v>27887.503499999992</v>
      </c>
      <c r="P449" s="7">
        <f t="shared" si="2465"/>
        <v>27406.67349999999</v>
      </c>
      <c r="Q449" s="7">
        <f t="shared" si="2465"/>
        <v>26925.843499999988</v>
      </c>
      <c r="R449" s="7">
        <f t="shared" si="2465"/>
        <v>26445.013499999986</v>
      </c>
      <c r="S449" s="7">
        <f t="shared" si="2465"/>
        <v>25964.183499999985</v>
      </c>
      <c r="T449" s="7">
        <f t="shared" si="2465"/>
        <v>25483.353499999983</v>
      </c>
      <c r="U449" s="7">
        <f t="shared" si="2465"/>
        <v>25002.523499999981</v>
      </c>
      <c r="V449" s="7">
        <f t="shared" si="2465"/>
        <v>24521.693499999979</v>
      </c>
      <c r="W449" s="7">
        <f t="shared" si="2465"/>
        <v>24040.863499999978</v>
      </c>
      <c r="X449" s="7">
        <f t="shared" si="2465"/>
        <v>23560.033499999976</v>
      </c>
      <c r="Y449" s="7">
        <f t="shared" si="2465"/>
        <v>23079.203499999974</v>
      </c>
      <c r="Z449" s="7">
        <f t="shared" si="2465"/>
        <v>22598.373499999972</v>
      </c>
      <c r="AA449" s="7"/>
      <c r="AB449" s="7"/>
      <c r="AC449" s="7">
        <f t="shared" si="1985"/>
        <v>5769.96</v>
      </c>
      <c r="AD449" s="7">
        <f t="shared" si="1986"/>
        <v>22117.543499999971</v>
      </c>
      <c r="AE449" s="7">
        <f t="shared" si="2466"/>
        <v>21636.713499999969</v>
      </c>
      <c r="AF449" s="7">
        <f t="shared" si="2466"/>
        <v>21155.883499999967</v>
      </c>
      <c r="AG449" s="7">
        <f t="shared" si="2466"/>
        <v>20675.053499999965</v>
      </c>
      <c r="AH449" s="7">
        <f t="shared" si="2466"/>
        <v>20194.223499999964</v>
      </c>
      <c r="AI449" s="7">
        <f t="shared" si="2466"/>
        <v>19713.393499999962</v>
      </c>
      <c r="AJ449" s="7">
        <f t="shared" si="2466"/>
        <v>19232.56349999996</v>
      </c>
      <c r="AK449" s="7">
        <f t="shared" si="2466"/>
        <v>18751.733499999958</v>
      </c>
      <c r="AL449" s="7">
        <f t="shared" si="2466"/>
        <v>18270.903499999957</v>
      </c>
      <c r="AM449" s="7">
        <f t="shared" si="2466"/>
        <v>17790.073499999955</v>
      </c>
      <c r="AN449" s="7">
        <f t="shared" si="2466"/>
        <v>17309.243499999953</v>
      </c>
      <c r="AO449" s="7">
        <f t="shared" si="2466"/>
        <v>16828.413499999951</v>
      </c>
      <c r="AP449" s="222"/>
      <c r="AQ449" s="7">
        <v>480.83</v>
      </c>
      <c r="AR449" s="7">
        <f t="shared" si="1987"/>
        <v>480.83000000000175</v>
      </c>
      <c r="AS449" s="7">
        <f t="shared" si="1988"/>
        <v>1.7621459846850485E-12</v>
      </c>
      <c r="AT449" s="7">
        <f t="shared" ref="AT449:AT463" si="2467">L449*12</f>
        <v>5769.96</v>
      </c>
      <c r="AU449" s="7">
        <f t="shared" ref="AU449:AU463" si="2468">AO449-$L449</f>
        <v>16347.583499999952</v>
      </c>
      <c r="AV449" s="7">
        <f t="shared" ref="AV449:BF463" si="2469">AU449-$L449</f>
        <v>15866.753499999952</v>
      </c>
      <c r="AW449" s="7">
        <f t="shared" si="2469"/>
        <v>15385.923499999952</v>
      </c>
      <c r="AX449" s="7">
        <f t="shared" si="2469"/>
        <v>14905.093499999952</v>
      </c>
      <c r="AY449" s="7">
        <f t="shared" si="2469"/>
        <v>14424.263499999952</v>
      </c>
      <c r="AZ449" s="7">
        <f t="shared" si="2469"/>
        <v>13943.433499999952</v>
      </c>
      <c r="BA449" s="7">
        <f t="shared" si="2469"/>
        <v>13462.603499999952</v>
      </c>
      <c r="BB449" s="7">
        <f t="shared" si="2469"/>
        <v>12981.773499999952</v>
      </c>
      <c r="BC449" s="7">
        <f t="shared" si="2469"/>
        <v>12500.943499999952</v>
      </c>
      <c r="BD449" s="7">
        <f t="shared" si="2469"/>
        <v>12020.113499999952</v>
      </c>
      <c r="BE449" s="7">
        <f t="shared" si="2469"/>
        <v>11539.283499999952</v>
      </c>
      <c r="BF449" s="7">
        <f t="shared" si="2469"/>
        <v>11058.453499999952</v>
      </c>
      <c r="BG449" s="236">
        <f t="shared" si="1983"/>
        <v>0</v>
      </c>
      <c r="BH449" s="7">
        <v>480.83</v>
      </c>
      <c r="BI449" s="39">
        <f>BH449*12</f>
        <v>5769.96</v>
      </c>
      <c r="BJ449" s="7">
        <f>BF449-BH449</f>
        <v>10577.623499999952</v>
      </c>
      <c r="BK449" s="7">
        <f t="shared" ref="BK449:BK463" si="2470">BJ449-$L449</f>
        <v>10096.793499999952</v>
      </c>
      <c r="BL449" s="7">
        <f t="shared" ref="BL449:BL463" si="2471">BK449-$L449</f>
        <v>9615.9634999999525</v>
      </c>
      <c r="BM449" s="7">
        <f t="shared" ref="BM449:BM463" si="2472">BL449-$L449</f>
        <v>9135.1334999999526</v>
      </c>
      <c r="BN449" s="7">
        <f t="shared" ref="BN449:BN463" si="2473">BM449-$L449</f>
        <v>8654.3034999999527</v>
      </c>
      <c r="BO449" s="7">
        <f t="shared" ref="BO449:BO452" si="2474">BN449-$L449</f>
        <v>8173.4734999999528</v>
      </c>
      <c r="BP449" s="7">
        <f t="shared" ref="BP449:BP452" si="2475">BO449-$L449</f>
        <v>7692.6434999999528</v>
      </c>
      <c r="BQ449" s="7">
        <f t="shared" ref="BQ449:BQ452" si="2476">BP449-$L449</f>
        <v>7211.8134999999529</v>
      </c>
      <c r="BR449" s="7">
        <f t="shared" ref="BR449:BR452" si="2477">BQ449-$L449</f>
        <v>6730.983499999953</v>
      </c>
      <c r="BS449" s="7">
        <f t="shared" ref="BS449:BS452" si="2478">BR449-$L449</f>
        <v>6250.1534999999531</v>
      </c>
      <c r="BT449" s="7">
        <f t="shared" ref="BT449:BT452" si="2479">BS449-$L449</f>
        <v>5769.3234999999531</v>
      </c>
      <c r="BU449" s="7">
        <f t="shared" ref="BU449:BU452" si="2480">BT449-$L449</f>
        <v>5288.4934999999532</v>
      </c>
      <c r="BV449" s="236">
        <v>0</v>
      </c>
      <c r="BW449" s="7">
        <v>480.83</v>
      </c>
      <c r="BX449" s="39">
        <v>5288.49</v>
      </c>
      <c r="BY449" s="7">
        <f>BU449-BW449</f>
        <v>4807.6634999999533</v>
      </c>
      <c r="BZ449" s="7">
        <f t="shared" ref="BZ449:BZ452" si="2481">BY449-$L449</f>
        <v>4326.8334999999533</v>
      </c>
      <c r="CA449" s="7">
        <f t="shared" ref="CA449:CA452" si="2482">BZ449-$L449</f>
        <v>3846.0034999999534</v>
      </c>
      <c r="CB449" s="7">
        <f t="shared" ref="CB449:CB452" si="2483">CA449-$L449</f>
        <v>3365.1734999999535</v>
      </c>
      <c r="CC449" s="7">
        <f t="shared" ref="CC449:CC452" si="2484">CB449-$L449</f>
        <v>2884.3434999999536</v>
      </c>
      <c r="CD449" s="7">
        <f t="shared" ref="CD449:CD452" si="2485">CC449-$L449</f>
        <v>2403.5134999999536</v>
      </c>
      <c r="CE449" s="7">
        <f t="shared" ref="CE449:CE452" si="2486">CD449-$L449</f>
        <v>1922.6834999999537</v>
      </c>
      <c r="CF449" s="7">
        <f t="shared" ref="CF449:CF452" si="2487">CE449-$L449</f>
        <v>1441.8534999999538</v>
      </c>
      <c r="CG449" s="7">
        <f t="shared" ref="CG449:CG452" si="2488">CF449-$L449</f>
        <v>961.02349999995386</v>
      </c>
      <c r="CH449" s="7">
        <f t="shared" ref="CH449:CH452" si="2489">CG449-$L449</f>
        <v>480.19349999995387</v>
      </c>
      <c r="CI449" s="7"/>
      <c r="CJ449" s="7"/>
      <c r="CK449" s="236">
        <v>0</v>
      </c>
      <c r="CL449" s="7">
        <v>480.83</v>
      </c>
      <c r="CM449" s="39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236">
        <v>0</v>
      </c>
    </row>
    <row r="450" spans="1:104" x14ac:dyDescent="0.2">
      <c r="A450" s="6" t="str">
        <f>'[1]2021 УГРЦТ'!A453</f>
        <v>Трансформатор ТМГ-160/6 №1 №146100</v>
      </c>
      <c r="B450" t="str">
        <f>'[1]2021 УГРЦТ'!B453</f>
        <v>00001014</v>
      </c>
      <c r="C450" t="str">
        <f>'[1]2021 УГРЦТ'!C453</f>
        <v>ПЕРЕДАЧА</v>
      </c>
      <c r="D450" t="str">
        <f>'[1]2021 УГРЦТ'!D453</f>
        <v>Машины и оборудование (кроме офисного)</v>
      </c>
      <c r="E450" t="str">
        <f>'[1]2021 УГРЦТ'!E453</f>
        <v>30.11.2006</v>
      </c>
      <c r="F450" t="str">
        <f>'[1]2021 УГРЦТ'!F453</f>
        <v>Цех электрических сетей</v>
      </c>
      <c r="G450">
        <f>'[1]2021 УГРЦТ'!AC453</f>
        <v>240</v>
      </c>
      <c r="H450" s="7">
        <f>'[1]2021 УГРЦТ'!X453</f>
        <v>115398.54</v>
      </c>
      <c r="I450" s="7">
        <f>'[1]2021 УГРЦТ'!Y453</f>
        <v>87030.197</v>
      </c>
      <c r="J450" s="7">
        <f>'[1]2021 УГРЦТ'!Z453</f>
        <v>28368.342999999993</v>
      </c>
      <c r="K450" s="8">
        <v>0</v>
      </c>
      <c r="L450" s="7">
        <v>480.83</v>
      </c>
      <c r="M450" s="7"/>
      <c r="N450" s="7">
        <f t="shared" si="2270"/>
        <v>5769.96</v>
      </c>
      <c r="O450" s="7">
        <f t="shared" si="1984"/>
        <v>27887.512999999992</v>
      </c>
      <c r="P450" s="7">
        <f t="shared" si="2465"/>
        <v>27406.68299999999</v>
      </c>
      <c r="Q450" s="7">
        <f t="shared" si="2465"/>
        <v>26925.852999999988</v>
      </c>
      <c r="R450" s="7">
        <f t="shared" si="2465"/>
        <v>26445.022999999986</v>
      </c>
      <c r="S450" s="7">
        <f t="shared" si="2465"/>
        <v>25964.192999999985</v>
      </c>
      <c r="T450" s="7">
        <f t="shared" si="2465"/>
        <v>25483.362999999983</v>
      </c>
      <c r="U450" s="7">
        <f t="shared" si="2465"/>
        <v>25002.532999999981</v>
      </c>
      <c r="V450" s="7">
        <f t="shared" si="2465"/>
        <v>24521.70299999998</v>
      </c>
      <c r="W450" s="7">
        <f t="shared" si="2465"/>
        <v>24040.872999999978</v>
      </c>
      <c r="X450" s="7">
        <f t="shared" si="2465"/>
        <v>23560.042999999976</v>
      </c>
      <c r="Y450" s="7">
        <f t="shared" si="2465"/>
        <v>23079.212999999974</v>
      </c>
      <c r="Z450" s="7">
        <f t="shared" si="2465"/>
        <v>22598.382999999973</v>
      </c>
      <c r="AA450" s="7"/>
      <c r="AB450" s="7"/>
      <c r="AC450" s="7">
        <f t="shared" si="1985"/>
        <v>5769.96</v>
      </c>
      <c r="AD450" s="7">
        <f t="shared" si="1986"/>
        <v>22117.552999999971</v>
      </c>
      <c r="AE450" s="7">
        <f t="shared" si="2466"/>
        <v>21636.722999999969</v>
      </c>
      <c r="AF450" s="7">
        <f t="shared" si="2466"/>
        <v>21155.892999999967</v>
      </c>
      <c r="AG450" s="7">
        <f t="shared" si="2466"/>
        <v>20675.062999999966</v>
      </c>
      <c r="AH450" s="7">
        <f t="shared" si="2466"/>
        <v>20194.232999999964</v>
      </c>
      <c r="AI450" s="7">
        <f t="shared" si="2466"/>
        <v>19713.402999999962</v>
      </c>
      <c r="AJ450" s="7">
        <f t="shared" si="2466"/>
        <v>19232.57299999996</v>
      </c>
      <c r="AK450" s="7">
        <f t="shared" si="2466"/>
        <v>18751.742999999959</v>
      </c>
      <c r="AL450" s="7">
        <f t="shared" si="2466"/>
        <v>18270.912999999957</v>
      </c>
      <c r="AM450" s="7">
        <f t="shared" si="2466"/>
        <v>17790.082999999955</v>
      </c>
      <c r="AN450" s="7">
        <f t="shared" si="2466"/>
        <v>17309.252999999953</v>
      </c>
      <c r="AO450" s="7">
        <f t="shared" si="2466"/>
        <v>16828.422999999952</v>
      </c>
      <c r="AP450" s="222"/>
      <c r="AQ450" s="7">
        <v>480.83</v>
      </c>
      <c r="AR450" s="7">
        <f t="shared" si="1987"/>
        <v>480.83000000000175</v>
      </c>
      <c r="AS450" s="7">
        <f t="shared" si="1988"/>
        <v>1.7621459846850485E-12</v>
      </c>
      <c r="AT450" s="7">
        <f t="shared" si="2467"/>
        <v>5769.96</v>
      </c>
      <c r="AU450" s="7">
        <f t="shared" si="2468"/>
        <v>16347.592999999952</v>
      </c>
      <c r="AV450" s="7">
        <f t="shared" si="2469"/>
        <v>15866.762999999952</v>
      </c>
      <c r="AW450" s="7">
        <f t="shared" si="2469"/>
        <v>15385.932999999952</v>
      </c>
      <c r="AX450" s="7">
        <f t="shared" si="2469"/>
        <v>14905.102999999952</v>
      </c>
      <c r="AY450" s="7">
        <f t="shared" si="2469"/>
        <v>14424.272999999952</v>
      </c>
      <c r="AZ450" s="7">
        <f t="shared" si="2469"/>
        <v>13943.442999999952</v>
      </c>
      <c r="BA450" s="7">
        <f t="shared" si="2469"/>
        <v>13462.612999999952</v>
      </c>
      <c r="BB450" s="7">
        <f t="shared" si="2469"/>
        <v>12981.782999999952</v>
      </c>
      <c r="BC450" s="7">
        <f t="shared" si="2469"/>
        <v>12500.952999999952</v>
      </c>
      <c r="BD450" s="7">
        <f t="shared" si="2469"/>
        <v>12020.122999999952</v>
      </c>
      <c r="BE450" s="7">
        <f t="shared" si="2469"/>
        <v>11539.292999999952</v>
      </c>
      <c r="BF450" s="7">
        <f t="shared" si="2469"/>
        <v>11058.462999999952</v>
      </c>
      <c r="BG450" s="236">
        <f t="shared" si="1983"/>
        <v>0</v>
      </c>
      <c r="BH450" s="7">
        <v>480.83</v>
      </c>
      <c r="BI450" s="39">
        <f>BH450*12</f>
        <v>5769.96</v>
      </c>
      <c r="BJ450" s="7">
        <f>BF450-BH450</f>
        <v>10577.632999999953</v>
      </c>
      <c r="BK450" s="7">
        <f t="shared" si="2470"/>
        <v>10096.802999999953</v>
      </c>
      <c r="BL450" s="7">
        <f t="shared" si="2471"/>
        <v>9615.9729999999527</v>
      </c>
      <c r="BM450" s="7">
        <f t="shared" si="2472"/>
        <v>9135.1429999999527</v>
      </c>
      <c r="BN450" s="7">
        <f t="shared" si="2473"/>
        <v>8654.3129999999528</v>
      </c>
      <c r="BO450" s="7">
        <f t="shared" si="2474"/>
        <v>8173.4829999999529</v>
      </c>
      <c r="BP450" s="7">
        <f t="shared" si="2475"/>
        <v>7692.652999999953</v>
      </c>
      <c r="BQ450" s="7">
        <f t="shared" si="2476"/>
        <v>7211.822999999953</v>
      </c>
      <c r="BR450" s="7">
        <f t="shared" si="2477"/>
        <v>6730.9929999999531</v>
      </c>
      <c r="BS450" s="7">
        <f t="shared" si="2478"/>
        <v>6250.1629999999532</v>
      </c>
      <c r="BT450" s="7">
        <f t="shared" si="2479"/>
        <v>5769.3329999999532</v>
      </c>
      <c r="BU450" s="7">
        <f t="shared" si="2480"/>
        <v>5288.5029999999533</v>
      </c>
      <c r="BV450" s="236">
        <v>0</v>
      </c>
      <c r="BW450" s="7">
        <v>480.83</v>
      </c>
      <c r="BX450" s="39">
        <v>5288.5</v>
      </c>
      <c r="BY450" s="7">
        <f>BU450-BW450</f>
        <v>4807.6729999999534</v>
      </c>
      <c r="BZ450" s="7">
        <f t="shared" si="2481"/>
        <v>4326.8429999999535</v>
      </c>
      <c r="CA450" s="7">
        <f t="shared" si="2482"/>
        <v>3846.0129999999535</v>
      </c>
      <c r="CB450" s="7">
        <f t="shared" si="2483"/>
        <v>3365.1829999999536</v>
      </c>
      <c r="CC450" s="7">
        <f t="shared" si="2484"/>
        <v>2884.3529999999537</v>
      </c>
      <c r="CD450" s="7">
        <f t="shared" si="2485"/>
        <v>2403.5229999999538</v>
      </c>
      <c r="CE450" s="7">
        <f t="shared" si="2486"/>
        <v>1922.6929999999538</v>
      </c>
      <c r="CF450" s="7">
        <f t="shared" si="2487"/>
        <v>1441.8629999999539</v>
      </c>
      <c r="CG450" s="7">
        <f t="shared" si="2488"/>
        <v>961.03299999995397</v>
      </c>
      <c r="CH450" s="7">
        <f t="shared" si="2489"/>
        <v>480.20299999995399</v>
      </c>
      <c r="CI450" s="7"/>
      <c r="CJ450" s="7"/>
      <c r="CK450" s="236">
        <v>0</v>
      </c>
      <c r="CL450" s="7">
        <v>480.83</v>
      </c>
      <c r="CM450" s="39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236">
        <v>0</v>
      </c>
    </row>
    <row r="451" spans="1:104" x14ac:dyDescent="0.2">
      <c r="A451" s="6" t="str">
        <f>'[1]2021 УГРЦТ'!A454</f>
        <v>Трансформатор ТМГ-160/6/0,4 зав.№003703Y</v>
      </c>
      <c r="B451" t="str">
        <f>'[1]2021 УГРЦТ'!B454</f>
        <v>000001711</v>
      </c>
      <c r="C451" t="str">
        <f>'[1]2021 УГРЦТ'!C454</f>
        <v>ПЕРЕДАЧА</v>
      </c>
      <c r="D451" t="str">
        <f>'[1]2021 УГРЦТ'!D454</f>
        <v>Машины и оборудование (кроме офисного)</v>
      </c>
      <c r="E451" t="str">
        <f>'[1]2021 УГРЦТ'!E454</f>
        <v>31.07.2017</v>
      </c>
      <c r="F451" t="str">
        <f>'[1]2021 УГРЦТ'!F454</f>
        <v>Цех электрических сетей</v>
      </c>
      <c r="G451">
        <f>'[1]2021 УГРЦТ'!AC454</f>
        <v>360</v>
      </c>
      <c r="H451" s="7">
        <f>'[1]2021 УГРЦТ'!X454</f>
        <v>167330.70000000001</v>
      </c>
      <c r="I451" s="7">
        <f>'[1]2021 УГРЦТ'!Y454</f>
        <v>24634.899999999998</v>
      </c>
      <c r="J451" s="7">
        <f>'[1]2021 УГРЦТ'!Z454</f>
        <v>142695.80000000002</v>
      </c>
      <c r="K451" s="8">
        <v>0</v>
      </c>
      <c r="L451" s="7">
        <v>464.81000000000012</v>
      </c>
      <c r="M451" s="7"/>
      <c r="N451" s="7">
        <f t="shared" si="2270"/>
        <v>5577.7200000000012</v>
      </c>
      <c r="O451" s="7">
        <f t="shared" si="1984"/>
        <v>142230.99000000002</v>
      </c>
      <c r="P451" s="7">
        <f t="shared" si="2465"/>
        <v>141766.18000000002</v>
      </c>
      <c r="Q451" s="7">
        <f t="shared" si="2465"/>
        <v>141301.37000000002</v>
      </c>
      <c r="R451" s="7">
        <f t="shared" si="2465"/>
        <v>140836.56000000003</v>
      </c>
      <c r="S451" s="7">
        <f t="shared" si="2465"/>
        <v>140371.75000000003</v>
      </c>
      <c r="T451" s="7">
        <f t="shared" si="2465"/>
        <v>139906.94000000003</v>
      </c>
      <c r="U451" s="7">
        <f t="shared" si="2465"/>
        <v>139442.13000000003</v>
      </c>
      <c r="V451" s="7">
        <f t="shared" si="2465"/>
        <v>138977.32000000004</v>
      </c>
      <c r="W451" s="7">
        <f t="shared" si="2465"/>
        <v>138512.51000000004</v>
      </c>
      <c r="X451" s="7">
        <f t="shared" si="2465"/>
        <v>138047.70000000004</v>
      </c>
      <c r="Y451" s="7">
        <f t="shared" si="2465"/>
        <v>137582.89000000004</v>
      </c>
      <c r="Z451" s="7">
        <f t="shared" si="2465"/>
        <v>137118.08000000005</v>
      </c>
      <c r="AA451" s="7"/>
      <c r="AB451" s="7"/>
      <c r="AC451" s="7">
        <f t="shared" si="1985"/>
        <v>5577.7200000000012</v>
      </c>
      <c r="AD451" s="7">
        <f t="shared" si="1986"/>
        <v>136653.27000000005</v>
      </c>
      <c r="AE451" s="7">
        <f t="shared" si="2466"/>
        <v>136188.46000000005</v>
      </c>
      <c r="AF451" s="7">
        <f t="shared" si="2466"/>
        <v>135723.65000000005</v>
      </c>
      <c r="AG451" s="7">
        <f t="shared" si="2466"/>
        <v>135258.84000000005</v>
      </c>
      <c r="AH451" s="7">
        <f t="shared" si="2466"/>
        <v>134794.03000000006</v>
      </c>
      <c r="AI451" s="7">
        <f t="shared" si="2466"/>
        <v>134329.22000000006</v>
      </c>
      <c r="AJ451" s="7">
        <f t="shared" si="2466"/>
        <v>133864.41000000006</v>
      </c>
      <c r="AK451" s="7">
        <f t="shared" si="2466"/>
        <v>133399.60000000006</v>
      </c>
      <c r="AL451" s="7">
        <f t="shared" si="2466"/>
        <v>132934.79000000007</v>
      </c>
      <c r="AM451" s="7">
        <f t="shared" si="2466"/>
        <v>132469.98000000007</v>
      </c>
      <c r="AN451" s="7">
        <f t="shared" si="2466"/>
        <v>132005.17000000007</v>
      </c>
      <c r="AO451" s="7">
        <f t="shared" si="2466"/>
        <v>131540.36000000007</v>
      </c>
      <c r="AP451" s="222"/>
      <c r="AQ451" s="7">
        <v>464.81000000000012</v>
      </c>
      <c r="AR451" s="7">
        <f t="shared" si="1987"/>
        <v>464.80999999999767</v>
      </c>
      <c r="AS451" s="7">
        <f t="shared" si="1988"/>
        <v>-2.4442670110147446E-12</v>
      </c>
      <c r="AT451" s="7">
        <f t="shared" si="2467"/>
        <v>5577.7200000000012</v>
      </c>
      <c r="AU451" s="7">
        <f t="shared" si="2468"/>
        <v>131075.55000000008</v>
      </c>
      <c r="AV451" s="7">
        <f t="shared" si="2469"/>
        <v>130610.74000000008</v>
      </c>
      <c r="AW451" s="7">
        <f t="shared" si="2469"/>
        <v>130145.93000000008</v>
      </c>
      <c r="AX451" s="7">
        <f t="shared" si="2469"/>
        <v>129681.12000000008</v>
      </c>
      <c r="AY451" s="7">
        <f t="shared" si="2469"/>
        <v>129216.31000000008</v>
      </c>
      <c r="AZ451" s="7">
        <f t="shared" si="2469"/>
        <v>128751.50000000009</v>
      </c>
      <c r="BA451" s="7">
        <f t="shared" si="2469"/>
        <v>128286.69000000009</v>
      </c>
      <c r="BB451" s="7">
        <f t="shared" si="2469"/>
        <v>127821.88000000009</v>
      </c>
      <c r="BC451" s="7">
        <f t="shared" si="2469"/>
        <v>127357.07000000009</v>
      </c>
      <c r="BD451" s="7">
        <f t="shared" si="2469"/>
        <v>126892.2600000001</v>
      </c>
      <c r="BE451" s="7">
        <f t="shared" si="2469"/>
        <v>126427.4500000001</v>
      </c>
      <c r="BF451" s="7">
        <f t="shared" si="2469"/>
        <v>125962.6400000001</v>
      </c>
      <c r="BG451" s="236">
        <f t="shared" si="1983"/>
        <v>0</v>
      </c>
      <c r="BH451" s="7">
        <v>464.81000000000012</v>
      </c>
      <c r="BI451" s="39">
        <f>BH451*12</f>
        <v>5577.7200000000012</v>
      </c>
      <c r="BJ451" s="7">
        <f>BF451-BH451</f>
        <v>125497.8300000001</v>
      </c>
      <c r="BK451" s="7">
        <f t="shared" si="2470"/>
        <v>125033.02000000011</v>
      </c>
      <c r="BL451" s="7">
        <f t="shared" si="2471"/>
        <v>124568.21000000011</v>
      </c>
      <c r="BM451" s="7">
        <f t="shared" si="2472"/>
        <v>124103.40000000011</v>
      </c>
      <c r="BN451" s="7">
        <f t="shared" si="2473"/>
        <v>123638.59000000011</v>
      </c>
      <c r="BO451" s="7">
        <f t="shared" si="2474"/>
        <v>123173.78000000012</v>
      </c>
      <c r="BP451" s="7">
        <f t="shared" si="2475"/>
        <v>122708.97000000012</v>
      </c>
      <c r="BQ451" s="7">
        <f t="shared" si="2476"/>
        <v>122244.16000000012</v>
      </c>
      <c r="BR451" s="7">
        <f t="shared" si="2477"/>
        <v>121779.35000000012</v>
      </c>
      <c r="BS451" s="7">
        <f t="shared" si="2478"/>
        <v>121314.54000000012</v>
      </c>
      <c r="BT451" s="7">
        <f t="shared" si="2479"/>
        <v>120849.73000000013</v>
      </c>
      <c r="BU451" s="7">
        <f t="shared" si="2480"/>
        <v>120384.92000000013</v>
      </c>
      <c r="BV451" s="236">
        <v>0</v>
      </c>
      <c r="BW451" s="7">
        <v>464.81000000000012</v>
      </c>
      <c r="BX451" s="39">
        <f>BW451*12</f>
        <v>5577.7200000000012</v>
      </c>
      <c r="BY451" s="7">
        <f>BU451-BW451</f>
        <v>119920.11000000013</v>
      </c>
      <c r="BZ451" s="7">
        <f t="shared" si="2481"/>
        <v>119455.30000000013</v>
      </c>
      <c r="CA451" s="7">
        <f t="shared" si="2482"/>
        <v>118990.49000000014</v>
      </c>
      <c r="CB451" s="7">
        <f t="shared" si="2483"/>
        <v>118525.68000000014</v>
      </c>
      <c r="CC451" s="7">
        <f t="shared" si="2484"/>
        <v>118060.87000000014</v>
      </c>
      <c r="CD451" s="7">
        <f t="shared" si="2485"/>
        <v>117596.06000000014</v>
      </c>
      <c r="CE451" s="7">
        <f t="shared" si="2486"/>
        <v>117131.25000000015</v>
      </c>
      <c r="CF451" s="7">
        <f t="shared" si="2487"/>
        <v>116666.44000000015</v>
      </c>
      <c r="CG451" s="7">
        <f t="shared" si="2488"/>
        <v>116201.63000000015</v>
      </c>
      <c r="CH451" s="7">
        <f t="shared" si="2489"/>
        <v>115736.82000000015</v>
      </c>
      <c r="CI451" s="7">
        <f t="shared" ref="CI451:CI452" si="2490">CH451-$L451</f>
        <v>115272.01000000015</v>
      </c>
      <c r="CJ451" s="7">
        <f t="shared" ref="CJ451:CJ452" si="2491">CI451-$L451</f>
        <v>114807.20000000016</v>
      </c>
      <c r="CK451" s="236">
        <v>0</v>
      </c>
      <c r="CL451" s="7">
        <v>464.81000000000012</v>
      </c>
      <c r="CM451" s="39">
        <f>CL451*12</f>
        <v>5577.7200000000012</v>
      </c>
      <c r="CN451" s="7">
        <f>CJ451-CL451</f>
        <v>114342.39000000016</v>
      </c>
      <c r="CO451" s="7">
        <f t="shared" ref="CO451:CO452" si="2492">CN451-$L451</f>
        <v>113877.58000000016</v>
      </c>
      <c r="CP451" s="7">
        <f t="shared" ref="CP451:CP452" si="2493">CO451-$L451</f>
        <v>113412.77000000016</v>
      </c>
      <c r="CQ451" s="7">
        <f t="shared" ref="CQ451:CQ452" si="2494">CP451-$L451</f>
        <v>112947.96000000017</v>
      </c>
      <c r="CR451" s="7">
        <f t="shared" ref="CR451:CR452" si="2495">CQ451-$L451</f>
        <v>112483.15000000017</v>
      </c>
      <c r="CS451" s="7">
        <f t="shared" ref="CS451:CS452" si="2496">CR451-$L451</f>
        <v>112018.34000000017</v>
      </c>
      <c r="CT451" s="7">
        <f t="shared" ref="CT451:CT452" si="2497">CS451-$L451</f>
        <v>111553.53000000017</v>
      </c>
      <c r="CU451" s="7">
        <f t="shared" ref="CU451:CU452" si="2498">CT451-$L451</f>
        <v>111088.72000000018</v>
      </c>
      <c r="CV451" s="7">
        <f t="shared" ref="CV451:CV452" si="2499">CU451-$L451</f>
        <v>110623.91000000018</v>
      </c>
      <c r="CW451" s="7">
        <f t="shared" ref="CW451:CW452" si="2500">CV451-$L451</f>
        <v>110159.10000000018</v>
      </c>
      <c r="CX451" s="7">
        <f t="shared" ref="CX451:CX452" si="2501">CW451-$L451</f>
        <v>109694.29000000018</v>
      </c>
      <c r="CY451" s="7">
        <f t="shared" ref="CY451:CY452" si="2502">CX451-$L451</f>
        <v>109229.48000000019</v>
      </c>
      <c r="CZ451" s="236">
        <v>0</v>
      </c>
    </row>
    <row r="452" spans="1:104" ht="22.5" x14ac:dyDescent="0.2">
      <c r="A452" s="6" t="str">
        <f>'[1]2021 УГРЦТ'!A455</f>
        <v>Трансформатор ТМГ-160/6/6/0,4 схема и группа соединений Д/Ун-11 зав. 13417</v>
      </c>
      <c r="B452" t="str">
        <f>'[1]2021 УГРЦТ'!B455</f>
        <v>000001775</v>
      </c>
      <c r="C452" t="str">
        <f>'[1]2021 УГРЦТ'!C455</f>
        <v>ПЕРЕДАЧА</v>
      </c>
      <c r="D452" t="str">
        <f>'[1]2021 УГРЦТ'!D455</f>
        <v>Машины и оборудование (кроме офисного)</v>
      </c>
      <c r="E452" t="str">
        <f>'[1]2021 УГРЦТ'!E455</f>
        <v>30.07.2019</v>
      </c>
      <c r="F452" t="str">
        <f>'[1]2021 УГРЦТ'!F455</f>
        <v>Цех электрических сетей</v>
      </c>
      <c r="G452">
        <f>'[1]2021 УГРЦТ'!AC455</f>
        <v>360</v>
      </c>
      <c r="H452" s="7">
        <f>'[1]2021 УГРЦТ'!X455</f>
        <v>138983.32999999999</v>
      </c>
      <c r="I452" s="7">
        <f>'[1]2021 УГРЦТ'!Y455</f>
        <v>11195.797666666667</v>
      </c>
      <c r="J452" s="7">
        <f>'[1]2021 УГРЦТ'!Z455</f>
        <v>127787.53233333332</v>
      </c>
      <c r="K452" s="8">
        <v>0</v>
      </c>
      <c r="L452" s="7">
        <v>386.06</v>
      </c>
      <c r="M452" s="7"/>
      <c r="N452" s="7">
        <f t="shared" si="2270"/>
        <v>4632.72</v>
      </c>
      <c r="O452" s="7">
        <f t="shared" si="1984"/>
        <v>127401.47233333332</v>
      </c>
      <c r="P452" s="7">
        <f t="shared" si="2465"/>
        <v>127015.41233333333</v>
      </c>
      <c r="Q452" s="7">
        <f t="shared" si="2465"/>
        <v>126629.35233333333</v>
      </c>
      <c r="R452" s="7">
        <f t="shared" si="2465"/>
        <v>126243.29233333333</v>
      </c>
      <c r="S452" s="7">
        <f t="shared" si="2465"/>
        <v>125857.23233333333</v>
      </c>
      <c r="T452" s="7">
        <f t="shared" si="2465"/>
        <v>125471.17233333334</v>
      </c>
      <c r="U452" s="7">
        <f t="shared" si="2465"/>
        <v>125085.11233333334</v>
      </c>
      <c r="V452" s="7">
        <f t="shared" si="2465"/>
        <v>124699.05233333334</v>
      </c>
      <c r="W452" s="7">
        <f t="shared" si="2465"/>
        <v>124312.99233333334</v>
      </c>
      <c r="X452" s="7">
        <f t="shared" si="2465"/>
        <v>123926.93233333335</v>
      </c>
      <c r="Y452" s="7">
        <f t="shared" si="2465"/>
        <v>123540.87233333335</v>
      </c>
      <c r="Z452" s="7">
        <f t="shared" si="2465"/>
        <v>123154.81233333335</v>
      </c>
      <c r="AA452" s="7"/>
      <c r="AB452" s="7"/>
      <c r="AC452" s="7">
        <f t="shared" si="1985"/>
        <v>4632.72</v>
      </c>
      <c r="AD452" s="7">
        <f t="shared" si="1986"/>
        <v>122768.75233333335</v>
      </c>
      <c r="AE452" s="7">
        <f t="shared" si="2466"/>
        <v>122382.69233333335</v>
      </c>
      <c r="AF452" s="7">
        <f t="shared" si="2466"/>
        <v>121996.63233333336</v>
      </c>
      <c r="AG452" s="7">
        <f t="shared" si="2466"/>
        <v>121610.57233333336</v>
      </c>
      <c r="AH452" s="7">
        <f t="shared" si="2466"/>
        <v>121224.51233333336</v>
      </c>
      <c r="AI452" s="7">
        <f t="shared" si="2466"/>
        <v>120838.45233333336</v>
      </c>
      <c r="AJ452" s="7">
        <f t="shared" si="2466"/>
        <v>120452.39233333337</v>
      </c>
      <c r="AK452" s="7">
        <f t="shared" si="2466"/>
        <v>120066.33233333337</v>
      </c>
      <c r="AL452" s="7">
        <f t="shared" si="2466"/>
        <v>119680.27233333337</v>
      </c>
      <c r="AM452" s="7">
        <f t="shared" si="2466"/>
        <v>119294.21233333337</v>
      </c>
      <c r="AN452" s="7">
        <f t="shared" si="2466"/>
        <v>118908.15233333338</v>
      </c>
      <c r="AO452" s="7">
        <f t="shared" si="2466"/>
        <v>118522.09233333338</v>
      </c>
      <c r="AP452" s="222"/>
      <c r="AQ452" s="7">
        <v>386.06</v>
      </c>
      <c r="AR452" s="7">
        <f t="shared" si="1987"/>
        <v>386.05999999999767</v>
      </c>
      <c r="AS452" s="7">
        <f t="shared" si="1988"/>
        <v>-2.3305801732931286E-12</v>
      </c>
      <c r="AT452" s="7">
        <f t="shared" si="2467"/>
        <v>4632.72</v>
      </c>
      <c r="AU452" s="7">
        <f t="shared" si="2468"/>
        <v>118136.03233333338</v>
      </c>
      <c r="AV452" s="7">
        <f t="shared" si="2469"/>
        <v>117749.97233333338</v>
      </c>
      <c r="AW452" s="7">
        <f t="shared" si="2469"/>
        <v>117363.91233333338</v>
      </c>
      <c r="AX452" s="7">
        <f t="shared" si="2469"/>
        <v>116977.85233333339</v>
      </c>
      <c r="AY452" s="7">
        <f t="shared" si="2469"/>
        <v>116591.79233333339</v>
      </c>
      <c r="AZ452" s="7">
        <f t="shared" si="2469"/>
        <v>116205.73233333339</v>
      </c>
      <c r="BA452" s="7">
        <f t="shared" si="2469"/>
        <v>115819.67233333339</v>
      </c>
      <c r="BB452" s="7">
        <f t="shared" si="2469"/>
        <v>115433.6123333334</v>
      </c>
      <c r="BC452" s="7">
        <f t="shared" si="2469"/>
        <v>115047.5523333334</v>
      </c>
      <c r="BD452" s="7">
        <f t="shared" si="2469"/>
        <v>114661.4923333334</v>
      </c>
      <c r="BE452" s="7">
        <f t="shared" si="2469"/>
        <v>114275.4323333334</v>
      </c>
      <c r="BF452" s="7">
        <f t="shared" si="2469"/>
        <v>113889.37233333341</v>
      </c>
      <c r="BG452" s="236">
        <f t="shared" ref="BG452:BG515" si="2503">IF(K452&lt;1,0,SUM(AU452:BF452,AO452)/13*$BG$1)</f>
        <v>0</v>
      </c>
      <c r="BH452" s="7">
        <v>386.06</v>
      </c>
      <c r="BI452" s="39">
        <f>BH452*12</f>
        <v>4632.72</v>
      </c>
      <c r="BJ452" s="7">
        <f>BF452-BH452</f>
        <v>113503.31233333341</v>
      </c>
      <c r="BK452" s="7">
        <f t="shared" si="2470"/>
        <v>113117.25233333341</v>
      </c>
      <c r="BL452" s="7">
        <f t="shared" si="2471"/>
        <v>112731.19233333341</v>
      </c>
      <c r="BM452" s="7">
        <f t="shared" si="2472"/>
        <v>112345.13233333341</v>
      </c>
      <c r="BN452" s="7">
        <f t="shared" si="2473"/>
        <v>111959.07233333342</v>
      </c>
      <c r="BO452" s="7">
        <f t="shared" si="2474"/>
        <v>111573.01233333342</v>
      </c>
      <c r="BP452" s="7">
        <f t="shared" si="2475"/>
        <v>111186.95233333342</v>
      </c>
      <c r="BQ452" s="7">
        <f t="shared" si="2476"/>
        <v>110800.89233333342</v>
      </c>
      <c r="BR452" s="7">
        <f t="shared" si="2477"/>
        <v>110414.83233333343</v>
      </c>
      <c r="BS452" s="7">
        <f t="shared" si="2478"/>
        <v>110028.77233333343</v>
      </c>
      <c r="BT452" s="7">
        <f t="shared" si="2479"/>
        <v>109642.71233333343</v>
      </c>
      <c r="BU452" s="7">
        <f t="shared" si="2480"/>
        <v>109256.65233333343</v>
      </c>
      <c r="BV452" s="236">
        <v>0</v>
      </c>
      <c r="BW452" s="7">
        <v>386.06</v>
      </c>
      <c r="BX452" s="39">
        <f>BW452*12</f>
        <v>4632.72</v>
      </c>
      <c r="BY452" s="7">
        <f>BU452-BW452</f>
        <v>108870.59233333344</v>
      </c>
      <c r="BZ452" s="7">
        <f t="shared" si="2481"/>
        <v>108484.53233333344</v>
      </c>
      <c r="CA452" s="7">
        <f t="shared" si="2482"/>
        <v>108098.47233333344</v>
      </c>
      <c r="CB452" s="7">
        <f t="shared" si="2483"/>
        <v>107712.41233333344</v>
      </c>
      <c r="CC452" s="7">
        <f t="shared" si="2484"/>
        <v>107326.35233333345</v>
      </c>
      <c r="CD452" s="7">
        <f t="shared" si="2485"/>
        <v>106940.29233333345</v>
      </c>
      <c r="CE452" s="7">
        <f t="shared" si="2486"/>
        <v>106554.23233333345</v>
      </c>
      <c r="CF452" s="7">
        <f t="shared" si="2487"/>
        <v>106168.17233333345</v>
      </c>
      <c r="CG452" s="7">
        <f t="shared" si="2488"/>
        <v>105782.11233333345</v>
      </c>
      <c r="CH452" s="7">
        <f t="shared" si="2489"/>
        <v>105396.05233333346</v>
      </c>
      <c r="CI452" s="7">
        <f t="shared" si="2490"/>
        <v>105009.99233333346</v>
      </c>
      <c r="CJ452" s="7">
        <f t="shared" si="2491"/>
        <v>104623.93233333346</v>
      </c>
      <c r="CK452" s="236">
        <v>0</v>
      </c>
      <c r="CL452" s="7">
        <v>386.06</v>
      </c>
      <c r="CM452" s="39">
        <f>CL452*12</f>
        <v>4632.72</v>
      </c>
      <c r="CN452" s="7">
        <f>CJ452-CL452</f>
        <v>104237.87233333346</v>
      </c>
      <c r="CO452" s="7">
        <f t="shared" si="2492"/>
        <v>103851.81233333347</v>
      </c>
      <c r="CP452" s="7">
        <f t="shared" si="2493"/>
        <v>103465.75233333347</v>
      </c>
      <c r="CQ452" s="7">
        <f t="shared" si="2494"/>
        <v>103079.69233333347</v>
      </c>
      <c r="CR452" s="7">
        <f t="shared" si="2495"/>
        <v>102693.63233333347</v>
      </c>
      <c r="CS452" s="7">
        <f t="shared" si="2496"/>
        <v>102307.57233333348</v>
      </c>
      <c r="CT452" s="7">
        <f t="shared" si="2497"/>
        <v>101921.51233333348</v>
      </c>
      <c r="CU452" s="7">
        <f t="shared" si="2498"/>
        <v>101535.45233333348</v>
      </c>
      <c r="CV452" s="7">
        <f t="shared" si="2499"/>
        <v>101149.39233333348</v>
      </c>
      <c r="CW452" s="7">
        <f t="shared" si="2500"/>
        <v>100763.33233333348</v>
      </c>
      <c r="CX452" s="7">
        <f t="shared" si="2501"/>
        <v>100377.27233333349</v>
      </c>
      <c r="CY452" s="7">
        <f t="shared" si="2502"/>
        <v>99991.212333333489</v>
      </c>
      <c r="CZ452" s="236">
        <v>0</v>
      </c>
    </row>
    <row r="453" spans="1:104" x14ac:dyDescent="0.2">
      <c r="A453" s="6" t="str">
        <f>'[1]2021 УГРЦТ'!A456</f>
        <v>Трансформатор ТМГ-160/6-0,4 №145970 2001г выпуска</v>
      </c>
      <c r="B453" t="str">
        <f>'[1]2021 УГРЦТ'!B456</f>
        <v>00000324</v>
      </c>
      <c r="C453" t="str">
        <f>'[1]2021 УГРЦТ'!C456</f>
        <v>ПЕРЕДАЧА</v>
      </c>
      <c r="D453" t="str">
        <f>'[1]2021 УГРЦТ'!D456</f>
        <v>Машины и оборудование (кроме офисного)</v>
      </c>
      <c r="E453" t="str">
        <f>'[1]2021 УГРЦТ'!E456</f>
        <v>30.06.2001</v>
      </c>
      <c r="F453" t="str">
        <f>'[1]2021 УГРЦТ'!F456</f>
        <v>Цех электрических сетей</v>
      </c>
      <c r="G453">
        <f>'[1]2021 УГРЦТ'!AC456</f>
        <v>276</v>
      </c>
      <c r="H453" s="7">
        <f>'[1]2021 УГРЦТ'!X456</f>
        <v>49315.5</v>
      </c>
      <c r="I453" s="7">
        <f>'[1]2021 УГРЦТ'!Y456</f>
        <v>43980.97217391304</v>
      </c>
      <c r="J453" s="7">
        <f>'[1]2021 УГРЦТ'!Z456</f>
        <v>5334.52782608696</v>
      </c>
      <c r="K453" s="8">
        <v>0</v>
      </c>
      <c r="L453" s="7">
        <v>178.68000000000004</v>
      </c>
      <c r="M453" s="7"/>
      <c r="N453" s="7">
        <f t="shared" si="2270"/>
        <v>2144.1600000000003</v>
      </c>
      <c r="O453" s="7">
        <f t="shared" ref="O453:O515" si="2504">J453-$L453</f>
        <v>5155.8478260869597</v>
      </c>
      <c r="P453" s="7">
        <f t="shared" si="2465"/>
        <v>4977.1678260869594</v>
      </c>
      <c r="Q453" s="7">
        <f t="shared" si="2465"/>
        <v>4798.4878260869591</v>
      </c>
      <c r="R453" s="7">
        <f t="shared" si="2465"/>
        <v>4619.8078260869588</v>
      </c>
      <c r="S453" s="7">
        <f t="shared" si="2465"/>
        <v>4441.1278260869585</v>
      </c>
      <c r="T453" s="7">
        <f t="shared" si="2465"/>
        <v>4262.4478260869582</v>
      </c>
      <c r="U453" s="7">
        <f t="shared" si="2465"/>
        <v>4083.7678260869584</v>
      </c>
      <c r="V453" s="7">
        <f t="shared" si="2465"/>
        <v>3905.0878260869586</v>
      </c>
      <c r="W453" s="7">
        <f t="shared" si="2465"/>
        <v>3726.4078260869587</v>
      </c>
      <c r="X453" s="7">
        <f t="shared" si="2465"/>
        <v>3547.7278260869589</v>
      </c>
      <c r="Y453" s="7">
        <f t="shared" si="2465"/>
        <v>3369.047826086959</v>
      </c>
      <c r="Z453" s="7">
        <f t="shared" si="2465"/>
        <v>3190.3678260869592</v>
      </c>
      <c r="AA453" s="7"/>
      <c r="AB453" s="7"/>
      <c r="AC453" s="7">
        <f t="shared" ref="AC453:AC515" si="2505">L453*12</f>
        <v>2144.1600000000003</v>
      </c>
      <c r="AD453" s="7">
        <f t="shared" ref="AD453:AD515" si="2506">Z453-$L453</f>
        <v>3011.6878260869594</v>
      </c>
      <c r="AE453" s="7">
        <f t="shared" si="2466"/>
        <v>2833.0078260869595</v>
      </c>
      <c r="AF453" s="7">
        <f t="shared" si="2466"/>
        <v>2654.3278260869597</v>
      </c>
      <c r="AG453" s="7">
        <f t="shared" si="2466"/>
        <v>2475.6478260869599</v>
      </c>
      <c r="AH453" s="7">
        <f t="shared" si="2466"/>
        <v>2296.96782608696</v>
      </c>
      <c r="AI453" s="7">
        <f t="shared" si="2466"/>
        <v>2118.2878260869602</v>
      </c>
      <c r="AJ453" s="7">
        <f t="shared" si="2466"/>
        <v>1939.6078260869601</v>
      </c>
      <c r="AK453" s="7">
        <f t="shared" si="2466"/>
        <v>1760.9278260869601</v>
      </c>
      <c r="AL453" s="7">
        <f t="shared" si="2466"/>
        <v>1582.24782608696</v>
      </c>
      <c r="AM453" s="7">
        <f t="shared" si="2466"/>
        <v>1403.5678260869599</v>
      </c>
      <c r="AN453" s="7">
        <f t="shared" si="2466"/>
        <v>1224.8878260869599</v>
      </c>
      <c r="AO453" s="7">
        <f t="shared" si="2466"/>
        <v>1046.2078260869598</v>
      </c>
      <c r="AP453" s="222"/>
      <c r="AQ453" s="7">
        <v>178.68000000000004</v>
      </c>
      <c r="AR453" s="7">
        <f t="shared" ref="AR453:AR516" si="2507">AN453-AO453</f>
        <v>178.68000000000006</v>
      </c>
      <c r="AS453" s="7">
        <f t="shared" ref="AS453:AS516" si="2508">AR453-AQ453</f>
        <v>0</v>
      </c>
      <c r="AT453" s="7">
        <f>L453*6-25.87</f>
        <v>1046.2100000000003</v>
      </c>
      <c r="AU453" s="7">
        <f t="shared" si="2468"/>
        <v>867.52782608695975</v>
      </c>
      <c r="AV453" s="7">
        <f t="shared" si="2469"/>
        <v>688.84782608695969</v>
      </c>
      <c r="AW453" s="7">
        <f t="shared" si="2469"/>
        <v>510.16782608695962</v>
      </c>
      <c r="AX453" s="7">
        <f t="shared" si="2469"/>
        <v>331.48782608695956</v>
      </c>
      <c r="AY453" s="7">
        <f t="shared" si="2469"/>
        <v>152.80782608695952</v>
      </c>
      <c r="AZ453" s="7"/>
      <c r="BA453" s="7"/>
      <c r="BB453" s="7"/>
      <c r="BC453" s="7"/>
      <c r="BD453" s="7"/>
      <c r="BE453" s="7"/>
      <c r="BF453" s="7"/>
      <c r="BG453" s="236">
        <f t="shared" si="2503"/>
        <v>0</v>
      </c>
      <c r="BH453" s="7">
        <v>178.68000000000004</v>
      </c>
      <c r="BI453" s="39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236">
        <f>IF(Z453&lt;1,0,SUM(BJ453:BU453,BF453)/13*$BG$1)</f>
        <v>0</v>
      </c>
      <c r="BW453" s="7">
        <v>178.68000000000004</v>
      </c>
      <c r="BX453" s="39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236">
        <f>IF(AO453&lt;1,0,SUM(BY453:CJ453,BU453)/13*$BG$1)</f>
        <v>0</v>
      </c>
      <c r="CL453" s="7">
        <v>178.68000000000004</v>
      </c>
      <c r="CM453" s="39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236">
        <f>IF(BF453&lt;1,0,SUM(CN453:CY453,CJ453)/13*$BG$1)</f>
        <v>0</v>
      </c>
    </row>
    <row r="454" spans="1:104" x14ac:dyDescent="0.2">
      <c r="A454" s="6" t="str">
        <f>'[1]2021 УГРЦТ'!A457</f>
        <v>Трансформатор ТМГ-250/6 №1545100</v>
      </c>
      <c r="B454" t="str">
        <f>'[1]2021 УГРЦТ'!B457</f>
        <v>00001018</v>
      </c>
      <c r="C454" t="str">
        <f>'[1]2021 УГРЦТ'!C457</f>
        <v>ПЕРЕДАЧА</v>
      </c>
      <c r="D454" t="str">
        <f>'[1]2021 УГРЦТ'!D457</f>
        <v>Машины и оборудование (кроме офисного)</v>
      </c>
      <c r="E454" t="str">
        <f>'[1]2021 УГРЦТ'!E457</f>
        <v>30.11.2006</v>
      </c>
      <c r="F454" t="str">
        <f>'[1]2021 УГРЦТ'!F457</f>
        <v>Цех электрических сетей</v>
      </c>
      <c r="G454">
        <f>'[1]2021 УГРЦТ'!AC457</f>
        <v>240</v>
      </c>
      <c r="H454" s="7">
        <f>'[1]2021 УГРЦТ'!X457</f>
        <v>157771.53</v>
      </c>
      <c r="I454" s="7">
        <f>'[1]2021 УГРЦТ'!Y457</f>
        <v>118985.7965</v>
      </c>
      <c r="J454" s="7">
        <f>'[1]2021 УГРЦТ'!Z457</f>
        <v>38785.733500000002</v>
      </c>
      <c r="K454" s="8">
        <v>0</v>
      </c>
      <c r="L454" s="7">
        <v>657.38</v>
      </c>
      <c r="M454" s="7"/>
      <c r="N454" s="7">
        <f t="shared" si="2270"/>
        <v>7888.5599999999995</v>
      </c>
      <c r="O454" s="7">
        <f t="shared" si="2504"/>
        <v>38128.353500000005</v>
      </c>
      <c r="P454" s="7">
        <f t="shared" si="2465"/>
        <v>37470.973500000007</v>
      </c>
      <c r="Q454" s="7">
        <f t="shared" si="2465"/>
        <v>36813.59350000001</v>
      </c>
      <c r="R454" s="7">
        <f t="shared" si="2465"/>
        <v>36156.213500000013</v>
      </c>
      <c r="S454" s="7">
        <f t="shared" si="2465"/>
        <v>35498.833500000015</v>
      </c>
      <c r="T454" s="7">
        <f t="shared" si="2465"/>
        <v>34841.453500000018</v>
      </c>
      <c r="U454" s="7">
        <f t="shared" si="2465"/>
        <v>34184.07350000002</v>
      </c>
      <c r="V454" s="7">
        <f t="shared" si="2465"/>
        <v>33526.693500000023</v>
      </c>
      <c r="W454" s="7">
        <f t="shared" si="2465"/>
        <v>32869.313500000026</v>
      </c>
      <c r="X454" s="7">
        <f t="shared" si="2465"/>
        <v>32211.933500000025</v>
      </c>
      <c r="Y454" s="7">
        <f t="shared" si="2465"/>
        <v>31554.553500000024</v>
      </c>
      <c r="Z454" s="7">
        <f t="shared" si="2465"/>
        <v>30897.173500000023</v>
      </c>
      <c r="AA454" s="7"/>
      <c r="AB454" s="7"/>
      <c r="AC454" s="7">
        <f t="shared" si="2505"/>
        <v>7888.5599999999995</v>
      </c>
      <c r="AD454" s="7">
        <f t="shared" si="2506"/>
        <v>30239.793500000022</v>
      </c>
      <c r="AE454" s="7">
        <f t="shared" si="2466"/>
        <v>29582.413500000021</v>
      </c>
      <c r="AF454" s="7">
        <f t="shared" si="2466"/>
        <v>28925.03350000002</v>
      </c>
      <c r="AG454" s="7">
        <f t="shared" si="2466"/>
        <v>28267.653500000019</v>
      </c>
      <c r="AH454" s="7">
        <f t="shared" si="2466"/>
        <v>27610.273500000018</v>
      </c>
      <c r="AI454" s="7">
        <f t="shared" si="2466"/>
        <v>26952.893500000017</v>
      </c>
      <c r="AJ454" s="7">
        <f t="shared" si="2466"/>
        <v>26295.513500000015</v>
      </c>
      <c r="AK454" s="7">
        <f t="shared" si="2466"/>
        <v>25638.133500000014</v>
      </c>
      <c r="AL454" s="7">
        <f t="shared" si="2466"/>
        <v>24980.753500000013</v>
      </c>
      <c r="AM454" s="7">
        <f t="shared" si="2466"/>
        <v>24323.373500000012</v>
      </c>
      <c r="AN454" s="7">
        <f t="shared" si="2466"/>
        <v>23665.993500000011</v>
      </c>
      <c r="AO454" s="7">
        <f t="shared" si="2466"/>
        <v>23008.61350000001</v>
      </c>
      <c r="AP454" s="222"/>
      <c r="AQ454" s="7">
        <v>657.38</v>
      </c>
      <c r="AR454" s="7">
        <f t="shared" si="2507"/>
        <v>657.38000000000102</v>
      </c>
      <c r="AS454" s="7">
        <f t="shared" si="2508"/>
        <v>1.0231815394945443E-12</v>
      </c>
      <c r="AT454" s="7">
        <f t="shared" si="2467"/>
        <v>7888.5599999999995</v>
      </c>
      <c r="AU454" s="7">
        <f t="shared" si="2468"/>
        <v>22351.233500000009</v>
      </c>
      <c r="AV454" s="7">
        <f t="shared" si="2469"/>
        <v>21693.853500000008</v>
      </c>
      <c r="AW454" s="7">
        <f t="shared" si="2469"/>
        <v>21036.473500000007</v>
      </c>
      <c r="AX454" s="7">
        <f t="shared" si="2469"/>
        <v>20379.093500000006</v>
      </c>
      <c r="AY454" s="7">
        <f t="shared" si="2469"/>
        <v>19721.713500000005</v>
      </c>
      <c r="AZ454" s="7">
        <f t="shared" si="2469"/>
        <v>19064.333500000004</v>
      </c>
      <c r="BA454" s="7">
        <f t="shared" si="2469"/>
        <v>18406.953500000003</v>
      </c>
      <c r="BB454" s="7">
        <f t="shared" si="2469"/>
        <v>17749.573500000002</v>
      </c>
      <c r="BC454" s="7">
        <f t="shared" si="2469"/>
        <v>17092.193500000001</v>
      </c>
      <c r="BD454" s="7">
        <f t="shared" si="2469"/>
        <v>16434.8135</v>
      </c>
      <c r="BE454" s="7">
        <f t="shared" si="2469"/>
        <v>15777.433500000001</v>
      </c>
      <c r="BF454" s="7">
        <f t="shared" si="2469"/>
        <v>15120.053500000002</v>
      </c>
      <c r="BG454" s="236">
        <f t="shared" si="2503"/>
        <v>0</v>
      </c>
      <c r="BH454" s="7">
        <v>657.38</v>
      </c>
      <c r="BI454" s="39">
        <f>BH454*12</f>
        <v>7888.5599999999995</v>
      </c>
      <c r="BJ454" s="7">
        <f>BF454-BH454</f>
        <v>14462.673500000003</v>
      </c>
      <c r="BK454" s="7">
        <f t="shared" si="2470"/>
        <v>13805.293500000003</v>
      </c>
      <c r="BL454" s="7">
        <f t="shared" si="2471"/>
        <v>13147.913500000004</v>
      </c>
      <c r="BM454" s="7">
        <f t="shared" si="2472"/>
        <v>12490.533500000005</v>
      </c>
      <c r="BN454" s="7">
        <f t="shared" si="2473"/>
        <v>11833.153500000006</v>
      </c>
      <c r="BO454" s="7">
        <f t="shared" ref="BO454:BO457" si="2509">BN454-$L454</f>
        <v>11175.773500000007</v>
      </c>
      <c r="BP454" s="7">
        <f t="shared" ref="BP454:BP457" si="2510">BO454-$L454</f>
        <v>10518.393500000007</v>
      </c>
      <c r="BQ454" s="7">
        <f t="shared" ref="BQ454:BQ457" si="2511">BP454-$L454</f>
        <v>9861.0135000000082</v>
      </c>
      <c r="BR454" s="7">
        <f t="shared" ref="BR454:BR457" si="2512">BQ454-$L454</f>
        <v>9203.633500000009</v>
      </c>
      <c r="BS454" s="7">
        <f t="shared" ref="BS454:BS457" si="2513">BR454-$L454</f>
        <v>8546.2535000000098</v>
      </c>
      <c r="BT454" s="7">
        <f t="shared" ref="BT454:BT457" si="2514">BS454-$L454</f>
        <v>7888.8735000000097</v>
      </c>
      <c r="BU454" s="7">
        <f t="shared" ref="BU454:BU457" si="2515">BT454-$L454</f>
        <v>7231.4935000000096</v>
      </c>
      <c r="BV454" s="236">
        <v>0</v>
      </c>
      <c r="BW454" s="7">
        <v>657.38</v>
      </c>
      <c r="BX454" s="39">
        <v>7231.49</v>
      </c>
      <c r="BY454" s="7">
        <f>BU454-BW454</f>
        <v>6574.1135000000095</v>
      </c>
      <c r="BZ454" s="7">
        <f t="shared" ref="BZ454:BZ457" si="2516">BY454-$L454</f>
        <v>5916.7335000000094</v>
      </c>
      <c r="CA454" s="7">
        <f t="shared" ref="CA454:CA457" si="2517">BZ454-$L454</f>
        <v>5259.3535000000093</v>
      </c>
      <c r="CB454" s="7">
        <f t="shared" ref="CB454:CB457" si="2518">CA454-$L454</f>
        <v>4601.9735000000092</v>
      </c>
      <c r="CC454" s="7">
        <f t="shared" ref="CC454:CC457" si="2519">CB454-$L454</f>
        <v>3944.593500000009</v>
      </c>
      <c r="CD454" s="7">
        <f t="shared" ref="CD454:CD457" si="2520">CC454-$L454</f>
        <v>3287.2135000000089</v>
      </c>
      <c r="CE454" s="7">
        <f t="shared" ref="CE454:CE457" si="2521">CD454-$L454</f>
        <v>2629.8335000000088</v>
      </c>
      <c r="CF454" s="7">
        <f t="shared" ref="CF454:CF457" si="2522">CE454-$L454</f>
        <v>1972.4535000000087</v>
      </c>
      <c r="CG454" s="7">
        <f t="shared" ref="CG454:CG457" si="2523">CF454-$L454</f>
        <v>1315.0735000000086</v>
      </c>
      <c r="CH454" s="7">
        <f t="shared" ref="CH454:CH457" si="2524">CG454-$L454</f>
        <v>657.69350000000861</v>
      </c>
      <c r="CI454" s="7">
        <f t="shared" ref="CI454:CI457" si="2525">CH454-$L454</f>
        <v>0.31350000000861655</v>
      </c>
      <c r="CJ454" s="7"/>
      <c r="CK454" s="236">
        <v>0</v>
      </c>
      <c r="CL454" s="7">
        <v>657.38</v>
      </c>
      <c r="CM454" s="39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236">
        <v>0</v>
      </c>
    </row>
    <row r="455" spans="1:104" x14ac:dyDescent="0.2">
      <c r="A455" s="6" t="str">
        <f>'[1]2021 УГРЦТ'!A458</f>
        <v>Трансформатор ТМГ-250/6 №1№1399294</v>
      </c>
      <c r="B455" t="str">
        <f>'[1]2021 УГРЦТ'!B458</f>
        <v>00001017</v>
      </c>
      <c r="C455" t="str">
        <f>'[1]2021 УГРЦТ'!C458</f>
        <v>ПЕРЕДАЧА</v>
      </c>
      <c r="D455" t="str">
        <f>'[1]2021 УГРЦТ'!D458</f>
        <v>Машины и оборудование (кроме офисного)</v>
      </c>
      <c r="E455" t="str">
        <f>'[1]2021 УГРЦТ'!E458</f>
        <v>30.11.2006</v>
      </c>
      <c r="F455" t="str">
        <f>'[1]2021 УГРЦТ'!F458</f>
        <v>Цех электрических сетей</v>
      </c>
      <c r="G455">
        <f>'[1]2021 УГРЦТ'!AC458</f>
        <v>240</v>
      </c>
      <c r="H455" s="7">
        <f>'[1]2021 УГРЦТ'!X458</f>
        <v>157771.53</v>
      </c>
      <c r="I455" s="7">
        <f>'[1]2021 УГРЦТ'!Y458</f>
        <v>118985.7965</v>
      </c>
      <c r="J455" s="7">
        <f>'[1]2021 УГРЦТ'!Z458</f>
        <v>38785.733500000002</v>
      </c>
      <c r="K455" s="8">
        <v>0</v>
      </c>
      <c r="L455" s="7">
        <v>657.38</v>
      </c>
      <c r="M455" s="7"/>
      <c r="N455" s="7">
        <f t="shared" si="2270"/>
        <v>7888.5599999999995</v>
      </c>
      <c r="O455" s="7">
        <f t="shared" si="2504"/>
        <v>38128.353500000005</v>
      </c>
      <c r="P455" s="7">
        <f t="shared" si="2465"/>
        <v>37470.973500000007</v>
      </c>
      <c r="Q455" s="7">
        <f t="shared" si="2465"/>
        <v>36813.59350000001</v>
      </c>
      <c r="R455" s="7">
        <f t="shared" si="2465"/>
        <v>36156.213500000013</v>
      </c>
      <c r="S455" s="7">
        <f t="shared" si="2465"/>
        <v>35498.833500000015</v>
      </c>
      <c r="T455" s="7">
        <f t="shared" si="2465"/>
        <v>34841.453500000018</v>
      </c>
      <c r="U455" s="7">
        <f t="shared" si="2465"/>
        <v>34184.07350000002</v>
      </c>
      <c r="V455" s="7">
        <f t="shared" si="2465"/>
        <v>33526.693500000023</v>
      </c>
      <c r="W455" s="7">
        <f t="shared" si="2465"/>
        <v>32869.313500000026</v>
      </c>
      <c r="X455" s="7">
        <f t="shared" si="2465"/>
        <v>32211.933500000025</v>
      </c>
      <c r="Y455" s="7">
        <f t="shared" si="2465"/>
        <v>31554.553500000024</v>
      </c>
      <c r="Z455" s="7">
        <f t="shared" si="2465"/>
        <v>30897.173500000023</v>
      </c>
      <c r="AA455" s="7"/>
      <c r="AB455" s="7"/>
      <c r="AC455" s="7">
        <f t="shared" si="2505"/>
        <v>7888.5599999999995</v>
      </c>
      <c r="AD455" s="7">
        <f t="shared" si="2506"/>
        <v>30239.793500000022</v>
      </c>
      <c r="AE455" s="7">
        <f t="shared" si="2466"/>
        <v>29582.413500000021</v>
      </c>
      <c r="AF455" s="7">
        <f t="shared" si="2466"/>
        <v>28925.03350000002</v>
      </c>
      <c r="AG455" s="7">
        <f t="shared" si="2466"/>
        <v>28267.653500000019</v>
      </c>
      <c r="AH455" s="7">
        <f t="shared" si="2466"/>
        <v>27610.273500000018</v>
      </c>
      <c r="AI455" s="7">
        <f t="shared" si="2466"/>
        <v>26952.893500000017</v>
      </c>
      <c r="AJ455" s="7">
        <f t="shared" si="2466"/>
        <v>26295.513500000015</v>
      </c>
      <c r="AK455" s="7">
        <f t="shared" si="2466"/>
        <v>25638.133500000014</v>
      </c>
      <c r="AL455" s="7">
        <f t="shared" si="2466"/>
        <v>24980.753500000013</v>
      </c>
      <c r="AM455" s="7">
        <f t="shared" si="2466"/>
        <v>24323.373500000012</v>
      </c>
      <c r="AN455" s="7">
        <f t="shared" si="2466"/>
        <v>23665.993500000011</v>
      </c>
      <c r="AO455" s="7">
        <f t="shared" si="2466"/>
        <v>23008.61350000001</v>
      </c>
      <c r="AP455" s="222"/>
      <c r="AQ455" s="7">
        <v>657.38</v>
      </c>
      <c r="AR455" s="7">
        <f t="shared" si="2507"/>
        <v>657.38000000000102</v>
      </c>
      <c r="AS455" s="7">
        <f t="shared" si="2508"/>
        <v>1.0231815394945443E-12</v>
      </c>
      <c r="AT455" s="7">
        <f t="shared" si="2467"/>
        <v>7888.5599999999995</v>
      </c>
      <c r="AU455" s="7">
        <f t="shared" si="2468"/>
        <v>22351.233500000009</v>
      </c>
      <c r="AV455" s="7">
        <f t="shared" si="2469"/>
        <v>21693.853500000008</v>
      </c>
      <c r="AW455" s="7">
        <f t="shared" si="2469"/>
        <v>21036.473500000007</v>
      </c>
      <c r="AX455" s="7">
        <f t="shared" si="2469"/>
        <v>20379.093500000006</v>
      </c>
      <c r="AY455" s="7">
        <f t="shared" si="2469"/>
        <v>19721.713500000005</v>
      </c>
      <c r="AZ455" s="7">
        <f t="shared" si="2469"/>
        <v>19064.333500000004</v>
      </c>
      <c r="BA455" s="7">
        <f t="shared" si="2469"/>
        <v>18406.953500000003</v>
      </c>
      <c r="BB455" s="7">
        <f t="shared" si="2469"/>
        <v>17749.573500000002</v>
      </c>
      <c r="BC455" s="7">
        <f t="shared" si="2469"/>
        <v>17092.193500000001</v>
      </c>
      <c r="BD455" s="7">
        <f t="shared" si="2469"/>
        <v>16434.8135</v>
      </c>
      <c r="BE455" s="7">
        <f t="shared" si="2469"/>
        <v>15777.433500000001</v>
      </c>
      <c r="BF455" s="7">
        <f t="shared" si="2469"/>
        <v>15120.053500000002</v>
      </c>
      <c r="BG455" s="236">
        <f t="shared" si="2503"/>
        <v>0</v>
      </c>
      <c r="BH455" s="7">
        <v>657.38</v>
      </c>
      <c r="BI455" s="39">
        <f>BH455*12</f>
        <v>7888.5599999999995</v>
      </c>
      <c r="BJ455" s="7">
        <f>BF455-BH455</f>
        <v>14462.673500000003</v>
      </c>
      <c r="BK455" s="7">
        <f t="shared" si="2470"/>
        <v>13805.293500000003</v>
      </c>
      <c r="BL455" s="7">
        <f t="shared" si="2471"/>
        <v>13147.913500000004</v>
      </c>
      <c r="BM455" s="7">
        <f t="shared" si="2472"/>
        <v>12490.533500000005</v>
      </c>
      <c r="BN455" s="7">
        <f t="shared" si="2473"/>
        <v>11833.153500000006</v>
      </c>
      <c r="BO455" s="7">
        <f t="shared" si="2509"/>
        <v>11175.773500000007</v>
      </c>
      <c r="BP455" s="7">
        <f t="shared" si="2510"/>
        <v>10518.393500000007</v>
      </c>
      <c r="BQ455" s="7">
        <f t="shared" si="2511"/>
        <v>9861.0135000000082</v>
      </c>
      <c r="BR455" s="7">
        <f t="shared" si="2512"/>
        <v>9203.633500000009</v>
      </c>
      <c r="BS455" s="7">
        <f t="shared" si="2513"/>
        <v>8546.2535000000098</v>
      </c>
      <c r="BT455" s="7">
        <f t="shared" si="2514"/>
        <v>7888.8735000000097</v>
      </c>
      <c r="BU455" s="7">
        <f t="shared" si="2515"/>
        <v>7231.4935000000096</v>
      </c>
      <c r="BV455" s="236">
        <v>0</v>
      </c>
      <c r="BW455" s="7">
        <v>657.38</v>
      </c>
      <c r="BX455" s="39">
        <v>7231.49</v>
      </c>
      <c r="BY455" s="7">
        <f>BU455-BW455</f>
        <v>6574.1135000000095</v>
      </c>
      <c r="BZ455" s="7">
        <f t="shared" si="2516"/>
        <v>5916.7335000000094</v>
      </c>
      <c r="CA455" s="7">
        <f t="shared" si="2517"/>
        <v>5259.3535000000093</v>
      </c>
      <c r="CB455" s="7">
        <f t="shared" si="2518"/>
        <v>4601.9735000000092</v>
      </c>
      <c r="CC455" s="7">
        <f t="shared" si="2519"/>
        <v>3944.593500000009</v>
      </c>
      <c r="CD455" s="7">
        <f t="shared" si="2520"/>
        <v>3287.2135000000089</v>
      </c>
      <c r="CE455" s="7">
        <f t="shared" si="2521"/>
        <v>2629.8335000000088</v>
      </c>
      <c r="CF455" s="7">
        <f t="shared" si="2522"/>
        <v>1972.4535000000087</v>
      </c>
      <c r="CG455" s="7">
        <f t="shared" si="2523"/>
        <v>1315.0735000000086</v>
      </c>
      <c r="CH455" s="7">
        <f t="shared" si="2524"/>
        <v>657.69350000000861</v>
      </c>
      <c r="CI455" s="7">
        <f t="shared" si="2525"/>
        <v>0.31350000000861655</v>
      </c>
      <c r="CJ455" s="7"/>
      <c r="CK455" s="236">
        <v>0</v>
      </c>
      <c r="CL455" s="7">
        <v>657.38</v>
      </c>
      <c r="CM455" s="39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236">
        <v>0</v>
      </c>
    </row>
    <row r="456" spans="1:104" x14ac:dyDescent="0.2">
      <c r="A456" s="6" t="str">
        <f>'[1]2021 УГРЦТ'!A459</f>
        <v>Трансформатор ТМГ-250/6/0,4 зав.№003119Y</v>
      </c>
      <c r="B456" t="str">
        <f>'[1]2021 УГРЦТ'!B459</f>
        <v>000001710</v>
      </c>
      <c r="C456" t="str">
        <f>'[1]2021 УГРЦТ'!C459</f>
        <v>ПЕРЕДАЧА</v>
      </c>
      <c r="D456" t="str">
        <f>'[1]2021 УГРЦТ'!D459</f>
        <v>Машины и оборудование (кроме офисного)</v>
      </c>
      <c r="E456" t="str">
        <f>'[1]2021 УГРЦТ'!E459</f>
        <v>31.07.2017</v>
      </c>
      <c r="F456" t="str">
        <f>'[1]2021 УГРЦТ'!F459</f>
        <v>Цех электрических сетей</v>
      </c>
      <c r="G456">
        <f>'[1]2021 УГРЦТ'!AC459</f>
        <v>360</v>
      </c>
      <c r="H456" s="7">
        <f>'[1]2021 УГРЦТ'!X459</f>
        <v>219795.25</v>
      </c>
      <c r="I456" s="7">
        <f>'[1]2021 УГРЦТ'!Y459</f>
        <v>32358.648333333331</v>
      </c>
      <c r="J456" s="7">
        <f>'[1]2021 УГРЦТ'!Z459</f>
        <v>187436.60166666668</v>
      </c>
      <c r="K456" s="8">
        <v>0</v>
      </c>
      <c r="L456" s="7">
        <v>610.54</v>
      </c>
      <c r="M456" s="7"/>
      <c r="N456" s="7">
        <f t="shared" si="2270"/>
        <v>7326.48</v>
      </c>
      <c r="O456" s="7">
        <f t="shared" si="2504"/>
        <v>186826.06166666668</v>
      </c>
      <c r="P456" s="7">
        <f t="shared" si="2465"/>
        <v>186215.52166666667</v>
      </c>
      <c r="Q456" s="7">
        <f t="shared" si="2465"/>
        <v>185604.98166666666</v>
      </c>
      <c r="R456" s="7">
        <f t="shared" si="2465"/>
        <v>184994.44166666665</v>
      </c>
      <c r="S456" s="7">
        <f t="shared" si="2465"/>
        <v>184383.90166666664</v>
      </c>
      <c r="T456" s="7">
        <f t="shared" si="2465"/>
        <v>183773.36166666663</v>
      </c>
      <c r="U456" s="7">
        <f t="shared" si="2465"/>
        <v>183162.82166666663</v>
      </c>
      <c r="V456" s="7">
        <f t="shared" si="2465"/>
        <v>182552.28166666662</v>
      </c>
      <c r="W456" s="7">
        <f t="shared" si="2465"/>
        <v>181941.74166666661</v>
      </c>
      <c r="X456" s="7">
        <f t="shared" si="2465"/>
        <v>181331.2016666666</v>
      </c>
      <c r="Y456" s="7">
        <f t="shared" si="2465"/>
        <v>180720.66166666659</v>
      </c>
      <c r="Z456" s="7">
        <f t="shared" si="2465"/>
        <v>180110.12166666659</v>
      </c>
      <c r="AA456" s="7"/>
      <c r="AB456" s="7"/>
      <c r="AC456" s="7">
        <f t="shared" si="2505"/>
        <v>7326.48</v>
      </c>
      <c r="AD456" s="7">
        <f t="shared" si="2506"/>
        <v>179499.58166666658</v>
      </c>
      <c r="AE456" s="7">
        <f t="shared" si="2466"/>
        <v>178889.04166666657</v>
      </c>
      <c r="AF456" s="7">
        <f t="shared" si="2466"/>
        <v>178278.50166666656</v>
      </c>
      <c r="AG456" s="7">
        <f t="shared" si="2466"/>
        <v>177667.96166666655</v>
      </c>
      <c r="AH456" s="7">
        <f t="shared" si="2466"/>
        <v>177057.42166666655</v>
      </c>
      <c r="AI456" s="7">
        <f t="shared" si="2466"/>
        <v>176446.88166666654</v>
      </c>
      <c r="AJ456" s="7">
        <f t="shared" si="2466"/>
        <v>175836.34166666653</v>
      </c>
      <c r="AK456" s="7">
        <f t="shared" si="2466"/>
        <v>175225.80166666652</v>
      </c>
      <c r="AL456" s="7">
        <f t="shared" si="2466"/>
        <v>174615.26166666651</v>
      </c>
      <c r="AM456" s="7">
        <f t="shared" si="2466"/>
        <v>174004.7216666665</v>
      </c>
      <c r="AN456" s="7">
        <f t="shared" si="2466"/>
        <v>173394.1816666665</v>
      </c>
      <c r="AO456" s="7">
        <f t="shared" si="2466"/>
        <v>172783.64166666649</v>
      </c>
      <c r="AP456" s="222"/>
      <c r="AQ456" s="7">
        <v>610.54</v>
      </c>
      <c r="AR456" s="7">
        <f t="shared" si="2507"/>
        <v>610.54000000000815</v>
      </c>
      <c r="AS456" s="7">
        <f t="shared" si="2508"/>
        <v>8.1854523159563541E-12</v>
      </c>
      <c r="AT456" s="7">
        <f t="shared" si="2467"/>
        <v>7326.48</v>
      </c>
      <c r="AU456" s="7">
        <f t="shared" si="2468"/>
        <v>172173.10166666648</v>
      </c>
      <c r="AV456" s="7">
        <f t="shared" si="2469"/>
        <v>171562.56166666647</v>
      </c>
      <c r="AW456" s="7">
        <f t="shared" si="2469"/>
        <v>170952.02166666646</v>
      </c>
      <c r="AX456" s="7">
        <f t="shared" si="2469"/>
        <v>170341.48166666646</v>
      </c>
      <c r="AY456" s="7">
        <f t="shared" si="2469"/>
        <v>169730.94166666645</v>
      </c>
      <c r="AZ456" s="7">
        <f t="shared" si="2469"/>
        <v>169120.40166666644</v>
      </c>
      <c r="BA456" s="7">
        <f t="shared" si="2469"/>
        <v>168509.86166666643</v>
      </c>
      <c r="BB456" s="7">
        <f t="shared" si="2469"/>
        <v>167899.32166666642</v>
      </c>
      <c r="BC456" s="7">
        <f t="shared" si="2469"/>
        <v>167288.78166666641</v>
      </c>
      <c r="BD456" s="7">
        <f t="shared" si="2469"/>
        <v>166678.24166666641</v>
      </c>
      <c r="BE456" s="7">
        <f t="shared" si="2469"/>
        <v>166067.7016666664</v>
      </c>
      <c r="BF456" s="7">
        <f t="shared" si="2469"/>
        <v>165457.16166666639</v>
      </c>
      <c r="BG456" s="236">
        <f t="shared" si="2503"/>
        <v>0</v>
      </c>
      <c r="BH456" s="7">
        <v>610.54</v>
      </c>
      <c r="BI456" s="39">
        <f>BH456*12</f>
        <v>7326.48</v>
      </c>
      <c r="BJ456" s="7">
        <f>BF456-BH456</f>
        <v>164846.62166666638</v>
      </c>
      <c r="BK456" s="7">
        <f t="shared" si="2470"/>
        <v>164236.08166666637</v>
      </c>
      <c r="BL456" s="7">
        <f t="shared" si="2471"/>
        <v>163625.54166666637</v>
      </c>
      <c r="BM456" s="7">
        <f t="shared" si="2472"/>
        <v>163015.00166666636</v>
      </c>
      <c r="BN456" s="7">
        <f t="shared" si="2473"/>
        <v>162404.46166666635</v>
      </c>
      <c r="BO456" s="7">
        <f t="shared" si="2509"/>
        <v>161793.92166666634</v>
      </c>
      <c r="BP456" s="7">
        <f t="shared" si="2510"/>
        <v>161183.38166666633</v>
      </c>
      <c r="BQ456" s="7">
        <f t="shared" si="2511"/>
        <v>160572.84166666633</v>
      </c>
      <c r="BR456" s="7">
        <f t="shared" si="2512"/>
        <v>159962.30166666632</v>
      </c>
      <c r="BS456" s="7">
        <f t="shared" si="2513"/>
        <v>159351.76166666631</v>
      </c>
      <c r="BT456" s="7">
        <f t="shared" si="2514"/>
        <v>158741.2216666663</v>
      </c>
      <c r="BU456" s="7">
        <f t="shared" si="2515"/>
        <v>158130.68166666629</v>
      </c>
      <c r="BV456" s="236">
        <v>0</v>
      </c>
      <c r="BW456" s="7">
        <v>610.54</v>
      </c>
      <c r="BX456" s="39">
        <f>BW456*12</f>
        <v>7326.48</v>
      </c>
      <c r="BY456" s="7">
        <f>BU456-BW456</f>
        <v>157520.14166666628</v>
      </c>
      <c r="BZ456" s="7">
        <f t="shared" si="2516"/>
        <v>156909.60166666628</v>
      </c>
      <c r="CA456" s="7">
        <f t="shared" si="2517"/>
        <v>156299.06166666627</v>
      </c>
      <c r="CB456" s="7">
        <f t="shared" si="2518"/>
        <v>155688.52166666626</v>
      </c>
      <c r="CC456" s="7">
        <f t="shared" si="2519"/>
        <v>155077.98166666625</v>
      </c>
      <c r="CD456" s="7">
        <f t="shared" si="2520"/>
        <v>154467.44166666624</v>
      </c>
      <c r="CE456" s="7">
        <f t="shared" si="2521"/>
        <v>153856.90166666624</v>
      </c>
      <c r="CF456" s="7">
        <f t="shared" si="2522"/>
        <v>153246.36166666623</v>
      </c>
      <c r="CG456" s="7">
        <f t="shared" si="2523"/>
        <v>152635.82166666622</v>
      </c>
      <c r="CH456" s="7">
        <f t="shared" si="2524"/>
        <v>152025.28166666621</v>
      </c>
      <c r="CI456" s="7">
        <f t="shared" si="2525"/>
        <v>151414.7416666662</v>
      </c>
      <c r="CJ456" s="7">
        <f t="shared" ref="CJ456:CJ457" si="2526">CI456-$L456</f>
        <v>150804.20166666619</v>
      </c>
      <c r="CK456" s="236">
        <v>0</v>
      </c>
      <c r="CL456" s="7">
        <v>610.54</v>
      </c>
      <c r="CM456" s="39">
        <f>CL456*12</f>
        <v>7326.48</v>
      </c>
      <c r="CN456" s="7">
        <f>CJ456-CL456</f>
        <v>150193.66166666619</v>
      </c>
      <c r="CO456" s="7">
        <f t="shared" ref="CO456:CO457" si="2527">CN456-$L456</f>
        <v>149583.12166666618</v>
      </c>
      <c r="CP456" s="7">
        <f t="shared" ref="CP456:CP457" si="2528">CO456-$L456</f>
        <v>148972.58166666617</v>
      </c>
      <c r="CQ456" s="7">
        <f t="shared" ref="CQ456:CQ457" si="2529">CP456-$L456</f>
        <v>148362.04166666616</v>
      </c>
      <c r="CR456" s="7">
        <f t="shared" ref="CR456:CR457" si="2530">CQ456-$L456</f>
        <v>147751.50166666615</v>
      </c>
      <c r="CS456" s="7">
        <f t="shared" ref="CS456:CS457" si="2531">CR456-$L456</f>
        <v>147140.96166666615</v>
      </c>
      <c r="CT456" s="7">
        <f t="shared" ref="CT456:CT457" si="2532">CS456-$L456</f>
        <v>146530.42166666614</v>
      </c>
      <c r="CU456" s="7">
        <f t="shared" ref="CU456:CU457" si="2533">CT456-$L456</f>
        <v>145919.88166666613</v>
      </c>
      <c r="CV456" s="7">
        <f t="shared" ref="CV456:CV457" si="2534">CU456-$L456</f>
        <v>145309.34166666612</v>
      </c>
      <c r="CW456" s="7">
        <f t="shared" ref="CW456:CW457" si="2535">CV456-$L456</f>
        <v>144698.80166666611</v>
      </c>
      <c r="CX456" s="7">
        <f t="shared" ref="CX456:CX457" si="2536">CW456-$L456</f>
        <v>144088.26166666611</v>
      </c>
      <c r="CY456" s="7">
        <f t="shared" ref="CY456:CY457" si="2537">CX456-$L456</f>
        <v>143477.7216666661</v>
      </c>
      <c r="CZ456" s="236">
        <v>0</v>
      </c>
    </row>
    <row r="457" spans="1:104" ht="22.5" x14ac:dyDescent="0.2">
      <c r="A457" s="6" t="str">
        <f>'[1]2021 УГРЦТ'!A460</f>
        <v>Трансформатор ТМГ-250/6/0,4 схема и группа соединений Д/Ун-11 Россия завод.№636720</v>
      </c>
      <c r="B457" t="str">
        <f>'[1]2021 УГРЦТ'!B460</f>
        <v>000001806</v>
      </c>
      <c r="C457" t="str">
        <f>'[1]2021 УГРЦТ'!C460</f>
        <v>ПЕРЕДАЧА</v>
      </c>
      <c r="D457" t="str">
        <f>'[1]2021 УГРЦТ'!D460</f>
        <v>Машины и оборудование (кроме офисного)</v>
      </c>
      <c r="E457" t="str">
        <f>'[1]2021 УГРЦТ'!E460</f>
        <v>06.04.2020</v>
      </c>
      <c r="F457" t="str">
        <f>'[1]2021 УГРЦТ'!F460</f>
        <v>Цех электрических сетей</v>
      </c>
      <c r="G457">
        <f>'[1]2021 УГРЦТ'!AC460</f>
        <v>240</v>
      </c>
      <c r="H457" s="7">
        <f>'[1]2021 УГРЦТ'!X460</f>
        <v>184000</v>
      </c>
      <c r="I457" s="7">
        <f>'[1]2021 УГРЦТ'!Y460</f>
        <v>15333.36</v>
      </c>
      <c r="J457" s="7">
        <f>'[1]2021 УГРЦТ'!Z460</f>
        <v>168666.64</v>
      </c>
      <c r="K457" s="8">
        <v>0</v>
      </c>
      <c r="L457" s="7">
        <v>766.67</v>
      </c>
      <c r="M457" s="7"/>
      <c r="N457" s="7">
        <f t="shared" si="2270"/>
        <v>9200.0399999999991</v>
      </c>
      <c r="O457" s="7">
        <f t="shared" si="2504"/>
        <v>167899.97</v>
      </c>
      <c r="P457" s="7">
        <f t="shared" si="2465"/>
        <v>167133.29999999999</v>
      </c>
      <c r="Q457" s="7">
        <f t="shared" si="2465"/>
        <v>166366.62999999998</v>
      </c>
      <c r="R457" s="7">
        <f t="shared" si="2465"/>
        <v>165599.95999999996</v>
      </c>
      <c r="S457" s="7">
        <f t="shared" si="2465"/>
        <v>164833.28999999995</v>
      </c>
      <c r="T457" s="7">
        <f t="shared" si="2465"/>
        <v>164066.61999999994</v>
      </c>
      <c r="U457" s="7">
        <f t="shared" si="2465"/>
        <v>163299.94999999992</v>
      </c>
      <c r="V457" s="7">
        <f t="shared" si="2465"/>
        <v>162533.27999999991</v>
      </c>
      <c r="W457" s="7">
        <f t="shared" si="2465"/>
        <v>161766.6099999999</v>
      </c>
      <c r="X457" s="7">
        <f t="shared" si="2465"/>
        <v>160999.93999999989</v>
      </c>
      <c r="Y457" s="7">
        <f t="shared" si="2465"/>
        <v>160233.26999999987</v>
      </c>
      <c r="Z457" s="7">
        <f t="shared" si="2465"/>
        <v>159466.59999999986</v>
      </c>
      <c r="AA457" s="7"/>
      <c r="AB457" s="7"/>
      <c r="AC457" s="7">
        <f t="shared" si="2505"/>
        <v>9200.0399999999991</v>
      </c>
      <c r="AD457" s="7">
        <f t="shared" si="2506"/>
        <v>158699.92999999985</v>
      </c>
      <c r="AE457" s="7">
        <f t="shared" si="2466"/>
        <v>157933.25999999983</v>
      </c>
      <c r="AF457" s="7">
        <f t="shared" si="2466"/>
        <v>157166.58999999982</v>
      </c>
      <c r="AG457" s="7">
        <f t="shared" si="2466"/>
        <v>156399.91999999981</v>
      </c>
      <c r="AH457" s="7">
        <f t="shared" si="2466"/>
        <v>155633.2499999998</v>
      </c>
      <c r="AI457" s="7">
        <f t="shared" si="2466"/>
        <v>154866.57999999978</v>
      </c>
      <c r="AJ457" s="7">
        <f t="shared" si="2466"/>
        <v>154099.90999999977</v>
      </c>
      <c r="AK457" s="7">
        <f t="shared" si="2466"/>
        <v>153333.23999999976</v>
      </c>
      <c r="AL457" s="7">
        <f t="shared" si="2466"/>
        <v>152566.56999999975</v>
      </c>
      <c r="AM457" s="7">
        <f t="shared" si="2466"/>
        <v>151799.89999999973</v>
      </c>
      <c r="AN457" s="7">
        <f t="shared" si="2466"/>
        <v>151033.22999999972</v>
      </c>
      <c r="AO457" s="7">
        <f t="shared" si="2466"/>
        <v>150266.55999999971</v>
      </c>
      <c r="AP457" s="222"/>
      <c r="AQ457" s="7">
        <v>766.67</v>
      </c>
      <c r="AR457" s="7">
        <f t="shared" si="2507"/>
        <v>766.67000000001281</v>
      </c>
      <c r="AS457" s="7">
        <f t="shared" si="2508"/>
        <v>1.2846612662542611E-11</v>
      </c>
      <c r="AT457" s="7">
        <f t="shared" si="2467"/>
        <v>9200.0399999999991</v>
      </c>
      <c r="AU457" s="7">
        <f t="shared" si="2468"/>
        <v>149499.88999999969</v>
      </c>
      <c r="AV457" s="7">
        <f t="shared" si="2469"/>
        <v>148733.21999999968</v>
      </c>
      <c r="AW457" s="7">
        <f t="shared" si="2469"/>
        <v>147966.54999999967</v>
      </c>
      <c r="AX457" s="7">
        <f t="shared" si="2469"/>
        <v>147199.87999999966</v>
      </c>
      <c r="AY457" s="7">
        <f t="shared" si="2469"/>
        <v>146433.20999999964</v>
      </c>
      <c r="AZ457" s="7">
        <f t="shared" si="2469"/>
        <v>145666.53999999963</v>
      </c>
      <c r="BA457" s="7">
        <f t="shared" si="2469"/>
        <v>144899.86999999962</v>
      </c>
      <c r="BB457" s="7">
        <f t="shared" si="2469"/>
        <v>144133.1999999996</v>
      </c>
      <c r="BC457" s="7">
        <f t="shared" si="2469"/>
        <v>143366.52999999959</v>
      </c>
      <c r="BD457" s="7">
        <f t="shared" si="2469"/>
        <v>142599.85999999958</v>
      </c>
      <c r="BE457" s="7">
        <f t="shared" si="2469"/>
        <v>141833.18999999957</v>
      </c>
      <c r="BF457" s="7">
        <f t="shared" si="2469"/>
        <v>141066.51999999955</v>
      </c>
      <c r="BG457" s="236">
        <f t="shared" si="2503"/>
        <v>0</v>
      </c>
      <c r="BH457" s="7">
        <v>766.67</v>
      </c>
      <c r="BI457" s="39">
        <f>BH457*12</f>
        <v>9200.0399999999991</v>
      </c>
      <c r="BJ457" s="7">
        <f>BF457-BH457</f>
        <v>140299.84999999954</v>
      </c>
      <c r="BK457" s="7">
        <f t="shared" si="2470"/>
        <v>139533.17999999953</v>
      </c>
      <c r="BL457" s="7">
        <f t="shared" si="2471"/>
        <v>138766.50999999951</v>
      </c>
      <c r="BM457" s="7">
        <f t="shared" si="2472"/>
        <v>137999.8399999995</v>
      </c>
      <c r="BN457" s="7">
        <f t="shared" si="2473"/>
        <v>137233.16999999949</v>
      </c>
      <c r="BO457" s="7">
        <f t="shared" si="2509"/>
        <v>136466.49999999948</v>
      </c>
      <c r="BP457" s="7">
        <f t="shared" si="2510"/>
        <v>135699.82999999946</v>
      </c>
      <c r="BQ457" s="7">
        <f t="shared" si="2511"/>
        <v>134933.15999999945</v>
      </c>
      <c r="BR457" s="7">
        <f t="shared" si="2512"/>
        <v>134166.48999999944</v>
      </c>
      <c r="BS457" s="7">
        <f t="shared" si="2513"/>
        <v>133399.81999999942</v>
      </c>
      <c r="BT457" s="7">
        <f t="shared" si="2514"/>
        <v>132633.14999999941</v>
      </c>
      <c r="BU457" s="7">
        <f t="shared" si="2515"/>
        <v>131866.4799999994</v>
      </c>
      <c r="BV457" s="236">
        <v>0</v>
      </c>
      <c r="BW457" s="7">
        <v>766.67</v>
      </c>
      <c r="BX457" s="39">
        <f>BW457*12</f>
        <v>9200.0399999999991</v>
      </c>
      <c r="BY457" s="7">
        <f>BU457-BW457</f>
        <v>131099.80999999939</v>
      </c>
      <c r="BZ457" s="7">
        <f t="shared" si="2516"/>
        <v>130333.13999999939</v>
      </c>
      <c r="CA457" s="7">
        <f t="shared" si="2517"/>
        <v>129566.46999999939</v>
      </c>
      <c r="CB457" s="7">
        <f t="shared" si="2518"/>
        <v>128799.79999999939</v>
      </c>
      <c r="CC457" s="7">
        <f t="shared" si="2519"/>
        <v>128033.12999999939</v>
      </c>
      <c r="CD457" s="7">
        <f t="shared" si="2520"/>
        <v>127266.4599999994</v>
      </c>
      <c r="CE457" s="7">
        <f t="shared" si="2521"/>
        <v>126499.7899999994</v>
      </c>
      <c r="CF457" s="7">
        <f t="shared" si="2522"/>
        <v>125733.1199999994</v>
      </c>
      <c r="CG457" s="7">
        <f t="shared" si="2523"/>
        <v>124966.4499999994</v>
      </c>
      <c r="CH457" s="7">
        <f t="shared" si="2524"/>
        <v>124199.7799999994</v>
      </c>
      <c r="CI457" s="7">
        <f t="shared" si="2525"/>
        <v>123433.1099999994</v>
      </c>
      <c r="CJ457" s="7">
        <f t="shared" si="2526"/>
        <v>122666.43999999941</v>
      </c>
      <c r="CK457" s="236">
        <v>0</v>
      </c>
      <c r="CL457" s="7">
        <v>766.67</v>
      </c>
      <c r="CM457" s="39">
        <f>CL457*12</f>
        <v>9200.0399999999991</v>
      </c>
      <c r="CN457" s="7">
        <f>CJ457-CL457</f>
        <v>121899.76999999941</v>
      </c>
      <c r="CO457" s="7">
        <f t="shared" si="2527"/>
        <v>121133.09999999941</v>
      </c>
      <c r="CP457" s="7">
        <f t="shared" si="2528"/>
        <v>120366.42999999941</v>
      </c>
      <c r="CQ457" s="7">
        <f t="shared" si="2529"/>
        <v>119599.75999999941</v>
      </c>
      <c r="CR457" s="7">
        <f t="shared" si="2530"/>
        <v>118833.08999999941</v>
      </c>
      <c r="CS457" s="7">
        <f t="shared" si="2531"/>
        <v>118066.41999999942</v>
      </c>
      <c r="CT457" s="7">
        <f t="shared" si="2532"/>
        <v>117299.74999999942</v>
      </c>
      <c r="CU457" s="7">
        <f t="shared" si="2533"/>
        <v>116533.07999999942</v>
      </c>
      <c r="CV457" s="7">
        <f t="shared" si="2534"/>
        <v>115766.40999999942</v>
      </c>
      <c r="CW457" s="7">
        <f t="shared" si="2535"/>
        <v>114999.73999999942</v>
      </c>
      <c r="CX457" s="7">
        <f t="shared" si="2536"/>
        <v>114233.06999999942</v>
      </c>
      <c r="CY457" s="7">
        <f t="shared" si="2537"/>
        <v>113466.39999999943</v>
      </c>
      <c r="CZ457" s="236">
        <v>0</v>
      </c>
    </row>
    <row r="458" spans="1:104" x14ac:dyDescent="0.2">
      <c r="A458" s="6" t="str">
        <f>'[1]2021 УГРЦТ'!A461</f>
        <v>Трансформатор ТМГ-250/6-0,4  № 1451843 2001г выпус</v>
      </c>
      <c r="B458" t="str">
        <f>'[1]2021 УГРЦТ'!B461</f>
        <v>00000315</v>
      </c>
      <c r="C458" t="str">
        <f>'[1]2021 УГРЦТ'!C461</f>
        <v>ПЕРЕДАЧА</v>
      </c>
      <c r="D458" t="str">
        <f>'[1]2021 УГРЦТ'!D461</f>
        <v>Машины и оборудование (кроме офисного)</v>
      </c>
      <c r="E458" t="str">
        <f>'[1]2021 УГРЦТ'!E461</f>
        <v>30.06.2001</v>
      </c>
      <c r="F458" t="str">
        <f>'[1]2021 УГРЦТ'!F461</f>
        <v>Цех электрических сетей</v>
      </c>
      <c r="G458">
        <f>'[1]2021 УГРЦТ'!AC461</f>
        <v>276</v>
      </c>
      <c r="H458" s="7">
        <f>'[1]2021 УГРЦТ'!X461</f>
        <v>64583</v>
      </c>
      <c r="I458" s="7">
        <f>'[1]2021 УГРЦТ'!Y461</f>
        <v>57597.586521739126</v>
      </c>
      <c r="J458" s="7">
        <f>'[1]2021 УГРЦТ'!Z461</f>
        <v>6985.4134782608744</v>
      </c>
      <c r="K458" s="8">
        <v>0</v>
      </c>
      <c r="L458" s="7">
        <v>234</v>
      </c>
      <c r="M458" s="7"/>
      <c r="N458" s="7">
        <f t="shared" si="2270"/>
        <v>2808</v>
      </c>
      <c r="O458" s="7">
        <f t="shared" si="2504"/>
        <v>6751.4134782608744</v>
      </c>
      <c r="P458" s="7">
        <f t="shared" si="2465"/>
        <v>6517.4134782608744</v>
      </c>
      <c r="Q458" s="7">
        <f t="shared" si="2465"/>
        <v>6283.4134782608744</v>
      </c>
      <c r="R458" s="7">
        <f t="shared" si="2465"/>
        <v>6049.4134782608744</v>
      </c>
      <c r="S458" s="7">
        <f t="shared" si="2465"/>
        <v>5815.4134782608744</v>
      </c>
      <c r="T458" s="7">
        <f t="shared" si="2465"/>
        <v>5581.4134782608744</v>
      </c>
      <c r="U458" s="7">
        <f t="shared" si="2465"/>
        <v>5347.4134782608744</v>
      </c>
      <c r="V458" s="7">
        <f t="shared" si="2465"/>
        <v>5113.4134782608744</v>
      </c>
      <c r="W458" s="7">
        <f t="shared" si="2465"/>
        <v>4879.4134782608744</v>
      </c>
      <c r="X458" s="7">
        <f t="shared" si="2465"/>
        <v>4645.4134782608744</v>
      </c>
      <c r="Y458" s="7">
        <f t="shared" si="2465"/>
        <v>4411.4134782608744</v>
      </c>
      <c r="Z458" s="7">
        <f t="shared" si="2465"/>
        <v>4177.4134782608744</v>
      </c>
      <c r="AA458" s="7"/>
      <c r="AB458" s="7"/>
      <c r="AC458" s="7">
        <f t="shared" si="2505"/>
        <v>2808</v>
      </c>
      <c r="AD458" s="7">
        <f t="shared" si="2506"/>
        <v>3943.4134782608744</v>
      </c>
      <c r="AE458" s="7">
        <f t="shared" si="2466"/>
        <v>3709.4134782608744</v>
      </c>
      <c r="AF458" s="7">
        <f t="shared" si="2466"/>
        <v>3475.4134782608744</v>
      </c>
      <c r="AG458" s="7">
        <f t="shared" si="2466"/>
        <v>3241.4134782608744</v>
      </c>
      <c r="AH458" s="7">
        <f t="shared" si="2466"/>
        <v>3007.4134782608744</v>
      </c>
      <c r="AI458" s="7">
        <f t="shared" si="2466"/>
        <v>2773.4134782608744</v>
      </c>
      <c r="AJ458" s="7">
        <f t="shared" si="2466"/>
        <v>2539.4134782608744</v>
      </c>
      <c r="AK458" s="7">
        <f t="shared" si="2466"/>
        <v>2305.4134782608744</v>
      </c>
      <c r="AL458" s="7">
        <f t="shared" si="2466"/>
        <v>2071.4134782608744</v>
      </c>
      <c r="AM458" s="7">
        <f t="shared" si="2466"/>
        <v>1837.4134782608744</v>
      </c>
      <c r="AN458" s="7">
        <f t="shared" si="2466"/>
        <v>1603.4134782608744</v>
      </c>
      <c r="AO458" s="7">
        <f t="shared" si="2466"/>
        <v>1369.4134782608744</v>
      </c>
      <c r="AP458" s="222"/>
      <c r="AQ458" s="7">
        <v>234</v>
      </c>
      <c r="AR458" s="7">
        <f t="shared" si="2507"/>
        <v>234</v>
      </c>
      <c r="AS458" s="7">
        <f t="shared" si="2508"/>
        <v>0</v>
      </c>
      <c r="AT458" s="7">
        <f>L458*6-34.59</f>
        <v>1369.41</v>
      </c>
      <c r="AU458" s="7">
        <f t="shared" si="2468"/>
        <v>1135.4134782608744</v>
      </c>
      <c r="AV458" s="7">
        <f t="shared" si="2469"/>
        <v>901.4134782608744</v>
      </c>
      <c r="AW458" s="7">
        <f t="shared" si="2469"/>
        <v>667.4134782608744</v>
      </c>
      <c r="AX458" s="7">
        <f t="shared" si="2469"/>
        <v>433.4134782608744</v>
      </c>
      <c r="AY458" s="7">
        <f t="shared" si="2469"/>
        <v>199.4134782608744</v>
      </c>
      <c r="AZ458" s="7"/>
      <c r="BA458" s="7"/>
      <c r="BB458" s="7"/>
      <c r="BC458" s="7"/>
      <c r="BD458" s="7"/>
      <c r="BE458" s="7"/>
      <c r="BF458" s="7"/>
      <c r="BG458" s="236">
        <f t="shared" si="2503"/>
        <v>0</v>
      </c>
      <c r="BH458" s="7">
        <v>234</v>
      </c>
      <c r="BI458" s="39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236">
        <f>IF(Z458&lt;1,0,SUM(BJ458:BU458,BF458)/13*$BG$1)</f>
        <v>0</v>
      </c>
      <c r="BW458" s="7">
        <v>234</v>
      </c>
      <c r="BX458" s="39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236">
        <f>IF(AO458&lt;1,0,SUM(BY458:CJ458,BU458)/13*$BG$1)</f>
        <v>0</v>
      </c>
      <c r="CL458" s="7">
        <v>234</v>
      </c>
      <c r="CM458" s="39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236">
        <f>IF(BF458&lt;1,0,SUM(CN458:CY458,CJ458)/13*$BG$1)</f>
        <v>0</v>
      </c>
    </row>
    <row r="459" spans="1:104" x14ac:dyDescent="0.2">
      <c r="A459" s="6" t="str">
        <f>'[1]2021 УГРЦТ'!A462</f>
        <v>Трансформатор ТМГ-400 6/0,4кв  №1656822 2009г</v>
      </c>
      <c r="B459" t="str">
        <f>'[1]2021 УГРЦТ'!B462</f>
        <v>00001149</v>
      </c>
      <c r="C459" t="str">
        <f>'[1]2021 УГРЦТ'!C462</f>
        <v>ПЕРЕДАЧА</v>
      </c>
      <c r="D459" t="str">
        <f>'[1]2021 УГРЦТ'!D462</f>
        <v>Машины и оборудование (кроме офисного)</v>
      </c>
      <c r="E459" t="str">
        <f>'[1]2021 УГРЦТ'!E462</f>
        <v>31.10.2009</v>
      </c>
      <c r="F459" t="str">
        <f>'[1]2021 УГРЦТ'!F462</f>
        <v>Цех электрических сетей</v>
      </c>
      <c r="G459">
        <f>'[1]2021 УГРЦТ'!AC462</f>
        <v>240</v>
      </c>
      <c r="H459" s="7">
        <f>'[1]2021 УГРЦТ'!X462</f>
        <v>212242.97</v>
      </c>
      <c r="I459" s="7">
        <f>'[1]2021 УГРЦТ'!Y462</f>
        <v>129115.0485</v>
      </c>
      <c r="J459" s="7">
        <f>'[1]2021 УГРЦТ'!Z462</f>
        <v>83127.921499999997</v>
      </c>
      <c r="K459" s="8">
        <v>0</v>
      </c>
      <c r="L459" s="7">
        <v>884.35000000000025</v>
      </c>
      <c r="M459" s="7"/>
      <c r="N459" s="7">
        <f t="shared" si="2270"/>
        <v>10612.200000000003</v>
      </c>
      <c r="O459" s="7">
        <f t="shared" si="2504"/>
        <v>82243.571499999991</v>
      </c>
      <c r="P459" s="7">
        <f t="shared" si="2465"/>
        <v>81359.221499999985</v>
      </c>
      <c r="Q459" s="7">
        <f t="shared" si="2465"/>
        <v>80474.871499999979</v>
      </c>
      <c r="R459" s="7">
        <f t="shared" si="2465"/>
        <v>79590.521499999973</v>
      </c>
      <c r="S459" s="7">
        <f t="shared" si="2465"/>
        <v>78706.171499999968</v>
      </c>
      <c r="T459" s="7">
        <f t="shared" si="2465"/>
        <v>77821.821499999962</v>
      </c>
      <c r="U459" s="7">
        <f t="shared" si="2465"/>
        <v>76937.471499999956</v>
      </c>
      <c r="V459" s="7">
        <f t="shared" si="2465"/>
        <v>76053.12149999995</v>
      </c>
      <c r="W459" s="7">
        <f t="shared" si="2465"/>
        <v>75168.771499999944</v>
      </c>
      <c r="X459" s="7">
        <f t="shared" si="2465"/>
        <v>74284.421499999939</v>
      </c>
      <c r="Y459" s="7">
        <f t="shared" si="2465"/>
        <v>73400.071499999933</v>
      </c>
      <c r="Z459" s="7">
        <f t="shared" si="2465"/>
        <v>72515.721499999927</v>
      </c>
      <c r="AA459" s="7"/>
      <c r="AB459" s="7"/>
      <c r="AC459" s="7">
        <f t="shared" si="2505"/>
        <v>10612.200000000003</v>
      </c>
      <c r="AD459" s="7">
        <f t="shared" si="2506"/>
        <v>71631.371499999921</v>
      </c>
      <c r="AE459" s="7">
        <f t="shared" si="2466"/>
        <v>70747.021499999915</v>
      </c>
      <c r="AF459" s="7">
        <f t="shared" si="2466"/>
        <v>69862.671499999909</v>
      </c>
      <c r="AG459" s="7">
        <f t="shared" si="2466"/>
        <v>68978.321499999904</v>
      </c>
      <c r="AH459" s="7">
        <f t="shared" si="2466"/>
        <v>68093.971499999898</v>
      </c>
      <c r="AI459" s="7">
        <f t="shared" si="2466"/>
        <v>67209.621499999892</v>
      </c>
      <c r="AJ459" s="7">
        <f t="shared" si="2466"/>
        <v>66325.271499999886</v>
      </c>
      <c r="AK459" s="7">
        <f t="shared" si="2466"/>
        <v>65440.921499999888</v>
      </c>
      <c r="AL459" s="7">
        <f t="shared" si="2466"/>
        <v>64556.571499999889</v>
      </c>
      <c r="AM459" s="7">
        <f t="shared" si="2466"/>
        <v>63672.221499999891</v>
      </c>
      <c r="AN459" s="7">
        <f t="shared" si="2466"/>
        <v>62787.871499999892</v>
      </c>
      <c r="AO459" s="7">
        <f t="shared" si="2466"/>
        <v>61903.521499999893</v>
      </c>
      <c r="AP459" s="222"/>
      <c r="AQ459" s="7">
        <v>884.35000000000025</v>
      </c>
      <c r="AR459" s="7">
        <f t="shared" si="2507"/>
        <v>884.34999999999854</v>
      </c>
      <c r="AS459" s="7">
        <f t="shared" si="2508"/>
        <v>-1.7053025658242404E-12</v>
      </c>
      <c r="AT459" s="7">
        <f t="shared" si="2467"/>
        <v>10612.200000000003</v>
      </c>
      <c r="AU459" s="7">
        <f t="shared" si="2468"/>
        <v>61019.171499999895</v>
      </c>
      <c r="AV459" s="7">
        <f t="shared" si="2469"/>
        <v>60134.821499999896</v>
      </c>
      <c r="AW459" s="7">
        <f t="shared" si="2469"/>
        <v>59250.471499999898</v>
      </c>
      <c r="AX459" s="7">
        <f t="shared" si="2469"/>
        <v>58366.121499999899</v>
      </c>
      <c r="AY459" s="7">
        <f t="shared" si="2469"/>
        <v>57481.771499999901</v>
      </c>
      <c r="AZ459" s="7">
        <f t="shared" si="2469"/>
        <v>56597.421499999902</v>
      </c>
      <c r="BA459" s="7">
        <f t="shared" si="2469"/>
        <v>55713.071499999904</v>
      </c>
      <c r="BB459" s="7">
        <f t="shared" si="2469"/>
        <v>54828.721499999905</v>
      </c>
      <c r="BC459" s="7">
        <f t="shared" si="2469"/>
        <v>53944.371499999907</v>
      </c>
      <c r="BD459" s="7">
        <f t="shared" si="2469"/>
        <v>53060.021499999908</v>
      </c>
      <c r="BE459" s="7">
        <f t="shared" si="2469"/>
        <v>52175.671499999909</v>
      </c>
      <c r="BF459" s="7">
        <f t="shared" si="2469"/>
        <v>51291.321499999911</v>
      </c>
      <c r="BG459" s="236">
        <f t="shared" si="2503"/>
        <v>0</v>
      </c>
      <c r="BH459" s="7">
        <v>884.35000000000025</v>
      </c>
      <c r="BI459" s="39">
        <f>BH459*12</f>
        <v>10612.200000000003</v>
      </c>
      <c r="BJ459" s="7">
        <f>BF459-BH459</f>
        <v>50406.971499999912</v>
      </c>
      <c r="BK459" s="7">
        <f t="shared" si="2470"/>
        <v>49522.621499999914</v>
      </c>
      <c r="BL459" s="7">
        <f t="shared" si="2471"/>
        <v>48638.271499999915</v>
      </c>
      <c r="BM459" s="7">
        <f t="shared" si="2472"/>
        <v>47753.921499999917</v>
      </c>
      <c r="BN459" s="7">
        <f t="shared" si="2473"/>
        <v>46869.571499999918</v>
      </c>
      <c r="BO459" s="7">
        <f t="shared" ref="BO459:BO463" si="2538">BN459-$L459</f>
        <v>45985.22149999992</v>
      </c>
      <c r="BP459" s="7">
        <f t="shared" ref="BP459:BP463" si="2539">BO459-$L459</f>
        <v>45100.871499999921</v>
      </c>
      <c r="BQ459" s="7">
        <f t="shared" ref="BQ459:BQ463" si="2540">BP459-$L459</f>
        <v>44216.521499999923</v>
      </c>
      <c r="BR459" s="7">
        <f t="shared" ref="BR459:BR463" si="2541">BQ459-$L459</f>
        <v>43332.171499999924</v>
      </c>
      <c r="BS459" s="7">
        <f t="shared" ref="BS459:BS463" si="2542">BR459-$L459</f>
        <v>42447.821499999925</v>
      </c>
      <c r="BT459" s="7">
        <f t="shared" ref="BT459:BT463" si="2543">BS459-$L459</f>
        <v>41563.471499999927</v>
      </c>
      <c r="BU459" s="7">
        <f t="shared" ref="BU459:BU463" si="2544">BT459-$L459</f>
        <v>40679.121499999928</v>
      </c>
      <c r="BV459" s="236">
        <v>0</v>
      </c>
      <c r="BW459" s="7">
        <v>884.35000000000025</v>
      </c>
      <c r="BX459" s="39">
        <f>BW459*12</f>
        <v>10612.200000000003</v>
      </c>
      <c r="BY459" s="7">
        <f>BU459-BW459</f>
        <v>39794.77149999993</v>
      </c>
      <c r="BZ459" s="7">
        <f t="shared" ref="BZ459:BZ463" si="2545">BY459-$L459</f>
        <v>38910.421499999931</v>
      </c>
      <c r="CA459" s="7">
        <f t="shared" ref="CA459:CA463" si="2546">BZ459-$L459</f>
        <v>38026.071499999933</v>
      </c>
      <c r="CB459" s="7">
        <f t="shared" ref="CB459:CB463" si="2547">CA459-$L459</f>
        <v>37141.721499999934</v>
      </c>
      <c r="CC459" s="7">
        <f t="shared" ref="CC459:CC463" si="2548">CB459-$L459</f>
        <v>36257.371499999936</v>
      </c>
      <c r="CD459" s="7">
        <f t="shared" ref="CD459:CD463" si="2549">CC459-$L459</f>
        <v>35373.021499999937</v>
      </c>
      <c r="CE459" s="7">
        <f t="shared" ref="CE459:CE463" si="2550">CD459-$L459</f>
        <v>34488.671499999939</v>
      </c>
      <c r="CF459" s="7">
        <f t="shared" ref="CF459:CF463" si="2551">CE459-$L459</f>
        <v>33604.32149999994</v>
      </c>
      <c r="CG459" s="7">
        <f t="shared" ref="CG459:CG463" si="2552">CF459-$L459</f>
        <v>32719.971499999941</v>
      </c>
      <c r="CH459" s="7">
        <f t="shared" ref="CH459:CH463" si="2553">CG459-$L459</f>
        <v>31835.621499999943</v>
      </c>
      <c r="CI459" s="7">
        <f t="shared" ref="CI459:CI463" si="2554">CH459-$L459</f>
        <v>30951.271499999944</v>
      </c>
      <c r="CJ459" s="7">
        <f t="shared" ref="CJ459:CJ463" si="2555">CI459-$L459</f>
        <v>30066.921499999946</v>
      </c>
      <c r="CK459" s="236">
        <v>0</v>
      </c>
      <c r="CL459" s="7">
        <v>884.35000000000025</v>
      </c>
      <c r="CM459" s="39">
        <f>CL459*12</f>
        <v>10612.200000000003</v>
      </c>
      <c r="CN459" s="7">
        <f>CJ459-CL459</f>
        <v>29182.571499999947</v>
      </c>
      <c r="CO459" s="7">
        <f t="shared" ref="CO459:CO463" si="2556">CN459-$L459</f>
        <v>28298.221499999949</v>
      </c>
      <c r="CP459" s="7">
        <f t="shared" ref="CP459:CP463" si="2557">CO459-$L459</f>
        <v>27413.87149999995</v>
      </c>
      <c r="CQ459" s="7">
        <f t="shared" ref="CQ459:CQ463" si="2558">CP459-$L459</f>
        <v>26529.521499999952</v>
      </c>
      <c r="CR459" s="7">
        <f t="shared" ref="CR459:CR463" si="2559">CQ459-$L459</f>
        <v>25645.171499999953</v>
      </c>
      <c r="CS459" s="7">
        <f t="shared" ref="CS459:CS463" si="2560">CR459-$L459</f>
        <v>24760.821499999955</v>
      </c>
      <c r="CT459" s="7">
        <f t="shared" ref="CT459:CT463" si="2561">CS459-$L459</f>
        <v>23876.471499999956</v>
      </c>
      <c r="CU459" s="7">
        <f t="shared" ref="CU459:CU463" si="2562">CT459-$L459</f>
        <v>22992.121499999957</v>
      </c>
      <c r="CV459" s="7">
        <f t="shared" ref="CV459:CV463" si="2563">CU459-$L459</f>
        <v>22107.771499999959</v>
      </c>
      <c r="CW459" s="7">
        <f t="shared" ref="CW459:CW463" si="2564">CV459-$L459</f>
        <v>21223.42149999996</v>
      </c>
      <c r="CX459" s="7">
        <f t="shared" ref="CX459:CX463" si="2565">CW459-$L459</f>
        <v>20339.071499999962</v>
      </c>
      <c r="CY459" s="7">
        <f t="shared" ref="CY459:CY463" si="2566">CX459-$L459</f>
        <v>19454.721499999963</v>
      </c>
      <c r="CZ459" s="236">
        <v>0</v>
      </c>
    </row>
    <row r="460" spans="1:104" x14ac:dyDescent="0.2">
      <c r="A460" s="6" t="str">
        <f>'[1]2021 УГРЦТ'!A463</f>
        <v>Трансформатор ТМГ-400/6/0,4 зав.№003815Y</v>
      </c>
      <c r="B460" t="str">
        <f>'[1]2021 УГРЦТ'!B463</f>
        <v>000001709</v>
      </c>
      <c r="C460" t="str">
        <f>'[1]2021 УГРЦТ'!C463</f>
        <v>ПЕРЕДАЧА</v>
      </c>
      <c r="D460" t="str">
        <f>'[1]2021 УГРЦТ'!D463</f>
        <v>Машины и оборудование (кроме офисного)</v>
      </c>
      <c r="E460" t="str">
        <f>'[1]2021 УГРЦТ'!E463</f>
        <v>31.07.2017</v>
      </c>
      <c r="F460" t="str">
        <f>'[1]2021 УГРЦТ'!F463</f>
        <v>Цех электрических сетей</v>
      </c>
      <c r="G460">
        <f>'[1]2021 УГРЦТ'!AC463</f>
        <v>360</v>
      </c>
      <c r="H460" s="7">
        <f>'[1]2021 УГРЦТ'!X463</f>
        <v>275050.95</v>
      </c>
      <c r="I460" s="7">
        <f>'[1]2021 УГРЦТ'!Y463</f>
        <v>40493.595000000001</v>
      </c>
      <c r="J460" s="7">
        <f>'[1]2021 УГРЦТ'!Z463</f>
        <v>234557.35500000001</v>
      </c>
      <c r="K460" s="8">
        <v>0</v>
      </c>
      <c r="L460" s="7">
        <v>764.02999999999986</v>
      </c>
      <c r="M460" s="7"/>
      <c r="N460" s="7">
        <f t="shared" si="2270"/>
        <v>9168.3599999999988</v>
      </c>
      <c r="O460" s="7">
        <f t="shared" si="2504"/>
        <v>233793.32500000001</v>
      </c>
      <c r="P460" s="7">
        <f t="shared" si="2465"/>
        <v>233029.29500000001</v>
      </c>
      <c r="Q460" s="7">
        <f t="shared" si="2465"/>
        <v>232265.26500000001</v>
      </c>
      <c r="R460" s="7">
        <f t="shared" si="2465"/>
        <v>231501.23500000002</v>
      </c>
      <c r="S460" s="7">
        <f t="shared" si="2465"/>
        <v>230737.20500000002</v>
      </c>
      <c r="T460" s="7">
        <f t="shared" si="2465"/>
        <v>229973.17500000002</v>
      </c>
      <c r="U460" s="7">
        <f t="shared" si="2465"/>
        <v>229209.14500000002</v>
      </c>
      <c r="V460" s="7">
        <f t="shared" si="2465"/>
        <v>228445.11500000002</v>
      </c>
      <c r="W460" s="7">
        <f t="shared" si="2465"/>
        <v>227681.08500000002</v>
      </c>
      <c r="X460" s="7">
        <f t="shared" si="2465"/>
        <v>226917.05500000002</v>
      </c>
      <c r="Y460" s="7">
        <f t="shared" si="2465"/>
        <v>226153.02500000002</v>
      </c>
      <c r="Z460" s="7">
        <f t="shared" si="2465"/>
        <v>225388.99500000002</v>
      </c>
      <c r="AA460" s="7"/>
      <c r="AB460" s="7"/>
      <c r="AC460" s="7">
        <f t="shared" si="2505"/>
        <v>9168.3599999999988</v>
      </c>
      <c r="AD460" s="7">
        <f t="shared" si="2506"/>
        <v>224624.96500000003</v>
      </c>
      <c r="AE460" s="7">
        <f t="shared" si="2466"/>
        <v>223860.93500000003</v>
      </c>
      <c r="AF460" s="7">
        <f t="shared" si="2466"/>
        <v>223096.90500000003</v>
      </c>
      <c r="AG460" s="7">
        <f t="shared" si="2466"/>
        <v>222332.87500000003</v>
      </c>
      <c r="AH460" s="7">
        <f t="shared" si="2466"/>
        <v>221568.84500000003</v>
      </c>
      <c r="AI460" s="7">
        <f t="shared" si="2466"/>
        <v>220804.81500000003</v>
      </c>
      <c r="AJ460" s="7">
        <f t="shared" si="2466"/>
        <v>220040.78500000003</v>
      </c>
      <c r="AK460" s="7">
        <f t="shared" si="2466"/>
        <v>219276.75500000003</v>
      </c>
      <c r="AL460" s="7">
        <f t="shared" si="2466"/>
        <v>218512.72500000003</v>
      </c>
      <c r="AM460" s="7">
        <f t="shared" si="2466"/>
        <v>217748.69500000004</v>
      </c>
      <c r="AN460" s="7">
        <f t="shared" si="2466"/>
        <v>216984.66500000004</v>
      </c>
      <c r="AO460" s="7">
        <f t="shared" si="2466"/>
        <v>216220.63500000004</v>
      </c>
      <c r="AP460" s="222"/>
      <c r="AQ460" s="7">
        <v>764.02999999999986</v>
      </c>
      <c r="AR460" s="7">
        <f t="shared" si="2507"/>
        <v>764.02999999999884</v>
      </c>
      <c r="AS460" s="7">
        <f t="shared" si="2508"/>
        <v>-1.0231815394945443E-12</v>
      </c>
      <c r="AT460" s="7">
        <f t="shared" si="2467"/>
        <v>9168.3599999999988</v>
      </c>
      <c r="AU460" s="7">
        <f t="shared" si="2468"/>
        <v>215456.60500000004</v>
      </c>
      <c r="AV460" s="7">
        <f t="shared" si="2469"/>
        <v>214692.57500000004</v>
      </c>
      <c r="AW460" s="7">
        <f t="shared" si="2469"/>
        <v>213928.54500000004</v>
      </c>
      <c r="AX460" s="7">
        <f t="shared" si="2469"/>
        <v>213164.51500000004</v>
      </c>
      <c r="AY460" s="7">
        <f t="shared" si="2469"/>
        <v>212400.48500000004</v>
      </c>
      <c r="AZ460" s="7">
        <f t="shared" si="2469"/>
        <v>211636.45500000005</v>
      </c>
      <c r="BA460" s="7">
        <f t="shared" si="2469"/>
        <v>210872.42500000005</v>
      </c>
      <c r="BB460" s="7">
        <f t="shared" si="2469"/>
        <v>210108.39500000005</v>
      </c>
      <c r="BC460" s="7">
        <f t="shared" si="2469"/>
        <v>209344.36500000005</v>
      </c>
      <c r="BD460" s="7">
        <f t="shared" si="2469"/>
        <v>208580.33500000005</v>
      </c>
      <c r="BE460" s="7">
        <f t="shared" si="2469"/>
        <v>207816.30500000005</v>
      </c>
      <c r="BF460" s="7">
        <f t="shared" si="2469"/>
        <v>207052.27500000005</v>
      </c>
      <c r="BG460" s="236">
        <f t="shared" si="2503"/>
        <v>0</v>
      </c>
      <c r="BH460" s="7">
        <v>764.02999999999986</v>
      </c>
      <c r="BI460" s="39">
        <f>BH460*12</f>
        <v>9168.3599999999988</v>
      </c>
      <c r="BJ460" s="7">
        <f>BF460-BH460</f>
        <v>206288.24500000005</v>
      </c>
      <c r="BK460" s="7">
        <f t="shared" si="2470"/>
        <v>205524.21500000005</v>
      </c>
      <c r="BL460" s="7">
        <f t="shared" si="2471"/>
        <v>204760.18500000006</v>
      </c>
      <c r="BM460" s="7">
        <f t="shared" si="2472"/>
        <v>203996.15500000006</v>
      </c>
      <c r="BN460" s="7">
        <f t="shared" si="2473"/>
        <v>203232.12500000006</v>
      </c>
      <c r="BO460" s="7">
        <f t="shared" si="2538"/>
        <v>202468.09500000006</v>
      </c>
      <c r="BP460" s="7">
        <f t="shared" si="2539"/>
        <v>201704.06500000006</v>
      </c>
      <c r="BQ460" s="7">
        <f t="shared" si="2540"/>
        <v>200940.03500000006</v>
      </c>
      <c r="BR460" s="7">
        <f t="shared" si="2541"/>
        <v>200176.00500000006</v>
      </c>
      <c r="BS460" s="7">
        <f t="shared" si="2542"/>
        <v>199411.97500000006</v>
      </c>
      <c r="BT460" s="7">
        <f t="shared" si="2543"/>
        <v>198647.94500000007</v>
      </c>
      <c r="BU460" s="7">
        <f t="shared" si="2544"/>
        <v>197883.91500000007</v>
      </c>
      <c r="BV460" s="236">
        <v>0</v>
      </c>
      <c r="BW460" s="7">
        <v>764.02999999999986</v>
      </c>
      <c r="BX460" s="39">
        <f>BW460*12</f>
        <v>9168.3599999999988</v>
      </c>
      <c r="BY460" s="7">
        <f>BU460-BW460</f>
        <v>197119.88500000007</v>
      </c>
      <c r="BZ460" s="7">
        <f t="shared" si="2545"/>
        <v>196355.85500000007</v>
      </c>
      <c r="CA460" s="7">
        <f t="shared" si="2546"/>
        <v>195591.82500000007</v>
      </c>
      <c r="CB460" s="7">
        <f t="shared" si="2547"/>
        <v>194827.79500000007</v>
      </c>
      <c r="CC460" s="7">
        <f t="shared" si="2548"/>
        <v>194063.76500000007</v>
      </c>
      <c r="CD460" s="7">
        <f t="shared" si="2549"/>
        <v>193299.73500000007</v>
      </c>
      <c r="CE460" s="7">
        <f t="shared" si="2550"/>
        <v>192535.70500000007</v>
      </c>
      <c r="CF460" s="7">
        <f t="shared" si="2551"/>
        <v>191771.67500000008</v>
      </c>
      <c r="CG460" s="7">
        <f t="shared" si="2552"/>
        <v>191007.64500000008</v>
      </c>
      <c r="CH460" s="7">
        <f t="shared" si="2553"/>
        <v>190243.61500000008</v>
      </c>
      <c r="CI460" s="7">
        <f t="shared" si="2554"/>
        <v>189479.58500000008</v>
      </c>
      <c r="CJ460" s="7">
        <f t="shared" si="2555"/>
        <v>188715.55500000008</v>
      </c>
      <c r="CK460" s="236">
        <v>0</v>
      </c>
      <c r="CL460" s="7">
        <v>764.02999999999986</v>
      </c>
      <c r="CM460" s="39">
        <f>CL460*12</f>
        <v>9168.3599999999988</v>
      </c>
      <c r="CN460" s="7">
        <f>CJ460-CL460</f>
        <v>187951.52500000008</v>
      </c>
      <c r="CO460" s="7">
        <f t="shared" si="2556"/>
        <v>187187.49500000008</v>
      </c>
      <c r="CP460" s="7">
        <f t="shared" si="2557"/>
        <v>186423.46500000008</v>
      </c>
      <c r="CQ460" s="7">
        <f t="shared" si="2558"/>
        <v>185659.43500000008</v>
      </c>
      <c r="CR460" s="7">
        <f t="shared" si="2559"/>
        <v>184895.40500000009</v>
      </c>
      <c r="CS460" s="7">
        <f t="shared" si="2560"/>
        <v>184131.37500000009</v>
      </c>
      <c r="CT460" s="7">
        <f t="shared" si="2561"/>
        <v>183367.34500000009</v>
      </c>
      <c r="CU460" s="7">
        <f t="shared" si="2562"/>
        <v>182603.31500000009</v>
      </c>
      <c r="CV460" s="7">
        <f t="shared" si="2563"/>
        <v>181839.28500000009</v>
      </c>
      <c r="CW460" s="7">
        <f t="shared" si="2564"/>
        <v>181075.25500000009</v>
      </c>
      <c r="CX460" s="7">
        <f t="shared" si="2565"/>
        <v>180311.22500000009</v>
      </c>
      <c r="CY460" s="7">
        <f t="shared" si="2566"/>
        <v>179547.19500000009</v>
      </c>
      <c r="CZ460" s="236">
        <v>0</v>
      </c>
    </row>
    <row r="461" spans="1:104" x14ac:dyDescent="0.2">
      <c r="A461" s="6" t="str">
        <f>'[1]2021 УГРЦТ'!A464</f>
        <v>Трансформатор ТМГ-400/6/0,4 зав.№003816Y</v>
      </c>
      <c r="B461" t="str">
        <f>'[1]2021 УГРЦТ'!B464</f>
        <v>000001708</v>
      </c>
      <c r="C461" t="str">
        <f>'[1]2021 УГРЦТ'!C464</f>
        <v>ПЕРЕДАЧА</v>
      </c>
      <c r="D461" t="str">
        <f>'[1]2021 УГРЦТ'!D464</f>
        <v>Машины и оборудование (кроме офисного)</v>
      </c>
      <c r="E461" t="str">
        <f>'[1]2021 УГРЦТ'!E464</f>
        <v>31.07.2017</v>
      </c>
      <c r="F461" t="str">
        <f>'[1]2021 УГРЦТ'!F464</f>
        <v>Цех электрических сетей</v>
      </c>
      <c r="G461">
        <f>'[1]2021 УГРЦТ'!AC464</f>
        <v>360</v>
      </c>
      <c r="H461" s="7">
        <f>'[1]2021 УГРЦТ'!X464</f>
        <v>275050.95</v>
      </c>
      <c r="I461" s="7">
        <f>'[1]2021 УГРЦТ'!Y464</f>
        <v>40493.595000000001</v>
      </c>
      <c r="J461" s="7">
        <f>'[1]2021 УГРЦТ'!Z464</f>
        <v>234557.35500000001</v>
      </c>
      <c r="K461" s="8">
        <v>0</v>
      </c>
      <c r="L461" s="7">
        <v>764.02999999999986</v>
      </c>
      <c r="M461" s="7"/>
      <c r="N461" s="7">
        <f t="shared" si="2270"/>
        <v>9168.3599999999988</v>
      </c>
      <c r="O461" s="7">
        <f t="shared" si="2504"/>
        <v>233793.32500000001</v>
      </c>
      <c r="P461" s="7">
        <f t="shared" si="2465"/>
        <v>233029.29500000001</v>
      </c>
      <c r="Q461" s="7">
        <f t="shared" si="2465"/>
        <v>232265.26500000001</v>
      </c>
      <c r="R461" s="7">
        <f t="shared" si="2465"/>
        <v>231501.23500000002</v>
      </c>
      <c r="S461" s="7">
        <f t="shared" si="2465"/>
        <v>230737.20500000002</v>
      </c>
      <c r="T461" s="7">
        <f t="shared" si="2465"/>
        <v>229973.17500000002</v>
      </c>
      <c r="U461" s="7">
        <f t="shared" si="2465"/>
        <v>229209.14500000002</v>
      </c>
      <c r="V461" s="7">
        <f t="shared" si="2465"/>
        <v>228445.11500000002</v>
      </c>
      <c r="W461" s="7">
        <f t="shared" si="2465"/>
        <v>227681.08500000002</v>
      </c>
      <c r="X461" s="7">
        <f t="shared" si="2465"/>
        <v>226917.05500000002</v>
      </c>
      <c r="Y461" s="7">
        <f t="shared" si="2465"/>
        <v>226153.02500000002</v>
      </c>
      <c r="Z461" s="7">
        <f t="shared" si="2465"/>
        <v>225388.99500000002</v>
      </c>
      <c r="AA461" s="7"/>
      <c r="AB461" s="7"/>
      <c r="AC461" s="7">
        <f t="shared" si="2505"/>
        <v>9168.3599999999988</v>
      </c>
      <c r="AD461" s="7">
        <f t="shared" si="2506"/>
        <v>224624.96500000003</v>
      </c>
      <c r="AE461" s="7">
        <f t="shared" si="2466"/>
        <v>223860.93500000003</v>
      </c>
      <c r="AF461" s="7">
        <f t="shared" si="2466"/>
        <v>223096.90500000003</v>
      </c>
      <c r="AG461" s="7">
        <f t="shared" si="2466"/>
        <v>222332.87500000003</v>
      </c>
      <c r="AH461" s="7">
        <f t="shared" si="2466"/>
        <v>221568.84500000003</v>
      </c>
      <c r="AI461" s="7">
        <f t="shared" si="2466"/>
        <v>220804.81500000003</v>
      </c>
      <c r="AJ461" s="7">
        <f t="shared" si="2466"/>
        <v>220040.78500000003</v>
      </c>
      <c r="AK461" s="7">
        <f t="shared" si="2466"/>
        <v>219276.75500000003</v>
      </c>
      <c r="AL461" s="7">
        <f t="shared" si="2466"/>
        <v>218512.72500000003</v>
      </c>
      <c r="AM461" s="7">
        <f t="shared" si="2466"/>
        <v>217748.69500000004</v>
      </c>
      <c r="AN461" s="7">
        <f t="shared" si="2466"/>
        <v>216984.66500000004</v>
      </c>
      <c r="AO461" s="7">
        <f t="shared" si="2466"/>
        <v>216220.63500000004</v>
      </c>
      <c r="AP461" s="222"/>
      <c r="AQ461" s="7">
        <v>764.02999999999986</v>
      </c>
      <c r="AR461" s="7">
        <f t="shared" si="2507"/>
        <v>764.02999999999884</v>
      </c>
      <c r="AS461" s="7">
        <f t="shared" si="2508"/>
        <v>-1.0231815394945443E-12</v>
      </c>
      <c r="AT461" s="7">
        <f t="shared" si="2467"/>
        <v>9168.3599999999988</v>
      </c>
      <c r="AU461" s="7">
        <f t="shared" si="2468"/>
        <v>215456.60500000004</v>
      </c>
      <c r="AV461" s="7">
        <f t="shared" si="2469"/>
        <v>214692.57500000004</v>
      </c>
      <c r="AW461" s="7">
        <f t="shared" si="2469"/>
        <v>213928.54500000004</v>
      </c>
      <c r="AX461" s="7">
        <f t="shared" si="2469"/>
        <v>213164.51500000004</v>
      </c>
      <c r="AY461" s="7">
        <f t="shared" si="2469"/>
        <v>212400.48500000004</v>
      </c>
      <c r="AZ461" s="7">
        <f t="shared" si="2469"/>
        <v>211636.45500000005</v>
      </c>
      <c r="BA461" s="7">
        <f t="shared" si="2469"/>
        <v>210872.42500000005</v>
      </c>
      <c r="BB461" s="7">
        <f t="shared" si="2469"/>
        <v>210108.39500000005</v>
      </c>
      <c r="BC461" s="7">
        <f t="shared" si="2469"/>
        <v>209344.36500000005</v>
      </c>
      <c r="BD461" s="7">
        <f t="shared" si="2469"/>
        <v>208580.33500000005</v>
      </c>
      <c r="BE461" s="7">
        <f t="shared" si="2469"/>
        <v>207816.30500000005</v>
      </c>
      <c r="BF461" s="7">
        <f t="shared" si="2469"/>
        <v>207052.27500000005</v>
      </c>
      <c r="BG461" s="236">
        <f t="shared" si="2503"/>
        <v>0</v>
      </c>
      <c r="BH461" s="7">
        <v>764.02999999999986</v>
      </c>
      <c r="BI461" s="39">
        <f>BH461*12</f>
        <v>9168.3599999999988</v>
      </c>
      <c r="BJ461" s="7">
        <f>BF461-BH461</f>
        <v>206288.24500000005</v>
      </c>
      <c r="BK461" s="7">
        <f t="shared" si="2470"/>
        <v>205524.21500000005</v>
      </c>
      <c r="BL461" s="7">
        <f t="shared" si="2471"/>
        <v>204760.18500000006</v>
      </c>
      <c r="BM461" s="7">
        <f t="shared" si="2472"/>
        <v>203996.15500000006</v>
      </c>
      <c r="BN461" s="7">
        <f t="shared" si="2473"/>
        <v>203232.12500000006</v>
      </c>
      <c r="BO461" s="7">
        <f t="shared" si="2538"/>
        <v>202468.09500000006</v>
      </c>
      <c r="BP461" s="7">
        <f t="shared" si="2539"/>
        <v>201704.06500000006</v>
      </c>
      <c r="BQ461" s="7">
        <f t="shared" si="2540"/>
        <v>200940.03500000006</v>
      </c>
      <c r="BR461" s="7">
        <f t="shared" si="2541"/>
        <v>200176.00500000006</v>
      </c>
      <c r="BS461" s="7">
        <f t="shared" si="2542"/>
        <v>199411.97500000006</v>
      </c>
      <c r="BT461" s="7">
        <f t="shared" si="2543"/>
        <v>198647.94500000007</v>
      </c>
      <c r="BU461" s="7">
        <f t="shared" si="2544"/>
        <v>197883.91500000007</v>
      </c>
      <c r="BV461" s="236">
        <v>0</v>
      </c>
      <c r="BW461" s="7">
        <v>764.02999999999986</v>
      </c>
      <c r="BX461" s="39">
        <f>BW461*12</f>
        <v>9168.3599999999988</v>
      </c>
      <c r="BY461" s="7">
        <f>BU461-BW461</f>
        <v>197119.88500000007</v>
      </c>
      <c r="BZ461" s="7">
        <f t="shared" si="2545"/>
        <v>196355.85500000007</v>
      </c>
      <c r="CA461" s="7">
        <f t="shared" si="2546"/>
        <v>195591.82500000007</v>
      </c>
      <c r="CB461" s="7">
        <f t="shared" si="2547"/>
        <v>194827.79500000007</v>
      </c>
      <c r="CC461" s="7">
        <f t="shared" si="2548"/>
        <v>194063.76500000007</v>
      </c>
      <c r="CD461" s="7">
        <f t="shared" si="2549"/>
        <v>193299.73500000007</v>
      </c>
      <c r="CE461" s="7">
        <f t="shared" si="2550"/>
        <v>192535.70500000007</v>
      </c>
      <c r="CF461" s="7">
        <f t="shared" si="2551"/>
        <v>191771.67500000008</v>
      </c>
      <c r="CG461" s="7">
        <f t="shared" si="2552"/>
        <v>191007.64500000008</v>
      </c>
      <c r="CH461" s="7">
        <f t="shared" si="2553"/>
        <v>190243.61500000008</v>
      </c>
      <c r="CI461" s="7">
        <f t="shared" si="2554"/>
        <v>189479.58500000008</v>
      </c>
      <c r="CJ461" s="7">
        <f t="shared" si="2555"/>
        <v>188715.55500000008</v>
      </c>
      <c r="CK461" s="236">
        <v>0</v>
      </c>
      <c r="CL461" s="7">
        <v>764.02999999999986</v>
      </c>
      <c r="CM461" s="39">
        <f>CL461*12</f>
        <v>9168.3599999999988</v>
      </c>
      <c r="CN461" s="7">
        <f>CJ461-CL461</f>
        <v>187951.52500000008</v>
      </c>
      <c r="CO461" s="7">
        <f t="shared" si="2556"/>
        <v>187187.49500000008</v>
      </c>
      <c r="CP461" s="7">
        <f t="shared" si="2557"/>
        <v>186423.46500000008</v>
      </c>
      <c r="CQ461" s="7">
        <f t="shared" si="2558"/>
        <v>185659.43500000008</v>
      </c>
      <c r="CR461" s="7">
        <f t="shared" si="2559"/>
        <v>184895.40500000009</v>
      </c>
      <c r="CS461" s="7">
        <f t="shared" si="2560"/>
        <v>184131.37500000009</v>
      </c>
      <c r="CT461" s="7">
        <f t="shared" si="2561"/>
        <v>183367.34500000009</v>
      </c>
      <c r="CU461" s="7">
        <f t="shared" si="2562"/>
        <v>182603.31500000009</v>
      </c>
      <c r="CV461" s="7">
        <f t="shared" si="2563"/>
        <v>181839.28500000009</v>
      </c>
      <c r="CW461" s="7">
        <f t="shared" si="2564"/>
        <v>181075.25500000009</v>
      </c>
      <c r="CX461" s="7">
        <f t="shared" si="2565"/>
        <v>180311.22500000009</v>
      </c>
      <c r="CY461" s="7">
        <f t="shared" si="2566"/>
        <v>179547.19500000009</v>
      </c>
      <c r="CZ461" s="236">
        <v>0</v>
      </c>
    </row>
    <row r="462" spans="1:104" x14ac:dyDescent="0.2">
      <c r="A462" s="6" t="str">
        <f>'[1]2021 УГРЦТ'!A465</f>
        <v>Трансформатор ТМГ-400/6/0,4 зав.№003817Y</v>
      </c>
      <c r="B462" t="str">
        <f>'[1]2021 УГРЦТ'!B465</f>
        <v>000001707</v>
      </c>
      <c r="C462" t="str">
        <f>'[1]2021 УГРЦТ'!C465</f>
        <v>ПЕРЕДАЧА</v>
      </c>
      <c r="D462" t="str">
        <f>'[1]2021 УГРЦТ'!D465</f>
        <v>Машины и оборудование (кроме офисного)</v>
      </c>
      <c r="E462" t="str">
        <f>'[1]2021 УГРЦТ'!E465</f>
        <v>31.07.2017</v>
      </c>
      <c r="F462" t="str">
        <f>'[1]2021 УГРЦТ'!F465</f>
        <v>Цех электрических сетей</v>
      </c>
      <c r="G462">
        <f>'[1]2021 УГРЦТ'!AC465</f>
        <v>360</v>
      </c>
      <c r="H462" s="7">
        <f>'[1]2021 УГРЦТ'!X465</f>
        <v>275050.95</v>
      </c>
      <c r="I462" s="7">
        <f>'[1]2021 УГРЦТ'!Y465</f>
        <v>40493.595000000001</v>
      </c>
      <c r="J462" s="7">
        <f>'[1]2021 УГРЦТ'!Z465</f>
        <v>234557.35500000001</v>
      </c>
      <c r="K462" s="8">
        <v>0</v>
      </c>
      <c r="L462" s="7">
        <v>764.02999999999986</v>
      </c>
      <c r="M462" s="7"/>
      <c r="N462" s="7">
        <f t="shared" si="2270"/>
        <v>9168.3599999999988</v>
      </c>
      <c r="O462" s="7">
        <f t="shared" si="2504"/>
        <v>233793.32500000001</v>
      </c>
      <c r="P462" s="7">
        <f t="shared" si="2465"/>
        <v>233029.29500000001</v>
      </c>
      <c r="Q462" s="7">
        <f t="shared" si="2465"/>
        <v>232265.26500000001</v>
      </c>
      <c r="R462" s="7">
        <f t="shared" si="2465"/>
        <v>231501.23500000002</v>
      </c>
      <c r="S462" s="7">
        <f t="shared" si="2465"/>
        <v>230737.20500000002</v>
      </c>
      <c r="T462" s="7">
        <f t="shared" si="2465"/>
        <v>229973.17500000002</v>
      </c>
      <c r="U462" s="7">
        <f t="shared" si="2465"/>
        <v>229209.14500000002</v>
      </c>
      <c r="V462" s="7">
        <f t="shared" si="2465"/>
        <v>228445.11500000002</v>
      </c>
      <c r="W462" s="7">
        <f t="shared" si="2465"/>
        <v>227681.08500000002</v>
      </c>
      <c r="X462" s="7">
        <f t="shared" si="2465"/>
        <v>226917.05500000002</v>
      </c>
      <c r="Y462" s="7">
        <f t="shared" si="2465"/>
        <v>226153.02500000002</v>
      </c>
      <c r="Z462" s="7">
        <f t="shared" si="2465"/>
        <v>225388.99500000002</v>
      </c>
      <c r="AA462" s="7"/>
      <c r="AB462" s="7"/>
      <c r="AC462" s="7">
        <f t="shared" si="2505"/>
        <v>9168.3599999999988</v>
      </c>
      <c r="AD462" s="7">
        <f t="shared" si="2506"/>
        <v>224624.96500000003</v>
      </c>
      <c r="AE462" s="7">
        <f t="shared" si="2466"/>
        <v>223860.93500000003</v>
      </c>
      <c r="AF462" s="7">
        <f t="shared" si="2466"/>
        <v>223096.90500000003</v>
      </c>
      <c r="AG462" s="7">
        <f t="shared" si="2466"/>
        <v>222332.87500000003</v>
      </c>
      <c r="AH462" s="7">
        <f t="shared" si="2466"/>
        <v>221568.84500000003</v>
      </c>
      <c r="AI462" s="7">
        <f t="shared" si="2466"/>
        <v>220804.81500000003</v>
      </c>
      <c r="AJ462" s="7">
        <f t="shared" si="2466"/>
        <v>220040.78500000003</v>
      </c>
      <c r="AK462" s="7">
        <f t="shared" si="2466"/>
        <v>219276.75500000003</v>
      </c>
      <c r="AL462" s="7">
        <f t="shared" si="2466"/>
        <v>218512.72500000003</v>
      </c>
      <c r="AM462" s="7">
        <f t="shared" si="2466"/>
        <v>217748.69500000004</v>
      </c>
      <c r="AN462" s="7">
        <f t="shared" si="2466"/>
        <v>216984.66500000004</v>
      </c>
      <c r="AO462" s="7">
        <f t="shared" si="2466"/>
        <v>216220.63500000004</v>
      </c>
      <c r="AP462" s="222"/>
      <c r="AQ462" s="7">
        <v>764.02999999999986</v>
      </c>
      <c r="AR462" s="7">
        <f t="shared" si="2507"/>
        <v>764.02999999999884</v>
      </c>
      <c r="AS462" s="7">
        <f t="shared" si="2508"/>
        <v>-1.0231815394945443E-12</v>
      </c>
      <c r="AT462" s="7">
        <f t="shared" si="2467"/>
        <v>9168.3599999999988</v>
      </c>
      <c r="AU462" s="7">
        <f t="shared" si="2468"/>
        <v>215456.60500000004</v>
      </c>
      <c r="AV462" s="7">
        <f t="shared" si="2469"/>
        <v>214692.57500000004</v>
      </c>
      <c r="AW462" s="7">
        <f t="shared" si="2469"/>
        <v>213928.54500000004</v>
      </c>
      <c r="AX462" s="7">
        <f t="shared" si="2469"/>
        <v>213164.51500000004</v>
      </c>
      <c r="AY462" s="7">
        <f t="shared" si="2469"/>
        <v>212400.48500000004</v>
      </c>
      <c r="AZ462" s="7">
        <f t="shared" si="2469"/>
        <v>211636.45500000005</v>
      </c>
      <c r="BA462" s="7">
        <f t="shared" si="2469"/>
        <v>210872.42500000005</v>
      </c>
      <c r="BB462" s="7">
        <f t="shared" si="2469"/>
        <v>210108.39500000005</v>
      </c>
      <c r="BC462" s="7">
        <f t="shared" si="2469"/>
        <v>209344.36500000005</v>
      </c>
      <c r="BD462" s="7">
        <f t="shared" si="2469"/>
        <v>208580.33500000005</v>
      </c>
      <c r="BE462" s="7">
        <f t="shared" si="2469"/>
        <v>207816.30500000005</v>
      </c>
      <c r="BF462" s="7">
        <f t="shared" si="2469"/>
        <v>207052.27500000005</v>
      </c>
      <c r="BG462" s="236">
        <f t="shared" si="2503"/>
        <v>0</v>
      </c>
      <c r="BH462" s="7">
        <v>764.02999999999986</v>
      </c>
      <c r="BI462" s="39">
        <f>BH462*12</f>
        <v>9168.3599999999988</v>
      </c>
      <c r="BJ462" s="7">
        <f>BF462-BH462</f>
        <v>206288.24500000005</v>
      </c>
      <c r="BK462" s="7">
        <f t="shared" si="2470"/>
        <v>205524.21500000005</v>
      </c>
      <c r="BL462" s="7">
        <f t="shared" si="2471"/>
        <v>204760.18500000006</v>
      </c>
      <c r="BM462" s="7">
        <f t="shared" si="2472"/>
        <v>203996.15500000006</v>
      </c>
      <c r="BN462" s="7">
        <f t="shared" si="2473"/>
        <v>203232.12500000006</v>
      </c>
      <c r="BO462" s="7">
        <f t="shared" si="2538"/>
        <v>202468.09500000006</v>
      </c>
      <c r="BP462" s="7">
        <f t="shared" si="2539"/>
        <v>201704.06500000006</v>
      </c>
      <c r="BQ462" s="7">
        <f t="shared" si="2540"/>
        <v>200940.03500000006</v>
      </c>
      <c r="BR462" s="7">
        <f t="shared" si="2541"/>
        <v>200176.00500000006</v>
      </c>
      <c r="BS462" s="7">
        <f t="shared" si="2542"/>
        <v>199411.97500000006</v>
      </c>
      <c r="BT462" s="7">
        <f t="shared" si="2543"/>
        <v>198647.94500000007</v>
      </c>
      <c r="BU462" s="7">
        <f t="shared" si="2544"/>
        <v>197883.91500000007</v>
      </c>
      <c r="BV462" s="236">
        <v>0</v>
      </c>
      <c r="BW462" s="7">
        <v>764.02999999999986</v>
      </c>
      <c r="BX462" s="39">
        <f>BW462*12</f>
        <v>9168.3599999999988</v>
      </c>
      <c r="BY462" s="7">
        <f>BU462-BW462</f>
        <v>197119.88500000007</v>
      </c>
      <c r="BZ462" s="7">
        <f t="shared" si="2545"/>
        <v>196355.85500000007</v>
      </c>
      <c r="CA462" s="7">
        <f t="shared" si="2546"/>
        <v>195591.82500000007</v>
      </c>
      <c r="CB462" s="7">
        <f t="shared" si="2547"/>
        <v>194827.79500000007</v>
      </c>
      <c r="CC462" s="7">
        <f t="shared" si="2548"/>
        <v>194063.76500000007</v>
      </c>
      <c r="CD462" s="7">
        <f t="shared" si="2549"/>
        <v>193299.73500000007</v>
      </c>
      <c r="CE462" s="7">
        <f t="shared" si="2550"/>
        <v>192535.70500000007</v>
      </c>
      <c r="CF462" s="7">
        <f t="shared" si="2551"/>
        <v>191771.67500000008</v>
      </c>
      <c r="CG462" s="7">
        <f t="shared" si="2552"/>
        <v>191007.64500000008</v>
      </c>
      <c r="CH462" s="7">
        <f t="shared" si="2553"/>
        <v>190243.61500000008</v>
      </c>
      <c r="CI462" s="7">
        <f t="shared" si="2554"/>
        <v>189479.58500000008</v>
      </c>
      <c r="CJ462" s="7">
        <f t="shared" si="2555"/>
        <v>188715.55500000008</v>
      </c>
      <c r="CK462" s="236">
        <v>0</v>
      </c>
      <c r="CL462" s="7">
        <v>764.02999999999986</v>
      </c>
      <c r="CM462" s="39">
        <f>CL462*12</f>
        <v>9168.3599999999988</v>
      </c>
      <c r="CN462" s="7">
        <f>CJ462-CL462</f>
        <v>187951.52500000008</v>
      </c>
      <c r="CO462" s="7">
        <f t="shared" si="2556"/>
        <v>187187.49500000008</v>
      </c>
      <c r="CP462" s="7">
        <f t="shared" si="2557"/>
        <v>186423.46500000008</v>
      </c>
      <c r="CQ462" s="7">
        <f t="shared" si="2558"/>
        <v>185659.43500000008</v>
      </c>
      <c r="CR462" s="7">
        <f t="shared" si="2559"/>
        <v>184895.40500000009</v>
      </c>
      <c r="CS462" s="7">
        <f t="shared" si="2560"/>
        <v>184131.37500000009</v>
      </c>
      <c r="CT462" s="7">
        <f t="shared" si="2561"/>
        <v>183367.34500000009</v>
      </c>
      <c r="CU462" s="7">
        <f t="shared" si="2562"/>
        <v>182603.31500000009</v>
      </c>
      <c r="CV462" s="7">
        <f t="shared" si="2563"/>
        <v>181839.28500000009</v>
      </c>
      <c r="CW462" s="7">
        <f t="shared" si="2564"/>
        <v>181075.25500000009</v>
      </c>
      <c r="CX462" s="7">
        <f t="shared" si="2565"/>
        <v>180311.22500000009</v>
      </c>
      <c r="CY462" s="7">
        <f t="shared" si="2566"/>
        <v>179547.19500000009</v>
      </c>
      <c r="CZ462" s="236">
        <v>0</v>
      </c>
    </row>
    <row r="463" spans="1:104" ht="22.5" x14ac:dyDescent="0.2">
      <c r="A463" s="6" t="str">
        <f>'[1]2021 УГРЦТ'!A466</f>
        <v>Трансформатор ТМГ-400/6/0,4 схема и группа соединений Д/Ун-11, зав.№1804жг214</v>
      </c>
      <c r="B463" t="str">
        <f>'[1]2021 УГРЦТ'!B466</f>
        <v>000001738</v>
      </c>
      <c r="C463" t="str">
        <f>'[1]2021 УГРЦТ'!C466</f>
        <v>ПЕРЕДАЧА</v>
      </c>
      <c r="D463" t="str">
        <f>'[1]2021 УГРЦТ'!D466</f>
        <v>Машины и оборудование (кроме офисного)</v>
      </c>
      <c r="E463" t="str">
        <f>'[1]2021 УГРЦТ'!E466</f>
        <v>31.07.2018</v>
      </c>
      <c r="F463" t="str">
        <f>'[1]2021 УГРЦТ'!F466</f>
        <v>Цех электрических сетей</v>
      </c>
      <c r="G463">
        <f>'[1]2021 УГРЦТ'!AC466</f>
        <v>240</v>
      </c>
      <c r="H463" s="7">
        <f>'[1]2021 УГРЦТ'!X466</f>
        <v>280493.28999999998</v>
      </c>
      <c r="I463" s="7">
        <f>'[1]2021 УГРЦТ'!Y466</f>
        <v>47917.544499999996</v>
      </c>
      <c r="J463" s="7">
        <f>'[1]2021 УГРЦТ'!Z466</f>
        <v>232575.74549999999</v>
      </c>
      <c r="K463" s="8">
        <v>0</v>
      </c>
      <c r="L463" s="7">
        <v>1168.7199999999998</v>
      </c>
      <c r="M463" s="7"/>
      <c r="N463" s="7">
        <f t="shared" si="2270"/>
        <v>14024.639999999998</v>
      </c>
      <c r="O463" s="7">
        <f t="shared" si="2504"/>
        <v>231407.02549999999</v>
      </c>
      <c r="P463" s="7">
        <f t="shared" si="2465"/>
        <v>230238.30549999999</v>
      </c>
      <c r="Q463" s="7">
        <f t="shared" si="2465"/>
        <v>229069.58549999999</v>
      </c>
      <c r="R463" s="7">
        <f t="shared" si="2465"/>
        <v>227900.86549999999</v>
      </c>
      <c r="S463" s="7">
        <f t="shared" si="2465"/>
        <v>226732.14549999998</v>
      </c>
      <c r="T463" s="7">
        <f t="shared" si="2465"/>
        <v>225563.42549999998</v>
      </c>
      <c r="U463" s="7">
        <f t="shared" si="2465"/>
        <v>224394.70549999998</v>
      </c>
      <c r="V463" s="7">
        <f t="shared" si="2465"/>
        <v>223225.98549999998</v>
      </c>
      <c r="W463" s="7">
        <f t="shared" si="2465"/>
        <v>222057.26549999998</v>
      </c>
      <c r="X463" s="7">
        <f t="shared" si="2465"/>
        <v>220888.54549999998</v>
      </c>
      <c r="Y463" s="7">
        <f t="shared" si="2465"/>
        <v>219719.82549999998</v>
      </c>
      <c r="Z463" s="7">
        <f t="shared" si="2465"/>
        <v>218551.10549999998</v>
      </c>
      <c r="AA463" s="7"/>
      <c r="AB463" s="7"/>
      <c r="AC463" s="7">
        <f t="shared" si="2505"/>
        <v>14024.639999999998</v>
      </c>
      <c r="AD463" s="7">
        <f t="shared" si="2506"/>
        <v>217382.38549999997</v>
      </c>
      <c r="AE463" s="7">
        <f t="shared" si="2466"/>
        <v>216213.66549999997</v>
      </c>
      <c r="AF463" s="7">
        <f t="shared" si="2466"/>
        <v>215044.94549999997</v>
      </c>
      <c r="AG463" s="7">
        <f t="shared" si="2466"/>
        <v>213876.22549999997</v>
      </c>
      <c r="AH463" s="7">
        <f t="shared" si="2466"/>
        <v>212707.50549999997</v>
      </c>
      <c r="AI463" s="7">
        <f t="shared" si="2466"/>
        <v>211538.78549999997</v>
      </c>
      <c r="AJ463" s="7">
        <f t="shared" si="2466"/>
        <v>210370.06549999997</v>
      </c>
      <c r="AK463" s="7">
        <f t="shared" si="2466"/>
        <v>209201.34549999997</v>
      </c>
      <c r="AL463" s="7">
        <f t="shared" si="2466"/>
        <v>208032.62549999997</v>
      </c>
      <c r="AM463" s="7">
        <f t="shared" si="2466"/>
        <v>206863.90549999996</v>
      </c>
      <c r="AN463" s="7">
        <f t="shared" si="2466"/>
        <v>205695.18549999996</v>
      </c>
      <c r="AO463" s="7">
        <f t="shared" si="2466"/>
        <v>204526.46549999996</v>
      </c>
      <c r="AP463" s="222"/>
      <c r="AQ463" s="7">
        <v>1168.7199999999998</v>
      </c>
      <c r="AR463" s="7">
        <f t="shared" si="2507"/>
        <v>1168.7200000000012</v>
      </c>
      <c r="AS463" s="7">
        <f t="shared" si="2508"/>
        <v>0</v>
      </c>
      <c r="AT463" s="7">
        <f t="shared" si="2467"/>
        <v>14024.639999999998</v>
      </c>
      <c r="AU463" s="7">
        <f t="shared" si="2468"/>
        <v>203357.74549999996</v>
      </c>
      <c r="AV463" s="7">
        <f t="shared" si="2469"/>
        <v>202189.02549999996</v>
      </c>
      <c r="AW463" s="7">
        <f t="shared" si="2469"/>
        <v>201020.30549999996</v>
      </c>
      <c r="AX463" s="7">
        <f t="shared" si="2469"/>
        <v>199851.58549999996</v>
      </c>
      <c r="AY463" s="7">
        <f t="shared" si="2469"/>
        <v>198682.86549999996</v>
      </c>
      <c r="AZ463" s="7">
        <f t="shared" si="2469"/>
        <v>197514.14549999996</v>
      </c>
      <c r="BA463" s="7">
        <f t="shared" si="2469"/>
        <v>196345.42549999995</v>
      </c>
      <c r="BB463" s="7">
        <f t="shared" si="2469"/>
        <v>195176.70549999995</v>
      </c>
      <c r="BC463" s="7">
        <f t="shared" si="2469"/>
        <v>194007.98549999995</v>
      </c>
      <c r="BD463" s="7">
        <f t="shared" si="2469"/>
        <v>192839.26549999995</v>
      </c>
      <c r="BE463" s="7">
        <f t="shared" si="2469"/>
        <v>191670.54549999995</v>
      </c>
      <c r="BF463" s="7">
        <f t="shared" si="2469"/>
        <v>190501.82549999995</v>
      </c>
      <c r="BG463" s="236">
        <f t="shared" si="2503"/>
        <v>0</v>
      </c>
      <c r="BH463" s="7">
        <v>1168.7199999999998</v>
      </c>
      <c r="BI463" s="39">
        <f>BH463*12</f>
        <v>14024.639999999998</v>
      </c>
      <c r="BJ463" s="7">
        <f>BF463-BH463</f>
        <v>189333.10549999995</v>
      </c>
      <c r="BK463" s="7">
        <f t="shared" si="2470"/>
        <v>188164.38549999995</v>
      </c>
      <c r="BL463" s="7">
        <f t="shared" si="2471"/>
        <v>186995.66549999994</v>
      </c>
      <c r="BM463" s="7">
        <f t="shared" si="2472"/>
        <v>185826.94549999994</v>
      </c>
      <c r="BN463" s="7">
        <f t="shared" si="2473"/>
        <v>184658.22549999994</v>
      </c>
      <c r="BO463" s="7">
        <f t="shared" si="2538"/>
        <v>183489.50549999994</v>
      </c>
      <c r="BP463" s="7">
        <f t="shared" si="2539"/>
        <v>182320.78549999994</v>
      </c>
      <c r="BQ463" s="7">
        <f t="shared" si="2540"/>
        <v>181152.06549999994</v>
      </c>
      <c r="BR463" s="7">
        <f t="shared" si="2541"/>
        <v>179983.34549999994</v>
      </c>
      <c r="BS463" s="7">
        <f t="shared" si="2542"/>
        <v>178814.62549999994</v>
      </c>
      <c r="BT463" s="7">
        <f t="shared" si="2543"/>
        <v>177645.90549999994</v>
      </c>
      <c r="BU463" s="7">
        <f t="shared" si="2544"/>
        <v>176477.18549999993</v>
      </c>
      <c r="BV463" s="236">
        <v>0</v>
      </c>
      <c r="BW463" s="7">
        <v>1168.7199999999998</v>
      </c>
      <c r="BX463" s="39">
        <f>BW463*12</f>
        <v>14024.639999999998</v>
      </c>
      <c r="BY463" s="7">
        <f>BU463-BW463</f>
        <v>175308.46549999993</v>
      </c>
      <c r="BZ463" s="7">
        <f t="shared" si="2545"/>
        <v>174139.74549999993</v>
      </c>
      <c r="CA463" s="7">
        <f t="shared" si="2546"/>
        <v>172971.02549999993</v>
      </c>
      <c r="CB463" s="7">
        <f t="shared" si="2547"/>
        <v>171802.30549999993</v>
      </c>
      <c r="CC463" s="7">
        <f t="shared" si="2548"/>
        <v>170633.58549999993</v>
      </c>
      <c r="CD463" s="7">
        <f t="shared" si="2549"/>
        <v>169464.86549999993</v>
      </c>
      <c r="CE463" s="7">
        <f t="shared" si="2550"/>
        <v>168296.14549999993</v>
      </c>
      <c r="CF463" s="7">
        <f t="shared" si="2551"/>
        <v>167127.42549999992</v>
      </c>
      <c r="CG463" s="7">
        <f t="shared" si="2552"/>
        <v>165958.70549999992</v>
      </c>
      <c r="CH463" s="7">
        <f t="shared" si="2553"/>
        <v>164789.98549999992</v>
      </c>
      <c r="CI463" s="7">
        <f t="shared" si="2554"/>
        <v>163621.26549999992</v>
      </c>
      <c r="CJ463" s="7">
        <f t="shared" si="2555"/>
        <v>162452.54549999992</v>
      </c>
      <c r="CK463" s="236">
        <v>0</v>
      </c>
      <c r="CL463" s="7">
        <v>1168.7199999999998</v>
      </c>
      <c r="CM463" s="39">
        <f>CL463*12</f>
        <v>14024.639999999998</v>
      </c>
      <c r="CN463" s="7">
        <f>CJ463-CL463</f>
        <v>161283.82549999992</v>
      </c>
      <c r="CO463" s="7">
        <f t="shared" si="2556"/>
        <v>160115.10549999992</v>
      </c>
      <c r="CP463" s="7">
        <f t="shared" si="2557"/>
        <v>158946.38549999992</v>
      </c>
      <c r="CQ463" s="7">
        <f t="shared" si="2558"/>
        <v>157777.66549999992</v>
      </c>
      <c r="CR463" s="7">
        <f t="shared" si="2559"/>
        <v>156608.94549999991</v>
      </c>
      <c r="CS463" s="7">
        <f t="shared" si="2560"/>
        <v>155440.22549999991</v>
      </c>
      <c r="CT463" s="7">
        <f t="shared" si="2561"/>
        <v>154271.50549999991</v>
      </c>
      <c r="CU463" s="7">
        <f t="shared" si="2562"/>
        <v>153102.78549999991</v>
      </c>
      <c r="CV463" s="7">
        <f t="shared" si="2563"/>
        <v>151934.06549999991</v>
      </c>
      <c r="CW463" s="7">
        <f t="shared" si="2564"/>
        <v>150765.34549999991</v>
      </c>
      <c r="CX463" s="7">
        <f t="shared" si="2565"/>
        <v>149596.62549999991</v>
      </c>
      <c r="CY463" s="7">
        <f t="shared" si="2566"/>
        <v>148427.90549999991</v>
      </c>
      <c r="CZ463" s="236">
        <v>0</v>
      </c>
    </row>
    <row r="464" spans="1:104" x14ac:dyDescent="0.2">
      <c r="A464" s="6" t="str">
        <f>'[1]2021 УГРЦТ'!A467</f>
        <v>Трансформатор ТМГ-63/6-0,4 №1461186 2001г.в.</v>
      </c>
      <c r="B464" t="str">
        <f>'[1]2021 УГРЦТ'!B467</f>
        <v>00000448</v>
      </c>
      <c r="C464" t="str">
        <f>'[1]2021 УГРЦТ'!C467</f>
        <v>ПЕРЕДАЧА</v>
      </c>
      <c r="D464" t="str">
        <f>'[1]2021 УГРЦТ'!D467</f>
        <v>Машины и оборудование (кроме офисного)</v>
      </c>
      <c r="E464" t="str">
        <f>'[1]2021 УГРЦТ'!E467</f>
        <v>28.02.2002</v>
      </c>
      <c r="F464" t="str">
        <f>'[1]2021 УГРЦТ'!F467</f>
        <v>Цех электрических сетей</v>
      </c>
      <c r="G464">
        <f>'[1]2021 УГРЦТ'!AC467</f>
        <v>238</v>
      </c>
      <c r="H464" s="7">
        <f>'[1]2021 УГРЦТ'!X467</f>
        <v>53333.33</v>
      </c>
      <c r="I464" s="7">
        <f>'[1]2021 УГРЦТ'!Y467</f>
        <v>53325.945462184878</v>
      </c>
      <c r="J464" s="7">
        <f>'[1]2021 УГРЦТ'!Z467</f>
        <v>7.3845378151236218</v>
      </c>
      <c r="K464" s="8">
        <v>0</v>
      </c>
      <c r="L464" s="7">
        <v>224.09</v>
      </c>
      <c r="M464" s="7"/>
      <c r="N464" s="7">
        <f>L464*12*0+7.38</f>
        <v>7.38</v>
      </c>
      <c r="O464" s="7">
        <f>J464-7.38</f>
        <v>4.5378151236219466E-3</v>
      </c>
      <c r="P464" s="7">
        <f>O464-$L464*0</f>
        <v>4.5378151236219466E-3</v>
      </c>
      <c r="Q464" s="7">
        <f t="shared" ref="Q464:Z464" si="2567">P464-$L464*0</f>
        <v>4.5378151236219466E-3</v>
      </c>
      <c r="R464" s="7">
        <f t="shared" si="2567"/>
        <v>4.5378151236219466E-3</v>
      </c>
      <c r="S464" s="7">
        <f t="shared" si="2567"/>
        <v>4.5378151236219466E-3</v>
      </c>
      <c r="T464" s="7">
        <f t="shared" si="2567"/>
        <v>4.5378151236219466E-3</v>
      </c>
      <c r="U464" s="7">
        <f t="shared" si="2567"/>
        <v>4.5378151236219466E-3</v>
      </c>
      <c r="V464" s="7">
        <f t="shared" si="2567"/>
        <v>4.5378151236219466E-3</v>
      </c>
      <c r="W464" s="7">
        <f t="shared" si="2567"/>
        <v>4.5378151236219466E-3</v>
      </c>
      <c r="X464" s="7">
        <f t="shared" si="2567"/>
        <v>4.5378151236219466E-3</v>
      </c>
      <c r="Y464" s="7">
        <f t="shared" si="2567"/>
        <v>4.5378151236219466E-3</v>
      </c>
      <c r="Z464" s="7">
        <f t="shared" si="2567"/>
        <v>4.5378151236219466E-3</v>
      </c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222"/>
      <c r="AQ464" s="7">
        <v>224.09</v>
      </c>
      <c r="AR464" s="7"/>
      <c r="AS464" s="7"/>
      <c r="BG464" s="236">
        <f t="shared" si="2503"/>
        <v>0</v>
      </c>
      <c r="BH464" s="7">
        <v>224.09</v>
      </c>
      <c r="BV464" s="236">
        <f>IF(Z464&lt;1,0,SUM(BJ464:BU464,BF464)/13*$BG$1)</f>
        <v>0</v>
      </c>
      <c r="BW464" s="7">
        <v>224.09</v>
      </c>
      <c r="CK464" s="236">
        <f>IF(AO464&lt;1,0,SUM(BY464:CJ464,BU464)/13*$BG$1)</f>
        <v>0</v>
      </c>
      <c r="CL464" s="7">
        <v>224.09</v>
      </c>
      <c r="CZ464" s="236">
        <f>IF(BF464&lt;1,0,SUM(CN464:CY464,CJ464)/13*$BG$1)</f>
        <v>0</v>
      </c>
    </row>
    <row r="465" spans="1:104" x14ac:dyDescent="0.2">
      <c r="A465" s="6" t="str">
        <f>'[1]2021 УГРЦТ'!A468</f>
        <v>Трансформатор трёхфазный 35 кВ мощностью 1000 кВ А</v>
      </c>
      <c r="B465" t="str">
        <f>'[1]2021 УГРЦТ'!B468</f>
        <v>000001752</v>
      </c>
      <c r="C465" t="str">
        <f>'[1]2021 УГРЦТ'!C468</f>
        <v>ПЕРЕДАЧА</v>
      </c>
      <c r="D465" t="str">
        <f>'[1]2021 УГРЦТ'!D468</f>
        <v>Машины и оборудование (кроме офисного)</v>
      </c>
      <c r="E465" t="str">
        <f>'[1]2021 УГРЦТ'!E468</f>
        <v>07.11.2018</v>
      </c>
      <c r="F465" t="str">
        <f>'[1]2021 УГРЦТ'!F468</f>
        <v>Цех электрических сетей</v>
      </c>
      <c r="G465">
        <f>'[1]2021 УГРЦТ'!AC468</f>
        <v>202</v>
      </c>
      <c r="H465" s="7">
        <f>'[1]2021 УГРЦТ'!X468</f>
        <v>3772577.57</v>
      </c>
      <c r="I465" s="7">
        <f>'[1]2021 УГРЦТ'!Y468</f>
        <v>691016.76900990098</v>
      </c>
      <c r="J465" s="7">
        <f>'[1]2021 УГРЦТ'!Z468</f>
        <v>3081560.8009900991</v>
      </c>
      <c r="K465" s="8">
        <v>0</v>
      </c>
      <c r="L465" s="7">
        <v>18676.13</v>
      </c>
      <c r="M465" s="7"/>
      <c r="N465" s="7">
        <f t="shared" si="2270"/>
        <v>224113.56</v>
      </c>
      <c r="O465" s="7">
        <f t="shared" si="2504"/>
        <v>3062884.6709900992</v>
      </c>
      <c r="P465" s="7">
        <f t="shared" ref="P465:Z480" si="2568">O465-$L465</f>
        <v>3044208.5409900993</v>
      </c>
      <c r="Q465" s="7">
        <f t="shared" si="2568"/>
        <v>3025532.4109900994</v>
      </c>
      <c r="R465" s="7">
        <f t="shared" si="2568"/>
        <v>3006856.2809900995</v>
      </c>
      <c r="S465" s="7">
        <f t="shared" si="2568"/>
        <v>2988180.1509900996</v>
      </c>
      <c r="T465" s="7">
        <f t="shared" si="2568"/>
        <v>2969504.0209900998</v>
      </c>
      <c r="U465" s="7">
        <f t="shared" si="2568"/>
        <v>2950827.8909900999</v>
      </c>
      <c r="V465" s="7">
        <f t="shared" si="2568"/>
        <v>2932151.7609901</v>
      </c>
      <c r="W465" s="7">
        <f t="shared" si="2568"/>
        <v>2913475.6309901001</v>
      </c>
      <c r="X465" s="7">
        <f t="shared" si="2568"/>
        <v>2894799.5009901002</v>
      </c>
      <c r="Y465" s="7">
        <f t="shared" si="2568"/>
        <v>2876123.3709901003</v>
      </c>
      <c r="Z465" s="7">
        <f t="shared" si="2568"/>
        <v>2857447.2409901004</v>
      </c>
      <c r="AA465" s="7"/>
      <c r="AB465" s="7"/>
      <c r="AC465" s="7">
        <f t="shared" si="2505"/>
        <v>224113.56</v>
      </c>
      <c r="AD465" s="7">
        <f t="shared" si="2506"/>
        <v>2838771.1109901005</v>
      </c>
      <c r="AE465" s="7">
        <f t="shared" ref="AE465:AO480" si="2569">AD465-$L465</f>
        <v>2820094.9809901007</v>
      </c>
      <c r="AF465" s="7">
        <f t="shared" si="2569"/>
        <v>2801418.8509901008</v>
      </c>
      <c r="AG465" s="7">
        <f t="shared" si="2569"/>
        <v>2782742.7209901009</v>
      </c>
      <c r="AH465" s="7">
        <f t="shared" si="2569"/>
        <v>2764066.590990101</v>
      </c>
      <c r="AI465" s="7">
        <f t="shared" si="2569"/>
        <v>2745390.4609901011</v>
      </c>
      <c r="AJ465" s="7">
        <f t="shared" si="2569"/>
        <v>2726714.3309901012</v>
      </c>
      <c r="AK465" s="7">
        <f t="shared" si="2569"/>
        <v>2708038.2009901013</v>
      </c>
      <c r="AL465" s="7">
        <f t="shared" si="2569"/>
        <v>2689362.0709901014</v>
      </c>
      <c r="AM465" s="7">
        <f t="shared" si="2569"/>
        <v>2670685.9409901015</v>
      </c>
      <c r="AN465" s="7">
        <f t="shared" si="2569"/>
        <v>2652009.8109901017</v>
      </c>
      <c r="AO465" s="7">
        <f t="shared" si="2569"/>
        <v>2633333.6809901018</v>
      </c>
      <c r="AP465" s="222"/>
      <c r="AQ465" s="7">
        <v>18676.13</v>
      </c>
      <c r="AR465" s="7">
        <f t="shared" si="2507"/>
        <v>18676.129999999888</v>
      </c>
      <c r="AS465" s="7">
        <f t="shared" si="2508"/>
        <v>-1.127773430198431E-10</v>
      </c>
      <c r="AT465" s="7">
        <f t="shared" ref="AT465:AT488" si="2570">L465*12</f>
        <v>224113.56</v>
      </c>
      <c r="AU465" s="7">
        <f t="shared" ref="AU465:AU488" si="2571">AO465-$L465</f>
        <v>2614657.5509901019</v>
      </c>
      <c r="AV465" s="7">
        <f t="shared" ref="AV465:BF480" si="2572">AU465-$L465</f>
        <v>2595981.420990102</v>
      </c>
      <c r="AW465" s="7">
        <f t="shared" si="2572"/>
        <v>2577305.2909901021</v>
      </c>
      <c r="AX465" s="7">
        <f t="shared" si="2572"/>
        <v>2558629.1609901022</v>
      </c>
      <c r="AY465" s="7">
        <f t="shared" si="2572"/>
        <v>2539953.0309901023</v>
      </c>
      <c r="AZ465" s="7">
        <f t="shared" si="2572"/>
        <v>2521276.9009901024</v>
      </c>
      <c r="BA465" s="7">
        <f t="shared" si="2572"/>
        <v>2502600.7709901026</v>
      </c>
      <c r="BB465" s="7">
        <f t="shared" si="2572"/>
        <v>2483924.6409901027</v>
      </c>
      <c r="BC465" s="7">
        <f t="shared" si="2572"/>
        <v>2465248.5109901028</v>
      </c>
      <c r="BD465" s="7">
        <f t="shared" si="2572"/>
        <v>2446572.3809901029</v>
      </c>
      <c r="BE465" s="7">
        <f t="shared" si="2572"/>
        <v>2427896.250990103</v>
      </c>
      <c r="BF465" s="7">
        <f t="shared" si="2572"/>
        <v>2409220.1209901031</v>
      </c>
      <c r="BG465" s="236">
        <f t="shared" si="2503"/>
        <v>0</v>
      </c>
      <c r="BH465" s="7">
        <v>18676.13</v>
      </c>
      <c r="BI465" s="39">
        <f>BH465*12</f>
        <v>224113.56</v>
      </c>
      <c r="BJ465" s="7">
        <f>BF465-BH465</f>
        <v>2390543.9909901032</v>
      </c>
      <c r="BK465" s="7">
        <f t="shared" ref="BK465:BK488" si="2573">BJ465-$L465</f>
        <v>2371867.8609901033</v>
      </c>
      <c r="BL465" s="7">
        <f t="shared" ref="BL465:BL488" si="2574">BK465-$L465</f>
        <v>2353191.7309901034</v>
      </c>
      <c r="BM465" s="7">
        <f t="shared" ref="BM465:BM488" si="2575">BL465-$L465</f>
        <v>2334515.6009901036</v>
      </c>
      <c r="BN465" s="7">
        <f t="shared" ref="BN465:BN488" si="2576">BM465-$L465</f>
        <v>2315839.4709901037</v>
      </c>
      <c r="BO465" s="7">
        <f t="shared" ref="BO465:BO488" si="2577">BN465-$L465</f>
        <v>2297163.3409901038</v>
      </c>
      <c r="BP465" s="7">
        <f t="shared" ref="BP465:BP488" si="2578">BO465-$L465</f>
        <v>2278487.2109901039</v>
      </c>
      <c r="BQ465" s="7">
        <f t="shared" ref="BQ465:BQ482" si="2579">BP465-$L465</f>
        <v>2259811.080990104</v>
      </c>
      <c r="BR465" s="7">
        <f t="shared" ref="BR465:BR482" si="2580">BQ465-$L465</f>
        <v>2241134.9509901041</v>
      </c>
      <c r="BS465" s="7">
        <f t="shared" ref="BS465:BS482" si="2581">BR465-$L465</f>
        <v>2222458.8209901042</v>
      </c>
      <c r="BT465" s="7">
        <f t="shared" ref="BT465:BT468" si="2582">BS465-$L465</f>
        <v>2203782.6909901043</v>
      </c>
      <c r="BU465" s="7">
        <f t="shared" ref="BU465:BU468" si="2583">BT465-$L465</f>
        <v>2185106.5609901045</v>
      </c>
      <c r="BV465" s="236">
        <v>0</v>
      </c>
      <c r="BW465" s="7">
        <v>18676.13</v>
      </c>
      <c r="BX465" s="39">
        <f>BW465*12</f>
        <v>224113.56</v>
      </c>
      <c r="BY465" s="7">
        <f>BU465-BW465</f>
        <v>2166430.4309901046</v>
      </c>
      <c r="BZ465" s="7">
        <f t="shared" ref="BZ465:BZ468" si="2584">BY465-$L465</f>
        <v>2147754.3009901047</v>
      </c>
      <c r="CA465" s="7">
        <f t="shared" ref="CA465:CA468" si="2585">BZ465-$L465</f>
        <v>2129078.1709901048</v>
      </c>
      <c r="CB465" s="7">
        <f t="shared" ref="CB465:CB468" si="2586">CA465-$L465</f>
        <v>2110402.0409901049</v>
      </c>
      <c r="CC465" s="7">
        <f t="shared" ref="CC465:CC468" si="2587">CB465-$L465</f>
        <v>2091725.910990105</v>
      </c>
      <c r="CD465" s="7">
        <f t="shared" ref="CD465:CD468" si="2588">CC465-$L465</f>
        <v>2073049.7809901051</v>
      </c>
      <c r="CE465" s="7">
        <f t="shared" ref="CE465:CE468" si="2589">CD465-$L465</f>
        <v>2054373.6509901052</v>
      </c>
      <c r="CF465" s="7">
        <f t="shared" ref="CF465:CF468" si="2590">CE465-$L465</f>
        <v>2035697.5209901053</v>
      </c>
      <c r="CG465" s="7">
        <f t="shared" ref="CG465:CG468" si="2591">CF465-$L465</f>
        <v>2017021.3909901055</v>
      </c>
      <c r="CH465" s="7">
        <f t="shared" ref="CH465:CH468" si="2592">CG465-$L465</f>
        <v>1998345.2609901056</v>
      </c>
      <c r="CI465" s="7">
        <f t="shared" ref="CI465:CI468" si="2593">CH465-$L465</f>
        <v>1979669.1309901057</v>
      </c>
      <c r="CJ465" s="7">
        <f t="shared" ref="CJ465:CJ468" si="2594">CI465-$L465</f>
        <v>1960993.0009901058</v>
      </c>
      <c r="CK465" s="236">
        <v>0</v>
      </c>
      <c r="CL465" s="7">
        <v>18676.13</v>
      </c>
      <c r="CM465" s="39">
        <f>CL465*12</f>
        <v>224113.56</v>
      </c>
      <c r="CN465" s="7">
        <f>CJ465-CL465</f>
        <v>1942316.8709901059</v>
      </c>
      <c r="CO465" s="7">
        <f t="shared" ref="CO465:CO468" si="2595">CN465-$L465</f>
        <v>1923640.740990106</v>
      </c>
      <c r="CP465" s="7">
        <f t="shared" ref="CP465:CP468" si="2596">CO465-$L465</f>
        <v>1904964.6109901061</v>
      </c>
      <c r="CQ465" s="7">
        <f t="shared" ref="CQ465:CQ468" si="2597">CP465-$L465</f>
        <v>1886288.4809901062</v>
      </c>
      <c r="CR465" s="7">
        <f t="shared" ref="CR465:CR468" si="2598">CQ465-$L465</f>
        <v>1867612.3509901064</v>
      </c>
      <c r="CS465" s="7">
        <f t="shared" ref="CS465:CS468" si="2599">CR465-$L465</f>
        <v>1848936.2209901065</v>
      </c>
      <c r="CT465" s="7">
        <f t="shared" ref="CT465:CT468" si="2600">CS465-$L465</f>
        <v>1830260.0909901066</v>
      </c>
      <c r="CU465" s="7">
        <f t="shared" ref="CU465:CU468" si="2601">CT465-$L465</f>
        <v>1811583.9609901067</v>
      </c>
      <c r="CV465" s="7">
        <f t="shared" ref="CV465:CV468" si="2602">CU465-$L465</f>
        <v>1792907.8309901068</v>
      </c>
      <c r="CW465" s="7">
        <f t="shared" ref="CW465:CW468" si="2603">CV465-$L465</f>
        <v>1774231.7009901069</v>
      </c>
      <c r="CX465" s="7">
        <f t="shared" ref="CX465:CX468" si="2604">CW465-$L465</f>
        <v>1755555.570990107</v>
      </c>
      <c r="CY465" s="7">
        <f t="shared" ref="CY465:CY468" si="2605">CX465-$L465</f>
        <v>1736879.4409901071</v>
      </c>
      <c r="CZ465" s="236">
        <v>0</v>
      </c>
    </row>
    <row r="466" spans="1:104" x14ac:dyDescent="0.2">
      <c r="A466" s="6" t="str">
        <f>'[1]2021 УГРЦТ'!A469</f>
        <v>Трансформатор трёхфазный 35 кВ мощностью 1000 кВ А</v>
      </c>
      <c r="B466" t="str">
        <f>'[1]2021 УГРЦТ'!B469</f>
        <v>000001753</v>
      </c>
      <c r="C466" t="str">
        <f>'[1]2021 УГРЦТ'!C469</f>
        <v>ПЕРЕДАЧА</v>
      </c>
      <c r="D466" t="str">
        <f>'[1]2021 УГРЦТ'!D469</f>
        <v>Машины и оборудование (кроме офисного)</v>
      </c>
      <c r="E466" t="str">
        <f>'[1]2021 УГРЦТ'!E469</f>
        <v>07.11.2018</v>
      </c>
      <c r="F466" t="str">
        <f>'[1]2021 УГРЦТ'!F469</f>
        <v>Цех электрических сетей</v>
      </c>
      <c r="G466">
        <f>'[1]2021 УГРЦТ'!AC469</f>
        <v>202</v>
      </c>
      <c r="H466" s="7">
        <f>'[1]2021 УГРЦТ'!X469</f>
        <v>3772577.57</v>
      </c>
      <c r="I466" s="7">
        <f>'[1]2021 УГРЦТ'!Y469</f>
        <v>691016.76900990098</v>
      </c>
      <c r="J466" s="7">
        <f>'[1]2021 УГРЦТ'!Z469</f>
        <v>3081560.8009900991</v>
      </c>
      <c r="K466" s="8">
        <v>0</v>
      </c>
      <c r="L466" s="7">
        <v>18676.13</v>
      </c>
      <c r="M466" s="7"/>
      <c r="N466" s="7">
        <f t="shared" si="2270"/>
        <v>224113.56</v>
      </c>
      <c r="O466" s="7">
        <f t="shared" si="2504"/>
        <v>3062884.6709900992</v>
      </c>
      <c r="P466" s="7">
        <f t="shared" si="2568"/>
        <v>3044208.5409900993</v>
      </c>
      <c r="Q466" s="7">
        <f t="shared" si="2568"/>
        <v>3025532.4109900994</v>
      </c>
      <c r="R466" s="7">
        <f t="shared" si="2568"/>
        <v>3006856.2809900995</v>
      </c>
      <c r="S466" s="7">
        <f t="shared" si="2568"/>
        <v>2988180.1509900996</v>
      </c>
      <c r="T466" s="7">
        <f t="shared" si="2568"/>
        <v>2969504.0209900998</v>
      </c>
      <c r="U466" s="7">
        <f t="shared" si="2568"/>
        <v>2950827.8909900999</v>
      </c>
      <c r="V466" s="7">
        <f t="shared" si="2568"/>
        <v>2932151.7609901</v>
      </c>
      <c r="W466" s="7">
        <f t="shared" si="2568"/>
        <v>2913475.6309901001</v>
      </c>
      <c r="X466" s="7">
        <f t="shared" si="2568"/>
        <v>2894799.5009901002</v>
      </c>
      <c r="Y466" s="7">
        <f t="shared" si="2568"/>
        <v>2876123.3709901003</v>
      </c>
      <c r="Z466" s="7">
        <f t="shared" si="2568"/>
        <v>2857447.2409901004</v>
      </c>
      <c r="AA466" s="7"/>
      <c r="AB466" s="7"/>
      <c r="AC466" s="7">
        <f t="shared" si="2505"/>
        <v>224113.56</v>
      </c>
      <c r="AD466" s="7">
        <f t="shared" si="2506"/>
        <v>2838771.1109901005</v>
      </c>
      <c r="AE466" s="7">
        <f t="shared" si="2569"/>
        <v>2820094.9809901007</v>
      </c>
      <c r="AF466" s="7">
        <f t="shared" si="2569"/>
        <v>2801418.8509901008</v>
      </c>
      <c r="AG466" s="7">
        <f t="shared" si="2569"/>
        <v>2782742.7209901009</v>
      </c>
      <c r="AH466" s="7">
        <f t="shared" si="2569"/>
        <v>2764066.590990101</v>
      </c>
      <c r="AI466" s="7">
        <f t="shared" si="2569"/>
        <v>2745390.4609901011</v>
      </c>
      <c r="AJ466" s="7">
        <f t="shared" si="2569"/>
        <v>2726714.3309901012</v>
      </c>
      <c r="AK466" s="7">
        <f t="shared" si="2569"/>
        <v>2708038.2009901013</v>
      </c>
      <c r="AL466" s="7">
        <f t="shared" si="2569"/>
        <v>2689362.0709901014</v>
      </c>
      <c r="AM466" s="7">
        <f t="shared" si="2569"/>
        <v>2670685.9409901015</v>
      </c>
      <c r="AN466" s="7">
        <f t="shared" si="2569"/>
        <v>2652009.8109901017</v>
      </c>
      <c r="AO466" s="7">
        <f t="shared" si="2569"/>
        <v>2633333.6809901018</v>
      </c>
      <c r="AP466" s="222"/>
      <c r="AQ466" s="7">
        <v>18676.13</v>
      </c>
      <c r="AR466" s="7">
        <f t="shared" si="2507"/>
        <v>18676.129999999888</v>
      </c>
      <c r="AS466" s="7">
        <f t="shared" si="2508"/>
        <v>-1.127773430198431E-10</v>
      </c>
      <c r="AT466" s="7">
        <f t="shared" si="2570"/>
        <v>224113.56</v>
      </c>
      <c r="AU466" s="7">
        <f t="shared" si="2571"/>
        <v>2614657.5509901019</v>
      </c>
      <c r="AV466" s="7">
        <f t="shared" si="2572"/>
        <v>2595981.420990102</v>
      </c>
      <c r="AW466" s="7">
        <f t="shared" si="2572"/>
        <v>2577305.2909901021</v>
      </c>
      <c r="AX466" s="7">
        <f t="shared" si="2572"/>
        <v>2558629.1609901022</v>
      </c>
      <c r="AY466" s="7">
        <f t="shared" si="2572"/>
        <v>2539953.0309901023</v>
      </c>
      <c r="AZ466" s="7">
        <f t="shared" si="2572"/>
        <v>2521276.9009901024</v>
      </c>
      <c r="BA466" s="7">
        <f t="shared" si="2572"/>
        <v>2502600.7709901026</v>
      </c>
      <c r="BB466" s="7">
        <f t="shared" si="2572"/>
        <v>2483924.6409901027</v>
      </c>
      <c r="BC466" s="7">
        <f t="shared" si="2572"/>
        <v>2465248.5109901028</v>
      </c>
      <c r="BD466" s="7">
        <f t="shared" si="2572"/>
        <v>2446572.3809901029</v>
      </c>
      <c r="BE466" s="7">
        <f t="shared" si="2572"/>
        <v>2427896.250990103</v>
      </c>
      <c r="BF466" s="7">
        <f t="shared" si="2572"/>
        <v>2409220.1209901031</v>
      </c>
      <c r="BG466" s="236">
        <f t="shared" si="2503"/>
        <v>0</v>
      </c>
      <c r="BH466" s="7">
        <v>18676.13</v>
      </c>
      <c r="BI466" s="39">
        <f>BH466*12</f>
        <v>224113.56</v>
      </c>
      <c r="BJ466" s="7">
        <f>BF466-BH466</f>
        <v>2390543.9909901032</v>
      </c>
      <c r="BK466" s="7">
        <f t="shared" si="2573"/>
        <v>2371867.8609901033</v>
      </c>
      <c r="BL466" s="7">
        <f t="shared" si="2574"/>
        <v>2353191.7309901034</v>
      </c>
      <c r="BM466" s="7">
        <f t="shared" si="2575"/>
        <v>2334515.6009901036</v>
      </c>
      <c r="BN466" s="7">
        <f t="shared" si="2576"/>
        <v>2315839.4709901037</v>
      </c>
      <c r="BO466" s="7">
        <f t="shared" si="2577"/>
        <v>2297163.3409901038</v>
      </c>
      <c r="BP466" s="7">
        <f t="shared" si="2578"/>
        <v>2278487.2109901039</v>
      </c>
      <c r="BQ466" s="7">
        <f t="shared" si="2579"/>
        <v>2259811.080990104</v>
      </c>
      <c r="BR466" s="7">
        <f t="shared" si="2580"/>
        <v>2241134.9509901041</v>
      </c>
      <c r="BS466" s="7">
        <f t="shared" si="2581"/>
        <v>2222458.8209901042</v>
      </c>
      <c r="BT466" s="7">
        <f t="shared" si="2582"/>
        <v>2203782.6909901043</v>
      </c>
      <c r="BU466" s="7">
        <f t="shared" si="2583"/>
        <v>2185106.5609901045</v>
      </c>
      <c r="BV466" s="236">
        <v>0</v>
      </c>
      <c r="BW466" s="7">
        <v>18676.13</v>
      </c>
      <c r="BX466" s="39">
        <f>BW466*12</f>
        <v>224113.56</v>
      </c>
      <c r="BY466" s="7">
        <f>BU466-BW466</f>
        <v>2166430.4309901046</v>
      </c>
      <c r="BZ466" s="7">
        <f t="shared" si="2584"/>
        <v>2147754.3009901047</v>
      </c>
      <c r="CA466" s="7">
        <f t="shared" si="2585"/>
        <v>2129078.1709901048</v>
      </c>
      <c r="CB466" s="7">
        <f t="shared" si="2586"/>
        <v>2110402.0409901049</v>
      </c>
      <c r="CC466" s="7">
        <f t="shared" si="2587"/>
        <v>2091725.910990105</v>
      </c>
      <c r="CD466" s="7">
        <f t="shared" si="2588"/>
        <v>2073049.7809901051</v>
      </c>
      <c r="CE466" s="7">
        <f t="shared" si="2589"/>
        <v>2054373.6509901052</v>
      </c>
      <c r="CF466" s="7">
        <f t="shared" si="2590"/>
        <v>2035697.5209901053</v>
      </c>
      <c r="CG466" s="7">
        <f t="shared" si="2591"/>
        <v>2017021.3909901055</v>
      </c>
      <c r="CH466" s="7">
        <f t="shared" si="2592"/>
        <v>1998345.2609901056</v>
      </c>
      <c r="CI466" s="7">
        <f t="shared" si="2593"/>
        <v>1979669.1309901057</v>
      </c>
      <c r="CJ466" s="7">
        <f t="shared" si="2594"/>
        <v>1960993.0009901058</v>
      </c>
      <c r="CK466" s="236">
        <v>0</v>
      </c>
      <c r="CL466" s="7">
        <v>18676.13</v>
      </c>
      <c r="CM466" s="39">
        <f>CL466*12</f>
        <v>224113.56</v>
      </c>
      <c r="CN466" s="7">
        <f>CJ466-CL466</f>
        <v>1942316.8709901059</v>
      </c>
      <c r="CO466" s="7">
        <f t="shared" si="2595"/>
        <v>1923640.740990106</v>
      </c>
      <c r="CP466" s="7">
        <f t="shared" si="2596"/>
        <v>1904964.6109901061</v>
      </c>
      <c r="CQ466" s="7">
        <f t="shared" si="2597"/>
        <v>1886288.4809901062</v>
      </c>
      <c r="CR466" s="7">
        <f t="shared" si="2598"/>
        <v>1867612.3509901064</v>
      </c>
      <c r="CS466" s="7">
        <f t="shared" si="2599"/>
        <v>1848936.2209901065</v>
      </c>
      <c r="CT466" s="7">
        <f t="shared" si="2600"/>
        <v>1830260.0909901066</v>
      </c>
      <c r="CU466" s="7">
        <f t="shared" si="2601"/>
        <v>1811583.9609901067</v>
      </c>
      <c r="CV466" s="7">
        <f t="shared" si="2602"/>
        <v>1792907.8309901068</v>
      </c>
      <c r="CW466" s="7">
        <f t="shared" si="2603"/>
        <v>1774231.7009901069</v>
      </c>
      <c r="CX466" s="7">
        <f t="shared" si="2604"/>
        <v>1755555.570990107</v>
      </c>
      <c r="CY466" s="7">
        <f t="shared" si="2605"/>
        <v>1736879.4409901071</v>
      </c>
      <c r="CZ466" s="236">
        <v>0</v>
      </c>
    </row>
    <row r="467" spans="1:104" x14ac:dyDescent="0.2">
      <c r="A467" s="6" t="str">
        <f>'[1]2021 УГРЦТ'!A470</f>
        <v>Трансформаторная подстанция</v>
      </c>
      <c r="B467" s="16" t="str">
        <f>'[1]2021 УГРЦТ'!B470</f>
        <v>000001848</v>
      </c>
      <c r="C467" t="str">
        <f>'[1]2021 УГРЦТ'!C470</f>
        <v>ПЕРЕДАЧА</v>
      </c>
      <c r="D467" t="str">
        <f>'[1]2021 УГРЦТ'!D470</f>
        <v>Здания</v>
      </c>
      <c r="E467" t="str">
        <f>'[1]2021 УГРЦТ'!E470</f>
        <v>14.04.2021</v>
      </c>
      <c r="F467" t="str">
        <f>'[1]2021 УГРЦТ'!F470</f>
        <v>Цех электрических сетей</v>
      </c>
      <c r="G467">
        <f>'[1]2021 УГРЦТ'!AC470</f>
        <v>120</v>
      </c>
      <c r="H467" s="7">
        <f>'[1]2021 УГРЦТ'!X470</f>
        <v>1135845.03</v>
      </c>
      <c r="I467" s="7">
        <f>'[1]2021 УГРЦТ'!Y470</f>
        <v>75723.001999999993</v>
      </c>
      <c r="J467" s="7">
        <f>'[1]2021 УГРЦТ'!Z470</f>
        <v>1060122.0279999999</v>
      </c>
      <c r="K467" s="8">
        <v>1</v>
      </c>
      <c r="L467" s="7">
        <v>9465.3799999999992</v>
      </c>
      <c r="M467" s="7"/>
      <c r="N467" s="7">
        <f t="shared" si="2270"/>
        <v>113584.56</v>
      </c>
      <c r="O467" s="7">
        <f t="shared" si="2504"/>
        <v>1050656.648</v>
      </c>
      <c r="P467" s="7">
        <f t="shared" si="2568"/>
        <v>1041191.268</v>
      </c>
      <c r="Q467" s="7">
        <f t="shared" si="2568"/>
        <v>1031725.888</v>
      </c>
      <c r="R467" s="7">
        <f t="shared" si="2568"/>
        <v>1022260.508</v>
      </c>
      <c r="S467" s="7">
        <f t="shared" si="2568"/>
        <v>1012795.128</v>
      </c>
      <c r="T467" s="7">
        <f t="shared" si="2568"/>
        <v>1003329.748</v>
      </c>
      <c r="U467" s="7">
        <f t="shared" si="2568"/>
        <v>993864.36800000002</v>
      </c>
      <c r="V467" s="7">
        <f t="shared" si="2568"/>
        <v>984398.98800000001</v>
      </c>
      <c r="W467" s="7">
        <f t="shared" si="2568"/>
        <v>974933.60800000001</v>
      </c>
      <c r="X467" s="7">
        <f t="shared" si="2568"/>
        <v>965468.228</v>
      </c>
      <c r="Y467" s="7">
        <f t="shared" si="2568"/>
        <v>956002.848</v>
      </c>
      <c r="Z467" s="7">
        <f t="shared" si="2568"/>
        <v>946537.46799999999</v>
      </c>
      <c r="AA467" s="7">
        <f t="shared" ref="AA467:AA476" si="2606">SUM(O467:Z467,J467)/13*$AA$1</f>
        <v>22073.254455999995</v>
      </c>
      <c r="AB467" s="7"/>
      <c r="AC467" s="7">
        <f t="shared" si="2505"/>
        <v>113584.56</v>
      </c>
      <c r="AD467" s="7">
        <f t="shared" si="2506"/>
        <v>937072.08799999999</v>
      </c>
      <c r="AE467" s="7">
        <f t="shared" si="2569"/>
        <v>927606.70799999998</v>
      </c>
      <c r="AF467" s="7">
        <f t="shared" si="2569"/>
        <v>918141.32799999998</v>
      </c>
      <c r="AG467" s="7">
        <f t="shared" si="2569"/>
        <v>908675.94799999997</v>
      </c>
      <c r="AH467" s="7">
        <f t="shared" si="2569"/>
        <v>899210.56799999997</v>
      </c>
      <c r="AI467" s="7">
        <f t="shared" si="2569"/>
        <v>889745.18799999997</v>
      </c>
      <c r="AJ467" s="7">
        <f t="shared" si="2569"/>
        <v>880279.80799999996</v>
      </c>
      <c r="AK467" s="7">
        <f t="shared" si="2569"/>
        <v>870814.42799999996</v>
      </c>
      <c r="AL467" s="7">
        <f t="shared" si="2569"/>
        <v>861349.04799999995</v>
      </c>
      <c r="AM467" s="7">
        <f t="shared" si="2569"/>
        <v>851883.66799999995</v>
      </c>
      <c r="AN467" s="7">
        <f t="shared" si="2569"/>
        <v>842418.28799999994</v>
      </c>
      <c r="AO467" s="7">
        <f t="shared" si="2569"/>
        <v>832952.90799999994</v>
      </c>
      <c r="AP467" s="222">
        <f t="shared" ref="AP467:AP476" si="2607">IF(K467&lt;1,0,SUM(AD467:AO467,Z467)/13*$BG$1)</f>
        <v>19574.394135999999</v>
      </c>
      <c r="AQ467" s="7">
        <v>9465.3799999999992</v>
      </c>
      <c r="AR467" s="7">
        <f t="shared" si="2507"/>
        <v>9465.3800000000047</v>
      </c>
      <c r="AS467" s="7">
        <f t="shared" si="2508"/>
        <v>0</v>
      </c>
      <c r="AT467" s="7">
        <f t="shared" si="2570"/>
        <v>113584.56</v>
      </c>
      <c r="AU467" s="7">
        <f t="shared" si="2571"/>
        <v>823487.52799999993</v>
      </c>
      <c r="AV467" s="7">
        <f t="shared" si="2572"/>
        <v>814022.14799999993</v>
      </c>
      <c r="AW467" s="7">
        <f t="shared" si="2572"/>
        <v>804556.76799999992</v>
      </c>
      <c r="AX467" s="7">
        <f t="shared" si="2572"/>
        <v>795091.38799999992</v>
      </c>
      <c r="AY467" s="7">
        <f t="shared" si="2572"/>
        <v>785626.00799999991</v>
      </c>
      <c r="AZ467" s="7">
        <f t="shared" si="2572"/>
        <v>776160.62799999991</v>
      </c>
      <c r="BA467" s="7">
        <f t="shared" si="2572"/>
        <v>766695.24799999991</v>
      </c>
      <c r="BB467" s="7">
        <f t="shared" si="2572"/>
        <v>757229.8679999999</v>
      </c>
      <c r="BC467" s="7">
        <f t="shared" si="2572"/>
        <v>747764.4879999999</v>
      </c>
      <c r="BD467" s="7">
        <f t="shared" si="2572"/>
        <v>738299.10799999989</v>
      </c>
      <c r="BE467" s="7">
        <f t="shared" si="2572"/>
        <v>728833.72799999989</v>
      </c>
      <c r="BF467" s="7">
        <f t="shared" si="2572"/>
        <v>719368.34799999988</v>
      </c>
      <c r="BG467" s="236">
        <f t="shared" si="2503"/>
        <v>17075.533815999996</v>
      </c>
      <c r="BH467" s="7">
        <v>9465.3799999999992</v>
      </c>
      <c r="BI467" s="39">
        <f>BH467*12</f>
        <v>113584.56</v>
      </c>
      <c r="BJ467" s="7">
        <f>BF467-BH467</f>
        <v>709902.96799999988</v>
      </c>
      <c r="BK467" s="7">
        <f t="shared" si="2573"/>
        <v>700437.58799999987</v>
      </c>
      <c r="BL467" s="7">
        <f t="shared" si="2574"/>
        <v>690972.20799999987</v>
      </c>
      <c r="BM467" s="7">
        <f t="shared" si="2575"/>
        <v>681506.82799999986</v>
      </c>
      <c r="BN467" s="7">
        <f t="shared" si="2576"/>
        <v>672041.44799999986</v>
      </c>
      <c r="BO467" s="7">
        <f t="shared" si="2577"/>
        <v>662576.06799999985</v>
      </c>
      <c r="BP467" s="7">
        <f t="shared" si="2578"/>
        <v>653110.68799999985</v>
      </c>
      <c r="BQ467" s="7">
        <f t="shared" si="2579"/>
        <v>643645.30799999984</v>
      </c>
      <c r="BR467" s="7">
        <f t="shared" si="2580"/>
        <v>634179.92799999984</v>
      </c>
      <c r="BS467" s="7">
        <f t="shared" si="2581"/>
        <v>624714.54799999984</v>
      </c>
      <c r="BT467" s="7">
        <f t="shared" si="2582"/>
        <v>615249.16799999983</v>
      </c>
      <c r="BU467" s="7">
        <f t="shared" si="2583"/>
        <v>605783.78799999983</v>
      </c>
      <c r="BV467" s="236">
        <f t="shared" ref="BV467:BV476" si="2608">IF(Z467&lt;1,0,SUM(BJ467:BU467,BF467)/13*$BG$1)</f>
        <v>14576.673495999996</v>
      </c>
      <c r="BW467" s="7">
        <v>9465.3799999999992</v>
      </c>
      <c r="BX467" s="39">
        <f>BW467*12</f>
        <v>113584.56</v>
      </c>
      <c r="BY467" s="7">
        <f>BU467-BW467</f>
        <v>596318.40799999982</v>
      </c>
      <c r="BZ467" s="7">
        <f t="shared" si="2584"/>
        <v>586853.02799999982</v>
      </c>
      <c r="CA467" s="7">
        <f t="shared" si="2585"/>
        <v>577387.64799999981</v>
      </c>
      <c r="CB467" s="7">
        <f t="shared" si="2586"/>
        <v>567922.26799999981</v>
      </c>
      <c r="CC467" s="7">
        <f t="shared" si="2587"/>
        <v>558456.8879999998</v>
      </c>
      <c r="CD467" s="7">
        <f t="shared" si="2588"/>
        <v>548991.5079999998</v>
      </c>
      <c r="CE467" s="7">
        <f t="shared" si="2589"/>
        <v>539526.12799999979</v>
      </c>
      <c r="CF467" s="7">
        <f t="shared" si="2590"/>
        <v>530060.74799999979</v>
      </c>
      <c r="CG467" s="7">
        <f t="shared" si="2591"/>
        <v>520595.36799999978</v>
      </c>
      <c r="CH467" s="7">
        <f t="shared" si="2592"/>
        <v>511129.98799999978</v>
      </c>
      <c r="CI467" s="7">
        <f t="shared" si="2593"/>
        <v>501664.60799999977</v>
      </c>
      <c r="CJ467" s="7">
        <f t="shared" si="2594"/>
        <v>492199.22799999977</v>
      </c>
      <c r="CK467" s="236">
        <f t="shared" ref="CK467:CK476" si="2609">IF(AO467&lt;1,0,SUM(BY467:CJ467,BU467)/13*$BG$1)</f>
        <v>12077.813175999998</v>
      </c>
      <c r="CL467" s="7">
        <v>9465.3799999999992</v>
      </c>
      <c r="CM467" s="39">
        <f>CL467*12</f>
        <v>113584.56</v>
      </c>
      <c r="CN467" s="7">
        <f>CJ467-CL467</f>
        <v>482733.84799999977</v>
      </c>
      <c r="CO467" s="7">
        <f t="shared" si="2595"/>
        <v>473268.46799999976</v>
      </c>
      <c r="CP467" s="7">
        <f t="shared" si="2596"/>
        <v>463803.08799999976</v>
      </c>
      <c r="CQ467" s="7">
        <f t="shared" si="2597"/>
        <v>454337.70799999975</v>
      </c>
      <c r="CR467" s="7">
        <f t="shared" si="2598"/>
        <v>444872.32799999975</v>
      </c>
      <c r="CS467" s="7">
        <f t="shared" si="2599"/>
        <v>435406.94799999974</v>
      </c>
      <c r="CT467" s="7">
        <f t="shared" si="2600"/>
        <v>425941.56799999974</v>
      </c>
      <c r="CU467" s="7">
        <f t="shared" si="2601"/>
        <v>416476.18799999973</v>
      </c>
      <c r="CV467" s="7">
        <f t="shared" si="2602"/>
        <v>407010.80799999973</v>
      </c>
      <c r="CW467" s="7">
        <f t="shared" si="2603"/>
        <v>397545.42799999972</v>
      </c>
      <c r="CX467" s="7">
        <f t="shared" si="2604"/>
        <v>388080.04799999972</v>
      </c>
      <c r="CY467" s="7">
        <f t="shared" si="2605"/>
        <v>378614.66799999971</v>
      </c>
      <c r="CZ467" s="236">
        <f t="shared" ref="CZ467:CZ476" si="2610">IF(BF467&lt;1,0,SUM(CN467:CY467,CJ467)/13*$BG$1)</f>
        <v>9578.9528559999944</v>
      </c>
    </row>
    <row r="468" spans="1:104" x14ac:dyDescent="0.2">
      <c r="A468" s="6" t="str">
        <f>'[1]2021 УГРЦТ'!A471</f>
        <v>Трансформаторная подстанция №33</v>
      </c>
      <c r="B468" t="str">
        <f>'[1]2021 УГРЦТ'!B471</f>
        <v>000001781</v>
      </c>
      <c r="C468" t="str">
        <f>'[1]2021 УГРЦТ'!C471</f>
        <v>ПЕРЕДАЧА</v>
      </c>
      <c r="D468" t="str">
        <f>'[1]2021 УГРЦТ'!D471</f>
        <v>Сооружения</v>
      </c>
      <c r="E468" t="str">
        <f>'[1]2021 УГРЦТ'!E471</f>
        <v>10.12.2019</v>
      </c>
      <c r="F468" t="str">
        <f>'[1]2021 УГРЦТ'!F471</f>
        <v>Цех электрических сетей</v>
      </c>
      <c r="G468">
        <f>'[1]2021 УГРЦТ'!AC471</f>
        <v>300</v>
      </c>
      <c r="H468" s="7">
        <f>'[1]2021 УГРЦТ'!X471</f>
        <v>2066041.02</v>
      </c>
      <c r="I468" s="7">
        <f>'[1]2021 УГРЦТ'!Y471</f>
        <v>165283.2408</v>
      </c>
      <c r="J468" s="7">
        <f>'[1]2021 УГРЦТ'!Z471</f>
        <v>1900757.7792</v>
      </c>
      <c r="K468" s="8">
        <v>1</v>
      </c>
      <c r="L468" s="7">
        <v>6886.800000000002</v>
      </c>
      <c r="M468" s="7"/>
      <c r="N468" s="7">
        <f t="shared" si="2270"/>
        <v>82641.60000000002</v>
      </c>
      <c r="O468" s="7">
        <f t="shared" si="2504"/>
        <v>1893870.9791999999</v>
      </c>
      <c r="P468" s="7">
        <f t="shared" si="2568"/>
        <v>1886984.1791999999</v>
      </c>
      <c r="Q468" s="7">
        <f t="shared" si="2568"/>
        <v>1880097.3791999999</v>
      </c>
      <c r="R468" s="7">
        <f t="shared" si="2568"/>
        <v>1873210.5791999998</v>
      </c>
      <c r="S468" s="7">
        <f t="shared" si="2568"/>
        <v>1866323.7791999998</v>
      </c>
      <c r="T468" s="7">
        <f t="shared" si="2568"/>
        <v>1859436.9791999997</v>
      </c>
      <c r="U468" s="7">
        <f t="shared" si="2568"/>
        <v>1852550.1791999997</v>
      </c>
      <c r="V468" s="7">
        <f t="shared" si="2568"/>
        <v>1845663.3791999996</v>
      </c>
      <c r="W468" s="7">
        <f t="shared" si="2568"/>
        <v>1838776.5791999996</v>
      </c>
      <c r="X468" s="7">
        <f t="shared" si="2568"/>
        <v>1831889.7791999995</v>
      </c>
      <c r="Y468" s="7">
        <f t="shared" si="2568"/>
        <v>1825002.9791999995</v>
      </c>
      <c r="Z468" s="7">
        <f t="shared" si="2568"/>
        <v>1818116.1791999994</v>
      </c>
      <c r="AA468" s="7">
        <f t="shared" si="2606"/>
        <v>40907.613542399988</v>
      </c>
      <c r="AB468" s="7"/>
      <c r="AC468" s="7">
        <f t="shared" si="2505"/>
        <v>82641.60000000002</v>
      </c>
      <c r="AD468" s="7">
        <f t="shared" si="2506"/>
        <v>1811229.3791999994</v>
      </c>
      <c r="AE468" s="7">
        <f t="shared" si="2569"/>
        <v>1804342.5791999993</v>
      </c>
      <c r="AF468" s="7">
        <f t="shared" si="2569"/>
        <v>1797455.7791999993</v>
      </c>
      <c r="AG468" s="7">
        <f t="shared" si="2569"/>
        <v>1790568.9791999992</v>
      </c>
      <c r="AH468" s="7">
        <f t="shared" si="2569"/>
        <v>1783682.1791999992</v>
      </c>
      <c r="AI468" s="7">
        <f t="shared" si="2569"/>
        <v>1776795.3791999992</v>
      </c>
      <c r="AJ468" s="7">
        <f t="shared" si="2569"/>
        <v>1769908.5791999991</v>
      </c>
      <c r="AK468" s="7">
        <f t="shared" si="2569"/>
        <v>1763021.7791999991</v>
      </c>
      <c r="AL468" s="7">
        <f t="shared" si="2569"/>
        <v>1756134.979199999</v>
      </c>
      <c r="AM468" s="7">
        <f t="shared" si="2569"/>
        <v>1749248.179199999</v>
      </c>
      <c r="AN468" s="7">
        <f t="shared" si="2569"/>
        <v>1742361.3791999989</v>
      </c>
      <c r="AO468" s="7">
        <f t="shared" si="2569"/>
        <v>1735474.5791999989</v>
      </c>
      <c r="AP468" s="222">
        <f t="shared" si="2607"/>
        <v>39089.498342399987</v>
      </c>
      <c r="AQ468" s="7">
        <v>6886.800000000002</v>
      </c>
      <c r="AR468" s="7">
        <f t="shared" si="2507"/>
        <v>6886.8000000000466</v>
      </c>
      <c r="AS468" s="7">
        <f t="shared" si="2508"/>
        <v>4.4565240386873484E-11</v>
      </c>
      <c r="AT468" s="7">
        <f t="shared" si="2570"/>
        <v>82641.60000000002</v>
      </c>
      <c r="AU468" s="7">
        <f t="shared" si="2571"/>
        <v>1728587.7791999988</v>
      </c>
      <c r="AV468" s="7">
        <f t="shared" si="2572"/>
        <v>1721700.9791999988</v>
      </c>
      <c r="AW468" s="7">
        <f t="shared" si="2572"/>
        <v>1714814.1791999987</v>
      </c>
      <c r="AX468" s="7">
        <f t="shared" si="2572"/>
        <v>1707927.3791999987</v>
      </c>
      <c r="AY468" s="7">
        <f t="shared" si="2572"/>
        <v>1701040.5791999986</v>
      </c>
      <c r="AZ468" s="7">
        <f t="shared" si="2572"/>
        <v>1694153.7791999986</v>
      </c>
      <c r="BA468" s="7">
        <f t="shared" si="2572"/>
        <v>1687266.9791999985</v>
      </c>
      <c r="BB468" s="7">
        <f t="shared" si="2572"/>
        <v>1680380.1791999985</v>
      </c>
      <c r="BC468" s="7">
        <f t="shared" si="2572"/>
        <v>1673493.3791999985</v>
      </c>
      <c r="BD468" s="7">
        <f t="shared" si="2572"/>
        <v>1666606.5791999984</v>
      </c>
      <c r="BE468" s="7">
        <f t="shared" si="2572"/>
        <v>1659719.7791999984</v>
      </c>
      <c r="BF468" s="7">
        <f t="shared" si="2572"/>
        <v>1652832.9791999983</v>
      </c>
      <c r="BG468" s="236">
        <f t="shared" si="2503"/>
        <v>37271.383142399973</v>
      </c>
      <c r="BH468" s="7">
        <v>6886.800000000002</v>
      </c>
      <c r="BI468" s="39">
        <f>BH468*12</f>
        <v>82641.60000000002</v>
      </c>
      <c r="BJ468" s="7">
        <f>BF468-BH468</f>
        <v>1645946.1791999983</v>
      </c>
      <c r="BK468" s="7">
        <f t="shared" si="2573"/>
        <v>1639059.3791999982</v>
      </c>
      <c r="BL468" s="7">
        <f t="shared" si="2574"/>
        <v>1632172.5791999982</v>
      </c>
      <c r="BM468" s="7">
        <f t="shared" si="2575"/>
        <v>1625285.7791999981</v>
      </c>
      <c r="BN468" s="7">
        <f t="shared" si="2576"/>
        <v>1618398.9791999981</v>
      </c>
      <c r="BO468" s="7">
        <f t="shared" si="2577"/>
        <v>1611512.179199998</v>
      </c>
      <c r="BP468" s="7">
        <f t="shared" si="2578"/>
        <v>1604625.379199998</v>
      </c>
      <c r="BQ468" s="7">
        <f t="shared" si="2579"/>
        <v>1597738.5791999979</v>
      </c>
      <c r="BR468" s="7">
        <f t="shared" si="2580"/>
        <v>1590851.7791999979</v>
      </c>
      <c r="BS468" s="7">
        <f t="shared" si="2581"/>
        <v>1583964.9791999978</v>
      </c>
      <c r="BT468" s="7">
        <f t="shared" si="2582"/>
        <v>1577078.1791999978</v>
      </c>
      <c r="BU468" s="7">
        <f t="shared" si="2583"/>
        <v>1570191.3791999978</v>
      </c>
      <c r="BV468" s="236">
        <f t="shared" si="2608"/>
        <v>35453.267942399951</v>
      </c>
      <c r="BW468" s="7">
        <v>6886.800000000002</v>
      </c>
      <c r="BX468" s="39">
        <f>BW468*12</f>
        <v>82641.60000000002</v>
      </c>
      <c r="BY468" s="7">
        <f>BU468-BW468</f>
        <v>1563304.5791999977</v>
      </c>
      <c r="BZ468" s="7">
        <f t="shared" si="2584"/>
        <v>1556417.7791999977</v>
      </c>
      <c r="CA468" s="7">
        <f t="shared" si="2585"/>
        <v>1549530.9791999976</v>
      </c>
      <c r="CB468" s="7">
        <f t="shared" si="2586"/>
        <v>1542644.1791999976</v>
      </c>
      <c r="CC468" s="7">
        <f t="shared" si="2587"/>
        <v>1535757.3791999975</v>
      </c>
      <c r="CD468" s="7">
        <f t="shared" si="2588"/>
        <v>1528870.5791999975</v>
      </c>
      <c r="CE468" s="7">
        <f t="shared" si="2589"/>
        <v>1521983.7791999974</v>
      </c>
      <c r="CF468" s="7">
        <f t="shared" si="2590"/>
        <v>1515096.9791999974</v>
      </c>
      <c r="CG468" s="7">
        <f t="shared" si="2591"/>
        <v>1508210.1791999973</v>
      </c>
      <c r="CH468" s="7">
        <f t="shared" si="2592"/>
        <v>1501323.3791999973</v>
      </c>
      <c r="CI468" s="7">
        <f t="shared" si="2593"/>
        <v>1494436.5791999972</v>
      </c>
      <c r="CJ468" s="7">
        <f t="shared" si="2594"/>
        <v>1487549.7791999972</v>
      </c>
      <c r="CK468" s="236">
        <f t="shared" si="2609"/>
        <v>33635.152742399936</v>
      </c>
      <c r="CL468" s="7">
        <v>6886.800000000002</v>
      </c>
      <c r="CM468" s="39">
        <f>CL468*12</f>
        <v>82641.60000000002</v>
      </c>
      <c r="CN468" s="7">
        <f>CJ468-CL468</f>
        <v>1480662.9791999971</v>
      </c>
      <c r="CO468" s="7">
        <f t="shared" si="2595"/>
        <v>1473776.1791999971</v>
      </c>
      <c r="CP468" s="7">
        <f t="shared" si="2596"/>
        <v>1466889.3791999971</v>
      </c>
      <c r="CQ468" s="7">
        <f t="shared" si="2597"/>
        <v>1460002.579199997</v>
      </c>
      <c r="CR468" s="7">
        <f t="shared" si="2598"/>
        <v>1453115.779199997</v>
      </c>
      <c r="CS468" s="7">
        <f t="shared" si="2599"/>
        <v>1446228.9791999969</v>
      </c>
      <c r="CT468" s="7">
        <f t="shared" si="2600"/>
        <v>1439342.1791999969</v>
      </c>
      <c r="CU468" s="7">
        <f t="shared" si="2601"/>
        <v>1432455.3791999968</v>
      </c>
      <c r="CV468" s="7">
        <f t="shared" si="2602"/>
        <v>1425568.5791999968</v>
      </c>
      <c r="CW468" s="7">
        <f t="shared" si="2603"/>
        <v>1418681.7791999967</v>
      </c>
      <c r="CX468" s="7">
        <f t="shared" si="2604"/>
        <v>1411794.9791999967</v>
      </c>
      <c r="CY468" s="7">
        <f t="shared" si="2605"/>
        <v>1404908.1791999966</v>
      </c>
      <c r="CZ468" s="236">
        <f t="shared" si="2610"/>
        <v>31817.037542399936</v>
      </c>
    </row>
    <row r="469" spans="1:104" x14ac:dyDescent="0.2">
      <c r="A469" s="6" t="str">
        <f>'[1]2021 УГРЦТ'!A472</f>
        <v>Трансформаторная подстанция КТП/П К-К 400/6/0,4</v>
      </c>
      <c r="B469" t="str">
        <f>'[1]2021 УГРЦТ'!B472</f>
        <v>00001150</v>
      </c>
      <c r="C469" t="str">
        <f>'[1]2021 УГРЦТ'!C472</f>
        <v>ПЕРЕДАЧА</v>
      </c>
      <c r="D469" t="str">
        <f>'[1]2021 УГРЦТ'!D472</f>
        <v>Сооружения</v>
      </c>
      <c r="E469" t="str">
        <f>'[1]2021 УГРЦТ'!E472</f>
        <v>31.10.2009</v>
      </c>
      <c r="F469" t="str">
        <f>'[1]2021 УГРЦТ'!F472</f>
        <v>Цех электрических сетей</v>
      </c>
      <c r="G469">
        <f>'[1]2021 УГРЦТ'!AC472</f>
        <v>180</v>
      </c>
      <c r="H469" s="7">
        <f>'[1]2021 УГРЦТ'!X472</f>
        <v>392922.66</v>
      </c>
      <c r="I469" s="7">
        <f>'[1]2021 УГРЦТ'!Y472</f>
        <v>318703.44399999996</v>
      </c>
      <c r="J469" s="7">
        <f>'[1]2021 УГРЦТ'!Z472</f>
        <v>74219.216000000015</v>
      </c>
      <c r="K469" s="8">
        <v>1</v>
      </c>
      <c r="L469" s="7">
        <v>2182.9000000000005</v>
      </c>
      <c r="M469" s="7"/>
      <c r="N469" s="7">
        <f t="shared" si="2270"/>
        <v>26194.800000000007</v>
      </c>
      <c r="O469" s="7">
        <f t="shared" si="2504"/>
        <v>72036.316000000021</v>
      </c>
      <c r="P469" s="7">
        <f t="shared" si="2568"/>
        <v>69853.416000000027</v>
      </c>
      <c r="Q469" s="7">
        <f t="shared" si="2568"/>
        <v>67670.516000000032</v>
      </c>
      <c r="R469" s="7">
        <f t="shared" si="2568"/>
        <v>65487.616000000031</v>
      </c>
      <c r="S469" s="7">
        <f t="shared" si="2568"/>
        <v>63304.716000000029</v>
      </c>
      <c r="T469" s="7">
        <f t="shared" si="2568"/>
        <v>61121.816000000028</v>
      </c>
      <c r="U469" s="7">
        <f t="shared" si="2568"/>
        <v>58938.916000000027</v>
      </c>
      <c r="V469" s="7">
        <f t="shared" si="2568"/>
        <v>56756.016000000025</v>
      </c>
      <c r="W469" s="7">
        <f t="shared" si="2568"/>
        <v>54573.116000000024</v>
      </c>
      <c r="X469" s="7">
        <f t="shared" si="2568"/>
        <v>52390.216000000022</v>
      </c>
      <c r="Y469" s="7">
        <f t="shared" si="2568"/>
        <v>50207.316000000021</v>
      </c>
      <c r="Z469" s="7">
        <f t="shared" si="2568"/>
        <v>48024.416000000019</v>
      </c>
      <c r="AA469" s="7">
        <f t="shared" si="2606"/>
        <v>1344.6799520000004</v>
      </c>
      <c r="AB469" s="7"/>
      <c r="AC469" s="7">
        <f t="shared" si="2505"/>
        <v>26194.800000000007</v>
      </c>
      <c r="AD469" s="7">
        <f t="shared" si="2506"/>
        <v>45841.516000000018</v>
      </c>
      <c r="AE469" s="7">
        <f t="shared" si="2569"/>
        <v>43658.616000000016</v>
      </c>
      <c r="AF469" s="7">
        <f t="shared" si="2569"/>
        <v>41475.716000000015</v>
      </c>
      <c r="AG469" s="7">
        <f t="shared" si="2569"/>
        <v>39292.816000000013</v>
      </c>
      <c r="AH469" s="7">
        <f t="shared" si="2569"/>
        <v>37109.916000000012</v>
      </c>
      <c r="AI469" s="7">
        <f t="shared" si="2569"/>
        <v>34927.016000000011</v>
      </c>
      <c r="AJ469" s="7">
        <f t="shared" si="2569"/>
        <v>32744.116000000009</v>
      </c>
      <c r="AK469" s="7">
        <f t="shared" si="2569"/>
        <v>30561.216000000008</v>
      </c>
      <c r="AL469" s="7">
        <f t="shared" si="2569"/>
        <v>28378.316000000006</v>
      </c>
      <c r="AM469" s="7">
        <f t="shared" si="2569"/>
        <v>26195.416000000005</v>
      </c>
      <c r="AN469" s="7">
        <f t="shared" si="2569"/>
        <v>24012.516000000003</v>
      </c>
      <c r="AO469" s="7">
        <f t="shared" si="2569"/>
        <v>21829.616000000002</v>
      </c>
      <c r="AP469" s="222">
        <f t="shared" si="2607"/>
        <v>768.39435200000014</v>
      </c>
      <c r="AQ469" s="7">
        <v>2182.9000000000005</v>
      </c>
      <c r="AR469" s="7">
        <f t="shared" si="2507"/>
        <v>2182.9000000000015</v>
      </c>
      <c r="AS469" s="7">
        <f t="shared" si="2508"/>
        <v>0</v>
      </c>
      <c r="AT469" s="7">
        <f>L469*10+0.62</f>
        <v>21829.620000000006</v>
      </c>
      <c r="AU469" s="7">
        <f t="shared" si="2571"/>
        <v>19646.716</v>
      </c>
      <c r="AV469" s="7">
        <f t="shared" si="2572"/>
        <v>17463.815999999999</v>
      </c>
      <c r="AW469" s="7">
        <f t="shared" si="2572"/>
        <v>15280.915999999997</v>
      </c>
      <c r="AX469" s="7">
        <f t="shared" si="2572"/>
        <v>13098.015999999996</v>
      </c>
      <c r="AY469" s="7">
        <f t="shared" si="2572"/>
        <v>10915.115999999995</v>
      </c>
      <c r="AZ469" s="7">
        <f t="shared" si="2572"/>
        <v>8732.2159999999931</v>
      </c>
      <c r="BA469" s="7">
        <f t="shared" si="2572"/>
        <v>6549.3159999999925</v>
      </c>
      <c r="BB469" s="7">
        <f t="shared" si="2572"/>
        <v>4366.415999999992</v>
      </c>
      <c r="BC469" s="7">
        <f t="shared" si="2572"/>
        <v>2183.5159999999914</v>
      </c>
      <c r="BD469" s="7">
        <f t="shared" si="2572"/>
        <v>0.6159999999908905</v>
      </c>
      <c r="BE469" s="7">
        <f>BD469-0.62</f>
        <v>-4.0000000091094945E-3</v>
      </c>
      <c r="BF469" s="7">
        <f>BE469-$L469*0</f>
        <v>-4.0000000091094945E-3</v>
      </c>
      <c r="BG469" s="236">
        <f t="shared" si="2503"/>
        <v>203.18906892307677</v>
      </c>
      <c r="BH469" s="7">
        <v>2182.9000000000005</v>
      </c>
      <c r="BI469" s="39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236">
        <f t="shared" si="2608"/>
        <v>-6.7692307846468361E-6</v>
      </c>
      <c r="BW469" s="7">
        <v>2182.9000000000005</v>
      </c>
      <c r="BX469" s="39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236">
        <f t="shared" si="2609"/>
        <v>0</v>
      </c>
      <c r="CL469" s="7">
        <v>2182.9000000000005</v>
      </c>
      <c r="CM469" s="39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236">
        <f t="shared" si="2610"/>
        <v>0</v>
      </c>
    </row>
    <row r="470" spans="1:104" x14ac:dyDescent="0.2">
      <c r="A470" s="6" t="str">
        <f>'[1]2021 УГРЦТ'!A473</f>
        <v>Трансформаторная подстанция КТП-250 (РУ-0,4 кВ)</v>
      </c>
      <c r="B470" s="16" t="str">
        <f>'[1]2021 УГРЦТ'!B473</f>
        <v>000001847</v>
      </c>
      <c r="C470" t="str">
        <f>'[1]2021 УГРЦТ'!C473</f>
        <v>ПЕРЕДАЧА</v>
      </c>
      <c r="D470" t="str">
        <f>'[1]2021 УГРЦТ'!D473</f>
        <v>Сооружения</v>
      </c>
      <c r="E470" t="str">
        <f>'[1]2021 УГРЦТ'!E473</f>
        <v>14.04.2021</v>
      </c>
      <c r="F470" t="str">
        <f>'[1]2021 УГРЦТ'!F473</f>
        <v>Цех электрических сетей</v>
      </c>
      <c r="G470">
        <f>'[1]2021 УГРЦТ'!AC473</f>
        <v>120</v>
      </c>
      <c r="H470" s="7">
        <f>'[1]2021 УГРЦТ'!X473</f>
        <v>38000</v>
      </c>
      <c r="I470" s="7">
        <f>'[1]2021 УГРЦТ'!Y473</f>
        <v>2533.3333333333335</v>
      </c>
      <c r="J470" s="7">
        <f>'[1]2021 УГРЦТ'!Z473</f>
        <v>35466.666666666664</v>
      </c>
      <c r="K470" s="8">
        <v>1</v>
      </c>
      <c r="L470" s="7">
        <v>316.67</v>
      </c>
      <c r="M470" s="7"/>
      <c r="N470" s="7">
        <f t="shared" si="2270"/>
        <v>3800.04</v>
      </c>
      <c r="O470" s="7">
        <f t="shared" si="2504"/>
        <v>35149.996666666666</v>
      </c>
      <c r="P470" s="7">
        <f t="shared" si="2568"/>
        <v>34833.326666666668</v>
      </c>
      <c r="Q470" s="7">
        <f t="shared" si="2568"/>
        <v>34516.656666666669</v>
      </c>
      <c r="R470" s="7">
        <f t="shared" si="2568"/>
        <v>34199.986666666671</v>
      </c>
      <c r="S470" s="7">
        <f t="shared" si="2568"/>
        <v>33883.316666666673</v>
      </c>
      <c r="T470" s="7">
        <f t="shared" si="2568"/>
        <v>33566.646666666675</v>
      </c>
      <c r="U470" s="7">
        <f t="shared" si="2568"/>
        <v>33249.976666666676</v>
      </c>
      <c r="V470" s="7">
        <f t="shared" si="2568"/>
        <v>32933.306666666678</v>
      </c>
      <c r="W470" s="7">
        <f t="shared" si="2568"/>
        <v>32616.63666666668</v>
      </c>
      <c r="X470" s="7">
        <f t="shared" si="2568"/>
        <v>32299.966666666682</v>
      </c>
      <c r="Y470" s="7">
        <f t="shared" si="2568"/>
        <v>31983.296666666683</v>
      </c>
      <c r="Z470" s="7">
        <f t="shared" si="2568"/>
        <v>31666.626666666685</v>
      </c>
      <c r="AA470" s="7">
        <f t="shared" si="2606"/>
        <v>738.46622666666678</v>
      </c>
      <c r="AB470" s="7"/>
      <c r="AC470" s="7">
        <f t="shared" si="2505"/>
        <v>3800.04</v>
      </c>
      <c r="AD470" s="7">
        <f t="shared" si="2506"/>
        <v>31349.956666666687</v>
      </c>
      <c r="AE470" s="7">
        <f t="shared" si="2569"/>
        <v>31033.286666666689</v>
      </c>
      <c r="AF470" s="7">
        <f t="shared" si="2569"/>
        <v>30716.61666666669</v>
      </c>
      <c r="AG470" s="7">
        <f t="shared" si="2569"/>
        <v>30399.946666666692</v>
      </c>
      <c r="AH470" s="7">
        <f t="shared" si="2569"/>
        <v>30083.276666666694</v>
      </c>
      <c r="AI470" s="7">
        <f t="shared" si="2569"/>
        <v>29766.606666666696</v>
      </c>
      <c r="AJ470" s="7">
        <f t="shared" si="2569"/>
        <v>29449.936666666697</v>
      </c>
      <c r="AK470" s="7">
        <f t="shared" si="2569"/>
        <v>29133.266666666699</v>
      </c>
      <c r="AL470" s="7">
        <f t="shared" si="2569"/>
        <v>28816.596666666701</v>
      </c>
      <c r="AM470" s="7">
        <f t="shared" si="2569"/>
        <v>28499.926666666703</v>
      </c>
      <c r="AN470" s="7">
        <f t="shared" si="2569"/>
        <v>28183.256666666704</v>
      </c>
      <c r="AO470" s="7">
        <f t="shared" si="2569"/>
        <v>27866.586666666706</v>
      </c>
      <c r="AP470" s="222">
        <f t="shared" si="2607"/>
        <v>654.86534666666728</v>
      </c>
      <c r="AQ470" s="7">
        <v>316.67</v>
      </c>
      <c r="AR470" s="7">
        <f t="shared" si="2507"/>
        <v>316.66999999999825</v>
      </c>
      <c r="AS470" s="7">
        <f t="shared" si="2508"/>
        <v>-1.7621459846850485E-12</v>
      </c>
      <c r="AT470" s="7">
        <f t="shared" si="2570"/>
        <v>3800.04</v>
      </c>
      <c r="AU470" s="7">
        <f t="shared" si="2571"/>
        <v>27549.916666666708</v>
      </c>
      <c r="AV470" s="7">
        <f t="shared" si="2572"/>
        <v>27233.24666666671</v>
      </c>
      <c r="AW470" s="7">
        <f t="shared" si="2572"/>
        <v>26916.576666666711</v>
      </c>
      <c r="AX470" s="7">
        <f t="shared" si="2572"/>
        <v>26599.906666666713</v>
      </c>
      <c r="AY470" s="7">
        <f t="shared" si="2572"/>
        <v>26283.236666666715</v>
      </c>
      <c r="AZ470" s="7">
        <f t="shared" si="2572"/>
        <v>25966.566666666717</v>
      </c>
      <c r="BA470" s="7">
        <f t="shared" si="2572"/>
        <v>25649.896666666718</v>
      </c>
      <c r="BB470" s="7">
        <f t="shared" si="2572"/>
        <v>25333.22666666672</v>
      </c>
      <c r="BC470" s="7">
        <f t="shared" si="2572"/>
        <v>25016.556666666722</v>
      </c>
      <c r="BD470" s="7">
        <f t="shared" si="2572"/>
        <v>24699.886666666724</v>
      </c>
      <c r="BE470" s="7">
        <f t="shared" si="2572"/>
        <v>24383.216666666725</v>
      </c>
      <c r="BF470" s="7">
        <f t="shared" si="2572"/>
        <v>24066.546666666727</v>
      </c>
      <c r="BG470" s="236">
        <f t="shared" si="2503"/>
        <v>571.26446666666777</v>
      </c>
      <c r="BH470" s="7">
        <v>316.67</v>
      </c>
      <c r="BI470" s="39">
        <f t="shared" ref="BI470:BI482" si="2611">BH470*12</f>
        <v>3800.04</v>
      </c>
      <c r="BJ470" s="7">
        <f t="shared" ref="BJ470:BJ482" si="2612">BF470-BH470</f>
        <v>23749.876666666729</v>
      </c>
      <c r="BK470" s="7">
        <f t="shared" si="2573"/>
        <v>23433.206666666731</v>
      </c>
      <c r="BL470" s="7">
        <f t="shared" si="2574"/>
        <v>23116.536666666732</v>
      </c>
      <c r="BM470" s="7">
        <f t="shared" si="2575"/>
        <v>22799.866666666734</v>
      </c>
      <c r="BN470" s="7">
        <f t="shared" si="2576"/>
        <v>22483.196666666736</v>
      </c>
      <c r="BO470" s="7">
        <f t="shared" si="2577"/>
        <v>22166.526666666738</v>
      </c>
      <c r="BP470" s="7">
        <f t="shared" si="2578"/>
        <v>21849.856666666739</v>
      </c>
      <c r="BQ470" s="7">
        <f t="shared" si="2579"/>
        <v>21533.186666666741</v>
      </c>
      <c r="BR470" s="7">
        <f t="shared" si="2580"/>
        <v>21216.516666666743</v>
      </c>
      <c r="BS470" s="7">
        <f t="shared" si="2581"/>
        <v>20899.846666666745</v>
      </c>
      <c r="BT470" s="7">
        <f t="shared" ref="BT470:BT482" si="2613">BS470-$L470</f>
        <v>20583.176666666746</v>
      </c>
      <c r="BU470" s="7">
        <f t="shared" ref="BU470:BU482" si="2614">BT470-$L470</f>
        <v>20266.506666666748</v>
      </c>
      <c r="BV470" s="236">
        <f t="shared" si="2608"/>
        <v>487.66358666666821</v>
      </c>
      <c r="BW470" s="7">
        <v>316.67</v>
      </c>
      <c r="BX470" s="39">
        <f t="shared" ref="BX470:BX482" si="2615">BW470*12</f>
        <v>3800.04</v>
      </c>
      <c r="BY470" s="7">
        <f t="shared" ref="BY470:BY482" si="2616">BU470-BW470</f>
        <v>19949.83666666675</v>
      </c>
      <c r="BZ470" s="7">
        <f t="shared" ref="BZ470:BZ482" si="2617">BY470-$L470</f>
        <v>19633.166666666752</v>
      </c>
      <c r="CA470" s="7">
        <f t="shared" ref="CA470:CA482" si="2618">BZ470-$L470</f>
        <v>19316.496666666753</v>
      </c>
      <c r="CB470" s="7">
        <f t="shared" ref="CB470:CB482" si="2619">CA470-$L470</f>
        <v>18999.826666666755</v>
      </c>
      <c r="CC470" s="7">
        <f t="shared" ref="CC470:CC482" si="2620">CB470-$L470</f>
        <v>18683.156666666757</v>
      </c>
      <c r="CD470" s="7">
        <f t="shared" ref="CD470:CD482" si="2621">CC470-$L470</f>
        <v>18366.486666666759</v>
      </c>
      <c r="CE470" s="7">
        <f t="shared" ref="CE470:CE482" si="2622">CD470-$L470</f>
        <v>18049.81666666676</v>
      </c>
      <c r="CF470" s="7">
        <f t="shared" ref="CF470:CF482" si="2623">CE470-$L470</f>
        <v>17733.146666666762</v>
      </c>
      <c r="CG470" s="7">
        <f t="shared" ref="CG470:CG482" si="2624">CF470-$L470</f>
        <v>17416.476666666764</v>
      </c>
      <c r="CH470" s="7">
        <f t="shared" ref="CH470:CH482" si="2625">CG470-$L470</f>
        <v>17099.806666666766</v>
      </c>
      <c r="CI470" s="7">
        <f t="shared" ref="CI470:CI482" si="2626">CH470-$L470</f>
        <v>16783.136666666767</v>
      </c>
      <c r="CJ470" s="7">
        <f t="shared" ref="CJ470:CJ482" si="2627">CI470-$L470</f>
        <v>16466.466666666769</v>
      </c>
      <c r="CK470" s="236">
        <f t="shared" si="2609"/>
        <v>404.06270666666865</v>
      </c>
      <c r="CL470" s="7">
        <v>316.67</v>
      </c>
      <c r="CM470" s="39">
        <f t="shared" ref="CM470:CM477" si="2628">CL470*12</f>
        <v>3800.04</v>
      </c>
      <c r="CN470" s="7">
        <f t="shared" ref="CN470:CN482" si="2629">CJ470-CL470</f>
        <v>16149.796666666769</v>
      </c>
      <c r="CO470" s="7">
        <f t="shared" ref="CO470:CO482" si="2630">CN470-$L470</f>
        <v>15833.126666666769</v>
      </c>
      <c r="CP470" s="7">
        <f t="shared" ref="CP470:CP482" si="2631">CO470-$L470</f>
        <v>15516.456666666769</v>
      </c>
      <c r="CQ470" s="7">
        <f t="shared" ref="CQ470:CQ482" si="2632">CP470-$L470</f>
        <v>15199.786666666769</v>
      </c>
      <c r="CR470" s="7">
        <f t="shared" ref="CR470:CR482" si="2633">CQ470-$L470</f>
        <v>14883.116666666769</v>
      </c>
      <c r="CS470" s="7">
        <f t="shared" ref="CS470:CS482" si="2634">CR470-$L470</f>
        <v>14566.446666666769</v>
      </c>
      <c r="CT470" s="7">
        <f t="shared" ref="CT470:CT482" si="2635">CS470-$L470</f>
        <v>14249.776666666769</v>
      </c>
      <c r="CU470" s="7">
        <f t="shared" ref="CU470:CU482" si="2636">CT470-$L470</f>
        <v>13933.106666666768</v>
      </c>
      <c r="CV470" s="7">
        <f t="shared" ref="CV470:CV482" si="2637">CU470-$L470</f>
        <v>13616.436666666768</v>
      </c>
      <c r="CW470" s="7">
        <f t="shared" ref="CW470:CW482" si="2638">CV470-$L470</f>
        <v>13299.766666666768</v>
      </c>
      <c r="CX470" s="7">
        <f t="shared" ref="CX470:CX482" si="2639">CW470-$L470</f>
        <v>12983.096666666768</v>
      </c>
      <c r="CY470" s="7">
        <f t="shared" ref="CY470:CY482" si="2640">CX470-$L470</f>
        <v>12666.426666666768</v>
      </c>
      <c r="CZ470" s="236">
        <f t="shared" si="2610"/>
        <v>320.46182666666891</v>
      </c>
    </row>
    <row r="471" spans="1:104" ht="22.5" x14ac:dyDescent="0.2">
      <c r="A471" s="6" t="str">
        <f>'[1]2021 УГРЦТ'!A474</f>
        <v>Трансформаторная подстанция КТП-250 кВ центральная в с.Тельвиска</v>
      </c>
      <c r="B471" s="16" t="str">
        <f>'[1]2021 УГРЦТ'!B474</f>
        <v>000001849</v>
      </c>
      <c r="C471" t="str">
        <f>'[1]2021 УГРЦТ'!C474</f>
        <v>ПЕРЕДАЧА</v>
      </c>
      <c r="D471" t="str">
        <f>'[1]2021 УГРЦТ'!D474</f>
        <v>Сооружения</v>
      </c>
      <c r="E471" t="str">
        <f>'[1]2021 УГРЦТ'!E474</f>
        <v>16.07.2021</v>
      </c>
      <c r="F471" t="str">
        <f>'[1]2021 УГРЦТ'!F474</f>
        <v>Цех электрических сетей</v>
      </c>
      <c r="G471">
        <f>'[1]2021 УГРЦТ'!AC474</f>
        <v>120</v>
      </c>
      <c r="H471" s="7">
        <f>'[1]2021 УГРЦТ'!X474</f>
        <v>40813</v>
      </c>
      <c r="I471" s="7">
        <f>'[1]2021 УГРЦТ'!Y474</f>
        <v>1700.5416666666667</v>
      </c>
      <c r="J471" s="7">
        <f>'[1]2021 УГРЦТ'!Z474</f>
        <v>39112.458333333336</v>
      </c>
      <c r="K471" s="8">
        <v>1</v>
      </c>
      <c r="L471" s="7">
        <v>340.11</v>
      </c>
      <c r="M471" s="7"/>
      <c r="N471" s="7">
        <f t="shared" si="2270"/>
        <v>4081.32</v>
      </c>
      <c r="O471" s="7">
        <f t="shared" si="2504"/>
        <v>38772.348333333335</v>
      </c>
      <c r="P471" s="7">
        <f t="shared" si="2568"/>
        <v>38432.238333333335</v>
      </c>
      <c r="Q471" s="7">
        <f t="shared" si="2568"/>
        <v>38092.128333333334</v>
      </c>
      <c r="R471" s="7">
        <f t="shared" si="2568"/>
        <v>37752.018333333333</v>
      </c>
      <c r="S471" s="7">
        <f t="shared" si="2568"/>
        <v>37411.908333333333</v>
      </c>
      <c r="T471" s="7">
        <f t="shared" si="2568"/>
        <v>37071.798333333332</v>
      </c>
      <c r="U471" s="7">
        <f t="shared" si="2568"/>
        <v>36731.688333333332</v>
      </c>
      <c r="V471" s="7">
        <f t="shared" si="2568"/>
        <v>36391.578333333331</v>
      </c>
      <c r="W471" s="7">
        <f t="shared" si="2568"/>
        <v>36051.468333333331</v>
      </c>
      <c r="X471" s="7">
        <f t="shared" si="2568"/>
        <v>35711.35833333333</v>
      </c>
      <c r="Y471" s="7">
        <f t="shared" si="2568"/>
        <v>35371.248333333329</v>
      </c>
      <c r="Z471" s="7">
        <f t="shared" si="2568"/>
        <v>35031.138333333329</v>
      </c>
      <c r="AA471" s="7">
        <f t="shared" si="2606"/>
        <v>815.57956333333323</v>
      </c>
      <c r="AB471" s="7"/>
      <c r="AC471" s="7">
        <f t="shared" si="2505"/>
        <v>4081.32</v>
      </c>
      <c r="AD471" s="7">
        <f t="shared" si="2506"/>
        <v>34691.028333333328</v>
      </c>
      <c r="AE471" s="7">
        <f t="shared" si="2569"/>
        <v>34350.918333333328</v>
      </c>
      <c r="AF471" s="7">
        <f t="shared" si="2569"/>
        <v>34010.808333333327</v>
      </c>
      <c r="AG471" s="7">
        <f t="shared" si="2569"/>
        <v>33670.698333333326</v>
      </c>
      <c r="AH471" s="7">
        <f t="shared" si="2569"/>
        <v>33330.588333333326</v>
      </c>
      <c r="AI471" s="7">
        <f t="shared" si="2569"/>
        <v>32990.478333333325</v>
      </c>
      <c r="AJ471" s="7">
        <f t="shared" si="2569"/>
        <v>32650.368333333325</v>
      </c>
      <c r="AK471" s="7">
        <f t="shared" si="2569"/>
        <v>32310.258333333324</v>
      </c>
      <c r="AL471" s="7">
        <f t="shared" si="2569"/>
        <v>31970.148333333324</v>
      </c>
      <c r="AM471" s="7">
        <f t="shared" si="2569"/>
        <v>31630.038333333323</v>
      </c>
      <c r="AN471" s="7">
        <f t="shared" si="2569"/>
        <v>31289.928333333322</v>
      </c>
      <c r="AO471" s="7">
        <f t="shared" si="2569"/>
        <v>30949.818333333322</v>
      </c>
      <c r="AP471" s="222">
        <f t="shared" si="2607"/>
        <v>725.79052333333311</v>
      </c>
      <c r="AQ471" s="7">
        <v>340.11</v>
      </c>
      <c r="AR471" s="7">
        <f t="shared" si="2507"/>
        <v>340.11000000000058</v>
      </c>
      <c r="AS471" s="7">
        <f t="shared" si="2508"/>
        <v>5.6843418860808015E-13</v>
      </c>
      <c r="AT471" s="7">
        <f t="shared" si="2570"/>
        <v>4081.32</v>
      </c>
      <c r="AU471" s="7">
        <f t="shared" si="2571"/>
        <v>30609.708333333321</v>
      </c>
      <c r="AV471" s="7">
        <f t="shared" si="2572"/>
        <v>30269.598333333321</v>
      </c>
      <c r="AW471" s="7">
        <f t="shared" si="2572"/>
        <v>29929.48833333332</v>
      </c>
      <c r="AX471" s="7">
        <f t="shared" si="2572"/>
        <v>29589.378333333319</v>
      </c>
      <c r="AY471" s="7">
        <f t="shared" si="2572"/>
        <v>29249.268333333319</v>
      </c>
      <c r="AZ471" s="7">
        <f t="shared" si="2572"/>
        <v>28909.158333333318</v>
      </c>
      <c r="BA471" s="7">
        <f t="shared" si="2572"/>
        <v>28569.048333333318</v>
      </c>
      <c r="BB471" s="7">
        <f t="shared" si="2572"/>
        <v>28228.938333333317</v>
      </c>
      <c r="BC471" s="7">
        <f t="shared" si="2572"/>
        <v>27888.828333333317</v>
      </c>
      <c r="BD471" s="7">
        <f t="shared" si="2572"/>
        <v>27548.718333333316</v>
      </c>
      <c r="BE471" s="7">
        <f t="shared" si="2572"/>
        <v>27208.608333333315</v>
      </c>
      <c r="BF471" s="7">
        <f t="shared" si="2572"/>
        <v>26868.498333333315</v>
      </c>
      <c r="BG471" s="236">
        <f t="shared" si="2503"/>
        <v>636.001483333333</v>
      </c>
      <c r="BH471" s="7">
        <v>340.11</v>
      </c>
      <c r="BI471" s="39">
        <f t="shared" si="2611"/>
        <v>4081.32</v>
      </c>
      <c r="BJ471" s="7">
        <f t="shared" si="2612"/>
        <v>26528.388333333314</v>
      </c>
      <c r="BK471" s="7">
        <f t="shared" si="2573"/>
        <v>26188.278333333314</v>
      </c>
      <c r="BL471" s="7">
        <f t="shared" si="2574"/>
        <v>25848.168333333313</v>
      </c>
      <c r="BM471" s="7">
        <f t="shared" si="2575"/>
        <v>25508.058333333312</v>
      </c>
      <c r="BN471" s="7">
        <f t="shared" si="2576"/>
        <v>25167.948333333312</v>
      </c>
      <c r="BO471" s="7">
        <f t="shared" si="2577"/>
        <v>24827.838333333311</v>
      </c>
      <c r="BP471" s="7">
        <f t="shared" si="2578"/>
        <v>24487.728333333311</v>
      </c>
      <c r="BQ471" s="7">
        <f t="shared" si="2579"/>
        <v>24147.61833333331</v>
      </c>
      <c r="BR471" s="7">
        <f t="shared" si="2580"/>
        <v>23807.50833333331</v>
      </c>
      <c r="BS471" s="7">
        <f t="shared" si="2581"/>
        <v>23467.398333333309</v>
      </c>
      <c r="BT471" s="7">
        <f t="shared" si="2613"/>
        <v>23127.288333333308</v>
      </c>
      <c r="BU471" s="7">
        <f t="shared" si="2614"/>
        <v>22787.178333333308</v>
      </c>
      <c r="BV471" s="236">
        <f t="shared" si="2608"/>
        <v>546.21244333333277</v>
      </c>
      <c r="BW471" s="7">
        <v>340.11</v>
      </c>
      <c r="BX471" s="39">
        <f t="shared" si="2615"/>
        <v>4081.32</v>
      </c>
      <c r="BY471" s="7">
        <f t="shared" si="2616"/>
        <v>22447.068333333307</v>
      </c>
      <c r="BZ471" s="7">
        <f t="shared" si="2617"/>
        <v>22106.958333333307</v>
      </c>
      <c r="CA471" s="7">
        <f t="shared" si="2618"/>
        <v>21766.848333333306</v>
      </c>
      <c r="CB471" s="7">
        <f t="shared" si="2619"/>
        <v>21426.738333333305</v>
      </c>
      <c r="CC471" s="7">
        <f t="shared" si="2620"/>
        <v>21086.628333333305</v>
      </c>
      <c r="CD471" s="7">
        <f t="shared" si="2621"/>
        <v>20746.518333333304</v>
      </c>
      <c r="CE471" s="7">
        <f t="shared" si="2622"/>
        <v>20406.408333333304</v>
      </c>
      <c r="CF471" s="7">
        <f t="shared" si="2623"/>
        <v>20066.298333333303</v>
      </c>
      <c r="CG471" s="7">
        <f t="shared" si="2624"/>
        <v>19726.188333333303</v>
      </c>
      <c r="CH471" s="7">
        <f t="shared" si="2625"/>
        <v>19386.078333333302</v>
      </c>
      <c r="CI471" s="7">
        <f t="shared" si="2626"/>
        <v>19045.968333333301</v>
      </c>
      <c r="CJ471" s="7">
        <f t="shared" si="2627"/>
        <v>18705.858333333301</v>
      </c>
      <c r="CK471" s="236">
        <f t="shared" si="2609"/>
        <v>456.42340333333266</v>
      </c>
      <c r="CL471" s="7">
        <v>340.11</v>
      </c>
      <c r="CM471" s="39">
        <f t="shared" si="2628"/>
        <v>4081.32</v>
      </c>
      <c r="CN471" s="7">
        <f t="shared" si="2629"/>
        <v>18365.7483333333</v>
      </c>
      <c r="CO471" s="7">
        <f t="shared" si="2630"/>
        <v>18025.6383333333</v>
      </c>
      <c r="CP471" s="7">
        <f t="shared" si="2631"/>
        <v>17685.528333333299</v>
      </c>
      <c r="CQ471" s="7">
        <f t="shared" si="2632"/>
        <v>17345.418333333299</v>
      </c>
      <c r="CR471" s="7">
        <f t="shared" si="2633"/>
        <v>17005.308333333298</v>
      </c>
      <c r="CS471" s="7">
        <f t="shared" si="2634"/>
        <v>16665.198333333297</v>
      </c>
      <c r="CT471" s="7">
        <f t="shared" si="2635"/>
        <v>16325.088333333297</v>
      </c>
      <c r="CU471" s="7">
        <f t="shared" si="2636"/>
        <v>15984.978333333296</v>
      </c>
      <c r="CV471" s="7">
        <f t="shared" si="2637"/>
        <v>15644.868333333296</v>
      </c>
      <c r="CW471" s="7">
        <f t="shared" si="2638"/>
        <v>15304.758333333295</v>
      </c>
      <c r="CX471" s="7">
        <f t="shared" si="2639"/>
        <v>14964.648333333294</v>
      </c>
      <c r="CY471" s="7">
        <f t="shared" si="2640"/>
        <v>14624.538333333294</v>
      </c>
      <c r="CZ471" s="236">
        <f t="shared" si="2610"/>
        <v>366.63436333333254</v>
      </c>
    </row>
    <row r="472" spans="1:104" ht="22.5" x14ac:dyDescent="0.2">
      <c r="A472" s="6" t="str">
        <f>'[1]2021 УГРЦТ'!A475</f>
        <v>Трансформаторная подстанция напряжением 6/0,4 Кв мощностью 400кВА, типа 2КТПК (п) 400/6/0,4 (к/к-13У1)</v>
      </c>
      <c r="B472" t="str">
        <f>'[1]2021 УГРЦТ'!B475</f>
        <v>000001703</v>
      </c>
      <c r="C472" t="str">
        <f>'[1]2021 УГРЦТ'!C475</f>
        <v>ПЕРЕДАЧА</v>
      </c>
      <c r="D472" t="str">
        <f>'[1]2021 УГРЦТ'!D475</f>
        <v>Здания</v>
      </c>
      <c r="E472" t="str">
        <f>'[1]2021 УГРЦТ'!E475</f>
        <v>27.04.2017</v>
      </c>
      <c r="F472" t="str">
        <f>'[1]2021 УГРЦТ'!F475</f>
        <v>Цех электрических сетей</v>
      </c>
      <c r="G472">
        <f>'[1]2021 УГРЦТ'!AC475</f>
        <v>341</v>
      </c>
      <c r="H472" s="7">
        <f>'[1]2021 УГРЦТ'!X475</f>
        <v>2318891.4900000002</v>
      </c>
      <c r="I472" s="7">
        <f>'[1]2021 УГРЦТ'!Y475</f>
        <v>380815.09958944283</v>
      </c>
      <c r="J472" s="7">
        <f>'[1]2021 УГРЦТ'!Z475</f>
        <v>1938076.3904105574</v>
      </c>
      <c r="K472" s="8">
        <v>1</v>
      </c>
      <c r="L472" s="7">
        <v>6800.2700000000032</v>
      </c>
      <c r="M472" s="7"/>
      <c r="N472" s="7">
        <f t="shared" si="2270"/>
        <v>81603.240000000034</v>
      </c>
      <c r="O472" s="7">
        <f t="shared" si="2504"/>
        <v>1931276.1204105574</v>
      </c>
      <c r="P472" s="7">
        <f t="shared" si="2568"/>
        <v>1924475.8504105574</v>
      </c>
      <c r="Q472" s="7">
        <f t="shared" si="2568"/>
        <v>1917675.5804105573</v>
      </c>
      <c r="R472" s="7">
        <f t="shared" si="2568"/>
        <v>1910875.3104105573</v>
      </c>
      <c r="S472" s="7">
        <f t="shared" si="2568"/>
        <v>1904075.0404105573</v>
      </c>
      <c r="T472" s="7">
        <f t="shared" si="2568"/>
        <v>1897274.7704105573</v>
      </c>
      <c r="U472" s="7">
        <f t="shared" si="2568"/>
        <v>1890474.5004105573</v>
      </c>
      <c r="V472" s="7">
        <f t="shared" si="2568"/>
        <v>1883674.2304105572</v>
      </c>
      <c r="W472" s="7">
        <f t="shared" si="2568"/>
        <v>1876873.9604105572</v>
      </c>
      <c r="X472" s="7">
        <f t="shared" si="2568"/>
        <v>1870073.6904105572</v>
      </c>
      <c r="Y472" s="7">
        <f t="shared" si="2568"/>
        <v>1863273.4204105572</v>
      </c>
      <c r="Z472" s="7">
        <f t="shared" si="2568"/>
        <v>1856473.1504105572</v>
      </c>
      <c r="AA472" s="7">
        <f t="shared" si="2606"/>
        <v>41740.044949032257</v>
      </c>
      <c r="AB472" s="7"/>
      <c r="AC472" s="7">
        <f t="shared" si="2505"/>
        <v>81603.240000000034</v>
      </c>
      <c r="AD472" s="7">
        <f t="shared" si="2506"/>
        <v>1849672.8804105571</v>
      </c>
      <c r="AE472" s="7">
        <f t="shared" si="2569"/>
        <v>1842872.6104105571</v>
      </c>
      <c r="AF472" s="7">
        <f t="shared" si="2569"/>
        <v>1836072.3404105571</v>
      </c>
      <c r="AG472" s="7">
        <f t="shared" si="2569"/>
        <v>1829272.0704105571</v>
      </c>
      <c r="AH472" s="7">
        <f t="shared" si="2569"/>
        <v>1822471.8004105571</v>
      </c>
      <c r="AI472" s="7">
        <f t="shared" si="2569"/>
        <v>1815671.5304105571</v>
      </c>
      <c r="AJ472" s="7">
        <f t="shared" si="2569"/>
        <v>1808871.260410557</v>
      </c>
      <c r="AK472" s="7">
        <f t="shared" si="2569"/>
        <v>1802070.990410557</v>
      </c>
      <c r="AL472" s="7">
        <f t="shared" si="2569"/>
        <v>1795270.720410557</v>
      </c>
      <c r="AM472" s="7">
        <f t="shared" si="2569"/>
        <v>1788470.450410557</v>
      </c>
      <c r="AN472" s="7">
        <f t="shared" si="2569"/>
        <v>1781670.180410557</v>
      </c>
      <c r="AO472" s="7">
        <f t="shared" si="2569"/>
        <v>1774869.9104105569</v>
      </c>
      <c r="AP472" s="222">
        <f t="shared" si="2607"/>
        <v>39944.773669032249</v>
      </c>
      <c r="AQ472" s="7">
        <v>6800.2700000000032</v>
      </c>
      <c r="AR472" s="7">
        <f t="shared" si="2507"/>
        <v>6800.2700000000186</v>
      </c>
      <c r="AS472" s="7">
        <f t="shared" si="2508"/>
        <v>1.546140993013978E-11</v>
      </c>
      <c r="AT472" s="7">
        <f t="shared" si="2570"/>
        <v>81603.240000000034</v>
      </c>
      <c r="AU472" s="7">
        <f t="shared" si="2571"/>
        <v>1768069.6404105569</v>
      </c>
      <c r="AV472" s="7">
        <f t="shared" si="2572"/>
        <v>1761269.3704105569</v>
      </c>
      <c r="AW472" s="7">
        <f t="shared" si="2572"/>
        <v>1754469.1004105569</v>
      </c>
      <c r="AX472" s="7">
        <f t="shared" si="2572"/>
        <v>1747668.8304105569</v>
      </c>
      <c r="AY472" s="7">
        <f t="shared" si="2572"/>
        <v>1740868.5604105568</v>
      </c>
      <c r="AZ472" s="7">
        <f t="shared" si="2572"/>
        <v>1734068.2904105568</v>
      </c>
      <c r="BA472" s="7">
        <f t="shared" si="2572"/>
        <v>1727268.0204105568</v>
      </c>
      <c r="BB472" s="7">
        <f t="shared" si="2572"/>
        <v>1720467.7504105568</v>
      </c>
      <c r="BC472" s="7">
        <f t="shared" si="2572"/>
        <v>1713667.4804105568</v>
      </c>
      <c r="BD472" s="7">
        <f t="shared" si="2572"/>
        <v>1706867.2104105568</v>
      </c>
      <c r="BE472" s="7">
        <f t="shared" si="2572"/>
        <v>1700066.9404105567</v>
      </c>
      <c r="BF472" s="7">
        <f t="shared" si="2572"/>
        <v>1693266.6704105567</v>
      </c>
      <c r="BG472" s="236">
        <f t="shared" si="2503"/>
        <v>38149.502389032248</v>
      </c>
      <c r="BH472" s="7">
        <v>6800.2700000000032</v>
      </c>
      <c r="BI472" s="39">
        <f t="shared" si="2611"/>
        <v>81603.240000000034</v>
      </c>
      <c r="BJ472" s="7">
        <f t="shared" si="2612"/>
        <v>1686466.4004105567</v>
      </c>
      <c r="BK472" s="7">
        <f t="shared" si="2573"/>
        <v>1679666.1304105567</v>
      </c>
      <c r="BL472" s="7">
        <f t="shared" si="2574"/>
        <v>1672865.8604105567</v>
      </c>
      <c r="BM472" s="7">
        <f t="shared" si="2575"/>
        <v>1666065.5904105566</v>
      </c>
      <c r="BN472" s="7">
        <f t="shared" si="2576"/>
        <v>1659265.3204105566</v>
      </c>
      <c r="BO472" s="7">
        <f t="shared" si="2577"/>
        <v>1652465.0504105566</v>
      </c>
      <c r="BP472" s="7">
        <f t="shared" si="2578"/>
        <v>1645664.7804105566</v>
      </c>
      <c r="BQ472" s="7">
        <f t="shared" si="2579"/>
        <v>1638864.5104105566</v>
      </c>
      <c r="BR472" s="7">
        <f t="shared" si="2580"/>
        <v>1632064.2404105566</v>
      </c>
      <c r="BS472" s="7">
        <f t="shared" si="2581"/>
        <v>1625263.9704105565</v>
      </c>
      <c r="BT472" s="7">
        <f t="shared" si="2613"/>
        <v>1618463.7004105565</v>
      </c>
      <c r="BU472" s="7">
        <f t="shared" si="2614"/>
        <v>1611663.4304105565</v>
      </c>
      <c r="BV472" s="236">
        <f t="shared" si="2608"/>
        <v>36354.23110903224</v>
      </c>
      <c r="BW472" s="7">
        <v>6800.2700000000032</v>
      </c>
      <c r="BX472" s="39">
        <f t="shared" si="2615"/>
        <v>81603.240000000034</v>
      </c>
      <c r="BY472" s="7">
        <f t="shared" si="2616"/>
        <v>1604863.1604105565</v>
      </c>
      <c r="BZ472" s="7">
        <f t="shared" si="2617"/>
        <v>1598062.8904105565</v>
      </c>
      <c r="CA472" s="7">
        <f t="shared" si="2618"/>
        <v>1591262.6204105564</v>
      </c>
      <c r="CB472" s="7">
        <f t="shared" si="2619"/>
        <v>1584462.3504105564</v>
      </c>
      <c r="CC472" s="7">
        <f t="shared" si="2620"/>
        <v>1577662.0804105564</v>
      </c>
      <c r="CD472" s="7">
        <f t="shared" si="2621"/>
        <v>1570861.8104105564</v>
      </c>
      <c r="CE472" s="7">
        <f t="shared" si="2622"/>
        <v>1564061.5404105564</v>
      </c>
      <c r="CF472" s="7">
        <f t="shared" si="2623"/>
        <v>1557261.2704105563</v>
      </c>
      <c r="CG472" s="7">
        <f t="shared" si="2624"/>
        <v>1550461.0004105563</v>
      </c>
      <c r="CH472" s="7">
        <f t="shared" si="2625"/>
        <v>1543660.7304105563</v>
      </c>
      <c r="CI472" s="7">
        <f t="shared" si="2626"/>
        <v>1536860.4604105563</v>
      </c>
      <c r="CJ472" s="7">
        <f t="shared" si="2627"/>
        <v>1530060.1904105563</v>
      </c>
      <c r="CK472" s="236">
        <f t="shared" si="2609"/>
        <v>34558.959829032239</v>
      </c>
      <c r="CL472" s="7">
        <v>6800.2700000000032</v>
      </c>
      <c r="CM472" s="39">
        <f t="shared" si="2628"/>
        <v>81603.240000000034</v>
      </c>
      <c r="CN472" s="7">
        <f t="shared" si="2629"/>
        <v>1523259.9204105563</v>
      </c>
      <c r="CO472" s="7">
        <f t="shared" si="2630"/>
        <v>1516459.6504105562</v>
      </c>
      <c r="CP472" s="7">
        <f t="shared" si="2631"/>
        <v>1509659.3804105562</v>
      </c>
      <c r="CQ472" s="7">
        <f t="shared" si="2632"/>
        <v>1502859.1104105562</v>
      </c>
      <c r="CR472" s="7">
        <f t="shared" si="2633"/>
        <v>1496058.8404105562</v>
      </c>
      <c r="CS472" s="7">
        <f t="shared" si="2634"/>
        <v>1489258.5704105562</v>
      </c>
      <c r="CT472" s="7">
        <f t="shared" si="2635"/>
        <v>1482458.3004105561</v>
      </c>
      <c r="CU472" s="7">
        <f t="shared" si="2636"/>
        <v>1475658.0304105561</v>
      </c>
      <c r="CV472" s="7">
        <f t="shared" si="2637"/>
        <v>1468857.7604105561</v>
      </c>
      <c r="CW472" s="7">
        <f t="shared" si="2638"/>
        <v>1462057.4904105561</v>
      </c>
      <c r="CX472" s="7">
        <f t="shared" si="2639"/>
        <v>1455257.2204105561</v>
      </c>
      <c r="CY472" s="7">
        <f t="shared" si="2640"/>
        <v>1448456.950410556</v>
      </c>
      <c r="CZ472" s="236">
        <f t="shared" si="2610"/>
        <v>32763.688549032227</v>
      </c>
    </row>
    <row r="473" spans="1:104" x14ac:dyDescent="0.2">
      <c r="A473" s="6" t="str">
        <f>'[1]2021 УГРЦТ'!A476</f>
        <v>Трансформаторная подстанция ТП №100/1 "Малый Качгорт"</v>
      </c>
      <c r="B473" t="str">
        <f>'[1]2021 УГРЦТ'!B476</f>
        <v>000001695</v>
      </c>
      <c r="C473" t="str">
        <f>'[1]2021 УГРЦТ'!C476</f>
        <v>ПЕРЕДАЧА</v>
      </c>
      <c r="D473" t="str">
        <f>'[1]2021 УГРЦТ'!D476</f>
        <v>Сооружения</v>
      </c>
      <c r="E473" t="str">
        <f>'[1]2021 УГРЦТ'!E476</f>
        <v>09.12.2016</v>
      </c>
      <c r="F473" t="str">
        <f>'[1]2021 УГРЦТ'!F476</f>
        <v>Цех электрических сетей</v>
      </c>
      <c r="G473">
        <f>'[1]2021 УГРЦТ'!AC476</f>
        <v>240</v>
      </c>
      <c r="H473" s="7">
        <f>'[1]2021 УГРЦТ'!X476</f>
        <v>384471.91</v>
      </c>
      <c r="I473" s="7">
        <f>'[1]2021 УГРЦТ'!Y476</f>
        <v>96118.155499999993</v>
      </c>
      <c r="J473" s="7">
        <f>'[1]2021 УГРЦТ'!Z476</f>
        <v>288353.75449999998</v>
      </c>
      <c r="K473" s="8">
        <v>1</v>
      </c>
      <c r="L473" s="7">
        <v>1601.97</v>
      </c>
      <c r="M473" s="7"/>
      <c r="N473" s="7">
        <f t="shared" si="2270"/>
        <v>19223.64</v>
      </c>
      <c r="O473" s="7">
        <f t="shared" si="2504"/>
        <v>286751.78450000001</v>
      </c>
      <c r="P473" s="7">
        <f t="shared" si="2568"/>
        <v>285149.81450000004</v>
      </c>
      <c r="Q473" s="7">
        <f t="shared" si="2568"/>
        <v>283547.84450000006</v>
      </c>
      <c r="R473" s="7">
        <f t="shared" si="2568"/>
        <v>281945.87450000009</v>
      </c>
      <c r="S473" s="7">
        <f t="shared" si="2568"/>
        <v>280343.90450000012</v>
      </c>
      <c r="T473" s="7">
        <f t="shared" si="2568"/>
        <v>278741.93450000015</v>
      </c>
      <c r="U473" s="7">
        <f t="shared" si="2568"/>
        <v>277139.96450000018</v>
      </c>
      <c r="V473" s="7">
        <f t="shared" si="2568"/>
        <v>275537.9945000002</v>
      </c>
      <c r="W473" s="7">
        <f t="shared" si="2568"/>
        <v>273936.02450000023</v>
      </c>
      <c r="X473" s="7">
        <f t="shared" si="2568"/>
        <v>272334.05450000026</v>
      </c>
      <c r="Y473" s="7">
        <f t="shared" si="2568"/>
        <v>270732.08450000029</v>
      </c>
      <c r="Z473" s="7">
        <f t="shared" si="2568"/>
        <v>269130.11450000032</v>
      </c>
      <c r="AA473" s="7">
        <f t="shared" si="2606"/>
        <v>6132.322559000002</v>
      </c>
      <c r="AB473" s="7"/>
      <c r="AC473" s="7">
        <f t="shared" si="2505"/>
        <v>19223.64</v>
      </c>
      <c r="AD473" s="7">
        <f t="shared" si="2506"/>
        <v>267528.14450000034</v>
      </c>
      <c r="AE473" s="7">
        <f t="shared" si="2569"/>
        <v>265926.17450000037</v>
      </c>
      <c r="AF473" s="7">
        <f t="shared" si="2569"/>
        <v>264324.2045000004</v>
      </c>
      <c r="AG473" s="7">
        <f t="shared" si="2569"/>
        <v>262722.23450000043</v>
      </c>
      <c r="AH473" s="7">
        <f t="shared" si="2569"/>
        <v>261120.26450000043</v>
      </c>
      <c r="AI473" s="7">
        <f t="shared" si="2569"/>
        <v>259518.29450000043</v>
      </c>
      <c r="AJ473" s="7">
        <f t="shared" si="2569"/>
        <v>257916.32450000042</v>
      </c>
      <c r="AK473" s="7">
        <f t="shared" si="2569"/>
        <v>256314.35450000042</v>
      </c>
      <c r="AL473" s="7">
        <f t="shared" si="2569"/>
        <v>254712.38450000042</v>
      </c>
      <c r="AM473" s="7">
        <f t="shared" si="2569"/>
        <v>253110.41450000042</v>
      </c>
      <c r="AN473" s="7">
        <f t="shared" si="2569"/>
        <v>251508.44450000042</v>
      </c>
      <c r="AO473" s="7">
        <f t="shared" si="2569"/>
        <v>249906.47450000042</v>
      </c>
      <c r="AP473" s="222">
        <f t="shared" si="2607"/>
        <v>5709.4024790000076</v>
      </c>
      <c r="AQ473" s="7">
        <v>1601.97</v>
      </c>
      <c r="AR473" s="7">
        <f t="shared" si="2507"/>
        <v>1601.9700000000012</v>
      </c>
      <c r="AS473" s="7">
        <f t="shared" si="2508"/>
        <v>0</v>
      </c>
      <c r="AT473" s="7">
        <f t="shared" si="2570"/>
        <v>19223.64</v>
      </c>
      <c r="AU473" s="7">
        <f t="shared" si="2571"/>
        <v>248304.50450000042</v>
      </c>
      <c r="AV473" s="7">
        <f t="shared" si="2572"/>
        <v>246702.53450000042</v>
      </c>
      <c r="AW473" s="7">
        <f t="shared" si="2572"/>
        <v>245100.56450000042</v>
      </c>
      <c r="AX473" s="7">
        <f t="shared" si="2572"/>
        <v>243498.59450000041</v>
      </c>
      <c r="AY473" s="7">
        <f t="shared" si="2572"/>
        <v>241896.62450000041</v>
      </c>
      <c r="AZ473" s="7">
        <f t="shared" si="2572"/>
        <v>240294.65450000041</v>
      </c>
      <c r="BA473" s="7">
        <f t="shared" si="2572"/>
        <v>238692.68450000041</v>
      </c>
      <c r="BB473" s="7">
        <f t="shared" si="2572"/>
        <v>237090.71450000041</v>
      </c>
      <c r="BC473" s="7">
        <f t="shared" si="2572"/>
        <v>235488.74450000041</v>
      </c>
      <c r="BD473" s="7">
        <f t="shared" si="2572"/>
        <v>233886.77450000041</v>
      </c>
      <c r="BE473" s="7">
        <f t="shared" si="2572"/>
        <v>232284.80450000041</v>
      </c>
      <c r="BF473" s="7">
        <f t="shared" si="2572"/>
        <v>230682.8345000004</v>
      </c>
      <c r="BG473" s="236">
        <f t="shared" si="2503"/>
        <v>5286.4823990000095</v>
      </c>
      <c r="BH473" s="7">
        <v>1601.97</v>
      </c>
      <c r="BI473" s="39">
        <f t="shared" si="2611"/>
        <v>19223.64</v>
      </c>
      <c r="BJ473" s="7">
        <f t="shared" si="2612"/>
        <v>229080.8645000004</v>
      </c>
      <c r="BK473" s="7">
        <f t="shared" si="2573"/>
        <v>227478.8945000004</v>
      </c>
      <c r="BL473" s="7">
        <f t="shared" si="2574"/>
        <v>225876.9245000004</v>
      </c>
      <c r="BM473" s="7">
        <f t="shared" si="2575"/>
        <v>224274.9545000004</v>
      </c>
      <c r="BN473" s="7">
        <f t="shared" si="2576"/>
        <v>222672.9845000004</v>
      </c>
      <c r="BO473" s="7">
        <f t="shared" si="2577"/>
        <v>221071.0145000004</v>
      </c>
      <c r="BP473" s="7">
        <f t="shared" si="2578"/>
        <v>219469.0445000004</v>
      </c>
      <c r="BQ473" s="7">
        <f t="shared" si="2579"/>
        <v>217867.0745000004</v>
      </c>
      <c r="BR473" s="7">
        <f t="shared" si="2580"/>
        <v>216265.10450000039</v>
      </c>
      <c r="BS473" s="7">
        <f t="shared" si="2581"/>
        <v>214663.13450000039</v>
      </c>
      <c r="BT473" s="7">
        <f t="shared" si="2613"/>
        <v>213061.16450000039</v>
      </c>
      <c r="BU473" s="7">
        <f t="shared" si="2614"/>
        <v>211459.19450000039</v>
      </c>
      <c r="BV473" s="236">
        <f t="shared" si="2608"/>
        <v>4863.5623190000078</v>
      </c>
      <c r="BW473" s="7">
        <v>1601.97</v>
      </c>
      <c r="BX473" s="39">
        <f t="shared" si="2615"/>
        <v>19223.64</v>
      </c>
      <c r="BY473" s="7">
        <f t="shared" si="2616"/>
        <v>209857.22450000039</v>
      </c>
      <c r="BZ473" s="7">
        <f t="shared" si="2617"/>
        <v>208255.25450000039</v>
      </c>
      <c r="CA473" s="7">
        <f t="shared" si="2618"/>
        <v>206653.28450000039</v>
      </c>
      <c r="CB473" s="7">
        <f t="shared" si="2619"/>
        <v>205051.31450000039</v>
      </c>
      <c r="CC473" s="7">
        <f t="shared" si="2620"/>
        <v>203449.34450000038</v>
      </c>
      <c r="CD473" s="7">
        <f t="shared" si="2621"/>
        <v>201847.37450000038</v>
      </c>
      <c r="CE473" s="7">
        <f t="shared" si="2622"/>
        <v>200245.40450000038</v>
      </c>
      <c r="CF473" s="7">
        <f t="shared" si="2623"/>
        <v>198643.43450000038</v>
      </c>
      <c r="CG473" s="7">
        <f t="shared" si="2624"/>
        <v>197041.46450000038</v>
      </c>
      <c r="CH473" s="7">
        <f t="shared" si="2625"/>
        <v>195439.49450000038</v>
      </c>
      <c r="CI473" s="7">
        <f t="shared" si="2626"/>
        <v>193837.52450000038</v>
      </c>
      <c r="CJ473" s="7">
        <f t="shared" si="2627"/>
        <v>192235.55450000038</v>
      </c>
      <c r="CK473" s="236">
        <f t="shared" si="2609"/>
        <v>4440.642239000008</v>
      </c>
      <c r="CL473" s="7">
        <v>1601.97</v>
      </c>
      <c r="CM473" s="39">
        <f t="shared" si="2628"/>
        <v>19223.64</v>
      </c>
      <c r="CN473" s="7">
        <f t="shared" si="2629"/>
        <v>190633.58450000038</v>
      </c>
      <c r="CO473" s="7">
        <f t="shared" si="2630"/>
        <v>189031.61450000037</v>
      </c>
      <c r="CP473" s="7">
        <f t="shared" si="2631"/>
        <v>187429.64450000037</v>
      </c>
      <c r="CQ473" s="7">
        <f t="shared" si="2632"/>
        <v>185827.67450000037</v>
      </c>
      <c r="CR473" s="7">
        <f t="shared" si="2633"/>
        <v>184225.70450000037</v>
      </c>
      <c r="CS473" s="7">
        <f t="shared" si="2634"/>
        <v>182623.73450000037</v>
      </c>
      <c r="CT473" s="7">
        <f t="shared" si="2635"/>
        <v>181021.76450000037</v>
      </c>
      <c r="CU473" s="7">
        <f t="shared" si="2636"/>
        <v>179419.79450000037</v>
      </c>
      <c r="CV473" s="7">
        <f t="shared" si="2637"/>
        <v>177817.82450000037</v>
      </c>
      <c r="CW473" s="7">
        <f t="shared" si="2638"/>
        <v>176215.85450000037</v>
      </c>
      <c r="CX473" s="7">
        <f t="shared" si="2639"/>
        <v>174613.88450000036</v>
      </c>
      <c r="CY473" s="7">
        <f t="shared" si="2640"/>
        <v>173011.91450000036</v>
      </c>
      <c r="CZ473" s="236">
        <f t="shared" si="2610"/>
        <v>4017.7221590000081</v>
      </c>
    </row>
    <row r="474" spans="1:104" ht="22.5" x14ac:dyDescent="0.2">
      <c r="A474" s="6" t="str">
        <f>'[1]2021 УГРЦТ'!A477</f>
        <v>Трансформаторная подстанция ТП №113 "Молодежный центр"</v>
      </c>
      <c r="B474" t="str">
        <f>'[1]2021 УГРЦТ'!B477</f>
        <v>000001694</v>
      </c>
      <c r="C474" t="str">
        <f>'[1]2021 УГРЦТ'!C477</f>
        <v>ПЕРЕДАЧА</v>
      </c>
      <c r="D474" t="str">
        <f>'[1]2021 УГРЦТ'!D477</f>
        <v>Сооружения</v>
      </c>
      <c r="E474" t="str">
        <f>'[1]2021 УГРЦТ'!E477</f>
        <v>30.11.2016</v>
      </c>
      <c r="F474" t="str">
        <f>'[1]2021 УГРЦТ'!F477</f>
        <v>Цех электрических сетей</v>
      </c>
      <c r="G474">
        <f>'[1]2021 УГРЦТ'!AC477</f>
        <v>240</v>
      </c>
      <c r="H474" s="7">
        <f>'[1]2021 УГРЦТ'!X477</f>
        <v>6269664.8799999999</v>
      </c>
      <c r="I474" s="7">
        <f>'[1]2021 УГРЦТ'!Y477</f>
        <v>1593539.6439999999</v>
      </c>
      <c r="J474" s="7">
        <f>'[1]2021 УГРЦТ'!Z477</f>
        <v>4676125.2359999996</v>
      </c>
      <c r="K474" s="8">
        <v>1</v>
      </c>
      <c r="L474" s="7">
        <v>26123.600000000002</v>
      </c>
      <c r="M474" s="7"/>
      <c r="N474" s="7">
        <f t="shared" si="2270"/>
        <v>313483.2</v>
      </c>
      <c r="O474" s="7">
        <f t="shared" si="2504"/>
        <v>4650001.6359999999</v>
      </c>
      <c r="P474" s="7">
        <f t="shared" si="2568"/>
        <v>4623878.0360000003</v>
      </c>
      <c r="Q474" s="7">
        <f t="shared" si="2568"/>
        <v>4597754.4360000007</v>
      </c>
      <c r="R474" s="7">
        <f t="shared" si="2568"/>
        <v>4571630.8360000011</v>
      </c>
      <c r="S474" s="7">
        <f t="shared" si="2568"/>
        <v>4545507.2360000014</v>
      </c>
      <c r="T474" s="7">
        <f t="shared" si="2568"/>
        <v>4519383.6360000018</v>
      </c>
      <c r="U474" s="7">
        <f t="shared" si="2568"/>
        <v>4493260.0360000022</v>
      </c>
      <c r="V474" s="7">
        <f t="shared" si="2568"/>
        <v>4467136.4360000025</v>
      </c>
      <c r="W474" s="7">
        <f t="shared" si="2568"/>
        <v>4441012.8360000029</v>
      </c>
      <c r="X474" s="7">
        <f t="shared" si="2568"/>
        <v>4414889.2360000033</v>
      </c>
      <c r="Y474" s="7">
        <f t="shared" si="2568"/>
        <v>4388765.6360000037</v>
      </c>
      <c r="Z474" s="7">
        <f t="shared" si="2568"/>
        <v>4362642.036000004</v>
      </c>
      <c r="AA474" s="7">
        <f t="shared" si="2606"/>
        <v>99426.439992000029</v>
      </c>
      <c r="AB474" s="7"/>
      <c r="AC474" s="7">
        <f t="shared" si="2505"/>
        <v>313483.2</v>
      </c>
      <c r="AD474" s="7">
        <f t="shared" si="2506"/>
        <v>4336518.4360000044</v>
      </c>
      <c r="AE474" s="7">
        <f t="shared" si="2569"/>
        <v>4310394.8360000048</v>
      </c>
      <c r="AF474" s="7">
        <f t="shared" si="2569"/>
        <v>4284271.2360000052</v>
      </c>
      <c r="AG474" s="7">
        <f t="shared" si="2569"/>
        <v>4258147.6360000055</v>
      </c>
      <c r="AH474" s="7">
        <f t="shared" si="2569"/>
        <v>4232024.0360000059</v>
      </c>
      <c r="AI474" s="7">
        <f t="shared" si="2569"/>
        <v>4205900.4360000063</v>
      </c>
      <c r="AJ474" s="7">
        <f t="shared" si="2569"/>
        <v>4179776.8360000062</v>
      </c>
      <c r="AK474" s="7">
        <f t="shared" si="2569"/>
        <v>4153653.2360000061</v>
      </c>
      <c r="AL474" s="7">
        <f t="shared" si="2569"/>
        <v>4127529.636000006</v>
      </c>
      <c r="AM474" s="7">
        <f t="shared" si="2569"/>
        <v>4101406.0360000059</v>
      </c>
      <c r="AN474" s="7">
        <f t="shared" si="2569"/>
        <v>4075282.4360000058</v>
      </c>
      <c r="AO474" s="7">
        <f t="shared" si="2569"/>
        <v>4049158.8360000057</v>
      </c>
      <c r="AP474" s="222">
        <f t="shared" si="2607"/>
        <v>92529.809592000107</v>
      </c>
      <c r="AQ474" s="7">
        <v>26123.600000000002</v>
      </c>
      <c r="AR474" s="7">
        <f t="shared" si="2507"/>
        <v>26123.600000000093</v>
      </c>
      <c r="AS474" s="7">
        <f t="shared" si="2508"/>
        <v>9.0949470177292824E-11</v>
      </c>
      <c r="AT474" s="7">
        <f t="shared" si="2570"/>
        <v>313483.2</v>
      </c>
      <c r="AU474" s="7">
        <f t="shared" si="2571"/>
        <v>4023035.2360000056</v>
      </c>
      <c r="AV474" s="7">
        <f t="shared" si="2572"/>
        <v>3996911.6360000055</v>
      </c>
      <c r="AW474" s="7">
        <f t="shared" si="2572"/>
        <v>3970788.0360000054</v>
      </c>
      <c r="AX474" s="7">
        <f t="shared" si="2572"/>
        <v>3944664.4360000053</v>
      </c>
      <c r="AY474" s="7">
        <f t="shared" si="2572"/>
        <v>3918540.8360000052</v>
      </c>
      <c r="AZ474" s="7">
        <f t="shared" si="2572"/>
        <v>3892417.2360000052</v>
      </c>
      <c r="BA474" s="7">
        <f t="shared" si="2572"/>
        <v>3866293.6360000051</v>
      </c>
      <c r="BB474" s="7">
        <f t="shared" si="2572"/>
        <v>3840170.036000005</v>
      </c>
      <c r="BC474" s="7">
        <f t="shared" si="2572"/>
        <v>3814046.4360000049</v>
      </c>
      <c r="BD474" s="7">
        <f t="shared" si="2572"/>
        <v>3787922.8360000048</v>
      </c>
      <c r="BE474" s="7">
        <f t="shared" si="2572"/>
        <v>3761799.2360000047</v>
      </c>
      <c r="BF474" s="7">
        <f t="shared" si="2572"/>
        <v>3735675.6360000046</v>
      </c>
      <c r="BG474" s="236">
        <f t="shared" si="2503"/>
        <v>85633.179192000098</v>
      </c>
      <c r="BH474" s="7">
        <v>26123.600000000002</v>
      </c>
      <c r="BI474" s="39">
        <f t="shared" si="2611"/>
        <v>313483.2</v>
      </c>
      <c r="BJ474" s="7">
        <f t="shared" si="2612"/>
        <v>3709552.0360000045</v>
      </c>
      <c r="BK474" s="7">
        <f t="shared" si="2573"/>
        <v>3683428.4360000044</v>
      </c>
      <c r="BL474" s="7">
        <f t="shared" si="2574"/>
        <v>3657304.8360000043</v>
      </c>
      <c r="BM474" s="7">
        <f t="shared" si="2575"/>
        <v>3631181.2360000042</v>
      </c>
      <c r="BN474" s="7">
        <f t="shared" si="2576"/>
        <v>3605057.6360000041</v>
      </c>
      <c r="BO474" s="7">
        <f t="shared" si="2577"/>
        <v>3578934.036000004</v>
      </c>
      <c r="BP474" s="7">
        <f t="shared" si="2578"/>
        <v>3552810.4360000039</v>
      </c>
      <c r="BQ474" s="7">
        <f t="shared" si="2579"/>
        <v>3526686.8360000039</v>
      </c>
      <c r="BR474" s="7">
        <f t="shared" si="2580"/>
        <v>3500563.2360000038</v>
      </c>
      <c r="BS474" s="7">
        <f t="shared" si="2581"/>
        <v>3474439.6360000037</v>
      </c>
      <c r="BT474" s="7">
        <f t="shared" si="2613"/>
        <v>3448316.0360000036</v>
      </c>
      <c r="BU474" s="7">
        <f t="shared" si="2614"/>
        <v>3422192.4360000035</v>
      </c>
      <c r="BV474" s="236">
        <f t="shared" si="2608"/>
        <v>78736.548792000103</v>
      </c>
      <c r="BW474" s="7">
        <v>26123.600000000002</v>
      </c>
      <c r="BX474" s="39">
        <f t="shared" si="2615"/>
        <v>313483.2</v>
      </c>
      <c r="BY474" s="7">
        <f t="shared" si="2616"/>
        <v>3396068.8360000034</v>
      </c>
      <c r="BZ474" s="7">
        <f t="shared" si="2617"/>
        <v>3369945.2360000033</v>
      </c>
      <c r="CA474" s="7">
        <f t="shared" si="2618"/>
        <v>3343821.6360000032</v>
      </c>
      <c r="CB474" s="7">
        <f t="shared" si="2619"/>
        <v>3317698.0360000031</v>
      </c>
      <c r="CC474" s="7">
        <f t="shared" si="2620"/>
        <v>3291574.436000003</v>
      </c>
      <c r="CD474" s="7">
        <f t="shared" si="2621"/>
        <v>3265450.8360000029</v>
      </c>
      <c r="CE474" s="7">
        <f t="shared" si="2622"/>
        <v>3239327.2360000028</v>
      </c>
      <c r="CF474" s="7">
        <f t="shared" si="2623"/>
        <v>3213203.6360000027</v>
      </c>
      <c r="CG474" s="7">
        <f t="shared" si="2624"/>
        <v>3187080.0360000026</v>
      </c>
      <c r="CH474" s="7">
        <f t="shared" si="2625"/>
        <v>3160956.4360000025</v>
      </c>
      <c r="CI474" s="7">
        <f t="shared" si="2626"/>
        <v>3134832.8360000025</v>
      </c>
      <c r="CJ474" s="7">
        <f t="shared" si="2627"/>
        <v>3108709.2360000024</v>
      </c>
      <c r="CK474" s="236">
        <f t="shared" si="2609"/>
        <v>71839.918392000065</v>
      </c>
      <c r="CL474" s="7">
        <v>26123.600000000002</v>
      </c>
      <c r="CM474" s="39">
        <f t="shared" si="2628"/>
        <v>313483.2</v>
      </c>
      <c r="CN474" s="7">
        <f t="shared" si="2629"/>
        <v>3082585.6360000023</v>
      </c>
      <c r="CO474" s="7">
        <f t="shared" si="2630"/>
        <v>3056462.0360000022</v>
      </c>
      <c r="CP474" s="7">
        <f t="shared" si="2631"/>
        <v>3030338.4360000021</v>
      </c>
      <c r="CQ474" s="7">
        <f t="shared" si="2632"/>
        <v>3004214.836000002</v>
      </c>
      <c r="CR474" s="7">
        <f t="shared" si="2633"/>
        <v>2978091.2360000019</v>
      </c>
      <c r="CS474" s="7">
        <f t="shared" si="2634"/>
        <v>2951967.6360000018</v>
      </c>
      <c r="CT474" s="7">
        <f t="shared" si="2635"/>
        <v>2925844.0360000017</v>
      </c>
      <c r="CU474" s="7">
        <f t="shared" si="2636"/>
        <v>2899720.4360000016</v>
      </c>
      <c r="CV474" s="7">
        <f t="shared" si="2637"/>
        <v>2873596.8360000015</v>
      </c>
      <c r="CW474" s="7">
        <f t="shared" si="2638"/>
        <v>2847473.2360000014</v>
      </c>
      <c r="CX474" s="7">
        <f t="shared" si="2639"/>
        <v>2821349.6360000013</v>
      </c>
      <c r="CY474" s="7">
        <f t="shared" si="2640"/>
        <v>2795226.0360000012</v>
      </c>
      <c r="CZ474" s="236">
        <f t="shared" si="2610"/>
        <v>64943.287992000034</v>
      </c>
    </row>
    <row r="475" spans="1:104" x14ac:dyDescent="0.2">
      <c r="A475" s="6" t="str">
        <f>'[1]2021 УГРЦТ'!A478</f>
        <v>Трансформаторная подстанция ТП-55 "Старый аэропорт"</v>
      </c>
      <c r="B475" t="str">
        <f>'[1]2021 УГРЦТ'!B478</f>
        <v>000001683</v>
      </c>
      <c r="C475" t="str">
        <f>'[1]2021 УГРЦТ'!C478</f>
        <v>ПЕРЕДАЧА</v>
      </c>
      <c r="D475" t="str">
        <f>'[1]2021 УГРЦТ'!D478</f>
        <v>Сооружения</v>
      </c>
      <c r="E475" t="str">
        <f>'[1]2021 УГРЦТ'!E478</f>
        <v>29.07.2016</v>
      </c>
      <c r="F475" t="str">
        <f>'[1]2021 УГРЦТ'!F478</f>
        <v>Цех электрических сетей</v>
      </c>
      <c r="G475">
        <f>'[1]2021 УГРЦТ'!AC478</f>
        <v>240</v>
      </c>
      <c r="H475" s="7">
        <f>'[1]2021 УГРЦТ'!X478</f>
        <v>6932161.2999999998</v>
      </c>
      <c r="I475" s="7">
        <f>'[1]2021 УГРЦТ'!Y478</f>
        <v>1877460.5950000002</v>
      </c>
      <c r="J475" s="7">
        <f>'[1]2021 УГРЦТ'!Z478</f>
        <v>5054700.7050000001</v>
      </c>
      <c r="K475" s="8">
        <v>1</v>
      </c>
      <c r="L475" s="7">
        <v>28884.010000000006</v>
      </c>
      <c r="M475" s="7"/>
      <c r="N475" s="7">
        <f t="shared" si="2270"/>
        <v>346608.12000000005</v>
      </c>
      <c r="O475" s="7">
        <f t="shared" si="2504"/>
        <v>5025816.6950000003</v>
      </c>
      <c r="P475" s="7">
        <f t="shared" si="2568"/>
        <v>4996932.6850000005</v>
      </c>
      <c r="Q475" s="7">
        <f t="shared" si="2568"/>
        <v>4968048.6750000007</v>
      </c>
      <c r="R475" s="7">
        <f t="shared" si="2568"/>
        <v>4939164.665000001</v>
      </c>
      <c r="S475" s="7">
        <f t="shared" si="2568"/>
        <v>4910280.6550000012</v>
      </c>
      <c r="T475" s="7">
        <f t="shared" si="2568"/>
        <v>4881396.6450000014</v>
      </c>
      <c r="U475" s="7">
        <f t="shared" si="2568"/>
        <v>4852512.6350000016</v>
      </c>
      <c r="V475" s="7">
        <f t="shared" si="2568"/>
        <v>4823628.6250000019</v>
      </c>
      <c r="W475" s="7">
        <f t="shared" si="2568"/>
        <v>4794744.6150000021</v>
      </c>
      <c r="X475" s="7">
        <f t="shared" si="2568"/>
        <v>4765860.6050000023</v>
      </c>
      <c r="Y475" s="7">
        <f t="shared" si="2568"/>
        <v>4736976.5950000025</v>
      </c>
      <c r="Z475" s="7">
        <f t="shared" si="2568"/>
        <v>4708092.5850000028</v>
      </c>
      <c r="AA475" s="7">
        <f t="shared" si="2606"/>
        <v>107390.72619000003</v>
      </c>
      <c r="AB475" s="7"/>
      <c r="AC475" s="7">
        <f t="shared" si="2505"/>
        <v>346608.12000000005</v>
      </c>
      <c r="AD475" s="7">
        <f t="shared" si="2506"/>
        <v>4679208.575000003</v>
      </c>
      <c r="AE475" s="7">
        <f t="shared" si="2569"/>
        <v>4650324.5650000032</v>
      </c>
      <c r="AF475" s="7">
        <f t="shared" si="2569"/>
        <v>4621440.5550000034</v>
      </c>
      <c r="AG475" s="7">
        <f t="shared" si="2569"/>
        <v>4592556.5450000037</v>
      </c>
      <c r="AH475" s="7">
        <f t="shared" si="2569"/>
        <v>4563672.5350000039</v>
      </c>
      <c r="AI475" s="7">
        <f t="shared" si="2569"/>
        <v>4534788.5250000041</v>
      </c>
      <c r="AJ475" s="7">
        <f t="shared" si="2569"/>
        <v>4505904.5150000043</v>
      </c>
      <c r="AK475" s="7">
        <f t="shared" si="2569"/>
        <v>4477020.5050000045</v>
      </c>
      <c r="AL475" s="7">
        <f t="shared" si="2569"/>
        <v>4448136.4950000048</v>
      </c>
      <c r="AM475" s="7">
        <f t="shared" si="2569"/>
        <v>4419252.485000005</v>
      </c>
      <c r="AN475" s="7">
        <f t="shared" si="2569"/>
        <v>4390368.4750000052</v>
      </c>
      <c r="AO475" s="7">
        <f t="shared" si="2569"/>
        <v>4361484.4650000054</v>
      </c>
      <c r="AP475" s="222">
        <f t="shared" si="2607"/>
        <v>99765.347550000079</v>
      </c>
      <c r="AQ475" s="7">
        <v>28884.010000000006</v>
      </c>
      <c r="AR475" s="7">
        <f t="shared" si="2507"/>
        <v>28884.009999999776</v>
      </c>
      <c r="AS475" s="7">
        <f t="shared" si="2508"/>
        <v>-2.2919266484677792E-10</v>
      </c>
      <c r="AT475" s="7">
        <f t="shared" si="2570"/>
        <v>346608.12000000005</v>
      </c>
      <c r="AU475" s="7">
        <f t="shared" si="2571"/>
        <v>4332600.4550000057</v>
      </c>
      <c r="AV475" s="7">
        <f t="shared" si="2572"/>
        <v>4303716.4450000059</v>
      </c>
      <c r="AW475" s="7">
        <f t="shared" si="2572"/>
        <v>4274832.4350000061</v>
      </c>
      <c r="AX475" s="7">
        <f t="shared" si="2572"/>
        <v>4245948.4250000063</v>
      </c>
      <c r="AY475" s="7">
        <f t="shared" si="2572"/>
        <v>4217064.4150000066</v>
      </c>
      <c r="AZ475" s="7">
        <f t="shared" si="2572"/>
        <v>4188180.4050000068</v>
      </c>
      <c r="BA475" s="7">
        <f t="shared" si="2572"/>
        <v>4159296.395000007</v>
      </c>
      <c r="BB475" s="7">
        <f t="shared" si="2572"/>
        <v>4130412.3850000072</v>
      </c>
      <c r="BC475" s="7">
        <f t="shared" si="2572"/>
        <v>4101528.3750000075</v>
      </c>
      <c r="BD475" s="7">
        <f t="shared" si="2572"/>
        <v>4072644.3650000077</v>
      </c>
      <c r="BE475" s="7">
        <f t="shared" si="2572"/>
        <v>4043760.3550000079</v>
      </c>
      <c r="BF475" s="7">
        <f t="shared" si="2572"/>
        <v>4014876.3450000081</v>
      </c>
      <c r="BG475" s="236">
        <f t="shared" si="2503"/>
        <v>92139.968910000127</v>
      </c>
      <c r="BH475" s="7">
        <v>28884.010000000006</v>
      </c>
      <c r="BI475" s="39">
        <f t="shared" si="2611"/>
        <v>346608.12000000005</v>
      </c>
      <c r="BJ475" s="7">
        <f t="shared" si="2612"/>
        <v>3985992.3350000083</v>
      </c>
      <c r="BK475" s="7">
        <f t="shared" si="2573"/>
        <v>3957108.3250000086</v>
      </c>
      <c r="BL475" s="7">
        <f t="shared" si="2574"/>
        <v>3928224.3150000088</v>
      </c>
      <c r="BM475" s="7">
        <f t="shared" si="2575"/>
        <v>3899340.305000009</v>
      </c>
      <c r="BN475" s="7">
        <f t="shared" si="2576"/>
        <v>3870456.2950000092</v>
      </c>
      <c r="BO475" s="7">
        <f t="shared" si="2577"/>
        <v>3841572.2850000095</v>
      </c>
      <c r="BP475" s="7">
        <f t="shared" si="2578"/>
        <v>3812688.2750000097</v>
      </c>
      <c r="BQ475" s="7">
        <f t="shared" si="2579"/>
        <v>3783804.2650000099</v>
      </c>
      <c r="BR475" s="7">
        <f t="shared" si="2580"/>
        <v>3754920.2550000101</v>
      </c>
      <c r="BS475" s="7">
        <f t="shared" si="2581"/>
        <v>3726036.2450000104</v>
      </c>
      <c r="BT475" s="7">
        <f t="shared" si="2613"/>
        <v>3697152.2350000106</v>
      </c>
      <c r="BU475" s="7">
        <f t="shared" si="2614"/>
        <v>3668268.2250000108</v>
      </c>
      <c r="BV475" s="236">
        <f t="shared" si="2608"/>
        <v>84514.590270000204</v>
      </c>
      <c r="BW475" s="7">
        <v>28884.010000000006</v>
      </c>
      <c r="BX475" s="39">
        <f t="shared" si="2615"/>
        <v>346608.12000000005</v>
      </c>
      <c r="BY475" s="7">
        <f t="shared" si="2616"/>
        <v>3639384.215000011</v>
      </c>
      <c r="BZ475" s="7">
        <f t="shared" si="2617"/>
        <v>3610500.2050000113</v>
      </c>
      <c r="CA475" s="7">
        <f t="shared" si="2618"/>
        <v>3581616.1950000115</v>
      </c>
      <c r="CB475" s="7">
        <f t="shared" si="2619"/>
        <v>3552732.1850000117</v>
      </c>
      <c r="CC475" s="7">
        <f t="shared" si="2620"/>
        <v>3523848.1750000119</v>
      </c>
      <c r="CD475" s="7">
        <f t="shared" si="2621"/>
        <v>3494964.1650000121</v>
      </c>
      <c r="CE475" s="7">
        <f t="shared" si="2622"/>
        <v>3466080.1550000124</v>
      </c>
      <c r="CF475" s="7">
        <f t="shared" si="2623"/>
        <v>3437196.1450000126</v>
      </c>
      <c r="CG475" s="7">
        <f t="shared" si="2624"/>
        <v>3408312.1350000128</v>
      </c>
      <c r="CH475" s="7">
        <f t="shared" si="2625"/>
        <v>3379428.125000013</v>
      </c>
      <c r="CI475" s="7">
        <f t="shared" si="2626"/>
        <v>3350544.1150000133</v>
      </c>
      <c r="CJ475" s="7">
        <f t="shared" si="2627"/>
        <v>3321660.1050000135</v>
      </c>
      <c r="CK475" s="236">
        <f t="shared" si="2609"/>
        <v>76889.211630000253</v>
      </c>
      <c r="CL475" s="7">
        <v>28884.010000000006</v>
      </c>
      <c r="CM475" s="39">
        <f t="shared" si="2628"/>
        <v>346608.12000000005</v>
      </c>
      <c r="CN475" s="7">
        <f t="shared" si="2629"/>
        <v>3292776.0950000137</v>
      </c>
      <c r="CO475" s="7">
        <f t="shared" si="2630"/>
        <v>3263892.0850000139</v>
      </c>
      <c r="CP475" s="7">
        <f t="shared" si="2631"/>
        <v>3235008.0750000142</v>
      </c>
      <c r="CQ475" s="7">
        <f t="shared" si="2632"/>
        <v>3206124.0650000144</v>
      </c>
      <c r="CR475" s="7">
        <f t="shared" si="2633"/>
        <v>3177240.0550000146</v>
      </c>
      <c r="CS475" s="7">
        <f t="shared" si="2634"/>
        <v>3148356.0450000148</v>
      </c>
      <c r="CT475" s="7">
        <f t="shared" si="2635"/>
        <v>3119472.0350000151</v>
      </c>
      <c r="CU475" s="7">
        <f t="shared" si="2636"/>
        <v>3090588.0250000153</v>
      </c>
      <c r="CV475" s="7">
        <f t="shared" si="2637"/>
        <v>3061704.0150000155</v>
      </c>
      <c r="CW475" s="7">
        <f t="shared" si="2638"/>
        <v>3032820.0050000157</v>
      </c>
      <c r="CX475" s="7">
        <f t="shared" si="2639"/>
        <v>3003935.9950000159</v>
      </c>
      <c r="CY475" s="7">
        <f t="shared" si="2640"/>
        <v>2975051.9850000162</v>
      </c>
      <c r="CZ475" s="236">
        <f t="shared" si="2610"/>
        <v>69263.832990000315</v>
      </c>
    </row>
    <row r="476" spans="1:104" ht="22.5" x14ac:dyDescent="0.2">
      <c r="A476" s="6" t="str">
        <f>'[1]2021 УГРЦТ'!A479</f>
        <v>Трансформаторная подстанция, адрес: Ненецкий АО, Нарьян-Мар г, Юбилейная ул, дом №11</v>
      </c>
      <c r="B476" t="str">
        <f>'[1]2021 УГРЦТ'!B479</f>
        <v>000001751</v>
      </c>
      <c r="C476" t="str">
        <f>'[1]2021 УГРЦТ'!C479</f>
        <v>ПЕРЕДАЧА</v>
      </c>
      <c r="D476" t="str">
        <f>'[1]2021 УГРЦТ'!D479</f>
        <v>Здания</v>
      </c>
      <c r="E476" t="str">
        <f>'[1]2021 УГРЦТ'!E479</f>
        <v>07.11.2018</v>
      </c>
      <c r="F476" t="str">
        <f>'[1]2021 УГРЦТ'!F479</f>
        <v>Цех электрических сетей</v>
      </c>
      <c r="G476">
        <f>'[1]2021 УГРЦТ'!AC479</f>
        <v>181</v>
      </c>
      <c r="H476" s="7">
        <f>'[1]2021 УГРЦТ'!X479</f>
        <v>42621.63</v>
      </c>
      <c r="I476" s="7">
        <f>'[1]2021 УГРЦТ'!Y479</f>
        <v>8712.7434254143645</v>
      </c>
      <c r="J476" s="7">
        <f>'[1]2021 УГРЦТ'!Z479</f>
        <v>33908.886574585631</v>
      </c>
      <c r="K476" s="8">
        <v>1</v>
      </c>
      <c r="L476" s="7">
        <v>235.48</v>
      </c>
      <c r="M476" s="7"/>
      <c r="N476" s="7">
        <f t="shared" si="2270"/>
        <v>2825.7599999999998</v>
      </c>
      <c r="O476" s="7">
        <f t="shared" si="2504"/>
        <v>33673.406574585628</v>
      </c>
      <c r="P476" s="7">
        <f t="shared" si="2568"/>
        <v>33437.926574585625</v>
      </c>
      <c r="Q476" s="7">
        <f t="shared" si="2568"/>
        <v>33202.446574585621</v>
      </c>
      <c r="R476" s="7">
        <f t="shared" si="2568"/>
        <v>32966.966574585618</v>
      </c>
      <c r="S476" s="7">
        <f t="shared" si="2568"/>
        <v>32731.486574585619</v>
      </c>
      <c r="T476" s="7">
        <f t="shared" si="2568"/>
        <v>32496.006574585619</v>
      </c>
      <c r="U476" s="7">
        <f t="shared" si="2568"/>
        <v>32260.52657458562</v>
      </c>
      <c r="V476" s="7">
        <f t="shared" si="2568"/>
        <v>32025.04657458562</v>
      </c>
      <c r="W476" s="7">
        <f t="shared" si="2568"/>
        <v>31789.56657458562</v>
      </c>
      <c r="X476" s="7">
        <f t="shared" si="2568"/>
        <v>31554.086574585621</v>
      </c>
      <c r="Y476" s="7">
        <f t="shared" si="2568"/>
        <v>31318.606574585621</v>
      </c>
      <c r="Z476" s="7">
        <f t="shared" si="2568"/>
        <v>31083.126574585622</v>
      </c>
      <c r="AA476" s="7">
        <f t="shared" si="2606"/>
        <v>714.91214464088364</v>
      </c>
      <c r="AB476" s="7"/>
      <c r="AC476" s="7">
        <f t="shared" si="2505"/>
        <v>2825.7599999999998</v>
      </c>
      <c r="AD476" s="7">
        <f t="shared" si="2506"/>
        <v>30847.646574585622</v>
      </c>
      <c r="AE476" s="7">
        <f t="shared" si="2569"/>
        <v>30612.166574585623</v>
      </c>
      <c r="AF476" s="7">
        <f t="shared" si="2569"/>
        <v>30376.686574585623</v>
      </c>
      <c r="AG476" s="7">
        <f t="shared" si="2569"/>
        <v>30141.206574585623</v>
      </c>
      <c r="AH476" s="7">
        <f t="shared" si="2569"/>
        <v>29905.726574585624</v>
      </c>
      <c r="AI476" s="7">
        <f t="shared" si="2569"/>
        <v>29670.246574585624</v>
      </c>
      <c r="AJ476" s="7">
        <f t="shared" si="2569"/>
        <v>29434.766574585625</v>
      </c>
      <c r="AK476" s="7">
        <f t="shared" si="2569"/>
        <v>29199.286574585625</v>
      </c>
      <c r="AL476" s="7">
        <f t="shared" si="2569"/>
        <v>28963.806574585626</v>
      </c>
      <c r="AM476" s="7">
        <f t="shared" si="2569"/>
        <v>28728.326574585626</v>
      </c>
      <c r="AN476" s="7">
        <f t="shared" si="2569"/>
        <v>28492.846574585627</v>
      </c>
      <c r="AO476" s="7">
        <f t="shared" si="2569"/>
        <v>28257.366574585627</v>
      </c>
      <c r="AP476" s="222">
        <f t="shared" si="2607"/>
        <v>652.7454246408837</v>
      </c>
      <c r="AQ476" s="7">
        <v>235.48</v>
      </c>
      <c r="AR476" s="7">
        <f t="shared" si="2507"/>
        <v>235.47999999999956</v>
      </c>
      <c r="AS476" s="7">
        <f t="shared" si="2508"/>
        <v>-4.2632564145606011E-13</v>
      </c>
      <c r="AT476" s="7">
        <f t="shared" si="2570"/>
        <v>2825.7599999999998</v>
      </c>
      <c r="AU476" s="7">
        <f t="shared" si="2571"/>
        <v>28021.886574585627</v>
      </c>
      <c r="AV476" s="7">
        <f t="shared" si="2572"/>
        <v>27786.406574585628</v>
      </c>
      <c r="AW476" s="7">
        <f t="shared" si="2572"/>
        <v>27550.926574585628</v>
      </c>
      <c r="AX476" s="7">
        <f t="shared" si="2572"/>
        <v>27315.446574585629</v>
      </c>
      <c r="AY476" s="7">
        <f t="shared" si="2572"/>
        <v>27079.966574585629</v>
      </c>
      <c r="AZ476" s="7">
        <f t="shared" si="2572"/>
        <v>26844.48657458563</v>
      </c>
      <c r="BA476" s="7">
        <f t="shared" si="2572"/>
        <v>26609.00657458563</v>
      </c>
      <c r="BB476" s="7">
        <f t="shared" si="2572"/>
        <v>26373.52657458563</v>
      </c>
      <c r="BC476" s="7">
        <f t="shared" si="2572"/>
        <v>26138.046574585631</v>
      </c>
      <c r="BD476" s="7">
        <f t="shared" si="2572"/>
        <v>25902.566574585631</v>
      </c>
      <c r="BE476" s="7">
        <f t="shared" si="2572"/>
        <v>25667.086574585632</v>
      </c>
      <c r="BF476" s="7">
        <f t="shared" si="2572"/>
        <v>25431.606574585632</v>
      </c>
      <c r="BG476" s="236">
        <f t="shared" si="2503"/>
        <v>590.57870464088387</v>
      </c>
      <c r="BH476" s="7">
        <v>235.48</v>
      </c>
      <c r="BI476" s="39">
        <f t="shared" si="2611"/>
        <v>2825.7599999999998</v>
      </c>
      <c r="BJ476" s="7">
        <f t="shared" si="2612"/>
        <v>25196.126574585633</v>
      </c>
      <c r="BK476" s="7">
        <f t="shared" si="2573"/>
        <v>24960.646574585633</v>
      </c>
      <c r="BL476" s="7">
        <f t="shared" si="2574"/>
        <v>24725.166574585633</v>
      </c>
      <c r="BM476" s="7">
        <f t="shared" si="2575"/>
        <v>24489.686574585634</v>
      </c>
      <c r="BN476" s="7">
        <f t="shared" si="2576"/>
        <v>24254.206574585634</v>
      </c>
      <c r="BO476" s="7">
        <f t="shared" si="2577"/>
        <v>24018.726574585635</v>
      </c>
      <c r="BP476" s="7">
        <f t="shared" si="2578"/>
        <v>23783.246574585635</v>
      </c>
      <c r="BQ476" s="7">
        <f t="shared" si="2579"/>
        <v>23547.766574585636</v>
      </c>
      <c r="BR476" s="7">
        <f t="shared" si="2580"/>
        <v>23312.286574585636</v>
      </c>
      <c r="BS476" s="7">
        <f t="shared" si="2581"/>
        <v>23076.806574585637</v>
      </c>
      <c r="BT476" s="7">
        <f t="shared" si="2613"/>
        <v>22841.326574585637</v>
      </c>
      <c r="BU476" s="7">
        <f t="shared" si="2614"/>
        <v>22605.846574585637</v>
      </c>
      <c r="BV476" s="236">
        <f t="shared" si="2608"/>
        <v>528.41198464088404</v>
      </c>
      <c r="BW476" s="7">
        <v>235.48</v>
      </c>
      <c r="BX476" s="39">
        <f t="shared" si="2615"/>
        <v>2825.7599999999998</v>
      </c>
      <c r="BY476" s="7">
        <f t="shared" si="2616"/>
        <v>22370.366574585638</v>
      </c>
      <c r="BZ476" s="7">
        <f t="shared" si="2617"/>
        <v>22134.886574585638</v>
      </c>
      <c r="CA476" s="7">
        <f t="shared" si="2618"/>
        <v>21899.406574585639</v>
      </c>
      <c r="CB476" s="7">
        <f t="shared" si="2619"/>
        <v>21663.926574585639</v>
      </c>
      <c r="CC476" s="7">
        <f t="shared" si="2620"/>
        <v>21428.44657458564</v>
      </c>
      <c r="CD476" s="7">
        <f t="shared" si="2621"/>
        <v>21192.96657458564</v>
      </c>
      <c r="CE476" s="7">
        <f t="shared" si="2622"/>
        <v>20957.48657458564</v>
      </c>
      <c r="CF476" s="7">
        <f t="shared" si="2623"/>
        <v>20722.006574585641</v>
      </c>
      <c r="CG476" s="7">
        <f t="shared" si="2624"/>
        <v>20486.526574585641</v>
      </c>
      <c r="CH476" s="7">
        <f t="shared" si="2625"/>
        <v>20251.046574585642</v>
      </c>
      <c r="CI476" s="7">
        <f t="shared" si="2626"/>
        <v>20015.566574585642</v>
      </c>
      <c r="CJ476" s="7">
        <f t="shared" si="2627"/>
        <v>19780.086574585643</v>
      </c>
      <c r="CK476" s="236">
        <f t="shared" si="2609"/>
        <v>466.24526464088416</v>
      </c>
      <c r="CL476" s="7">
        <v>235.48</v>
      </c>
      <c r="CM476" s="39">
        <f t="shared" si="2628"/>
        <v>2825.7599999999998</v>
      </c>
      <c r="CN476" s="7">
        <f t="shared" si="2629"/>
        <v>19544.606574585643</v>
      </c>
      <c r="CO476" s="7">
        <f t="shared" si="2630"/>
        <v>19309.126574585644</v>
      </c>
      <c r="CP476" s="7">
        <f t="shared" si="2631"/>
        <v>19073.646574585644</v>
      </c>
      <c r="CQ476" s="7">
        <f t="shared" si="2632"/>
        <v>18838.166574585644</v>
      </c>
      <c r="CR476" s="7">
        <f t="shared" si="2633"/>
        <v>18602.686574585645</v>
      </c>
      <c r="CS476" s="7">
        <f t="shared" si="2634"/>
        <v>18367.206574585645</v>
      </c>
      <c r="CT476" s="7">
        <f t="shared" si="2635"/>
        <v>18131.726574585646</v>
      </c>
      <c r="CU476" s="7">
        <f t="shared" si="2636"/>
        <v>17896.246574585646</v>
      </c>
      <c r="CV476" s="7">
        <f t="shared" si="2637"/>
        <v>17660.766574585647</v>
      </c>
      <c r="CW476" s="7">
        <f t="shared" si="2638"/>
        <v>17425.286574585647</v>
      </c>
      <c r="CX476" s="7">
        <f t="shared" si="2639"/>
        <v>17189.806574585647</v>
      </c>
      <c r="CY476" s="7">
        <f t="shared" si="2640"/>
        <v>16954.326574585648</v>
      </c>
      <c r="CZ476" s="236">
        <f t="shared" si="2610"/>
        <v>404.07854464088416</v>
      </c>
    </row>
    <row r="477" spans="1:104" x14ac:dyDescent="0.2">
      <c r="A477" s="6" t="str">
        <f>'[1]2021 УГРЦТ'!A480</f>
        <v>ТрансформаторТМ-160 КВА 6/0,4 №16733 2007г</v>
      </c>
      <c r="B477" t="str">
        <f>'[1]2021 УГРЦТ'!B480</f>
        <v>00001041</v>
      </c>
      <c r="C477" t="str">
        <f>'[1]2021 УГРЦТ'!C480</f>
        <v>ПЕРЕДАЧА</v>
      </c>
      <c r="D477" t="str">
        <f>'[1]2021 УГРЦТ'!D480</f>
        <v>Машины и оборудование (кроме офисного)</v>
      </c>
      <c r="E477" t="str">
        <f>'[1]2021 УГРЦТ'!E480</f>
        <v>31.07.2007</v>
      </c>
      <c r="F477" t="str">
        <f>'[1]2021 УГРЦТ'!F480</f>
        <v>Цех электрических сетей</v>
      </c>
      <c r="G477">
        <f>'[1]2021 УГРЦТ'!AC480</f>
        <v>240</v>
      </c>
      <c r="H477" s="7">
        <f>'[1]2021 УГРЦТ'!X480</f>
        <v>133941.79</v>
      </c>
      <c r="I477" s="7">
        <f>'[1]2021 УГРЦТ'!Y480</f>
        <v>96549.579500000007</v>
      </c>
      <c r="J477" s="7">
        <f>'[1]2021 УГРЦТ'!Z480</f>
        <v>37392.210500000001</v>
      </c>
      <c r="K477" s="8">
        <v>0</v>
      </c>
      <c r="L477" s="7">
        <v>558.09</v>
      </c>
      <c r="M477" s="7"/>
      <c r="N477" s="7">
        <f t="shared" si="2270"/>
        <v>6697.08</v>
      </c>
      <c r="O477" s="7">
        <f t="shared" si="2504"/>
        <v>36834.120500000005</v>
      </c>
      <c r="P477" s="7">
        <f t="shared" si="2568"/>
        <v>36276.030500000008</v>
      </c>
      <c r="Q477" s="7">
        <f t="shared" si="2568"/>
        <v>35717.940500000012</v>
      </c>
      <c r="R477" s="7">
        <f t="shared" si="2568"/>
        <v>35159.850500000015</v>
      </c>
      <c r="S477" s="7">
        <f t="shared" si="2568"/>
        <v>34601.760500000019</v>
      </c>
      <c r="T477" s="7">
        <f t="shared" si="2568"/>
        <v>34043.670500000022</v>
      </c>
      <c r="U477" s="7">
        <f t="shared" si="2568"/>
        <v>33485.580500000025</v>
      </c>
      <c r="V477" s="7">
        <f t="shared" si="2568"/>
        <v>32927.490500000029</v>
      </c>
      <c r="W477" s="7">
        <f t="shared" si="2568"/>
        <v>32369.400500000029</v>
      </c>
      <c r="X477" s="7">
        <f t="shared" si="2568"/>
        <v>31811.310500000029</v>
      </c>
      <c r="Y477" s="7">
        <f t="shared" si="2568"/>
        <v>31253.220500000029</v>
      </c>
      <c r="Z477" s="7">
        <f t="shared" si="2568"/>
        <v>30695.130500000028</v>
      </c>
      <c r="AA477" s="7"/>
      <c r="AB477" s="7"/>
      <c r="AC477" s="7">
        <f t="shared" si="2505"/>
        <v>6697.08</v>
      </c>
      <c r="AD477" s="7">
        <f t="shared" si="2506"/>
        <v>30137.040500000028</v>
      </c>
      <c r="AE477" s="7">
        <f t="shared" si="2569"/>
        <v>29578.950500000028</v>
      </c>
      <c r="AF477" s="7">
        <f t="shared" si="2569"/>
        <v>29020.860500000028</v>
      </c>
      <c r="AG477" s="7">
        <f t="shared" si="2569"/>
        <v>28462.770500000028</v>
      </c>
      <c r="AH477" s="7">
        <f t="shared" si="2569"/>
        <v>27904.680500000028</v>
      </c>
      <c r="AI477" s="7">
        <f t="shared" si="2569"/>
        <v>27346.590500000028</v>
      </c>
      <c r="AJ477" s="7">
        <f t="shared" si="2569"/>
        <v>26788.500500000027</v>
      </c>
      <c r="AK477" s="7">
        <f t="shared" si="2569"/>
        <v>26230.410500000027</v>
      </c>
      <c r="AL477" s="7">
        <f t="shared" si="2569"/>
        <v>25672.320500000027</v>
      </c>
      <c r="AM477" s="7">
        <f t="shared" si="2569"/>
        <v>25114.230500000027</v>
      </c>
      <c r="AN477" s="7">
        <f t="shared" si="2569"/>
        <v>24556.140500000027</v>
      </c>
      <c r="AO477" s="7">
        <f t="shared" si="2569"/>
        <v>23998.050500000027</v>
      </c>
      <c r="AP477" s="222"/>
      <c r="AQ477" s="7">
        <v>558.09</v>
      </c>
      <c r="AR477" s="7">
        <f t="shared" si="2507"/>
        <v>558.09000000000015</v>
      </c>
      <c r="AS477" s="7">
        <f t="shared" si="2508"/>
        <v>0</v>
      </c>
      <c r="AT477" s="7">
        <f t="shared" si="2570"/>
        <v>6697.08</v>
      </c>
      <c r="AU477" s="7">
        <f t="shared" si="2571"/>
        <v>23439.960500000027</v>
      </c>
      <c r="AV477" s="7">
        <f t="shared" si="2572"/>
        <v>22881.870500000026</v>
      </c>
      <c r="AW477" s="7">
        <f t="shared" si="2572"/>
        <v>22323.780500000026</v>
      </c>
      <c r="AX477" s="7">
        <f t="shared" si="2572"/>
        <v>21765.690500000026</v>
      </c>
      <c r="AY477" s="7">
        <f t="shared" si="2572"/>
        <v>21207.600500000026</v>
      </c>
      <c r="AZ477" s="7">
        <f t="shared" si="2572"/>
        <v>20649.510500000026</v>
      </c>
      <c r="BA477" s="7">
        <f t="shared" si="2572"/>
        <v>20091.420500000026</v>
      </c>
      <c r="BB477" s="7">
        <f t="shared" si="2572"/>
        <v>19533.330500000025</v>
      </c>
      <c r="BC477" s="7">
        <f t="shared" si="2572"/>
        <v>18975.240500000025</v>
      </c>
      <c r="BD477" s="7">
        <f t="shared" si="2572"/>
        <v>18417.150500000025</v>
      </c>
      <c r="BE477" s="7">
        <f t="shared" si="2572"/>
        <v>17859.060500000025</v>
      </c>
      <c r="BF477" s="7">
        <f t="shared" si="2572"/>
        <v>17300.970500000025</v>
      </c>
      <c r="BG477" s="236">
        <f t="shared" si="2503"/>
        <v>0</v>
      </c>
      <c r="BH477" s="7">
        <v>558.09</v>
      </c>
      <c r="BI477" s="39">
        <f t="shared" si="2611"/>
        <v>6697.08</v>
      </c>
      <c r="BJ477" s="7">
        <f t="shared" si="2612"/>
        <v>16742.880500000025</v>
      </c>
      <c r="BK477" s="7">
        <f t="shared" si="2573"/>
        <v>16184.790500000025</v>
      </c>
      <c r="BL477" s="7">
        <f t="shared" si="2574"/>
        <v>15626.700500000024</v>
      </c>
      <c r="BM477" s="7">
        <f t="shared" si="2575"/>
        <v>15068.610500000024</v>
      </c>
      <c r="BN477" s="7">
        <f t="shared" si="2576"/>
        <v>14510.520500000024</v>
      </c>
      <c r="BO477" s="7">
        <f t="shared" si="2577"/>
        <v>13952.430500000024</v>
      </c>
      <c r="BP477" s="7">
        <f t="shared" si="2578"/>
        <v>13394.340500000024</v>
      </c>
      <c r="BQ477" s="7">
        <f t="shared" si="2579"/>
        <v>12836.250500000024</v>
      </c>
      <c r="BR477" s="7">
        <f t="shared" si="2580"/>
        <v>12278.160500000024</v>
      </c>
      <c r="BS477" s="7">
        <f t="shared" si="2581"/>
        <v>11720.070500000023</v>
      </c>
      <c r="BT477" s="7">
        <f t="shared" si="2613"/>
        <v>11161.980500000023</v>
      </c>
      <c r="BU477" s="7">
        <f t="shared" si="2614"/>
        <v>10603.890500000023</v>
      </c>
      <c r="BV477" s="236">
        <v>0</v>
      </c>
      <c r="BW477" s="7">
        <v>558.09</v>
      </c>
      <c r="BX477" s="39">
        <f t="shared" si="2615"/>
        <v>6697.08</v>
      </c>
      <c r="BY477" s="7">
        <f t="shared" si="2616"/>
        <v>10045.800500000023</v>
      </c>
      <c r="BZ477" s="7">
        <f t="shared" si="2617"/>
        <v>9487.7105000000229</v>
      </c>
      <c r="CA477" s="7">
        <f t="shared" si="2618"/>
        <v>8929.6205000000227</v>
      </c>
      <c r="CB477" s="7">
        <f t="shared" si="2619"/>
        <v>8371.5305000000226</v>
      </c>
      <c r="CC477" s="7">
        <f t="shared" si="2620"/>
        <v>7813.4405000000224</v>
      </c>
      <c r="CD477" s="7">
        <f t="shared" si="2621"/>
        <v>7255.3505000000223</v>
      </c>
      <c r="CE477" s="7">
        <f t="shared" si="2622"/>
        <v>6697.2605000000221</v>
      </c>
      <c r="CF477" s="7">
        <f t="shared" si="2623"/>
        <v>6139.170500000022</v>
      </c>
      <c r="CG477" s="7">
        <f t="shared" si="2624"/>
        <v>5581.0805000000219</v>
      </c>
      <c r="CH477" s="7">
        <f t="shared" si="2625"/>
        <v>5022.9905000000217</v>
      </c>
      <c r="CI477" s="7">
        <f t="shared" si="2626"/>
        <v>4464.9005000000216</v>
      </c>
      <c r="CJ477" s="7">
        <f t="shared" si="2627"/>
        <v>3906.8105000000214</v>
      </c>
      <c r="CK477" s="236">
        <v>0</v>
      </c>
      <c r="CL477" s="7">
        <v>558.09</v>
      </c>
      <c r="CM477" s="39">
        <f t="shared" si="2628"/>
        <v>6697.08</v>
      </c>
      <c r="CN477" s="7">
        <f t="shared" si="2629"/>
        <v>3348.7205000000213</v>
      </c>
      <c r="CO477" s="7">
        <f t="shared" si="2630"/>
        <v>2790.6305000000211</v>
      </c>
      <c r="CP477" s="7">
        <f t="shared" si="2631"/>
        <v>2232.540500000021</v>
      </c>
      <c r="CQ477" s="7">
        <f t="shared" si="2632"/>
        <v>1674.4505000000208</v>
      </c>
      <c r="CR477" s="7">
        <f t="shared" si="2633"/>
        <v>1116.3605000000207</v>
      </c>
      <c r="CS477" s="7">
        <f t="shared" si="2634"/>
        <v>558.27050000002066</v>
      </c>
      <c r="CT477" s="7">
        <f t="shared" si="2635"/>
        <v>0.18050000002062916</v>
      </c>
      <c r="CU477" s="7"/>
      <c r="CV477" s="7"/>
      <c r="CW477" s="7"/>
      <c r="CX477" s="7"/>
      <c r="CY477" s="7"/>
      <c r="CZ477" s="236">
        <v>0</v>
      </c>
    </row>
    <row r="478" spans="1:104" x14ac:dyDescent="0.2">
      <c r="A478" s="6" t="str">
        <f>'[1]2021 УГРЦТ'!A481</f>
        <v>ТрансформаторТМ-400 КВА 6/,04 №8386 2007г</v>
      </c>
      <c r="B478" t="str">
        <f>'[1]2021 УГРЦТ'!B481</f>
        <v>00001046</v>
      </c>
      <c r="C478" t="str">
        <f>'[1]2021 УГРЦТ'!C481</f>
        <v>ПЕРЕДАЧА</v>
      </c>
      <c r="D478" t="str">
        <f>'[1]2021 УГРЦТ'!D481</f>
        <v>Машины и оборудование (кроме офисного)</v>
      </c>
      <c r="E478" t="str">
        <f>'[1]2021 УГРЦТ'!E481</f>
        <v>31.07.2007</v>
      </c>
      <c r="F478" t="str">
        <f>'[1]2021 УГРЦТ'!F481</f>
        <v>Цех электрических сетей</v>
      </c>
      <c r="G478">
        <f>'[1]2021 УГРЦТ'!AC481</f>
        <v>240</v>
      </c>
      <c r="H478" s="7">
        <f>'[1]2021 УГРЦТ'!X481</f>
        <v>182634.77</v>
      </c>
      <c r="I478" s="7">
        <f>'[1]2021 УГРЦТ'!Y481</f>
        <v>131649.51850000001</v>
      </c>
      <c r="J478" s="7">
        <f>'[1]2021 УГРЦТ'!Z481</f>
        <v>50985.251499999984</v>
      </c>
      <c r="K478" s="8">
        <v>0</v>
      </c>
      <c r="L478" s="7">
        <v>760.9799999999999</v>
      </c>
      <c r="M478" s="7"/>
      <c r="N478" s="7">
        <f t="shared" si="2270"/>
        <v>9131.7599999999984</v>
      </c>
      <c r="O478" s="7">
        <f t="shared" si="2504"/>
        <v>50224.271499999981</v>
      </c>
      <c r="P478" s="7">
        <f t="shared" si="2568"/>
        <v>49463.291499999978</v>
      </c>
      <c r="Q478" s="7">
        <f t="shared" si="2568"/>
        <v>48702.311499999974</v>
      </c>
      <c r="R478" s="7">
        <f t="shared" si="2568"/>
        <v>47941.331499999971</v>
      </c>
      <c r="S478" s="7">
        <f t="shared" si="2568"/>
        <v>47180.351499999968</v>
      </c>
      <c r="T478" s="7">
        <f t="shared" si="2568"/>
        <v>46419.371499999965</v>
      </c>
      <c r="U478" s="7">
        <f t="shared" si="2568"/>
        <v>45658.391499999962</v>
      </c>
      <c r="V478" s="7">
        <f t="shared" si="2568"/>
        <v>44897.411499999958</v>
      </c>
      <c r="W478" s="7">
        <f t="shared" si="2568"/>
        <v>44136.431499999955</v>
      </c>
      <c r="X478" s="7">
        <f t="shared" si="2568"/>
        <v>43375.451499999952</v>
      </c>
      <c r="Y478" s="7">
        <f t="shared" si="2568"/>
        <v>42614.471499999949</v>
      </c>
      <c r="Z478" s="7">
        <f t="shared" si="2568"/>
        <v>41853.491499999946</v>
      </c>
      <c r="AA478" s="7"/>
      <c r="AB478" s="7"/>
      <c r="AC478" s="7">
        <f t="shared" si="2505"/>
        <v>9131.7599999999984</v>
      </c>
      <c r="AD478" s="7">
        <f t="shared" si="2506"/>
        <v>41092.511499999942</v>
      </c>
      <c r="AE478" s="7">
        <f t="shared" si="2569"/>
        <v>40331.531499999939</v>
      </c>
      <c r="AF478" s="7">
        <f t="shared" si="2569"/>
        <v>39570.551499999936</v>
      </c>
      <c r="AG478" s="7">
        <f t="shared" si="2569"/>
        <v>38809.571499999933</v>
      </c>
      <c r="AH478" s="7">
        <f t="shared" si="2569"/>
        <v>38048.59149999993</v>
      </c>
      <c r="AI478" s="7">
        <f t="shared" si="2569"/>
        <v>37287.611499999926</v>
      </c>
      <c r="AJ478" s="7">
        <f t="shared" si="2569"/>
        <v>36526.631499999923</v>
      </c>
      <c r="AK478" s="7">
        <f t="shared" si="2569"/>
        <v>35765.65149999992</v>
      </c>
      <c r="AL478" s="7">
        <f t="shared" si="2569"/>
        <v>35004.671499999917</v>
      </c>
      <c r="AM478" s="7">
        <f t="shared" si="2569"/>
        <v>34243.691499999914</v>
      </c>
      <c r="AN478" s="7">
        <f t="shared" si="2569"/>
        <v>33482.71149999991</v>
      </c>
      <c r="AO478" s="7">
        <f t="shared" si="2569"/>
        <v>32721.731499999911</v>
      </c>
      <c r="AP478" s="222"/>
      <c r="AQ478" s="7">
        <v>760.9799999999999</v>
      </c>
      <c r="AR478" s="7">
        <f t="shared" si="2507"/>
        <v>760.97999999999956</v>
      </c>
      <c r="AS478" s="7">
        <f t="shared" si="2508"/>
        <v>0</v>
      </c>
      <c r="AT478" s="7">
        <f t="shared" si="2570"/>
        <v>9131.7599999999984</v>
      </c>
      <c r="AU478" s="7">
        <f t="shared" si="2571"/>
        <v>31960.751499999911</v>
      </c>
      <c r="AV478" s="7">
        <f t="shared" si="2572"/>
        <v>31199.771499999912</v>
      </c>
      <c r="AW478" s="7">
        <f t="shared" si="2572"/>
        <v>30438.791499999912</v>
      </c>
      <c r="AX478" s="7">
        <f t="shared" si="2572"/>
        <v>29677.811499999912</v>
      </c>
      <c r="AY478" s="7">
        <f t="shared" si="2572"/>
        <v>28916.831499999913</v>
      </c>
      <c r="AZ478" s="7">
        <f t="shared" si="2572"/>
        <v>28155.851499999913</v>
      </c>
      <c r="BA478" s="7">
        <f t="shared" si="2572"/>
        <v>27394.871499999914</v>
      </c>
      <c r="BB478" s="7">
        <f t="shared" si="2572"/>
        <v>26633.891499999914</v>
      </c>
      <c r="BC478" s="7">
        <f t="shared" si="2572"/>
        <v>25872.911499999915</v>
      </c>
      <c r="BD478" s="7">
        <f t="shared" si="2572"/>
        <v>25111.931499999915</v>
      </c>
      <c r="BE478" s="7">
        <f t="shared" si="2572"/>
        <v>24350.951499999916</v>
      </c>
      <c r="BF478" s="7">
        <f t="shared" si="2572"/>
        <v>23589.971499999916</v>
      </c>
      <c r="BG478" s="236">
        <f t="shared" si="2503"/>
        <v>0</v>
      </c>
      <c r="BH478" s="7">
        <v>760.9799999999999</v>
      </c>
      <c r="BI478" s="39">
        <f t="shared" si="2611"/>
        <v>9131.7599999999984</v>
      </c>
      <c r="BJ478" s="7">
        <f t="shared" si="2612"/>
        <v>22828.991499999916</v>
      </c>
      <c r="BK478" s="7">
        <f t="shared" si="2573"/>
        <v>22068.011499999917</v>
      </c>
      <c r="BL478" s="7">
        <f t="shared" si="2574"/>
        <v>21307.031499999917</v>
      </c>
      <c r="BM478" s="7">
        <f t="shared" si="2575"/>
        <v>20546.051499999918</v>
      </c>
      <c r="BN478" s="7">
        <f t="shared" si="2576"/>
        <v>19785.071499999918</v>
      </c>
      <c r="BO478" s="7">
        <f t="shared" si="2577"/>
        <v>19024.091499999919</v>
      </c>
      <c r="BP478" s="7">
        <f t="shared" si="2578"/>
        <v>18263.111499999919</v>
      </c>
      <c r="BQ478" s="7">
        <f t="shared" si="2579"/>
        <v>17502.131499999919</v>
      </c>
      <c r="BR478" s="7">
        <f t="shared" si="2580"/>
        <v>16741.15149999992</v>
      </c>
      <c r="BS478" s="7">
        <f t="shared" si="2581"/>
        <v>15980.17149999992</v>
      </c>
      <c r="BT478" s="7">
        <f t="shared" si="2613"/>
        <v>15219.191499999921</v>
      </c>
      <c r="BU478" s="7">
        <f t="shared" si="2614"/>
        <v>14458.211499999921</v>
      </c>
      <c r="BV478" s="236">
        <v>0</v>
      </c>
      <c r="BW478" s="7">
        <v>760.9799999999999</v>
      </c>
      <c r="BX478" s="39">
        <f t="shared" si="2615"/>
        <v>9131.7599999999984</v>
      </c>
      <c r="BY478" s="7">
        <f t="shared" si="2616"/>
        <v>13697.231499999922</v>
      </c>
      <c r="BZ478" s="7">
        <f t="shared" si="2617"/>
        <v>12936.251499999922</v>
      </c>
      <c r="CA478" s="7">
        <f t="shared" si="2618"/>
        <v>12175.271499999923</v>
      </c>
      <c r="CB478" s="7">
        <f t="shared" si="2619"/>
        <v>11414.291499999923</v>
      </c>
      <c r="CC478" s="7">
        <f t="shared" si="2620"/>
        <v>10653.311499999923</v>
      </c>
      <c r="CD478" s="7">
        <f t="shared" si="2621"/>
        <v>9892.3314999999238</v>
      </c>
      <c r="CE478" s="7">
        <f t="shared" si="2622"/>
        <v>9131.3514999999243</v>
      </c>
      <c r="CF478" s="7">
        <f t="shared" si="2623"/>
        <v>8370.3714999999247</v>
      </c>
      <c r="CG478" s="7">
        <f t="shared" si="2624"/>
        <v>7609.3914999999251</v>
      </c>
      <c r="CH478" s="7">
        <f t="shared" si="2625"/>
        <v>6848.4114999999256</v>
      </c>
      <c r="CI478" s="7">
        <f t="shared" si="2626"/>
        <v>6087.431499999926</v>
      </c>
      <c r="CJ478" s="7">
        <f t="shared" si="2627"/>
        <v>5326.4514999999265</v>
      </c>
      <c r="CK478" s="236">
        <v>0</v>
      </c>
      <c r="CL478" s="7">
        <v>760.9799999999999</v>
      </c>
      <c r="CM478" s="39">
        <v>5326.45</v>
      </c>
      <c r="CN478" s="7">
        <f t="shared" si="2629"/>
        <v>4565.4714999999269</v>
      </c>
      <c r="CO478" s="7">
        <f t="shared" si="2630"/>
        <v>3804.4914999999269</v>
      </c>
      <c r="CP478" s="7">
        <f t="shared" si="2631"/>
        <v>3043.5114999999269</v>
      </c>
      <c r="CQ478" s="7">
        <f t="shared" si="2632"/>
        <v>2282.5314999999268</v>
      </c>
      <c r="CR478" s="7">
        <f t="shared" si="2633"/>
        <v>1521.5514999999268</v>
      </c>
      <c r="CS478" s="7">
        <f t="shared" si="2634"/>
        <v>760.57149999992691</v>
      </c>
      <c r="CT478" s="7"/>
      <c r="CU478" s="7"/>
      <c r="CV478" s="7"/>
      <c r="CW478" s="7"/>
      <c r="CX478" s="7"/>
      <c r="CY478" s="7"/>
      <c r="CZ478" s="236">
        <v>0</v>
      </c>
    </row>
    <row r="479" spans="1:104" x14ac:dyDescent="0.2">
      <c r="A479" s="6" t="str">
        <f>'[1]2021 УГРЦТ'!A482</f>
        <v>Трансф-р масляный ТМГ 250/6/0,4У/Ун-0 зав.№1695586</v>
      </c>
      <c r="B479" t="str">
        <f>'[1]2021 УГРЦТ'!B482</f>
        <v>00001365</v>
      </c>
      <c r="C479" t="str">
        <f>'[1]2021 УГРЦТ'!C482</f>
        <v>ПЕРЕДАЧА</v>
      </c>
      <c r="D479" t="str">
        <f>'[1]2021 УГРЦТ'!D482</f>
        <v>Машины и оборудование (кроме офисного)</v>
      </c>
      <c r="E479" t="str">
        <f>'[1]2021 УГРЦТ'!E482</f>
        <v>06.09.2011</v>
      </c>
      <c r="F479" t="str">
        <f>'[1]2021 УГРЦТ'!F482</f>
        <v>Цех электрических сетей</v>
      </c>
      <c r="G479">
        <f>'[1]2021 УГРЦТ'!AC482</f>
        <v>240</v>
      </c>
      <c r="H479" s="7">
        <f>'[1]2021 УГРЦТ'!X482</f>
        <v>128403.61</v>
      </c>
      <c r="I479" s="7">
        <f>'[1]2021 УГРЦТ'!Y482</f>
        <v>65807.400500000003</v>
      </c>
      <c r="J479" s="7">
        <f>'[1]2021 УГРЦТ'!Z482</f>
        <v>62596.209499999997</v>
      </c>
      <c r="K479" s="8">
        <v>0</v>
      </c>
      <c r="L479" s="7">
        <v>535.0200000000001</v>
      </c>
      <c r="M479" s="7"/>
      <c r="N479" s="7">
        <f t="shared" si="2270"/>
        <v>6420.2400000000016</v>
      </c>
      <c r="O479" s="7">
        <f t="shared" si="2504"/>
        <v>62061.1895</v>
      </c>
      <c r="P479" s="7">
        <f t="shared" si="2568"/>
        <v>61526.169500000004</v>
      </c>
      <c r="Q479" s="7">
        <f t="shared" si="2568"/>
        <v>60991.149500000007</v>
      </c>
      <c r="R479" s="7">
        <f t="shared" si="2568"/>
        <v>60456.12950000001</v>
      </c>
      <c r="S479" s="7">
        <f t="shared" si="2568"/>
        <v>59921.109500000013</v>
      </c>
      <c r="T479" s="7">
        <f t="shared" si="2568"/>
        <v>59386.089500000016</v>
      </c>
      <c r="U479" s="7">
        <f t="shared" si="2568"/>
        <v>58851.06950000002</v>
      </c>
      <c r="V479" s="7">
        <f t="shared" si="2568"/>
        <v>58316.049500000023</v>
      </c>
      <c r="W479" s="7">
        <f t="shared" si="2568"/>
        <v>57781.029500000026</v>
      </c>
      <c r="X479" s="7">
        <f t="shared" si="2568"/>
        <v>57246.009500000029</v>
      </c>
      <c r="Y479" s="7">
        <f t="shared" si="2568"/>
        <v>56710.989500000032</v>
      </c>
      <c r="Z479" s="7">
        <f t="shared" si="2568"/>
        <v>56175.969500000036</v>
      </c>
      <c r="AA479" s="7"/>
      <c r="AB479" s="7"/>
      <c r="AC479" s="7">
        <f t="shared" si="2505"/>
        <v>6420.2400000000016</v>
      </c>
      <c r="AD479" s="7">
        <f t="shared" si="2506"/>
        <v>55640.949500000039</v>
      </c>
      <c r="AE479" s="7">
        <f t="shared" si="2569"/>
        <v>55105.929500000042</v>
      </c>
      <c r="AF479" s="7">
        <f t="shared" si="2569"/>
        <v>54570.909500000045</v>
      </c>
      <c r="AG479" s="7">
        <f t="shared" si="2569"/>
        <v>54035.889500000048</v>
      </c>
      <c r="AH479" s="7">
        <f t="shared" si="2569"/>
        <v>53500.869500000052</v>
      </c>
      <c r="AI479" s="7">
        <f t="shared" si="2569"/>
        <v>52965.849500000055</v>
      </c>
      <c r="AJ479" s="7">
        <f t="shared" si="2569"/>
        <v>52430.829500000058</v>
      </c>
      <c r="AK479" s="7">
        <f t="shared" si="2569"/>
        <v>51895.809500000061</v>
      </c>
      <c r="AL479" s="7">
        <f t="shared" si="2569"/>
        <v>51360.789500000064</v>
      </c>
      <c r="AM479" s="7">
        <f t="shared" si="2569"/>
        <v>50825.769500000068</v>
      </c>
      <c r="AN479" s="7">
        <f t="shared" si="2569"/>
        <v>50290.749500000071</v>
      </c>
      <c r="AO479" s="7">
        <f t="shared" si="2569"/>
        <v>49755.729500000074</v>
      </c>
      <c r="AP479" s="222"/>
      <c r="AQ479" s="7">
        <v>535.0200000000001</v>
      </c>
      <c r="AR479" s="7">
        <f t="shared" si="2507"/>
        <v>535.0199999999968</v>
      </c>
      <c r="AS479" s="7">
        <f t="shared" si="2508"/>
        <v>-3.2969182939268649E-12</v>
      </c>
      <c r="AT479" s="7">
        <f t="shared" si="2570"/>
        <v>6420.2400000000016</v>
      </c>
      <c r="AU479" s="7">
        <f t="shared" si="2571"/>
        <v>49220.709500000077</v>
      </c>
      <c r="AV479" s="7">
        <f t="shared" si="2572"/>
        <v>48685.68950000008</v>
      </c>
      <c r="AW479" s="7">
        <f t="shared" si="2572"/>
        <v>48150.669500000084</v>
      </c>
      <c r="AX479" s="7">
        <f t="shared" si="2572"/>
        <v>47615.649500000087</v>
      </c>
      <c r="AY479" s="7">
        <f t="shared" si="2572"/>
        <v>47080.62950000009</v>
      </c>
      <c r="AZ479" s="7">
        <f t="shared" si="2572"/>
        <v>46545.609500000093</v>
      </c>
      <c r="BA479" s="7">
        <f t="shared" si="2572"/>
        <v>46010.589500000096</v>
      </c>
      <c r="BB479" s="7">
        <f t="shared" si="2572"/>
        <v>45475.5695000001</v>
      </c>
      <c r="BC479" s="7">
        <f t="shared" si="2572"/>
        <v>44940.549500000103</v>
      </c>
      <c r="BD479" s="7">
        <f t="shared" si="2572"/>
        <v>44405.529500000106</v>
      </c>
      <c r="BE479" s="7">
        <f t="shared" si="2572"/>
        <v>43870.509500000109</v>
      </c>
      <c r="BF479" s="7">
        <f t="shared" si="2572"/>
        <v>43335.489500000112</v>
      </c>
      <c r="BG479" s="236">
        <f t="shared" si="2503"/>
        <v>0</v>
      </c>
      <c r="BH479" s="7">
        <v>535.0200000000001</v>
      </c>
      <c r="BI479" s="39">
        <f t="shared" si="2611"/>
        <v>6420.2400000000016</v>
      </c>
      <c r="BJ479" s="7">
        <f t="shared" si="2612"/>
        <v>42800.469500000116</v>
      </c>
      <c r="BK479" s="7">
        <f t="shared" si="2573"/>
        <v>42265.449500000119</v>
      </c>
      <c r="BL479" s="7">
        <f t="shared" si="2574"/>
        <v>41730.429500000122</v>
      </c>
      <c r="BM479" s="7">
        <f t="shared" si="2575"/>
        <v>41195.409500000125</v>
      </c>
      <c r="BN479" s="7">
        <f t="shared" si="2576"/>
        <v>40660.389500000128</v>
      </c>
      <c r="BO479" s="7">
        <f t="shared" si="2577"/>
        <v>40125.369500000132</v>
      </c>
      <c r="BP479" s="7">
        <f t="shared" si="2578"/>
        <v>39590.349500000135</v>
      </c>
      <c r="BQ479" s="7">
        <f t="shared" si="2579"/>
        <v>39055.329500000138</v>
      </c>
      <c r="BR479" s="7">
        <f t="shared" si="2580"/>
        <v>38520.309500000141</v>
      </c>
      <c r="BS479" s="7">
        <f t="shared" si="2581"/>
        <v>37985.289500000144</v>
      </c>
      <c r="BT479" s="7">
        <f t="shared" si="2613"/>
        <v>37450.269500000148</v>
      </c>
      <c r="BU479" s="7">
        <f t="shared" si="2614"/>
        <v>36915.249500000151</v>
      </c>
      <c r="BV479" s="236">
        <v>0</v>
      </c>
      <c r="BW479" s="7">
        <v>535.0200000000001</v>
      </c>
      <c r="BX479" s="39">
        <f t="shared" si="2615"/>
        <v>6420.2400000000016</v>
      </c>
      <c r="BY479" s="7">
        <f t="shared" si="2616"/>
        <v>36380.229500000154</v>
      </c>
      <c r="BZ479" s="7">
        <f t="shared" si="2617"/>
        <v>35845.209500000157</v>
      </c>
      <c r="CA479" s="7">
        <f t="shared" si="2618"/>
        <v>35310.18950000016</v>
      </c>
      <c r="CB479" s="7">
        <f t="shared" si="2619"/>
        <v>34775.169500000164</v>
      </c>
      <c r="CC479" s="7">
        <f t="shared" si="2620"/>
        <v>34240.149500000167</v>
      </c>
      <c r="CD479" s="7">
        <f t="shared" si="2621"/>
        <v>33705.12950000017</v>
      </c>
      <c r="CE479" s="7">
        <f t="shared" si="2622"/>
        <v>33170.109500000173</v>
      </c>
      <c r="CF479" s="7">
        <f t="shared" si="2623"/>
        <v>32635.089500000173</v>
      </c>
      <c r="CG479" s="7">
        <f t="shared" si="2624"/>
        <v>32100.069500000172</v>
      </c>
      <c r="CH479" s="7">
        <f t="shared" si="2625"/>
        <v>31565.049500000172</v>
      </c>
      <c r="CI479" s="7">
        <f t="shared" si="2626"/>
        <v>31030.029500000172</v>
      </c>
      <c r="CJ479" s="7">
        <f t="shared" si="2627"/>
        <v>30495.009500000171</v>
      </c>
      <c r="CK479" s="236">
        <v>0</v>
      </c>
      <c r="CL479" s="7">
        <v>535.0200000000001</v>
      </c>
      <c r="CM479" s="39">
        <f>CL479*12</f>
        <v>6420.2400000000016</v>
      </c>
      <c r="CN479" s="7">
        <f t="shared" si="2629"/>
        <v>29959.989500000171</v>
      </c>
      <c r="CO479" s="7">
        <f t="shared" si="2630"/>
        <v>29424.96950000017</v>
      </c>
      <c r="CP479" s="7">
        <f t="shared" si="2631"/>
        <v>28889.94950000017</v>
      </c>
      <c r="CQ479" s="7">
        <f t="shared" si="2632"/>
        <v>28354.929500000169</v>
      </c>
      <c r="CR479" s="7">
        <f t="shared" si="2633"/>
        <v>27819.909500000169</v>
      </c>
      <c r="CS479" s="7">
        <f t="shared" si="2634"/>
        <v>27284.889500000168</v>
      </c>
      <c r="CT479" s="7">
        <f t="shared" si="2635"/>
        <v>26749.869500000168</v>
      </c>
      <c r="CU479" s="7">
        <f t="shared" si="2636"/>
        <v>26214.849500000168</v>
      </c>
      <c r="CV479" s="7">
        <f t="shared" si="2637"/>
        <v>25679.829500000167</v>
      </c>
      <c r="CW479" s="7">
        <f t="shared" si="2638"/>
        <v>25144.809500000167</v>
      </c>
      <c r="CX479" s="7">
        <f t="shared" si="2639"/>
        <v>24609.789500000166</v>
      </c>
      <c r="CY479" s="7">
        <f t="shared" si="2640"/>
        <v>24074.769500000166</v>
      </c>
      <c r="CZ479" s="236">
        <v>0</v>
      </c>
    </row>
    <row r="480" spans="1:104" x14ac:dyDescent="0.2">
      <c r="A480" s="6" t="str">
        <f>'[1]2021 УГРЦТ'!A483</f>
        <v>Трансф-р масляный ТМГ 400/6/0,4У/Ун-0 зав.№1290</v>
      </c>
      <c r="B480" t="str">
        <f>'[1]2021 УГРЦТ'!B483</f>
        <v>00001352</v>
      </c>
      <c r="C480" t="str">
        <f>'[1]2021 УГРЦТ'!C483</f>
        <v>ПЕРЕДАЧА</v>
      </c>
      <c r="D480" t="str">
        <f>'[1]2021 УГРЦТ'!D483</f>
        <v>Машины и оборудование (кроме офисного)</v>
      </c>
      <c r="E480" t="str">
        <f>'[1]2021 УГРЦТ'!E483</f>
        <v>15.03.2011</v>
      </c>
      <c r="F480" t="str">
        <f>'[1]2021 УГРЦТ'!F483</f>
        <v>Цех электрических сетей</v>
      </c>
      <c r="G480">
        <f>'[1]2021 УГРЦТ'!AC483</f>
        <v>240</v>
      </c>
      <c r="H480" s="7">
        <f>'[1]2021 УГРЦТ'!X483</f>
        <v>205002.26</v>
      </c>
      <c r="I480" s="7">
        <f>'[1]2021 УГРЦТ'!Y483</f>
        <v>110189.173</v>
      </c>
      <c r="J480" s="7">
        <f>'[1]2021 УГРЦТ'!Z483</f>
        <v>94813.087000000014</v>
      </c>
      <c r="K480" s="8">
        <v>0</v>
      </c>
      <c r="L480" s="7">
        <v>854.18000000000018</v>
      </c>
      <c r="M480" s="7"/>
      <c r="N480" s="7">
        <f t="shared" si="2270"/>
        <v>10250.160000000002</v>
      </c>
      <c r="O480" s="7">
        <f t="shared" si="2504"/>
        <v>93958.907000000021</v>
      </c>
      <c r="P480" s="7">
        <f t="shared" si="2568"/>
        <v>93104.727000000028</v>
      </c>
      <c r="Q480" s="7">
        <f t="shared" si="2568"/>
        <v>92250.547000000035</v>
      </c>
      <c r="R480" s="7">
        <f t="shared" si="2568"/>
        <v>91396.367000000042</v>
      </c>
      <c r="S480" s="7">
        <f t="shared" si="2568"/>
        <v>90542.187000000049</v>
      </c>
      <c r="T480" s="7">
        <f t="shared" si="2568"/>
        <v>89688.007000000056</v>
      </c>
      <c r="U480" s="7">
        <f t="shared" si="2568"/>
        <v>88833.827000000063</v>
      </c>
      <c r="V480" s="7">
        <f t="shared" si="2568"/>
        <v>87979.64700000007</v>
      </c>
      <c r="W480" s="7">
        <f t="shared" si="2568"/>
        <v>87125.467000000077</v>
      </c>
      <c r="X480" s="7">
        <f t="shared" si="2568"/>
        <v>86271.287000000084</v>
      </c>
      <c r="Y480" s="7">
        <f t="shared" si="2568"/>
        <v>85417.107000000091</v>
      </c>
      <c r="Z480" s="7">
        <f t="shared" si="2568"/>
        <v>84562.927000000098</v>
      </c>
      <c r="AA480" s="7"/>
      <c r="AB480" s="7"/>
      <c r="AC480" s="7">
        <f t="shared" si="2505"/>
        <v>10250.160000000002</v>
      </c>
      <c r="AD480" s="7">
        <f t="shared" si="2506"/>
        <v>83708.747000000105</v>
      </c>
      <c r="AE480" s="7">
        <f t="shared" si="2569"/>
        <v>82854.567000000112</v>
      </c>
      <c r="AF480" s="7">
        <f t="shared" si="2569"/>
        <v>82000.387000000119</v>
      </c>
      <c r="AG480" s="7">
        <f t="shared" si="2569"/>
        <v>81146.207000000126</v>
      </c>
      <c r="AH480" s="7">
        <f t="shared" si="2569"/>
        <v>80292.027000000133</v>
      </c>
      <c r="AI480" s="7">
        <f t="shared" si="2569"/>
        <v>79437.84700000014</v>
      </c>
      <c r="AJ480" s="7">
        <f t="shared" si="2569"/>
        <v>78583.667000000147</v>
      </c>
      <c r="AK480" s="7">
        <f t="shared" si="2569"/>
        <v>77729.487000000154</v>
      </c>
      <c r="AL480" s="7">
        <f t="shared" si="2569"/>
        <v>76875.307000000161</v>
      </c>
      <c r="AM480" s="7">
        <f t="shared" si="2569"/>
        <v>76021.127000000168</v>
      </c>
      <c r="AN480" s="7">
        <f t="shared" si="2569"/>
        <v>75166.947000000175</v>
      </c>
      <c r="AO480" s="7">
        <f t="shared" si="2569"/>
        <v>74312.767000000182</v>
      </c>
      <c r="AP480" s="222"/>
      <c r="AQ480" s="7">
        <v>854.18000000000018</v>
      </c>
      <c r="AR480" s="7">
        <f t="shared" si="2507"/>
        <v>854.17999999999302</v>
      </c>
      <c r="AS480" s="7">
        <f t="shared" si="2508"/>
        <v>-7.1622707764618099E-12</v>
      </c>
      <c r="AT480" s="7">
        <f t="shared" si="2570"/>
        <v>10250.160000000002</v>
      </c>
      <c r="AU480" s="7">
        <f t="shared" si="2571"/>
        <v>73458.587000000189</v>
      </c>
      <c r="AV480" s="7">
        <f t="shared" si="2572"/>
        <v>72604.407000000196</v>
      </c>
      <c r="AW480" s="7">
        <f t="shared" si="2572"/>
        <v>71750.227000000203</v>
      </c>
      <c r="AX480" s="7">
        <f t="shared" si="2572"/>
        <v>70896.04700000021</v>
      </c>
      <c r="AY480" s="7">
        <f t="shared" si="2572"/>
        <v>70041.867000000217</v>
      </c>
      <c r="AZ480" s="7">
        <f t="shared" si="2572"/>
        <v>69187.687000000224</v>
      </c>
      <c r="BA480" s="7">
        <f t="shared" si="2572"/>
        <v>68333.507000000231</v>
      </c>
      <c r="BB480" s="7">
        <f t="shared" si="2572"/>
        <v>67479.327000000238</v>
      </c>
      <c r="BC480" s="7">
        <f t="shared" si="2572"/>
        <v>66625.147000000245</v>
      </c>
      <c r="BD480" s="7">
        <f t="shared" si="2572"/>
        <v>65770.967000000252</v>
      </c>
      <c r="BE480" s="7">
        <f t="shared" si="2572"/>
        <v>64916.787000000251</v>
      </c>
      <c r="BF480" s="7">
        <f t="shared" si="2572"/>
        <v>64062.607000000251</v>
      </c>
      <c r="BG480" s="236">
        <f t="shared" si="2503"/>
        <v>0</v>
      </c>
      <c r="BH480" s="7">
        <v>854.18000000000018</v>
      </c>
      <c r="BI480" s="39">
        <f t="shared" si="2611"/>
        <v>10250.160000000002</v>
      </c>
      <c r="BJ480" s="7">
        <f t="shared" si="2612"/>
        <v>63208.427000000251</v>
      </c>
      <c r="BK480" s="7">
        <f t="shared" si="2573"/>
        <v>62354.24700000025</v>
      </c>
      <c r="BL480" s="7">
        <f t="shared" si="2574"/>
        <v>61500.06700000025</v>
      </c>
      <c r="BM480" s="7">
        <f t="shared" si="2575"/>
        <v>60645.88700000025</v>
      </c>
      <c r="BN480" s="7">
        <f t="shared" si="2576"/>
        <v>59791.70700000025</v>
      </c>
      <c r="BO480" s="7">
        <f t="shared" si="2577"/>
        <v>58937.527000000249</v>
      </c>
      <c r="BP480" s="7">
        <f t="shared" si="2578"/>
        <v>58083.347000000249</v>
      </c>
      <c r="BQ480" s="7">
        <f t="shared" si="2579"/>
        <v>57229.167000000249</v>
      </c>
      <c r="BR480" s="7">
        <f t="shared" si="2580"/>
        <v>56374.987000000248</v>
      </c>
      <c r="BS480" s="7">
        <f t="shared" si="2581"/>
        <v>55520.807000000248</v>
      </c>
      <c r="BT480" s="7">
        <f t="shared" si="2613"/>
        <v>54666.627000000248</v>
      </c>
      <c r="BU480" s="7">
        <f t="shared" si="2614"/>
        <v>53812.447000000247</v>
      </c>
      <c r="BV480" s="236">
        <v>0</v>
      </c>
      <c r="BW480" s="7">
        <v>854.18000000000018</v>
      </c>
      <c r="BX480" s="39">
        <f t="shared" si="2615"/>
        <v>10250.160000000002</v>
      </c>
      <c r="BY480" s="7">
        <f t="shared" si="2616"/>
        <v>52958.267000000247</v>
      </c>
      <c r="BZ480" s="7">
        <f t="shared" si="2617"/>
        <v>52104.087000000247</v>
      </c>
      <c r="CA480" s="7">
        <f t="shared" si="2618"/>
        <v>51249.907000000247</v>
      </c>
      <c r="CB480" s="7">
        <f t="shared" si="2619"/>
        <v>50395.727000000246</v>
      </c>
      <c r="CC480" s="7">
        <f t="shared" si="2620"/>
        <v>49541.547000000246</v>
      </c>
      <c r="CD480" s="7">
        <f t="shared" si="2621"/>
        <v>48687.367000000246</v>
      </c>
      <c r="CE480" s="7">
        <f t="shared" si="2622"/>
        <v>47833.187000000245</v>
      </c>
      <c r="CF480" s="7">
        <f t="shared" si="2623"/>
        <v>46979.007000000245</v>
      </c>
      <c r="CG480" s="7">
        <f t="shared" si="2624"/>
        <v>46124.827000000245</v>
      </c>
      <c r="CH480" s="7">
        <f t="shared" si="2625"/>
        <v>45270.647000000245</v>
      </c>
      <c r="CI480" s="7">
        <f t="shared" si="2626"/>
        <v>44416.467000000244</v>
      </c>
      <c r="CJ480" s="7">
        <f t="shared" si="2627"/>
        <v>43562.287000000244</v>
      </c>
      <c r="CK480" s="236">
        <v>0</v>
      </c>
      <c r="CL480" s="7">
        <v>854.18000000000018</v>
      </c>
      <c r="CM480" s="39">
        <f>CL480*12</f>
        <v>10250.160000000002</v>
      </c>
      <c r="CN480" s="7">
        <f t="shared" si="2629"/>
        <v>42708.107000000244</v>
      </c>
      <c r="CO480" s="7">
        <f t="shared" si="2630"/>
        <v>41853.927000000243</v>
      </c>
      <c r="CP480" s="7">
        <f t="shared" si="2631"/>
        <v>40999.747000000243</v>
      </c>
      <c r="CQ480" s="7">
        <f t="shared" si="2632"/>
        <v>40145.567000000243</v>
      </c>
      <c r="CR480" s="7">
        <f t="shared" si="2633"/>
        <v>39291.387000000243</v>
      </c>
      <c r="CS480" s="7">
        <f t="shared" si="2634"/>
        <v>38437.207000000242</v>
      </c>
      <c r="CT480" s="7">
        <f t="shared" si="2635"/>
        <v>37583.027000000242</v>
      </c>
      <c r="CU480" s="7">
        <f t="shared" si="2636"/>
        <v>36728.847000000242</v>
      </c>
      <c r="CV480" s="7">
        <f t="shared" si="2637"/>
        <v>35874.667000000241</v>
      </c>
      <c r="CW480" s="7">
        <f t="shared" si="2638"/>
        <v>35020.487000000241</v>
      </c>
      <c r="CX480" s="7">
        <f t="shared" si="2639"/>
        <v>34166.307000000241</v>
      </c>
      <c r="CY480" s="7">
        <f t="shared" si="2640"/>
        <v>33312.127000000241</v>
      </c>
      <c r="CZ480" s="236">
        <v>0</v>
      </c>
    </row>
    <row r="481" spans="1:104" x14ac:dyDescent="0.2">
      <c r="A481" s="6" t="str">
        <f>'[1]2021 УГРЦТ'!A484</f>
        <v>Трансф-р масляный ТМГ 630/6/0,4У/Ун-0 зав. №0756</v>
      </c>
      <c r="B481" t="str">
        <f>'[1]2021 УГРЦТ'!B484</f>
        <v>00001253</v>
      </c>
      <c r="C481" t="str">
        <f>'[1]2021 УГРЦТ'!C484</f>
        <v>ПЕРЕДАЧА</v>
      </c>
      <c r="D481" t="str">
        <f>'[1]2021 УГРЦТ'!D484</f>
        <v>Машины и оборудование (кроме офисного)</v>
      </c>
      <c r="E481" t="str">
        <f>'[1]2021 УГРЦТ'!E484</f>
        <v>31.10.2010</v>
      </c>
      <c r="F481" t="str">
        <f>'[1]2021 УГРЦТ'!F484</f>
        <v>Цех электрических сетей</v>
      </c>
      <c r="G481">
        <f>'[1]2021 УГРЦТ'!AC484</f>
        <v>240</v>
      </c>
      <c r="H481" s="7">
        <f>'[1]2021 УГРЦТ'!X484</f>
        <v>308792.01</v>
      </c>
      <c r="I481" s="7">
        <f>'[1]2021 УГРЦТ'!Y484</f>
        <v>172408.46049999999</v>
      </c>
      <c r="J481" s="7">
        <f>'[1]2021 УГРЦТ'!Z484</f>
        <v>136383.54950000002</v>
      </c>
      <c r="K481" s="8">
        <v>0</v>
      </c>
      <c r="L481" s="7">
        <v>1286.6300000000003</v>
      </c>
      <c r="M481" s="7"/>
      <c r="N481" s="7">
        <f t="shared" si="2270"/>
        <v>15439.560000000005</v>
      </c>
      <c r="O481" s="7">
        <f t="shared" si="2504"/>
        <v>135096.91950000002</v>
      </c>
      <c r="P481" s="7">
        <f t="shared" ref="P481:Z496" si="2641">O481-$L481</f>
        <v>133810.28950000001</v>
      </c>
      <c r="Q481" s="7">
        <f t="shared" si="2641"/>
        <v>132523.65950000001</v>
      </c>
      <c r="R481" s="7">
        <f t="shared" si="2641"/>
        <v>131237.0295</v>
      </c>
      <c r="S481" s="7">
        <f t="shared" si="2641"/>
        <v>129950.3995</v>
      </c>
      <c r="T481" s="7">
        <f t="shared" si="2641"/>
        <v>128663.76949999999</v>
      </c>
      <c r="U481" s="7">
        <f t="shared" si="2641"/>
        <v>127377.13949999999</v>
      </c>
      <c r="V481" s="7">
        <f t="shared" si="2641"/>
        <v>126090.50949999999</v>
      </c>
      <c r="W481" s="7">
        <f t="shared" si="2641"/>
        <v>124803.87949999998</v>
      </c>
      <c r="X481" s="7">
        <f t="shared" si="2641"/>
        <v>123517.24949999998</v>
      </c>
      <c r="Y481" s="7">
        <f t="shared" si="2641"/>
        <v>122230.61949999997</v>
      </c>
      <c r="Z481" s="7">
        <f t="shared" si="2641"/>
        <v>120943.98949999997</v>
      </c>
      <c r="AA481" s="7"/>
      <c r="AB481" s="7"/>
      <c r="AC481" s="7">
        <f t="shared" si="2505"/>
        <v>15439.560000000005</v>
      </c>
      <c r="AD481" s="7">
        <f t="shared" si="2506"/>
        <v>119657.35949999996</v>
      </c>
      <c r="AE481" s="7">
        <f t="shared" ref="AE481:AO496" si="2642">AD481-$L481</f>
        <v>118370.72949999996</v>
      </c>
      <c r="AF481" s="7">
        <f t="shared" si="2642"/>
        <v>117084.09949999995</v>
      </c>
      <c r="AG481" s="7">
        <f t="shared" si="2642"/>
        <v>115797.46949999995</v>
      </c>
      <c r="AH481" s="7">
        <f t="shared" si="2642"/>
        <v>114510.83949999994</v>
      </c>
      <c r="AI481" s="7">
        <f t="shared" si="2642"/>
        <v>113224.20949999994</v>
      </c>
      <c r="AJ481" s="7">
        <f t="shared" si="2642"/>
        <v>111937.57949999993</v>
      </c>
      <c r="AK481" s="7">
        <f t="shared" si="2642"/>
        <v>110650.94949999993</v>
      </c>
      <c r="AL481" s="7">
        <f t="shared" si="2642"/>
        <v>109364.31949999993</v>
      </c>
      <c r="AM481" s="7">
        <f t="shared" si="2642"/>
        <v>108077.68949999992</v>
      </c>
      <c r="AN481" s="7">
        <f t="shared" si="2642"/>
        <v>106791.05949999992</v>
      </c>
      <c r="AO481" s="7">
        <f t="shared" si="2642"/>
        <v>105504.42949999991</v>
      </c>
      <c r="AP481" s="222"/>
      <c r="AQ481" s="7">
        <v>1286.6300000000003</v>
      </c>
      <c r="AR481" s="7">
        <f t="shared" si="2507"/>
        <v>1286.6300000000047</v>
      </c>
      <c r="AS481" s="7">
        <f t="shared" si="2508"/>
        <v>4.3200998334214091E-12</v>
      </c>
      <c r="AT481" s="7">
        <f t="shared" si="2570"/>
        <v>15439.560000000005</v>
      </c>
      <c r="AU481" s="7">
        <f t="shared" si="2571"/>
        <v>104217.79949999991</v>
      </c>
      <c r="AV481" s="7">
        <f t="shared" ref="AV481:BF488" si="2643">AU481-$L481</f>
        <v>102931.1694999999</v>
      </c>
      <c r="AW481" s="7">
        <f t="shared" si="2643"/>
        <v>101644.5394999999</v>
      </c>
      <c r="AX481" s="7">
        <f t="shared" si="2643"/>
        <v>100357.90949999989</v>
      </c>
      <c r="AY481" s="7">
        <f t="shared" si="2643"/>
        <v>99071.279499999888</v>
      </c>
      <c r="AZ481" s="7">
        <f t="shared" si="2643"/>
        <v>97784.649499999883</v>
      </c>
      <c r="BA481" s="7">
        <f t="shared" si="2643"/>
        <v>96498.019499999878</v>
      </c>
      <c r="BB481" s="7">
        <f t="shared" si="2643"/>
        <v>95211.389499999874</v>
      </c>
      <c r="BC481" s="7">
        <f t="shared" si="2643"/>
        <v>93924.759499999869</v>
      </c>
      <c r="BD481" s="7">
        <f t="shared" si="2643"/>
        <v>92638.129499999864</v>
      </c>
      <c r="BE481" s="7">
        <f t="shared" si="2643"/>
        <v>91351.49949999986</v>
      </c>
      <c r="BF481" s="7">
        <f t="shared" si="2643"/>
        <v>90064.869499999855</v>
      </c>
      <c r="BG481" s="236">
        <f t="shared" si="2503"/>
        <v>0</v>
      </c>
      <c r="BH481" s="7">
        <v>1286.6300000000003</v>
      </c>
      <c r="BI481" s="39">
        <f t="shared" si="2611"/>
        <v>15439.560000000005</v>
      </c>
      <c r="BJ481" s="7">
        <f t="shared" si="2612"/>
        <v>88778.239499999851</v>
      </c>
      <c r="BK481" s="7">
        <f t="shared" si="2573"/>
        <v>87491.609499999846</v>
      </c>
      <c r="BL481" s="7">
        <f t="shared" si="2574"/>
        <v>86204.979499999841</v>
      </c>
      <c r="BM481" s="7">
        <f t="shared" si="2575"/>
        <v>84918.349499999837</v>
      </c>
      <c r="BN481" s="7">
        <f t="shared" si="2576"/>
        <v>83631.719499999832</v>
      </c>
      <c r="BO481" s="7">
        <f t="shared" si="2577"/>
        <v>82345.089499999827</v>
      </c>
      <c r="BP481" s="7">
        <f t="shared" si="2578"/>
        <v>81058.459499999823</v>
      </c>
      <c r="BQ481" s="7">
        <f t="shared" si="2579"/>
        <v>79771.829499999818</v>
      </c>
      <c r="BR481" s="7">
        <f t="shared" si="2580"/>
        <v>78485.199499999813</v>
      </c>
      <c r="BS481" s="7">
        <f t="shared" si="2581"/>
        <v>77198.569499999809</v>
      </c>
      <c r="BT481" s="7">
        <f t="shared" si="2613"/>
        <v>75911.939499999804</v>
      </c>
      <c r="BU481" s="7">
        <f t="shared" si="2614"/>
        <v>74625.309499999799</v>
      </c>
      <c r="BV481" s="236">
        <v>0</v>
      </c>
      <c r="BW481" s="7">
        <v>1286.6300000000003</v>
      </c>
      <c r="BX481" s="39">
        <f t="shared" si="2615"/>
        <v>15439.560000000005</v>
      </c>
      <c r="BY481" s="7">
        <f t="shared" si="2616"/>
        <v>73338.679499999795</v>
      </c>
      <c r="BZ481" s="7">
        <f t="shared" si="2617"/>
        <v>72052.04949999979</v>
      </c>
      <c r="CA481" s="7">
        <f t="shared" si="2618"/>
        <v>70765.419499999785</v>
      </c>
      <c r="CB481" s="7">
        <f t="shared" si="2619"/>
        <v>69478.789499999781</v>
      </c>
      <c r="CC481" s="7">
        <f t="shared" si="2620"/>
        <v>68192.159499999776</v>
      </c>
      <c r="CD481" s="7">
        <f t="shared" si="2621"/>
        <v>66905.529499999771</v>
      </c>
      <c r="CE481" s="7">
        <f t="shared" si="2622"/>
        <v>65618.899499999767</v>
      </c>
      <c r="CF481" s="7">
        <f t="shared" si="2623"/>
        <v>64332.269499999769</v>
      </c>
      <c r="CG481" s="7">
        <f t="shared" si="2624"/>
        <v>63045.639499999772</v>
      </c>
      <c r="CH481" s="7">
        <f t="shared" si="2625"/>
        <v>61759.009499999775</v>
      </c>
      <c r="CI481" s="7">
        <f t="shared" si="2626"/>
        <v>60472.379499999777</v>
      </c>
      <c r="CJ481" s="7">
        <f t="shared" si="2627"/>
        <v>59185.74949999978</v>
      </c>
      <c r="CK481" s="236">
        <v>0</v>
      </c>
      <c r="CL481" s="7">
        <v>1286.6300000000003</v>
      </c>
      <c r="CM481" s="39">
        <f>CL481*12</f>
        <v>15439.560000000005</v>
      </c>
      <c r="CN481" s="7">
        <f t="shared" si="2629"/>
        <v>57899.119499999782</v>
      </c>
      <c r="CO481" s="7">
        <f t="shared" si="2630"/>
        <v>56612.489499999785</v>
      </c>
      <c r="CP481" s="7">
        <f t="shared" si="2631"/>
        <v>55325.859499999788</v>
      </c>
      <c r="CQ481" s="7">
        <f t="shared" si="2632"/>
        <v>54039.22949999979</v>
      </c>
      <c r="CR481" s="7">
        <f t="shared" si="2633"/>
        <v>52752.599499999793</v>
      </c>
      <c r="CS481" s="7">
        <f t="shared" si="2634"/>
        <v>51465.969499999796</v>
      </c>
      <c r="CT481" s="7">
        <f t="shared" si="2635"/>
        <v>50179.339499999798</v>
      </c>
      <c r="CU481" s="7">
        <f t="shared" si="2636"/>
        <v>48892.709499999801</v>
      </c>
      <c r="CV481" s="7">
        <f t="shared" si="2637"/>
        <v>47606.079499999803</v>
      </c>
      <c r="CW481" s="7">
        <f t="shared" si="2638"/>
        <v>46319.449499999806</v>
      </c>
      <c r="CX481" s="7">
        <f t="shared" si="2639"/>
        <v>45032.819499999809</v>
      </c>
      <c r="CY481" s="7">
        <f t="shared" si="2640"/>
        <v>43746.189499999811</v>
      </c>
      <c r="CZ481" s="236">
        <v>0</v>
      </c>
    </row>
    <row r="482" spans="1:104" x14ac:dyDescent="0.2">
      <c r="A482" s="6" t="str">
        <f>'[1]2021 УГРЦТ'!A485</f>
        <v>Трансф-р масляный ТМГ 630/6/0,4У/Ун-0 зав.№1693879</v>
      </c>
      <c r="B482" t="str">
        <f>'[1]2021 УГРЦТ'!B485</f>
        <v>00001366</v>
      </c>
      <c r="C482" t="str">
        <f>'[1]2021 УГРЦТ'!C485</f>
        <v>ПЕРЕДАЧА</v>
      </c>
      <c r="D482" t="str">
        <f>'[1]2021 УГРЦТ'!D485</f>
        <v>Машины и оборудование (кроме офисного)</v>
      </c>
      <c r="E482" t="str">
        <f>'[1]2021 УГРЦТ'!E485</f>
        <v>06.09.2011</v>
      </c>
      <c r="F482" t="str">
        <f>'[1]2021 УГРЦТ'!F485</f>
        <v>Цех электрических сетей</v>
      </c>
      <c r="G482">
        <f>'[1]2021 УГРЦТ'!AC485</f>
        <v>240</v>
      </c>
      <c r="H482" s="7">
        <f>'[1]2021 УГРЦТ'!X485</f>
        <v>244269.2</v>
      </c>
      <c r="I482" s="7">
        <f>'[1]2021 УГРЦТ'!Y485</f>
        <v>125188.15000000001</v>
      </c>
      <c r="J482" s="7">
        <f>'[1]2021 УГРЦТ'!Z485</f>
        <v>119081.05</v>
      </c>
      <c r="K482" s="8">
        <v>0</v>
      </c>
      <c r="L482" s="7">
        <v>1017.7900000000003</v>
      </c>
      <c r="M482" s="7"/>
      <c r="N482" s="7">
        <f t="shared" si="2270"/>
        <v>12213.480000000003</v>
      </c>
      <c r="O482" s="7">
        <f t="shared" si="2504"/>
        <v>118063.26000000001</v>
      </c>
      <c r="P482" s="7">
        <f t="shared" si="2641"/>
        <v>117045.47000000002</v>
      </c>
      <c r="Q482" s="7">
        <f t="shared" si="2641"/>
        <v>116027.68000000002</v>
      </c>
      <c r="R482" s="7">
        <f t="shared" si="2641"/>
        <v>115009.89000000003</v>
      </c>
      <c r="S482" s="7">
        <f t="shared" si="2641"/>
        <v>113992.10000000003</v>
      </c>
      <c r="T482" s="7">
        <f t="shared" si="2641"/>
        <v>112974.31000000004</v>
      </c>
      <c r="U482" s="7">
        <f t="shared" si="2641"/>
        <v>111956.52000000005</v>
      </c>
      <c r="V482" s="7">
        <f t="shared" si="2641"/>
        <v>110938.73000000005</v>
      </c>
      <c r="W482" s="7">
        <f t="shared" si="2641"/>
        <v>109920.94000000006</v>
      </c>
      <c r="X482" s="7">
        <f t="shared" si="2641"/>
        <v>108903.15000000007</v>
      </c>
      <c r="Y482" s="7">
        <f t="shared" si="2641"/>
        <v>107885.36000000007</v>
      </c>
      <c r="Z482" s="7">
        <f t="shared" si="2641"/>
        <v>106867.57000000008</v>
      </c>
      <c r="AA482" s="7"/>
      <c r="AB482" s="7"/>
      <c r="AC482" s="7">
        <f t="shared" si="2505"/>
        <v>12213.480000000003</v>
      </c>
      <c r="AD482" s="7">
        <f t="shared" si="2506"/>
        <v>105849.78000000009</v>
      </c>
      <c r="AE482" s="7">
        <f t="shared" si="2642"/>
        <v>104831.99000000009</v>
      </c>
      <c r="AF482" s="7">
        <f t="shared" si="2642"/>
        <v>103814.2000000001</v>
      </c>
      <c r="AG482" s="7">
        <f t="shared" si="2642"/>
        <v>102796.41000000011</v>
      </c>
      <c r="AH482" s="7">
        <f t="shared" si="2642"/>
        <v>101778.62000000011</v>
      </c>
      <c r="AI482" s="7">
        <f t="shared" si="2642"/>
        <v>100760.83000000012</v>
      </c>
      <c r="AJ482" s="7">
        <f t="shared" si="2642"/>
        <v>99743.040000000125</v>
      </c>
      <c r="AK482" s="7">
        <f t="shared" si="2642"/>
        <v>98725.250000000131</v>
      </c>
      <c r="AL482" s="7">
        <f t="shared" si="2642"/>
        <v>97707.460000000137</v>
      </c>
      <c r="AM482" s="7">
        <f t="shared" si="2642"/>
        <v>96689.670000000144</v>
      </c>
      <c r="AN482" s="7">
        <f t="shared" si="2642"/>
        <v>95671.88000000015</v>
      </c>
      <c r="AO482" s="7">
        <f t="shared" si="2642"/>
        <v>94654.090000000157</v>
      </c>
      <c r="AP482" s="222"/>
      <c r="AQ482" s="7">
        <v>1017.7900000000003</v>
      </c>
      <c r="AR482" s="7">
        <f t="shared" si="2507"/>
        <v>1017.7899999999936</v>
      </c>
      <c r="AS482" s="7">
        <f t="shared" si="2508"/>
        <v>-6.7075234255753458E-12</v>
      </c>
      <c r="AT482" s="7">
        <f t="shared" si="2570"/>
        <v>12213.480000000003</v>
      </c>
      <c r="AU482" s="7">
        <f t="shared" si="2571"/>
        <v>93636.300000000163</v>
      </c>
      <c r="AV482" s="7">
        <f t="shared" si="2643"/>
        <v>92618.510000000169</v>
      </c>
      <c r="AW482" s="7">
        <f t="shared" si="2643"/>
        <v>91600.720000000176</v>
      </c>
      <c r="AX482" s="7">
        <f t="shared" si="2643"/>
        <v>90582.930000000182</v>
      </c>
      <c r="AY482" s="7">
        <f t="shared" si="2643"/>
        <v>89565.140000000189</v>
      </c>
      <c r="AZ482" s="7">
        <f t="shared" si="2643"/>
        <v>88547.350000000195</v>
      </c>
      <c r="BA482" s="7">
        <f t="shared" si="2643"/>
        <v>87529.560000000201</v>
      </c>
      <c r="BB482" s="7">
        <f t="shared" si="2643"/>
        <v>86511.770000000208</v>
      </c>
      <c r="BC482" s="7">
        <f t="shared" si="2643"/>
        <v>85493.980000000214</v>
      </c>
      <c r="BD482" s="7">
        <f t="shared" si="2643"/>
        <v>84476.190000000221</v>
      </c>
      <c r="BE482" s="7">
        <f t="shared" si="2643"/>
        <v>83458.400000000227</v>
      </c>
      <c r="BF482" s="7">
        <f t="shared" si="2643"/>
        <v>82440.610000000233</v>
      </c>
      <c r="BG482" s="236">
        <f t="shared" si="2503"/>
        <v>0</v>
      </c>
      <c r="BH482" s="7">
        <v>1017.7900000000003</v>
      </c>
      <c r="BI482" s="39">
        <f t="shared" si="2611"/>
        <v>12213.480000000003</v>
      </c>
      <c r="BJ482" s="7">
        <f t="shared" si="2612"/>
        <v>81422.82000000024</v>
      </c>
      <c r="BK482" s="7">
        <f t="shared" si="2573"/>
        <v>80405.030000000246</v>
      </c>
      <c r="BL482" s="7">
        <f t="shared" si="2574"/>
        <v>79387.240000000253</v>
      </c>
      <c r="BM482" s="7">
        <f t="shared" si="2575"/>
        <v>78369.450000000259</v>
      </c>
      <c r="BN482" s="7">
        <f t="shared" si="2576"/>
        <v>77351.660000000265</v>
      </c>
      <c r="BO482" s="7">
        <f t="shared" si="2577"/>
        <v>76333.870000000272</v>
      </c>
      <c r="BP482" s="7">
        <f t="shared" si="2578"/>
        <v>75316.080000000278</v>
      </c>
      <c r="BQ482" s="7">
        <f t="shared" si="2579"/>
        <v>74298.290000000285</v>
      </c>
      <c r="BR482" s="7">
        <f t="shared" si="2580"/>
        <v>73280.500000000291</v>
      </c>
      <c r="BS482" s="7">
        <f t="shared" si="2581"/>
        <v>72262.710000000297</v>
      </c>
      <c r="BT482" s="7">
        <f t="shared" si="2613"/>
        <v>71244.920000000304</v>
      </c>
      <c r="BU482" s="7">
        <f t="shared" si="2614"/>
        <v>70227.13000000031</v>
      </c>
      <c r="BV482" s="236">
        <v>0</v>
      </c>
      <c r="BW482" s="7">
        <v>1017.7900000000003</v>
      </c>
      <c r="BX482" s="39">
        <f t="shared" si="2615"/>
        <v>12213.480000000003</v>
      </c>
      <c r="BY482" s="7">
        <f t="shared" si="2616"/>
        <v>69209.340000000317</v>
      </c>
      <c r="BZ482" s="7">
        <f t="shared" si="2617"/>
        <v>68191.550000000323</v>
      </c>
      <c r="CA482" s="7">
        <f t="shared" si="2618"/>
        <v>67173.760000000329</v>
      </c>
      <c r="CB482" s="7">
        <f t="shared" si="2619"/>
        <v>66155.970000000336</v>
      </c>
      <c r="CC482" s="7">
        <f t="shared" si="2620"/>
        <v>65138.180000000335</v>
      </c>
      <c r="CD482" s="7">
        <f t="shared" si="2621"/>
        <v>64120.390000000334</v>
      </c>
      <c r="CE482" s="7">
        <f t="shared" si="2622"/>
        <v>63102.600000000333</v>
      </c>
      <c r="CF482" s="7">
        <f t="shared" si="2623"/>
        <v>62084.810000000332</v>
      </c>
      <c r="CG482" s="7">
        <f t="shared" si="2624"/>
        <v>61067.020000000331</v>
      </c>
      <c r="CH482" s="7">
        <f t="shared" si="2625"/>
        <v>60049.230000000331</v>
      </c>
      <c r="CI482" s="7">
        <f t="shared" si="2626"/>
        <v>59031.44000000033</v>
      </c>
      <c r="CJ482" s="7">
        <f t="shared" si="2627"/>
        <v>58013.650000000329</v>
      </c>
      <c r="CK482" s="236">
        <v>0</v>
      </c>
      <c r="CL482" s="7">
        <v>1017.7900000000003</v>
      </c>
      <c r="CM482" s="39">
        <f>CL482*12</f>
        <v>12213.480000000003</v>
      </c>
      <c r="CN482" s="7">
        <f t="shared" si="2629"/>
        <v>56995.860000000328</v>
      </c>
      <c r="CO482" s="7">
        <f t="shared" si="2630"/>
        <v>55978.070000000327</v>
      </c>
      <c r="CP482" s="7">
        <f t="shared" si="2631"/>
        <v>54960.280000000326</v>
      </c>
      <c r="CQ482" s="7">
        <f t="shared" si="2632"/>
        <v>53942.490000000325</v>
      </c>
      <c r="CR482" s="7">
        <f t="shared" si="2633"/>
        <v>52924.700000000325</v>
      </c>
      <c r="CS482" s="7">
        <f t="shared" si="2634"/>
        <v>51906.910000000324</v>
      </c>
      <c r="CT482" s="7">
        <f t="shared" si="2635"/>
        <v>50889.120000000323</v>
      </c>
      <c r="CU482" s="7">
        <f t="shared" si="2636"/>
        <v>49871.330000000322</v>
      </c>
      <c r="CV482" s="7">
        <f t="shared" si="2637"/>
        <v>48853.540000000321</v>
      </c>
      <c r="CW482" s="7">
        <f t="shared" si="2638"/>
        <v>47835.75000000032</v>
      </c>
      <c r="CX482" s="7">
        <f t="shared" si="2639"/>
        <v>46817.960000000319</v>
      </c>
      <c r="CY482" s="7">
        <f t="shared" si="2640"/>
        <v>45800.170000000318</v>
      </c>
      <c r="CZ482" s="236">
        <v>0</v>
      </c>
    </row>
    <row r="483" spans="1:104" ht="22.5" x14ac:dyDescent="0.2">
      <c r="A483" s="6" t="str">
        <f>'[1]2021 УГРЦТ'!A486</f>
        <v>Трехфазная группа трансформаторов напряжения 3х3НОЛП-6 зав.1323217</v>
      </c>
      <c r="B483" t="str">
        <f>'[1]2021 УГРЦТ'!B486</f>
        <v>000001772</v>
      </c>
      <c r="C483" t="str">
        <f>'[1]2021 УГРЦТ'!C486</f>
        <v>ПЕРЕДАЧА</v>
      </c>
      <c r="D483" t="str">
        <f>'[1]2021 УГРЦТ'!D486</f>
        <v>Машины и оборудование (кроме офисного)</v>
      </c>
      <c r="E483" t="str">
        <f>'[1]2021 УГРЦТ'!E486</f>
        <v>30.07.2019</v>
      </c>
      <c r="F483" t="str">
        <f>'[1]2021 УГРЦТ'!F486</f>
        <v>Цех электрических сетей</v>
      </c>
      <c r="G483">
        <f>'[1]2021 УГРЦТ'!AC486</f>
        <v>60</v>
      </c>
      <c r="H483" s="7">
        <f>'[1]2021 УГРЦТ'!X486</f>
        <v>50891.67</v>
      </c>
      <c r="I483" s="7">
        <f>'[1]2021 УГРЦТ'!Y486</f>
        <v>24597.563999999998</v>
      </c>
      <c r="J483" s="7">
        <f>'[1]2021 УГРЦТ'!Z486</f>
        <v>26294.106</v>
      </c>
      <c r="K483" s="8">
        <v>0</v>
      </c>
      <c r="L483" s="7">
        <v>848.1900000000004</v>
      </c>
      <c r="M483" s="7"/>
      <c r="N483" s="7">
        <f t="shared" si="2270"/>
        <v>10178.280000000004</v>
      </c>
      <c r="O483" s="7">
        <f t="shared" si="2504"/>
        <v>25445.916000000001</v>
      </c>
      <c r="P483" s="7">
        <f t="shared" si="2641"/>
        <v>24597.726000000002</v>
      </c>
      <c r="Q483" s="7">
        <f t="shared" si="2641"/>
        <v>23749.536000000004</v>
      </c>
      <c r="R483" s="7">
        <f t="shared" si="2641"/>
        <v>22901.346000000005</v>
      </c>
      <c r="S483" s="7">
        <f t="shared" si="2641"/>
        <v>22053.156000000006</v>
      </c>
      <c r="T483" s="7">
        <f t="shared" si="2641"/>
        <v>21204.966000000008</v>
      </c>
      <c r="U483" s="7">
        <f t="shared" si="2641"/>
        <v>20356.776000000009</v>
      </c>
      <c r="V483" s="7">
        <f t="shared" si="2641"/>
        <v>19508.58600000001</v>
      </c>
      <c r="W483" s="7">
        <f t="shared" si="2641"/>
        <v>18660.396000000012</v>
      </c>
      <c r="X483" s="7">
        <f t="shared" si="2641"/>
        <v>17812.206000000013</v>
      </c>
      <c r="Y483" s="7">
        <f t="shared" si="2641"/>
        <v>16964.016000000014</v>
      </c>
      <c r="Z483" s="7">
        <f t="shared" si="2641"/>
        <v>16115.826000000014</v>
      </c>
      <c r="AA483" s="7"/>
      <c r="AB483" s="7"/>
      <c r="AC483" s="7">
        <f t="shared" si="2505"/>
        <v>10178.280000000004</v>
      </c>
      <c r="AD483" s="7">
        <f t="shared" si="2506"/>
        <v>15267.636000000013</v>
      </c>
      <c r="AE483" s="7">
        <f t="shared" si="2642"/>
        <v>14419.446000000013</v>
      </c>
      <c r="AF483" s="7">
        <f t="shared" si="2642"/>
        <v>13571.256000000012</v>
      </c>
      <c r="AG483" s="7">
        <f t="shared" si="2642"/>
        <v>12723.066000000012</v>
      </c>
      <c r="AH483" s="7">
        <f t="shared" si="2642"/>
        <v>11874.876000000011</v>
      </c>
      <c r="AI483" s="7">
        <f t="shared" si="2642"/>
        <v>11026.686000000011</v>
      </c>
      <c r="AJ483" s="7">
        <f t="shared" si="2642"/>
        <v>10178.49600000001</v>
      </c>
      <c r="AK483" s="7">
        <f t="shared" si="2642"/>
        <v>9330.3060000000096</v>
      </c>
      <c r="AL483" s="7">
        <f t="shared" si="2642"/>
        <v>8482.1160000000091</v>
      </c>
      <c r="AM483" s="7">
        <f t="shared" si="2642"/>
        <v>7633.9260000000086</v>
      </c>
      <c r="AN483" s="7">
        <f t="shared" si="2642"/>
        <v>6785.7360000000081</v>
      </c>
      <c r="AO483" s="7">
        <f t="shared" si="2642"/>
        <v>5937.5460000000076</v>
      </c>
      <c r="AP483" s="222"/>
      <c r="AQ483" s="7">
        <v>848.1900000000004</v>
      </c>
      <c r="AR483" s="7">
        <f t="shared" si="2507"/>
        <v>848.19000000000051</v>
      </c>
      <c r="AS483" s="7">
        <f t="shared" si="2508"/>
        <v>0</v>
      </c>
      <c r="AT483" s="7">
        <f>L483*7+0.22</f>
        <v>5937.5500000000029</v>
      </c>
      <c r="AU483" s="7">
        <f t="shared" si="2571"/>
        <v>5089.356000000007</v>
      </c>
      <c r="AV483" s="7">
        <f t="shared" si="2643"/>
        <v>4241.1660000000065</v>
      </c>
      <c r="AW483" s="7">
        <f t="shared" si="2643"/>
        <v>3392.976000000006</v>
      </c>
      <c r="AX483" s="7">
        <f t="shared" si="2643"/>
        <v>2544.7860000000055</v>
      </c>
      <c r="AY483" s="7">
        <f t="shared" si="2643"/>
        <v>1696.596000000005</v>
      </c>
      <c r="AZ483" s="7">
        <f t="shared" si="2643"/>
        <v>848.40600000000461</v>
      </c>
      <c r="BA483" s="7">
        <f t="shared" si="2643"/>
        <v>0.2160000000042146</v>
      </c>
      <c r="BB483" s="7">
        <f>BA483-0.22</f>
        <v>-3.9999999957854027E-3</v>
      </c>
      <c r="BC483" s="7">
        <f t="shared" ref="BC483:BF485" si="2644">BB483-$L483*0</f>
        <v>-3.9999999957854027E-3</v>
      </c>
      <c r="BD483" s="7">
        <f t="shared" si="2644"/>
        <v>-3.9999999957854027E-3</v>
      </c>
      <c r="BE483" s="7">
        <f t="shared" si="2644"/>
        <v>-3.9999999957854027E-3</v>
      </c>
      <c r="BF483" s="7">
        <f t="shared" si="2644"/>
        <v>-3.9999999957854027E-3</v>
      </c>
      <c r="BG483" s="236">
        <f t="shared" si="2503"/>
        <v>0</v>
      </c>
      <c r="BH483" s="7">
        <v>848.1900000000004</v>
      </c>
      <c r="BI483" s="39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236">
        <f>IF(Z483&lt;1,0,SUM(BJ483:BU483,BF483)/13*$BG$1)</f>
        <v>-6.7692307620983735E-6</v>
      </c>
      <c r="BW483" s="7">
        <v>848.1900000000004</v>
      </c>
      <c r="BX483" s="39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236">
        <f>IF(AO483&lt;1,0,SUM(BY483:CJ483,BU483)/13*$BG$1)</f>
        <v>0</v>
      </c>
      <c r="CL483" s="7">
        <v>848.1900000000004</v>
      </c>
      <c r="CM483" s="39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236">
        <f>IF(BF483&lt;1,0,SUM(CN483:CY483,CJ483)/13*$BG$1)</f>
        <v>0</v>
      </c>
    </row>
    <row r="484" spans="1:104" ht="22.5" x14ac:dyDescent="0.2">
      <c r="A484" s="6" t="str">
        <f>'[1]2021 УГРЦТ'!A487</f>
        <v>Трехфазная группа трансформаторов напряжения 3х3НОЛП-6 зав.1323218</v>
      </c>
      <c r="B484" t="str">
        <f>'[1]2021 УГРЦТ'!B487</f>
        <v>000001773</v>
      </c>
      <c r="C484" t="str">
        <f>'[1]2021 УГРЦТ'!C487</f>
        <v>ПЕРЕДАЧА</v>
      </c>
      <c r="D484" t="str">
        <f>'[1]2021 УГРЦТ'!D487</f>
        <v>Машины и оборудование (кроме офисного)</v>
      </c>
      <c r="E484" t="str">
        <f>'[1]2021 УГРЦТ'!E487</f>
        <v>30.07.2019</v>
      </c>
      <c r="F484" t="str">
        <f>'[1]2021 УГРЦТ'!F487</f>
        <v>Цех электрических сетей</v>
      </c>
      <c r="G484">
        <f>'[1]2021 УГРЦТ'!AC487</f>
        <v>60</v>
      </c>
      <c r="H484" s="7">
        <f>'[1]2021 УГРЦТ'!X487</f>
        <v>50891.67</v>
      </c>
      <c r="I484" s="7">
        <f>'[1]2021 УГРЦТ'!Y487</f>
        <v>24597.563999999998</v>
      </c>
      <c r="J484" s="7">
        <f>'[1]2021 УГРЦТ'!Z487</f>
        <v>26294.106</v>
      </c>
      <c r="K484" s="8">
        <v>0</v>
      </c>
      <c r="L484" s="7">
        <v>848.1900000000004</v>
      </c>
      <c r="M484" s="7"/>
      <c r="N484" s="7">
        <f t="shared" si="2270"/>
        <v>10178.280000000004</v>
      </c>
      <c r="O484" s="7">
        <f t="shared" si="2504"/>
        <v>25445.916000000001</v>
      </c>
      <c r="P484" s="7">
        <f t="shared" si="2641"/>
        <v>24597.726000000002</v>
      </c>
      <c r="Q484" s="7">
        <f t="shared" si="2641"/>
        <v>23749.536000000004</v>
      </c>
      <c r="R484" s="7">
        <f t="shared" si="2641"/>
        <v>22901.346000000005</v>
      </c>
      <c r="S484" s="7">
        <f t="shared" si="2641"/>
        <v>22053.156000000006</v>
      </c>
      <c r="T484" s="7">
        <f t="shared" si="2641"/>
        <v>21204.966000000008</v>
      </c>
      <c r="U484" s="7">
        <f t="shared" si="2641"/>
        <v>20356.776000000009</v>
      </c>
      <c r="V484" s="7">
        <f t="shared" si="2641"/>
        <v>19508.58600000001</v>
      </c>
      <c r="W484" s="7">
        <f t="shared" si="2641"/>
        <v>18660.396000000012</v>
      </c>
      <c r="X484" s="7">
        <f t="shared" si="2641"/>
        <v>17812.206000000013</v>
      </c>
      <c r="Y484" s="7">
        <f t="shared" si="2641"/>
        <v>16964.016000000014</v>
      </c>
      <c r="Z484" s="7">
        <f t="shared" si="2641"/>
        <v>16115.826000000014</v>
      </c>
      <c r="AA484" s="7"/>
      <c r="AB484" s="7"/>
      <c r="AC484" s="7">
        <f t="shared" si="2505"/>
        <v>10178.280000000004</v>
      </c>
      <c r="AD484" s="7">
        <f t="shared" si="2506"/>
        <v>15267.636000000013</v>
      </c>
      <c r="AE484" s="7">
        <f t="shared" si="2642"/>
        <v>14419.446000000013</v>
      </c>
      <c r="AF484" s="7">
        <f t="shared" si="2642"/>
        <v>13571.256000000012</v>
      </c>
      <c r="AG484" s="7">
        <f t="shared" si="2642"/>
        <v>12723.066000000012</v>
      </c>
      <c r="AH484" s="7">
        <f t="shared" si="2642"/>
        <v>11874.876000000011</v>
      </c>
      <c r="AI484" s="7">
        <f t="shared" si="2642"/>
        <v>11026.686000000011</v>
      </c>
      <c r="AJ484" s="7">
        <f t="shared" si="2642"/>
        <v>10178.49600000001</v>
      </c>
      <c r="AK484" s="7">
        <f t="shared" si="2642"/>
        <v>9330.3060000000096</v>
      </c>
      <c r="AL484" s="7">
        <f t="shared" si="2642"/>
        <v>8482.1160000000091</v>
      </c>
      <c r="AM484" s="7">
        <f t="shared" si="2642"/>
        <v>7633.9260000000086</v>
      </c>
      <c r="AN484" s="7">
        <f t="shared" si="2642"/>
        <v>6785.7360000000081</v>
      </c>
      <c r="AO484" s="7">
        <f t="shared" si="2642"/>
        <v>5937.5460000000076</v>
      </c>
      <c r="AP484" s="222"/>
      <c r="AQ484" s="7">
        <v>848.1900000000004</v>
      </c>
      <c r="AR484" s="7">
        <f t="shared" si="2507"/>
        <v>848.19000000000051</v>
      </c>
      <c r="AS484" s="7">
        <f t="shared" si="2508"/>
        <v>0</v>
      </c>
      <c r="AT484" s="7">
        <f t="shared" ref="AT484" si="2645">L484*7+0.22</f>
        <v>5937.5500000000029</v>
      </c>
      <c r="AU484" s="7">
        <f t="shared" si="2571"/>
        <v>5089.356000000007</v>
      </c>
      <c r="AV484" s="7">
        <f t="shared" si="2643"/>
        <v>4241.1660000000065</v>
      </c>
      <c r="AW484" s="7">
        <f t="shared" si="2643"/>
        <v>3392.976000000006</v>
      </c>
      <c r="AX484" s="7">
        <f t="shared" si="2643"/>
        <v>2544.7860000000055</v>
      </c>
      <c r="AY484" s="7">
        <f t="shared" si="2643"/>
        <v>1696.596000000005</v>
      </c>
      <c r="AZ484" s="7">
        <f t="shared" si="2643"/>
        <v>848.40600000000461</v>
      </c>
      <c r="BA484" s="7">
        <f t="shared" si="2643"/>
        <v>0.2160000000042146</v>
      </c>
      <c r="BB484" s="7">
        <f t="shared" ref="BB484" si="2646">BA484-0.22</f>
        <v>-3.9999999957854027E-3</v>
      </c>
      <c r="BC484" s="7">
        <f t="shared" si="2644"/>
        <v>-3.9999999957854027E-3</v>
      </c>
      <c r="BD484" s="7">
        <f t="shared" si="2644"/>
        <v>-3.9999999957854027E-3</v>
      </c>
      <c r="BE484" s="7">
        <f t="shared" si="2644"/>
        <v>-3.9999999957854027E-3</v>
      </c>
      <c r="BF484" s="7">
        <f t="shared" si="2644"/>
        <v>-3.9999999957854027E-3</v>
      </c>
      <c r="BG484" s="236">
        <f t="shared" si="2503"/>
        <v>0</v>
      </c>
      <c r="BH484" s="7">
        <v>848.1900000000004</v>
      </c>
      <c r="BI484" s="39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236">
        <f>IF(Z484&lt;1,0,SUM(BJ484:BU484,BF484)/13*$BG$1)</f>
        <v>-6.7692307620983735E-6</v>
      </c>
      <c r="BW484" s="7">
        <v>848.1900000000004</v>
      </c>
      <c r="BX484" s="39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236">
        <f>IF(AO484&lt;1,0,SUM(BY484:CJ484,BU484)/13*$BG$1)</f>
        <v>0</v>
      </c>
      <c r="CL484" s="7">
        <v>848.1900000000004</v>
      </c>
      <c r="CM484" s="39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236">
        <f>IF(BF484&lt;1,0,SUM(CN484:CY484,CJ484)/13*$BG$1)</f>
        <v>0</v>
      </c>
    </row>
    <row r="485" spans="1:104" ht="22.5" x14ac:dyDescent="0.2">
      <c r="A485" s="6" t="str">
        <f>'[1]2021 УГРЦТ'!A488</f>
        <v>Трехфазная группа трансформаторов напряжения 3х3НОЛП-6 зав.1323219</v>
      </c>
      <c r="B485" t="str">
        <f>'[1]2021 УГРЦТ'!B488</f>
        <v>000001774</v>
      </c>
      <c r="C485" t="str">
        <f>'[1]2021 УГРЦТ'!C488</f>
        <v>ПЕРЕДАЧА</v>
      </c>
      <c r="D485" t="str">
        <f>'[1]2021 УГРЦТ'!D488</f>
        <v>Машины и оборудование (кроме офисного)</v>
      </c>
      <c r="E485" t="str">
        <f>'[1]2021 УГРЦТ'!E488</f>
        <v>30.07.2019</v>
      </c>
      <c r="F485" t="str">
        <f>'[1]2021 УГРЦТ'!F488</f>
        <v>Цех электрических сетей</v>
      </c>
      <c r="G485">
        <f>'[1]2021 УГРЦТ'!AC488</f>
        <v>60</v>
      </c>
      <c r="H485" s="7">
        <f>'[1]2021 УГРЦТ'!X488</f>
        <v>50891.66</v>
      </c>
      <c r="I485" s="7">
        <f>'[1]2021 УГРЦТ'!Y488</f>
        <v>24597.561999999998</v>
      </c>
      <c r="J485" s="7">
        <f>'[1]2021 УГРЦТ'!Z488</f>
        <v>26294.098000000005</v>
      </c>
      <c r="K485" s="8">
        <v>0</v>
      </c>
      <c r="L485" s="7">
        <v>848.1900000000004</v>
      </c>
      <c r="M485" s="7"/>
      <c r="N485" s="7">
        <f t="shared" si="2270"/>
        <v>10178.280000000004</v>
      </c>
      <c r="O485" s="7">
        <f t="shared" si="2504"/>
        <v>25445.908000000007</v>
      </c>
      <c r="P485" s="7">
        <f t="shared" si="2641"/>
        <v>24597.718000000008</v>
      </c>
      <c r="Q485" s="7">
        <f t="shared" si="2641"/>
        <v>23749.528000000009</v>
      </c>
      <c r="R485" s="7">
        <f t="shared" si="2641"/>
        <v>22901.338000000011</v>
      </c>
      <c r="S485" s="7">
        <f t="shared" si="2641"/>
        <v>22053.148000000012</v>
      </c>
      <c r="T485" s="7">
        <f t="shared" si="2641"/>
        <v>21204.958000000013</v>
      </c>
      <c r="U485" s="7">
        <f t="shared" si="2641"/>
        <v>20356.768000000015</v>
      </c>
      <c r="V485" s="7">
        <f t="shared" si="2641"/>
        <v>19508.578000000016</v>
      </c>
      <c r="W485" s="7">
        <f t="shared" si="2641"/>
        <v>18660.388000000017</v>
      </c>
      <c r="X485" s="7">
        <f t="shared" si="2641"/>
        <v>17812.198000000019</v>
      </c>
      <c r="Y485" s="7">
        <f t="shared" si="2641"/>
        <v>16964.00800000002</v>
      </c>
      <c r="Z485" s="7">
        <f t="shared" si="2641"/>
        <v>16115.818000000019</v>
      </c>
      <c r="AA485" s="7"/>
      <c r="AB485" s="7"/>
      <c r="AC485" s="7">
        <f t="shared" si="2505"/>
        <v>10178.280000000004</v>
      </c>
      <c r="AD485" s="7">
        <f t="shared" si="2506"/>
        <v>15267.628000000019</v>
      </c>
      <c r="AE485" s="7">
        <f t="shared" si="2642"/>
        <v>14419.438000000018</v>
      </c>
      <c r="AF485" s="7">
        <f t="shared" si="2642"/>
        <v>13571.248000000018</v>
      </c>
      <c r="AG485" s="7">
        <f t="shared" si="2642"/>
        <v>12723.058000000017</v>
      </c>
      <c r="AH485" s="7">
        <f t="shared" si="2642"/>
        <v>11874.868000000017</v>
      </c>
      <c r="AI485" s="7">
        <f t="shared" si="2642"/>
        <v>11026.678000000016</v>
      </c>
      <c r="AJ485" s="7">
        <f t="shared" si="2642"/>
        <v>10178.488000000016</v>
      </c>
      <c r="AK485" s="7">
        <f t="shared" si="2642"/>
        <v>9330.2980000000152</v>
      </c>
      <c r="AL485" s="7">
        <f t="shared" si="2642"/>
        <v>8482.1080000000147</v>
      </c>
      <c r="AM485" s="7">
        <f t="shared" si="2642"/>
        <v>7633.9180000000142</v>
      </c>
      <c r="AN485" s="7">
        <f t="shared" si="2642"/>
        <v>6785.7280000000137</v>
      </c>
      <c r="AO485" s="7">
        <f t="shared" si="2642"/>
        <v>5937.5380000000132</v>
      </c>
      <c r="AP485" s="222"/>
      <c r="AQ485" s="7">
        <v>848.1900000000004</v>
      </c>
      <c r="AR485" s="7">
        <f t="shared" si="2507"/>
        <v>848.19000000000051</v>
      </c>
      <c r="AS485" s="7">
        <f t="shared" si="2508"/>
        <v>0</v>
      </c>
      <c r="AT485" s="7">
        <f>L485*7+0.21</f>
        <v>5937.5400000000027</v>
      </c>
      <c r="AU485" s="7">
        <f t="shared" si="2571"/>
        <v>5089.3480000000127</v>
      </c>
      <c r="AV485" s="7">
        <f t="shared" si="2643"/>
        <v>4241.1580000000122</v>
      </c>
      <c r="AW485" s="7">
        <f t="shared" si="2643"/>
        <v>3392.9680000000117</v>
      </c>
      <c r="AX485" s="7">
        <f t="shared" si="2643"/>
        <v>2544.7780000000112</v>
      </c>
      <c r="AY485" s="7">
        <f t="shared" si="2643"/>
        <v>1696.5880000000107</v>
      </c>
      <c r="AZ485" s="7">
        <f t="shared" si="2643"/>
        <v>848.39800000001026</v>
      </c>
      <c r="BA485" s="7">
        <f t="shared" si="2643"/>
        <v>0.20800000000986074</v>
      </c>
      <c r="BB485" s="7">
        <f>BA485-0.21</f>
        <v>-1.9999999901392507E-3</v>
      </c>
      <c r="BC485" s="7">
        <f t="shared" si="2644"/>
        <v>-1.9999999901392507E-3</v>
      </c>
      <c r="BD485" s="7">
        <f t="shared" si="2644"/>
        <v>-1.9999999901392507E-3</v>
      </c>
      <c r="BE485" s="7">
        <f t="shared" si="2644"/>
        <v>-1.9999999901392507E-3</v>
      </c>
      <c r="BF485" s="7">
        <f t="shared" si="2644"/>
        <v>-1.9999999901392507E-3</v>
      </c>
      <c r="BG485" s="236">
        <f t="shared" si="2503"/>
        <v>0</v>
      </c>
      <c r="BH485" s="7">
        <v>848.1900000000004</v>
      </c>
      <c r="BI485" s="39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236">
        <f>IF(Z485&lt;1,0,SUM(BJ485:BU485,BF485)/13*$BG$1)</f>
        <v>-3.3846153679279624E-6</v>
      </c>
      <c r="BW485" s="7">
        <v>848.1900000000004</v>
      </c>
      <c r="BX485" s="39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236">
        <f>IF(AO485&lt;1,0,SUM(BY485:CJ485,BU485)/13*$BG$1)</f>
        <v>0</v>
      </c>
      <c r="CL485" s="7">
        <v>848.1900000000004</v>
      </c>
      <c r="CM485" s="39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236">
        <f>IF(BF485&lt;1,0,SUM(CN485:CY485,CJ485)/13*$BG$1)</f>
        <v>0</v>
      </c>
    </row>
    <row r="486" spans="1:104" x14ac:dyDescent="0.2">
      <c r="A486" s="6" t="str">
        <f>'[1]2021 УГРЦТ'!A489</f>
        <v>Участок ВЛ-0,4 кВ от ТП-66 фидер Песчаная</v>
      </c>
      <c r="B486" t="str">
        <f>'[1]2021 УГРЦТ'!B489</f>
        <v>000001802</v>
      </c>
      <c r="C486" t="str">
        <f>'[1]2021 УГРЦТ'!C489</f>
        <v>ПЕРЕДАЧА</v>
      </c>
      <c r="D486" t="str">
        <f>'[1]2021 УГРЦТ'!D489</f>
        <v>Сооружения</v>
      </c>
      <c r="E486" t="str">
        <f>'[1]2021 УГРЦТ'!E489</f>
        <v>02.03.2020</v>
      </c>
      <c r="F486" t="str">
        <f>'[1]2021 УГРЦТ'!F489</f>
        <v>Цех электрических сетей</v>
      </c>
      <c r="G486">
        <f>'[1]2021 УГРЦТ'!AC489</f>
        <v>480</v>
      </c>
      <c r="H486" s="7">
        <f>'[1]2021 УГРЦТ'!X489</f>
        <v>3588625.91</v>
      </c>
      <c r="I486" s="7">
        <f>'[1]2021 УГРЦТ'!Y489</f>
        <v>157002.34775000002</v>
      </c>
      <c r="J486" s="7">
        <f>'[1]2021 УГРЦТ'!Z489</f>
        <v>3431623.56225</v>
      </c>
      <c r="K486" s="8">
        <v>1</v>
      </c>
      <c r="L486" s="7">
        <v>7476.300000000002</v>
      </c>
      <c r="M486" s="7"/>
      <c r="N486" s="7">
        <f t="shared" si="2270"/>
        <v>89715.60000000002</v>
      </c>
      <c r="O486" s="7">
        <f t="shared" si="2504"/>
        <v>3424147.2622500001</v>
      </c>
      <c r="P486" s="7">
        <f t="shared" si="2641"/>
        <v>3416670.9622500003</v>
      </c>
      <c r="Q486" s="7">
        <f t="shared" si="2641"/>
        <v>3409194.6622500005</v>
      </c>
      <c r="R486" s="7">
        <f t="shared" si="2641"/>
        <v>3401718.3622500007</v>
      </c>
      <c r="S486" s="7">
        <f t="shared" si="2641"/>
        <v>3394242.0622500009</v>
      </c>
      <c r="T486" s="7">
        <f t="shared" si="2641"/>
        <v>3386765.7622500011</v>
      </c>
      <c r="U486" s="7">
        <f t="shared" si="2641"/>
        <v>3379289.4622500013</v>
      </c>
      <c r="V486" s="7">
        <f t="shared" si="2641"/>
        <v>3371813.1622500014</v>
      </c>
      <c r="W486" s="7">
        <f t="shared" si="2641"/>
        <v>3364336.8622500016</v>
      </c>
      <c r="X486" s="7">
        <f t="shared" si="2641"/>
        <v>3356860.5622500018</v>
      </c>
      <c r="Y486" s="7">
        <f t="shared" si="2641"/>
        <v>3349384.262250002</v>
      </c>
      <c r="Z486" s="7">
        <f t="shared" si="2641"/>
        <v>3341907.9622500022</v>
      </c>
      <c r="AA486" s="7">
        <f>SUM(O486:Z486,J486)/13*$AA$1</f>
        <v>74508.846769500014</v>
      </c>
      <c r="AB486" s="7"/>
      <c r="AC486" s="7">
        <f t="shared" si="2505"/>
        <v>89715.60000000002</v>
      </c>
      <c r="AD486" s="7">
        <f t="shared" si="2506"/>
        <v>3334431.6622500024</v>
      </c>
      <c r="AE486" s="7">
        <f t="shared" si="2642"/>
        <v>3326955.3622500026</v>
      </c>
      <c r="AF486" s="7">
        <f t="shared" si="2642"/>
        <v>3319479.0622500028</v>
      </c>
      <c r="AG486" s="7">
        <f t="shared" si="2642"/>
        <v>3312002.7622500029</v>
      </c>
      <c r="AH486" s="7">
        <f t="shared" si="2642"/>
        <v>3304526.4622500031</v>
      </c>
      <c r="AI486" s="7">
        <f t="shared" si="2642"/>
        <v>3297050.1622500033</v>
      </c>
      <c r="AJ486" s="7">
        <f t="shared" si="2642"/>
        <v>3289573.8622500035</v>
      </c>
      <c r="AK486" s="7">
        <f t="shared" si="2642"/>
        <v>3282097.5622500037</v>
      </c>
      <c r="AL486" s="7">
        <f t="shared" si="2642"/>
        <v>3274621.2622500039</v>
      </c>
      <c r="AM486" s="7">
        <f t="shared" si="2642"/>
        <v>3267144.9622500041</v>
      </c>
      <c r="AN486" s="7">
        <f t="shared" si="2642"/>
        <v>3259668.6622500042</v>
      </c>
      <c r="AO486" s="7">
        <f t="shared" si="2642"/>
        <v>3252192.3622500044</v>
      </c>
      <c r="AP486" s="222">
        <f>IF(K486&lt;1,0,SUM(AD486:AO486,Z486)/13*$BG$1)</f>
        <v>72535.103569500076</v>
      </c>
      <c r="AQ486" s="7">
        <v>7476.300000000002</v>
      </c>
      <c r="AR486" s="7">
        <f t="shared" si="2507"/>
        <v>7476.2999999998137</v>
      </c>
      <c r="AS486" s="7">
        <f t="shared" si="2508"/>
        <v>-1.8826540326699615E-10</v>
      </c>
      <c r="AT486" s="7">
        <f t="shared" si="2570"/>
        <v>89715.60000000002</v>
      </c>
      <c r="AU486" s="7">
        <f t="shared" si="2571"/>
        <v>3244716.0622500046</v>
      </c>
      <c r="AV486" s="7">
        <f t="shared" si="2643"/>
        <v>3237239.7622500048</v>
      </c>
      <c r="AW486" s="7">
        <f t="shared" si="2643"/>
        <v>3229763.462250005</v>
      </c>
      <c r="AX486" s="7">
        <f t="shared" si="2643"/>
        <v>3222287.1622500052</v>
      </c>
      <c r="AY486" s="7">
        <f t="shared" si="2643"/>
        <v>3214810.8622500054</v>
      </c>
      <c r="AZ486" s="7">
        <f t="shared" si="2643"/>
        <v>3207334.5622500055</v>
      </c>
      <c r="BA486" s="7">
        <f t="shared" si="2643"/>
        <v>3199858.2622500057</v>
      </c>
      <c r="BB486" s="7">
        <f t="shared" si="2643"/>
        <v>3192381.9622500059</v>
      </c>
      <c r="BC486" s="7">
        <f t="shared" si="2643"/>
        <v>3184905.6622500061</v>
      </c>
      <c r="BD486" s="7">
        <f t="shared" si="2643"/>
        <v>3177429.3622500063</v>
      </c>
      <c r="BE486" s="7">
        <f t="shared" si="2643"/>
        <v>3169953.0622500065</v>
      </c>
      <c r="BF486" s="7">
        <f t="shared" si="2643"/>
        <v>3162476.7622500067</v>
      </c>
      <c r="BG486" s="236">
        <f t="shared" si="2503"/>
        <v>70561.360369500122</v>
      </c>
      <c r="BH486" s="7">
        <v>7476.300000000002</v>
      </c>
      <c r="BI486" s="39">
        <f>BH486*12</f>
        <v>89715.60000000002</v>
      </c>
      <c r="BJ486" s="7">
        <f>BF486-BH486</f>
        <v>3155000.4622500069</v>
      </c>
      <c r="BK486" s="7">
        <f t="shared" si="2573"/>
        <v>3147524.162250007</v>
      </c>
      <c r="BL486" s="7">
        <f t="shared" si="2574"/>
        <v>3140047.8622500072</v>
      </c>
      <c r="BM486" s="7">
        <f t="shared" si="2575"/>
        <v>3132571.5622500074</v>
      </c>
      <c r="BN486" s="7">
        <f t="shared" si="2576"/>
        <v>3125095.2622500076</v>
      </c>
      <c r="BO486" s="7">
        <f t="shared" si="2577"/>
        <v>3117618.9622500078</v>
      </c>
      <c r="BP486" s="7">
        <f t="shared" si="2578"/>
        <v>3110142.662250008</v>
      </c>
      <c r="BQ486" s="7">
        <f t="shared" ref="BQ486:BQ488" si="2647">BP486-$L486</f>
        <v>3102666.3622500082</v>
      </c>
      <c r="BR486" s="7">
        <f t="shared" ref="BR486:BR488" si="2648">BQ486-$L486</f>
        <v>3095190.0622500083</v>
      </c>
      <c r="BS486" s="7">
        <f t="shared" ref="BS486:BS488" si="2649">BR486-$L486</f>
        <v>3087713.7622500085</v>
      </c>
      <c r="BT486" s="7">
        <f t="shared" ref="BT486:BT488" si="2650">BS486-$L486</f>
        <v>3080237.4622500087</v>
      </c>
      <c r="BU486" s="7">
        <f t="shared" ref="BU486:BU488" si="2651">BT486-$L486</f>
        <v>3072761.1622500089</v>
      </c>
      <c r="BV486" s="236">
        <f>IF(Z486&lt;1,0,SUM(BJ486:BU486,BF486)/13*$BG$1)</f>
        <v>68587.617169500183</v>
      </c>
      <c r="BW486" s="7">
        <v>7476.300000000002</v>
      </c>
      <c r="BX486" s="39">
        <f>BW486*12</f>
        <v>89715.60000000002</v>
      </c>
      <c r="BY486" s="7">
        <f>BU486-BW486</f>
        <v>3065284.8622500091</v>
      </c>
      <c r="BZ486" s="7">
        <f t="shared" ref="BZ486:BZ488" si="2652">BY486-$L486</f>
        <v>3057808.5622500093</v>
      </c>
      <c r="CA486" s="7">
        <f t="shared" ref="CA486:CA488" si="2653">BZ486-$L486</f>
        <v>3050332.2622500095</v>
      </c>
      <c r="CB486" s="7">
        <f t="shared" ref="CB486:CB488" si="2654">CA486-$L486</f>
        <v>3042855.9622500096</v>
      </c>
      <c r="CC486" s="7">
        <f t="shared" ref="CC486:CC488" si="2655">CB486-$L486</f>
        <v>3035379.6622500098</v>
      </c>
      <c r="CD486" s="7">
        <f t="shared" ref="CD486:CD488" si="2656">CC486-$L486</f>
        <v>3027903.36225001</v>
      </c>
      <c r="CE486" s="7">
        <f t="shared" ref="CE486:CE488" si="2657">CD486-$L486</f>
        <v>3020427.0622500102</v>
      </c>
      <c r="CF486" s="7">
        <f t="shared" ref="CF486:CF488" si="2658">CE486-$L486</f>
        <v>3012950.7622500104</v>
      </c>
      <c r="CG486" s="7">
        <f t="shared" ref="CG486:CG488" si="2659">CF486-$L486</f>
        <v>3005474.4622500106</v>
      </c>
      <c r="CH486" s="7">
        <f t="shared" ref="CH486:CH488" si="2660">CG486-$L486</f>
        <v>2997998.1622500108</v>
      </c>
      <c r="CI486" s="7">
        <f t="shared" ref="CI486:CI488" si="2661">CH486-$L486</f>
        <v>2990521.8622500109</v>
      </c>
      <c r="CJ486" s="7">
        <f t="shared" ref="CJ486:CJ488" si="2662">CI486-$L486</f>
        <v>2983045.5622500111</v>
      </c>
      <c r="CK486" s="236">
        <f>IF(AO486&lt;1,0,SUM(BY486:CJ486,BU486)/13*$BG$1)</f>
        <v>66613.87396950023</v>
      </c>
      <c r="CL486" s="7">
        <v>7476.300000000002</v>
      </c>
      <c r="CM486" s="39">
        <f>CL486*12</f>
        <v>89715.60000000002</v>
      </c>
      <c r="CN486" s="7">
        <f>CJ486-CL486</f>
        <v>2975569.2622500113</v>
      </c>
      <c r="CO486" s="7">
        <f t="shared" ref="CO486:CO488" si="2663">CN486-$L486</f>
        <v>2968092.9622500115</v>
      </c>
      <c r="CP486" s="7">
        <f t="shared" ref="CP486:CP488" si="2664">CO486-$L486</f>
        <v>2960616.6622500117</v>
      </c>
      <c r="CQ486" s="7">
        <f t="shared" ref="CQ486:CQ488" si="2665">CP486-$L486</f>
        <v>2953140.3622500119</v>
      </c>
      <c r="CR486" s="7">
        <f t="shared" ref="CR486:CR488" si="2666">CQ486-$L486</f>
        <v>2945664.0622500121</v>
      </c>
      <c r="CS486" s="7">
        <f t="shared" ref="CS486:CS488" si="2667">CR486-$L486</f>
        <v>2938187.7622500123</v>
      </c>
      <c r="CT486" s="7">
        <f t="shared" ref="CT486:CT488" si="2668">CS486-$L486</f>
        <v>2930711.4622500124</v>
      </c>
      <c r="CU486" s="7">
        <f t="shared" ref="CU486:CU488" si="2669">CT486-$L486</f>
        <v>2923235.1622500126</v>
      </c>
      <c r="CV486" s="7">
        <f t="shared" ref="CV486:CV488" si="2670">CU486-$L486</f>
        <v>2915758.8622500128</v>
      </c>
      <c r="CW486" s="7">
        <f t="shared" ref="CW486:CW488" si="2671">CV486-$L486</f>
        <v>2908282.562250013</v>
      </c>
      <c r="CX486" s="7">
        <f t="shared" ref="CX486:CX488" si="2672">CW486-$L486</f>
        <v>2900806.2622500132</v>
      </c>
      <c r="CY486" s="7">
        <f t="shared" ref="CY486:CY488" si="2673">CX486-$L486</f>
        <v>2893329.9622500134</v>
      </c>
      <c r="CZ486" s="236">
        <f>IF(BF486&lt;1,0,SUM(CN486:CY486,CJ486)/13*$BG$1)</f>
        <v>64640.130769500276</v>
      </c>
    </row>
    <row r="487" spans="1:104" x14ac:dyDescent="0.2">
      <c r="A487" s="6" t="str">
        <f>'[1]2021 УГРЦТ'!A490</f>
        <v>Шиногиб гидравлический ШГР2-10AL</v>
      </c>
      <c r="B487" t="str">
        <f>'[1]2021 УГРЦТ'!B490</f>
        <v>000001737</v>
      </c>
      <c r="C487" t="str">
        <f>'[1]2021 УГРЦТ'!C490</f>
        <v>ПЕРЕДАЧА</v>
      </c>
      <c r="D487" t="str">
        <f>'[1]2021 УГРЦТ'!D490</f>
        <v>Машины и оборудование (кроме офисного)</v>
      </c>
      <c r="E487" t="str">
        <f>'[1]2021 УГРЦТ'!E490</f>
        <v>16.07.2018</v>
      </c>
      <c r="F487" t="str">
        <f>'[1]2021 УГРЦТ'!F490</f>
        <v>Цех электрических сетей</v>
      </c>
      <c r="G487">
        <f>'[1]2021 УГРЦТ'!AC490</f>
        <v>120</v>
      </c>
      <c r="H487" s="7">
        <f>'[1]2021 УГРЦТ'!X490</f>
        <v>106181.36</v>
      </c>
      <c r="I487" s="7">
        <f>'[1]2021 УГРЦТ'!Y490</f>
        <v>36278.495999999999</v>
      </c>
      <c r="J487" s="7">
        <f>'[1]2021 УГРЦТ'!Z490</f>
        <v>69902.864000000001</v>
      </c>
      <c r="K487" s="8">
        <v>0</v>
      </c>
      <c r="L487" s="7">
        <v>884.85</v>
      </c>
      <c r="M487" s="7"/>
      <c r="N487" s="7">
        <f t="shared" ref="N487:N549" si="2674">L487*12</f>
        <v>10618.2</v>
      </c>
      <c r="O487" s="7">
        <f t="shared" si="2504"/>
        <v>69018.013999999996</v>
      </c>
      <c r="P487" s="7">
        <f t="shared" si="2641"/>
        <v>68133.16399999999</v>
      </c>
      <c r="Q487" s="7">
        <f t="shared" si="2641"/>
        <v>67248.313999999984</v>
      </c>
      <c r="R487" s="7">
        <f t="shared" si="2641"/>
        <v>66363.463999999978</v>
      </c>
      <c r="S487" s="7">
        <f t="shared" si="2641"/>
        <v>65478.61399999998</v>
      </c>
      <c r="T487" s="7">
        <f t="shared" si="2641"/>
        <v>64593.763999999981</v>
      </c>
      <c r="U487" s="7">
        <f t="shared" si="2641"/>
        <v>63708.913999999982</v>
      </c>
      <c r="V487" s="7">
        <f t="shared" si="2641"/>
        <v>62824.063999999984</v>
      </c>
      <c r="W487" s="7">
        <f t="shared" si="2641"/>
        <v>61939.213999999985</v>
      </c>
      <c r="X487" s="7">
        <f t="shared" si="2641"/>
        <v>61054.363999999987</v>
      </c>
      <c r="Y487" s="7">
        <f t="shared" si="2641"/>
        <v>60169.513999999988</v>
      </c>
      <c r="Z487" s="7">
        <f t="shared" si="2641"/>
        <v>59284.66399999999</v>
      </c>
      <c r="AA487" s="7"/>
      <c r="AB487" s="7"/>
      <c r="AC487" s="7">
        <f t="shared" si="2505"/>
        <v>10618.2</v>
      </c>
      <c r="AD487" s="7">
        <f t="shared" si="2506"/>
        <v>58399.813999999991</v>
      </c>
      <c r="AE487" s="7">
        <f t="shared" si="2642"/>
        <v>57514.963999999993</v>
      </c>
      <c r="AF487" s="7">
        <f t="shared" si="2642"/>
        <v>56630.113999999994</v>
      </c>
      <c r="AG487" s="7">
        <f t="shared" si="2642"/>
        <v>55745.263999999996</v>
      </c>
      <c r="AH487" s="7">
        <f t="shared" si="2642"/>
        <v>54860.413999999997</v>
      </c>
      <c r="AI487" s="7">
        <f t="shared" si="2642"/>
        <v>53975.563999999998</v>
      </c>
      <c r="AJ487" s="7">
        <f t="shared" si="2642"/>
        <v>53090.714</v>
      </c>
      <c r="AK487" s="7">
        <f t="shared" si="2642"/>
        <v>52205.864000000001</v>
      </c>
      <c r="AL487" s="7">
        <f t="shared" si="2642"/>
        <v>51321.014000000003</v>
      </c>
      <c r="AM487" s="7">
        <f t="shared" si="2642"/>
        <v>50436.164000000004</v>
      </c>
      <c r="AN487" s="7">
        <f t="shared" si="2642"/>
        <v>49551.314000000006</v>
      </c>
      <c r="AO487" s="7">
        <f t="shared" si="2642"/>
        <v>48666.464000000007</v>
      </c>
      <c r="AP487" s="222"/>
      <c r="AQ487" s="7">
        <v>884.85</v>
      </c>
      <c r="AR487" s="7">
        <f t="shared" si="2507"/>
        <v>884.84999999999854</v>
      </c>
      <c r="AS487" s="7">
        <f t="shared" si="2508"/>
        <v>-1.4779288903810084E-12</v>
      </c>
      <c r="AT487" s="7">
        <f t="shared" si="2570"/>
        <v>10618.2</v>
      </c>
      <c r="AU487" s="7">
        <f t="shared" si="2571"/>
        <v>47781.614000000009</v>
      </c>
      <c r="AV487" s="7">
        <f t="shared" si="2643"/>
        <v>46896.76400000001</v>
      </c>
      <c r="AW487" s="7">
        <f t="shared" si="2643"/>
        <v>46011.914000000012</v>
      </c>
      <c r="AX487" s="7">
        <f t="shared" si="2643"/>
        <v>45127.064000000013</v>
      </c>
      <c r="AY487" s="7">
        <f t="shared" si="2643"/>
        <v>44242.214000000014</v>
      </c>
      <c r="AZ487" s="7">
        <f t="shared" si="2643"/>
        <v>43357.364000000016</v>
      </c>
      <c r="BA487" s="7">
        <f t="shared" si="2643"/>
        <v>42472.514000000017</v>
      </c>
      <c r="BB487" s="7">
        <f t="shared" si="2643"/>
        <v>41587.664000000019</v>
      </c>
      <c r="BC487" s="7">
        <f t="shared" si="2643"/>
        <v>40702.81400000002</v>
      </c>
      <c r="BD487" s="7">
        <f t="shared" si="2643"/>
        <v>39817.964000000022</v>
      </c>
      <c r="BE487" s="7">
        <f t="shared" si="2643"/>
        <v>38933.114000000023</v>
      </c>
      <c r="BF487" s="7">
        <f t="shared" si="2643"/>
        <v>38048.264000000025</v>
      </c>
      <c r="BG487" s="236">
        <f t="shared" si="2503"/>
        <v>0</v>
      </c>
      <c r="BH487" s="7">
        <v>884.85</v>
      </c>
      <c r="BI487" s="39">
        <f>BH487*12</f>
        <v>10618.2</v>
      </c>
      <c r="BJ487" s="7">
        <f>BF487-BH487</f>
        <v>37163.414000000026</v>
      </c>
      <c r="BK487" s="7">
        <f t="shared" si="2573"/>
        <v>36278.564000000028</v>
      </c>
      <c r="BL487" s="7">
        <f t="shared" si="2574"/>
        <v>35393.714000000029</v>
      </c>
      <c r="BM487" s="7">
        <f t="shared" si="2575"/>
        <v>34508.864000000031</v>
      </c>
      <c r="BN487" s="7">
        <f t="shared" si="2576"/>
        <v>33624.014000000032</v>
      </c>
      <c r="BO487" s="7">
        <f t="shared" si="2577"/>
        <v>32739.164000000033</v>
      </c>
      <c r="BP487" s="7">
        <f t="shared" si="2578"/>
        <v>31854.314000000035</v>
      </c>
      <c r="BQ487" s="7">
        <f t="shared" si="2647"/>
        <v>30969.464000000036</v>
      </c>
      <c r="BR487" s="7">
        <f t="shared" si="2648"/>
        <v>30084.614000000038</v>
      </c>
      <c r="BS487" s="7">
        <f t="shared" si="2649"/>
        <v>29199.764000000039</v>
      </c>
      <c r="BT487" s="7">
        <f t="shared" si="2650"/>
        <v>28314.914000000041</v>
      </c>
      <c r="BU487" s="7">
        <f t="shared" si="2651"/>
        <v>27430.064000000042</v>
      </c>
      <c r="BV487" s="236">
        <v>0</v>
      </c>
      <c r="BW487" s="7">
        <v>884.85</v>
      </c>
      <c r="BX487" s="39">
        <f>BW487*12</f>
        <v>10618.2</v>
      </c>
      <c r="BY487" s="7">
        <f>BU487-BW487</f>
        <v>26545.214000000044</v>
      </c>
      <c r="BZ487" s="7">
        <f t="shared" si="2652"/>
        <v>25660.364000000045</v>
      </c>
      <c r="CA487" s="7">
        <f t="shared" si="2653"/>
        <v>24775.514000000047</v>
      </c>
      <c r="CB487" s="7">
        <f t="shared" si="2654"/>
        <v>23890.664000000048</v>
      </c>
      <c r="CC487" s="7">
        <f t="shared" si="2655"/>
        <v>23005.814000000049</v>
      </c>
      <c r="CD487" s="7">
        <f t="shared" si="2656"/>
        <v>22120.964000000051</v>
      </c>
      <c r="CE487" s="7">
        <f t="shared" si="2657"/>
        <v>21236.114000000052</v>
      </c>
      <c r="CF487" s="7">
        <f t="shared" si="2658"/>
        <v>20351.264000000054</v>
      </c>
      <c r="CG487" s="7">
        <f t="shared" si="2659"/>
        <v>19466.414000000055</v>
      </c>
      <c r="CH487" s="7">
        <f t="shared" si="2660"/>
        <v>18581.564000000057</v>
      </c>
      <c r="CI487" s="7">
        <f t="shared" si="2661"/>
        <v>17696.714000000058</v>
      </c>
      <c r="CJ487" s="7">
        <f t="shared" si="2662"/>
        <v>16811.86400000006</v>
      </c>
      <c r="CK487" s="236">
        <v>0</v>
      </c>
      <c r="CL487" s="7">
        <v>884.85</v>
      </c>
      <c r="CM487" s="39">
        <f>CL487*12</f>
        <v>10618.2</v>
      </c>
      <c r="CN487" s="7">
        <f>CJ487-CL487</f>
        <v>15927.014000000059</v>
      </c>
      <c r="CO487" s="7">
        <f t="shared" si="2663"/>
        <v>15042.164000000059</v>
      </c>
      <c r="CP487" s="7">
        <f t="shared" si="2664"/>
        <v>14157.314000000059</v>
      </c>
      <c r="CQ487" s="7">
        <f t="shared" si="2665"/>
        <v>13272.464000000058</v>
      </c>
      <c r="CR487" s="7">
        <f t="shared" si="2666"/>
        <v>12387.614000000058</v>
      </c>
      <c r="CS487" s="7">
        <f t="shared" si="2667"/>
        <v>11502.764000000057</v>
      </c>
      <c r="CT487" s="7">
        <f t="shared" si="2668"/>
        <v>10617.914000000057</v>
      </c>
      <c r="CU487" s="7">
        <f t="shared" si="2669"/>
        <v>9733.0640000000567</v>
      </c>
      <c r="CV487" s="7">
        <f t="shared" si="2670"/>
        <v>8848.2140000000563</v>
      </c>
      <c r="CW487" s="7">
        <f t="shared" si="2671"/>
        <v>7963.364000000056</v>
      </c>
      <c r="CX487" s="7">
        <f t="shared" si="2672"/>
        <v>7078.5140000000556</v>
      </c>
      <c r="CY487" s="7">
        <f t="shared" si="2673"/>
        <v>6193.6640000000552</v>
      </c>
      <c r="CZ487" s="236">
        <v>0</v>
      </c>
    </row>
    <row r="488" spans="1:104" x14ac:dyDescent="0.2">
      <c r="A488" s="6" t="str">
        <f>'[1]2021 УГРЦТ'!A491</f>
        <v>Шинодыр гидравлический ШД-60AL</v>
      </c>
      <c r="B488" t="str">
        <f>'[1]2021 УГРЦТ'!B491</f>
        <v>000001736</v>
      </c>
      <c r="C488" t="str">
        <f>'[1]2021 УГРЦТ'!C491</f>
        <v>ПЕРЕДАЧА</v>
      </c>
      <c r="D488" t="str">
        <f>'[1]2021 УГРЦТ'!D491</f>
        <v>Машины и оборудование (кроме офисного)</v>
      </c>
      <c r="E488" t="str">
        <f>'[1]2021 УГРЦТ'!E491</f>
        <v>16.07.2018</v>
      </c>
      <c r="F488" t="str">
        <f>'[1]2021 УГРЦТ'!F491</f>
        <v>Цех электрических сетей</v>
      </c>
      <c r="G488">
        <f>'[1]2021 УГРЦТ'!AC491</f>
        <v>120</v>
      </c>
      <c r="H488" s="7">
        <f>'[1]2021 УГРЦТ'!X491</f>
        <v>51677.97</v>
      </c>
      <c r="I488" s="7">
        <f>'[1]2021 УГРЦТ'!Y491</f>
        <v>17656.646999999997</v>
      </c>
      <c r="J488" s="7">
        <f>'[1]2021 УГРЦТ'!Z491</f>
        <v>34021.323000000004</v>
      </c>
      <c r="K488" s="8">
        <v>0</v>
      </c>
      <c r="L488" s="7">
        <v>430.64999999999992</v>
      </c>
      <c r="M488" s="7"/>
      <c r="N488" s="7">
        <f t="shared" si="2674"/>
        <v>5167.7999999999993</v>
      </c>
      <c r="O488" s="7">
        <f t="shared" si="2504"/>
        <v>33590.673000000003</v>
      </c>
      <c r="P488" s="7">
        <f t="shared" si="2641"/>
        <v>33160.023000000001</v>
      </c>
      <c r="Q488" s="7">
        <f t="shared" si="2641"/>
        <v>32729.373</v>
      </c>
      <c r="R488" s="7">
        <f t="shared" si="2641"/>
        <v>32298.722999999998</v>
      </c>
      <c r="S488" s="7">
        <f t="shared" si="2641"/>
        <v>31868.072999999997</v>
      </c>
      <c r="T488" s="7">
        <f t="shared" si="2641"/>
        <v>31437.422999999995</v>
      </c>
      <c r="U488" s="7">
        <f t="shared" si="2641"/>
        <v>31006.772999999994</v>
      </c>
      <c r="V488" s="7">
        <f t="shared" si="2641"/>
        <v>30576.122999999992</v>
      </c>
      <c r="W488" s="7">
        <f t="shared" si="2641"/>
        <v>30145.472999999991</v>
      </c>
      <c r="X488" s="7">
        <f t="shared" si="2641"/>
        <v>29714.822999999989</v>
      </c>
      <c r="Y488" s="7">
        <f t="shared" si="2641"/>
        <v>29284.172999999988</v>
      </c>
      <c r="Z488" s="7">
        <f t="shared" si="2641"/>
        <v>28853.522999999986</v>
      </c>
      <c r="AA488" s="7"/>
      <c r="AB488" s="7"/>
      <c r="AC488" s="7">
        <f t="shared" si="2505"/>
        <v>5167.7999999999993</v>
      </c>
      <c r="AD488" s="7">
        <f t="shared" si="2506"/>
        <v>28422.872999999985</v>
      </c>
      <c r="AE488" s="7">
        <f t="shared" si="2642"/>
        <v>27992.222999999984</v>
      </c>
      <c r="AF488" s="7">
        <f t="shared" si="2642"/>
        <v>27561.572999999982</v>
      </c>
      <c r="AG488" s="7">
        <f t="shared" si="2642"/>
        <v>27130.922999999981</v>
      </c>
      <c r="AH488" s="7">
        <f t="shared" si="2642"/>
        <v>26700.272999999979</v>
      </c>
      <c r="AI488" s="7">
        <f t="shared" si="2642"/>
        <v>26269.622999999978</v>
      </c>
      <c r="AJ488" s="7">
        <f t="shared" si="2642"/>
        <v>25838.972999999976</v>
      </c>
      <c r="AK488" s="7">
        <f t="shared" si="2642"/>
        <v>25408.322999999975</v>
      </c>
      <c r="AL488" s="7">
        <f t="shared" si="2642"/>
        <v>24977.672999999973</v>
      </c>
      <c r="AM488" s="7">
        <f t="shared" si="2642"/>
        <v>24547.022999999972</v>
      </c>
      <c r="AN488" s="7">
        <f t="shared" si="2642"/>
        <v>24116.37299999997</v>
      </c>
      <c r="AO488" s="7">
        <f t="shared" si="2642"/>
        <v>23685.722999999969</v>
      </c>
      <c r="AP488" s="222"/>
      <c r="AQ488" s="7">
        <v>430.64999999999992</v>
      </c>
      <c r="AR488" s="7">
        <f t="shared" si="2507"/>
        <v>430.65000000000146</v>
      </c>
      <c r="AS488" s="7">
        <f t="shared" si="2508"/>
        <v>1.5347723092418164E-12</v>
      </c>
      <c r="AT488" s="7">
        <f t="shared" si="2570"/>
        <v>5167.7999999999993</v>
      </c>
      <c r="AU488" s="7">
        <f t="shared" si="2571"/>
        <v>23255.072999999968</v>
      </c>
      <c r="AV488" s="7">
        <f t="shared" si="2643"/>
        <v>22824.422999999966</v>
      </c>
      <c r="AW488" s="7">
        <f t="shared" si="2643"/>
        <v>22393.772999999965</v>
      </c>
      <c r="AX488" s="7">
        <f t="shared" si="2643"/>
        <v>21963.122999999963</v>
      </c>
      <c r="AY488" s="7">
        <f t="shared" si="2643"/>
        <v>21532.472999999962</v>
      </c>
      <c r="AZ488" s="7">
        <f t="shared" si="2643"/>
        <v>21101.82299999996</v>
      </c>
      <c r="BA488" s="7">
        <f t="shared" si="2643"/>
        <v>20671.172999999959</v>
      </c>
      <c r="BB488" s="7">
        <f t="shared" si="2643"/>
        <v>20240.522999999957</v>
      </c>
      <c r="BC488" s="7">
        <f t="shared" si="2643"/>
        <v>19809.872999999956</v>
      </c>
      <c r="BD488" s="7">
        <f t="shared" si="2643"/>
        <v>19379.222999999954</v>
      </c>
      <c r="BE488" s="7">
        <f t="shared" si="2643"/>
        <v>18948.572999999953</v>
      </c>
      <c r="BF488" s="7">
        <f t="shared" si="2643"/>
        <v>18517.922999999952</v>
      </c>
      <c r="BG488" s="236">
        <f t="shared" si="2503"/>
        <v>0</v>
      </c>
      <c r="BH488" s="7">
        <v>430.64999999999992</v>
      </c>
      <c r="BI488" s="39">
        <f>BH488*12</f>
        <v>5167.7999999999993</v>
      </c>
      <c r="BJ488" s="7">
        <f>BF488-BH488</f>
        <v>18087.27299999995</v>
      </c>
      <c r="BK488" s="7">
        <f t="shared" si="2573"/>
        <v>17656.622999999949</v>
      </c>
      <c r="BL488" s="7">
        <f t="shared" si="2574"/>
        <v>17225.972999999947</v>
      </c>
      <c r="BM488" s="7">
        <f t="shared" si="2575"/>
        <v>16795.322999999946</v>
      </c>
      <c r="BN488" s="7">
        <f t="shared" si="2576"/>
        <v>16364.672999999946</v>
      </c>
      <c r="BO488" s="7">
        <f t="shared" si="2577"/>
        <v>15934.022999999946</v>
      </c>
      <c r="BP488" s="7">
        <f t="shared" si="2578"/>
        <v>15503.372999999947</v>
      </c>
      <c r="BQ488" s="7">
        <f t="shared" si="2647"/>
        <v>15072.722999999947</v>
      </c>
      <c r="BR488" s="7">
        <f t="shared" si="2648"/>
        <v>14642.072999999948</v>
      </c>
      <c r="BS488" s="7">
        <f t="shared" si="2649"/>
        <v>14211.422999999948</v>
      </c>
      <c r="BT488" s="7">
        <f t="shared" si="2650"/>
        <v>13780.772999999948</v>
      </c>
      <c r="BU488" s="7">
        <f t="shared" si="2651"/>
        <v>13350.122999999949</v>
      </c>
      <c r="BV488" s="236">
        <v>0</v>
      </c>
      <c r="BW488" s="7">
        <v>430.64999999999992</v>
      </c>
      <c r="BX488" s="39">
        <f>BW488*12</f>
        <v>5167.7999999999993</v>
      </c>
      <c r="BY488" s="7">
        <f>BU488-BW488</f>
        <v>12919.472999999949</v>
      </c>
      <c r="BZ488" s="7">
        <f t="shared" si="2652"/>
        <v>12488.822999999949</v>
      </c>
      <c r="CA488" s="7">
        <f t="shared" si="2653"/>
        <v>12058.17299999995</v>
      </c>
      <c r="CB488" s="7">
        <f t="shared" si="2654"/>
        <v>11627.52299999995</v>
      </c>
      <c r="CC488" s="7">
        <f t="shared" si="2655"/>
        <v>11196.87299999995</v>
      </c>
      <c r="CD488" s="7">
        <f t="shared" si="2656"/>
        <v>10766.222999999951</v>
      </c>
      <c r="CE488" s="7">
        <f t="shared" si="2657"/>
        <v>10335.572999999951</v>
      </c>
      <c r="CF488" s="7">
        <f t="shared" si="2658"/>
        <v>9904.9229999999516</v>
      </c>
      <c r="CG488" s="7">
        <f t="shared" si="2659"/>
        <v>9474.2729999999519</v>
      </c>
      <c r="CH488" s="7">
        <f t="shared" si="2660"/>
        <v>9043.6229999999523</v>
      </c>
      <c r="CI488" s="7">
        <f t="shared" si="2661"/>
        <v>8612.9729999999527</v>
      </c>
      <c r="CJ488" s="7">
        <f t="shared" si="2662"/>
        <v>8182.322999999953</v>
      </c>
      <c r="CK488" s="236">
        <v>0</v>
      </c>
      <c r="CL488" s="7">
        <v>430.64999999999992</v>
      </c>
      <c r="CM488" s="39">
        <f>CL488*12</f>
        <v>5167.7999999999993</v>
      </c>
      <c r="CN488" s="7">
        <f>CJ488-CL488</f>
        <v>7751.6729999999534</v>
      </c>
      <c r="CO488" s="7">
        <f t="shared" si="2663"/>
        <v>7321.0229999999538</v>
      </c>
      <c r="CP488" s="7">
        <f t="shared" si="2664"/>
        <v>6890.3729999999541</v>
      </c>
      <c r="CQ488" s="7">
        <f t="shared" si="2665"/>
        <v>6459.7229999999545</v>
      </c>
      <c r="CR488" s="7">
        <f t="shared" si="2666"/>
        <v>6029.0729999999548</v>
      </c>
      <c r="CS488" s="7">
        <f t="shared" si="2667"/>
        <v>5598.4229999999552</v>
      </c>
      <c r="CT488" s="7">
        <f t="shared" si="2668"/>
        <v>5167.7729999999556</v>
      </c>
      <c r="CU488" s="7">
        <f t="shared" si="2669"/>
        <v>4737.1229999999559</v>
      </c>
      <c r="CV488" s="7">
        <f t="shared" si="2670"/>
        <v>4306.4729999999563</v>
      </c>
      <c r="CW488" s="7">
        <f t="shared" si="2671"/>
        <v>3875.8229999999562</v>
      </c>
      <c r="CX488" s="7">
        <f t="shared" si="2672"/>
        <v>3445.1729999999561</v>
      </c>
      <c r="CY488" s="7">
        <f t="shared" si="2673"/>
        <v>3014.522999999956</v>
      </c>
      <c r="CZ488" s="236">
        <v>0</v>
      </c>
    </row>
    <row r="489" spans="1:104" x14ac:dyDescent="0.2">
      <c r="A489" s="6" t="str">
        <f>'[1]2021 УГРЦТ'!A492</f>
        <v>Щит ЩО-70-02  2шт 2000г.</v>
      </c>
      <c r="B489" t="str">
        <f>'[1]2021 УГРЦТ'!B492</f>
        <v>00000269</v>
      </c>
      <c r="C489" t="str">
        <f>'[1]2021 УГРЦТ'!C492</f>
        <v>ПЕРЕДАЧА</v>
      </c>
      <c r="D489" t="str">
        <f>'[1]2021 УГРЦТ'!D492</f>
        <v>Машины и оборудование (кроме офисного)</v>
      </c>
      <c r="E489" t="str">
        <f>'[1]2021 УГРЦТ'!E492</f>
        <v>01.09.2000</v>
      </c>
      <c r="F489" t="str">
        <f>'[1]2021 УГРЦТ'!F492</f>
        <v>Цех электрических сетей</v>
      </c>
      <c r="G489">
        <f>'[1]2021 УГРЦТ'!AC492</f>
        <v>276</v>
      </c>
      <c r="H489" s="7">
        <f>'[1]2021 УГРЦТ'!X492</f>
        <v>22847.47</v>
      </c>
      <c r="I489" s="7">
        <f>'[1]2021 УГРЦТ'!Y492</f>
        <v>20801.358260869569</v>
      </c>
      <c r="J489" s="7">
        <f>'[1]2021 УГРЦТ'!Z492</f>
        <v>2046.1117391304324</v>
      </c>
      <c r="K489" s="8">
        <v>0</v>
      </c>
      <c r="L489" s="7">
        <v>82.779999999999987</v>
      </c>
      <c r="M489" s="7"/>
      <c r="N489" s="7">
        <f t="shared" si="2674"/>
        <v>993.3599999999999</v>
      </c>
      <c r="O489" s="7">
        <f t="shared" si="2504"/>
        <v>1963.3317391304324</v>
      </c>
      <c r="P489" s="7">
        <f t="shared" si="2641"/>
        <v>1880.5517391304325</v>
      </c>
      <c r="Q489" s="7">
        <f t="shared" si="2641"/>
        <v>1797.7717391304325</v>
      </c>
      <c r="R489" s="7">
        <f t="shared" si="2641"/>
        <v>1714.9917391304325</v>
      </c>
      <c r="S489" s="7">
        <f t="shared" si="2641"/>
        <v>1632.2117391304325</v>
      </c>
      <c r="T489" s="7">
        <f t="shared" si="2641"/>
        <v>1549.4317391304326</v>
      </c>
      <c r="U489" s="7">
        <f t="shared" si="2641"/>
        <v>1466.6517391304326</v>
      </c>
      <c r="V489" s="7">
        <f t="shared" si="2641"/>
        <v>1383.8717391304326</v>
      </c>
      <c r="W489" s="7">
        <f t="shared" si="2641"/>
        <v>1301.0917391304326</v>
      </c>
      <c r="X489" s="7">
        <f t="shared" si="2641"/>
        <v>1218.3117391304327</v>
      </c>
      <c r="Y489" s="7">
        <f t="shared" si="2641"/>
        <v>1135.5317391304327</v>
      </c>
      <c r="Z489" s="7">
        <f t="shared" si="2641"/>
        <v>1052.7517391304327</v>
      </c>
      <c r="AA489" s="7"/>
      <c r="AB489" s="7"/>
      <c r="AC489" s="7">
        <f t="shared" si="2505"/>
        <v>993.3599999999999</v>
      </c>
      <c r="AD489" s="7">
        <f t="shared" si="2506"/>
        <v>969.97173913043275</v>
      </c>
      <c r="AE489" s="7">
        <f t="shared" si="2642"/>
        <v>887.19173913043278</v>
      </c>
      <c r="AF489" s="7">
        <f t="shared" si="2642"/>
        <v>804.41173913043281</v>
      </c>
      <c r="AG489" s="7">
        <f t="shared" si="2642"/>
        <v>721.63173913043283</v>
      </c>
      <c r="AH489" s="7">
        <f t="shared" si="2642"/>
        <v>638.85173913043286</v>
      </c>
      <c r="AI489" s="7">
        <f t="shared" si="2642"/>
        <v>556.07173913043289</v>
      </c>
      <c r="AJ489" s="7">
        <f t="shared" si="2642"/>
        <v>473.29173913043292</v>
      </c>
      <c r="AK489" s="7">
        <f t="shared" si="2642"/>
        <v>390.51173913043294</v>
      </c>
      <c r="AL489" s="7">
        <f t="shared" si="2642"/>
        <v>307.73173913043297</v>
      </c>
      <c r="AM489" s="7">
        <f t="shared" si="2642"/>
        <v>224.951739130433</v>
      </c>
      <c r="AN489" s="7">
        <f t="shared" si="2642"/>
        <v>142.17173913043302</v>
      </c>
      <c r="AO489" s="7">
        <f t="shared" si="2642"/>
        <v>59.391739130433038</v>
      </c>
      <c r="AP489" s="222"/>
      <c r="AQ489" s="7">
        <v>82.779999999999987</v>
      </c>
      <c r="AR489" s="7">
        <f t="shared" si="2507"/>
        <v>82.779999999999987</v>
      </c>
      <c r="AS489" s="7">
        <f t="shared" si="2508"/>
        <v>0</v>
      </c>
      <c r="AT489" s="7">
        <f>L489*0+59.39</f>
        <v>59.39</v>
      </c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236">
        <f t="shared" si="2503"/>
        <v>0</v>
      </c>
      <c r="BH489" s="7">
        <v>82.779999999999987</v>
      </c>
      <c r="BI489" s="39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236">
        <v>0</v>
      </c>
      <c r="BW489" s="7">
        <v>82.779999999999987</v>
      </c>
      <c r="BX489" s="39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236">
        <v>0</v>
      </c>
      <c r="CL489" s="7">
        <v>82.779999999999987</v>
      </c>
      <c r="CM489" s="39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236">
        <v>0</v>
      </c>
    </row>
    <row r="490" spans="1:104" x14ac:dyDescent="0.2">
      <c r="A490" s="6" t="str">
        <f>'[1]2021 УГРЦТ'!A493</f>
        <v>Щит ЩО-70-03 2000г.</v>
      </c>
      <c r="B490" t="str">
        <f>'[1]2021 УГРЦТ'!B493</f>
        <v>00000268</v>
      </c>
      <c r="C490" t="str">
        <f>'[1]2021 УГРЦТ'!C493</f>
        <v>ПЕРЕДАЧА</v>
      </c>
      <c r="D490" t="str">
        <f>'[1]2021 УГРЦТ'!D493</f>
        <v>Машины и оборудование (кроме офисного)</v>
      </c>
      <c r="E490" t="str">
        <f>'[1]2021 УГРЦТ'!E493</f>
        <v>01.09.2000</v>
      </c>
      <c r="F490" t="str">
        <f>'[1]2021 УГРЦТ'!F493</f>
        <v>Цех электрических сетей</v>
      </c>
      <c r="G490">
        <f>'[1]2021 УГРЦТ'!AC493</f>
        <v>276</v>
      </c>
      <c r="H490" s="7">
        <f>'[1]2021 УГРЦТ'!X493</f>
        <v>19637.47</v>
      </c>
      <c r="I490" s="7">
        <f>'[1]2021 УГРЦТ'!Y493</f>
        <v>18076.873043478259</v>
      </c>
      <c r="J490" s="7">
        <f>'[1]2021 УГРЦТ'!Z493</f>
        <v>1560.596956521742</v>
      </c>
      <c r="K490" s="8">
        <v>0</v>
      </c>
      <c r="L490" s="7">
        <v>71.149999999999991</v>
      </c>
      <c r="M490" s="7"/>
      <c r="N490" s="7">
        <f t="shared" si="2674"/>
        <v>853.8</v>
      </c>
      <c r="O490" s="7">
        <f t="shared" si="2504"/>
        <v>1489.4469565217419</v>
      </c>
      <c r="P490" s="7">
        <f t="shared" si="2641"/>
        <v>1418.2969565217418</v>
      </c>
      <c r="Q490" s="7">
        <f t="shared" si="2641"/>
        <v>1347.1469565217417</v>
      </c>
      <c r="R490" s="7">
        <f t="shared" si="2641"/>
        <v>1275.9969565217416</v>
      </c>
      <c r="S490" s="7">
        <f t="shared" si="2641"/>
        <v>1204.8469565217415</v>
      </c>
      <c r="T490" s="7">
        <f t="shared" si="2641"/>
        <v>1133.6969565217414</v>
      </c>
      <c r="U490" s="7">
        <f t="shared" si="2641"/>
        <v>1062.5469565217413</v>
      </c>
      <c r="V490" s="7">
        <f t="shared" si="2641"/>
        <v>991.39695652174134</v>
      </c>
      <c r="W490" s="7">
        <f t="shared" si="2641"/>
        <v>920.24695652174137</v>
      </c>
      <c r="X490" s="7">
        <f t="shared" si="2641"/>
        <v>849.09695652174139</v>
      </c>
      <c r="Y490" s="7">
        <f t="shared" si="2641"/>
        <v>777.94695652174141</v>
      </c>
      <c r="Z490" s="7">
        <f t="shared" si="2641"/>
        <v>706.79695652174144</v>
      </c>
      <c r="AA490" s="7"/>
      <c r="AB490" s="7"/>
      <c r="AC490" s="7">
        <f>L490*10-4.7</f>
        <v>706.79999999999984</v>
      </c>
      <c r="AD490" s="7">
        <f t="shared" si="2506"/>
        <v>635.64695652174146</v>
      </c>
      <c r="AE490" s="7">
        <f t="shared" si="2642"/>
        <v>564.49695652174148</v>
      </c>
      <c r="AF490" s="7">
        <f t="shared" si="2642"/>
        <v>493.3469565217415</v>
      </c>
      <c r="AG490" s="7">
        <f t="shared" si="2642"/>
        <v>422.19695652174153</v>
      </c>
      <c r="AH490" s="7">
        <f t="shared" si="2642"/>
        <v>351.04695652174155</v>
      </c>
      <c r="AI490" s="7">
        <f t="shared" si="2642"/>
        <v>279.89695652174157</v>
      </c>
      <c r="AJ490" s="7">
        <f t="shared" si="2642"/>
        <v>208.74695652174159</v>
      </c>
      <c r="AK490" s="7">
        <f t="shared" si="2642"/>
        <v>137.59695652174162</v>
      </c>
      <c r="AL490" s="7">
        <f t="shared" si="2642"/>
        <v>66.446956521741626</v>
      </c>
      <c r="AM490" s="7"/>
      <c r="AN490" s="7"/>
      <c r="AO490" s="7"/>
      <c r="AP490" s="222"/>
      <c r="AQ490" s="7">
        <v>0</v>
      </c>
      <c r="AR490" s="7">
        <f t="shared" si="2507"/>
        <v>0</v>
      </c>
      <c r="AS490" s="7">
        <f t="shared" si="2508"/>
        <v>0</v>
      </c>
      <c r="BG490" s="236">
        <f t="shared" si="2503"/>
        <v>0</v>
      </c>
      <c r="BH490" s="7">
        <v>0</v>
      </c>
      <c r="BV490" s="236">
        <f>IF(Z490&lt;1,0,SUM(BJ490:BU490,BF490)/13*$BG$1)</f>
        <v>0</v>
      </c>
      <c r="BW490" s="7">
        <v>0</v>
      </c>
      <c r="CK490" s="236">
        <f>IF(AO490&lt;1,0,SUM(BY490:CJ490,BU490)/13*$BG$1)</f>
        <v>0</v>
      </c>
      <c r="CL490" s="7">
        <v>0</v>
      </c>
      <c r="CZ490" s="236">
        <f>IF(BF490&lt;1,0,SUM(CN490:CY490,CJ490)/13*$BG$1)</f>
        <v>0</v>
      </c>
    </row>
    <row r="491" spans="1:104" x14ac:dyDescent="0.2">
      <c r="A491" s="6" t="str">
        <f>'[1]2021 УГРЦТ'!A494</f>
        <v>ЩО 70-3-02 УЗ №2</v>
      </c>
      <c r="B491" t="str">
        <f>'[1]2021 УГРЦТ'!B494</f>
        <v>00001106</v>
      </c>
      <c r="C491" t="str">
        <f>'[1]2021 УГРЦТ'!C494</f>
        <v>ПЕРЕДАЧА</v>
      </c>
      <c r="D491" t="str">
        <f>'[1]2021 УГРЦТ'!D494</f>
        <v>Машины и оборудование (кроме офисного)</v>
      </c>
      <c r="E491" t="str">
        <f>'[1]2021 УГРЦТ'!E494</f>
        <v>31.12.2008</v>
      </c>
      <c r="F491" t="str">
        <f>'[1]2021 УГРЦТ'!F494</f>
        <v>Цех электрических сетей</v>
      </c>
      <c r="G491">
        <f>'[1]2021 УГРЦТ'!AC494</f>
        <v>180</v>
      </c>
      <c r="H491" s="7">
        <f>'[1]2021 УГРЦТ'!X494</f>
        <v>25570</v>
      </c>
      <c r="I491" s="7">
        <f>'[1]2021 УГРЦТ'!Y494</f>
        <v>22161.306666666667</v>
      </c>
      <c r="J491" s="7">
        <f>'[1]2021 УГРЦТ'!Z494</f>
        <v>3408.6933333333327</v>
      </c>
      <c r="K491" s="8">
        <v>0</v>
      </c>
      <c r="L491" s="7">
        <v>142.05999999999997</v>
      </c>
      <c r="M491" s="7"/>
      <c r="N491" s="7">
        <f t="shared" si="2674"/>
        <v>1704.7199999999998</v>
      </c>
      <c r="O491" s="7">
        <f t="shared" si="2504"/>
        <v>3266.6333333333328</v>
      </c>
      <c r="P491" s="7">
        <f t="shared" si="2641"/>
        <v>3124.5733333333328</v>
      </c>
      <c r="Q491" s="7">
        <f t="shared" si="2641"/>
        <v>2982.5133333333329</v>
      </c>
      <c r="R491" s="7">
        <f t="shared" si="2641"/>
        <v>2840.4533333333329</v>
      </c>
      <c r="S491" s="7">
        <f t="shared" si="2641"/>
        <v>2698.393333333333</v>
      </c>
      <c r="T491" s="7">
        <f t="shared" si="2641"/>
        <v>2556.333333333333</v>
      </c>
      <c r="U491" s="7">
        <f t="shared" si="2641"/>
        <v>2414.2733333333331</v>
      </c>
      <c r="V491" s="7">
        <f t="shared" si="2641"/>
        <v>2272.2133333333331</v>
      </c>
      <c r="W491" s="7">
        <f t="shared" si="2641"/>
        <v>2130.1533333333332</v>
      </c>
      <c r="X491" s="7">
        <f t="shared" si="2641"/>
        <v>1988.0933333333332</v>
      </c>
      <c r="Y491" s="7">
        <f t="shared" si="2641"/>
        <v>1846.0333333333333</v>
      </c>
      <c r="Z491" s="7">
        <f t="shared" si="2641"/>
        <v>1703.9733333333334</v>
      </c>
      <c r="AA491" s="7"/>
      <c r="AB491" s="7"/>
      <c r="AC491" s="7">
        <f>L491*12-0.75</f>
        <v>1703.9699999999998</v>
      </c>
      <c r="AD491" s="7">
        <f t="shared" si="2506"/>
        <v>1561.9133333333334</v>
      </c>
      <c r="AE491" s="7">
        <f t="shared" si="2642"/>
        <v>1419.8533333333335</v>
      </c>
      <c r="AF491" s="7">
        <f t="shared" si="2642"/>
        <v>1277.7933333333335</v>
      </c>
      <c r="AG491" s="7">
        <f t="shared" si="2642"/>
        <v>1135.7333333333336</v>
      </c>
      <c r="AH491" s="7">
        <f t="shared" si="2642"/>
        <v>993.67333333333363</v>
      </c>
      <c r="AI491" s="7">
        <f t="shared" si="2642"/>
        <v>851.61333333333369</v>
      </c>
      <c r="AJ491" s="7">
        <f t="shared" si="2642"/>
        <v>709.55333333333374</v>
      </c>
      <c r="AK491" s="7">
        <f t="shared" si="2642"/>
        <v>567.49333333333379</v>
      </c>
      <c r="AL491" s="7">
        <f t="shared" si="2642"/>
        <v>425.43333333333385</v>
      </c>
      <c r="AM491" s="7">
        <f t="shared" si="2642"/>
        <v>283.3733333333339</v>
      </c>
      <c r="AN491" s="7">
        <f t="shared" si="2642"/>
        <v>141.31333333333393</v>
      </c>
      <c r="AO491" s="7">
        <f>AN491-$L491+0.75</f>
        <v>3.3333333339555793E-3</v>
      </c>
      <c r="AP491" s="222"/>
      <c r="AQ491" s="7">
        <v>142.05999999999997</v>
      </c>
      <c r="AR491" s="7"/>
      <c r="AS491" s="7"/>
      <c r="BG491" s="236">
        <f t="shared" si="2503"/>
        <v>0</v>
      </c>
      <c r="BH491" s="7">
        <v>142.05999999999997</v>
      </c>
      <c r="BV491" s="236">
        <f>IF(Z491&lt;1,0,SUM(BJ491:BU491,BF491)/13*$BG$1)</f>
        <v>0</v>
      </c>
      <c r="BW491" s="7">
        <v>142.05999999999997</v>
      </c>
      <c r="CK491" s="236">
        <f>IF(AO491&lt;1,0,SUM(BY491:CJ491,BU491)/13*$BG$1)</f>
        <v>0</v>
      </c>
      <c r="CL491" s="7">
        <v>142.05999999999997</v>
      </c>
      <c r="CZ491" s="236">
        <f>IF(BF491&lt;1,0,SUM(CN491:CY491,CJ491)/13*$BG$1)</f>
        <v>0</v>
      </c>
    </row>
    <row r="492" spans="1:104" x14ac:dyDescent="0.2">
      <c r="A492" s="6" t="str">
        <f>'[1]2021 УГРЦТ'!A495</f>
        <v>ЩО 70-3-02 УЗ №3</v>
      </c>
      <c r="B492" t="str">
        <f>'[1]2021 УГРЦТ'!B495</f>
        <v>00001107</v>
      </c>
      <c r="C492" t="str">
        <f>'[1]2021 УГРЦТ'!C495</f>
        <v>ПЕРЕДАЧА</v>
      </c>
      <c r="D492" t="str">
        <f>'[1]2021 УГРЦТ'!D495</f>
        <v>Машины и оборудование (кроме офисного)</v>
      </c>
      <c r="E492" t="str">
        <f>'[1]2021 УГРЦТ'!E495</f>
        <v>31.12.2008</v>
      </c>
      <c r="F492" t="str">
        <f>'[1]2021 УГРЦТ'!F495</f>
        <v>Цех электрических сетей</v>
      </c>
      <c r="G492">
        <f>'[1]2021 УГРЦТ'!AC495</f>
        <v>180</v>
      </c>
      <c r="H492" s="7">
        <f>'[1]2021 УГРЦТ'!X495</f>
        <v>25570</v>
      </c>
      <c r="I492" s="7">
        <f>'[1]2021 УГРЦТ'!Y495</f>
        <v>22161.306666666667</v>
      </c>
      <c r="J492" s="7">
        <f>'[1]2021 УГРЦТ'!Z495</f>
        <v>3408.6933333333327</v>
      </c>
      <c r="K492" s="8">
        <v>0</v>
      </c>
      <c r="L492" s="7">
        <v>142.05999999999997</v>
      </c>
      <c r="M492" s="7"/>
      <c r="N492" s="7">
        <f t="shared" si="2674"/>
        <v>1704.7199999999998</v>
      </c>
      <c r="O492" s="7">
        <f t="shared" si="2504"/>
        <v>3266.6333333333328</v>
      </c>
      <c r="P492" s="7">
        <f t="shared" si="2641"/>
        <v>3124.5733333333328</v>
      </c>
      <c r="Q492" s="7">
        <f t="shared" si="2641"/>
        <v>2982.5133333333329</v>
      </c>
      <c r="R492" s="7">
        <f t="shared" si="2641"/>
        <v>2840.4533333333329</v>
      </c>
      <c r="S492" s="7">
        <f t="shared" si="2641"/>
        <v>2698.393333333333</v>
      </c>
      <c r="T492" s="7">
        <f t="shared" si="2641"/>
        <v>2556.333333333333</v>
      </c>
      <c r="U492" s="7">
        <f t="shared" si="2641"/>
        <v>2414.2733333333331</v>
      </c>
      <c r="V492" s="7">
        <f t="shared" si="2641"/>
        <v>2272.2133333333331</v>
      </c>
      <c r="W492" s="7">
        <f t="shared" si="2641"/>
        <v>2130.1533333333332</v>
      </c>
      <c r="X492" s="7">
        <f t="shared" si="2641"/>
        <v>1988.0933333333332</v>
      </c>
      <c r="Y492" s="7">
        <f t="shared" si="2641"/>
        <v>1846.0333333333333</v>
      </c>
      <c r="Z492" s="7">
        <f t="shared" si="2641"/>
        <v>1703.9733333333334</v>
      </c>
      <c r="AA492" s="7"/>
      <c r="AB492" s="7"/>
      <c r="AC492" s="7">
        <f t="shared" ref="AC492:AC493" si="2675">L492*12-0.75</f>
        <v>1703.9699999999998</v>
      </c>
      <c r="AD492" s="7">
        <f t="shared" si="2506"/>
        <v>1561.9133333333334</v>
      </c>
      <c r="AE492" s="7">
        <f t="shared" si="2642"/>
        <v>1419.8533333333335</v>
      </c>
      <c r="AF492" s="7">
        <f t="shared" si="2642"/>
        <v>1277.7933333333335</v>
      </c>
      <c r="AG492" s="7">
        <f t="shared" si="2642"/>
        <v>1135.7333333333336</v>
      </c>
      <c r="AH492" s="7">
        <f t="shared" si="2642"/>
        <v>993.67333333333363</v>
      </c>
      <c r="AI492" s="7">
        <f t="shared" si="2642"/>
        <v>851.61333333333369</v>
      </c>
      <c r="AJ492" s="7">
        <f t="shared" si="2642"/>
        <v>709.55333333333374</v>
      </c>
      <c r="AK492" s="7">
        <f t="shared" si="2642"/>
        <v>567.49333333333379</v>
      </c>
      <c r="AL492" s="7">
        <f t="shared" si="2642"/>
        <v>425.43333333333385</v>
      </c>
      <c r="AM492" s="7">
        <f t="shared" si="2642"/>
        <v>283.3733333333339</v>
      </c>
      <c r="AN492" s="7">
        <f t="shared" si="2642"/>
        <v>141.31333333333393</v>
      </c>
      <c r="AO492" s="7">
        <f t="shared" ref="AO492:AO493" si="2676">AN492-$L492+0.75</f>
        <v>3.3333333339555793E-3</v>
      </c>
      <c r="AP492" s="222"/>
      <c r="AQ492" s="7">
        <v>142.05999999999997</v>
      </c>
      <c r="AR492" s="7"/>
      <c r="AS492" s="7"/>
      <c r="BG492" s="236">
        <f t="shared" si="2503"/>
        <v>0</v>
      </c>
      <c r="BH492" s="7">
        <v>142.05999999999997</v>
      </c>
      <c r="BV492" s="236">
        <f>IF(Z492&lt;1,0,SUM(BJ492:BU492,BF492)/13*$BG$1)</f>
        <v>0</v>
      </c>
      <c r="BW492" s="7">
        <v>142.05999999999997</v>
      </c>
      <c r="CK492" s="236">
        <f>IF(AO492&lt;1,0,SUM(BY492:CJ492,BU492)/13*$BG$1)</f>
        <v>0</v>
      </c>
      <c r="CL492" s="7">
        <v>142.05999999999997</v>
      </c>
      <c r="CZ492" s="236">
        <f>IF(BF492&lt;1,0,SUM(CN492:CY492,CJ492)/13*$BG$1)</f>
        <v>0</v>
      </c>
    </row>
    <row r="493" spans="1:104" x14ac:dyDescent="0.2">
      <c r="A493" s="6" t="str">
        <f>'[1]2021 УГРЦТ'!A496</f>
        <v>ЩО 70-3-02 УЗ №4</v>
      </c>
      <c r="B493" t="str">
        <f>'[1]2021 УГРЦТ'!B496</f>
        <v>00001108</v>
      </c>
      <c r="C493" t="str">
        <f>'[1]2021 УГРЦТ'!C496</f>
        <v>ПЕРЕДАЧА</v>
      </c>
      <c r="D493" t="str">
        <f>'[1]2021 УГРЦТ'!D496</f>
        <v>Машины и оборудование (кроме офисного)</v>
      </c>
      <c r="E493" t="str">
        <f>'[1]2021 УГРЦТ'!E496</f>
        <v>31.12.2008</v>
      </c>
      <c r="F493" t="str">
        <f>'[1]2021 УГРЦТ'!F496</f>
        <v>Цех электрических сетей</v>
      </c>
      <c r="G493">
        <f>'[1]2021 УГРЦТ'!AC496</f>
        <v>180</v>
      </c>
      <c r="H493" s="7">
        <f>'[1]2021 УГРЦТ'!X496</f>
        <v>25570</v>
      </c>
      <c r="I493" s="7">
        <f>'[1]2021 УГРЦТ'!Y496</f>
        <v>22161.306666666667</v>
      </c>
      <c r="J493" s="7">
        <f>'[1]2021 УГРЦТ'!Z496</f>
        <v>3408.6933333333327</v>
      </c>
      <c r="K493" s="8">
        <v>0</v>
      </c>
      <c r="L493" s="7">
        <v>142.05999999999997</v>
      </c>
      <c r="M493" s="7"/>
      <c r="N493" s="7">
        <f t="shared" si="2674"/>
        <v>1704.7199999999998</v>
      </c>
      <c r="O493" s="7">
        <f t="shared" si="2504"/>
        <v>3266.6333333333328</v>
      </c>
      <c r="P493" s="7">
        <f t="shared" si="2641"/>
        <v>3124.5733333333328</v>
      </c>
      <c r="Q493" s="7">
        <f t="shared" si="2641"/>
        <v>2982.5133333333329</v>
      </c>
      <c r="R493" s="7">
        <f t="shared" si="2641"/>
        <v>2840.4533333333329</v>
      </c>
      <c r="S493" s="7">
        <f t="shared" si="2641"/>
        <v>2698.393333333333</v>
      </c>
      <c r="T493" s="7">
        <f t="shared" si="2641"/>
        <v>2556.333333333333</v>
      </c>
      <c r="U493" s="7">
        <f t="shared" si="2641"/>
        <v>2414.2733333333331</v>
      </c>
      <c r="V493" s="7">
        <f t="shared" si="2641"/>
        <v>2272.2133333333331</v>
      </c>
      <c r="W493" s="7">
        <f t="shared" si="2641"/>
        <v>2130.1533333333332</v>
      </c>
      <c r="X493" s="7">
        <f t="shared" si="2641"/>
        <v>1988.0933333333332</v>
      </c>
      <c r="Y493" s="7">
        <f t="shared" si="2641"/>
        <v>1846.0333333333333</v>
      </c>
      <c r="Z493" s="7">
        <f t="shared" si="2641"/>
        <v>1703.9733333333334</v>
      </c>
      <c r="AA493" s="7"/>
      <c r="AB493" s="7"/>
      <c r="AC493" s="7">
        <f t="shared" si="2675"/>
        <v>1703.9699999999998</v>
      </c>
      <c r="AD493" s="7">
        <f t="shared" si="2506"/>
        <v>1561.9133333333334</v>
      </c>
      <c r="AE493" s="7">
        <f t="shared" si="2642"/>
        <v>1419.8533333333335</v>
      </c>
      <c r="AF493" s="7">
        <f t="shared" si="2642"/>
        <v>1277.7933333333335</v>
      </c>
      <c r="AG493" s="7">
        <f t="shared" si="2642"/>
        <v>1135.7333333333336</v>
      </c>
      <c r="AH493" s="7">
        <f t="shared" si="2642"/>
        <v>993.67333333333363</v>
      </c>
      <c r="AI493" s="7">
        <f t="shared" si="2642"/>
        <v>851.61333333333369</v>
      </c>
      <c r="AJ493" s="7">
        <f t="shared" si="2642"/>
        <v>709.55333333333374</v>
      </c>
      <c r="AK493" s="7">
        <f t="shared" si="2642"/>
        <v>567.49333333333379</v>
      </c>
      <c r="AL493" s="7">
        <f t="shared" si="2642"/>
        <v>425.43333333333385</v>
      </c>
      <c r="AM493" s="7">
        <f t="shared" si="2642"/>
        <v>283.3733333333339</v>
      </c>
      <c r="AN493" s="7">
        <f t="shared" si="2642"/>
        <v>141.31333333333393</v>
      </c>
      <c r="AO493" s="7">
        <f t="shared" si="2676"/>
        <v>3.3333333339555793E-3</v>
      </c>
      <c r="AP493" s="222"/>
      <c r="AQ493" s="7">
        <v>142.05999999999997</v>
      </c>
      <c r="AR493" s="7"/>
      <c r="AS493" s="7"/>
      <c r="BG493" s="236">
        <f t="shared" si="2503"/>
        <v>0</v>
      </c>
      <c r="BH493" s="7">
        <v>142.05999999999997</v>
      </c>
      <c r="BV493" s="236">
        <f>IF(Z493&lt;1,0,SUM(BJ493:BU493,BF493)/13*$BG$1)</f>
        <v>0</v>
      </c>
      <c r="BW493" s="7">
        <v>142.05999999999997</v>
      </c>
      <c r="CK493" s="236">
        <f>IF(AO493&lt;1,0,SUM(BY493:CJ493,BU493)/13*$BG$1)</f>
        <v>0</v>
      </c>
      <c r="CL493" s="7">
        <v>142.05999999999997</v>
      </c>
      <c r="CZ493" s="236">
        <f>IF(BF493&lt;1,0,SUM(CN493:CY493,CJ493)/13*$BG$1)</f>
        <v>0</v>
      </c>
    </row>
    <row r="494" spans="1:104" x14ac:dyDescent="0.2">
      <c r="A494" s="6" t="str">
        <f>'[1]2021 УГРЦТ'!A497</f>
        <v>ЩО-70-2-72</v>
      </c>
      <c r="B494" t="str">
        <f>'[1]2021 УГРЦТ'!B497</f>
        <v>000001532</v>
      </c>
      <c r="C494" t="str">
        <f>'[1]2021 УГРЦТ'!C497</f>
        <v>ПЕРЕДАЧА</v>
      </c>
      <c r="D494" t="str">
        <f>'[1]2021 УГРЦТ'!D497</f>
        <v>Другие виды основных средств</v>
      </c>
      <c r="E494" t="str">
        <f>'[1]2021 УГРЦТ'!E497</f>
        <v>30.06.2013</v>
      </c>
      <c r="F494" t="str">
        <f>'[1]2021 УГРЦТ'!F497</f>
        <v>Цех электрических сетей</v>
      </c>
      <c r="G494">
        <f>'[1]2021 УГРЦТ'!AC497</f>
        <v>180</v>
      </c>
      <c r="H494" s="7">
        <f>'[1]2021 УГРЦТ'!X497</f>
        <v>97454.31</v>
      </c>
      <c r="I494" s="7">
        <f>'[1]2021 УГРЦТ'!Y497</f>
        <v>55223.854000000007</v>
      </c>
      <c r="J494" s="7">
        <f>'[1]2021 УГРЦТ'!Z497</f>
        <v>42230.455999999991</v>
      </c>
      <c r="K494" s="8">
        <v>0</v>
      </c>
      <c r="L494" s="7">
        <v>541.41999999999996</v>
      </c>
      <c r="M494" s="7"/>
      <c r="N494" s="7">
        <f t="shared" si="2674"/>
        <v>6497.0399999999991</v>
      </c>
      <c r="O494" s="7">
        <f t="shared" si="2504"/>
        <v>41689.035999999993</v>
      </c>
      <c r="P494" s="7">
        <f t="shared" si="2641"/>
        <v>41147.615999999995</v>
      </c>
      <c r="Q494" s="7">
        <f t="shared" si="2641"/>
        <v>40606.195999999996</v>
      </c>
      <c r="R494" s="7">
        <f t="shared" si="2641"/>
        <v>40064.775999999998</v>
      </c>
      <c r="S494" s="7">
        <f t="shared" si="2641"/>
        <v>39523.356</v>
      </c>
      <c r="T494" s="7">
        <f t="shared" si="2641"/>
        <v>38981.936000000002</v>
      </c>
      <c r="U494" s="7">
        <f t="shared" si="2641"/>
        <v>38440.516000000003</v>
      </c>
      <c r="V494" s="7">
        <f t="shared" si="2641"/>
        <v>37899.096000000005</v>
      </c>
      <c r="W494" s="7">
        <f t="shared" si="2641"/>
        <v>37357.676000000007</v>
      </c>
      <c r="X494" s="7">
        <f t="shared" si="2641"/>
        <v>36816.256000000008</v>
      </c>
      <c r="Y494" s="7">
        <f t="shared" si="2641"/>
        <v>36274.83600000001</v>
      </c>
      <c r="Z494" s="7">
        <f t="shared" si="2641"/>
        <v>35733.416000000012</v>
      </c>
      <c r="AA494" s="7"/>
      <c r="AB494" s="7"/>
      <c r="AC494" s="7">
        <f t="shared" si="2505"/>
        <v>6497.0399999999991</v>
      </c>
      <c r="AD494" s="7">
        <f t="shared" si="2506"/>
        <v>35191.996000000014</v>
      </c>
      <c r="AE494" s="7">
        <f t="shared" si="2642"/>
        <v>34650.576000000015</v>
      </c>
      <c r="AF494" s="7">
        <f t="shared" si="2642"/>
        <v>34109.156000000017</v>
      </c>
      <c r="AG494" s="7">
        <f t="shared" si="2642"/>
        <v>33567.736000000019</v>
      </c>
      <c r="AH494" s="7">
        <f t="shared" si="2642"/>
        <v>33026.316000000021</v>
      </c>
      <c r="AI494" s="7">
        <f t="shared" si="2642"/>
        <v>32484.896000000022</v>
      </c>
      <c r="AJ494" s="7">
        <f t="shared" si="2642"/>
        <v>31943.476000000024</v>
      </c>
      <c r="AK494" s="7">
        <f t="shared" si="2642"/>
        <v>31402.056000000026</v>
      </c>
      <c r="AL494" s="7">
        <f t="shared" si="2642"/>
        <v>30860.636000000028</v>
      </c>
      <c r="AM494" s="7">
        <f t="shared" si="2642"/>
        <v>30319.216000000029</v>
      </c>
      <c r="AN494" s="7">
        <f t="shared" si="2642"/>
        <v>29777.796000000031</v>
      </c>
      <c r="AO494" s="7">
        <f t="shared" si="2642"/>
        <v>29236.376000000033</v>
      </c>
      <c r="AP494" s="222"/>
      <c r="AQ494" s="7">
        <v>541.41999999999996</v>
      </c>
      <c r="AR494" s="7">
        <f t="shared" si="2507"/>
        <v>541.41999999999825</v>
      </c>
      <c r="AS494" s="7">
        <f t="shared" si="2508"/>
        <v>-1.7053025658242404E-12</v>
      </c>
      <c r="AT494" s="7">
        <f>L494*12</f>
        <v>6497.0399999999991</v>
      </c>
      <c r="AU494" s="7">
        <f>AO494-$L494</f>
        <v>28694.956000000035</v>
      </c>
      <c r="AV494" s="7">
        <f>AU494-$L494</f>
        <v>28153.536000000036</v>
      </c>
      <c r="AW494" s="7">
        <f t="shared" ref="AW494:BF494" si="2677">AV494-$L494</f>
        <v>27612.116000000038</v>
      </c>
      <c r="AX494" s="7">
        <f t="shared" si="2677"/>
        <v>27070.69600000004</v>
      </c>
      <c r="AY494" s="7">
        <f t="shared" si="2677"/>
        <v>26529.276000000042</v>
      </c>
      <c r="AZ494" s="7">
        <f t="shared" si="2677"/>
        <v>25987.856000000043</v>
      </c>
      <c r="BA494" s="7">
        <f t="shared" si="2677"/>
        <v>25446.436000000045</v>
      </c>
      <c r="BB494" s="7">
        <f t="shared" si="2677"/>
        <v>24905.016000000047</v>
      </c>
      <c r="BC494" s="7">
        <f t="shared" si="2677"/>
        <v>24363.596000000049</v>
      </c>
      <c r="BD494" s="7">
        <f t="shared" si="2677"/>
        <v>23822.17600000005</v>
      </c>
      <c r="BE494" s="7">
        <f t="shared" si="2677"/>
        <v>23280.756000000052</v>
      </c>
      <c r="BF494" s="7">
        <f t="shared" si="2677"/>
        <v>22739.336000000054</v>
      </c>
      <c r="BG494" s="236">
        <f t="shared" si="2503"/>
        <v>0</v>
      </c>
      <c r="BH494" s="7">
        <v>541.41999999999996</v>
      </c>
      <c r="BI494" s="39">
        <f>BH494*12</f>
        <v>6497.0399999999991</v>
      </c>
      <c r="BJ494" s="7">
        <f>BF494-BH494</f>
        <v>22197.916000000056</v>
      </c>
      <c r="BK494" s="7">
        <f>BJ494-$L494</f>
        <v>21656.496000000057</v>
      </c>
      <c r="BL494" s="7">
        <f t="shared" ref="BL494" si="2678">BK494-$L494</f>
        <v>21115.076000000059</v>
      </c>
      <c r="BM494" s="7">
        <f t="shared" ref="BM494" si="2679">BL494-$L494</f>
        <v>20573.656000000061</v>
      </c>
      <c r="BN494" s="7">
        <f t="shared" ref="BN494" si="2680">BM494-$L494</f>
        <v>20032.236000000063</v>
      </c>
      <c r="BO494" s="7">
        <f t="shared" ref="BO494" si="2681">BN494-$L494</f>
        <v>19490.816000000064</v>
      </c>
      <c r="BP494" s="7">
        <f t="shared" ref="BP494" si="2682">BO494-$L494</f>
        <v>18949.396000000066</v>
      </c>
      <c r="BQ494" s="7">
        <f t="shared" ref="BQ494" si="2683">BP494-$L494</f>
        <v>18407.976000000068</v>
      </c>
      <c r="BR494" s="7">
        <f t="shared" ref="BR494" si="2684">BQ494-$L494</f>
        <v>17866.55600000007</v>
      </c>
      <c r="BS494" s="7">
        <f t="shared" ref="BS494" si="2685">BR494-$L494</f>
        <v>17325.136000000071</v>
      </c>
      <c r="BT494" s="7">
        <f t="shared" ref="BT494" si="2686">BS494-$L494</f>
        <v>16783.716000000073</v>
      </c>
      <c r="BU494" s="7">
        <f t="shared" ref="BU494" si="2687">BT494-$L494</f>
        <v>16242.296000000073</v>
      </c>
      <c r="BV494" s="236">
        <v>0</v>
      </c>
      <c r="BW494" s="7">
        <v>541.41999999999996</v>
      </c>
      <c r="BX494" s="39">
        <f>BW494*12</f>
        <v>6497.0399999999991</v>
      </c>
      <c r="BY494" s="7">
        <f>BU494-BW494</f>
        <v>15700.876000000073</v>
      </c>
      <c r="BZ494" s="7">
        <f>BY494-$L494</f>
        <v>15159.456000000073</v>
      </c>
      <c r="CA494" s="7">
        <f t="shared" ref="CA494" si="2688">BZ494-$L494</f>
        <v>14618.036000000073</v>
      </c>
      <c r="CB494" s="7">
        <f t="shared" ref="CB494" si="2689">CA494-$L494</f>
        <v>14076.616000000073</v>
      </c>
      <c r="CC494" s="7">
        <f t="shared" ref="CC494" si="2690">CB494-$L494</f>
        <v>13535.196000000073</v>
      </c>
      <c r="CD494" s="7">
        <f t="shared" ref="CD494" si="2691">CC494-$L494</f>
        <v>12993.776000000073</v>
      </c>
      <c r="CE494" s="7">
        <f t="shared" ref="CE494" si="2692">CD494-$L494</f>
        <v>12452.356000000073</v>
      </c>
      <c r="CF494" s="7">
        <f t="shared" ref="CF494" si="2693">CE494-$L494</f>
        <v>11910.936000000072</v>
      </c>
      <c r="CG494" s="7">
        <f t="shared" ref="CG494" si="2694">CF494-$L494</f>
        <v>11369.516000000072</v>
      </c>
      <c r="CH494" s="7">
        <f t="shared" ref="CH494" si="2695">CG494-$L494</f>
        <v>10828.096000000072</v>
      </c>
      <c r="CI494" s="7">
        <f t="shared" ref="CI494" si="2696">CH494-$L494</f>
        <v>10286.676000000072</v>
      </c>
      <c r="CJ494" s="7">
        <f t="shared" ref="CJ494" si="2697">CI494-$L494</f>
        <v>9745.2560000000722</v>
      </c>
      <c r="CK494" s="236">
        <v>0</v>
      </c>
      <c r="CL494" s="7">
        <v>541.41999999999996</v>
      </c>
      <c r="CM494" s="39">
        <f>CL494*12</f>
        <v>6497.0399999999991</v>
      </c>
      <c r="CN494" s="7">
        <f>CJ494-CL494</f>
        <v>9203.8360000000721</v>
      </c>
      <c r="CO494" s="7">
        <f>CN494-$L494</f>
        <v>8662.416000000072</v>
      </c>
      <c r="CP494" s="7">
        <f t="shared" ref="CP494" si="2698">CO494-$L494</f>
        <v>8120.9960000000719</v>
      </c>
      <c r="CQ494" s="7">
        <f t="shared" ref="CQ494" si="2699">CP494-$L494</f>
        <v>7579.5760000000719</v>
      </c>
      <c r="CR494" s="7">
        <f t="shared" ref="CR494" si="2700">CQ494-$L494</f>
        <v>7038.1560000000718</v>
      </c>
      <c r="CS494" s="7">
        <f t="shared" ref="CS494" si="2701">CR494-$L494</f>
        <v>6496.7360000000717</v>
      </c>
      <c r="CT494" s="7">
        <f t="shared" ref="CT494" si="2702">CS494-$L494</f>
        <v>5955.3160000000717</v>
      </c>
      <c r="CU494" s="7">
        <f t="shared" ref="CU494" si="2703">CT494-$L494</f>
        <v>5413.8960000000716</v>
      </c>
      <c r="CV494" s="7">
        <f t="shared" ref="CV494" si="2704">CU494-$L494</f>
        <v>4872.4760000000715</v>
      </c>
      <c r="CW494" s="7">
        <f t="shared" ref="CW494" si="2705">CV494-$L494</f>
        <v>4331.0560000000714</v>
      </c>
      <c r="CX494" s="7">
        <f t="shared" ref="CX494" si="2706">CW494-$L494</f>
        <v>3789.6360000000714</v>
      </c>
      <c r="CY494" s="7">
        <f t="shared" ref="CY494" si="2707">CX494-$L494</f>
        <v>3248.2160000000713</v>
      </c>
      <c r="CZ494" s="236">
        <v>0</v>
      </c>
    </row>
    <row r="495" spans="1:104" x14ac:dyDescent="0.2">
      <c r="A495" s="6" t="str">
        <f>'[1]2021 УГРЦТ'!A498</f>
        <v>ЩО-70-3-16УЗ №1 ЛЭП-0,4кВ ТП-43 Водозабор</v>
      </c>
      <c r="B495" t="str">
        <f>'[1]2021 УГРЦТ'!B498</f>
        <v>00001097</v>
      </c>
      <c r="C495" t="str">
        <f>'[1]2021 УГРЦТ'!C498</f>
        <v>ПЕРЕДАЧА</v>
      </c>
      <c r="D495" t="str">
        <f>'[1]2021 УГРЦТ'!D498</f>
        <v>Машины и оборудование (кроме офисного)</v>
      </c>
      <c r="E495" t="str">
        <f>'[1]2021 УГРЦТ'!E498</f>
        <v>30.11.2008</v>
      </c>
      <c r="F495" t="str">
        <f>'[1]2021 УГРЦТ'!F498</f>
        <v>Цех электрических сетей</v>
      </c>
      <c r="G495">
        <f>'[1]2021 УГРЦТ'!AC498</f>
        <v>180</v>
      </c>
      <c r="H495" s="7">
        <f>'[1]2021 УГРЦТ'!X498</f>
        <v>19890</v>
      </c>
      <c r="I495" s="7">
        <f>'[1]2021 УГРЦТ'!Y498</f>
        <v>17348.5</v>
      </c>
      <c r="J495" s="7">
        <f>'[1]2021 УГРЦТ'!Z498</f>
        <v>2541.5</v>
      </c>
      <c r="K495" s="8">
        <v>0</v>
      </c>
      <c r="L495" s="7">
        <v>110.5</v>
      </c>
      <c r="M495" s="7"/>
      <c r="N495" s="7">
        <f t="shared" si="2674"/>
        <v>1326</v>
      </c>
      <c r="O495" s="7">
        <f t="shared" si="2504"/>
        <v>2431</v>
      </c>
      <c r="P495" s="7">
        <f t="shared" si="2641"/>
        <v>2320.5</v>
      </c>
      <c r="Q495" s="7">
        <f t="shared" si="2641"/>
        <v>2210</v>
      </c>
      <c r="R495" s="7">
        <f t="shared" si="2641"/>
        <v>2099.5</v>
      </c>
      <c r="S495" s="7">
        <f t="shared" si="2641"/>
        <v>1989</v>
      </c>
      <c r="T495" s="7">
        <f t="shared" si="2641"/>
        <v>1878.5</v>
      </c>
      <c r="U495" s="7">
        <f t="shared" si="2641"/>
        <v>1768</v>
      </c>
      <c r="V495" s="7">
        <f t="shared" si="2641"/>
        <v>1657.5</v>
      </c>
      <c r="W495" s="7">
        <f t="shared" si="2641"/>
        <v>1547</v>
      </c>
      <c r="X495" s="7">
        <f t="shared" si="2641"/>
        <v>1436.5</v>
      </c>
      <c r="Y495" s="7">
        <f t="shared" si="2641"/>
        <v>1326</v>
      </c>
      <c r="Z495" s="7">
        <f t="shared" si="2641"/>
        <v>1215.5</v>
      </c>
      <c r="AA495" s="7"/>
      <c r="AB495" s="7"/>
      <c r="AC495" s="7">
        <f>L495*11</f>
        <v>1215.5</v>
      </c>
      <c r="AD495" s="7">
        <f t="shared" si="2506"/>
        <v>1105</v>
      </c>
      <c r="AE495" s="7">
        <f t="shared" si="2642"/>
        <v>994.5</v>
      </c>
      <c r="AF495" s="7">
        <f t="shared" si="2642"/>
        <v>884</v>
      </c>
      <c r="AG495" s="7">
        <f t="shared" si="2642"/>
        <v>773.5</v>
      </c>
      <c r="AH495" s="7">
        <f t="shared" si="2642"/>
        <v>663</v>
      </c>
      <c r="AI495" s="7">
        <f t="shared" si="2642"/>
        <v>552.5</v>
      </c>
      <c r="AJ495" s="7">
        <f t="shared" si="2642"/>
        <v>442</v>
      </c>
      <c r="AK495" s="7">
        <f t="shared" si="2642"/>
        <v>331.5</v>
      </c>
      <c r="AL495" s="7">
        <f t="shared" si="2642"/>
        <v>221</v>
      </c>
      <c r="AM495" s="7">
        <f t="shared" si="2642"/>
        <v>110.5</v>
      </c>
      <c r="AN495" s="7"/>
      <c r="AO495" s="7"/>
      <c r="AP495" s="222"/>
      <c r="AQ495" s="7">
        <v>0</v>
      </c>
      <c r="AR495" s="7">
        <f t="shared" si="2507"/>
        <v>0</v>
      </c>
      <c r="AS495" s="7">
        <f t="shared" si="2508"/>
        <v>0</v>
      </c>
      <c r="BG495" s="236">
        <f t="shared" si="2503"/>
        <v>0</v>
      </c>
      <c r="BH495" s="7">
        <v>0</v>
      </c>
      <c r="BV495" s="236">
        <f t="shared" ref="BV495:BV504" si="2708">IF(Z495&lt;1,0,SUM(BJ495:BU495,BF495)/13*$BG$1)</f>
        <v>0</v>
      </c>
      <c r="BW495" s="7">
        <v>0</v>
      </c>
      <c r="CK495" s="236">
        <f t="shared" ref="CK495:CK504" si="2709">IF(AO495&lt;1,0,SUM(BY495:CJ495,BU495)/13*$BG$1)</f>
        <v>0</v>
      </c>
      <c r="CL495" s="7">
        <v>0</v>
      </c>
      <c r="CZ495" s="236">
        <f t="shared" ref="CZ495:CZ504" si="2710">IF(BF495&lt;1,0,SUM(CN495:CY495,CJ495)/13*$BG$1)</f>
        <v>0</v>
      </c>
    </row>
    <row r="496" spans="1:104" x14ac:dyDescent="0.2">
      <c r="A496" s="6" t="str">
        <f>'[1]2021 УГРЦТ'!A499</f>
        <v>ЩО-70-3-16УЗ №2 ТП-43 Водозабор</v>
      </c>
      <c r="B496" t="str">
        <f>'[1]2021 УГРЦТ'!B499</f>
        <v>00001098</v>
      </c>
      <c r="C496" t="str">
        <f>'[1]2021 УГРЦТ'!C499</f>
        <v>ПЕРЕДАЧА</v>
      </c>
      <c r="D496" t="str">
        <f>'[1]2021 УГРЦТ'!D499</f>
        <v>Машины и оборудование (кроме офисного)</v>
      </c>
      <c r="E496" t="str">
        <f>'[1]2021 УГРЦТ'!E499</f>
        <v>30.11.2008</v>
      </c>
      <c r="F496" t="str">
        <f>'[1]2021 УГРЦТ'!F499</f>
        <v>Цех электрических сетей</v>
      </c>
      <c r="G496">
        <f>'[1]2021 УГРЦТ'!AC499</f>
        <v>180</v>
      </c>
      <c r="H496" s="7">
        <f>'[1]2021 УГРЦТ'!X499</f>
        <v>19890</v>
      </c>
      <c r="I496" s="7">
        <f>'[1]2021 УГРЦТ'!Y499</f>
        <v>17348.5</v>
      </c>
      <c r="J496" s="7">
        <f>'[1]2021 УГРЦТ'!Z499</f>
        <v>2541.5</v>
      </c>
      <c r="K496" s="8">
        <v>0</v>
      </c>
      <c r="L496" s="7">
        <v>110.5</v>
      </c>
      <c r="M496" s="7"/>
      <c r="N496" s="7">
        <f t="shared" si="2674"/>
        <v>1326</v>
      </c>
      <c r="O496" s="7">
        <f t="shared" si="2504"/>
        <v>2431</v>
      </c>
      <c r="P496" s="7">
        <f t="shared" si="2641"/>
        <v>2320.5</v>
      </c>
      <c r="Q496" s="7">
        <f t="shared" si="2641"/>
        <v>2210</v>
      </c>
      <c r="R496" s="7">
        <f t="shared" si="2641"/>
        <v>2099.5</v>
      </c>
      <c r="S496" s="7">
        <f t="shared" si="2641"/>
        <v>1989</v>
      </c>
      <c r="T496" s="7">
        <f t="shared" si="2641"/>
        <v>1878.5</v>
      </c>
      <c r="U496" s="7">
        <f t="shared" si="2641"/>
        <v>1768</v>
      </c>
      <c r="V496" s="7">
        <f t="shared" si="2641"/>
        <v>1657.5</v>
      </c>
      <c r="W496" s="7">
        <f t="shared" si="2641"/>
        <v>1547</v>
      </c>
      <c r="X496" s="7">
        <f t="shared" si="2641"/>
        <v>1436.5</v>
      </c>
      <c r="Y496" s="7">
        <f t="shared" si="2641"/>
        <v>1326</v>
      </c>
      <c r="Z496" s="7">
        <f t="shared" si="2641"/>
        <v>1215.5</v>
      </c>
      <c r="AA496" s="7"/>
      <c r="AB496" s="7"/>
      <c r="AC496" s="7">
        <f>L496*11</f>
        <v>1215.5</v>
      </c>
      <c r="AD496" s="7">
        <f t="shared" si="2506"/>
        <v>1105</v>
      </c>
      <c r="AE496" s="7">
        <f t="shared" si="2642"/>
        <v>994.5</v>
      </c>
      <c r="AF496" s="7">
        <f t="shared" si="2642"/>
        <v>884</v>
      </c>
      <c r="AG496" s="7">
        <f t="shared" si="2642"/>
        <v>773.5</v>
      </c>
      <c r="AH496" s="7">
        <f t="shared" si="2642"/>
        <v>663</v>
      </c>
      <c r="AI496" s="7">
        <f t="shared" si="2642"/>
        <v>552.5</v>
      </c>
      <c r="AJ496" s="7">
        <f t="shared" si="2642"/>
        <v>442</v>
      </c>
      <c r="AK496" s="7">
        <f t="shared" si="2642"/>
        <v>331.5</v>
      </c>
      <c r="AL496" s="7">
        <f t="shared" si="2642"/>
        <v>221</v>
      </c>
      <c r="AM496" s="7">
        <f t="shared" si="2642"/>
        <v>110.5</v>
      </c>
      <c r="AN496" s="7"/>
      <c r="AO496" s="7"/>
      <c r="AP496" s="222"/>
      <c r="AQ496" s="7">
        <v>0</v>
      </c>
      <c r="AR496" s="7">
        <f t="shared" si="2507"/>
        <v>0</v>
      </c>
      <c r="AS496" s="7">
        <f t="shared" si="2508"/>
        <v>0</v>
      </c>
      <c r="BG496" s="236">
        <f t="shared" si="2503"/>
        <v>0</v>
      </c>
      <c r="BH496" s="7">
        <v>0</v>
      </c>
      <c r="BV496" s="236">
        <f t="shared" si="2708"/>
        <v>0</v>
      </c>
      <c r="BW496" s="7">
        <v>0</v>
      </c>
      <c r="CK496" s="236">
        <f t="shared" si="2709"/>
        <v>0</v>
      </c>
      <c r="CL496" s="7">
        <v>0</v>
      </c>
      <c r="CZ496" s="236">
        <f t="shared" si="2710"/>
        <v>0</v>
      </c>
    </row>
    <row r="497" spans="1:104" x14ac:dyDescent="0.2">
      <c r="A497" s="6" t="str">
        <f>'[1]2021 УГРЦТ'!A500</f>
        <v>Э/освещение и силовое э/обор ТП-67 шк№5  2000г.</v>
      </c>
      <c r="B497" t="str">
        <f>'[1]2021 УГРЦТ'!B500</f>
        <v>00000261</v>
      </c>
      <c r="C497" t="str">
        <f>'[1]2021 УГРЦТ'!C500</f>
        <v>ПЕРЕДАЧА</v>
      </c>
      <c r="D497" t="str">
        <f>'[1]2021 УГРЦТ'!D500</f>
        <v>Сооружения</v>
      </c>
      <c r="E497" t="str">
        <f>'[1]2021 УГРЦТ'!E500</f>
        <v>01.05.2000</v>
      </c>
      <c r="F497" t="str">
        <f>'[1]2021 УГРЦТ'!F500</f>
        <v>Цех электрических сетей</v>
      </c>
      <c r="G497">
        <f>'[1]2021 УГРЦТ'!AC500</f>
        <v>300</v>
      </c>
      <c r="H497" s="7">
        <f>'[1]2021 УГРЦТ'!X500</f>
        <v>33157</v>
      </c>
      <c r="I497" s="7">
        <f>'[1]2021 УГРЦТ'!Y500</f>
        <v>28836.14</v>
      </c>
      <c r="J497" s="7">
        <f>'[1]2021 УГРЦТ'!Z500</f>
        <v>4320.8600000000006</v>
      </c>
      <c r="K497" s="8">
        <v>1</v>
      </c>
      <c r="L497" s="7">
        <v>110.5433333</v>
      </c>
      <c r="M497" s="7"/>
      <c r="N497" s="7">
        <f t="shared" si="2674"/>
        <v>1326.5199996000001</v>
      </c>
      <c r="O497" s="7">
        <f t="shared" si="2504"/>
        <v>4210.3166667000005</v>
      </c>
      <c r="P497" s="7">
        <f t="shared" ref="P497:Z511" si="2711">O497-$L497</f>
        <v>4099.7733334000004</v>
      </c>
      <c r="Q497" s="7">
        <f t="shared" si="2711"/>
        <v>3989.2300001000003</v>
      </c>
      <c r="R497" s="7">
        <f t="shared" si="2711"/>
        <v>3878.6866668000002</v>
      </c>
      <c r="S497" s="7">
        <f t="shared" si="2711"/>
        <v>3768.1433335000002</v>
      </c>
      <c r="T497" s="7">
        <f t="shared" si="2711"/>
        <v>3657.6000002000001</v>
      </c>
      <c r="U497" s="7">
        <f t="shared" si="2711"/>
        <v>3547.0566669</v>
      </c>
      <c r="V497" s="7">
        <f t="shared" si="2711"/>
        <v>3436.5133335999999</v>
      </c>
      <c r="W497" s="7">
        <f t="shared" si="2711"/>
        <v>3325.9700002999998</v>
      </c>
      <c r="X497" s="7">
        <f t="shared" si="2711"/>
        <v>3215.4266669999997</v>
      </c>
      <c r="Y497" s="7">
        <f t="shared" si="2711"/>
        <v>3104.8833336999996</v>
      </c>
      <c r="Z497" s="7">
        <f t="shared" si="2711"/>
        <v>2994.3400003999996</v>
      </c>
      <c r="AA497" s="7">
        <f t="shared" ref="AA497:AA502" si="2712">SUM(O497:Z497,J497)/13*$AA$1</f>
        <v>80.467200004400013</v>
      </c>
      <c r="AB497" s="7"/>
      <c r="AC497" s="7">
        <f t="shared" si="2505"/>
        <v>1326.5199996000001</v>
      </c>
      <c r="AD497" s="7">
        <f t="shared" si="2506"/>
        <v>2883.7966670999995</v>
      </c>
      <c r="AE497" s="7">
        <f t="shared" ref="AE497:AO499" si="2713">AD497-$L497</f>
        <v>2773.2533337999994</v>
      </c>
      <c r="AF497" s="7">
        <f t="shared" si="2713"/>
        <v>2662.7100004999993</v>
      </c>
      <c r="AG497" s="7">
        <f t="shared" si="2713"/>
        <v>2552.1666671999992</v>
      </c>
      <c r="AH497" s="7">
        <f t="shared" si="2713"/>
        <v>2441.6233338999991</v>
      </c>
      <c r="AI497" s="7">
        <f t="shared" si="2713"/>
        <v>2331.080000599999</v>
      </c>
      <c r="AJ497" s="7">
        <f t="shared" si="2713"/>
        <v>2220.536667299999</v>
      </c>
      <c r="AK497" s="7">
        <f t="shared" si="2713"/>
        <v>2109.9933339999989</v>
      </c>
      <c r="AL497" s="7">
        <f t="shared" si="2713"/>
        <v>1999.4500006999988</v>
      </c>
      <c r="AM497" s="7">
        <f t="shared" si="2713"/>
        <v>1888.9066673999987</v>
      </c>
      <c r="AN497" s="7">
        <f t="shared" si="2713"/>
        <v>1778.3633340999986</v>
      </c>
      <c r="AO497" s="7">
        <f t="shared" si="2713"/>
        <v>1667.8200007999985</v>
      </c>
      <c r="AP497" s="222">
        <f>IF(K497&lt;1,0,SUM(AD497:AO497,Z497)/13*$BG$1)</f>
        <v>51.283760013199974</v>
      </c>
      <c r="AQ497" s="7">
        <v>110.5433333</v>
      </c>
      <c r="AR497" s="7">
        <f t="shared" si="2507"/>
        <v>110.54333330000009</v>
      </c>
      <c r="AS497" s="7">
        <f t="shared" si="2508"/>
        <v>0</v>
      </c>
      <c r="AT497" s="7">
        <f t="shared" ref="AT497:AT499" si="2714">L497*12</f>
        <v>1326.5199996000001</v>
      </c>
      <c r="AU497" s="7">
        <f>AO497-$L497</f>
        <v>1557.2766674999984</v>
      </c>
      <c r="AV497" s="7">
        <f t="shared" ref="AV497:BF499" si="2715">AU497-$L497</f>
        <v>1446.7333341999984</v>
      </c>
      <c r="AW497" s="7">
        <f t="shared" si="2715"/>
        <v>1336.1900008999983</v>
      </c>
      <c r="AX497" s="7">
        <f t="shared" si="2715"/>
        <v>1225.6466675999982</v>
      </c>
      <c r="AY497" s="7">
        <f t="shared" si="2715"/>
        <v>1115.1033342999981</v>
      </c>
      <c r="AZ497" s="7">
        <f t="shared" si="2715"/>
        <v>1004.5600009999981</v>
      </c>
      <c r="BA497" s="7">
        <f t="shared" si="2715"/>
        <v>894.01666769999815</v>
      </c>
      <c r="BB497" s="7">
        <f t="shared" si="2715"/>
        <v>783.47333439999818</v>
      </c>
      <c r="BC497" s="7">
        <f t="shared" si="2715"/>
        <v>672.93000109999821</v>
      </c>
      <c r="BD497" s="7">
        <f t="shared" si="2715"/>
        <v>562.38666779999824</v>
      </c>
      <c r="BE497" s="7">
        <f t="shared" si="2715"/>
        <v>451.84333449999826</v>
      </c>
      <c r="BF497" s="7">
        <f t="shared" si="2715"/>
        <v>341.30000119999829</v>
      </c>
      <c r="BG497" s="236">
        <f t="shared" si="2503"/>
        <v>22.100320021999956</v>
      </c>
      <c r="BH497" s="7">
        <v>110.5433333</v>
      </c>
      <c r="BI497" s="39">
        <v>341.3</v>
      </c>
      <c r="BJ497" s="7">
        <f>BF497-BH497</f>
        <v>230.75666789999829</v>
      </c>
      <c r="BK497" s="7">
        <f t="shared" ref="BK497:BK499" si="2716">BJ497-$L497</f>
        <v>120.21333459999829</v>
      </c>
      <c r="BL497" s="7">
        <f t="shared" ref="BL497:BL499" si="2717">BK497-$L497</f>
        <v>9.6700012999982903</v>
      </c>
      <c r="BM497" s="7"/>
      <c r="BN497" s="7"/>
      <c r="BO497" s="7"/>
      <c r="BP497" s="7"/>
      <c r="BQ497" s="7"/>
      <c r="BR497" s="7"/>
      <c r="BS497" s="7"/>
      <c r="BT497" s="7"/>
      <c r="BU497" s="7"/>
      <c r="BV497" s="236">
        <f t="shared" si="2708"/>
        <v>1.1878984699999884</v>
      </c>
      <c r="BW497" s="7">
        <v>110.5433333</v>
      </c>
      <c r="BX497" s="39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236">
        <f t="shared" si="2709"/>
        <v>0</v>
      </c>
      <c r="CL497" s="7">
        <v>110.5433333</v>
      </c>
      <c r="CM497" s="39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236">
        <f t="shared" si="2710"/>
        <v>0</v>
      </c>
    </row>
    <row r="498" spans="1:104" x14ac:dyDescent="0.2">
      <c r="A498" s="6" t="str">
        <f>'[1]2021 УГРЦТ'!A501</f>
        <v>Эл линии н/в 0,4кв Явт, Авиат, Смидов  1998г.</v>
      </c>
      <c r="B498" t="str">
        <f>'[1]2021 УГРЦТ'!B501</f>
        <v>00000185</v>
      </c>
      <c r="C498" t="str">
        <f>'[1]2021 УГРЦТ'!C501</f>
        <v>ПЕРЕДАЧА</v>
      </c>
      <c r="D498" t="str">
        <f>'[1]2021 УГРЦТ'!D501</f>
        <v>Сооружения</v>
      </c>
      <c r="E498" t="str">
        <f>'[1]2021 УГРЦТ'!E501</f>
        <v>01.02.1998</v>
      </c>
      <c r="F498" t="str">
        <f>'[1]2021 УГРЦТ'!F501</f>
        <v>Цех электрических сетей</v>
      </c>
      <c r="G498">
        <f>'[1]2021 УГРЦТ'!AC501</f>
        <v>499</v>
      </c>
      <c r="H498" s="7">
        <f>'[1]2021 УГРЦТ'!X501</f>
        <v>917034.04</v>
      </c>
      <c r="I498" s="7">
        <f>'[1]2021 УГРЦТ'!Y501</f>
        <v>250470.62</v>
      </c>
      <c r="J498" s="7">
        <f>'[1]2021 УГРЦТ'!Z501</f>
        <v>666563.42000000004</v>
      </c>
      <c r="K498" s="8">
        <v>1</v>
      </c>
      <c r="L498" s="7">
        <v>3129.41</v>
      </c>
      <c r="M498" s="7"/>
      <c r="N498" s="7">
        <f t="shared" si="2674"/>
        <v>37552.92</v>
      </c>
      <c r="O498" s="7">
        <f t="shared" si="2504"/>
        <v>663434.01</v>
      </c>
      <c r="P498" s="7">
        <f t="shared" si="2711"/>
        <v>660304.6</v>
      </c>
      <c r="Q498" s="7">
        <f t="shared" si="2711"/>
        <v>657175.18999999994</v>
      </c>
      <c r="R498" s="7">
        <f t="shared" si="2711"/>
        <v>654045.77999999991</v>
      </c>
      <c r="S498" s="7">
        <f t="shared" si="2711"/>
        <v>650916.36999999988</v>
      </c>
      <c r="T498" s="7">
        <f t="shared" si="2711"/>
        <v>647786.95999999985</v>
      </c>
      <c r="U498" s="7">
        <f t="shared" si="2711"/>
        <v>644657.54999999981</v>
      </c>
      <c r="V498" s="7">
        <f t="shared" si="2711"/>
        <v>641528.13999999978</v>
      </c>
      <c r="W498" s="7">
        <f t="shared" si="2711"/>
        <v>638398.72999999975</v>
      </c>
      <c r="X498" s="7">
        <f t="shared" si="2711"/>
        <v>635269.31999999972</v>
      </c>
      <c r="Y498" s="7">
        <f t="shared" si="2711"/>
        <v>632139.90999999968</v>
      </c>
      <c r="Z498" s="7">
        <f t="shared" si="2711"/>
        <v>629010.49999999965</v>
      </c>
      <c r="AA498" s="7">
        <f t="shared" si="2712"/>
        <v>14251.313119999993</v>
      </c>
      <c r="AB498" s="7"/>
      <c r="AC498" s="7">
        <f t="shared" si="2505"/>
        <v>37552.92</v>
      </c>
      <c r="AD498" s="7">
        <f t="shared" si="2506"/>
        <v>625881.08999999962</v>
      </c>
      <c r="AE498" s="7">
        <f t="shared" si="2713"/>
        <v>622751.67999999959</v>
      </c>
      <c r="AF498" s="7">
        <f t="shared" si="2713"/>
        <v>619622.26999999955</v>
      </c>
      <c r="AG498" s="7">
        <f t="shared" si="2713"/>
        <v>616492.85999999952</v>
      </c>
      <c r="AH498" s="7">
        <f t="shared" si="2713"/>
        <v>613363.44999999949</v>
      </c>
      <c r="AI498" s="7">
        <f t="shared" si="2713"/>
        <v>610234.03999999946</v>
      </c>
      <c r="AJ498" s="7">
        <f t="shared" si="2713"/>
        <v>607104.62999999942</v>
      </c>
      <c r="AK498" s="7">
        <f t="shared" si="2713"/>
        <v>603975.21999999939</v>
      </c>
      <c r="AL498" s="7">
        <f t="shared" si="2713"/>
        <v>600845.80999999936</v>
      </c>
      <c r="AM498" s="7">
        <f t="shared" si="2713"/>
        <v>597716.39999999932</v>
      </c>
      <c r="AN498" s="7">
        <f t="shared" si="2713"/>
        <v>594586.98999999929</v>
      </c>
      <c r="AO498" s="7">
        <f t="shared" si="2713"/>
        <v>591457.57999999926</v>
      </c>
      <c r="AP498" s="222">
        <f>IF(K498&lt;1,0,SUM(AD498:AO498,Z498)/13*$BG$1)</f>
        <v>13425.14887999999</v>
      </c>
      <c r="AQ498" s="7">
        <v>3129.41</v>
      </c>
      <c r="AR498" s="7">
        <f t="shared" si="2507"/>
        <v>3129.4100000000326</v>
      </c>
      <c r="AS498" s="7">
        <f t="shared" si="2508"/>
        <v>3.2741809263825417E-11</v>
      </c>
      <c r="AT498" s="7">
        <f t="shared" si="2714"/>
        <v>37552.92</v>
      </c>
      <c r="AU498" s="7">
        <f>AO498-$L498</f>
        <v>588328.16999999923</v>
      </c>
      <c r="AV498" s="7">
        <f t="shared" si="2715"/>
        <v>585198.75999999919</v>
      </c>
      <c r="AW498" s="7">
        <f t="shared" si="2715"/>
        <v>582069.34999999916</v>
      </c>
      <c r="AX498" s="7">
        <f t="shared" si="2715"/>
        <v>578939.93999999913</v>
      </c>
      <c r="AY498" s="7">
        <f t="shared" si="2715"/>
        <v>575810.5299999991</v>
      </c>
      <c r="AZ498" s="7">
        <f t="shared" si="2715"/>
        <v>572681.11999999906</v>
      </c>
      <c r="BA498" s="7">
        <f t="shared" si="2715"/>
        <v>569551.70999999903</v>
      </c>
      <c r="BB498" s="7">
        <f t="shared" si="2715"/>
        <v>566422.299999999</v>
      </c>
      <c r="BC498" s="7">
        <f t="shared" si="2715"/>
        <v>563292.88999999897</v>
      </c>
      <c r="BD498" s="7">
        <f t="shared" si="2715"/>
        <v>560163.47999999893</v>
      </c>
      <c r="BE498" s="7">
        <f t="shared" si="2715"/>
        <v>557034.0699999989</v>
      </c>
      <c r="BF498" s="7">
        <f t="shared" si="2715"/>
        <v>553904.65999999887</v>
      </c>
      <c r="BG498" s="236">
        <f t="shared" si="2503"/>
        <v>12598.984639999979</v>
      </c>
      <c r="BH498" s="7">
        <v>3129.41</v>
      </c>
      <c r="BI498" s="39">
        <f>BH498*12</f>
        <v>37552.92</v>
      </c>
      <c r="BJ498" s="7">
        <f>BF498-BH498</f>
        <v>550775.24999999884</v>
      </c>
      <c r="BK498" s="7">
        <f t="shared" si="2716"/>
        <v>547645.8399999988</v>
      </c>
      <c r="BL498" s="7">
        <f t="shared" si="2717"/>
        <v>544516.42999999877</v>
      </c>
      <c r="BM498" s="7">
        <f t="shared" ref="BM498:BM499" si="2718">BL498-$L498</f>
        <v>541387.01999999874</v>
      </c>
      <c r="BN498" s="7">
        <f t="shared" ref="BN498:BN499" si="2719">BM498-$L498</f>
        <v>538257.60999999871</v>
      </c>
      <c r="BO498" s="7">
        <f t="shared" ref="BO498:BO499" si="2720">BN498-$L498</f>
        <v>535128.19999999867</v>
      </c>
      <c r="BP498" s="7">
        <f t="shared" ref="BP498:BP499" si="2721">BO498-$L498</f>
        <v>531998.78999999864</v>
      </c>
      <c r="BQ498" s="7">
        <f t="shared" ref="BQ498:BQ499" si="2722">BP498-$L498</f>
        <v>528869.37999999861</v>
      </c>
      <c r="BR498" s="7">
        <f t="shared" ref="BR498:BR499" si="2723">BQ498-$L498</f>
        <v>525739.96999999858</v>
      </c>
      <c r="BS498" s="7">
        <f t="shared" ref="BS498:BS499" si="2724">BR498-$L498</f>
        <v>522610.5599999986</v>
      </c>
      <c r="BT498" s="7">
        <f t="shared" ref="BT498:BT499" si="2725">BS498-$L498</f>
        <v>519481.14999999863</v>
      </c>
      <c r="BU498" s="7">
        <f t="shared" ref="BU498:BU499" si="2726">BT498-$L498</f>
        <v>516351.73999999865</v>
      </c>
      <c r="BV498" s="236">
        <f t="shared" si="2708"/>
        <v>11772.820399999973</v>
      </c>
      <c r="BW498" s="7">
        <v>3129.41</v>
      </c>
      <c r="BX498" s="39">
        <f>BW498*12</f>
        <v>37552.92</v>
      </c>
      <c r="BY498" s="7">
        <f>BU498-BW498</f>
        <v>513222.32999999868</v>
      </c>
      <c r="BZ498" s="7">
        <f t="shared" ref="BZ498:BZ499" si="2727">BY498-$L498</f>
        <v>510092.9199999987</v>
      </c>
      <c r="CA498" s="7">
        <f t="shared" ref="CA498:CA499" si="2728">BZ498-$L498</f>
        <v>506963.50999999873</v>
      </c>
      <c r="CB498" s="7">
        <f t="shared" ref="CB498:CB499" si="2729">CA498-$L498</f>
        <v>503834.09999999875</v>
      </c>
      <c r="CC498" s="7">
        <f t="shared" ref="CC498:CC499" si="2730">CB498-$L498</f>
        <v>500704.68999999878</v>
      </c>
      <c r="CD498" s="7">
        <f t="shared" ref="CD498:CD499" si="2731">CC498-$L498</f>
        <v>497575.27999999881</v>
      </c>
      <c r="CE498" s="7">
        <f t="shared" ref="CE498:CE499" si="2732">CD498-$L498</f>
        <v>494445.86999999883</v>
      </c>
      <c r="CF498" s="7">
        <f t="shared" ref="CF498:CF499" si="2733">CE498-$L498</f>
        <v>491316.45999999886</v>
      </c>
      <c r="CG498" s="7">
        <f t="shared" ref="CG498:CG499" si="2734">CF498-$L498</f>
        <v>488187.04999999888</v>
      </c>
      <c r="CH498" s="7">
        <f t="shared" ref="CH498:CH499" si="2735">CG498-$L498</f>
        <v>485057.63999999891</v>
      </c>
      <c r="CI498" s="7">
        <f t="shared" ref="CI498:CI499" si="2736">CH498-$L498</f>
        <v>481928.22999999893</v>
      </c>
      <c r="CJ498" s="7">
        <f t="shared" ref="CJ498:CJ499" si="2737">CI498-$L498</f>
        <v>478798.81999999896</v>
      </c>
      <c r="CK498" s="236">
        <f t="shared" si="2709"/>
        <v>10946.656159999971</v>
      </c>
      <c r="CL498" s="7">
        <v>3129.41</v>
      </c>
      <c r="CM498" s="39">
        <f>CL498*12</f>
        <v>37552.92</v>
      </c>
      <c r="CN498" s="7">
        <f>CJ498-CL498</f>
        <v>475669.40999999898</v>
      </c>
      <c r="CO498" s="7">
        <f t="shared" ref="CO498:CO499" si="2738">CN498-$L498</f>
        <v>472539.99999999901</v>
      </c>
      <c r="CP498" s="7">
        <f t="shared" ref="CP498:CP499" si="2739">CO498-$L498</f>
        <v>469410.58999999904</v>
      </c>
      <c r="CQ498" s="7">
        <f t="shared" ref="CQ498:CQ499" si="2740">CP498-$L498</f>
        <v>466281.17999999906</v>
      </c>
      <c r="CR498" s="7">
        <f t="shared" ref="CR498:CR499" si="2741">CQ498-$L498</f>
        <v>463151.76999999909</v>
      </c>
      <c r="CS498" s="7">
        <f t="shared" ref="CS498:CS499" si="2742">CR498-$L498</f>
        <v>460022.35999999911</v>
      </c>
      <c r="CT498" s="7">
        <f t="shared" ref="CT498:CT499" si="2743">CS498-$L498</f>
        <v>456892.94999999914</v>
      </c>
      <c r="CU498" s="7">
        <f t="shared" ref="CU498:CU499" si="2744">CT498-$L498</f>
        <v>453763.53999999916</v>
      </c>
      <c r="CV498" s="7">
        <f t="shared" ref="CV498:CV499" si="2745">CU498-$L498</f>
        <v>450634.12999999919</v>
      </c>
      <c r="CW498" s="7">
        <f t="shared" ref="CW498:CW499" si="2746">CV498-$L498</f>
        <v>447504.71999999922</v>
      </c>
      <c r="CX498" s="7">
        <f t="shared" ref="CX498:CX499" si="2747">CW498-$L498</f>
        <v>444375.30999999924</v>
      </c>
      <c r="CY498" s="7">
        <f t="shared" ref="CY498:CY499" si="2748">CX498-$L498</f>
        <v>441245.89999999927</v>
      </c>
      <c r="CZ498" s="236">
        <f t="shared" si="2710"/>
        <v>10120.49191999998</v>
      </c>
    </row>
    <row r="499" spans="1:104" x14ac:dyDescent="0.2">
      <c r="A499" s="6" t="str">
        <f>'[1]2021 УГРЦТ'!A502</f>
        <v>Эл линия в/в 6 кв нефтебаза  5996м 1979г</v>
      </c>
      <c r="B499" t="str">
        <f>'[1]2021 УГРЦТ'!B502</f>
        <v>00000507</v>
      </c>
      <c r="C499" t="str">
        <f>'[1]2021 УГРЦТ'!C502</f>
        <v>ПЕРЕДАЧА</v>
      </c>
      <c r="D499" t="str">
        <f>'[1]2021 УГРЦТ'!D502</f>
        <v>Сооружения</v>
      </c>
      <c r="E499" t="str">
        <f>'[1]2021 УГРЦТ'!E502</f>
        <v>01.01.1979</v>
      </c>
      <c r="F499" t="str">
        <f>'[1]2021 УГРЦТ'!F502</f>
        <v>Цех электрических сетей</v>
      </c>
      <c r="G499">
        <f>'[1]2021 УГРЦТ'!AC502</f>
        <v>180</v>
      </c>
      <c r="H499" s="7">
        <f>'[1]2021 УГРЦТ'!X502</f>
        <v>2614006.4</v>
      </c>
      <c r="I499" s="7">
        <f>'[1]2021 УГРЦТ'!Y502</f>
        <v>1190176.74</v>
      </c>
      <c r="J499" s="7">
        <f>'[1]2021 УГРЦТ'!Z502</f>
        <v>1423829.66</v>
      </c>
      <c r="K499" s="8">
        <v>1</v>
      </c>
      <c r="L499" s="7">
        <v>15310</v>
      </c>
      <c r="M499" s="7"/>
      <c r="N499" s="7">
        <f t="shared" si="2674"/>
        <v>183720</v>
      </c>
      <c r="O499" s="7">
        <f t="shared" si="2504"/>
        <v>1408519.66</v>
      </c>
      <c r="P499" s="7">
        <f t="shared" si="2711"/>
        <v>1393209.66</v>
      </c>
      <c r="Q499" s="7">
        <f t="shared" si="2711"/>
        <v>1377899.66</v>
      </c>
      <c r="R499" s="7">
        <f t="shared" si="2711"/>
        <v>1362589.66</v>
      </c>
      <c r="S499" s="7">
        <f t="shared" si="2711"/>
        <v>1347279.66</v>
      </c>
      <c r="T499" s="7">
        <f t="shared" si="2711"/>
        <v>1331969.6599999999</v>
      </c>
      <c r="U499" s="7">
        <f t="shared" si="2711"/>
        <v>1316659.6599999999</v>
      </c>
      <c r="V499" s="7">
        <f t="shared" si="2711"/>
        <v>1301349.6599999999</v>
      </c>
      <c r="W499" s="7">
        <f t="shared" si="2711"/>
        <v>1286039.6599999999</v>
      </c>
      <c r="X499" s="7">
        <f t="shared" si="2711"/>
        <v>1270729.6599999999</v>
      </c>
      <c r="Y499" s="7">
        <f t="shared" si="2711"/>
        <v>1255419.6599999999</v>
      </c>
      <c r="Z499" s="7">
        <f t="shared" si="2711"/>
        <v>1240109.6599999999</v>
      </c>
      <c r="AA499" s="7">
        <f t="shared" si="2712"/>
        <v>29303.332519999996</v>
      </c>
      <c r="AB499" s="7"/>
      <c r="AC499" s="7">
        <f t="shared" si="2505"/>
        <v>183720</v>
      </c>
      <c r="AD499" s="7">
        <f t="shared" si="2506"/>
        <v>1224799.6599999999</v>
      </c>
      <c r="AE499" s="7">
        <f t="shared" si="2713"/>
        <v>1209489.6599999999</v>
      </c>
      <c r="AF499" s="7">
        <f t="shared" si="2713"/>
        <v>1194179.6599999999</v>
      </c>
      <c r="AG499" s="7">
        <f t="shared" si="2713"/>
        <v>1178869.6599999999</v>
      </c>
      <c r="AH499" s="7">
        <f t="shared" si="2713"/>
        <v>1163559.6599999999</v>
      </c>
      <c r="AI499" s="7">
        <f t="shared" si="2713"/>
        <v>1148249.6599999999</v>
      </c>
      <c r="AJ499" s="7">
        <f t="shared" si="2713"/>
        <v>1132939.6599999999</v>
      </c>
      <c r="AK499" s="7">
        <f t="shared" si="2713"/>
        <v>1117629.6599999999</v>
      </c>
      <c r="AL499" s="7">
        <f t="shared" si="2713"/>
        <v>1102319.6599999999</v>
      </c>
      <c r="AM499" s="7">
        <f t="shared" si="2713"/>
        <v>1087009.6599999999</v>
      </c>
      <c r="AN499" s="7">
        <f t="shared" si="2713"/>
        <v>1071699.6599999999</v>
      </c>
      <c r="AO499" s="7">
        <f t="shared" si="2713"/>
        <v>1056389.6599999999</v>
      </c>
      <c r="AP499" s="222">
        <f>IF(K499&lt;1,0,SUM(AD499:AO499,Z499)/13*$BG$1)</f>
        <v>25261.492519999996</v>
      </c>
      <c r="AQ499" s="7">
        <v>15310</v>
      </c>
      <c r="AR499" s="7">
        <f t="shared" si="2507"/>
        <v>15310</v>
      </c>
      <c r="AS499" s="7">
        <f t="shared" si="2508"/>
        <v>0</v>
      </c>
      <c r="AT499" s="7">
        <f t="shared" si="2714"/>
        <v>183720</v>
      </c>
      <c r="AU499" s="7">
        <f>AO499-$L499</f>
        <v>1041079.6599999999</v>
      </c>
      <c r="AV499" s="7">
        <f t="shared" si="2715"/>
        <v>1025769.6599999999</v>
      </c>
      <c r="AW499" s="7">
        <f t="shared" si="2715"/>
        <v>1010459.6599999999</v>
      </c>
      <c r="AX499" s="7">
        <f t="shared" si="2715"/>
        <v>995149.65999999992</v>
      </c>
      <c r="AY499" s="7">
        <f t="shared" si="2715"/>
        <v>979839.65999999992</v>
      </c>
      <c r="AZ499" s="7">
        <f t="shared" si="2715"/>
        <v>964529.65999999992</v>
      </c>
      <c r="BA499" s="7">
        <f t="shared" si="2715"/>
        <v>949219.65999999992</v>
      </c>
      <c r="BB499" s="7">
        <f t="shared" si="2715"/>
        <v>933909.65999999992</v>
      </c>
      <c r="BC499" s="7">
        <f t="shared" si="2715"/>
        <v>918599.65999999992</v>
      </c>
      <c r="BD499" s="7">
        <f t="shared" si="2715"/>
        <v>903289.65999999992</v>
      </c>
      <c r="BE499" s="7">
        <f t="shared" si="2715"/>
        <v>887979.65999999992</v>
      </c>
      <c r="BF499" s="7">
        <f t="shared" si="2715"/>
        <v>872669.65999999992</v>
      </c>
      <c r="BG499" s="236">
        <f t="shared" si="2503"/>
        <v>21219.65252</v>
      </c>
      <c r="BH499" s="7">
        <v>15310</v>
      </c>
      <c r="BI499" s="39">
        <f>BH499*12</f>
        <v>183720</v>
      </c>
      <c r="BJ499" s="7">
        <f>BF499-BH499</f>
        <v>857359.65999999992</v>
      </c>
      <c r="BK499" s="7">
        <f t="shared" si="2716"/>
        <v>842049.65999999992</v>
      </c>
      <c r="BL499" s="7">
        <f t="shared" si="2717"/>
        <v>826739.65999999992</v>
      </c>
      <c r="BM499" s="7">
        <f t="shared" si="2718"/>
        <v>811429.65999999992</v>
      </c>
      <c r="BN499" s="7">
        <f t="shared" si="2719"/>
        <v>796119.65999999992</v>
      </c>
      <c r="BO499" s="7">
        <f t="shared" si="2720"/>
        <v>780809.65999999992</v>
      </c>
      <c r="BP499" s="7">
        <f t="shared" si="2721"/>
        <v>765499.65999999992</v>
      </c>
      <c r="BQ499" s="7">
        <f t="shared" si="2722"/>
        <v>750189.65999999992</v>
      </c>
      <c r="BR499" s="7">
        <f t="shared" si="2723"/>
        <v>734879.65999999992</v>
      </c>
      <c r="BS499" s="7">
        <f t="shared" si="2724"/>
        <v>719569.65999999992</v>
      </c>
      <c r="BT499" s="7">
        <f t="shared" si="2725"/>
        <v>704259.65999999992</v>
      </c>
      <c r="BU499" s="7">
        <f t="shared" si="2726"/>
        <v>688949.65999999992</v>
      </c>
      <c r="BV499" s="236">
        <f t="shared" si="2708"/>
        <v>17177.812519999999</v>
      </c>
      <c r="BW499" s="7">
        <v>15310</v>
      </c>
      <c r="BX499" s="39">
        <f>BW499*12</f>
        <v>183720</v>
      </c>
      <c r="BY499" s="7">
        <f>BU499-BW499</f>
        <v>673639.65999999992</v>
      </c>
      <c r="BZ499" s="7">
        <f t="shared" si="2727"/>
        <v>658329.65999999992</v>
      </c>
      <c r="CA499" s="7">
        <f t="shared" si="2728"/>
        <v>643019.65999999992</v>
      </c>
      <c r="CB499" s="7">
        <f t="shared" si="2729"/>
        <v>627709.65999999992</v>
      </c>
      <c r="CC499" s="7">
        <f t="shared" si="2730"/>
        <v>612399.65999999992</v>
      </c>
      <c r="CD499" s="7">
        <f t="shared" si="2731"/>
        <v>597089.65999999992</v>
      </c>
      <c r="CE499" s="7">
        <f t="shared" si="2732"/>
        <v>581779.65999999992</v>
      </c>
      <c r="CF499" s="7">
        <f t="shared" si="2733"/>
        <v>566469.65999999992</v>
      </c>
      <c r="CG499" s="7">
        <f t="shared" si="2734"/>
        <v>551159.65999999992</v>
      </c>
      <c r="CH499" s="7">
        <f t="shared" si="2735"/>
        <v>535849.65999999992</v>
      </c>
      <c r="CI499" s="7">
        <f t="shared" si="2736"/>
        <v>520539.65999999992</v>
      </c>
      <c r="CJ499" s="7">
        <f t="shared" si="2737"/>
        <v>505229.65999999992</v>
      </c>
      <c r="CK499" s="236">
        <f t="shared" si="2709"/>
        <v>13135.972519999999</v>
      </c>
      <c r="CL499" s="7">
        <v>15310</v>
      </c>
      <c r="CM499" s="39">
        <f>CL499*12</f>
        <v>183720</v>
      </c>
      <c r="CN499" s="7">
        <f>CJ499-CL499</f>
        <v>489919.65999999992</v>
      </c>
      <c r="CO499" s="7">
        <f t="shared" si="2738"/>
        <v>474609.65999999992</v>
      </c>
      <c r="CP499" s="7">
        <f t="shared" si="2739"/>
        <v>459299.65999999992</v>
      </c>
      <c r="CQ499" s="7">
        <f t="shared" si="2740"/>
        <v>443989.65999999992</v>
      </c>
      <c r="CR499" s="7">
        <f t="shared" si="2741"/>
        <v>428679.65999999992</v>
      </c>
      <c r="CS499" s="7">
        <f t="shared" si="2742"/>
        <v>413369.65999999992</v>
      </c>
      <c r="CT499" s="7">
        <f t="shared" si="2743"/>
        <v>398059.65999999992</v>
      </c>
      <c r="CU499" s="7">
        <f t="shared" si="2744"/>
        <v>382749.65999999992</v>
      </c>
      <c r="CV499" s="7">
        <f t="shared" si="2745"/>
        <v>367439.65999999992</v>
      </c>
      <c r="CW499" s="7">
        <f t="shared" si="2746"/>
        <v>352129.65999999992</v>
      </c>
      <c r="CX499" s="7">
        <f t="shared" si="2747"/>
        <v>336819.65999999992</v>
      </c>
      <c r="CY499" s="7">
        <f t="shared" si="2748"/>
        <v>321509.65999999992</v>
      </c>
      <c r="CZ499" s="236">
        <f t="shared" si="2710"/>
        <v>9094.132520000001</v>
      </c>
    </row>
    <row r="500" spans="1:104" x14ac:dyDescent="0.2">
      <c r="A500" s="6" t="str">
        <f>'[1]2021 УГРЦТ'!A503</f>
        <v>Эл линия ул 60 лет СССР 1988г.  190м</v>
      </c>
      <c r="B500" t="str">
        <f>'[1]2021 УГРЦТ'!B503</f>
        <v>00000174</v>
      </c>
      <c r="C500" t="str">
        <f>'[1]2021 УГРЦТ'!C503</f>
        <v>ПЕРЕДАЧА</v>
      </c>
      <c r="D500" t="str">
        <f>'[1]2021 УГРЦТ'!D503</f>
        <v>Сооружения</v>
      </c>
      <c r="E500" t="str">
        <f>'[1]2021 УГРЦТ'!E503</f>
        <v>01.01.1988</v>
      </c>
      <c r="F500" t="str">
        <f>'[1]2021 УГРЦТ'!F503</f>
        <v>Цех электрических сетей</v>
      </c>
      <c r="G500">
        <f>'[1]2021 УГРЦТ'!AC503</f>
        <v>84</v>
      </c>
      <c r="H500" s="7">
        <f>'[1]2021 УГРЦТ'!X503</f>
        <v>664789.04</v>
      </c>
      <c r="I500" s="7">
        <f>'[1]2021 УГРЦТ'!Y503</f>
        <v>589098.43999999994</v>
      </c>
      <c r="J500" s="7">
        <f>'[1]2021 УГРЦТ'!Z503</f>
        <v>75690.600000000093</v>
      </c>
      <c r="K500" s="8">
        <v>1</v>
      </c>
      <c r="L500" s="7">
        <v>7569.0599999999986</v>
      </c>
      <c r="M500" s="7"/>
      <c r="N500" s="7">
        <f>L500*10</f>
        <v>75690.599999999991</v>
      </c>
      <c r="O500" s="7">
        <f t="shared" si="2504"/>
        <v>68121.540000000095</v>
      </c>
      <c r="P500" s="7">
        <f t="shared" si="2711"/>
        <v>60552.480000000098</v>
      </c>
      <c r="Q500" s="7">
        <f t="shared" si="2711"/>
        <v>52983.4200000001</v>
      </c>
      <c r="R500" s="7">
        <f t="shared" si="2711"/>
        <v>45414.360000000102</v>
      </c>
      <c r="S500" s="7">
        <f t="shared" si="2711"/>
        <v>37845.300000000105</v>
      </c>
      <c r="T500" s="7">
        <f t="shared" si="2711"/>
        <v>30276.240000000107</v>
      </c>
      <c r="U500" s="7">
        <f t="shared" si="2711"/>
        <v>22707.180000000109</v>
      </c>
      <c r="V500" s="7">
        <f t="shared" si="2711"/>
        <v>15138.120000000112</v>
      </c>
      <c r="W500" s="7">
        <f t="shared" si="2711"/>
        <v>7569.0600000001132</v>
      </c>
      <c r="X500" s="7">
        <f t="shared" si="2711"/>
        <v>1.1459633242338896E-10</v>
      </c>
      <c r="Y500" s="7">
        <f>X500-$L500*0</f>
        <v>1.1459633242338896E-10</v>
      </c>
      <c r="Z500" s="7">
        <f>Y500-$L500*0</f>
        <v>1.1459633242338896E-10</v>
      </c>
      <c r="AA500" s="7">
        <f t="shared" si="2712"/>
        <v>704.5048153846177</v>
      </c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222"/>
      <c r="AQ500" s="7">
        <v>7569.0599999999986</v>
      </c>
      <c r="AR500" s="7"/>
      <c r="AS500" s="7"/>
      <c r="BG500" s="236">
        <f t="shared" si="2503"/>
        <v>0</v>
      </c>
      <c r="BH500" s="7">
        <v>7569.0599999999986</v>
      </c>
      <c r="BV500" s="236">
        <f t="shared" si="2708"/>
        <v>0</v>
      </c>
      <c r="BW500" s="7">
        <v>7569.0599999999986</v>
      </c>
      <c r="CK500" s="236">
        <f t="shared" si="2709"/>
        <v>0</v>
      </c>
      <c r="CL500" s="7">
        <v>7569.0599999999986</v>
      </c>
      <c r="CZ500" s="236">
        <f t="shared" si="2710"/>
        <v>0</v>
      </c>
    </row>
    <row r="501" spans="1:104" x14ac:dyDescent="0.2">
      <c r="A501" s="6" t="str">
        <f>'[1]2021 УГРЦТ'!A504</f>
        <v>Эл линия ул Смидовича 1988г.</v>
      </c>
      <c r="B501" t="str">
        <f>'[1]2021 УГРЦТ'!B504</f>
        <v>00000175</v>
      </c>
      <c r="C501" t="str">
        <f>'[1]2021 УГРЦТ'!C504</f>
        <v>ПЕРЕДАЧА</v>
      </c>
      <c r="D501" t="str">
        <f>'[1]2021 УГРЦТ'!D504</f>
        <v>Сооружения</v>
      </c>
      <c r="E501" t="str">
        <f>'[1]2021 УГРЦТ'!E504</f>
        <v>01.01.1988</v>
      </c>
      <c r="F501" t="str">
        <f>'[1]2021 УГРЦТ'!F504</f>
        <v>Цех электрических сетей</v>
      </c>
      <c r="G501">
        <f>'[1]2021 УГРЦТ'!AC504</f>
        <v>360</v>
      </c>
      <c r="H501" s="7">
        <f>'[1]2021 УГРЦТ'!X504</f>
        <v>349815.3</v>
      </c>
      <c r="I501" s="7">
        <f>'[1]2021 УГРЦТ'!Y504</f>
        <v>123464.95999999999</v>
      </c>
      <c r="J501" s="7">
        <f>'[1]2021 УГРЦТ'!Z504</f>
        <v>226350.34</v>
      </c>
      <c r="K501" s="8">
        <v>1</v>
      </c>
      <c r="L501" s="7">
        <v>832.17</v>
      </c>
      <c r="M501" s="7"/>
      <c r="N501" s="7">
        <f t="shared" si="2674"/>
        <v>9986.0399999999991</v>
      </c>
      <c r="O501" s="7">
        <f t="shared" si="2504"/>
        <v>225518.16999999998</v>
      </c>
      <c r="P501" s="7">
        <f t="shared" si="2711"/>
        <v>224685.99999999997</v>
      </c>
      <c r="Q501" s="7">
        <f t="shared" si="2711"/>
        <v>223853.82999999996</v>
      </c>
      <c r="R501" s="7">
        <f t="shared" si="2711"/>
        <v>223021.65999999995</v>
      </c>
      <c r="S501" s="7">
        <f t="shared" si="2711"/>
        <v>222189.48999999993</v>
      </c>
      <c r="T501" s="7">
        <f t="shared" si="2711"/>
        <v>221357.31999999992</v>
      </c>
      <c r="U501" s="7">
        <f t="shared" si="2711"/>
        <v>220525.14999999991</v>
      </c>
      <c r="V501" s="7">
        <f t="shared" si="2711"/>
        <v>219692.97999999989</v>
      </c>
      <c r="W501" s="7">
        <f t="shared" si="2711"/>
        <v>218860.80999999988</v>
      </c>
      <c r="X501" s="7">
        <f t="shared" si="2711"/>
        <v>218028.63999999987</v>
      </c>
      <c r="Y501" s="7">
        <f t="shared" si="2711"/>
        <v>217196.46999999986</v>
      </c>
      <c r="Z501" s="7">
        <f t="shared" si="2711"/>
        <v>216364.29999999984</v>
      </c>
      <c r="AA501" s="7">
        <f t="shared" si="2712"/>
        <v>4869.861039999997</v>
      </c>
      <c r="AB501" s="7"/>
      <c r="AC501" s="7">
        <f t="shared" si="2505"/>
        <v>9986.0399999999991</v>
      </c>
      <c r="AD501" s="7">
        <f t="shared" si="2506"/>
        <v>215532.12999999983</v>
      </c>
      <c r="AE501" s="7">
        <f t="shared" ref="AE501:AO511" si="2749">AD501-$L501</f>
        <v>214699.95999999982</v>
      </c>
      <c r="AF501" s="7">
        <f t="shared" si="2749"/>
        <v>213867.7899999998</v>
      </c>
      <c r="AG501" s="7">
        <f t="shared" si="2749"/>
        <v>213035.61999999979</v>
      </c>
      <c r="AH501" s="7">
        <f t="shared" si="2749"/>
        <v>212203.44999999978</v>
      </c>
      <c r="AI501" s="7">
        <f t="shared" si="2749"/>
        <v>211371.27999999977</v>
      </c>
      <c r="AJ501" s="7">
        <f t="shared" si="2749"/>
        <v>210539.10999999975</v>
      </c>
      <c r="AK501" s="7">
        <f t="shared" si="2749"/>
        <v>209706.93999999974</v>
      </c>
      <c r="AL501" s="7">
        <f t="shared" si="2749"/>
        <v>208874.76999999973</v>
      </c>
      <c r="AM501" s="7">
        <f t="shared" si="2749"/>
        <v>208042.59999999971</v>
      </c>
      <c r="AN501" s="7">
        <f t="shared" si="2749"/>
        <v>207210.4299999997</v>
      </c>
      <c r="AO501" s="7">
        <f t="shared" si="2749"/>
        <v>206378.25999999969</v>
      </c>
      <c r="AP501" s="222">
        <f>IF(K501&lt;1,0,SUM(AD501:AO501,Z501)/13*$BG$1)</f>
        <v>4650.1681599999947</v>
      </c>
      <c r="AQ501" s="7">
        <v>832.17</v>
      </c>
      <c r="AR501" s="7">
        <f t="shared" si="2507"/>
        <v>832.17000000001281</v>
      </c>
      <c r="AS501" s="7">
        <f t="shared" si="2508"/>
        <v>1.2846612662542611E-11</v>
      </c>
      <c r="AT501" s="7">
        <f t="shared" ref="AT501:AT502" si="2750">L501*12</f>
        <v>9986.0399999999991</v>
      </c>
      <c r="AU501" s="7">
        <f>AO501-$L501</f>
        <v>205546.08999999968</v>
      </c>
      <c r="AV501" s="7">
        <f t="shared" ref="AV501:BF502" si="2751">AU501-$L501</f>
        <v>204713.91999999966</v>
      </c>
      <c r="AW501" s="7">
        <f t="shared" si="2751"/>
        <v>203881.74999999965</v>
      </c>
      <c r="AX501" s="7">
        <f t="shared" si="2751"/>
        <v>203049.57999999964</v>
      </c>
      <c r="AY501" s="7">
        <f t="shared" si="2751"/>
        <v>202217.40999999963</v>
      </c>
      <c r="AZ501" s="7">
        <f t="shared" si="2751"/>
        <v>201385.23999999961</v>
      </c>
      <c r="BA501" s="7">
        <f t="shared" si="2751"/>
        <v>200553.0699999996</v>
      </c>
      <c r="BB501" s="7">
        <f t="shared" si="2751"/>
        <v>199720.89999999959</v>
      </c>
      <c r="BC501" s="7">
        <f t="shared" si="2751"/>
        <v>198888.72999999957</v>
      </c>
      <c r="BD501" s="7">
        <f t="shared" si="2751"/>
        <v>198056.55999999956</v>
      </c>
      <c r="BE501" s="7">
        <f t="shared" si="2751"/>
        <v>197224.38999999955</v>
      </c>
      <c r="BF501" s="7">
        <f t="shared" si="2751"/>
        <v>196392.21999999954</v>
      </c>
      <c r="BG501" s="236">
        <f t="shared" si="2503"/>
        <v>4430.4752799999915</v>
      </c>
      <c r="BH501" s="7">
        <v>832.17</v>
      </c>
      <c r="BI501" s="39">
        <f>BH501*12</f>
        <v>9986.0399999999991</v>
      </c>
      <c r="BJ501" s="7">
        <f t="shared" ref="BJ501:BJ508" si="2752">BF501-BH501</f>
        <v>195560.04999999952</v>
      </c>
      <c r="BK501" s="7">
        <f t="shared" ref="BK501:BK508" si="2753">BJ501-$L501</f>
        <v>194727.87999999951</v>
      </c>
      <c r="BL501" s="7">
        <f t="shared" ref="BL501:BL508" si="2754">BK501-$L501</f>
        <v>193895.7099999995</v>
      </c>
      <c r="BM501" s="7">
        <f t="shared" ref="BM501:BM508" si="2755">BL501-$L501</f>
        <v>193063.53999999948</v>
      </c>
      <c r="BN501" s="7">
        <f t="shared" ref="BN501:BN508" si="2756">BM501-$L501</f>
        <v>192231.36999999947</v>
      </c>
      <c r="BO501" s="7">
        <f t="shared" ref="BO501:BO508" si="2757">BN501-$L501</f>
        <v>191399.19999999946</v>
      </c>
      <c r="BP501" s="7">
        <f t="shared" ref="BP501:BP508" si="2758">BO501-$L501</f>
        <v>190567.02999999945</v>
      </c>
      <c r="BQ501" s="7">
        <f t="shared" ref="BQ501:BQ508" si="2759">BP501-$L501</f>
        <v>189734.85999999943</v>
      </c>
      <c r="BR501" s="7">
        <f t="shared" ref="BR501:BR508" si="2760">BQ501-$L501</f>
        <v>188902.68999999942</v>
      </c>
      <c r="BS501" s="7">
        <f t="shared" ref="BS501:BS508" si="2761">BR501-$L501</f>
        <v>188070.51999999941</v>
      </c>
      <c r="BT501" s="7">
        <f t="shared" ref="BT501:BT508" si="2762">BS501-$L501</f>
        <v>187238.34999999939</v>
      </c>
      <c r="BU501" s="7">
        <f t="shared" ref="BU501:BU508" si="2763">BT501-$L501</f>
        <v>186406.17999999938</v>
      </c>
      <c r="BV501" s="236">
        <f t="shared" si="2708"/>
        <v>4210.7823999999882</v>
      </c>
      <c r="BW501" s="7">
        <v>832.17</v>
      </c>
      <c r="BX501" s="39">
        <f>BW501*12</f>
        <v>9986.0399999999991</v>
      </c>
      <c r="BY501" s="7">
        <f t="shared" ref="BY501:BY508" si="2764">BU501-BW501</f>
        <v>185574.00999999937</v>
      </c>
      <c r="BZ501" s="7">
        <f t="shared" ref="BZ501:BZ508" si="2765">BY501-$L501</f>
        <v>184741.83999999936</v>
      </c>
      <c r="CA501" s="7">
        <f t="shared" ref="CA501:CA508" si="2766">BZ501-$L501</f>
        <v>183909.66999999934</v>
      </c>
      <c r="CB501" s="7">
        <f t="shared" ref="CB501:CB508" si="2767">CA501-$L501</f>
        <v>183077.49999999933</v>
      </c>
      <c r="CC501" s="7">
        <f t="shared" ref="CC501:CC508" si="2768">CB501-$L501</f>
        <v>182245.32999999932</v>
      </c>
      <c r="CD501" s="7">
        <f t="shared" ref="CD501:CD508" si="2769">CC501-$L501</f>
        <v>181413.15999999931</v>
      </c>
      <c r="CE501" s="7">
        <f t="shared" ref="CE501:CE508" si="2770">CD501-$L501</f>
        <v>180580.98999999929</v>
      </c>
      <c r="CF501" s="7">
        <f t="shared" ref="CF501:CF508" si="2771">CE501-$L501</f>
        <v>179748.81999999928</v>
      </c>
      <c r="CG501" s="7">
        <f t="shared" ref="CG501:CG508" si="2772">CF501-$L501</f>
        <v>178916.64999999927</v>
      </c>
      <c r="CH501" s="7">
        <f t="shared" ref="CH501:CH508" si="2773">CG501-$L501</f>
        <v>178084.47999999925</v>
      </c>
      <c r="CI501" s="7">
        <f t="shared" ref="CI501:CI508" si="2774">CH501-$L501</f>
        <v>177252.30999999924</v>
      </c>
      <c r="CJ501" s="7">
        <f t="shared" ref="CJ501:CJ508" si="2775">CI501-$L501</f>
        <v>176420.13999999923</v>
      </c>
      <c r="CK501" s="236">
        <f t="shared" si="2709"/>
        <v>3991.0895199999836</v>
      </c>
      <c r="CL501" s="7">
        <v>832.17</v>
      </c>
      <c r="CM501" s="39">
        <f>CL501*12</f>
        <v>9986.0399999999991</v>
      </c>
      <c r="CN501" s="7">
        <f>CJ501-CL501</f>
        <v>175587.96999999922</v>
      </c>
      <c r="CO501" s="7">
        <f t="shared" ref="CO501:CO508" si="2776">CN501-$L501</f>
        <v>174755.7999999992</v>
      </c>
      <c r="CP501" s="7">
        <f t="shared" ref="CP501:CP508" si="2777">CO501-$L501</f>
        <v>173923.62999999919</v>
      </c>
      <c r="CQ501" s="7">
        <f t="shared" ref="CQ501:CQ508" si="2778">CP501-$L501</f>
        <v>173091.45999999918</v>
      </c>
      <c r="CR501" s="7">
        <f t="shared" ref="CR501:CR508" si="2779">CQ501-$L501</f>
        <v>172259.28999999916</v>
      </c>
      <c r="CS501" s="7">
        <f t="shared" ref="CS501:CS508" si="2780">CR501-$L501</f>
        <v>171427.11999999915</v>
      </c>
      <c r="CT501" s="7">
        <f t="shared" ref="CT501:CT508" si="2781">CS501-$L501</f>
        <v>170594.94999999914</v>
      </c>
      <c r="CU501" s="7">
        <f t="shared" ref="CU501:CU508" si="2782">CT501-$L501</f>
        <v>169762.77999999913</v>
      </c>
      <c r="CV501" s="7">
        <f t="shared" ref="CV501:CV508" si="2783">CU501-$L501</f>
        <v>168930.60999999911</v>
      </c>
      <c r="CW501" s="7">
        <f t="shared" ref="CW501:CW508" si="2784">CV501-$L501</f>
        <v>168098.4399999991</v>
      </c>
      <c r="CX501" s="7">
        <f t="shared" ref="CX501:CX508" si="2785">CW501-$L501</f>
        <v>167266.26999999909</v>
      </c>
      <c r="CY501" s="7">
        <f t="shared" ref="CY501:CY508" si="2786">CX501-$L501</f>
        <v>166434.09999999907</v>
      </c>
      <c r="CZ501" s="236">
        <f t="shared" si="2710"/>
        <v>3771.3966399999813</v>
      </c>
    </row>
    <row r="502" spans="1:104" ht="45" x14ac:dyDescent="0.2">
      <c r="A502" s="6" t="str">
        <f>'[1]2021 УГРЦТ'!A505</f>
        <v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v>
      </c>
      <c r="B502" t="str">
        <f>'[1]2021 УГРЦТ'!B505</f>
        <v>000001755</v>
      </c>
      <c r="C502" t="str">
        <f>'[1]2021 УГРЦТ'!C505</f>
        <v>ПЕРЕДАЧА</v>
      </c>
      <c r="D502" t="str">
        <f>'[1]2021 УГРЦТ'!D505</f>
        <v>Сооружения</v>
      </c>
      <c r="E502" t="str">
        <f>'[1]2021 УГРЦТ'!E505</f>
        <v>17.01.2019</v>
      </c>
      <c r="F502" t="str">
        <f>'[1]2021 УГРЦТ'!F505</f>
        <v>Цех электрических сетей</v>
      </c>
      <c r="G502">
        <f>'[1]2021 УГРЦТ'!AC505</f>
        <v>360</v>
      </c>
      <c r="H502" s="7">
        <f>'[1]2021 УГРЦТ'!X505</f>
        <v>3348756.37</v>
      </c>
      <c r="I502" s="7">
        <f>'[1]2021 УГРЦТ'!Y505</f>
        <v>325573.51233333338</v>
      </c>
      <c r="J502" s="7">
        <f>'[1]2021 УГРЦТ'!Z505</f>
        <v>3023182.8576666666</v>
      </c>
      <c r="K502" s="8">
        <v>1</v>
      </c>
      <c r="L502" s="7">
        <v>9302.1000000000022</v>
      </c>
      <c r="M502" s="7"/>
      <c r="N502" s="7">
        <f t="shared" si="2674"/>
        <v>111625.20000000003</v>
      </c>
      <c r="O502" s="7">
        <f t="shared" si="2504"/>
        <v>3013880.7576666665</v>
      </c>
      <c r="P502" s="7">
        <f t="shared" si="2711"/>
        <v>3004578.6576666664</v>
      </c>
      <c r="Q502" s="7">
        <f t="shared" si="2711"/>
        <v>2995276.5576666663</v>
      </c>
      <c r="R502" s="7">
        <f t="shared" si="2711"/>
        <v>2985974.4576666662</v>
      </c>
      <c r="S502" s="7">
        <f t="shared" si="2711"/>
        <v>2976672.3576666662</v>
      </c>
      <c r="T502" s="7">
        <f t="shared" si="2711"/>
        <v>2967370.2576666661</v>
      </c>
      <c r="U502" s="7">
        <f t="shared" si="2711"/>
        <v>2958068.157666666</v>
      </c>
      <c r="V502" s="7">
        <f t="shared" si="2711"/>
        <v>2948766.0576666659</v>
      </c>
      <c r="W502" s="7">
        <f t="shared" si="2711"/>
        <v>2939463.9576666658</v>
      </c>
      <c r="X502" s="7">
        <f t="shared" si="2711"/>
        <v>2930161.8576666657</v>
      </c>
      <c r="Y502" s="7">
        <f t="shared" si="2711"/>
        <v>2920859.7576666656</v>
      </c>
      <c r="Z502" s="7">
        <f t="shared" si="2711"/>
        <v>2911557.6576666655</v>
      </c>
      <c r="AA502" s="7">
        <f t="shared" si="2712"/>
        <v>65282.145668666642</v>
      </c>
      <c r="AB502" s="7"/>
      <c r="AC502" s="7">
        <f t="shared" si="2505"/>
        <v>111625.20000000003</v>
      </c>
      <c r="AD502" s="7">
        <f t="shared" si="2506"/>
        <v>2902255.5576666654</v>
      </c>
      <c r="AE502" s="7">
        <f t="shared" si="2749"/>
        <v>2892953.4576666653</v>
      </c>
      <c r="AF502" s="7">
        <f t="shared" si="2749"/>
        <v>2883651.3576666652</v>
      </c>
      <c r="AG502" s="7">
        <f t="shared" si="2749"/>
        <v>2874349.2576666651</v>
      </c>
      <c r="AH502" s="7">
        <f t="shared" si="2749"/>
        <v>2865047.157666665</v>
      </c>
      <c r="AI502" s="7">
        <f t="shared" si="2749"/>
        <v>2855745.0576666649</v>
      </c>
      <c r="AJ502" s="7">
        <f t="shared" si="2749"/>
        <v>2846442.9576666648</v>
      </c>
      <c r="AK502" s="7">
        <f t="shared" si="2749"/>
        <v>2837140.8576666648</v>
      </c>
      <c r="AL502" s="7">
        <f t="shared" si="2749"/>
        <v>2827838.7576666647</v>
      </c>
      <c r="AM502" s="7">
        <f t="shared" si="2749"/>
        <v>2818536.6576666646</v>
      </c>
      <c r="AN502" s="7">
        <f t="shared" si="2749"/>
        <v>2809234.5576666645</v>
      </c>
      <c r="AO502" s="7">
        <f t="shared" si="2749"/>
        <v>2799932.4576666644</v>
      </c>
      <c r="AP502" s="222">
        <f>IF(K502&lt;1,0,SUM(AD502:AO502,Z502)/13*$BG$1)</f>
        <v>62826.391268666623</v>
      </c>
      <c r="AQ502" s="7">
        <v>9302.1000000000022</v>
      </c>
      <c r="AR502" s="7">
        <f t="shared" si="2507"/>
        <v>9302.1000000000931</v>
      </c>
      <c r="AS502" s="7">
        <f t="shared" si="2508"/>
        <v>9.0949470177292824E-11</v>
      </c>
      <c r="AT502" s="7">
        <f t="shared" si="2750"/>
        <v>111625.20000000003</v>
      </c>
      <c r="AU502" s="7">
        <f>AO502-$L502</f>
        <v>2790630.3576666643</v>
      </c>
      <c r="AV502" s="7">
        <f t="shared" si="2751"/>
        <v>2781328.2576666642</v>
      </c>
      <c r="AW502" s="7">
        <f t="shared" si="2751"/>
        <v>2772026.1576666641</v>
      </c>
      <c r="AX502" s="7">
        <f t="shared" si="2751"/>
        <v>2762724.057666664</v>
      </c>
      <c r="AY502" s="7">
        <f t="shared" si="2751"/>
        <v>2753421.9576666639</v>
      </c>
      <c r="AZ502" s="7">
        <f t="shared" si="2751"/>
        <v>2744119.8576666638</v>
      </c>
      <c r="BA502" s="7">
        <f t="shared" si="2751"/>
        <v>2734817.7576666637</v>
      </c>
      <c r="BB502" s="7">
        <f t="shared" si="2751"/>
        <v>2725515.6576666636</v>
      </c>
      <c r="BC502" s="7">
        <f t="shared" si="2751"/>
        <v>2716213.5576666635</v>
      </c>
      <c r="BD502" s="7">
        <f t="shared" si="2751"/>
        <v>2706911.4576666635</v>
      </c>
      <c r="BE502" s="7">
        <f t="shared" si="2751"/>
        <v>2697609.3576666634</v>
      </c>
      <c r="BF502" s="7">
        <f t="shared" si="2751"/>
        <v>2688307.2576666633</v>
      </c>
      <c r="BG502" s="236">
        <f t="shared" si="2503"/>
        <v>60370.636868666603</v>
      </c>
      <c r="BH502" s="7">
        <v>9302.1000000000022</v>
      </c>
      <c r="BI502" s="39">
        <f>BH502*12</f>
        <v>111625.20000000003</v>
      </c>
      <c r="BJ502" s="7">
        <f t="shared" si="2752"/>
        <v>2679005.1576666632</v>
      </c>
      <c r="BK502" s="7">
        <f t="shared" si="2753"/>
        <v>2669703.0576666631</v>
      </c>
      <c r="BL502" s="7">
        <f t="shared" si="2754"/>
        <v>2660400.957666663</v>
      </c>
      <c r="BM502" s="7">
        <f t="shared" si="2755"/>
        <v>2651098.8576666629</v>
      </c>
      <c r="BN502" s="7">
        <f t="shared" si="2756"/>
        <v>2641796.7576666628</v>
      </c>
      <c r="BO502" s="7">
        <f t="shared" si="2757"/>
        <v>2632494.6576666627</v>
      </c>
      <c r="BP502" s="7">
        <f t="shared" si="2758"/>
        <v>2623192.5576666626</v>
      </c>
      <c r="BQ502" s="7">
        <f t="shared" si="2759"/>
        <v>2613890.4576666625</v>
      </c>
      <c r="BR502" s="7">
        <f t="shared" si="2760"/>
        <v>2604588.3576666624</v>
      </c>
      <c r="BS502" s="7">
        <f t="shared" si="2761"/>
        <v>2595286.2576666623</v>
      </c>
      <c r="BT502" s="7">
        <f t="shared" si="2762"/>
        <v>2585984.1576666622</v>
      </c>
      <c r="BU502" s="7">
        <f t="shared" si="2763"/>
        <v>2576682.0576666621</v>
      </c>
      <c r="BV502" s="236">
        <f t="shared" si="2708"/>
        <v>57914.882468666576</v>
      </c>
      <c r="BW502" s="7">
        <v>9302.1000000000022</v>
      </c>
      <c r="BX502" s="39">
        <f>BW502*12</f>
        <v>111625.20000000003</v>
      </c>
      <c r="BY502" s="7">
        <f t="shared" si="2764"/>
        <v>2567379.9576666621</v>
      </c>
      <c r="BZ502" s="7">
        <f t="shared" si="2765"/>
        <v>2558077.857666662</v>
      </c>
      <c r="CA502" s="7">
        <f t="shared" si="2766"/>
        <v>2548775.7576666619</v>
      </c>
      <c r="CB502" s="7">
        <f t="shared" si="2767"/>
        <v>2539473.6576666618</v>
      </c>
      <c r="CC502" s="7">
        <f t="shared" si="2768"/>
        <v>2530171.5576666617</v>
      </c>
      <c r="CD502" s="7">
        <f t="shared" si="2769"/>
        <v>2520869.4576666616</v>
      </c>
      <c r="CE502" s="7">
        <f t="shared" si="2770"/>
        <v>2511567.3576666615</v>
      </c>
      <c r="CF502" s="7">
        <f t="shared" si="2771"/>
        <v>2502265.2576666614</v>
      </c>
      <c r="CG502" s="7">
        <f t="shared" si="2772"/>
        <v>2492963.1576666613</v>
      </c>
      <c r="CH502" s="7">
        <f t="shared" si="2773"/>
        <v>2483661.0576666612</v>
      </c>
      <c r="CI502" s="7">
        <f t="shared" si="2774"/>
        <v>2474358.9576666611</v>
      </c>
      <c r="CJ502" s="7">
        <f t="shared" si="2775"/>
        <v>2465056.857666661</v>
      </c>
      <c r="CK502" s="236">
        <f t="shared" si="2709"/>
        <v>55459.128068666549</v>
      </c>
      <c r="CL502" s="7">
        <v>9302.1000000000022</v>
      </c>
      <c r="CM502" s="39">
        <f>CL502*12</f>
        <v>111625.20000000003</v>
      </c>
      <c r="CN502" s="7">
        <f>CJ502-CL502</f>
        <v>2455754.7576666609</v>
      </c>
      <c r="CO502" s="7">
        <f t="shared" si="2776"/>
        <v>2446452.6576666608</v>
      </c>
      <c r="CP502" s="7">
        <f t="shared" si="2777"/>
        <v>2437150.5576666608</v>
      </c>
      <c r="CQ502" s="7">
        <f t="shared" si="2778"/>
        <v>2427848.4576666607</v>
      </c>
      <c r="CR502" s="7">
        <f t="shared" si="2779"/>
        <v>2418546.3576666606</v>
      </c>
      <c r="CS502" s="7">
        <f t="shared" si="2780"/>
        <v>2409244.2576666605</v>
      </c>
      <c r="CT502" s="7">
        <f t="shared" si="2781"/>
        <v>2399942.1576666604</v>
      </c>
      <c r="CU502" s="7">
        <f t="shared" si="2782"/>
        <v>2390640.0576666603</v>
      </c>
      <c r="CV502" s="7">
        <f t="shared" si="2783"/>
        <v>2381337.9576666602</v>
      </c>
      <c r="CW502" s="7">
        <f t="shared" si="2784"/>
        <v>2372035.8576666601</v>
      </c>
      <c r="CX502" s="7">
        <f t="shared" si="2785"/>
        <v>2362733.75766666</v>
      </c>
      <c r="CY502" s="7">
        <f t="shared" si="2786"/>
        <v>2353431.6576666599</v>
      </c>
      <c r="CZ502" s="236">
        <f t="shared" si="2710"/>
        <v>53003.373668666529</v>
      </c>
    </row>
    <row r="503" spans="1:104" ht="33.75" x14ac:dyDescent="0.2">
      <c r="A503" s="6" t="str">
        <f>'[1]2021 УГРЦТ'!A507</f>
        <v>Электроснабжение земельных участков, предоставленных многодетным семьям под жилищное строительство в пос. Искателей в Ненецком автономном округе</v>
      </c>
      <c r="B503" t="str">
        <f>'[1]2021 УГРЦТ'!B507</f>
        <v>000001702</v>
      </c>
      <c r="C503" t="str">
        <f>'[1]2021 УГРЦТ'!C507</f>
        <v>ПЕРЕДАЧА</v>
      </c>
      <c r="D503" t="str">
        <f>'[1]2021 УГРЦТ'!D507</f>
        <v>Сооружения</v>
      </c>
      <c r="E503" t="str">
        <f>'[1]2021 УГРЦТ'!E507</f>
        <v>19.04.2017</v>
      </c>
      <c r="F503" t="str">
        <f>'[1]2021 УГРЦТ'!F507</f>
        <v>Цех электрических сетей</v>
      </c>
      <c r="G503">
        <f>'[1]2021 УГРЦТ'!AC507</f>
        <v>480</v>
      </c>
      <c r="H503" s="7">
        <f>'[1]2021 УГРЦТ'!X507</f>
        <v>4978729.8</v>
      </c>
      <c r="I503" s="7">
        <f>'[1]2021 УГРЦТ'!Y507</f>
        <v>580851.64500000002</v>
      </c>
      <c r="J503" s="7">
        <f>'[1]2021 УГРЦТ'!Z507</f>
        <v>4397878.1549999993</v>
      </c>
      <c r="K503" s="8">
        <v>1</v>
      </c>
      <c r="L503" s="7">
        <v>10372.350000000002</v>
      </c>
      <c r="M503" s="7"/>
      <c r="N503" s="7">
        <f t="shared" si="2674"/>
        <v>124468.20000000003</v>
      </c>
      <c r="O503" s="7">
        <f t="shared" si="2504"/>
        <v>4387505.8049999997</v>
      </c>
      <c r="P503" s="7">
        <f t="shared" si="2711"/>
        <v>4377133.4550000001</v>
      </c>
      <c r="Q503" s="7">
        <f t="shared" si="2711"/>
        <v>4366761.1050000004</v>
      </c>
      <c r="R503" s="7">
        <f t="shared" si="2711"/>
        <v>4356388.7550000008</v>
      </c>
      <c r="S503" s="7">
        <f t="shared" si="2711"/>
        <v>4346016.4050000012</v>
      </c>
      <c r="T503" s="7">
        <f t="shared" si="2711"/>
        <v>4335644.0550000016</v>
      </c>
      <c r="U503" s="7">
        <f t="shared" si="2711"/>
        <v>4325271.7050000019</v>
      </c>
      <c r="V503" s="7">
        <f t="shared" si="2711"/>
        <v>4314899.3550000023</v>
      </c>
      <c r="W503" s="7">
        <f t="shared" si="2711"/>
        <v>4304527.0050000027</v>
      </c>
      <c r="X503" s="7">
        <f t="shared" si="2711"/>
        <v>4294154.6550000031</v>
      </c>
      <c r="Y503" s="7">
        <f t="shared" si="2711"/>
        <v>4283782.3050000034</v>
      </c>
      <c r="Z503" s="7">
        <f t="shared" si="2711"/>
        <v>4273409.9550000038</v>
      </c>
      <c r="AA503" s="7">
        <f t="shared" ref="AA503:AA504" si="2787">SUM(O503:Z503,J503)/13*$AA$1</f>
        <v>95384.169210000022</v>
      </c>
      <c r="AB503" s="7"/>
      <c r="AC503" s="7">
        <f t="shared" si="2505"/>
        <v>124468.20000000003</v>
      </c>
      <c r="AD503" s="7">
        <f t="shared" si="2506"/>
        <v>4263037.6050000042</v>
      </c>
      <c r="AE503" s="7">
        <f t="shared" si="2749"/>
        <v>4252665.2550000045</v>
      </c>
      <c r="AF503" s="7">
        <f t="shared" si="2749"/>
        <v>4242292.9050000049</v>
      </c>
      <c r="AG503" s="7">
        <f t="shared" si="2749"/>
        <v>4231920.5550000053</v>
      </c>
      <c r="AH503" s="7">
        <f t="shared" si="2749"/>
        <v>4221548.2050000057</v>
      </c>
      <c r="AI503" s="7">
        <f t="shared" si="2749"/>
        <v>4211175.855000006</v>
      </c>
      <c r="AJ503" s="7">
        <f t="shared" si="2749"/>
        <v>4200803.5050000064</v>
      </c>
      <c r="AK503" s="7">
        <f t="shared" si="2749"/>
        <v>4190431.1550000063</v>
      </c>
      <c r="AL503" s="7">
        <f t="shared" si="2749"/>
        <v>4180058.8050000062</v>
      </c>
      <c r="AM503" s="7">
        <f t="shared" si="2749"/>
        <v>4169686.4550000061</v>
      </c>
      <c r="AN503" s="7">
        <f t="shared" si="2749"/>
        <v>4159314.105000006</v>
      </c>
      <c r="AO503" s="7">
        <f t="shared" si="2749"/>
        <v>4148941.7550000059</v>
      </c>
      <c r="AP503" s="222">
        <f>IF(K503&lt;1,0,SUM(AD503:AO503,Z503)/13*$BG$1)</f>
        <v>92645.868810000102</v>
      </c>
      <c r="AQ503" s="7">
        <v>10372.350000000002</v>
      </c>
      <c r="AR503" s="7">
        <f t="shared" si="2507"/>
        <v>10372.350000000093</v>
      </c>
      <c r="AS503" s="7">
        <f t="shared" si="2508"/>
        <v>9.0949470177292824E-11</v>
      </c>
      <c r="AT503" s="7">
        <f>AQ503*12</f>
        <v>124468.20000000003</v>
      </c>
      <c r="AU503" s="7">
        <f>AO503-$L503</f>
        <v>4138569.4050000058</v>
      </c>
      <c r="AV503" s="7">
        <f t="shared" ref="AV503:BF508" si="2788">AU503-$L503</f>
        <v>4128197.0550000058</v>
      </c>
      <c r="AW503" s="7">
        <f t="shared" si="2788"/>
        <v>4117824.7050000057</v>
      </c>
      <c r="AX503" s="7">
        <f t="shared" si="2788"/>
        <v>4107452.3550000056</v>
      </c>
      <c r="AY503" s="7">
        <f t="shared" si="2788"/>
        <v>4097080.0050000055</v>
      </c>
      <c r="AZ503" s="7">
        <f t="shared" si="2788"/>
        <v>4086707.6550000054</v>
      </c>
      <c r="BA503" s="7">
        <f t="shared" si="2788"/>
        <v>4076335.3050000053</v>
      </c>
      <c r="BB503" s="7">
        <f t="shared" si="2788"/>
        <v>4065962.9550000052</v>
      </c>
      <c r="BC503" s="7">
        <f t="shared" si="2788"/>
        <v>4055590.6050000051</v>
      </c>
      <c r="BD503" s="7">
        <f t="shared" si="2788"/>
        <v>4045218.255000005</v>
      </c>
      <c r="BE503" s="7">
        <f t="shared" si="2788"/>
        <v>4034845.9050000049</v>
      </c>
      <c r="BF503" s="7">
        <f t="shared" si="2788"/>
        <v>4024473.5550000048</v>
      </c>
      <c r="BG503" s="236">
        <f t="shared" si="2503"/>
        <v>89907.568410000109</v>
      </c>
      <c r="BH503" s="7">
        <v>10372.350000000002</v>
      </c>
      <c r="BI503" s="39">
        <f>BH503*12</f>
        <v>124468.20000000003</v>
      </c>
      <c r="BJ503" s="7">
        <f t="shared" si="2752"/>
        <v>4014101.2050000047</v>
      </c>
      <c r="BK503" s="7">
        <f t="shared" si="2753"/>
        <v>4003728.8550000046</v>
      </c>
      <c r="BL503" s="7">
        <f t="shared" si="2754"/>
        <v>3993356.5050000045</v>
      </c>
      <c r="BM503" s="7">
        <f t="shared" si="2755"/>
        <v>3982984.1550000045</v>
      </c>
      <c r="BN503" s="7">
        <f t="shared" si="2756"/>
        <v>3972611.8050000044</v>
      </c>
      <c r="BO503" s="7">
        <f t="shared" si="2757"/>
        <v>3962239.4550000043</v>
      </c>
      <c r="BP503" s="7">
        <f t="shared" si="2758"/>
        <v>3951867.1050000042</v>
      </c>
      <c r="BQ503" s="7">
        <f t="shared" si="2759"/>
        <v>3941494.7550000041</v>
      </c>
      <c r="BR503" s="7">
        <f t="shared" si="2760"/>
        <v>3931122.405000004</v>
      </c>
      <c r="BS503" s="7">
        <f t="shared" si="2761"/>
        <v>3920750.0550000039</v>
      </c>
      <c r="BT503" s="7">
        <f t="shared" si="2762"/>
        <v>3910377.7050000038</v>
      </c>
      <c r="BU503" s="7">
        <f t="shared" si="2763"/>
        <v>3900005.3550000037</v>
      </c>
      <c r="BV503" s="236">
        <f t="shared" si="2708"/>
        <v>87169.268010000116</v>
      </c>
      <c r="BW503" s="7">
        <v>10372.350000000002</v>
      </c>
      <c r="BX503" s="39">
        <f>BW503*12</f>
        <v>124468.20000000003</v>
      </c>
      <c r="BY503" s="7">
        <f t="shared" si="2764"/>
        <v>3889633.0050000036</v>
      </c>
      <c r="BZ503" s="7">
        <f t="shared" si="2765"/>
        <v>3879260.6550000035</v>
      </c>
      <c r="CA503" s="7">
        <f t="shared" si="2766"/>
        <v>3868888.3050000034</v>
      </c>
      <c r="CB503" s="7">
        <f t="shared" si="2767"/>
        <v>3858515.9550000033</v>
      </c>
      <c r="CC503" s="7">
        <f t="shared" si="2768"/>
        <v>3848143.6050000032</v>
      </c>
      <c r="CD503" s="7">
        <f t="shared" si="2769"/>
        <v>3837771.2550000031</v>
      </c>
      <c r="CE503" s="7">
        <f t="shared" si="2770"/>
        <v>3827398.9050000031</v>
      </c>
      <c r="CF503" s="7">
        <f t="shared" si="2771"/>
        <v>3817026.555000003</v>
      </c>
      <c r="CG503" s="7">
        <f t="shared" si="2772"/>
        <v>3806654.2050000029</v>
      </c>
      <c r="CH503" s="7">
        <f t="shared" si="2773"/>
        <v>3796281.8550000028</v>
      </c>
      <c r="CI503" s="7">
        <f t="shared" si="2774"/>
        <v>3785909.5050000027</v>
      </c>
      <c r="CJ503" s="7">
        <f t="shared" si="2775"/>
        <v>3775537.1550000026</v>
      </c>
      <c r="CK503" s="236">
        <f t="shared" si="2709"/>
        <v>84430.967610000065</v>
      </c>
      <c r="CL503" s="7">
        <v>10372.350000000002</v>
      </c>
      <c r="CM503" s="39">
        <f>CL503*12</f>
        <v>124468.20000000003</v>
      </c>
      <c r="CN503" s="7">
        <f>CJ503-CL503</f>
        <v>3765164.8050000025</v>
      </c>
      <c r="CO503" s="7">
        <f t="shared" si="2776"/>
        <v>3754792.4550000024</v>
      </c>
      <c r="CP503" s="7">
        <f t="shared" si="2777"/>
        <v>3744420.1050000023</v>
      </c>
      <c r="CQ503" s="7">
        <f t="shared" si="2778"/>
        <v>3734047.7550000022</v>
      </c>
      <c r="CR503" s="7">
        <f t="shared" si="2779"/>
        <v>3723675.4050000021</v>
      </c>
      <c r="CS503" s="7">
        <f t="shared" si="2780"/>
        <v>3713303.055000002</v>
      </c>
      <c r="CT503" s="7">
        <f t="shared" si="2781"/>
        <v>3702930.7050000019</v>
      </c>
      <c r="CU503" s="7">
        <f t="shared" si="2782"/>
        <v>3692558.3550000018</v>
      </c>
      <c r="CV503" s="7">
        <f t="shared" si="2783"/>
        <v>3682186.0050000018</v>
      </c>
      <c r="CW503" s="7">
        <f t="shared" si="2784"/>
        <v>3671813.6550000017</v>
      </c>
      <c r="CX503" s="7">
        <f t="shared" si="2785"/>
        <v>3661441.3050000016</v>
      </c>
      <c r="CY503" s="7">
        <f t="shared" si="2786"/>
        <v>3651068.9550000015</v>
      </c>
      <c r="CZ503" s="236">
        <f t="shared" si="2710"/>
        <v>81692.667210000043</v>
      </c>
    </row>
    <row r="504" spans="1:104" x14ac:dyDescent="0.2">
      <c r="A504" s="6" t="str">
        <f>'[1]2021 УГРЦТ'!A508</f>
        <v>Электроснабжение. Наружные сети (ул. Авиаторов)</v>
      </c>
      <c r="B504" t="str">
        <f>'[1]2021 УГРЦТ'!B508</f>
        <v>000001677</v>
      </c>
      <c r="C504" t="str">
        <f>'[1]2021 УГРЦТ'!C508</f>
        <v>ПЕРЕДАЧА</v>
      </c>
      <c r="D504" t="str">
        <f>'[1]2021 УГРЦТ'!D508</f>
        <v>Сооружения</v>
      </c>
      <c r="E504" t="str">
        <f>'[1]2021 УГРЦТ'!E508</f>
        <v>20.01.2016</v>
      </c>
      <c r="F504" t="str">
        <f>'[1]2021 УГРЦТ'!F508</f>
        <v>Цех электрических сетей</v>
      </c>
      <c r="G504">
        <f>'[1]2021 УГРЦТ'!AC508</f>
        <v>180</v>
      </c>
      <c r="H504" s="7">
        <f>'[1]2021 УГРЦТ'!X508</f>
        <v>426874.44</v>
      </c>
      <c r="I504" s="7">
        <f>'[1]2021 УГРЦТ'!Y508</f>
        <v>168377.976</v>
      </c>
      <c r="J504" s="7">
        <f>'[1]2021 УГРЦТ'!Z508</f>
        <v>258496.46400000001</v>
      </c>
      <c r="K504" s="8">
        <v>1</v>
      </c>
      <c r="L504" s="7">
        <v>2371.5300000000002</v>
      </c>
      <c r="M504" s="7"/>
      <c r="N504" s="7">
        <f t="shared" si="2674"/>
        <v>28458.36</v>
      </c>
      <c r="O504" s="7">
        <f t="shared" si="2504"/>
        <v>256124.93400000001</v>
      </c>
      <c r="P504" s="7">
        <f t="shared" si="2711"/>
        <v>253753.40400000001</v>
      </c>
      <c r="Q504" s="7">
        <f t="shared" si="2711"/>
        <v>251381.87400000001</v>
      </c>
      <c r="R504" s="7">
        <f t="shared" si="2711"/>
        <v>249010.34400000001</v>
      </c>
      <c r="S504" s="7">
        <f t="shared" si="2711"/>
        <v>246638.81400000001</v>
      </c>
      <c r="T504" s="7">
        <f t="shared" si="2711"/>
        <v>244267.28400000001</v>
      </c>
      <c r="U504" s="7">
        <f t="shared" si="2711"/>
        <v>241895.75400000002</v>
      </c>
      <c r="V504" s="7">
        <f t="shared" si="2711"/>
        <v>239524.22400000002</v>
      </c>
      <c r="W504" s="7">
        <f t="shared" si="2711"/>
        <v>237152.69400000002</v>
      </c>
      <c r="X504" s="7">
        <f t="shared" si="2711"/>
        <v>234781.16400000002</v>
      </c>
      <c r="Y504" s="7">
        <f t="shared" si="2711"/>
        <v>232409.63400000002</v>
      </c>
      <c r="Z504" s="7">
        <f t="shared" si="2711"/>
        <v>230038.10400000002</v>
      </c>
      <c r="AA504" s="7">
        <f t="shared" si="2787"/>
        <v>5373.8802479999995</v>
      </c>
      <c r="AB504" s="7"/>
      <c r="AC504" s="7">
        <f t="shared" si="2505"/>
        <v>28458.36</v>
      </c>
      <c r="AD504" s="7">
        <f t="shared" si="2506"/>
        <v>227666.57400000002</v>
      </c>
      <c r="AE504" s="7">
        <f t="shared" si="2749"/>
        <v>225295.04400000002</v>
      </c>
      <c r="AF504" s="7">
        <f t="shared" si="2749"/>
        <v>222923.51400000002</v>
      </c>
      <c r="AG504" s="7">
        <f t="shared" si="2749"/>
        <v>220551.98400000003</v>
      </c>
      <c r="AH504" s="7">
        <f t="shared" si="2749"/>
        <v>218180.45400000003</v>
      </c>
      <c r="AI504" s="7">
        <f t="shared" si="2749"/>
        <v>215808.92400000003</v>
      </c>
      <c r="AJ504" s="7">
        <f t="shared" si="2749"/>
        <v>213437.39400000003</v>
      </c>
      <c r="AK504" s="7">
        <f t="shared" si="2749"/>
        <v>211065.86400000003</v>
      </c>
      <c r="AL504" s="7">
        <f t="shared" si="2749"/>
        <v>208694.33400000003</v>
      </c>
      <c r="AM504" s="7">
        <f t="shared" si="2749"/>
        <v>206322.80400000003</v>
      </c>
      <c r="AN504" s="7">
        <f t="shared" si="2749"/>
        <v>203951.27400000003</v>
      </c>
      <c r="AO504" s="7">
        <f t="shared" si="2749"/>
        <v>201579.74400000004</v>
      </c>
      <c r="AP504" s="222">
        <f>IF(K504&lt;1,0,SUM(AD504:AO504,Z504)/13*$BG$1)</f>
        <v>4747.7963280000013</v>
      </c>
      <c r="AQ504" s="7">
        <v>2371.5300000000002</v>
      </c>
      <c r="AR504" s="7">
        <f t="shared" si="2507"/>
        <v>2371.5299999999988</v>
      </c>
      <c r="AS504" s="7">
        <f t="shared" si="2508"/>
        <v>0</v>
      </c>
      <c r="AT504" s="7">
        <f>AQ504*12</f>
        <v>28458.36</v>
      </c>
      <c r="AU504" s="7">
        <f>AO504-$L504</f>
        <v>199208.21400000004</v>
      </c>
      <c r="AV504" s="7">
        <f t="shared" si="2788"/>
        <v>196836.68400000004</v>
      </c>
      <c r="AW504" s="7">
        <f t="shared" si="2788"/>
        <v>194465.15400000004</v>
      </c>
      <c r="AX504" s="7">
        <f t="shared" si="2788"/>
        <v>192093.62400000004</v>
      </c>
      <c r="AY504" s="7">
        <f t="shared" si="2788"/>
        <v>189722.09400000004</v>
      </c>
      <c r="AZ504" s="7">
        <f t="shared" si="2788"/>
        <v>187350.56400000004</v>
      </c>
      <c r="BA504" s="7">
        <f t="shared" si="2788"/>
        <v>184979.03400000004</v>
      </c>
      <c r="BB504" s="7">
        <f t="shared" si="2788"/>
        <v>182607.50400000004</v>
      </c>
      <c r="BC504" s="7">
        <f t="shared" si="2788"/>
        <v>180235.97400000005</v>
      </c>
      <c r="BD504" s="7">
        <f t="shared" si="2788"/>
        <v>177864.44400000005</v>
      </c>
      <c r="BE504" s="7">
        <f t="shared" si="2788"/>
        <v>175492.91400000005</v>
      </c>
      <c r="BF504" s="7">
        <f t="shared" si="2788"/>
        <v>173121.38400000005</v>
      </c>
      <c r="BG504" s="236">
        <f t="shared" si="2503"/>
        <v>4121.7124080000003</v>
      </c>
      <c r="BH504" s="7">
        <v>2371.5300000000002</v>
      </c>
      <c r="BI504" s="39">
        <f>BH504*12</f>
        <v>28458.36</v>
      </c>
      <c r="BJ504" s="7">
        <f t="shared" si="2752"/>
        <v>170749.85400000005</v>
      </c>
      <c r="BK504" s="7">
        <f t="shared" si="2753"/>
        <v>168378.32400000005</v>
      </c>
      <c r="BL504" s="7">
        <f t="shared" si="2754"/>
        <v>166006.79400000005</v>
      </c>
      <c r="BM504" s="7">
        <f t="shared" si="2755"/>
        <v>163635.26400000005</v>
      </c>
      <c r="BN504" s="7">
        <f t="shared" si="2756"/>
        <v>161263.73400000005</v>
      </c>
      <c r="BO504" s="7">
        <f t="shared" si="2757"/>
        <v>158892.20400000006</v>
      </c>
      <c r="BP504" s="7">
        <f t="shared" si="2758"/>
        <v>156520.67400000006</v>
      </c>
      <c r="BQ504" s="7">
        <f t="shared" si="2759"/>
        <v>154149.14400000006</v>
      </c>
      <c r="BR504" s="7">
        <f t="shared" si="2760"/>
        <v>151777.61400000006</v>
      </c>
      <c r="BS504" s="7">
        <f t="shared" si="2761"/>
        <v>149406.08400000006</v>
      </c>
      <c r="BT504" s="7">
        <f t="shared" si="2762"/>
        <v>147034.55400000006</v>
      </c>
      <c r="BU504" s="7">
        <f t="shared" si="2763"/>
        <v>144663.02400000006</v>
      </c>
      <c r="BV504" s="236">
        <f t="shared" si="2708"/>
        <v>3495.6284880000003</v>
      </c>
      <c r="BW504" s="7">
        <v>2371.5300000000002</v>
      </c>
      <c r="BX504" s="39">
        <f>BW504*12</f>
        <v>28458.36</v>
      </c>
      <c r="BY504" s="7">
        <f t="shared" si="2764"/>
        <v>142291.49400000006</v>
      </c>
      <c r="BZ504" s="7">
        <f t="shared" si="2765"/>
        <v>139919.96400000007</v>
      </c>
      <c r="CA504" s="7">
        <f t="shared" si="2766"/>
        <v>137548.43400000007</v>
      </c>
      <c r="CB504" s="7">
        <f t="shared" si="2767"/>
        <v>135176.90400000007</v>
      </c>
      <c r="CC504" s="7">
        <f t="shared" si="2768"/>
        <v>132805.37400000007</v>
      </c>
      <c r="CD504" s="7">
        <f t="shared" si="2769"/>
        <v>130433.84400000007</v>
      </c>
      <c r="CE504" s="7">
        <f t="shared" si="2770"/>
        <v>128062.31400000007</v>
      </c>
      <c r="CF504" s="7">
        <f t="shared" si="2771"/>
        <v>125690.78400000007</v>
      </c>
      <c r="CG504" s="7">
        <f t="shared" si="2772"/>
        <v>123319.25400000007</v>
      </c>
      <c r="CH504" s="7">
        <f t="shared" si="2773"/>
        <v>120947.72400000007</v>
      </c>
      <c r="CI504" s="7">
        <f t="shared" si="2774"/>
        <v>118576.19400000008</v>
      </c>
      <c r="CJ504" s="7">
        <f t="shared" si="2775"/>
        <v>116204.66400000008</v>
      </c>
      <c r="CK504" s="236">
        <f t="shared" si="2709"/>
        <v>2869.5445680000012</v>
      </c>
      <c r="CL504" s="7">
        <v>2371.5300000000002</v>
      </c>
      <c r="CM504" s="39">
        <f>CL504*12</f>
        <v>28458.36</v>
      </c>
      <c r="CN504" s="7">
        <f>CJ504-CL504</f>
        <v>113833.13400000008</v>
      </c>
      <c r="CO504" s="7">
        <f t="shared" si="2776"/>
        <v>111461.60400000008</v>
      </c>
      <c r="CP504" s="7">
        <f t="shared" si="2777"/>
        <v>109090.07400000008</v>
      </c>
      <c r="CQ504" s="7">
        <f t="shared" si="2778"/>
        <v>106718.54400000008</v>
      </c>
      <c r="CR504" s="7">
        <f t="shared" si="2779"/>
        <v>104347.01400000008</v>
      </c>
      <c r="CS504" s="7">
        <f t="shared" si="2780"/>
        <v>101975.48400000008</v>
      </c>
      <c r="CT504" s="7">
        <f t="shared" si="2781"/>
        <v>99603.954000000085</v>
      </c>
      <c r="CU504" s="7">
        <f t="shared" si="2782"/>
        <v>97232.424000000086</v>
      </c>
      <c r="CV504" s="7">
        <f t="shared" si="2783"/>
        <v>94860.894000000088</v>
      </c>
      <c r="CW504" s="7">
        <f t="shared" si="2784"/>
        <v>92489.364000000089</v>
      </c>
      <c r="CX504" s="7">
        <f t="shared" si="2785"/>
        <v>90117.83400000009</v>
      </c>
      <c r="CY504" s="7">
        <f t="shared" si="2786"/>
        <v>87746.304000000091</v>
      </c>
      <c r="CZ504" s="236">
        <f t="shared" si="2710"/>
        <v>2243.4606480000016</v>
      </c>
    </row>
    <row r="505" spans="1:104" x14ac:dyDescent="0.2">
      <c r="A505" s="6" t="str">
        <f>'[1]2021 УГРЦТ'!A509</f>
        <v>Энерготестер ПКЭ-А-А 1 К05</v>
      </c>
      <c r="B505" t="str">
        <f>'[1]2021 УГРЦТ'!B509</f>
        <v>000001817</v>
      </c>
      <c r="C505" t="str">
        <f>'[1]2021 УГРЦТ'!C509</f>
        <v>ПЕРЕДАЧА</v>
      </c>
      <c r="D505" t="str">
        <f>'[1]2021 УГРЦТ'!D509</f>
        <v>Машины и оборудование (кроме офисного)</v>
      </c>
      <c r="E505" t="str">
        <f>'[1]2021 УГРЦТ'!E509</f>
        <v>26.06.2020</v>
      </c>
      <c r="F505" t="str">
        <f>'[1]2021 УГРЦТ'!F509</f>
        <v>Цех электрических сетей</v>
      </c>
      <c r="G505">
        <f>'[1]2021 УГРЦТ'!AC509</f>
        <v>120</v>
      </c>
      <c r="H505" s="7">
        <f>'[1]2021 УГРЦТ'!X509</f>
        <v>261646</v>
      </c>
      <c r="I505" s="7">
        <f>'[1]2021 УГРЦТ'!Y509</f>
        <v>39246.87999999999</v>
      </c>
      <c r="J505" s="7">
        <f>'[1]2021 УГРЦТ'!Z509</f>
        <v>222399.12</v>
      </c>
      <c r="K505" s="8">
        <v>0</v>
      </c>
      <c r="L505" s="7">
        <v>2180.3800000000006</v>
      </c>
      <c r="M505" s="7"/>
      <c r="N505" s="7">
        <f t="shared" si="2674"/>
        <v>26164.560000000005</v>
      </c>
      <c r="O505" s="7">
        <f t="shared" si="2504"/>
        <v>220218.74</v>
      </c>
      <c r="P505" s="7">
        <f t="shared" si="2711"/>
        <v>218038.36</v>
      </c>
      <c r="Q505" s="7">
        <f t="shared" si="2711"/>
        <v>215857.97999999998</v>
      </c>
      <c r="R505" s="7">
        <f t="shared" si="2711"/>
        <v>213677.59999999998</v>
      </c>
      <c r="S505" s="7">
        <f t="shared" si="2711"/>
        <v>211497.21999999997</v>
      </c>
      <c r="T505" s="7">
        <f t="shared" si="2711"/>
        <v>209316.83999999997</v>
      </c>
      <c r="U505" s="7">
        <f t="shared" si="2711"/>
        <v>207136.45999999996</v>
      </c>
      <c r="V505" s="7">
        <f t="shared" si="2711"/>
        <v>204956.07999999996</v>
      </c>
      <c r="W505" s="7">
        <f t="shared" si="2711"/>
        <v>202775.69999999995</v>
      </c>
      <c r="X505" s="7">
        <f t="shared" si="2711"/>
        <v>200595.31999999995</v>
      </c>
      <c r="Y505" s="7">
        <f t="shared" si="2711"/>
        <v>198414.93999999994</v>
      </c>
      <c r="Z505" s="7">
        <f t="shared" si="2711"/>
        <v>196234.55999999994</v>
      </c>
      <c r="AA505" s="7"/>
      <c r="AB505" s="7"/>
      <c r="AC505" s="7">
        <f t="shared" si="2505"/>
        <v>26164.560000000005</v>
      </c>
      <c r="AD505" s="7">
        <f t="shared" si="2506"/>
        <v>194054.17999999993</v>
      </c>
      <c r="AE505" s="7">
        <f t="shared" si="2749"/>
        <v>191873.79999999993</v>
      </c>
      <c r="AF505" s="7">
        <f t="shared" si="2749"/>
        <v>189693.41999999993</v>
      </c>
      <c r="AG505" s="7">
        <f t="shared" si="2749"/>
        <v>187513.03999999992</v>
      </c>
      <c r="AH505" s="7">
        <f t="shared" si="2749"/>
        <v>185332.65999999992</v>
      </c>
      <c r="AI505" s="7">
        <f t="shared" si="2749"/>
        <v>183152.27999999991</v>
      </c>
      <c r="AJ505" s="7">
        <f t="shared" si="2749"/>
        <v>180971.89999999991</v>
      </c>
      <c r="AK505" s="7">
        <f t="shared" si="2749"/>
        <v>178791.5199999999</v>
      </c>
      <c r="AL505" s="7">
        <f t="shared" si="2749"/>
        <v>176611.1399999999</v>
      </c>
      <c r="AM505" s="7">
        <f t="shared" si="2749"/>
        <v>174430.75999999989</v>
      </c>
      <c r="AN505" s="7">
        <f t="shared" si="2749"/>
        <v>172250.37999999989</v>
      </c>
      <c r="AO505" s="7">
        <f t="shared" si="2749"/>
        <v>170069.99999999988</v>
      </c>
      <c r="AP505" s="222"/>
      <c r="AQ505" s="7">
        <v>2180.3800000000006</v>
      </c>
      <c r="AR505" s="7">
        <f t="shared" si="2507"/>
        <v>2180.3800000000047</v>
      </c>
      <c r="AS505" s="7">
        <f t="shared" si="2508"/>
        <v>4.0927261579781771E-12</v>
      </c>
      <c r="AT505" s="7">
        <f>AQ505*12</f>
        <v>26164.560000000005</v>
      </c>
      <c r="AU505" s="7">
        <f>AO505-$L505</f>
        <v>167889.61999999988</v>
      </c>
      <c r="AV505" s="7">
        <f t="shared" si="2788"/>
        <v>165709.23999999987</v>
      </c>
      <c r="AW505" s="7">
        <f t="shared" si="2788"/>
        <v>163528.85999999987</v>
      </c>
      <c r="AX505" s="7">
        <f t="shared" si="2788"/>
        <v>161348.47999999986</v>
      </c>
      <c r="AY505" s="7">
        <f t="shared" si="2788"/>
        <v>159168.09999999986</v>
      </c>
      <c r="AZ505" s="7">
        <f t="shared" si="2788"/>
        <v>156987.71999999986</v>
      </c>
      <c r="BA505" s="7">
        <f t="shared" si="2788"/>
        <v>154807.33999999985</v>
      </c>
      <c r="BB505" s="7">
        <f t="shared" si="2788"/>
        <v>152626.95999999985</v>
      </c>
      <c r="BC505" s="7">
        <f t="shared" si="2788"/>
        <v>150446.57999999984</v>
      </c>
      <c r="BD505" s="7">
        <f t="shared" si="2788"/>
        <v>148266.19999999984</v>
      </c>
      <c r="BE505" s="7">
        <f t="shared" si="2788"/>
        <v>146085.81999999983</v>
      </c>
      <c r="BF505" s="7">
        <f t="shared" si="2788"/>
        <v>143905.43999999983</v>
      </c>
      <c r="BG505" s="236">
        <f t="shared" si="2503"/>
        <v>0</v>
      </c>
      <c r="BH505" s="7">
        <v>2180.3800000000006</v>
      </c>
      <c r="BI505" s="39">
        <f>BH505*12</f>
        <v>26164.560000000005</v>
      </c>
      <c r="BJ505" s="7">
        <f t="shared" si="2752"/>
        <v>141725.05999999982</v>
      </c>
      <c r="BK505" s="7">
        <f t="shared" si="2753"/>
        <v>139544.67999999982</v>
      </c>
      <c r="BL505" s="7">
        <f t="shared" si="2754"/>
        <v>137364.29999999981</v>
      </c>
      <c r="BM505" s="7">
        <f t="shared" si="2755"/>
        <v>135183.91999999981</v>
      </c>
      <c r="BN505" s="7">
        <f t="shared" si="2756"/>
        <v>133003.5399999998</v>
      </c>
      <c r="BO505" s="7">
        <f t="shared" si="2757"/>
        <v>130823.1599999998</v>
      </c>
      <c r="BP505" s="7">
        <f t="shared" si="2758"/>
        <v>128642.7799999998</v>
      </c>
      <c r="BQ505" s="7">
        <f t="shared" si="2759"/>
        <v>126462.39999999979</v>
      </c>
      <c r="BR505" s="7">
        <f t="shared" si="2760"/>
        <v>124282.01999999979</v>
      </c>
      <c r="BS505" s="7">
        <f t="shared" si="2761"/>
        <v>122101.63999999978</v>
      </c>
      <c r="BT505" s="7">
        <f t="shared" si="2762"/>
        <v>119921.25999999978</v>
      </c>
      <c r="BU505" s="7">
        <f t="shared" si="2763"/>
        <v>117740.87999999977</v>
      </c>
      <c r="BV505" s="236">
        <v>0</v>
      </c>
      <c r="BW505" s="7">
        <v>2180.3800000000006</v>
      </c>
      <c r="BX505" s="39">
        <f>BW505*12</f>
        <v>26164.560000000005</v>
      </c>
      <c r="BY505" s="7">
        <f t="shared" si="2764"/>
        <v>115560.49999999977</v>
      </c>
      <c r="BZ505" s="7">
        <f t="shared" si="2765"/>
        <v>113380.11999999976</v>
      </c>
      <c r="CA505" s="7">
        <f t="shared" si="2766"/>
        <v>111199.73999999976</v>
      </c>
      <c r="CB505" s="7">
        <f t="shared" si="2767"/>
        <v>109019.35999999975</v>
      </c>
      <c r="CC505" s="7">
        <f t="shared" si="2768"/>
        <v>106838.97999999975</v>
      </c>
      <c r="CD505" s="7">
        <f t="shared" si="2769"/>
        <v>104658.59999999974</v>
      </c>
      <c r="CE505" s="7">
        <f t="shared" si="2770"/>
        <v>102478.21999999974</v>
      </c>
      <c r="CF505" s="7">
        <f t="shared" si="2771"/>
        <v>100297.83999999973</v>
      </c>
      <c r="CG505" s="7">
        <f t="shared" si="2772"/>
        <v>98117.45999999973</v>
      </c>
      <c r="CH505" s="7">
        <f t="shared" si="2773"/>
        <v>95937.079999999725</v>
      </c>
      <c r="CI505" s="7">
        <f t="shared" si="2774"/>
        <v>93756.699999999721</v>
      </c>
      <c r="CJ505" s="7">
        <f t="shared" si="2775"/>
        <v>91576.319999999716</v>
      </c>
      <c r="CK505" s="236">
        <v>0</v>
      </c>
      <c r="CL505" s="7">
        <v>2180.3800000000006</v>
      </c>
      <c r="CM505" s="39">
        <f>CL505*12</f>
        <v>26164.560000000005</v>
      </c>
      <c r="CN505" s="7">
        <f>CJ505-CL505</f>
        <v>89395.939999999711</v>
      </c>
      <c r="CO505" s="7">
        <f t="shared" si="2776"/>
        <v>87215.559999999707</v>
      </c>
      <c r="CP505" s="7">
        <f t="shared" si="2777"/>
        <v>85035.179999999702</v>
      </c>
      <c r="CQ505" s="7">
        <f t="shared" si="2778"/>
        <v>82854.799999999697</v>
      </c>
      <c r="CR505" s="7">
        <f t="shared" si="2779"/>
        <v>80674.419999999693</v>
      </c>
      <c r="CS505" s="7">
        <f t="shared" si="2780"/>
        <v>78494.039999999688</v>
      </c>
      <c r="CT505" s="7">
        <f t="shared" si="2781"/>
        <v>76313.659999999683</v>
      </c>
      <c r="CU505" s="7">
        <f t="shared" si="2782"/>
        <v>74133.279999999679</v>
      </c>
      <c r="CV505" s="7">
        <f t="shared" si="2783"/>
        <v>71952.899999999674</v>
      </c>
      <c r="CW505" s="7">
        <f t="shared" si="2784"/>
        <v>69772.519999999669</v>
      </c>
      <c r="CX505" s="7">
        <f t="shared" si="2785"/>
        <v>67592.139999999665</v>
      </c>
      <c r="CY505" s="7">
        <f t="shared" si="2786"/>
        <v>65411.759999999667</v>
      </c>
      <c r="CZ505" s="236">
        <v>0</v>
      </c>
    </row>
    <row r="506" spans="1:104" x14ac:dyDescent="0.2">
      <c r="A506" s="6" t="str">
        <f>'[1]2021 УГРЦТ'!A510</f>
        <v>СБЫТ</v>
      </c>
      <c r="B506" t="e">
        <f>'[1]2021 УГРЦТ'!B510</f>
        <v>#REF!</v>
      </c>
      <c r="C506" t="e">
        <f>'[1]2021 УГРЦТ'!C510</f>
        <v>#REF!</v>
      </c>
      <c r="D506" t="e">
        <f>'[1]2021 УГРЦТ'!D510</f>
        <v>#REF!</v>
      </c>
      <c r="E506" t="e">
        <f>'[1]2021 УГРЦТ'!E510</f>
        <v>#REF!</v>
      </c>
      <c r="F506" t="e">
        <f>'[1]2021 УГРЦТ'!F510</f>
        <v>#REF!</v>
      </c>
      <c r="G506" t="e">
        <f>'[1]2021 УГРЦТ'!AC510</f>
        <v>#REF!</v>
      </c>
      <c r="H506" s="7">
        <f>'[1]2021 УГРЦТ'!X510</f>
        <v>608810</v>
      </c>
      <c r="I506" s="7">
        <f>'[1]2021 УГРЦТ'!Y510</f>
        <v>21666.666666666668</v>
      </c>
      <c r="J506" s="7">
        <f>'[1]2021 УГРЦТ'!Z510</f>
        <v>587143.33333333326</v>
      </c>
      <c r="K506" s="8">
        <v>0</v>
      </c>
      <c r="L506" s="7">
        <v>0</v>
      </c>
      <c r="M506" s="7">
        <v>0</v>
      </c>
      <c r="N506" s="7">
        <v>0</v>
      </c>
      <c r="O506" s="7">
        <f t="shared" si="2504"/>
        <v>587143.33333333326</v>
      </c>
      <c r="P506" s="7">
        <f t="shared" si="2711"/>
        <v>587143.33333333326</v>
      </c>
      <c r="Q506" s="7">
        <f t="shared" si="2711"/>
        <v>587143.33333333326</v>
      </c>
      <c r="R506" s="7">
        <f t="shared" si="2711"/>
        <v>587143.33333333326</v>
      </c>
      <c r="S506" s="7">
        <f t="shared" si="2711"/>
        <v>587143.33333333326</v>
      </c>
      <c r="T506" s="7">
        <f t="shared" si="2711"/>
        <v>587143.33333333326</v>
      </c>
      <c r="U506" s="7">
        <f t="shared" si="2711"/>
        <v>587143.33333333326</v>
      </c>
      <c r="V506" s="7">
        <f t="shared" si="2711"/>
        <v>587143.33333333326</v>
      </c>
      <c r="W506" s="7">
        <f t="shared" si="2711"/>
        <v>587143.33333333326</v>
      </c>
      <c r="X506" s="7">
        <f t="shared" si="2711"/>
        <v>587143.33333333326</v>
      </c>
      <c r="Y506" s="7">
        <f t="shared" si="2711"/>
        <v>587143.33333333326</v>
      </c>
      <c r="Z506" s="7">
        <v>0</v>
      </c>
      <c r="AA506" s="7">
        <v>0</v>
      </c>
      <c r="AB506" s="7">
        <v>0</v>
      </c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222"/>
      <c r="AQ506" s="7">
        <v>0</v>
      </c>
      <c r="AR506" s="7">
        <f t="shared" si="2507"/>
        <v>0</v>
      </c>
      <c r="AS506" s="7">
        <f t="shared" si="2508"/>
        <v>0</v>
      </c>
      <c r="AT506" s="7">
        <f t="shared" ref="AT506:AT509" si="2789">L506*12</f>
        <v>0</v>
      </c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236">
        <f t="shared" si="2503"/>
        <v>0</v>
      </c>
      <c r="BH506" s="7">
        <v>0</v>
      </c>
      <c r="BI506" s="7">
        <f>AC506*12</f>
        <v>0</v>
      </c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236">
        <v>0</v>
      </c>
      <c r="BW506" s="7">
        <v>0</v>
      </c>
      <c r="BX506" s="7">
        <f>AT506*12</f>
        <v>0</v>
      </c>
      <c r="BY506" s="7">
        <f t="shared" si="2764"/>
        <v>0</v>
      </c>
      <c r="BZ506" s="7">
        <f t="shared" si="2765"/>
        <v>0</v>
      </c>
      <c r="CA506" s="7">
        <f t="shared" si="2766"/>
        <v>0</v>
      </c>
      <c r="CB506" s="7">
        <f t="shared" si="2767"/>
        <v>0</v>
      </c>
      <c r="CC506" s="7">
        <f t="shared" si="2768"/>
        <v>0</v>
      </c>
      <c r="CD506" s="7">
        <f t="shared" si="2769"/>
        <v>0</v>
      </c>
      <c r="CE506" s="7">
        <f t="shared" si="2770"/>
        <v>0</v>
      </c>
      <c r="CF506" s="7">
        <f t="shared" si="2771"/>
        <v>0</v>
      </c>
      <c r="CG506" s="7">
        <f t="shared" si="2772"/>
        <v>0</v>
      </c>
      <c r="CH506" s="7">
        <f t="shared" si="2773"/>
        <v>0</v>
      </c>
      <c r="CI506" s="7">
        <f t="shared" si="2774"/>
        <v>0</v>
      </c>
      <c r="CJ506" s="7">
        <f t="shared" si="2775"/>
        <v>0</v>
      </c>
      <c r="CK506" s="236">
        <v>0</v>
      </c>
      <c r="CL506" s="7">
        <v>0</v>
      </c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236">
        <v>0</v>
      </c>
    </row>
    <row r="507" spans="1:104" ht="22.5" x14ac:dyDescent="0.2">
      <c r="A507" s="6" t="str">
        <f>'[1]2021 УГРЦТ'!A511</f>
        <v>Комплект мебели для абон.отд. цвет ЛДСП Ясень анкор светлый (1 шкаф;8 стеллажей;8 столов;12 тумб)</v>
      </c>
      <c r="B507" t="str">
        <f>'[1]2021 УГРЦТ'!B511</f>
        <v>000001883</v>
      </c>
      <c r="C507" t="str">
        <f>'[1]2021 УГРЦТ'!C511</f>
        <v>СБЫТ</v>
      </c>
      <c r="D507" t="str">
        <f>'[1]2021 УГРЦТ'!D511</f>
        <v>Производственный и хозяйственный инвентарь</v>
      </c>
      <c r="E507" s="4">
        <f>'[1]2021 УГРЦТ'!E511</f>
        <v>44560</v>
      </c>
      <c r="F507" t="str">
        <f>'[1]2021 УГРЦТ'!F511</f>
        <v>Отдел энергосбыта</v>
      </c>
      <c r="G507">
        <f>'[1]2021 УГРЦТ'!AC511</f>
        <v>180</v>
      </c>
      <c r="H507" s="7">
        <f>'[1]2021 УГРЦТ'!X511</f>
        <v>283810</v>
      </c>
      <c r="I507" s="7" t="e">
        <f>'[1]2021 УГРЦТ'!Y511</f>
        <v>#REF!</v>
      </c>
      <c r="J507" s="7">
        <f>'[1]2021 УГРЦТ'!Z511</f>
        <v>283810</v>
      </c>
      <c r="K507" s="8">
        <v>0</v>
      </c>
      <c r="L507" s="7">
        <v>1576.7222222222222</v>
      </c>
      <c r="M507" s="7"/>
      <c r="N507" s="7">
        <f t="shared" si="2674"/>
        <v>18920.666666666664</v>
      </c>
      <c r="O507" s="7">
        <f t="shared" si="2504"/>
        <v>282233.27777777775</v>
      </c>
      <c r="P507" s="7">
        <f t="shared" si="2711"/>
        <v>280656.5555555555</v>
      </c>
      <c r="Q507" s="7">
        <f t="shared" si="2711"/>
        <v>279079.83333333326</v>
      </c>
      <c r="R507" s="7">
        <f t="shared" si="2711"/>
        <v>277503.11111111101</v>
      </c>
      <c r="S507" s="7">
        <f t="shared" si="2711"/>
        <v>275926.38888888876</v>
      </c>
      <c r="T507" s="7">
        <f t="shared" si="2711"/>
        <v>274349.66666666651</v>
      </c>
      <c r="U507" s="7">
        <f t="shared" si="2711"/>
        <v>272772.94444444426</v>
      </c>
      <c r="V507" s="7">
        <f t="shared" si="2711"/>
        <v>271196.22222222202</v>
      </c>
      <c r="W507" s="7">
        <f t="shared" si="2711"/>
        <v>269619.49999999977</v>
      </c>
      <c r="X507" s="7">
        <f t="shared" si="2711"/>
        <v>268042.77777777752</v>
      </c>
      <c r="Y507" s="7">
        <f t="shared" si="2711"/>
        <v>266466.05555555527</v>
      </c>
      <c r="Z507" s="7">
        <f t="shared" si="2711"/>
        <v>264889.33333333302</v>
      </c>
      <c r="AA507" s="7"/>
      <c r="AB507" s="7"/>
      <c r="AC507" s="7">
        <f t="shared" si="2505"/>
        <v>18920.666666666664</v>
      </c>
      <c r="AD507" s="7">
        <f t="shared" si="2506"/>
        <v>263312.61111111077</v>
      </c>
      <c r="AE507" s="7">
        <f t="shared" si="2749"/>
        <v>261735.88888888856</v>
      </c>
      <c r="AF507" s="7">
        <f t="shared" si="2749"/>
        <v>260159.16666666634</v>
      </c>
      <c r="AG507" s="7">
        <f t="shared" si="2749"/>
        <v>258582.44444444412</v>
      </c>
      <c r="AH507" s="7">
        <f t="shared" si="2749"/>
        <v>257005.7222222219</v>
      </c>
      <c r="AI507" s="7">
        <f t="shared" si="2749"/>
        <v>255428.99999999968</v>
      </c>
      <c r="AJ507" s="7">
        <f t="shared" si="2749"/>
        <v>253852.27777777746</v>
      </c>
      <c r="AK507" s="7">
        <f t="shared" si="2749"/>
        <v>252275.55555555524</v>
      </c>
      <c r="AL507" s="7">
        <f t="shared" si="2749"/>
        <v>250698.83333333302</v>
      </c>
      <c r="AM507" s="7">
        <f t="shared" si="2749"/>
        <v>249122.1111111108</v>
      </c>
      <c r="AN507" s="7">
        <f t="shared" si="2749"/>
        <v>247545.38888888858</v>
      </c>
      <c r="AO507" s="7">
        <f t="shared" si="2749"/>
        <v>245968.66666666637</v>
      </c>
      <c r="AP507" s="222"/>
      <c r="AQ507" s="7">
        <v>1576.7222222222222</v>
      </c>
      <c r="AR507" s="7">
        <f t="shared" si="2507"/>
        <v>1576.722222222219</v>
      </c>
      <c r="AS507" s="7">
        <f t="shared" si="2508"/>
        <v>-3.1832314562052488E-12</v>
      </c>
      <c r="AT507" s="7">
        <f>AQ507*12</f>
        <v>18920.666666666664</v>
      </c>
      <c r="AU507" s="7">
        <f>AO507-$L507</f>
        <v>244391.94444444415</v>
      </c>
      <c r="AV507" s="7">
        <f t="shared" si="2788"/>
        <v>242815.22222222193</v>
      </c>
      <c r="AW507" s="7">
        <f t="shared" si="2788"/>
        <v>241238.49999999971</v>
      </c>
      <c r="AX507" s="7">
        <f t="shared" si="2788"/>
        <v>239661.77777777749</v>
      </c>
      <c r="AY507" s="7">
        <f t="shared" si="2788"/>
        <v>238085.05555555527</v>
      </c>
      <c r="AZ507" s="7">
        <f t="shared" si="2788"/>
        <v>236508.33333333305</v>
      </c>
      <c r="BA507" s="7">
        <f t="shared" si="2788"/>
        <v>234931.61111111083</v>
      </c>
      <c r="BB507" s="7">
        <f t="shared" si="2788"/>
        <v>233354.88888888861</v>
      </c>
      <c r="BC507" s="7">
        <f t="shared" si="2788"/>
        <v>231778.1666666664</v>
      </c>
      <c r="BD507" s="7">
        <f t="shared" si="2788"/>
        <v>230201.44444444418</v>
      </c>
      <c r="BE507" s="7">
        <f t="shared" si="2788"/>
        <v>228624.72222222196</v>
      </c>
      <c r="BF507" s="7">
        <f t="shared" si="2788"/>
        <v>227047.99999999974</v>
      </c>
      <c r="BG507" s="236">
        <f t="shared" si="2503"/>
        <v>0</v>
      </c>
      <c r="BH507" s="7">
        <v>1576.7222222222222</v>
      </c>
      <c r="BI507" s="39">
        <f>BH507*12</f>
        <v>18920.666666666664</v>
      </c>
      <c r="BJ507" s="7">
        <f t="shared" si="2752"/>
        <v>225471.27777777752</v>
      </c>
      <c r="BK507" s="7">
        <f t="shared" si="2753"/>
        <v>223894.5555555553</v>
      </c>
      <c r="BL507" s="7">
        <f t="shared" si="2754"/>
        <v>222317.83333333308</v>
      </c>
      <c r="BM507" s="7">
        <f t="shared" si="2755"/>
        <v>220741.11111111086</v>
      </c>
      <c r="BN507" s="7">
        <f t="shared" si="2756"/>
        <v>219164.38888888864</v>
      </c>
      <c r="BO507" s="7">
        <f t="shared" si="2757"/>
        <v>217587.66666666642</v>
      </c>
      <c r="BP507" s="7">
        <f t="shared" si="2758"/>
        <v>216010.94444444421</v>
      </c>
      <c r="BQ507" s="7">
        <f t="shared" si="2759"/>
        <v>214434.22222222199</v>
      </c>
      <c r="BR507" s="7">
        <f t="shared" si="2760"/>
        <v>212857.49999999977</v>
      </c>
      <c r="BS507" s="7">
        <f t="shared" si="2761"/>
        <v>211280.77777777755</v>
      </c>
      <c r="BT507" s="7">
        <f t="shared" si="2762"/>
        <v>209704.05555555533</v>
      </c>
      <c r="BU507" s="7">
        <f t="shared" si="2763"/>
        <v>208127.33333333311</v>
      </c>
      <c r="BV507" s="236">
        <v>0</v>
      </c>
      <c r="BW507" s="7">
        <v>1576.7222222222222</v>
      </c>
      <c r="BX507" s="39">
        <f>BW507*12</f>
        <v>18920.666666666664</v>
      </c>
      <c r="BY507" s="7">
        <f t="shared" si="2764"/>
        <v>206550.61111111089</v>
      </c>
      <c r="BZ507" s="7">
        <f t="shared" si="2765"/>
        <v>204973.88888888867</v>
      </c>
      <c r="CA507" s="7">
        <f t="shared" si="2766"/>
        <v>203397.16666666645</v>
      </c>
      <c r="CB507" s="7">
        <f t="shared" si="2767"/>
        <v>201820.44444444423</v>
      </c>
      <c r="CC507" s="7">
        <f t="shared" si="2768"/>
        <v>200243.72222222202</v>
      </c>
      <c r="CD507" s="7">
        <f t="shared" si="2769"/>
        <v>198666.9999999998</v>
      </c>
      <c r="CE507" s="7">
        <f t="shared" si="2770"/>
        <v>197090.27777777758</v>
      </c>
      <c r="CF507" s="7">
        <f t="shared" si="2771"/>
        <v>195513.55555555536</v>
      </c>
      <c r="CG507" s="7">
        <f t="shared" si="2772"/>
        <v>193936.83333333314</v>
      </c>
      <c r="CH507" s="7">
        <f t="shared" si="2773"/>
        <v>192360.11111111092</v>
      </c>
      <c r="CI507" s="7">
        <f t="shared" si="2774"/>
        <v>190783.3888888887</v>
      </c>
      <c r="CJ507" s="7">
        <f t="shared" si="2775"/>
        <v>189206.66666666648</v>
      </c>
      <c r="CK507" s="236">
        <v>0</v>
      </c>
      <c r="CL507" s="7">
        <v>1576.7222222222222</v>
      </c>
      <c r="CM507" s="39">
        <f>CL507*12</f>
        <v>18920.666666666664</v>
      </c>
      <c r="CN507" s="7">
        <f>CJ507-CL507</f>
        <v>187629.94444444426</v>
      </c>
      <c r="CO507" s="7">
        <f t="shared" si="2776"/>
        <v>186053.22222222204</v>
      </c>
      <c r="CP507" s="7">
        <f t="shared" si="2777"/>
        <v>184476.49999999983</v>
      </c>
      <c r="CQ507" s="7">
        <f t="shared" si="2778"/>
        <v>182899.77777777761</v>
      </c>
      <c r="CR507" s="7">
        <f t="shared" si="2779"/>
        <v>181323.05555555539</v>
      </c>
      <c r="CS507" s="7">
        <f t="shared" si="2780"/>
        <v>179746.33333333317</v>
      </c>
      <c r="CT507" s="7">
        <f t="shared" si="2781"/>
        <v>178169.61111111095</v>
      </c>
      <c r="CU507" s="7">
        <f t="shared" si="2782"/>
        <v>176592.88888888873</v>
      </c>
      <c r="CV507" s="7">
        <f t="shared" si="2783"/>
        <v>175016.16666666651</v>
      </c>
      <c r="CW507" s="7">
        <f t="shared" si="2784"/>
        <v>173439.44444444429</v>
      </c>
      <c r="CX507" s="7">
        <f t="shared" si="2785"/>
        <v>171862.72222222207</v>
      </c>
      <c r="CY507" s="7">
        <f t="shared" si="2786"/>
        <v>170285.99999999985</v>
      </c>
      <c r="CZ507" s="236">
        <v>0</v>
      </c>
    </row>
    <row r="508" spans="1:104" x14ac:dyDescent="0.2">
      <c r="A508" s="6" t="str">
        <f>'[1]2021 УГРЦТ'!A512</f>
        <v>Энерготестер ПКЭ-А-А 1 К05</v>
      </c>
      <c r="B508" t="str">
        <f>'[1]2021 УГРЦТ'!B512</f>
        <v>00-000100</v>
      </c>
      <c r="C508" t="str">
        <f>'[1]2021 УГРЦТ'!C512</f>
        <v>СБЫТ</v>
      </c>
      <c r="D508" t="str">
        <f>'[1]2021 УГРЦТ'!D512</f>
        <v>Машины и оборудование (кроме офисного)</v>
      </c>
      <c r="E508" t="str">
        <f>'[1]2021 УГРЦТ'!E512</f>
        <v>28.04.2021</v>
      </c>
      <c r="F508" t="str">
        <f>'[1]2021 УГРЦТ'!F512</f>
        <v>Отдел энергосбыта</v>
      </c>
      <c r="G508">
        <f>'[1]2021 УГРЦТ'!AC512</f>
        <v>120</v>
      </c>
      <c r="H508" s="7">
        <f>'[1]2021 УГРЦТ'!X512</f>
        <v>325000</v>
      </c>
      <c r="I508" s="7">
        <f>'[1]2021 УГРЦТ'!Y512</f>
        <v>21666.666666666668</v>
      </c>
      <c r="J508" s="7">
        <f>'[1]2021 УГРЦТ'!Z512</f>
        <v>303333.33333333331</v>
      </c>
      <c r="K508" s="8">
        <v>0</v>
      </c>
      <c r="L508" s="7">
        <v>2708.33</v>
      </c>
      <c r="M508" s="7"/>
      <c r="N508" s="7">
        <f t="shared" si="2674"/>
        <v>32499.96</v>
      </c>
      <c r="O508" s="7">
        <f t="shared" si="2504"/>
        <v>300625.0033333333</v>
      </c>
      <c r="P508" s="7">
        <f t="shared" si="2711"/>
        <v>297916.67333333328</v>
      </c>
      <c r="Q508" s="7">
        <f t="shared" si="2711"/>
        <v>295208.34333333327</v>
      </c>
      <c r="R508" s="7">
        <f t="shared" si="2711"/>
        <v>292500.01333333325</v>
      </c>
      <c r="S508" s="7">
        <f t="shared" si="2711"/>
        <v>289791.68333333323</v>
      </c>
      <c r="T508" s="7">
        <f t="shared" si="2711"/>
        <v>287083.35333333322</v>
      </c>
      <c r="U508" s="7">
        <f t="shared" si="2711"/>
        <v>284375.0233333332</v>
      </c>
      <c r="V508" s="7">
        <f t="shared" si="2711"/>
        <v>281666.69333333318</v>
      </c>
      <c r="W508" s="7">
        <f t="shared" si="2711"/>
        <v>278958.36333333317</v>
      </c>
      <c r="X508" s="7">
        <f t="shared" si="2711"/>
        <v>276250.03333333315</v>
      </c>
      <c r="Y508" s="7">
        <f t="shared" si="2711"/>
        <v>273541.70333333313</v>
      </c>
      <c r="Z508" s="7">
        <f t="shared" si="2711"/>
        <v>270833.37333333312</v>
      </c>
      <c r="AA508" s="7"/>
      <c r="AB508" s="7"/>
      <c r="AC508" s="7">
        <f t="shared" si="2505"/>
        <v>32499.96</v>
      </c>
      <c r="AD508" s="7">
        <f t="shared" si="2506"/>
        <v>268125.0433333331</v>
      </c>
      <c r="AE508" s="7">
        <f t="shared" si="2749"/>
        <v>265416.71333333309</v>
      </c>
      <c r="AF508" s="7">
        <f t="shared" si="2749"/>
        <v>262708.38333333307</v>
      </c>
      <c r="AG508" s="7">
        <f t="shared" si="2749"/>
        <v>260000.05333333308</v>
      </c>
      <c r="AH508" s="7">
        <f t="shared" si="2749"/>
        <v>257291.7233333331</v>
      </c>
      <c r="AI508" s="7">
        <f t="shared" si="2749"/>
        <v>254583.39333333311</v>
      </c>
      <c r="AJ508" s="7">
        <f t="shared" si="2749"/>
        <v>251875.06333333312</v>
      </c>
      <c r="AK508" s="7">
        <f t="shared" si="2749"/>
        <v>249166.73333333313</v>
      </c>
      <c r="AL508" s="7">
        <f t="shared" si="2749"/>
        <v>246458.40333333315</v>
      </c>
      <c r="AM508" s="7">
        <f t="shared" si="2749"/>
        <v>243750.07333333316</v>
      </c>
      <c r="AN508" s="7">
        <f t="shared" si="2749"/>
        <v>241041.74333333317</v>
      </c>
      <c r="AO508" s="7">
        <f t="shared" si="2749"/>
        <v>238333.41333333318</v>
      </c>
      <c r="AP508" s="222"/>
      <c r="AQ508" s="7">
        <v>2708.33</v>
      </c>
      <c r="AR508" s="7">
        <f t="shared" si="2507"/>
        <v>2708.3299999999872</v>
      </c>
      <c r="AS508" s="7">
        <f t="shared" si="2508"/>
        <v>-1.2732925824820995E-11</v>
      </c>
      <c r="AT508" s="7">
        <f>AQ508*12</f>
        <v>32499.96</v>
      </c>
      <c r="AU508" s="7">
        <f>AO508-$L508</f>
        <v>235625.0833333332</v>
      </c>
      <c r="AV508" s="7">
        <f t="shared" si="2788"/>
        <v>232916.75333333321</v>
      </c>
      <c r="AW508" s="7">
        <f t="shared" si="2788"/>
        <v>230208.42333333322</v>
      </c>
      <c r="AX508" s="7">
        <f t="shared" si="2788"/>
        <v>227500.09333333324</v>
      </c>
      <c r="AY508" s="7">
        <f t="shared" si="2788"/>
        <v>224791.76333333325</v>
      </c>
      <c r="AZ508" s="7">
        <f t="shared" si="2788"/>
        <v>222083.43333333326</v>
      </c>
      <c r="BA508" s="7">
        <f t="shared" si="2788"/>
        <v>219375.10333333327</v>
      </c>
      <c r="BB508" s="7">
        <f t="shared" si="2788"/>
        <v>216666.77333333329</v>
      </c>
      <c r="BC508" s="7">
        <f t="shared" si="2788"/>
        <v>213958.4433333333</v>
      </c>
      <c r="BD508" s="7">
        <f t="shared" si="2788"/>
        <v>211250.11333333331</v>
      </c>
      <c r="BE508" s="7">
        <f t="shared" si="2788"/>
        <v>208541.78333333333</v>
      </c>
      <c r="BF508" s="7">
        <f t="shared" si="2788"/>
        <v>205833.45333333334</v>
      </c>
      <c r="BG508" s="236">
        <f t="shared" si="2503"/>
        <v>0</v>
      </c>
      <c r="BH508" s="7">
        <v>2708.33</v>
      </c>
      <c r="BI508" s="39">
        <f>BH508*12</f>
        <v>32499.96</v>
      </c>
      <c r="BJ508" s="7">
        <f t="shared" si="2752"/>
        <v>203125.12333333335</v>
      </c>
      <c r="BK508" s="7">
        <f t="shared" si="2753"/>
        <v>200416.79333333336</v>
      </c>
      <c r="BL508" s="7">
        <f t="shared" si="2754"/>
        <v>197708.46333333338</v>
      </c>
      <c r="BM508" s="7">
        <f t="shared" si="2755"/>
        <v>195000.13333333339</v>
      </c>
      <c r="BN508" s="7">
        <f t="shared" si="2756"/>
        <v>192291.8033333334</v>
      </c>
      <c r="BO508" s="7">
        <f t="shared" si="2757"/>
        <v>189583.47333333342</v>
      </c>
      <c r="BP508" s="7">
        <f t="shared" si="2758"/>
        <v>186875.14333333343</v>
      </c>
      <c r="BQ508" s="7">
        <f t="shared" si="2759"/>
        <v>184166.81333333344</v>
      </c>
      <c r="BR508" s="7">
        <f t="shared" si="2760"/>
        <v>181458.48333333345</v>
      </c>
      <c r="BS508" s="7">
        <f t="shared" si="2761"/>
        <v>178750.15333333347</v>
      </c>
      <c r="BT508" s="7">
        <f t="shared" si="2762"/>
        <v>176041.82333333348</v>
      </c>
      <c r="BU508" s="7">
        <f t="shared" si="2763"/>
        <v>173333.49333333349</v>
      </c>
      <c r="BV508" s="236">
        <v>0</v>
      </c>
      <c r="BW508" s="7">
        <v>2708.33</v>
      </c>
      <c r="BX508" s="39">
        <f>BW508*12</f>
        <v>32499.96</v>
      </c>
      <c r="BY508" s="7">
        <f t="shared" si="2764"/>
        <v>170625.1633333335</v>
      </c>
      <c r="BZ508" s="7">
        <f t="shared" si="2765"/>
        <v>167916.83333333352</v>
      </c>
      <c r="CA508" s="7">
        <f t="shared" si="2766"/>
        <v>165208.50333333353</v>
      </c>
      <c r="CB508" s="7">
        <f t="shared" si="2767"/>
        <v>162500.17333333354</v>
      </c>
      <c r="CC508" s="7">
        <f t="shared" si="2768"/>
        <v>159791.84333333356</v>
      </c>
      <c r="CD508" s="7">
        <f t="shared" si="2769"/>
        <v>157083.51333333357</v>
      </c>
      <c r="CE508" s="7">
        <f t="shared" si="2770"/>
        <v>154375.18333333358</v>
      </c>
      <c r="CF508" s="7">
        <f t="shared" si="2771"/>
        <v>151666.85333333359</v>
      </c>
      <c r="CG508" s="7">
        <f t="shared" si="2772"/>
        <v>148958.52333333361</v>
      </c>
      <c r="CH508" s="7">
        <f t="shared" si="2773"/>
        <v>146250.19333333362</v>
      </c>
      <c r="CI508" s="7">
        <f t="shared" si="2774"/>
        <v>143541.86333333363</v>
      </c>
      <c r="CJ508" s="7">
        <f t="shared" si="2775"/>
        <v>140833.53333333365</v>
      </c>
      <c r="CK508" s="236">
        <v>0</v>
      </c>
      <c r="CL508" s="7">
        <v>2708.33</v>
      </c>
      <c r="CM508" s="39">
        <f>CL508*12</f>
        <v>32499.96</v>
      </c>
      <c r="CN508" s="7">
        <f>CJ508-CL508</f>
        <v>138125.20333333366</v>
      </c>
      <c r="CO508" s="7">
        <f t="shared" si="2776"/>
        <v>135416.87333333367</v>
      </c>
      <c r="CP508" s="7">
        <f t="shared" si="2777"/>
        <v>132708.54333333368</v>
      </c>
      <c r="CQ508" s="7">
        <f t="shared" si="2778"/>
        <v>130000.21333333368</v>
      </c>
      <c r="CR508" s="7">
        <f t="shared" si="2779"/>
        <v>127291.88333333368</v>
      </c>
      <c r="CS508" s="7">
        <f t="shared" si="2780"/>
        <v>124583.55333333368</v>
      </c>
      <c r="CT508" s="7">
        <f t="shared" si="2781"/>
        <v>121875.22333333368</v>
      </c>
      <c r="CU508" s="7">
        <f t="shared" si="2782"/>
        <v>119166.89333333368</v>
      </c>
      <c r="CV508" s="7">
        <f t="shared" si="2783"/>
        <v>116458.56333333367</v>
      </c>
      <c r="CW508" s="7">
        <f t="shared" si="2784"/>
        <v>113750.23333333367</v>
      </c>
      <c r="CX508" s="7">
        <f t="shared" si="2785"/>
        <v>111041.90333333367</v>
      </c>
      <c r="CY508" s="7">
        <f t="shared" si="2786"/>
        <v>108333.57333333367</v>
      </c>
      <c r="CZ508" s="236">
        <v>0</v>
      </c>
    </row>
    <row r="509" spans="1:104" s="10" customFormat="1" x14ac:dyDescent="0.2">
      <c r="A509" s="9" t="str">
        <f>'[1]2021 УГРЦТ'!A513</f>
        <v>ТЕПЛОЭНЕРГИЯ</v>
      </c>
      <c r="B509" s="10" t="e">
        <f>'[1]2021 УГРЦТ'!B513</f>
        <v>#REF!</v>
      </c>
      <c r="C509" s="10" t="e">
        <f>'[1]2021 УГРЦТ'!C513</f>
        <v>#REF!</v>
      </c>
      <c r="D509" s="10" t="e">
        <f>'[1]2021 УГРЦТ'!D513</f>
        <v>#REF!</v>
      </c>
      <c r="E509" s="10" t="e">
        <f>'[1]2021 УГРЦТ'!E513</f>
        <v>#REF!</v>
      </c>
      <c r="F509" s="10" t="e">
        <f>'[1]2021 УГРЦТ'!F513</f>
        <v>#REF!</v>
      </c>
      <c r="G509" s="10" t="e">
        <f>'[1]2021 УГРЦТ'!AC513</f>
        <v>#REF!</v>
      </c>
      <c r="H509" s="11">
        <f>'[1]2021 УГРЦТ'!X513</f>
        <v>1569604.4200000002</v>
      </c>
      <c r="I509" s="11">
        <f>'[1]2021 УГРЦТ'!Y513</f>
        <v>428967.19911581918</v>
      </c>
      <c r="J509" s="11">
        <f>'[1]2021 УГРЦТ'!Z513</f>
        <v>1140637.2208841809</v>
      </c>
      <c r="K509" s="17">
        <v>0</v>
      </c>
      <c r="L509" s="18">
        <v>0</v>
      </c>
      <c r="M509" s="18"/>
      <c r="N509" s="18">
        <f t="shared" si="2674"/>
        <v>0</v>
      </c>
      <c r="O509" s="11">
        <f t="shared" si="2504"/>
        <v>1140637.2208841809</v>
      </c>
      <c r="P509" s="11">
        <f t="shared" si="2711"/>
        <v>1140637.2208841809</v>
      </c>
      <c r="Q509" s="11">
        <f t="shared" si="2711"/>
        <v>1140637.2208841809</v>
      </c>
      <c r="R509" s="11">
        <f t="shared" si="2711"/>
        <v>1140637.2208841809</v>
      </c>
      <c r="S509" s="11">
        <f t="shared" si="2711"/>
        <v>1140637.2208841809</v>
      </c>
      <c r="T509" s="11">
        <f t="shared" si="2711"/>
        <v>1140637.2208841809</v>
      </c>
      <c r="U509" s="11">
        <f t="shared" si="2711"/>
        <v>1140637.2208841809</v>
      </c>
      <c r="V509" s="11">
        <f t="shared" si="2711"/>
        <v>1140637.2208841809</v>
      </c>
      <c r="W509" s="11">
        <f t="shared" si="2711"/>
        <v>1140637.2208841809</v>
      </c>
      <c r="X509" s="11">
        <f t="shared" si="2711"/>
        <v>1140637.2208841809</v>
      </c>
      <c r="Y509" s="11">
        <f t="shared" si="2711"/>
        <v>1140637.2208841809</v>
      </c>
      <c r="Z509" s="11">
        <f t="shared" si="2711"/>
        <v>1140637.2208841809</v>
      </c>
      <c r="AA509" s="11"/>
      <c r="AB509" s="11"/>
      <c r="AC509" s="18">
        <f>L509*12</f>
        <v>0</v>
      </c>
      <c r="AD509" s="11">
        <f t="shared" si="2506"/>
        <v>1140637.2208841809</v>
      </c>
      <c r="AE509" s="11">
        <f t="shared" si="2749"/>
        <v>1140637.2208841809</v>
      </c>
      <c r="AF509" s="11">
        <f t="shared" si="2749"/>
        <v>1140637.2208841809</v>
      </c>
      <c r="AG509" s="11">
        <f t="shared" si="2749"/>
        <v>1140637.2208841809</v>
      </c>
      <c r="AH509" s="11">
        <f t="shared" si="2749"/>
        <v>1140637.2208841809</v>
      </c>
      <c r="AI509" s="11">
        <f t="shared" si="2749"/>
        <v>1140637.2208841809</v>
      </c>
      <c r="AJ509" s="11">
        <f t="shared" si="2749"/>
        <v>1140637.2208841809</v>
      </c>
      <c r="AK509" s="11">
        <f t="shared" si="2749"/>
        <v>1140637.2208841809</v>
      </c>
      <c r="AL509" s="11">
        <f t="shared" si="2749"/>
        <v>1140637.2208841809</v>
      </c>
      <c r="AM509" s="11">
        <f t="shared" si="2749"/>
        <v>1140637.2208841809</v>
      </c>
      <c r="AN509" s="11">
        <f t="shared" si="2749"/>
        <v>1140637.2208841809</v>
      </c>
      <c r="AO509" s="11">
        <f t="shared" si="2749"/>
        <v>1140637.2208841809</v>
      </c>
      <c r="AP509" s="222"/>
      <c r="AQ509" s="7">
        <v>0</v>
      </c>
      <c r="AR509" s="7">
        <f t="shared" si="2507"/>
        <v>0</v>
      </c>
      <c r="AS509" s="7">
        <f t="shared" si="2508"/>
        <v>0</v>
      </c>
      <c r="AT509" s="11">
        <f t="shared" si="2789"/>
        <v>0</v>
      </c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236">
        <f t="shared" si="2503"/>
        <v>0</v>
      </c>
      <c r="BH509" s="7">
        <v>0</v>
      </c>
      <c r="BI509" s="11">
        <f>AC509*12</f>
        <v>0</v>
      </c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236">
        <f>IF(Z509&lt;1,0,SUM(BJ509:BU509,BF509)/13*$BG$1)</f>
        <v>0</v>
      </c>
      <c r="BW509" s="7">
        <v>0</v>
      </c>
      <c r="BX509" s="11">
        <f>AT509*12</f>
        <v>0</v>
      </c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236">
        <f>IF(AO509&lt;1,0,SUM(BY509:CJ509,BU509)/13*$BG$1)</f>
        <v>0</v>
      </c>
      <c r="CL509" s="7">
        <v>0</v>
      </c>
      <c r="CM509" s="11">
        <f>BI509*12</f>
        <v>0</v>
      </c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236">
        <f>IF(BF509&lt;1,0,SUM(CN509:CY509,CJ509)/13*$BG$1)</f>
        <v>0</v>
      </c>
    </row>
    <row r="510" spans="1:104" x14ac:dyDescent="0.2">
      <c r="A510" s="6" t="str">
        <f>'[1]2021 УГРЦТ'!A514</f>
        <v>Газопроводные трубы 1981г.</v>
      </c>
      <c r="B510" t="str">
        <f>'[1]2021 УГРЦТ'!B514</f>
        <v>00000603</v>
      </c>
      <c r="C510" t="str">
        <f>'[1]2021 УГРЦТ'!C514</f>
        <v>ТЕПЛОЭНЕРГИЯ</v>
      </c>
      <c r="D510" t="str">
        <f>'[1]2021 УГРЦТ'!D514</f>
        <v>Сооружения</v>
      </c>
      <c r="E510" t="str">
        <f>'[1]2021 УГРЦТ'!E514</f>
        <v>01.01.1981</v>
      </c>
      <c r="F510" t="s">
        <v>19</v>
      </c>
      <c r="G510">
        <f>'[1]2021 УГРЦТ'!AC514</f>
        <v>480</v>
      </c>
      <c r="H510" s="7">
        <f>'[1]2021 УГРЦТ'!X514</f>
        <v>32481</v>
      </c>
      <c r="I510" s="7">
        <f>'[1]2021 УГРЦТ'!Y514</f>
        <v>32480.997500000001</v>
      </c>
      <c r="J510" s="7">
        <f>'[1]2021 УГРЦТ'!Z514</f>
        <v>2.4999999986903276E-3</v>
      </c>
      <c r="K510" s="8">
        <v>1</v>
      </c>
      <c r="L510" s="7">
        <v>0</v>
      </c>
      <c r="M510" s="7"/>
      <c r="N510" s="7">
        <f t="shared" si="2674"/>
        <v>0</v>
      </c>
      <c r="O510" s="7">
        <f t="shared" si="2504"/>
        <v>2.4999999986903276E-3</v>
      </c>
      <c r="P510" s="7">
        <f t="shared" si="2711"/>
        <v>2.4999999986903276E-3</v>
      </c>
      <c r="Q510" s="7">
        <f t="shared" si="2711"/>
        <v>2.4999999986903276E-3</v>
      </c>
      <c r="R510" s="7">
        <f t="shared" si="2711"/>
        <v>2.4999999986903276E-3</v>
      </c>
      <c r="S510" s="7">
        <f t="shared" si="2711"/>
        <v>2.4999999986903276E-3</v>
      </c>
      <c r="T510" s="7">
        <f t="shared" si="2711"/>
        <v>2.4999999986903276E-3</v>
      </c>
      <c r="U510" s="7">
        <f t="shared" si="2711"/>
        <v>2.4999999986903276E-3</v>
      </c>
      <c r="V510" s="7">
        <f t="shared" si="2711"/>
        <v>2.4999999986903276E-3</v>
      </c>
      <c r="W510" s="7">
        <f t="shared" si="2711"/>
        <v>2.4999999986903276E-3</v>
      </c>
      <c r="X510" s="7">
        <f t="shared" si="2711"/>
        <v>2.4999999986903276E-3</v>
      </c>
      <c r="Y510" s="7">
        <f t="shared" si="2711"/>
        <v>2.4999999986903276E-3</v>
      </c>
      <c r="Z510" s="7">
        <f t="shared" si="2711"/>
        <v>2.4999999986903276E-3</v>
      </c>
      <c r="AA510" s="7">
        <f>SUM(O510:Z510,J510)/13*$AA$1</f>
        <v>5.4999999971187207E-5</v>
      </c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222"/>
      <c r="AQ510" s="7">
        <v>0</v>
      </c>
      <c r="AR510" s="7">
        <f t="shared" si="2507"/>
        <v>0</v>
      </c>
      <c r="AS510" s="7">
        <f t="shared" si="2508"/>
        <v>0</v>
      </c>
      <c r="BG510" s="236">
        <f t="shared" si="2503"/>
        <v>0</v>
      </c>
      <c r="BH510" s="7">
        <v>0</v>
      </c>
      <c r="BV510" s="236">
        <f>IF(Z510&lt;1,0,SUM(BJ510:BU510,BF510)/13*$BG$1)</f>
        <v>0</v>
      </c>
      <c r="BW510" s="7">
        <v>0</v>
      </c>
      <c r="CK510" s="236">
        <f>IF(AO510&lt;1,0,SUM(BY510:CJ510,BU510)/13*$BG$1)</f>
        <v>0</v>
      </c>
      <c r="CL510" s="7">
        <v>0</v>
      </c>
      <c r="CZ510" s="236">
        <f>IF(BF510&lt;1,0,SUM(CN510:CY510,CJ510)/13*$BG$1)</f>
        <v>0</v>
      </c>
    </row>
    <row r="511" spans="1:104" ht="22.5" x14ac:dyDescent="0.2">
      <c r="A511" s="6" t="str">
        <f>'[1]2021 УГРЦТ'!A515</f>
        <v>Горелка ГБЛ-0,7К-МГ-В-Р в комплекте с группой арматурной Ду65 на низкое присоединительное давление (4,1-5 кПа)</v>
      </c>
      <c r="B511" t="str">
        <f>'[1]2021 УГРЦТ'!B515</f>
        <v>000001767</v>
      </c>
      <c r="C511" t="str">
        <f>'[1]2021 УГРЦТ'!C515</f>
        <v>ТЕПЛОЭНЕРГИЯ</v>
      </c>
      <c r="D511" t="str">
        <f>'[1]2021 УГРЦТ'!D515</f>
        <v>Машины и оборудование (кроме офисного)</v>
      </c>
      <c r="E511" t="str">
        <f>'[1]2021 УГРЦТ'!E515</f>
        <v>18.04.2019</v>
      </c>
      <c r="F511" t="s">
        <v>19</v>
      </c>
      <c r="G511">
        <f>'[1]2021 УГРЦТ'!AC515</f>
        <v>120</v>
      </c>
      <c r="H511" s="7">
        <f>'[1]2021 УГРЦТ'!X515</f>
        <v>308166.67</v>
      </c>
      <c r="I511" s="7">
        <f>'[1]2021 УГРЦТ'!Y515</f>
        <v>82177.866999999998</v>
      </c>
      <c r="J511" s="7">
        <f>'[1]2021 УГРЦТ'!Z515</f>
        <v>225988.80299999999</v>
      </c>
      <c r="K511" s="8">
        <v>0</v>
      </c>
      <c r="L511" s="7">
        <v>2568.0500000000002</v>
      </c>
      <c r="M511" s="7"/>
      <c r="N511" s="7">
        <f t="shared" si="2674"/>
        <v>30816.600000000002</v>
      </c>
      <c r="O511" s="7">
        <f t="shared" si="2504"/>
        <v>223420.753</v>
      </c>
      <c r="P511" s="7">
        <f t="shared" si="2711"/>
        <v>220852.70300000001</v>
      </c>
      <c r="Q511" s="7">
        <f t="shared" si="2711"/>
        <v>218284.65300000002</v>
      </c>
      <c r="R511" s="7">
        <f t="shared" si="2711"/>
        <v>215716.60300000003</v>
      </c>
      <c r="S511" s="7">
        <f t="shared" si="2711"/>
        <v>213148.55300000004</v>
      </c>
      <c r="T511" s="7">
        <f t="shared" si="2711"/>
        <v>210580.50300000006</v>
      </c>
      <c r="U511" s="7">
        <f t="shared" si="2711"/>
        <v>208012.45300000007</v>
      </c>
      <c r="V511" s="7">
        <f t="shared" si="2711"/>
        <v>205444.40300000008</v>
      </c>
      <c r="W511" s="7">
        <f t="shared" si="2711"/>
        <v>202876.35300000009</v>
      </c>
      <c r="X511" s="7">
        <f t="shared" si="2711"/>
        <v>200308.3030000001</v>
      </c>
      <c r="Y511" s="7">
        <f t="shared" si="2711"/>
        <v>197740.25300000011</v>
      </c>
      <c r="Z511" s="7">
        <f t="shared" si="2711"/>
        <v>195172.20300000013</v>
      </c>
      <c r="AA511" s="7"/>
      <c r="AB511" s="7"/>
      <c r="AC511" s="7">
        <f t="shared" si="2505"/>
        <v>30816.600000000002</v>
      </c>
      <c r="AD511" s="7">
        <f t="shared" si="2506"/>
        <v>192604.15300000014</v>
      </c>
      <c r="AE511" s="7">
        <f t="shared" si="2749"/>
        <v>190036.10300000015</v>
      </c>
      <c r="AF511" s="7">
        <f t="shared" si="2749"/>
        <v>187468.05300000016</v>
      </c>
      <c r="AG511" s="7">
        <f t="shared" si="2749"/>
        <v>184900.00300000017</v>
      </c>
      <c r="AH511" s="7">
        <f t="shared" si="2749"/>
        <v>182331.95300000018</v>
      </c>
      <c r="AI511" s="7">
        <f t="shared" si="2749"/>
        <v>179763.90300000019</v>
      </c>
      <c r="AJ511" s="7">
        <f t="shared" si="2749"/>
        <v>177195.85300000021</v>
      </c>
      <c r="AK511" s="7">
        <f t="shared" si="2749"/>
        <v>174627.80300000022</v>
      </c>
      <c r="AL511" s="7">
        <f t="shared" si="2749"/>
        <v>172059.75300000023</v>
      </c>
      <c r="AM511" s="7">
        <f t="shared" si="2749"/>
        <v>169491.70300000024</v>
      </c>
      <c r="AN511" s="7">
        <f t="shared" si="2749"/>
        <v>166923.65300000025</v>
      </c>
      <c r="AO511" s="7">
        <f t="shared" si="2749"/>
        <v>164355.60300000026</v>
      </c>
      <c r="AP511" s="222"/>
      <c r="AQ511" s="7">
        <v>2568.0500000000002</v>
      </c>
      <c r="AR511" s="7">
        <f t="shared" si="2507"/>
        <v>2568.0499999999884</v>
      </c>
      <c r="AS511" s="7">
        <f t="shared" si="2508"/>
        <v>-1.1823431123048067E-11</v>
      </c>
      <c r="AT511" s="7">
        <f>AQ511*12</f>
        <v>30816.600000000002</v>
      </c>
      <c r="AU511" s="7">
        <f>AO511-$L511</f>
        <v>161787.55300000028</v>
      </c>
      <c r="AV511" s="7">
        <f>AU511-$L511</f>
        <v>159219.50300000029</v>
      </c>
      <c r="AW511" s="7">
        <f t="shared" ref="AW511:BF511" si="2790">AV511-$L511</f>
        <v>156651.4530000003</v>
      </c>
      <c r="AX511" s="7">
        <f t="shared" si="2790"/>
        <v>154083.40300000031</v>
      </c>
      <c r="AY511" s="7">
        <f t="shared" si="2790"/>
        <v>151515.35300000032</v>
      </c>
      <c r="AZ511" s="7">
        <f t="shared" si="2790"/>
        <v>148947.30300000033</v>
      </c>
      <c r="BA511" s="7">
        <f t="shared" si="2790"/>
        <v>146379.25300000035</v>
      </c>
      <c r="BB511" s="7">
        <f t="shared" si="2790"/>
        <v>143811.20300000036</v>
      </c>
      <c r="BC511" s="7">
        <f t="shared" si="2790"/>
        <v>141243.15300000037</v>
      </c>
      <c r="BD511" s="7">
        <f t="shared" si="2790"/>
        <v>138675.10300000038</v>
      </c>
      <c r="BE511" s="7">
        <f t="shared" si="2790"/>
        <v>136107.05300000039</v>
      </c>
      <c r="BF511" s="7">
        <f t="shared" si="2790"/>
        <v>133539.0030000004</v>
      </c>
      <c r="BG511" s="236">
        <f t="shared" si="2503"/>
        <v>0</v>
      </c>
      <c r="BH511" s="7">
        <v>2568.0500000000002</v>
      </c>
      <c r="BI511" s="39">
        <f>BH511*12</f>
        <v>30816.600000000002</v>
      </c>
      <c r="BJ511" s="7">
        <f>BF511-BH511</f>
        <v>130970.9530000004</v>
      </c>
      <c r="BK511" s="7">
        <f>BJ511-$L511</f>
        <v>128402.9030000004</v>
      </c>
      <c r="BL511" s="7">
        <f t="shared" ref="BL511" si="2791">BK511-$L511</f>
        <v>125834.8530000004</v>
      </c>
      <c r="BM511" s="7">
        <f t="shared" ref="BM511" si="2792">BL511-$L511</f>
        <v>123266.80300000039</v>
      </c>
      <c r="BN511" s="7">
        <f t="shared" ref="BN511" si="2793">BM511-$L511</f>
        <v>120698.75300000039</v>
      </c>
      <c r="BO511" s="7">
        <f t="shared" ref="BO511" si="2794">BN511-$L511</f>
        <v>118130.70300000039</v>
      </c>
      <c r="BP511" s="7">
        <f t="shared" ref="BP511" si="2795">BO511-$L511</f>
        <v>115562.65300000038</v>
      </c>
      <c r="BQ511" s="7">
        <f t="shared" ref="BQ511" si="2796">BP511-$L511</f>
        <v>112994.60300000038</v>
      </c>
      <c r="BR511" s="7">
        <f t="shared" ref="BR511" si="2797">BQ511-$L511</f>
        <v>110426.55300000038</v>
      </c>
      <c r="BS511" s="7">
        <f t="shared" ref="BS511" si="2798">BR511-$L511</f>
        <v>107858.50300000038</v>
      </c>
      <c r="BT511" s="7">
        <f t="shared" ref="BT511" si="2799">BS511-$L511</f>
        <v>105290.45300000037</v>
      </c>
      <c r="BU511" s="7">
        <f t="shared" ref="BU511" si="2800">BT511-$L511</f>
        <v>102722.40300000037</v>
      </c>
      <c r="BV511" s="236">
        <v>0</v>
      </c>
      <c r="BW511" s="7">
        <v>2568.0500000000002</v>
      </c>
      <c r="BX511" s="39">
        <f>BW511*12</f>
        <v>30816.600000000002</v>
      </c>
      <c r="BY511" s="7">
        <f>BU511-BW511</f>
        <v>100154.35300000037</v>
      </c>
      <c r="BZ511" s="7">
        <f>BY511-$L511</f>
        <v>97586.303000000364</v>
      </c>
      <c r="CA511" s="7">
        <f t="shared" ref="CA511" si="2801">BZ511-$L511</f>
        <v>95018.253000000361</v>
      </c>
      <c r="CB511" s="7">
        <f t="shared" ref="CB511" si="2802">CA511-$L511</f>
        <v>92450.203000000358</v>
      </c>
      <c r="CC511" s="7">
        <f t="shared" ref="CC511" si="2803">CB511-$L511</f>
        <v>89882.153000000355</v>
      </c>
      <c r="CD511" s="7">
        <f t="shared" ref="CD511" si="2804">CC511-$L511</f>
        <v>87314.103000000352</v>
      </c>
      <c r="CE511" s="7">
        <f t="shared" ref="CE511" si="2805">CD511-$L511</f>
        <v>84746.053000000349</v>
      </c>
      <c r="CF511" s="7">
        <f t="shared" ref="CF511" si="2806">CE511-$L511</f>
        <v>82178.003000000346</v>
      </c>
      <c r="CG511" s="7">
        <f t="shared" ref="CG511" si="2807">CF511-$L511</f>
        <v>79609.953000000343</v>
      </c>
      <c r="CH511" s="7">
        <f t="shared" ref="CH511" si="2808">CG511-$L511</f>
        <v>77041.90300000034</v>
      </c>
      <c r="CI511" s="7">
        <f t="shared" ref="CI511" si="2809">CH511-$L511</f>
        <v>74473.853000000337</v>
      </c>
      <c r="CJ511" s="7">
        <f t="shared" ref="CJ511" si="2810">CI511-$L511</f>
        <v>71905.803000000335</v>
      </c>
      <c r="CK511" s="236">
        <v>0</v>
      </c>
      <c r="CL511" s="7">
        <v>2568.0500000000002</v>
      </c>
      <c r="CM511" s="39">
        <f>CL511*12</f>
        <v>30816.600000000002</v>
      </c>
      <c r="CN511" s="7">
        <f>CJ511-CL511</f>
        <v>69337.753000000332</v>
      </c>
      <c r="CO511" s="7">
        <f>CN511-$L511</f>
        <v>66769.703000000329</v>
      </c>
      <c r="CP511" s="7">
        <f t="shared" ref="CP511" si="2811">CO511-$L511</f>
        <v>64201.653000000326</v>
      </c>
      <c r="CQ511" s="7">
        <f t="shared" ref="CQ511" si="2812">CP511-$L511</f>
        <v>61633.603000000323</v>
      </c>
      <c r="CR511" s="7">
        <f t="shared" ref="CR511" si="2813">CQ511-$L511</f>
        <v>59065.55300000032</v>
      </c>
      <c r="CS511" s="7">
        <f t="shared" ref="CS511" si="2814">CR511-$L511</f>
        <v>56497.503000000317</v>
      </c>
      <c r="CT511" s="7">
        <f t="shared" ref="CT511" si="2815">CS511-$L511</f>
        <v>53929.453000000314</v>
      </c>
      <c r="CU511" s="7">
        <f t="shared" ref="CU511" si="2816">CT511-$L511</f>
        <v>51361.403000000311</v>
      </c>
      <c r="CV511" s="7">
        <f t="shared" ref="CV511" si="2817">CU511-$L511</f>
        <v>48793.353000000308</v>
      </c>
      <c r="CW511" s="7">
        <f t="shared" ref="CW511" si="2818">CV511-$L511</f>
        <v>46225.303000000305</v>
      </c>
      <c r="CX511" s="7">
        <f t="shared" ref="CX511" si="2819">CW511-$L511</f>
        <v>43657.253000000303</v>
      </c>
      <c r="CY511" s="7">
        <f t="shared" ref="CY511" si="2820">CX511-$L511</f>
        <v>41089.2030000003</v>
      </c>
      <c r="CZ511" s="236">
        <v>0</v>
      </c>
    </row>
    <row r="512" spans="1:104" x14ac:dyDescent="0.2">
      <c r="A512" s="6" t="str">
        <f>'[1]2021 УГРЦТ'!A516</f>
        <v>Котельная  1964г.</v>
      </c>
      <c r="B512" t="str">
        <f>'[1]2021 УГРЦТ'!B516</f>
        <v>00000276</v>
      </c>
      <c r="C512" t="str">
        <f>'[1]2021 УГРЦТ'!C516</f>
        <v>ТЕПЛОЭНЕРГИЯ</v>
      </c>
      <c r="D512" t="str">
        <f>'[1]2021 УГРЦТ'!D516</f>
        <v>Здания</v>
      </c>
      <c r="E512" t="str">
        <f>'[1]2021 УГРЦТ'!E516</f>
        <v>01.01.1964</v>
      </c>
      <c r="F512" t="s">
        <v>19</v>
      </c>
      <c r="G512">
        <f>'[1]2021 УГРЦТ'!AC516</f>
        <v>708</v>
      </c>
      <c r="H512" s="7">
        <f>'[1]2021 УГРЦТ'!X516</f>
        <v>134167</v>
      </c>
      <c r="I512" s="7">
        <f>'[1]2021 УГРЦТ'!Y516</f>
        <v>132422.04694915254</v>
      </c>
      <c r="J512" s="7">
        <f>'[1]2021 УГРЦТ'!Z516</f>
        <v>1744.9530508474563</v>
      </c>
      <c r="K512" s="8">
        <v>1</v>
      </c>
      <c r="L512" s="7">
        <v>189.5</v>
      </c>
      <c r="M512" s="7"/>
      <c r="N512" s="7">
        <f>L512*9+39.45</f>
        <v>1744.95</v>
      </c>
      <c r="O512" s="7">
        <f t="shared" si="2504"/>
        <v>1555.4530508474563</v>
      </c>
      <c r="P512" s="7">
        <f t="shared" ref="P512:Z527" si="2821">O512-$L512</f>
        <v>1365.9530508474563</v>
      </c>
      <c r="Q512" s="7">
        <f t="shared" si="2821"/>
        <v>1176.4530508474563</v>
      </c>
      <c r="R512" s="7">
        <f t="shared" si="2821"/>
        <v>986.95305084745632</v>
      </c>
      <c r="S512" s="7">
        <f t="shared" si="2821"/>
        <v>797.45305084745632</v>
      </c>
      <c r="T512" s="7">
        <f t="shared" si="2821"/>
        <v>607.95305084745632</v>
      </c>
      <c r="U512" s="7">
        <f t="shared" si="2821"/>
        <v>418.45305084745632</v>
      </c>
      <c r="V512" s="7">
        <f t="shared" si="2821"/>
        <v>228.95305084745632</v>
      </c>
      <c r="W512" s="7">
        <f t="shared" si="2821"/>
        <v>39.453050847456325</v>
      </c>
      <c r="X512" s="7">
        <f>W512-39.45</f>
        <v>3.0508474563220034E-3</v>
      </c>
      <c r="Y512" s="7">
        <f>X512-$L512*0</f>
        <v>3.0508474563220034E-3</v>
      </c>
      <c r="Z512" s="7">
        <f>Y512-$L512*0</f>
        <v>3.0508474563220034E-3</v>
      </c>
      <c r="AA512" s="7">
        <f t="shared" ref="AA512:AA513" si="2822">SUM(O512:Z512,J512)/13*$AA$1</f>
        <v>15.098836349413272</v>
      </c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222"/>
      <c r="AQ512" s="7">
        <v>189.5</v>
      </c>
      <c r="AR512" s="7"/>
      <c r="AS512" s="7"/>
      <c r="BG512" s="236">
        <f t="shared" si="2503"/>
        <v>0</v>
      </c>
      <c r="BH512" s="7">
        <v>189.5</v>
      </c>
      <c r="BV512" s="236">
        <f>IF(Z512&lt;1,0,SUM(BJ512:BU512,BF512)/13*$BG$1)</f>
        <v>0</v>
      </c>
      <c r="BW512" s="7">
        <v>189.5</v>
      </c>
      <c r="CK512" s="236">
        <f>IF(AO512&lt;1,0,SUM(BY512:CJ512,BU512)/13*$BG$1)</f>
        <v>0</v>
      </c>
      <c r="CL512" s="7">
        <v>189.5</v>
      </c>
      <c r="CZ512" s="236">
        <f>IF(BF512&lt;1,0,SUM(CN512:CY512,CJ512)/13*$BG$1)</f>
        <v>0</v>
      </c>
    </row>
    <row r="513" spans="1:104" x14ac:dyDescent="0.2">
      <c r="A513" s="6" t="str">
        <f>'[1]2021 УГРЦТ'!A517</f>
        <v>Пристройка для машинистов</v>
      </c>
      <c r="B513" t="str">
        <f>'[1]2021 УГРЦТ'!B517</f>
        <v>00000272</v>
      </c>
      <c r="C513" t="str">
        <f>'[1]2021 УГРЦТ'!C517</f>
        <v>ТЕПЛОЭНЕРГИЯ</v>
      </c>
      <c r="D513" t="str">
        <f>'[1]2021 УГРЦТ'!D517</f>
        <v>Здания</v>
      </c>
      <c r="E513" t="str">
        <f>'[1]2021 УГРЦТ'!E517</f>
        <v>01.12.1999</v>
      </c>
      <c r="F513" t="s">
        <v>19</v>
      </c>
      <c r="G513">
        <f>'[1]2021 УГРЦТ'!AC517</f>
        <v>240</v>
      </c>
      <c r="H513" s="7">
        <f>'[1]2021 УГРЦТ'!X517</f>
        <v>39415</v>
      </c>
      <c r="I513" s="7">
        <f>'[1]2021 УГРЦТ'!Y517</f>
        <v>34323.279999999999</v>
      </c>
      <c r="J513" s="7">
        <f>'[1]2021 УГРЦТ'!Z517</f>
        <v>5091.7200000000012</v>
      </c>
      <c r="K513" s="8">
        <v>1</v>
      </c>
      <c r="L513" s="7">
        <v>164.23</v>
      </c>
      <c r="M513" s="7"/>
      <c r="N513" s="7">
        <f t="shared" si="2674"/>
        <v>1970.7599999999998</v>
      </c>
      <c r="O513" s="7">
        <f t="shared" si="2504"/>
        <v>4927.4900000000016</v>
      </c>
      <c r="P513" s="7">
        <f t="shared" si="2821"/>
        <v>4763.260000000002</v>
      </c>
      <c r="Q513" s="7">
        <f t="shared" si="2821"/>
        <v>4599.0300000000025</v>
      </c>
      <c r="R513" s="7">
        <f t="shared" si="2821"/>
        <v>4434.8000000000029</v>
      </c>
      <c r="S513" s="7">
        <f t="shared" si="2821"/>
        <v>4270.5700000000033</v>
      </c>
      <c r="T513" s="7">
        <f t="shared" si="2821"/>
        <v>4106.3400000000038</v>
      </c>
      <c r="U513" s="7">
        <f t="shared" si="2821"/>
        <v>3942.1100000000038</v>
      </c>
      <c r="V513" s="7">
        <f t="shared" si="2821"/>
        <v>3777.8800000000037</v>
      </c>
      <c r="W513" s="7">
        <f t="shared" si="2821"/>
        <v>3613.6500000000037</v>
      </c>
      <c r="X513" s="7">
        <f t="shared" si="2821"/>
        <v>3449.4200000000037</v>
      </c>
      <c r="Y513" s="7">
        <f t="shared" si="2821"/>
        <v>3285.1900000000037</v>
      </c>
      <c r="Z513" s="7">
        <f t="shared" si="2821"/>
        <v>3120.9600000000037</v>
      </c>
      <c r="AA513" s="7">
        <f t="shared" si="2822"/>
        <v>90.339480000000052</v>
      </c>
      <c r="AB513" s="7"/>
      <c r="AC513" s="7">
        <f t="shared" si="2505"/>
        <v>1970.7599999999998</v>
      </c>
      <c r="AD513" s="7">
        <f t="shared" si="2506"/>
        <v>2956.7300000000037</v>
      </c>
      <c r="AE513" s="7">
        <f t="shared" ref="AE513:AO523" si="2823">AD513-$L513</f>
        <v>2792.5000000000036</v>
      </c>
      <c r="AF513" s="7">
        <f t="shared" si="2823"/>
        <v>2628.2700000000036</v>
      </c>
      <c r="AG513" s="7">
        <f t="shared" si="2823"/>
        <v>2464.0400000000036</v>
      </c>
      <c r="AH513" s="7">
        <f t="shared" si="2823"/>
        <v>2299.8100000000036</v>
      </c>
      <c r="AI513" s="7">
        <f t="shared" si="2823"/>
        <v>2135.5800000000036</v>
      </c>
      <c r="AJ513" s="7">
        <f t="shared" si="2823"/>
        <v>1971.3500000000035</v>
      </c>
      <c r="AK513" s="7">
        <f t="shared" si="2823"/>
        <v>1807.1200000000035</v>
      </c>
      <c r="AL513" s="7">
        <f t="shared" si="2823"/>
        <v>1642.8900000000035</v>
      </c>
      <c r="AM513" s="7">
        <f t="shared" si="2823"/>
        <v>1478.6600000000035</v>
      </c>
      <c r="AN513" s="7">
        <f t="shared" si="2823"/>
        <v>1314.4300000000035</v>
      </c>
      <c r="AO513" s="7">
        <f t="shared" si="2823"/>
        <v>1150.2000000000035</v>
      </c>
      <c r="AP513" s="222">
        <f>IF(K513&lt;1,0,SUM(AD513:AO513,Z513)/13*$BG$1)</f>
        <v>46.982760000000077</v>
      </c>
      <c r="AQ513" s="7">
        <v>164.23</v>
      </c>
      <c r="AR513" s="7">
        <f t="shared" si="2507"/>
        <v>164.23000000000002</v>
      </c>
      <c r="AS513" s="7">
        <f t="shared" si="2508"/>
        <v>0</v>
      </c>
      <c r="AT513" s="7">
        <f>L513*7+0.59</f>
        <v>1150.1999999999998</v>
      </c>
      <c r="AU513" s="7">
        <f>AO513-$L513</f>
        <v>985.97000000000344</v>
      </c>
      <c r="AV513" s="7">
        <f t="shared" ref="AV513:BF523" si="2824">AU513-$L513</f>
        <v>821.74000000000342</v>
      </c>
      <c r="AW513" s="7">
        <f t="shared" si="2824"/>
        <v>657.5100000000034</v>
      </c>
      <c r="AX513" s="7">
        <f t="shared" si="2824"/>
        <v>493.28000000000338</v>
      </c>
      <c r="AY513" s="7">
        <f t="shared" si="2824"/>
        <v>329.05000000000337</v>
      </c>
      <c r="AZ513" s="7">
        <f t="shared" si="2824"/>
        <v>164.82000000000338</v>
      </c>
      <c r="BA513" s="7">
        <f t="shared" si="2824"/>
        <v>0.59000000000338559</v>
      </c>
      <c r="BB513" s="7">
        <f>BA513-0.59</f>
        <v>3.3856251135944149E-12</v>
      </c>
      <c r="BC513" s="7">
        <f t="shared" ref="BC513:BF513" si="2825">BB513-$L513*0</f>
        <v>3.3856251135944149E-12</v>
      </c>
      <c r="BD513" s="7">
        <f t="shared" si="2825"/>
        <v>3.3856251135944149E-12</v>
      </c>
      <c r="BE513" s="7">
        <f t="shared" si="2825"/>
        <v>3.3856251135944149E-12</v>
      </c>
      <c r="BF513" s="7">
        <f t="shared" si="2825"/>
        <v>3.3856251135944149E-12</v>
      </c>
      <c r="BG513" s="236">
        <f t="shared" si="2503"/>
        <v>7.7899630769231498</v>
      </c>
      <c r="BH513" s="7">
        <v>164.23</v>
      </c>
      <c r="BI513" s="39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236">
        <f>IF(Z513&lt;1,0,SUM(BJ513:BU513,BF513)/13*$BG$1)</f>
        <v>5.7295194230059326E-15</v>
      </c>
      <c r="BW513" s="7">
        <v>164.23</v>
      </c>
      <c r="BX513" s="39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236">
        <f>IF(AO513&lt;1,0,SUM(BY513:CJ513,BU513)/13*$BG$1)</f>
        <v>0</v>
      </c>
      <c r="CL513" s="7">
        <v>164.23</v>
      </c>
      <c r="CM513" s="39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236">
        <f>IF(BF513&lt;1,0,SUM(CN513:CY513,CJ513)/13*$BG$1)</f>
        <v>0</v>
      </c>
    </row>
    <row r="514" spans="1:104" x14ac:dyDescent="0.2">
      <c r="A514" s="6" t="str">
        <f>'[1]2021 УГРЦТ'!A518</f>
        <v>Тепловые сети объекта "Ангар для складских помещений"</v>
      </c>
      <c r="B514" t="str">
        <f>'[1]2021 УГРЦТ'!B518</f>
        <v>000001782</v>
      </c>
      <c r="C514" t="str">
        <f>'[1]2021 УГРЦТ'!C518</f>
        <v>ТЕПЛОЭНЕРГИЯ</v>
      </c>
      <c r="D514" t="str">
        <f>'[1]2021 УГРЦТ'!D518</f>
        <v>Сооружения</v>
      </c>
      <c r="E514" t="str">
        <f>'[1]2021 УГРЦТ'!E518</f>
        <v>16.12.2019</v>
      </c>
      <c r="F514" t="s">
        <v>19</v>
      </c>
      <c r="G514">
        <f>'[1]2021 УГРЦТ'!AC518</f>
        <v>180</v>
      </c>
      <c r="H514" s="7">
        <f>'[1]2021 УГРЦТ'!X518</f>
        <v>996691.42</v>
      </c>
      <c r="I514" s="7">
        <f>'[1]2021 УГРЦТ'!Y518</f>
        <v>132892.13466666665</v>
      </c>
      <c r="J514" s="7">
        <f>'[1]2021 УГРЦТ'!Z518</f>
        <v>863799.28533333342</v>
      </c>
      <c r="K514" s="8">
        <v>1</v>
      </c>
      <c r="L514" s="7">
        <v>5537.1783329999998</v>
      </c>
      <c r="M514" s="7"/>
      <c r="N514" s="7">
        <f t="shared" si="2674"/>
        <v>66446.139995999998</v>
      </c>
      <c r="O514" s="7">
        <f t="shared" si="2504"/>
        <v>858262.10700033337</v>
      </c>
      <c r="P514" s="7">
        <f t="shared" si="2821"/>
        <v>852724.92866733333</v>
      </c>
      <c r="Q514" s="7">
        <f t="shared" si="2821"/>
        <v>847187.75033433328</v>
      </c>
      <c r="R514" s="7">
        <f t="shared" si="2821"/>
        <v>841650.57200133323</v>
      </c>
      <c r="S514" s="7">
        <f t="shared" si="2821"/>
        <v>836113.39366833318</v>
      </c>
      <c r="T514" s="7">
        <f t="shared" si="2821"/>
        <v>830576.21533533314</v>
      </c>
      <c r="U514" s="7">
        <f t="shared" si="2821"/>
        <v>825039.03700233309</v>
      </c>
      <c r="V514" s="7">
        <f t="shared" si="2821"/>
        <v>819501.85866933304</v>
      </c>
      <c r="W514" s="7">
        <f t="shared" si="2821"/>
        <v>813964.680336333</v>
      </c>
      <c r="X514" s="7">
        <f t="shared" si="2821"/>
        <v>808427.50200333295</v>
      </c>
      <c r="Y514" s="7">
        <f t="shared" si="2821"/>
        <v>802890.3236703329</v>
      </c>
      <c r="Z514" s="7">
        <f t="shared" si="2821"/>
        <v>797353.14533733285</v>
      </c>
      <c r="AA514" s="7">
        <f>SUM(O514:Z514,J514)/13*$AA$1</f>
        <v>18272.676737377325</v>
      </c>
      <c r="AB514" s="7"/>
      <c r="AC514" s="7">
        <f t="shared" si="2505"/>
        <v>66446.139995999998</v>
      </c>
      <c r="AD514" s="7">
        <f t="shared" si="2506"/>
        <v>791815.96700433281</v>
      </c>
      <c r="AE514" s="7">
        <f t="shared" si="2823"/>
        <v>786278.78867133276</v>
      </c>
      <c r="AF514" s="7">
        <f t="shared" si="2823"/>
        <v>780741.61033833271</v>
      </c>
      <c r="AG514" s="7">
        <f t="shared" si="2823"/>
        <v>775204.43200533267</v>
      </c>
      <c r="AH514" s="7">
        <f t="shared" si="2823"/>
        <v>769667.25367233262</v>
      </c>
      <c r="AI514" s="7">
        <f t="shared" si="2823"/>
        <v>764130.07533933257</v>
      </c>
      <c r="AJ514" s="7">
        <f t="shared" si="2823"/>
        <v>758592.89700633253</v>
      </c>
      <c r="AK514" s="7">
        <f t="shared" si="2823"/>
        <v>753055.71867333248</v>
      </c>
      <c r="AL514" s="7">
        <f t="shared" si="2823"/>
        <v>747518.54034033243</v>
      </c>
      <c r="AM514" s="7">
        <f t="shared" si="2823"/>
        <v>741981.36200733238</v>
      </c>
      <c r="AN514" s="7">
        <f t="shared" si="2823"/>
        <v>736444.18367433234</v>
      </c>
      <c r="AO514" s="7">
        <f t="shared" si="2823"/>
        <v>730907.00534133229</v>
      </c>
      <c r="AP514" s="222">
        <f>IF(K514&lt;1,0,SUM(AD514:AO514,Z514)/13*$BG$1)</f>
        <v>16810.861657465313</v>
      </c>
      <c r="AQ514" s="7">
        <v>5537.1783329999998</v>
      </c>
      <c r="AR514" s="7">
        <f t="shared" si="2507"/>
        <v>5537.1783330000471</v>
      </c>
      <c r="AS514" s="7">
        <f t="shared" si="2508"/>
        <v>4.7293724492192268E-11</v>
      </c>
      <c r="AT514" s="7">
        <f>AQ514*12</f>
        <v>66446.139995999998</v>
      </c>
      <c r="AU514" s="7">
        <f>AO514-$L514</f>
        <v>725369.82700833224</v>
      </c>
      <c r="AV514" s="7">
        <f t="shared" si="2824"/>
        <v>719832.6486753322</v>
      </c>
      <c r="AW514" s="7">
        <f t="shared" si="2824"/>
        <v>714295.47034233215</v>
      </c>
      <c r="AX514" s="7">
        <f t="shared" si="2824"/>
        <v>708758.2920093321</v>
      </c>
      <c r="AY514" s="7">
        <f t="shared" si="2824"/>
        <v>703221.11367633205</v>
      </c>
      <c r="AZ514" s="7">
        <f t="shared" si="2824"/>
        <v>697683.93534333201</v>
      </c>
      <c r="BA514" s="7">
        <f t="shared" si="2824"/>
        <v>692146.75701033196</v>
      </c>
      <c r="BB514" s="7">
        <f t="shared" si="2824"/>
        <v>686609.57867733191</v>
      </c>
      <c r="BC514" s="7">
        <f t="shared" si="2824"/>
        <v>681072.40034433187</v>
      </c>
      <c r="BD514" s="7">
        <f t="shared" si="2824"/>
        <v>675535.22201133182</v>
      </c>
      <c r="BE514" s="7">
        <f t="shared" si="2824"/>
        <v>669998.04367833177</v>
      </c>
      <c r="BF514" s="7">
        <f t="shared" si="2824"/>
        <v>664460.86534533172</v>
      </c>
      <c r="BG514" s="236">
        <f t="shared" si="2503"/>
        <v>15349.046577553303</v>
      </c>
      <c r="BH514" s="7">
        <v>5537.1783329999998</v>
      </c>
      <c r="BI514" s="39">
        <f>BH514*12</f>
        <v>66446.139995999998</v>
      </c>
      <c r="BJ514" s="7">
        <f>BF514-BH514</f>
        <v>658923.68701233168</v>
      </c>
      <c r="BK514" s="7">
        <f t="shared" ref="BK514:BK515" si="2826">BJ514-$L514</f>
        <v>653386.50867933163</v>
      </c>
      <c r="BL514" s="7">
        <f t="shared" ref="BL514:BL515" si="2827">BK514-$L514</f>
        <v>647849.33034633158</v>
      </c>
      <c r="BM514" s="7">
        <f t="shared" ref="BM514:BM515" si="2828">BL514-$L514</f>
        <v>642312.15201333154</v>
      </c>
      <c r="BN514" s="7">
        <f t="shared" ref="BN514:BN515" si="2829">BM514-$L514</f>
        <v>636774.97368033149</v>
      </c>
      <c r="BO514" s="7">
        <f t="shared" ref="BO514:BO515" si="2830">BN514-$L514</f>
        <v>631237.79534733144</v>
      </c>
      <c r="BP514" s="7">
        <f t="shared" ref="BP514:BP515" si="2831">BO514-$L514</f>
        <v>625700.61701433139</v>
      </c>
      <c r="BQ514" s="7">
        <f t="shared" ref="BQ514:BQ515" si="2832">BP514-$L514</f>
        <v>620163.43868133135</v>
      </c>
      <c r="BR514" s="7">
        <f t="shared" ref="BR514:BR515" si="2833">BQ514-$L514</f>
        <v>614626.2603483313</v>
      </c>
      <c r="BS514" s="7">
        <f t="shared" ref="BS514:BS515" si="2834">BR514-$L514</f>
        <v>609089.08201533125</v>
      </c>
      <c r="BT514" s="7">
        <f t="shared" ref="BT514:BT515" si="2835">BS514-$L514</f>
        <v>603551.90368233121</v>
      </c>
      <c r="BU514" s="7">
        <f t="shared" ref="BU514:BU515" si="2836">BT514-$L514</f>
        <v>598014.72534933116</v>
      </c>
      <c r="BV514" s="236">
        <f>IF(Z514&lt;1,0,SUM(BJ514:BU514,BF514)/13*$BG$1)</f>
        <v>13887.231497641291</v>
      </c>
      <c r="BW514" s="7">
        <v>5537.1783329999998</v>
      </c>
      <c r="BX514" s="39">
        <f>BW514*12</f>
        <v>66446.139995999998</v>
      </c>
      <c r="BY514" s="7">
        <f>BU514-BW514</f>
        <v>592477.54701633111</v>
      </c>
      <c r="BZ514" s="7">
        <f t="shared" ref="BZ514:BZ515" si="2837">BY514-$L514</f>
        <v>586940.36868333106</v>
      </c>
      <c r="CA514" s="7">
        <f t="shared" ref="CA514:CA515" si="2838">BZ514-$L514</f>
        <v>581403.19035033102</v>
      </c>
      <c r="CB514" s="7">
        <f t="shared" ref="CB514:CB515" si="2839">CA514-$L514</f>
        <v>575866.01201733097</v>
      </c>
      <c r="CC514" s="7">
        <f t="shared" ref="CC514:CC515" si="2840">CB514-$L514</f>
        <v>570328.83368433092</v>
      </c>
      <c r="CD514" s="7">
        <f t="shared" ref="CD514:CD515" si="2841">CC514-$L514</f>
        <v>564791.65535133088</v>
      </c>
      <c r="CE514" s="7">
        <f t="shared" ref="CE514:CE515" si="2842">CD514-$L514</f>
        <v>559254.47701833083</v>
      </c>
      <c r="CF514" s="7">
        <f t="shared" ref="CF514:CF515" si="2843">CE514-$L514</f>
        <v>553717.29868533078</v>
      </c>
      <c r="CG514" s="7">
        <f t="shared" ref="CG514:CG515" si="2844">CF514-$L514</f>
        <v>548180.12035233073</v>
      </c>
      <c r="CH514" s="7">
        <f t="shared" ref="CH514:CH515" si="2845">CG514-$L514</f>
        <v>542642.94201933069</v>
      </c>
      <c r="CI514" s="7">
        <f t="shared" ref="CI514:CI515" si="2846">CH514-$L514</f>
        <v>537105.76368633064</v>
      </c>
      <c r="CJ514" s="7">
        <f t="shared" ref="CJ514:CJ515" si="2847">CI514-$L514</f>
        <v>531568.58535333059</v>
      </c>
      <c r="CK514" s="236">
        <f>IF(AO514&lt;1,0,SUM(BY514:CJ514,BU514)/13*$BG$1)</f>
        <v>12425.416417729279</v>
      </c>
      <c r="CL514" s="7">
        <v>5537.1783329999998</v>
      </c>
      <c r="CM514" s="39">
        <f>CL514*12</f>
        <v>66446.139995999998</v>
      </c>
      <c r="CN514" s="7">
        <f>CJ514-CL514</f>
        <v>526031.40702033055</v>
      </c>
      <c r="CO514" s="7">
        <f t="shared" ref="CO514:CO515" si="2848">CN514-$L514</f>
        <v>520494.22868733056</v>
      </c>
      <c r="CP514" s="7">
        <f t="shared" ref="CP514:CP515" si="2849">CO514-$L514</f>
        <v>514957.05035433057</v>
      </c>
      <c r="CQ514" s="7">
        <f t="shared" ref="CQ514:CQ515" si="2850">CP514-$L514</f>
        <v>509419.87202133058</v>
      </c>
      <c r="CR514" s="7">
        <f t="shared" ref="CR514:CR515" si="2851">CQ514-$L514</f>
        <v>503882.69368833059</v>
      </c>
      <c r="CS514" s="7">
        <f t="shared" ref="CS514:CS515" si="2852">CR514-$L514</f>
        <v>498345.5153553306</v>
      </c>
      <c r="CT514" s="7">
        <f t="shared" ref="CT514:CT515" si="2853">CS514-$L514</f>
        <v>492808.33702233061</v>
      </c>
      <c r="CU514" s="7">
        <f t="shared" ref="CU514:CU515" si="2854">CT514-$L514</f>
        <v>487271.15868933062</v>
      </c>
      <c r="CV514" s="7">
        <f t="shared" ref="CV514:CV515" si="2855">CU514-$L514</f>
        <v>481733.98035633063</v>
      </c>
      <c r="CW514" s="7">
        <f t="shared" ref="CW514:CW515" si="2856">CV514-$L514</f>
        <v>476196.80202333065</v>
      </c>
      <c r="CX514" s="7">
        <f t="shared" ref="CX514:CX515" si="2857">CW514-$L514</f>
        <v>470659.62369033066</v>
      </c>
      <c r="CY514" s="7">
        <f t="shared" ref="CY514:CY515" si="2858">CX514-$L514</f>
        <v>465122.44535733067</v>
      </c>
      <c r="CZ514" s="236">
        <f>IF(BF514&lt;1,0,SUM(CN514:CY514,CJ514)/13*$BG$1)</f>
        <v>10963.601337817272</v>
      </c>
    </row>
    <row r="515" spans="1:104" x14ac:dyDescent="0.2">
      <c r="A515" s="6" t="str">
        <f>'[1]2021 УГРЦТ'!A519</f>
        <v>Электронасос типа КМ 100-80-160-5 15кВт</v>
      </c>
      <c r="B515" t="str">
        <f>'[1]2021 УГРЦТ'!B519</f>
        <v>000001770</v>
      </c>
      <c r="C515" t="str">
        <f>'[1]2021 УГРЦТ'!C519</f>
        <v>ТЕПЛОЭНЕРГИЯ</v>
      </c>
      <c r="D515" t="str">
        <f>'[1]2021 УГРЦТ'!D519</f>
        <v>Машины и оборудование (кроме офисного)</v>
      </c>
      <c r="E515" t="str">
        <f>'[1]2021 УГРЦТ'!E519</f>
        <v>11.06.2019</v>
      </c>
      <c r="F515" t="s">
        <v>19</v>
      </c>
      <c r="G515">
        <f>'[1]2021 УГРЦТ'!AC519</f>
        <v>120</v>
      </c>
      <c r="H515" s="7">
        <f>'[1]2021 УГРЦТ'!X519</f>
        <v>58683.33</v>
      </c>
      <c r="I515" s="7">
        <f>'[1]2021 УГРЦТ'!Y519</f>
        <v>14670.873000000003</v>
      </c>
      <c r="J515" s="7">
        <f>'[1]2021 УГРЦТ'!Z519</f>
        <v>44012.456999999995</v>
      </c>
      <c r="K515" s="8">
        <v>0</v>
      </c>
      <c r="L515" s="7">
        <v>489.0299999999998</v>
      </c>
      <c r="M515" s="7"/>
      <c r="N515" s="7">
        <f t="shared" si="2674"/>
        <v>5868.3599999999979</v>
      </c>
      <c r="O515" s="7">
        <f t="shared" si="2504"/>
        <v>43523.426999999996</v>
      </c>
      <c r="P515" s="7">
        <f t="shared" si="2821"/>
        <v>43034.396999999997</v>
      </c>
      <c r="Q515" s="7">
        <f t="shared" si="2821"/>
        <v>42545.366999999998</v>
      </c>
      <c r="R515" s="7">
        <f t="shared" si="2821"/>
        <v>42056.337</v>
      </c>
      <c r="S515" s="7">
        <f t="shared" si="2821"/>
        <v>41567.307000000001</v>
      </c>
      <c r="T515" s="7">
        <f t="shared" si="2821"/>
        <v>41078.277000000002</v>
      </c>
      <c r="U515" s="7">
        <f t="shared" si="2821"/>
        <v>40589.247000000003</v>
      </c>
      <c r="V515" s="7">
        <f t="shared" si="2821"/>
        <v>40100.217000000004</v>
      </c>
      <c r="W515" s="7">
        <f t="shared" si="2821"/>
        <v>39611.187000000005</v>
      </c>
      <c r="X515" s="7">
        <f t="shared" si="2821"/>
        <v>39122.157000000007</v>
      </c>
      <c r="Y515" s="7">
        <f t="shared" si="2821"/>
        <v>38633.127000000008</v>
      </c>
      <c r="Z515" s="7">
        <f t="shared" si="2821"/>
        <v>38144.097000000009</v>
      </c>
      <c r="AA515" s="7"/>
      <c r="AB515" s="7"/>
      <c r="AC515" s="7">
        <f t="shared" si="2505"/>
        <v>5868.3599999999979</v>
      </c>
      <c r="AD515" s="7">
        <f t="shared" si="2506"/>
        <v>37655.06700000001</v>
      </c>
      <c r="AE515" s="7">
        <f t="shared" si="2823"/>
        <v>37166.037000000011</v>
      </c>
      <c r="AF515" s="7">
        <f t="shared" si="2823"/>
        <v>36677.007000000012</v>
      </c>
      <c r="AG515" s="7">
        <f t="shared" si="2823"/>
        <v>36187.977000000014</v>
      </c>
      <c r="AH515" s="7">
        <f t="shared" si="2823"/>
        <v>35698.947000000015</v>
      </c>
      <c r="AI515" s="7">
        <f t="shared" si="2823"/>
        <v>35209.917000000016</v>
      </c>
      <c r="AJ515" s="7">
        <f t="shared" si="2823"/>
        <v>34720.887000000017</v>
      </c>
      <c r="AK515" s="7">
        <f t="shared" si="2823"/>
        <v>34231.857000000018</v>
      </c>
      <c r="AL515" s="7">
        <f t="shared" si="2823"/>
        <v>33742.827000000019</v>
      </c>
      <c r="AM515" s="7">
        <f t="shared" si="2823"/>
        <v>33253.79700000002</v>
      </c>
      <c r="AN515" s="7">
        <f t="shared" si="2823"/>
        <v>32764.767000000022</v>
      </c>
      <c r="AO515" s="7">
        <f t="shared" si="2823"/>
        <v>32275.737000000023</v>
      </c>
      <c r="AP515" s="222"/>
      <c r="AQ515" s="7">
        <v>489.0299999999998</v>
      </c>
      <c r="AR515" s="7">
        <f t="shared" si="2507"/>
        <v>489.02999999999884</v>
      </c>
      <c r="AS515" s="7">
        <f t="shared" si="2508"/>
        <v>-9.6633812063373625E-13</v>
      </c>
      <c r="AT515" s="7">
        <f>AQ515*12</f>
        <v>5868.3599999999979</v>
      </c>
      <c r="AU515" s="7">
        <f>AO515-$L515</f>
        <v>31786.707000000024</v>
      </c>
      <c r="AV515" s="7">
        <f t="shared" si="2824"/>
        <v>31297.677000000025</v>
      </c>
      <c r="AW515" s="7">
        <f t="shared" si="2824"/>
        <v>30808.647000000026</v>
      </c>
      <c r="AX515" s="7">
        <f t="shared" si="2824"/>
        <v>30319.617000000027</v>
      </c>
      <c r="AY515" s="7">
        <f t="shared" si="2824"/>
        <v>29830.587000000029</v>
      </c>
      <c r="AZ515" s="7">
        <f t="shared" si="2824"/>
        <v>29341.55700000003</v>
      </c>
      <c r="BA515" s="7">
        <f t="shared" si="2824"/>
        <v>28852.527000000031</v>
      </c>
      <c r="BB515" s="7">
        <f t="shared" si="2824"/>
        <v>28363.497000000032</v>
      </c>
      <c r="BC515" s="7">
        <f t="shared" si="2824"/>
        <v>27874.467000000033</v>
      </c>
      <c r="BD515" s="7">
        <f t="shared" si="2824"/>
        <v>27385.437000000034</v>
      </c>
      <c r="BE515" s="7">
        <f t="shared" si="2824"/>
        <v>26896.407000000036</v>
      </c>
      <c r="BF515" s="7">
        <f t="shared" si="2824"/>
        <v>26407.377000000037</v>
      </c>
      <c r="BG515" s="236">
        <f t="shared" si="2503"/>
        <v>0</v>
      </c>
      <c r="BH515" s="7">
        <v>489.0299999999998</v>
      </c>
      <c r="BI515" s="39">
        <f>BH515*12</f>
        <v>5868.3599999999979</v>
      </c>
      <c r="BJ515" s="7">
        <f>BF515-BH515</f>
        <v>25918.347000000038</v>
      </c>
      <c r="BK515" s="7">
        <f t="shared" si="2826"/>
        <v>25429.317000000039</v>
      </c>
      <c r="BL515" s="7">
        <f t="shared" si="2827"/>
        <v>24940.28700000004</v>
      </c>
      <c r="BM515" s="7">
        <f t="shared" si="2828"/>
        <v>24451.257000000041</v>
      </c>
      <c r="BN515" s="7">
        <f t="shared" si="2829"/>
        <v>23962.227000000043</v>
      </c>
      <c r="BO515" s="7">
        <f t="shared" si="2830"/>
        <v>23473.197000000044</v>
      </c>
      <c r="BP515" s="7">
        <f t="shared" si="2831"/>
        <v>22984.167000000045</v>
      </c>
      <c r="BQ515" s="7">
        <f t="shared" si="2832"/>
        <v>22495.137000000046</v>
      </c>
      <c r="BR515" s="7">
        <f t="shared" si="2833"/>
        <v>22006.107000000047</v>
      </c>
      <c r="BS515" s="7">
        <f t="shared" si="2834"/>
        <v>21517.077000000048</v>
      </c>
      <c r="BT515" s="7">
        <f t="shared" si="2835"/>
        <v>21028.04700000005</v>
      </c>
      <c r="BU515" s="7">
        <f t="shared" si="2836"/>
        <v>20539.017000000051</v>
      </c>
      <c r="BV515" s="236">
        <v>0</v>
      </c>
      <c r="BW515" s="7">
        <v>489.0299999999998</v>
      </c>
      <c r="BX515" s="39">
        <f>BW515*12</f>
        <v>5868.3599999999979</v>
      </c>
      <c r="BY515" s="7">
        <f>BU515-BW515</f>
        <v>20049.987000000052</v>
      </c>
      <c r="BZ515" s="7">
        <f t="shared" si="2837"/>
        <v>19560.957000000053</v>
      </c>
      <c r="CA515" s="7">
        <f t="shared" si="2838"/>
        <v>19071.927000000054</v>
      </c>
      <c r="CB515" s="7">
        <f t="shared" si="2839"/>
        <v>18582.897000000055</v>
      </c>
      <c r="CC515" s="7">
        <f t="shared" si="2840"/>
        <v>18093.867000000057</v>
      </c>
      <c r="CD515" s="7">
        <f t="shared" si="2841"/>
        <v>17604.837000000058</v>
      </c>
      <c r="CE515" s="7">
        <f t="shared" si="2842"/>
        <v>17115.807000000059</v>
      </c>
      <c r="CF515" s="7">
        <f t="shared" si="2843"/>
        <v>16626.77700000006</v>
      </c>
      <c r="CG515" s="7">
        <f t="shared" si="2844"/>
        <v>16137.747000000059</v>
      </c>
      <c r="CH515" s="7">
        <f t="shared" si="2845"/>
        <v>15648.717000000059</v>
      </c>
      <c r="CI515" s="7">
        <f t="shared" si="2846"/>
        <v>15159.687000000058</v>
      </c>
      <c r="CJ515" s="7">
        <f t="shared" si="2847"/>
        <v>14670.657000000057</v>
      </c>
      <c r="CK515" s="236">
        <v>0</v>
      </c>
      <c r="CL515" s="7">
        <v>489.0299999999998</v>
      </c>
      <c r="CM515" s="39">
        <f>CL515*12</f>
        <v>5868.3599999999979</v>
      </c>
      <c r="CN515" s="7">
        <f>CJ515-CL515</f>
        <v>14181.627000000057</v>
      </c>
      <c r="CO515" s="7">
        <f t="shared" si="2848"/>
        <v>13692.597000000056</v>
      </c>
      <c r="CP515" s="7">
        <f t="shared" si="2849"/>
        <v>13203.567000000055</v>
      </c>
      <c r="CQ515" s="7">
        <f t="shared" si="2850"/>
        <v>12714.537000000055</v>
      </c>
      <c r="CR515" s="7">
        <f t="shared" si="2851"/>
        <v>12225.507000000054</v>
      </c>
      <c r="CS515" s="7">
        <f t="shared" si="2852"/>
        <v>11736.477000000054</v>
      </c>
      <c r="CT515" s="7">
        <f t="shared" si="2853"/>
        <v>11247.447000000053</v>
      </c>
      <c r="CU515" s="7">
        <f t="shared" si="2854"/>
        <v>10758.417000000052</v>
      </c>
      <c r="CV515" s="7">
        <f t="shared" si="2855"/>
        <v>10269.387000000052</v>
      </c>
      <c r="CW515" s="7">
        <f t="shared" si="2856"/>
        <v>9780.3570000000509</v>
      </c>
      <c r="CX515" s="7">
        <f t="shared" si="2857"/>
        <v>9291.3270000000502</v>
      </c>
      <c r="CY515" s="7">
        <f t="shared" si="2858"/>
        <v>8802.2970000000496</v>
      </c>
      <c r="CZ515" s="236">
        <v>0</v>
      </c>
    </row>
    <row r="516" spans="1:104" x14ac:dyDescent="0.2">
      <c r="A516" s="6" t="str">
        <f>'[1]2021 УГРЦТ'!A520</f>
        <v>ОБЩЕПРОИЗВОДСТВЕННЫЕ РАСХОДЫ</v>
      </c>
      <c r="B516" t="e">
        <f>'[1]2021 УГРЦТ'!B520</f>
        <v>#REF!</v>
      </c>
      <c r="C516" t="e">
        <f>'[1]2021 УГРЦТ'!C520</f>
        <v>#REF!</v>
      </c>
      <c r="D516" t="e">
        <f>'[1]2021 УГРЦТ'!D520</f>
        <v>#REF!</v>
      </c>
      <c r="E516" t="e">
        <f>'[1]2021 УГРЦТ'!E520</f>
        <v>#REF!</v>
      </c>
      <c r="F516" t="e">
        <f>'[1]2021 УГРЦТ'!F520</f>
        <v>#REF!</v>
      </c>
      <c r="G516" t="e">
        <f>'[1]2021 УГРЦТ'!AC520</f>
        <v>#REF!</v>
      </c>
      <c r="H516" s="7">
        <f>'[1]2021 УГРЦТ'!X520</f>
        <v>45296112.980000004</v>
      </c>
      <c r="I516" s="7">
        <f>'[1]2021 УГРЦТ'!Y520</f>
        <v>9997530.4129112549</v>
      </c>
      <c r="J516" s="7">
        <f>'[1]2021 УГРЦТ'!Z520</f>
        <v>35264958.642116532</v>
      </c>
      <c r="K516" s="8">
        <v>0</v>
      </c>
      <c r="L516" s="7">
        <v>0</v>
      </c>
      <c r="M516" s="7"/>
      <c r="N516" s="7">
        <f t="shared" si="2674"/>
        <v>0</v>
      </c>
      <c r="O516" s="7">
        <f t="shared" ref="O516:O579" si="2859">J516-$L516</f>
        <v>35264958.642116532</v>
      </c>
      <c r="P516" s="7">
        <f t="shared" si="2821"/>
        <v>35264958.642116532</v>
      </c>
      <c r="Q516" s="7">
        <f t="shared" si="2821"/>
        <v>35264958.642116532</v>
      </c>
      <c r="R516" s="7">
        <f t="shared" si="2821"/>
        <v>35264958.642116532</v>
      </c>
      <c r="S516" s="7">
        <f t="shared" si="2821"/>
        <v>35264958.642116532</v>
      </c>
      <c r="T516" s="7">
        <f t="shared" si="2821"/>
        <v>35264958.642116532</v>
      </c>
      <c r="U516" s="7">
        <f t="shared" si="2821"/>
        <v>35264958.642116532</v>
      </c>
      <c r="V516" s="7">
        <f t="shared" si="2821"/>
        <v>35264958.642116532</v>
      </c>
      <c r="W516" s="7">
        <f t="shared" si="2821"/>
        <v>35264958.642116532</v>
      </c>
      <c r="X516" s="7">
        <f t="shared" si="2821"/>
        <v>35264958.642116532</v>
      </c>
      <c r="Y516" s="7">
        <f t="shared" si="2821"/>
        <v>35264958.642116532</v>
      </c>
      <c r="Z516" s="7">
        <f t="shared" si="2821"/>
        <v>35264958.642116532</v>
      </c>
      <c r="AA516" s="7"/>
      <c r="AB516" s="7"/>
      <c r="AC516" s="7">
        <f t="shared" ref="AC516:AC578" si="2860">L516*12</f>
        <v>0</v>
      </c>
      <c r="AD516" s="7">
        <f t="shared" ref="AD516:AD579" si="2861">Z516-$L516</f>
        <v>35264958.642116532</v>
      </c>
      <c r="AE516" s="7">
        <f t="shared" si="2823"/>
        <v>35264958.642116532</v>
      </c>
      <c r="AF516" s="7">
        <f t="shared" si="2823"/>
        <v>35264958.642116532</v>
      </c>
      <c r="AG516" s="7">
        <f t="shared" si="2823"/>
        <v>35264958.642116532</v>
      </c>
      <c r="AH516" s="7">
        <f t="shared" si="2823"/>
        <v>35264958.642116532</v>
      </c>
      <c r="AI516" s="7">
        <f t="shared" si="2823"/>
        <v>35264958.642116532</v>
      </c>
      <c r="AJ516" s="7">
        <f t="shared" si="2823"/>
        <v>35264958.642116532</v>
      </c>
      <c r="AK516" s="7">
        <f t="shared" si="2823"/>
        <v>35264958.642116532</v>
      </c>
      <c r="AL516" s="7">
        <f t="shared" si="2823"/>
        <v>35264958.642116532</v>
      </c>
      <c r="AM516" s="7">
        <f t="shared" si="2823"/>
        <v>35264958.642116532</v>
      </c>
      <c r="AN516" s="7">
        <f t="shared" si="2823"/>
        <v>35264958.642116532</v>
      </c>
      <c r="AO516" s="7">
        <f t="shared" si="2823"/>
        <v>35264958.642116532</v>
      </c>
      <c r="AP516" s="222"/>
      <c r="AQ516" s="7">
        <v>0</v>
      </c>
      <c r="AR516" s="7">
        <f t="shared" si="2507"/>
        <v>0</v>
      </c>
      <c r="AS516" s="7">
        <f t="shared" si="2508"/>
        <v>0</v>
      </c>
      <c r="AT516" s="7">
        <f t="shared" ref="AT516:AT518" si="2862">L516*12</f>
        <v>0</v>
      </c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236">
        <f t="shared" ref="BG516:BG579" si="2863">IF(K516&lt;1,0,SUM(AU516:BF516,AO516)/13*$BG$1)</f>
        <v>0</v>
      </c>
      <c r="BH516" s="7">
        <v>0</v>
      </c>
      <c r="BI516" s="39">
        <v>0</v>
      </c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236">
        <f>IF(Z516&lt;1,0,SUM(BJ516:BU516,BF516)/13*$BG$1)</f>
        <v>0</v>
      </c>
      <c r="BW516" s="7">
        <v>0</v>
      </c>
      <c r="BX516" s="39">
        <v>0</v>
      </c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236">
        <f>IF(AO516&lt;1,0,SUM(BY516:CJ516,BU516)/13*$BG$1)</f>
        <v>0</v>
      </c>
      <c r="CL516" s="7">
        <v>0</v>
      </c>
      <c r="CM516" s="39">
        <v>0</v>
      </c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236">
        <f>IF(BF516&lt;1,0,SUM(CN516:CY516,CJ516)/13*$BG$1)</f>
        <v>0</v>
      </c>
    </row>
    <row r="517" spans="1:104" x14ac:dyDescent="0.2">
      <c r="A517" s="6" t="str">
        <f>'[1]2021 УГРЦТ'!A521</f>
        <v>Ангар для складских помещений</v>
      </c>
      <c r="B517" t="str">
        <f>'[1]2021 УГРЦТ'!B521</f>
        <v>000001783</v>
      </c>
      <c r="C517" t="str">
        <f>'[1]2021 УГРЦТ'!C521</f>
        <v>ОБЩЕПРОИЗВОДСТВЕННЫЕ РАСХОДЫ</v>
      </c>
      <c r="D517" t="str">
        <f>'[1]2021 УГРЦТ'!D521</f>
        <v>Здания</v>
      </c>
      <c r="E517" t="str">
        <f>'[1]2021 УГРЦТ'!E521</f>
        <v>16.12.2019</v>
      </c>
      <c r="F517" t="str">
        <f>'[1]2021 УГРЦТ'!F521</f>
        <v>общепроизводственные расходы</v>
      </c>
      <c r="G517">
        <f>'[1]2021 УГРЦТ'!AC521</f>
        <v>480</v>
      </c>
      <c r="H517" s="7">
        <f>'[1]2021 УГРЦТ'!X521</f>
        <v>24720373.289999999</v>
      </c>
      <c r="I517" s="7">
        <f>'[1]2021 УГРЦТ'!Y521</f>
        <v>1236018.6922499998</v>
      </c>
      <c r="J517" s="7">
        <f>'[1]2021 УГРЦТ'!Z521</f>
        <v>23484354.597750001</v>
      </c>
      <c r="K517" s="8">
        <v>1</v>
      </c>
      <c r="L517" s="7">
        <v>51500.780000000006</v>
      </c>
      <c r="M517" s="7"/>
      <c r="N517" s="7">
        <f t="shared" si="2674"/>
        <v>618009.3600000001</v>
      </c>
      <c r="O517" s="7">
        <f t="shared" si="2859"/>
        <v>23432853.817749999</v>
      </c>
      <c r="P517" s="7">
        <f t="shared" si="2821"/>
        <v>23381353.037749998</v>
      </c>
      <c r="Q517" s="7">
        <f t="shared" si="2821"/>
        <v>23329852.257749997</v>
      </c>
      <c r="R517" s="7">
        <f t="shared" si="2821"/>
        <v>23278351.477749996</v>
      </c>
      <c r="S517" s="7">
        <f t="shared" si="2821"/>
        <v>23226850.697749995</v>
      </c>
      <c r="T517" s="7">
        <f t="shared" si="2821"/>
        <v>23175349.917749994</v>
      </c>
      <c r="U517" s="7">
        <f t="shared" si="2821"/>
        <v>23123849.137749992</v>
      </c>
      <c r="V517" s="7">
        <f t="shared" si="2821"/>
        <v>23072348.357749991</v>
      </c>
      <c r="W517" s="7">
        <f t="shared" si="2821"/>
        <v>23020847.57774999</v>
      </c>
      <c r="X517" s="7">
        <f t="shared" si="2821"/>
        <v>22969346.797749989</v>
      </c>
      <c r="Y517" s="7">
        <f t="shared" si="2821"/>
        <v>22917846.017749988</v>
      </c>
      <c r="Z517" s="7">
        <f t="shared" si="2821"/>
        <v>22866345.237749986</v>
      </c>
      <c r="AA517" s="7">
        <f t="shared" ref="AA517:AA518" si="2864">SUM(O517:Z517,J517)/13*$AA$1</f>
        <v>509857.69819049991</v>
      </c>
      <c r="AB517" s="7"/>
      <c r="AC517" s="7">
        <f t="shared" si="2860"/>
        <v>618009.3600000001</v>
      </c>
      <c r="AD517" s="7">
        <f t="shared" si="2861"/>
        <v>22814844.457749985</v>
      </c>
      <c r="AE517" s="7">
        <f t="shared" si="2823"/>
        <v>22763343.677749984</v>
      </c>
      <c r="AF517" s="7">
        <f t="shared" si="2823"/>
        <v>22711842.897749983</v>
      </c>
      <c r="AG517" s="7">
        <f t="shared" si="2823"/>
        <v>22660342.117749982</v>
      </c>
      <c r="AH517" s="7">
        <f t="shared" si="2823"/>
        <v>22608841.33774998</v>
      </c>
      <c r="AI517" s="7">
        <f t="shared" si="2823"/>
        <v>22557340.557749979</v>
      </c>
      <c r="AJ517" s="7">
        <f t="shared" si="2823"/>
        <v>22505839.777749978</v>
      </c>
      <c r="AK517" s="7">
        <f t="shared" si="2823"/>
        <v>22454338.997749977</v>
      </c>
      <c r="AL517" s="7">
        <f t="shared" si="2823"/>
        <v>22402838.217749976</v>
      </c>
      <c r="AM517" s="7">
        <f t="shared" si="2823"/>
        <v>22351337.437749974</v>
      </c>
      <c r="AN517" s="7">
        <f t="shared" si="2823"/>
        <v>22299836.657749973</v>
      </c>
      <c r="AO517" s="7">
        <f t="shared" si="2823"/>
        <v>22248335.877749972</v>
      </c>
      <c r="AP517" s="222">
        <f>IF(K517&lt;1,0,SUM(AD517:AO517,Z517)/13*$BG$1)</f>
        <v>496261.49227049958</v>
      </c>
      <c r="AQ517" s="7">
        <v>51500.780000000006</v>
      </c>
      <c r="AR517" s="7">
        <f t="shared" ref="AR517:AR580" si="2865">AN517-AO517</f>
        <v>51500.780000001192</v>
      </c>
      <c r="AS517" s="7">
        <f t="shared" ref="AS517:AS580" si="2866">AR517-AQ517</f>
        <v>1.1859810911118984E-9</v>
      </c>
      <c r="AT517" s="7">
        <f t="shared" si="2862"/>
        <v>618009.3600000001</v>
      </c>
      <c r="AU517" s="7">
        <f t="shared" ref="AU517:AU523" si="2867">AO517-$L517</f>
        <v>22196835.097749971</v>
      </c>
      <c r="AV517" s="7">
        <f t="shared" si="2824"/>
        <v>22145334.31774997</v>
      </c>
      <c r="AW517" s="7">
        <f t="shared" si="2824"/>
        <v>22093833.537749968</v>
      </c>
      <c r="AX517" s="7">
        <f t="shared" si="2824"/>
        <v>22042332.757749967</v>
      </c>
      <c r="AY517" s="7">
        <f t="shared" si="2824"/>
        <v>21990831.977749966</v>
      </c>
      <c r="AZ517" s="7">
        <f t="shared" si="2824"/>
        <v>21939331.197749965</v>
      </c>
      <c r="BA517" s="7">
        <f t="shared" si="2824"/>
        <v>21887830.417749964</v>
      </c>
      <c r="BB517" s="7">
        <f t="shared" si="2824"/>
        <v>21836329.637749963</v>
      </c>
      <c r="BC517" s="7">
        <f t="shared" si="2824"/>
        <v>21784828.857749961</v>
      </c>
      <c r="BD517" s="7">
        <f t="shared" si="2824"/>
        <v>21733328.07774996</v>
      </c>
      <c r="BE517" s="7">
        <f t="shared" si="2824"/>
        <v>21681827.297749959</v>
      </c>
      <c r="BF517" s="7">
        <f t="shared" si="2824"/>
        <v>21630326.517749958</v>
      </c>
      <c r="BG517" s="236">
        <f t="shared" si="2863"/>
        <v>482665.28635049926</v>
      </c>
      <c r="BH517" s="7">
        <v>51500.780000000006</v>
      </c>
      <c r="BI517" s="39">
        <f t="shared" ref="BI517:BI523" si="2868">BH517*12</f>
        <v>618009.3600000001</v>
      </c>
      <c r="BJ517" s="7">
        <f t="shared" ref="BJ517:BJ523" si="2869">BF517-BH517</f>
        <v>21578825.737749957</v>
      </c>
      <c r="BK517" s="7">
        <f t="shared" ref="BK517:BK523" si="2870">BJ517-$L517</f>
        <v>21527324.957749955</v>
      </c>
      <c r="BL517" s="7">
        <f t="shared" ref="BL517:BL523" si="2871">BK517-$L517</f>
        <v>21475824.177749954</v>
      </c>
      <c r="BM517" s="7">
        <f t="shared" ref="BM517:BM523" si="2872">BL517-$L517</f>
        <v>21424323.397749953</v>
      </c>
      <c r="BN517" s="7">
        <f t="shared" ref="BN517:BN523" si="2873">BM517-$L517</f>
        <v>21372822.617749952</v>
      </c>
      <c r="BO517" s="7">
        <f t="shared" ref="BO517:BO523" si="2874">BN517-$L517</f>
        <v>21321321.837749951</v>
      </c>
      <c r="BP517" s="7">
        <f t="shared" ref="BP517:BP523" si="2875">BO517-$L517</f>
        <v>21269821.057749949</v>
      </c>
      <c r="BQ517" s="7">
        <f t="shared" ref="BQ517:BQ523" si="2876">BP517-$L517</f>
        <v>21218320.277749948</v>
      </c>
      <c r="BR517" s="7">
        <f t="shared" ref="BR517:BR518" si="2877">BQ517-$L517</f>
        <v>21166819.497749947</v>
      </c>
      <c r="BS517" s="7">
        <f t="shared" ref="BS517:BS523" si="2878">BR517-$L517</f>
        <v>21115318.717749946</v>
      </c>
      <c r="BT517" s="7">
        <f t="shared" ref="BT517:BT523" si="2879">BS517-$L517</f>
        <v>21063817.937749945</v>
      </c>
      <c r="BU517" s="7">
        <f t="shared" ref="BU517:BU523" si="2880">BT517-$L517</f>
        <v>21012317.157749943</v>
      </c>
      <c r="BV517" s="236">
        <f>IF(Z517&lt;1,0,SUM(BJ517:BU517,BF517)/13*$BG$1)</f>
        <v>469069.08043049899</v>
      </c>
      <c r="BW517" s="7">
        <v>51500.780000000006</v>
      </c>
      <c r="BX517" s="39">
        <f t="shared" ref="BX517:BX523" si="2881">BW517*12</f>
        <v>618009.3600000001</v>
      </c>
      <c r="BY517" s="7">
        <f t="shared" ref="BY517:BY523" si="2882">BU517-BW517</f>
        <v>20960816.377749942</v>
      </c>
      <c r="BZ517" s="7">
        <f t="shared" ref="BZ517:BZ523" si="2883">BY517-$L517</f>
        <v>20909315.597749941</v>
      </c>
      <c r="CA517" s="7">
        <f t="shared" ref="CA517:CA523" si="2884">BZ517-$L517</f>
        <v>20857814.81774994</v>
      </c>
      <c r="CB517" s="7">
        <f t="shared" ref="CB517:CB523" si="2885">CA517-$L517</f>
        <v>20806314.037749939</v>
      </c>
      <c r="CC517" s="7">
        <f t="shared" ref="CC517:CC523" si="2886">CB517-$L517</f>
        <v>20754813.257749937</v>
      </c>
      <c r="CD517" s="7">
        <f t="shared" ref="CD517:CD523" si="2887">CC517-$L517</f>
        <v>20703312.477749936</v>
      </c>
      <c r="CE517" s="7">
        <f t="shared" ref="CE517:CE523" si="2888">CD517-$L517</f>
        <v>20651811.697749935</v>
      </c>
      <c r="CF517" s="7">
        <f t="shared" ref="CF517:CF523" si="2889">CE517-$L517</f>
        <v>20600310.917749934</v>
      </c>
      <c r="CG517" s="7">
        <f t="shared" ref="CG517:CG518" si="2890">CF517-$L517</f>
        <v>20548810.137749933</v>
      </c>
      <c r="CH517" s="7">
        <f t="shared" ref="CH517:CH523" si="2891">CG517-$L517</f>
        <v>20497309.357749932</v>
      </c>
      <c r="CI517" s="7">
        <f t="shared" ref="CI517:CI523" si="2892">CH517-$L517</f>
        <v>20445808.57774993</v>
      </c>
      <c r="CJ517" s="7">
        <f t="shared" ref="CJ517:CJ523" si="2893">CI517-$L517</f>
        <v>20394307.797749929</v>
      </c>
      <c r="CK517" s="236">
        <f>IF(AO517&lt;1,0,SUM(BY517:CJ517,BU517)/13*$BG$1)</f>
        <v>455472.87451049866</v>
      </c>
      <c r="CL517" s="7">
        <v>51500.780000000006</v>
      </c>
      <c r="CM517" s="39">
        <f t="shared" ref="CM517:CM523" si="2894">CL517*12</f>
        <v>618009.3600000001</v>
      </c>
      <c r="CN517" s="7">
        <f t="shared" ref="CN517:CN523" si="2895">CJ517-CL517</f>
        <v>20342807.017749928</v>
      </c>
      <c r="CO517" s="7">
        <f t="shared" ref="CO517:CO523" si="2896">CN517-$L517</f>
        <v>20291306.237749927</v>
      </c>
      <c r="CP517" s="7">
        <f t="shared" ref="CP517:CP523" si="2897">CO517-$L517</f>
        <v>20239805.457749926</v>
      </c>
      <c r="CQ517" s="7">
        <f t="shared" ref="CQ517:CQ523" si="2898">CP517-$L517</f>
        <v>20188304.677749924</v>
      </c>
      <c r="CR517" s="7">
        <f t="shared" ref="CR517:CR523" si="2899">CQ517-$L517</f>
        <v>20136803.897749923</v>
      </c>
      <c r="CS517" s="7">
        <f t="shared" ref="CS517:CS523" si="2900">CR517-$L517</f>
        <v>20085303.117749922</v>
      </c>
      <c r="CT517" s="7">
        <f t="shared" ref="CT517:CT523" si="2901">CS517-$L517</f>
        <v>20033802.337749921</v>
      </c>
      <c r="CU517" s="7">
        <f t="shared" ref="CU517:CU523" si="2902">CT517-$L517</f>
        <v>19982301.55774992</v>
      </c>
      <c r="CV517" s="7">
        <f t="shared" ref="CV517:CV518" si="2903">CU517-$L517</f>
        <v>19930800.777749918</v>
      </c>
      <c r="CW517" s="7">
        <f t="shared" ref="CW517:CW523" si="2904">CV517-$L517</f>
        <v>19879299.997749917</v>
      </c>
      <c r="CX517" s="7">
        <f t="shared" ref="CX517:CX523" si="2905">CW517-$L517</f>
        <v>19827799.217749916</v>
      </c>
      <c r="CY517" s="7">
        <f t="shared" ref="CY517:CY523" si="2906">CX517-$L517</f>
        <v>19776298.437749915</v>
      </c>
      <c r="CZ517" s="236">
        <f>IF(BF517&lt;1,0,SUM(CN517:CY517,CJ517)/13*$BG$1)</f>
        <v>441876.66859049833</v>
      </c>
    </row>
    <row r="518" spans="1:104" s="180" customFormat="1" x14ac:dyDescent="0.2">
      <c r="A518" s="179" t="str">
        <f>'[1]2021 УГРЦТ'!A522</f>
        <v>Дорожное покрытие на территории электростанции</v>
      </c>
      <c r="B518" s="180" t="str">
        <f>'[1]2021 УГРЦТ'!B522</f>
        <v>00001355</v>
      </c>
      <c r="C518" s="180" t="str">
        <f>'[1]2021 УГРЦТ'!C522</f>
        <v>ОБЩЕПРОИЗВОДСТВЕННЫЕ РАСХОДЫ</v>
      </c>
      <c r="D518" s="180" t="str">
        <f>'[1]2021 УГРЦТ'!D522</f>
        <v>Сооружения</v>
      </c>
      <c r="E518" s="180" t="str">
        <f>'[1]2021 УГРЦТ'!E522</f>
        <v>30.04.2011</v>
      </c>
      <c r="F518" s="180" t="str">
        <f>'[1]2021 УГРЦТ'!F522</f>
        <v>Тепломеханический цех</v>
      </c>
      <c r="G518" s="180">
        <f>'[1]2021 УГРЦТ'!AC522</f>
        <v>240</v>
      </c>
      <c r="H518" s="181">
        <f>'[1]2021 УГРЦТ'!X522</f>
        <v>3490808.3</v>
      </c>
      <c r="I518" s="181">
        <f>'[1]2021 УГРЦТ'!Y522</f>
        <v>1647512.56</v>
      </c>
      <c r="J518" s="181">
        <f>'[1]2021 УГРЦТ'!Z522</f>
        <v>1843295.7399999998</v>
      </c>
      <c r="K518" s="182">
        <v>1</v>
      </c>
      <c r="L518" s="181">
        <v>16475.310000000001</v>
      </c>
      <c r="M518" s="181"/>
      <c r="N518" s="181">
        <f t="shared" si="2674"/>
        <v>197703.72000000003</v>
      </c>
      <c r="O518" s="7">
        <f t="shared" si="2859"/>
        <v>1826820.4299999997</v>
      </c>
      <c r="P518" s="7">
        <f t="shared" si="2821"/>
        <v>1810345.1199999996</v>
      </c>
      <c r="Q518" s="7">
        <f t="shared" si="2821"/>
        <v>1793869.8099999996</v>
      </c>
      <c r="R518" s="7">
        <f t="shared" si="2821"/>
        <v>1777394.4999999995</v>
      </c>
      <c r="S518" s="7">
        <f t="shared" si="2821"/>
        <v>1760919.1899999995</v>
      </c>
      <c r="T518" s="7">
        <f t="shared" si="2821"/>
        <v>1744443.8799999994</v>
      </c>
      <c r="U518" s="7">
        <f t="shared" si="2821"/>
        <v>1727968.5699999994</v>
      </c>
      <c r="V518" s="7">
        <f t="shared" si="2821"/>
        <v>1711493.2599999993</v>
      </c>
      <c r="W518" s="7">
        <f t="shared" si="2821"/>
        <v>1695017.9499999993</v>
      </c>
      <c r="X518" s="7">
        <f t="shared" si="2821"/>
        <v>1678542.6399999992</v>
      </c>
      <c r="Y518" s="7">
        <f t="shared" si="2821"/>
        <v>1662067.3299999991</v>
      </c>
      <c r="Z518" s="7">
        <f t="shared" si="2821"/>
        <v>1645592.0199999991</v>
      </c>
      <c r="AA518" s="7">
        <f t="shared" si="2864"/>
        <v>38377.765359999983</v>
      </c>
      <c r="AB518" s="7"/>
      <c r="AC518" s="7">
        <f t="shared" si="2860"/>
        <v>197703.72000000003</v>
      </c>
      <c r="AD518" s="7">
        <f t="shared" si="2861"/>
        <v>1629116.709999999</v>
      </c>
      <c r="AE518" s="7">
        <f t="shared" si="2823"/>
        <v>1612641.399999999</v>
      </c>
      <c r="AF518" s="7">
        <f t="shared" si="2823"/>
        <v>1596166.0899999989</v>
      </c>
      <c r="AG518" s="7">
        <f t="shared" si="2823"/>
        <v>1579690.7799999989</v>
      </c>
      <c r="AH518" s="7">
        <f t="shared" si="2823"/>
        <v>1563215.4699999988</v>
      </c>
      <c r="AI518" s="7">
        <f t="shared" si="2823"/>
        <v>1546740.1599999988</v>
      </c>
      <c r="AJ518" s="7">
        <f t="shared" si="2823"/>
        <v>1530264.8499999987</v>
      </c>
      <c r="AK518" s="7">
        <f t="shared" si="2823"/>
        <v>1513789.5399999986</v>
      </c>
      <c r="AL518" s="7">
        <f t="shared" si="2823"/>
        <v>1497314.2299999986</v>
      </c>
      <c r="AM518" s="7">
        <f t="shared" si="2823"/>
        <v>1480838.9199999985</v>
      </c>
      <c r="AN518" s="7">
        <f t="shared" si="2823"/>
        <v>1464363.6099999985</v>
      </c>
      <c r="AO518" s="7">
        <f t="shared" si="2823"/>
        <v>1447888.2999999984</v>
      </c>
      <c r="AP518" s="222">
        <f>IF(K518&lt;1,0,SUM(AD518:AO518,Z518)/13*$BG$1)</f>
        <v>34028.283519999968</v>
      </c>
      <c r="AQ518" s="7">
        <v>16475.310000000001</v>
      </c>
      <c r="AR518" s="7">
        <f t="shared" si="2865"/>
        <v>16475.310000000056</v>
      </c>
      <c r="AS518" s="7">
        <f t="shared" si="2866"/>
        <v>5.4569682106375694E-11</v>
      </c>
      <c r="AT518" s="7">
        <f t="shared" si="2862"/>
        <v>197703.72000000003</v>
      </c>
      <c r="AU518" s="7">
        <f t="shared" si="2867"/>
        <v>1431412.9899999984</v>
      </c>
      <c r="AV518" s="7">
        <f t="shared" si="2824"/>
        <v>1414937.6799999983</v>
      </c>
      <c r="AW518" s="7">
        <f t="shared" si="2824"/>
        <v>1398462.3699999982</v>
      </c>
      <c r="AX518" s="7">
        <f t="shared" si="2824"/>
        <v>1381987.0599999982</v>
      </c>
      <c r="AY518" s="7">
        <f t="shared" si="2824"/>
        <v>1365511.7499999981</v>
      </c>
      <c r="AZ518" s="7">
        <f t="shared" si="2824"/>
        <v>1349036.4399999981</v>
      </c>
      <c r="BA518" s="7">
        <f t="shared" si="2824"/>
        <v>1332561.129999998</v>
      </c>
      <c r="BB518" s="7">
        <f t="shared" si="2824"/>
        <v>1316085.819999998</v>
      </c>
      <c r="BC518" s="7">
        <f t="shared" si="2824"/>
        <v>1299610.5099999979</v>
      </c>
      <c r="BD518" s="7">
        <f t="shared" si="2824"/>
        <v>1283135.1999999979</v>
      </c>
      <c r="BE518" s="7">
        <f t="shared" si="2824"/>
        <v>1266659.8899999978</v>
      </c>
      <c r="BF518" s="7">
        <f t="shared" si="2824"/>
        <v>1250184.5799999977</v>
      </c>
      <c r="BG518" s="236">
        <f t="shared" si="2863"/>
        <v>29678.80167999995</v>
      </c>
      <c r="BH518" s="7">
        <v>16475.310000000001</v>
      </c>
      <c r="BI518" s="39">
        <f t="shared" si="2868"/>
        <v>197703.72000000003</v>
      </c>
      <c r="BJ518" s="7">
        <f t="shared" si="2869"/>
        <v>1233709.2699999977</v>
      </c>
      <c r="BK518" s="7">
        <f t="shared" si="2870"/>
        <v>1217233.9599999976</v>
      </c>
      <c r="BL518" s="7">
        <f t="shared" si="2871"/>
        <v>1200758.6499999976</v>
      </c>
      <c r="BM518" s="7">
        <f t="shared" si="2872"/>
        <v>1184283.3399999975</v>
      </c>
      <c r="BN518" s="7">
        <f t="shared" si="2873"/>
        <v>1167808.0299999975</v>
      </c>
      <c r="BO518" s="7">
        <f t="shared" si="2874"/>
        <v>1151332.7199999974</v>
      </c>
      <c r="BP518" s="7">
        <f t="shared" si="2875"/>
        <v>1134857.4099999974</v>
      </c>
      <c r="BQ518" s="7">
        <f t="shared" si="2876"/>
        <v>1118382.0999999973</v>
      </c>
      <c r="BR518" s="7">
        <f t="shared" si="2877"/>
        <v>1101906.7899999972</v>
      </c>
      <c r="BS518" s="7">
        <f t="shared" si="2878"/>
        <v>1085431.4799999972</v>
      </c>
      <c r="BT518" s="7">
        <f t="shared" si="2879"/>
        <v>1068956.1699999971</v>
      </c>
      <c r="BU518" s="7">
        <f t="shared" si="2880"/>
        <v>1052480.8599999971</v>
      </c>
      <c r="BV518" s="236">
        <f>IF(Z518&lt;1,0,SUM(BJ518:BU518,BF518)/13*$BG$1)</f>
        <v>25329.319839999942</v>
      </c>
      <c r="BW518" s="7">
        <v>16475.310000000001</v>
      </c>
      <c r="BX518" s="39">
        <f t="shared" si="2881"/>
        <v>197703.72000000003</v>
      </c>
      <c r="BY518" s="7">
        <f t="shared" si="2882"/>
        <v>1036005.549999997</v>
      </c>
      <c r="BZ518" s="7">
        <f t="shared" si="2883"/>
        <v>1019530.239999997</v>
      </c>
      <c r="CA518" s="7">
        <f t="shared" si="2884"/>
        <v>1003054.9299999969</v>
      </c>
      <c r="CB518" s="7">
        <f t="shared" si="2885"/>
        <v>986579.61999999685</v>
      </c>
      <c r="CC518" s="7">
        <f t="shared" si="2886"/>
        <v>970104.3099999968</v>
      </c>
      <c r="CD518" s="7">
        <f t="shared" si="2887"/>
        <v>953628.99999999674</v>
      </c>
      <c r="CE518" s="7">
        <f t="shared" si="2888"/>
        <v>937153.68999999668</v>
      </c>
      <c r="CF518" s="7">
        <f t="shared" si="2889"/>
        <v>920678.37999999663</v>
      </c>
      <c r="CG518" s="7">
        <f t="shared" si="2890"/>
        <v>904203.06999999657</v>
      </c>
      <c r="CH518" s="7">
        <f t="shared" si="2891"/>
        <v>887727.75999999652</v>
      </c>
      <c r="CI518" s="7">
        <f t="shared" si="2892"/>
        <v>871252.44999999646</v>
      </c>
      <c r="CJ518" s="7">
        <f t="shared" si="2893"/>
        <v>854777.13999999641</v>
      </c>
      <c r="CK518" s="236">
        <f>IF(AO518&lt;1,0,SUM(BY518:CJ518,BU518)/13*$BG$1)</f>
        <v>20979.837999999927</v>
      </c>
      <c r="CL518" s="7">
        <v>16475.310000000001</v>
      </c>
      <c r="CM518" s="39">
        <f t="shared" si="2894"/>
        <v>197703.72000000003</v>
      </c>
      <c r="CN518" s="7">
        <f t="shared" si="2895"/>
        <v>838301.82999999635</v>
      </c>
      <c r="CO518" s="7">
        <f t="shared" si="2896"/>
        <v>821826.51999999629</v>
      </c>
      <c r="CP518" s="7">
        <f t="shared" si="2897"/>
        <v>805351.20999999624</v>
      </c>
      <c r="CQ518" s="7">
        <f t="shared" si="2898"/>
        <v>788875.89999999618</v>
      </c>
      <c r="CR518" s="7">
        <f t="shared" si="2899"/>
        <v>772400.58999999613</v>
      </c>
      <c r="CS518" s="7">
        <f t="shared" si="2900"/>
        <v>755925.27999999607</v>
      </c>
      <c r="CT518" s="7">
        <f t="shared" si="2901"/>
        <v>739449.96999999601</v>
      </c>
      <c r="CU518" s="7">
        <f t="shared" si="2902"/>
        <v>722974.65999999596</v>
      </c>
      <c r="CV518" s="7">
        <f t="shared" si="2903"/>
        <v>706499.3499999959</v>
      </c>
      <c r="CW518" s="7">
        <f t="shared" si="2904"/>
        <v>690024.03999999585</v>
      </c>
      <c r="CX518" s="7">
        <f t="shared" si="2905"/>
        <v>673548.72999999579</v>
      </c>
      <c r="CY518" s="7">
        <f t="shared" si="2906"/>
        <v>657073.41999999573</v>
      </c>
      <c r="CZ518" s="236">
        <f>IF(BF518&lt;1,0,SUM(CN518:CY518,CJ518)/13*$BG$1)</f>
        <v>16630.356159999912</v>
      </c>
    </row>
    <row r="519" spans="1:104" x14ac:dyDescent="0.2">
      <c r="A519" s="6" t="str">
        <f>'[1]2021 УГРЦТ'!A523</f>
        <v>Здание лаборатории  1970г.</v>
      </c>
      <c r="B519" t="str">
        <f>'[1]2021 УГРЦТ'!B523</f>
        <v>00000033</v>
      </c>
      <c r="C519" t="str">
        <f>'[1]2021 УГРЦТ'!C523</f>
        <v>ОБЩЕПРОИЗВОДСТВЕННЫЕ РАСХОДЫ</v>
      </c>
      <c r="D519" t="str">
        <f>'[1]2021 УГРЦТ'!D523</f>
        <v>Здания</v>
      </c>
      <c r="E519" t="str">
        <f>'[1]2021 УГРЦТ'!E523</f>
        <v>01.01.1970</v>
      </c>
      <c r="F519" t="str">
        <f>'[1]2021 УГРЦТ'!F523</f>
        <v>общепроизводственные расходы</v>
      </c>
      <c r="G519">
        <f>Лист1!K32</f>
        <v>802</v>
      </c>
      <c r="H519" s="7">
        <f>'[1]2021 УГРЦТ'!X523</f>
        <v>129495.26</v>
      </c>
      <c r="I519" s="7">
        <f>'[1]2021 УГРЦТ'!Y523</f>
        <v>22978.068111111112</v>
      </c>
      <c r="J519" s="7">
        <f>'[1]2021 УГРЦТ'!Z523</f>
        <v>106517.19188888889</v>
      </c>
      <c r="K519" s="8">
        <v>0</v>
      </c>
      <c r="L519" s="39">
        <v>595.07000000000005</v>
      </c>
      <c r="M519" s="11"/>
      <c r="N519" s="7">
        <f t="shared" si="2674"/>
        <v>7140.84</v>
      </c>
      <c r="O519" s="7">
        <f t="shared" si="2859"/>
        <v>105922.12188888888</v>
      </c>
      <c r="P519" s="7">
        <f t="shared" si="2821"/>
        <v>105327.05188888888</v>
      </c>
      <c r="Q519" s="7">
        <f t="shared" si="2821"/>
        <v>104731.98188888887</v>
      </c>
      <c r="R519" s="7">
        <f t="shared" si="2821"/>
        <v>104136.91188888886</v>
      </c>
      <c r="S519" s="7">
        <f t="shared" si="2821"/>
        <v>103541.84188888886</v>
      </c>
      <c r="T519" s="7">
        <f t="shared" si="2821"/>
        <v>102946.77188888885</v>
      </c>
      <c r="U519" s="7">
        <f t="shared" si="2821"/>
        <v>102351.70188888884</v>
      </c>
      <c r="V519" s="7">
        <f t="shared" si="2821"/>
        <v>101756.63188888883</v>
      </c>
      <c r="W519" s="7">
        <f t="shared" si="2821"/>
        <v>101161.56188888883</v>
      </c>
      <c r="X519" s="7">
        <f t="shared" si="2821"/>
        <v>100566.49188888882</v>
      </c>
      <c r="Y519" s="7">
        <f t="shared" si="2821"/>
        <v>99971.421888888814</v>
      </c>
      <c r="Z519" s="7">
        <f t="shared" si="2821"/>
        <v>99376.351888888807</v>
      </c>
      <c r="AA519" s="7"/>
      <c r="AB519" s="7"/>
      <c r="AC519" s="7">
        <f>IF(AB519&gt;0,AB519*12,L519*12)</f>
        <v>7140.84</v>
      </c>
      <c r="AD519" s="7">
        <f t="shared" si="2861"/>
        <v>98781.2818888888</v>
      </c>
      <c r="AE519" s="7">
        <f t="shared" si="2823"/>
        <v>98186.211888888793</v>
      </c>
      <c r="AF519" s="7">
        <f t="shared" si="2823"/>
        <v>97591.141888888786</v>
      </c>
      <c r="AG519" s="7">
        <f t="shared" si="2823"/>
        <v>96996.071888888779</v>
      </c>
      <c r="AH519" s="7">
        <f t="shared" si="2823"/>
        <v>96401.001888888772</v>
      </c>
      <c r="AI519" s="7">
        <f t="shared" si="2823"/>
        <v>95805.931888888765</v>
      </c>
      <c r="AJ519" s="7">
        <f t="shared" si="2823"/>
        <v>95210.861888888758</v>
      </c>
      <c r="AK519" s="7">
        <f t="shared" si="2823"/>
        <v>94615.791888888751</v>
      </c>
      <c r="AL519" s="7">
        <f t="shared" si="2823"/>
        <v>94020.721888888744</v>
      </c>
      <c r="AM519" s="7">
        <f t="shared" si="2823"/>
        <v>93425.651888888737</v>
      </c>
      <c r="AN519" s="7">
        <f t="shared" si="2823"/>
        <v>92830.58188888873</v>
      </c>
      <c r="AO519" s="7">
        <f>AN519-$L519</f>
        <v>92235.511888888723</v>
      </c>
      <c r="AP519" s="222"/>
      <c r="AQ519" s="7">
        <v>595.07000000000005</v>
      </c>
      <c r="AR519" s="7">
        <f t="shared" si="2865"/>
        <v>595.07000000000698</v>
      </c>
      <c r="AS519" s="7">
        <f t="shared" si="2866"/>
        <v>6.9348971010185778E-12</v>
      </c>
      <c r="AT519" s="7">
        <f>AQ519*12</f>
        <v>7140.84</v>
      </c>
      <c r="AU519" s="7">
        <f t="shared" si="2867"/>
        <v>91640.441888888716</v>
      </c>
      <c r="AV519" s="7">
        <f t="shared" si="2824"/>
        <v>91045.371888888709</v>
      </c>
      <c r="AW519" s="7">
        <f t="shared" si="2824"/>
        <v>90450.301888888702</v>
      </c>
      <c r="AX519" s="7">
        <f t="shared" si="2824"/>
        <v>89855.231888888695</v>
      </c>
      <c r="AY519" s="7">
        <f t="shared" si="2824"/>
        <v>89260.161888888688</v>
      </c>
      <c r="AZ519" s="7">
        <f t="shared" si="2824"/>
        <v>88665.091888888681</v>
      </c>
      <c r="BA519" s="7">
        <f t="shared" si="2824"/>
        <v>88070.021888888674</v>
      </c>
      <c r="BB519" s="7">
        <f t="shared" si="2824"/>
        <v>87474.951888888667</v>
      </c>
      <c r="BC519" s="7">
        <f>BB519-$L519</f>
        <v>86879.88188888866</v>
      </c>
      <c r="BD519" s="7">
        <f t="shared" si="2824"/>
        <v>86284.811888888653</v>
      </c>
      <c r="BE519" s="7">
        <f t="shared" si="2824"/>
        <v>85689.741888888646</v>
      </c>
      <c r="BF519" s="7">
        <f t="shared" si="2824"/>
        <v>85094.671888888639</v>
      </c>
      <c r="BG519" s="236">
        <f t="shared" si="2863"/>
        <v>0</v>
      </c>
      <c r="BH519" s="7">
        <v>595.07000000000005</v>
      </c>
      <c r="BI519" s="39">
        <f t="shared" si="2868"/>
        <v>7140.84</v>
      </c>
      <c r="BJ519" s="7">
        <f t="shared" si="2869"/>
        <v>84499.601888888632</v>
      </c>
      <c r="BK519" s="7">
        <f t="shared" si="2870"/>
        <v>83904.531888888625</v>
      </c>
      <c r="BL519" s="7">
        <f t="shared" si="2871"/>
        <v>83309.461888888618</v>
      </c>
      <c r="BM519" s="7">
        <f t="shared" si="2872"/>
        <v>82714.391888888611</v>
      </c>
      <c r="BN519" s="7">
        <f t="shared" si="2873"/>
        <v>82119.321888888604</v>
      </c>
      <c r="BO519" s="7">
        <f t="shared" si="2874"/>
        <v>81524.251888888597</v>
      </c>
      <c r="BP519" s="7">
        <f t="shared" si="2875"/>
        <v>80929.18188888859</v>
      </c>
      <c r="BQ519" s="7">
        <f t="shared" si="2876"/>
        <v>80334.111888888583</v>
      </c>
      <c r="BR519" s="7">
        <f>BQ519-$L519</f>
        <v>79739.041888888576</v>
      </c>
      <c r="BS519" s="7">
        <f t="shared" si="2878"/>
        <v>79143.971888888569</v>
      </c>
      <c r="BT519" s="7">
        <f t="shared" si="2879"/>
        <v>78548.901888888562</v>
      </c>
      <c r="BU519" s="7">
        <f t="shared" si="2880"/>
        <v>77953.831888888555</v>
      </c>
      <c r="BV519" s="236">
        <v>0</v>
      </c>
      <c r="BW519" s="7">
        <v>595.07000000000005</v>
      </c>
      <c r="BX519" s="39">
        <f t="shared" si="2881"/>
        <v>7140.84</v>
      </c>
      <c r="BY519" s="7">
        <f t="shared" si="2882"/>
        <v>77358.761888888548</v>
      </c>
      <c r="BZ519" s="7">
        <f t="shared" si="2883"/>
        <v>76763.691888888541</v>
      </c>
      <c r="CA519" s="7">
        <f t="shared" si="2884"/>
        <v>76168.621888888534</v>
      </c>
      <c r="CB519" s="7">
        <f t="shared" si="2885"/>
        <v>75573.551888888527</v>
      </c>
      <c r="CC519" s="7">
        <f t="shared" si="2886"/>
        <v>74978.48188888852</v>
      </c>
      <c r="CD519" s="7">
        <f t="shared" si="2887"/>
        <v>74383.411888888513</v>
      </c>
      <c r="CE519" s="7">
        <f t="shared" si="2888"/>
        <v>73788.341888888506</v>
      </c>
      <c r="CF519" s="7">
        <f t="shared" si="2889"/>
        <v>73193.271888888499</v>
      </c>
      <c r="CG519" s="7">
        <f>CF519-$L519</f>
        <v>72598.201888888492</v>
      </c>
      <c r="CH519" s="7">
        <f t="shared" si="2891"/>
        <v>72003.131888888485</v>
      </c>
      <c r="CI519" s="7">
        <f t="shared" si="2892"/>
        <v>71408.061888888478</v>
      </c>
      <c r="CJ519" s="7">
        <f t="shared" si="2893"/>
        <v>70812.991888888471</v>
      </c>
      <c r="CK519" s="236">
        <v>0</v>
      </c>
      <c r="CL519" s="7">
        <v>595.07000000000005</v>
      </c>
      <c r="CM519" s="39">
        <f t="shared" si="2894"/>
        <v>7140.84</v>
      </c>
      <c r="CN519" s="7">
        <f t="shared" si="2895"/>
        <v>70217.921888888464</v>
      </c>
      <c r="CO519" s="7">
        <f t="shared" si="2896"/>
        <v>69622.851888888457</v>
      </c>
      <c r="CP519" s="7">
        <f t="shared" si="2897"/>
        <v>69027.78188888845</v>
      </c>
      <c r="CQ519" s="7">
        <f t="shared" si="2898"/>
        <v>68432.711888888443</v>
      </c>
      <c r="CR519" s="7">
        <f t="shared" si="2899"/>
        <v>67837.641888888436</v>
      </c>
      <c r="CS519" s="7">
        <f t="shared" si="2900"/>
        <v>67242.571888888429</v>
      </c>
      <c r="CT519" s="7">
        <f t="shared" si="2901"/>
        <v>66647.501888888422</v>
      </c>
      <c r="CU519" s="7">
        <f t="shared" si="2902"/>
        <v>66052.431888888415</v>
      </c>
      <c r="CV519" s="7">
        <f>CU519-$L519</f>
        <v>65457.361888888416</v>
      </c>
      <c r="CW519" s="7">
        <f t="shared" si="2904"/>
        <v>64862.291888888416</v>
      </c>
      <c r="CX519" s="7">
        <f t="shared" si="2905"/>
        <v>64267.221888888416</v>
      </c>
      <c r="CY519" s="7">
        <f t="shared" si="2906"/>
        <v>63672.151888888417</v>
      </c>
      <c r="CZ519" s="236">
        <v>0</v>
      </c>
    </row>
    <row r="520" spans="1:104" x14ac:dyDescent="0.2">
      <c r="A520" s="6" t="str">
        <f>'[1]2021 УГРЦТ'!A524</f>
        <v xml:space="preserve">Комплект складских стеллажей </v>
      </c>
      <c r="B520" t="str">
        <f>'[1]2021 УГРЦТ'!B524</f>
        <v>000001820</v>
      </c>
      <c r="C520" t="str">
        <f>'[1]2021 УГРЦТ'!C524</f>
        <v>ОБЩЕПРОИЗВОДСТВЕННЫЕ РАСХОДЫ</v>
      </c>
      <c r="D520" t="str">
        <f>'[1]2021 УГРЦТ'!D524</f>
        <v>Производственный и хозяйственный инвентарь</v>
      </c>
      <c r="E520" t="str">
        <f>'[1]2021 УГРЦТ'!E524</f>
        <v>31.08.2020</v>
      </c>
      <c r="F520" t="str">
        <f>'[1]2021 УГРЦТ'!F524</f>
        <v>общепроизводственные расходы</v>
      </c>
      <c r="G520">
        <f>'[1]2021 УГРЦТ'!AC524</f>
        <v>180</v>
      </c>
      <c r="H520" s="7">
        <f>'[1]2021 УГРЦТ'!X524</f>
        <v>213239.76</v>
      </c>
      <c r="I520" s="7">
        <f>'[1]2021 УГРЦТ'!Y524</f>
        <v>18954.664000000004</v>
      </c>
      <c r="J520" s="7">
        <f>'[1]2021 УГРЦТ'!Z524</f>
        <v>194285.09600000002</v>
      </c>
      <c r="K520" s="8">
        <v>0</v>
      </c>
      <c r="L520" s="7">
        <v>1184.663333</v>
      </c>
      <c r="M520" s="7"/>
      <c r="N520" s="7">
        <f t="shared" si="2674"/>
        <v>14215.959996</v>
      </c>
      <c r="O520" s="7">
        <f t="shared" si="2859"/>
        <v>193100.43266700002</v>
      </c>
      <c r="P520" s="7">
        <f t="shared" si="2821"/>
        <v>191915.76933400001</v>
      </c>
      <c r="Q520" s="7">
        <f t="shared" si="2821"/>
        <v>190731.10600100001</v>
      </c>
      <c r="R520" s="7">
        <f t="shared" si="2821"/>
        <v>189546.442668</v>
      </c>
      <c r="S520" s="7">
        <f t="shared" si="2821"/>
        <v>188361.779335</v>
      </c>
      <c r="T520" s="7">
        <f t="shared" si="2821"/>
        <v>187177.116002</v>
      </c>
      <c r="U520" s="7">
        <f t="shared" si="2821"/>
        <v>185992.45266899999</v>
      </c>
      <c r="V520" s="7">
        <f t="shared" si="2821"/>
        <v>184807.78933599999</v>
      </c>
      <c r="W520" s="7">
        <f t="shared" si="2821"/>
        <v>183623.12600299998</v>
      </c>
      <c r="X520" s="7">
        <f t="shared" si="2821"/>
        <v>182438.46266999998</v>
      </c>
      <c r="Y520" s="7">
        <f t="shared" si="2821"/>
        <v>181253.79933699997</v>
      </c>
      <c r="Z520" s="7">
        <f t="shared" si="2821"/>
        <v>180069.13600399997</v>
      </c>
      <c r="AA520" s="7"/>
      <c r="AB520" s="7"/>
      <c r="AC520" s="7">
        <f t="shared" si="2860"/>
        <v>14215.959996</v>
      </c>
      <c r="AD520" s="7">
        <f t="shared" si="2861"/>
        <v>178884.47267099997</v>
      </c>
      <c r="AE520" s="7">
        <f t="shared" si="2823"/>
        <v>177699.80933799996</v>
      </c>
      <c r="AF520" s="7">
        <f t="shared" si="2823"/>
        <v>176515.14600499996</v>
      </c>
      <c r="AG520" s="7">
        <f t="shared" si="2823"/>
        <v>175330.48267199995</v>
      </c>
      <c r="AH520" s="7">
        <f t="shared" si="2823"/>
        <v>174145.81933899995</v>
      </c>
      <c r="AI520" s="7">
        <f t="shared" si="2823"/>
        <v>172961.15600599995</v>
      </c>
      <c r="AJ520" s="7">
        <f t="shared" si="2823"/>
        <v>171776.49267299994</v>
      </c>
      <c r="AK520" s="7">
        <f t="shared" si="2823"/>
        <v>170591.82933999994</v>
      </c>
      <c r="AL520" s="7">
        <f t="shared" si="2823"/>
        <v>169407.16600699993</v>
      </c>
      <c r="AM520" s="7">
        <f t="shared" si="2823"/>
        <v>168222.50267399993</v>
      </c>
      <c r="AN520" s="7">
        <f t="shared" si="2823"/>
        <v>167037.83934099993</v>
      </c>
      <c r="AO520" s="7">
        <f t="shared" si="2823"/>
        <v>165853.17600799992</v>
      </c>
      <c r="AP520" s="222"/>
      <c r="AQ520" s="7">
        <v>1184.663333</v>
      </c>
      <c r="AR520" s="7">
        <f t="shared" si="2865"/>
        <v>1184.6633330000041</v>
      </c>
      <c r="AS520" s="7">
        <f t="shared" si="2866"/>
        <v>4.0927261579781771E-12</v>
      </c>
      <c r="AT520" s="7">
        <f>AQ520*12</f>
        <v>14215.959996</v>
      </c>
      <c r="AU520" s="7">
        <f t="shared" si="2867"/>
        <v>164668.51267499992</v>
      </c>
      <c r="AV520" s="7">
        <f t="shared" si="2824"/>
        <v>163483.84934199991</v>
      </c>
      <c r="AW520" s="7">
        <f t="shared" si="2824"/>
        <v>162299.18600899991</v>
      </c>
      <c r="AX520" s="7">
        <f t="shared" si="2824"/>
        <v>161114.52267599991</v>
      </c>
      <c r="AY520" s="7">
        <f t="shared" si="2824"/>
        <v>159929.8593429999</v>
      </c>
      <c r="AZ520" s="7">
        <f t="shared" si="2824"/>
        <v>158745.1960099999</v>
      </c>
      <c r="BA520" s="7">
        <f t="shared" si="2824"/>
        <v>157560.53267699989</v>
      </c>
      <c r="BB520" s="7">
        <f t="shared" si="2824"/>
        <v>156375.86934399989</v>
      </c>
      <c r="BC520" s="7">
        <f t="shared" si="2824"/>
        <v>155191.20601099989</v>
      </c>
      <c r="BD520" s="7">
        <f t="shared" si="2824"/>
        <v>154006.54267799988</v>
      </c>
      <c r="BE520" s="7">
        <f t="shared" si="2824"/>
        <v>152821.87934499988</v>
      </c>
      <c r="BF520" s="7">
        <f t="shared" si="2824"/>
        <v>151637.21601199987</v>
      </c>
      <c r="BG520" s="236">
        <f t="shared" si="2863"/>
        <v>0</v>
      </c>
      <c r="BH520" s="7">
        <v>1184.663333</v>
      </c>
      <c r="BI520" s="39">
        <f t="shared" si="2868"/>
        <v>14215.959996</v>
      </c>
      <c r="BJ520" s="7">
        <f t="shared" si="2869"/>
        <v>150452.55267899987</v>
      </c>
      <c r="BK520" s="7">
        <f t="shared" si="2870"/>
        <v>149267.88934599987</v>
      </c>
      <c r="BL520" s="7">
        <f t="shared" si="2871"/>
        <v>148083.22601299986</v>
      </c>
      <c r="BM520" s="7">
        <f t="shared" si="2872"/>
        <v>146898.56267999986</v>
      </c>
      <c r="BN520" s="7">
        <f t="shared" si="2873"/>
        <v>145713.89934699985</v>
      </c>
      <c r="BO520" s="7">
        <f t="shared" si="2874"/>
        <v>144529.23601399985</v>
      </c>
      <c r="BP520" s="7">
        <f t="shared" si="2875"/>
        <v>143344.57268099985</v>
      </c>
      <c r="BQ520" s="7">
        <f t="shared" si="2876"/>
        <v>142159.90934799984</v>
      </c>
      <c r="BR520" s="7">
        <f t="shared" ref="BR520:BR523" si="2907">BQ520-$L520</f>
        <v>140975.24601499984</v>
      </c>
      <c r="BS520" s="7">
        <f t="shared" si="2878"/>
        <v>139790.58268199983</v>
      </c>
      <c r="BT520" s="7">
        <f t="shared" si="2879"/>
        <v>138605.91934899983</v>
      </c>
      <c r="BU520" s="7">
        <f t="shared" si="2880"/>
        <v>137421.25601599982</v>
      </c>
      <c r="BV520" s="236">
        <v>0</v>
      </c>
      <c r="BW520" s="7">
        <v>1184.663333</v>
      </c>
      <c r="BX520" s="39">
        <f t="shared" si="2881"/>
        <v>14215.959996</v>
      </c>
      <c r="BY520" s="7">
        <f t="shared" si="2882"/>
        <v>136236.59268299982</v>
      </c>
      <c r="BZ520" s="7">
        <f t="shared" si="2883"/>
        <v>135051.92934999982</v>
      </c>
      <c r="CA520" s="7">
        <f t="shared" si="2884"/>
        <v>133867.26601699981</v>
      </c>
      <c r="CB520" s="7">
        <f t="shared" si="2885"/>
        <v>132682.60268399981</v>
      </c>
      <c r="CC520" s="7">
        <f t="shared" si="2886"/>
        <v>131497.9393509998</v>
      </c>
      <c r="CD520" s="7">
        <f t="shared" si="2887"/>
        <v>130313.2760179998</v>
      </c>
      <c r="CE520" s="7">
        <f t="shared" si="2888"/>
        <v>129128.6126849998</v>
      </c>
      <c r="CF520" s="7">
        <f t="shared" si="2889"/>
        <v>127943.94935199979</v>
      </c>
      <c r="CG520" s="7">
        <f t="shared" ref="CG520:CG523" si="2908">CF520-$L520</f>
        <v>126759.28601899979</v>
      </c>
      <c r="CH520" s="7">
        <f t="shared" si="2891"/>
        <v>125574.62268599978</v>
      </c>
      <c r="CI520" s="7">
        <f t="shared" si="2892"/>
        <v>124389.95935299978</v>
      </c>
      <c r="CJ520" s="7">
        <f t="shared" si="2893"/>
        <v>123205.29601999978</v>
      </c>
      <c r="CK520" s="236">
        <v>0</v>
      </c>
      <c r="CL520" s="7">
        <v>1184.663333</v>
      </c>
      <c r="CM520" s="39">
        <f t="shared" si="2894"/>
        <v>14215.959996</v>
      </c>
      <c r="CN520" s="7">
        <f t="shared" si="2895"/>
        <v>122020.63268699977</v>
      </c>
      <c r="CO520" s="7">
        <f t="shared" si="2896"/>
        <v>120835.96935399977</v>
      </c>
      <c r="CP520" s="7">
        <f t="shared" si="2897"/>
        <v>119651.30602099976</v>
      </c>
      <c r="CQ520" s="7">
        <f t="shared" si="2898"/>
        <v>118466.64268799976</v>
      </c>
      <c r="CR520" s="7">
        <f t="shared" si="2899"/>
        <v>117281.97935499976</v>
      </c>
      <c r="CS520" s="7">
        <f t="shared" si="2900"/>
        <v>116097.31602199975</v>
      </c>
      <c r="CT520" s="7">
        <f t="shared" si="2901"/>
        <v>114912.65268899975</v>
      </c>
      <c r="CU520" s="7">
        <f t="shared" si="2902"/>
        <v>113727.98935599974</v>
      </c>
      <c r="CV520" s="7">
        <f t="shared" ref="CV520:CV523" si="2909">CU520-$L520</f>
        <v>112543.32602299974</v>
      </c>
      <c r="CW520" s="7">
        <f t="shared" si="2904"/>
        <v>111358.66268999974</v>
      </c>
      <c r="CX520" s="7">
        <f t="shared" si="2905"/>
        <v>110173.99935699973</v>
      </c>
      <c r="CY520" s="7">
        <f t="shared" si="2906"/>
        <v>108989.33602399973</v>
      </c>
      <c r="CZ520" s="236">
        <v>0</v>
      </c>
    </row>
    <row r="521" spans="1:104" x14ac:dyDescent="0.2">
      <c r="A521" s="6" t="str">
        <f>'[1]2021 УГРЦТ'!A525</f>
        <v>Комплект среднегрузовых стеллажей</v>
      </c>
      <c r="B521" t="str">
        <f>'[1]2021 УГРЦТ'!B525</f>
        <v>000001808</v>
      </c>
      <c r="C521" t="str">
        <f>'[1]2021 УГРЦТ'!C525</f>
        <v>ОБЩЕПРОИЗВОДСТВЕННЫЕ РАСХОДЫ</v>
      </c>
      <c r="D521" t="str">
        <f>'[1]2021 УГРЦТ'!D525</f>
        <v>Производственный и хозяйственный инвентарь</v>
      </c>
      <c r="E521" t="str">
        <f>'[1]2021 УГРЦТ'!E525</f>
        <v>21.04.2020</v>
      </c>
      <c r="F521" t="str">
        <f>'[1]2021 УГРЦТ'!F525</f>
        <v>общепроизводственные расходы</v>
      </c>
      <c r="G521">
        <f>'[1]2021 УГРЦТ'!AC525</f>
        <v>180</v>
      </c>
      <c r="H521" s="7">
        <f>'[1]2021 УГРЦТ'!X525</f>
        <v>394092.87</v>
      </c>
      <c r="I521" s="7">
        <f>'[1]2021 УГРЦТ'!Y525</f>
        <v>43788.058000000005</v>
      </c>
      <c r="J521" s="7">
        <f>'[1]2021 УГРЦТ'!Z525</f>
        <v>350304.81199999998</v>
      </c>
      <c r="K521" s="8">
        <v>0</v>
      </c>
      <c r="L521" s="7">
        <v>2189.41</v>
      </c>
      <c r="M521" s="7"/>
      <c r="N521" s="7">
        <f t="shared" si="2674"/>
        <v>26272.92</v>
      </c>
      <c r="O521" s="7">
        <f t="shared" si="2859"/>
        <v>348115.402</v>
      </c>
      <c r="P521" s="7">
        <f t="shared" si="2821"/>
        <v>345925.99200000003</v>
      </c>
      <c r="Q521" s="7">
        <f t="shared" si="2821"/>
        <v>343736.58200000005</v>
      </c>
      <c r="R521" s="7">
        <f t="shared" si="2821"/>
        <v>341547.17200000008</v>
      </c>
      <c r="S521" s="7">
        <f t="shared" si="2821"/>
        <v>339357.7620000001</v>
      </c>
      <c r="T521" s="7">
        <f t="shared" si="2821"/>
        <v>337168.35200000013</v>
      </c>
      <c r="U521" s="7">
        <f t="shared" si="2821"/>
        <v>334978.94200000016</v>
      </c>
      <c r="V521" s="7">
        <f t="shared" si="2821"/>
        <v>332789.53200000018</v>
      </c>
      <c r="W521" s="7">
        <f t="shared" si="2821"/>
        <v>330600.12200000021</v>
      </c>
      <c r="X521" s="7">
        <f t="shared" si="2821"/>
        <v>328410.71200000023</v>
      </c>
      <c r="Y521" s="7">
        <f t="shared" si="2821"/>
        <v>326221.30200000026</v>
      </c>
      <c r="Z521" s="7">
        <f t="shared" si="2821"/>
        <v>324031.89200000028</v>
      </c>
      <c r="AA521" s="7"/>
      <c r="AB521" s="7"/>
      <c r="AC521" s="7">
        <f t="shared" si="2860"/>
        <v>26272.92</v>
      </c>
      <c r="AD521" s="7">
        <f t="shared" si="2861"/>
        <v>321842.48200000031</v>
      </c>
      <c r="AE521" s="7">
        <f t="shared" si="2823"/>
        <v>319653.07200000033</v>
      </c>
      <c r="AF521" s="7">
        <f t="shared" si="2823"/>
        <v>317463.66200000036</v>
      </c>
      <c r="AG521" s="7">
        <f t="shared" si="2823"/>
        <v>315274.25200000039</v>
      </c>
      <c r="AH521" s="7">
        <f t="shared" si="2823"/>
        <v>313084.84200000041</v>
      </c>
      <c r="AI521" s="7">
        <f t="shared" si="2823"/>
        <v>310895.43200000044</v>
      </c>
      <c r="AJ521" s="7">
        <f t="shared" si="2823"/>
        <v>308706.02200000046</v>
      </c>
      <c r="AK521" s="7">
        <f t="shared" si="2823"/>
        <v>306516.61200000049</v>
      </c>
      <c r="AL521" s="7">
        <f t="shared" si="2823"/>
        <v>304327.20200000051</v>
      </c>
      <c r="AM521" s="7">
        <f t="shared" si="2823"/>
        <v>302137.79200000054</v>
      </c>
      <c r="AN521" s="7">
        <f t="shared" si="2823"/>
        <v>299948.38200000057</v>
      </c>
      <c r="AO521" s="7">
        <f t="shared" si="2823"/>
        <v>297758.97200000059</v>
      </c>
      <c r="AP521" s="222"/>
      <c r="AQ521" s="7">
        <v>2189.41</v>
      </c>
      <c r="AR521" s="7">
        <f t="shared" si="2865"/>
        <v>2189.4099999999744</v>
      </c>
      <c r="AS521" s="7">
        <f t="shared" si="2866"/>
        <v>-2.5465851649641991E-11</v>
      </c>
      <c r="AT521" s="7">
        <f>AQ521*12</f>
        <v>26272.92</v>
      </c>
      <c r="AU521" s="7">
        <f t="shared" si="2867"/>
        <v>295569.56200000062</v>
      </c>
      <c r="AV521" s="7">
        <f t="shared" si="2824"/>
        <v>293380.15200000064</v>
      </c>
      <c r="AW521" s="7">
        <f t="shared" si="2824"/>
        <v>291190.74200000067</v>
      </c>
      <c r="AX521" s="7">
        <f t="shared" si="2824"/>
        <v>289001.33200000069</v>
      </c>
      <c r="AY521" s="7">
        <f t="shared" si="2824"/>
        <v>286811.92200000072</v>
      </c>
      <c r="AZ521" s="7">
        <f t="shared" si="2824"/>
        <v>284622.51200000074</v>
      </c>
      <c r="BA521" s="7">
        <f t="shared" si="2824"/>
        <v>282433.10200000077</v>
      </c>
      <c r="BB521" s="7">
        <f t="shared" si="2824"/>
        <v>280243.6920000008</v>
      </c>
      <c r="BC521" s="7">
        <f t="shared" si="2824"/>
        <v>278054.28200000082</v>
      </c>
      <c r="BD521" s="7">
        <f t="shared" si="2824"/>
        <v>275864.87200000085</v>
      </c>
      <c r="BE521" s="7">
        <f t="shared" si="2824"/>
        <v>273675.46200000087</v>
      </c>
      <c r="BF521" s="7">
        <f t="shared" si="2824"/>
        <v>271486.0520000009</v>
      </c>
      <c r="BG521" s="236">
        <f t="shared" si="2863"/>
        <v>0</v>
      </c>
      <c r="BH521" s="7">
        <v>2189.41</v>
      </c>
      <c r="BI521" s="39">
        <f t="shared" si="2868"/>
        <v>26272.92</v>
      </c>
      <c r="BJ521" s="7">
        <f t="shared" si="2869"/>
        <v>269296.64200000092</v>
      </c>
      <c r="BK521" s="7">
        <f t="shared" si="2870"/>
        <v>267107.23200000095</v>
      </c>
      <c r="BL521" s="7">
        <f t="shared" si="2871"/>
        <v>264917.82200000098</v>
      </c>
      <c r="BM521" s="7">
        <f t="shared" si="2872"/>
        <v>262728.412000001</v>
      </c>
      <c r="BN521" s="7">
        <f t="shared" si="2873"/>
        <v>260539.002000001</v>
      </c>
      <c r="BO521" s="7">
        <f t="shared" si="2874"/>
        <v>258349.59200000099</v>
      </c>
      <c r="BP521" s="7">
        <f t="shared" si="2875"/>
        <v>256160.18200000099</v>
      </c>
      <c r="BQ521" s="7">
        <f t="shared" si="2876"/>
        <v>253970.77200000099</v>
      </c>
      <c r="BR521" s="7">
        <f t="shared" si="2907"/>
        <v>251781.36200000098</v>
      </c>
      <c r="BS521" s="7">
        <f t="shared" si="2878"/>
        <v>249591.95200000098</v>
      </c>
      <c r="BT521" s="7">
        <f t="shared" si="2879"/>
        <v>247402.54200000098</v>
      </c>
      <c r="BU521" s="7">
        <f t="shared" si="2880"/>
        <v>245213.13200000097</v>
      </c>
      <c r="BV521" s="236">
        <v>0</v>
      </c>
      <c r="BW521" s="7">
        <v>2189.41</v>
      </c>
      <c r="BX521" s="39">
        <f t="shared" si="2881"/>
        <v>26272.92</v>
      </c>
      <c r="BY521" s="7">
        <f t="shared" si="2882"/>
        <v>243023.72200000097</v>
      </c>
      <c r="BZ521" s="7">
        <f t="shared" si="2883"/>
        <v>240834.31200000097</v>
      </c>
      <c r="CA521" s="7">
        <f t="shared" si="2884"/>
        <v>238644.90200000096</v>
      </c>
      <c r="CB521" s="7">
        <f t="shared" si="2885"/>
        <v>236455.49200000096</v>
      </c>
      <c r="CC521" s="7">
        <f t="shared" si="2886"/>
        <v>234266.08200000096</v>
      </c>
      <c r="CD521" s="7">
        <f t="shared" si="2887"/>
        <v>232076.67200000095</v>
      </c>
      <c r="CE521" s="7">
        <f t="shared" si="2888"/>
        <v>229887.26200000095</v>
      </c>
      <c r="CF521" s="7">
        <f t="shared" si="2889"/>
        <v>227697.85200000094</v>
      </c>
      <c r="CG521" s="7">
        <f t="shared" si="2908"/>
        <v>225508.44200000094</v>
      </c>
      <c r="CH521" s="7">
        <f t="shared" si="2891"/>
        <v>223319.03200000094</v>
      </c>
      <c r="CI521" s="7">
        <f t="shared" si="2892"/>
        <v>221129.62200000093</v>
      </c>
      <c r="CJ521" s="7">
        <f t="shared" si="2893"/>
        <v>218940.21200000093</v>
      </c>
      <c r="CK521" s="236">
        <v>0</v>
      </c>
      <c r="CL521" s="7">
        <v>2189.41</v>
      </c>
      <c r="CM521" s="39">
        <f t="shared" si="2894"/>
        <v>26272.92</v>
      </c>
      <c r="CN521" s="7">
        <f t="shared" si="2895"/>
        <v>216750.80200000093</v>
      </c>
      <c r="CO521" s="7">
        <f t="shared" si="2896"/>
        <v>214561.39200000092</v>
      </c>
      <c r="CP521" s="7">
        <f t="shared" si="2897"/>
        <v>212371.98200000092</v>
      </c>
      <c r="CQ521" s="7">
        <f t="shared" si="2898"/>
        <v>210182.57200000092</v>
      </c>
      <c r="CR521" s="7">
        <f t="shared" si="2899"/>
        <v>207993.16200000091</v>
      </c>
      <c r="CS521" s="7">
        <f t="shared" si="2900"/>
        <v>205803.75200000091</v>
      </c>
      <c r="CT521" s="7">
        <f t="shared" si="2901"/>
        <v>203614.34200000091</v>
      </c>
      <c r="CU521" s="7">
        <f t="shared" si="2902"/>
        <v>201424.9320000009</v>
      </c>
      <c r="CV521" s="7">
        <f t="shared" si="2909"/>
        <v>199235.5220000009</v>
      </c>
      <c r="CW521" s="7">
        <f t="shared" si="2904"/>
        <v>197046.1120000009</v>
      </c>
      <c r="CX521" s="7">
        <f t="shared" si="2905"/>
        <v>194856.70200000089</v>
      </c>
      <c r="CY521" s="7">
        <f t="shared" si="2906"/>
        <v>192667.29200000089</v>
      </c>
      <c r="CZ521" s="236">
        <v>0</v>
      </c>
    </row>
    <row r="522" spans="1:104" x14ac:dyDescent="0.2">
      <c r="A522" s="6" t="str">
        <f>'[1]2021 УГРЦТ'!A526</f>
        <v xml:space="preserve">Комплект стеллажей </v>
      </c>
      <c r="B522" t="str">
        <f>'[1]2021 УГРЦТ'!B526</f>
        <v>000001810</v>
      </c>
      <c r="C522" t="str">
        <f>'[1]2021 УГРЦТ'!C526</f>
        <v>ОБЩЕПРОИЗВОДСТВЕННЫЕ РАСХОДЫ</v>
      </c>
      <c r="D522" t="str">
        <f>'[1]2021 УГРЦТ'!D526</f>
        <v>Производственный и хозяйственный инвентарь</v>
      </c>
      <c r="E522" t="str">
        <f>'[1]2021 УГРЦТ'!E526</f>
        <v>04.06.2020</v>
      </c>
      <c r="F522" t="str">
        <f>'[1]2021 УГРЦТ'!F526</f>
        <v>общепроизводственные расходы</v>
      </c>
      <c r="G522">
        <f>'[1]2021 УГРЦТ'!AC526</f>
        <v>180</v>
      </c>
      <c r="H522" s="7">
        <f>'[1]2021 УГРЦТ'!X526</f>
        <v>347993.63</v>
      </c>
      <c r="I522" s="7">
        <f>'[1]2021 УГРЦТ'!Y526</f>
        <v>34799.37533333333</v>
      </c>
      <c r="J522" s="7">
        <f>'[1]2021 УГРЦТ'!Z526</f>
        <v>313194.25466666667</v>
      </c>
      <c r="K522" s="8">
        <v>0</v>
      </c>
      <c r="L522" s="7">
        <v>1933.2999999999995</v>
      </c>
      <c r="M522" s="7"/>
      <c r="N522" s="7">
        <f t="shared" si="2674"/>
        <v>23199.599999999995</v>
      </c>
      <c r="O522" s="7">
        <f t="shared" si="2859"/>
        <v>311260.95466666669</v>
      </c>
      <c r="P522" s="7">
        <f t="shared" si="2821"/>
        <v>309327.6546666667</v>
      </c>
      <c r="Q522" s="7">
        <f t="shared" si="2821"/>
        <v>307394.35466666671</v>
      </c>
      <c r="R522" s="7">
        <f t="shared" si="2821"/>
        <v>305461.05466666672</v>
      </c>
      <c r="S522" s="7">
        <f t="shared" si="2821"/>
        <v>303527.75466666673</v>
      </c>
      <c r="T522" s="7">
        <f t="shared" si="2821"/>
        <v>301594.45466666674</v>
      </c>
      <c r="U522" s="7">
        <f t="shared" si="2821"/>
        <v>299661.15466666676</v>
      </c>
      <c r="V522" s="7">
        <f t="shared" si="2821"/>
        <v>297727.85466666677</v>
      </c>
      <c r="W522" s="7">
        <f t="shared" si="2821"/>
        <v>295794.55466666678</v>
      </c>
      <c r="X522" s="7">
        <f t="shared" si="2821"/>
        <v>293861.25466666679</v>
      </c>
      <c r="Y522" s="7">
        <f t="shared" si="2821"/>
        <v>291927.9546666668</v>
      </c>
      <c r="Z522" s="7">
        <f t="shared" si="2821"/>
        <v>289994.65466666681</v>
      </c>
      <c r="AA522" s="7"/>
      <c r="AB522" s="7"/>
      <c r="AC522" s="7">
        <f t="shared" si="2860"/>
        <v>23199.599999999995</v>
      </c>
      <c r="AD522" s="7">
        <f t="shared" si="2861"/>
        <v>288061.35466666683</v>
      </c>
      <c r="AE522" s="7">
        <f t="shared" si="2823"/>
        <v>286128.05466666684</v>
      </c>
      <c r="AF522" s="7">
        <f t="shared" si="2823"/>
        <v>284194.75466666685</v>
      </c>
      <c r="AG522" s="7">
        <f t="shared" si="2823"/>
        <v>282261.45466666686</v>
      </c>
      <c r="AH522" s="7">
        <f t="shared" si="2823"/>
        <v>280328.15466666687</v>
      </c>
      <c r="AI522" s="7">
        <f t="shared" si="2823"/>
        <v>278394.85466666688</v>
      </c>
      <c r="AJ522" s="7">
        <f t="shared" si="2823"/>
        <v>276461.5546666669</v>
      </c>
      <c r="AK522" s="7">
        <f t="shared" si="2823"/>
        <v>274528.25466666691</v>
      </c>
      <c r="AL522" s="7">
        <f t="shared" si="2823"/>
        <v>272594.95466666692</v>
      </c>
      <c r="AM522" s="7">
        <f t="shared" si="2823"/>
        <v>270661.65466666693</v>
      </c>
      <c r="AN522" s="7">
        <f t="shared" si="2823"/>
        <v>268728.35466666694</v>
      </c>
      <c r="AO522" s="7">
        <f t="shared" si="2823"/>
        <v>266795.05466666695</v>
      </c>
      <c r="AP522" s="222"/>
      <c r="AQ522" s="7">
        <v>1933.2999999999995</v>
      </c>
      <c r="AR522" s="7">
        <f t="shared" si="2865"/>
        <v>1933.2999999999884</v>
      </c>
      <c r="AS522" s="7">
        <f t="shared" si="2866"/>
        <v>-1.1141310096718371E-11</v>
      </c>
      <c r="AT522" s="7">
        <f>AQ522*12</f>
        <v>23199.599999999995</v>
      </c>
      <c r="AU522" s="7">
        <f t="shared" si="2867"/>
        <v>264861.75466666697</v>
      </c>
      <c r="AV522" s="7">
        <f t="shared" si="2824"/>
        <v>262928.45466666698</v>
      </c>
      <c r="AW522" s="7">
        <f t="shared" si="2824"/>
        <v>260995.15466666699</v>
      </c>
      <c r="AX522" s="7">
        <f t="shared" si="2824"/>
        <v>259061.854666667</v>
      </c>
      <c r="AY522" s="7">
        <f t="shared" si="2824"/>
        <v>257128.55466666701</v>
      </c>
      <c r="AZ522" s="7">
        <f t="shared" si="2824"/>
        <v>255195.25466666702</v>
      </c>
      <c r="BA522" s="7">
        <f t="shared" si="2824"/>
        <v>253261.95466666704</v>
      </c>
      <c r="BB522" s="7">
        <f t="shared" si="2824"/>
        <v>251328.65466666705</v>
      </c>
      <c r="BC522" s="7">
        <f t="shared" si="2824"/>
        <v>249395.35466666706</v>
      </c>
      <c r="BD522" s="7">
        <f t="shared" si="2824"/>
        <v>247462.05466666707</v>
      </c>
      <c r="BE522" s="7">
        <f t="shared" si="2824"/>
        <v>245528.75466666708</v>
      </c>
      <c r="BF522" s="7">
        <f t="shared" si="2824"/>
        <v>243595.45466666709</v>
      </c>
      <c r="BG522" s="236">
        <f t="shared" si="2863"/>
        <v>0</v>
      </c>
      <c r="BH522" s="7">
        <v>1933.2999999999995</v>
      </c>
      <c r="BI522" s="39">
        <f t="shared" si="2868"/>
        <v>23199.599999999995</v>
      </c>
      <c r="BJ522" s="7">
        <f t="shared" si="2869"/>
        <v>241662.15466666711</v>
      </c>
      <c r="BK522" s="7">
        <f t="shared" si="2870"/>
        <v>239728.85466666712</v>
      </c>
      <c r="BL522" s="7">
        <f t="shared" si="2871"/>
        <v>237795.55466666713</v>
      </c>
      <c r="BM522" s="7">
        <f t="shared" si="2872"/>
        <v>235862.25466666714</v>
      </c>
      <c r="BN522" s="7">
        <f t="shared" si="2873"/>
        <v>233928.95466666715</v>
      </c>
      <c r="BO522" s="7">
        <f t="shared" si="2874"/>
        <v>231995.65466666716</v>
      </c>
      <c r="BP522" s="7">
        <f t="shared" si="2875"/>
        <v>230062.35466666718</v>
      </c>
      <c r="BQ522" s="7">
        <f t="shared" si="2876"/>
        <v>228129.05466666719</v>
      </c>
      <c r="BR522" s="7">
        <f t="shared" si="2907"/>
        <v>226195.7546666672</v>
      </c>
      <c r="BS522" s="7">
        <f t="shared" si="2878"/>
        <v>224262.45466666721</v>
      </c>
      <c r="BT522" s="7">
        <f t="shared" si="2879"/>
        <v>222329.15466666722</v>
      </c>
      <c r="BU522" s="7">
        <f t="shared" si="2880"/>
        <v>220395.85466666723</v>
      </c>
      <c r="BV522" s="236">
        <v>0</v>
      </c>
      <c r="BW522" s="7">
        <v>1933.2999999999995</v>
      </c>
      <c r="BX522" s="39">
        <f t="shared" si="2881"/>
        <v>23199.599999999995</v>
      </c>
      <c r="BY522" s="7">
        <f t="shared" si="2882"/>
        <v>218462.55466666725</v>
      </c>
      <c r="BZ522" s="7">
        <f t="shared" si="2883"/>
        <v>216529.25466666726</v>
      </c>
      <c r="CA522" s="7">
        <f t="shared" si="2884"/>
        <v>214595.95466666727</v>
      </c>
      <c r="CB522" s="7">
        <f t="shared" si="2885"/>
        <v>212662.65466666728</v>
      </c>
      <c r="CC522" s="7">
        <f t="shared" si="2886"/>
        <v>210729.35466666729</v>
      </c>
      <c r="CD522" s="7">
        <f t="shared" si="2887"/>
        <v>208796.0546666673</v>
      </c>
      <c r="CE522" s="7">
        <f t="shared" si="2888"/>
        <v>206862.75466666732</v>
      </c>
      <c r="CF522" s="7">
        <f t="shared" si="2889"/>
        <v>204929.45466666733</v>
      </c>
      <c r="CG522" s="7">
        <f t="shared" si="2908"/>
        <v>202996.15466666734</v>
      </c>
      <c r="CH522" s="7">
        <f t="shared" si="2891"/>
        <v>201062.85466666735</v>
      </c>
      <c r="CI522" s="7">
        <f t="shared" si="2892"/>
        <v>199129.55466666736</v>
      </c>
      <c r="CJ522" s="7">
        <f t="shared" si="2893"/>
        <v>197196.25466666737</v>
      </c>
      <c r="CK522" s="236">
        <v>0</v>
      </c>
      <c r="CL522" s="7">
        <v>1933.2999999999995</v>
      </c>
      <c r="CM522" s="39">
        <f t="shared" si="2894"/>
        <v>23199.599999999995</v>
      </c>
      <c r="CN522" s="7">
        <f t="shared" si="2895"/>
        <v>195262.95466666739</v>
      </c>
      <c r="CO522" s="7">
        <f t="shared" si="2896"/>
        <v>193329.6546666674</v>
      </c>
      <c r="CP522" s="7">
        <f t="shared" si="2897"/>
        <v>191396.35466666741</v>
      </c>
      <c r="CQ522" s="7">
        <f t="shared" si="2898"/>
        <v>189463.05466666742</v>
      </c>
      <c r="CR522" s="7">
        <f t="shared" si="2899"/>
        <v>187529.75466666743</v>
      </c>
      <c r="CS522" s="7">
        <f t="shared" si="2900"/>
        <v>185596.45466666744</v>
      </c>
      <c r="CT522" s="7">
        <f t="shared" si="2901"/>
        <v>183663.15466666745</v>
      </c>
      <c r="CU522" s="7">
        <f t="shared" si="2902"/>
        <v>181729.85466666747</v>
      </c>
      <c r="CV522" s="7">
        <f t="shared" si="2909"/>
        <v>179796.55466666748</v>
      </c>
      <c r="CW522" s="7">
        <f t="shared" si="2904"/>
        <v>177863.25466666749</v>
      </c>
      <c r="CX522" s="7">
        <f t="shared" si="2905"/>
        <v>175929.9546666675</v>
      </c>
      <c r="CY522" s="7">
        <f t="shared" si="2906"/>
        <v>173996.65466666751</v>
      </c>
      <c r="CZ522" s="236">
        <v>0</v>
      </c>
    </row>
    <row r="523" spans="1:104" x14ac:dyDescent="0.2">
      <c r="A523" s="6" t="str">
        <f>'[1]2021 УГРЦТ'!A527</f>
        <v>Эстакада для хранения барабанов с кабелем</v>
      </c>
      <c r="B523" t="str">
        <f>'[1]2021 УГРЦТ'!B527</f>
        <v>000001874</v>
      </c>
      <c r="C523" t="str">
        <f>'[1]2021 УГРЦТ'!C527</f>
        <v>ОБЩЕПРОИЗВОДСТВЕННЫЕ РАСХОДЫ</v>
      </c>
      <c r="D523" t="str">
        <f>'[1]2021 УГРЦТ'!D527</f>
        <v>Машины и оборудование (кроме офисного)</v>
      </c>
      <c r="E523" s="4">
        <f>'[1]2021 УГРЦТ'!E527</f>
        <v>44543</v>
      </c>
      <c r="F523" t="str">
        <f>'[1]2021 УГРЦТ'!F527</f>
        <v>общепроизводственные расходы</v>
      </c>
      <c r="G523">
        <f>'[1]2021 УГРЦТ'!AC527</f>
        <v>240</v>
      </c>
      <c r="H523" s="7">
        <f>'[1]2021 УГРЦТ'!X527</f>
        <v>461518.72</v>
      </c>
      <c r="I523" s="7" t="e">
        <f>'[1]2021 УГРЦТ'!Y527</f>
        <v>#REF!</v>
      </c>
      <c r="J523" s="7">
        <f>'[1]2021 УГРЦТ'!Z527</f>
        <v>461518.72</v>
      </c>
      <c r="K523" s="8">
        <v>0</v>
      </c>
      <c r="L523" s="7">
        <v>1922.9946666666665</v>
      </c>
      <c r="M523" s="7"/>
      <c r="N523" s="7">
        <f t="shared" si="2674"/>
        <v>23075.935999999998</v>
      </c>
      <c r="O523" s="7">
        <f t="shared" si="2859"/>
        <v>459595.72533333331</v>
      </c>
      <c r="P523" s="7">
        <f t="shared" si="2821"/>
        <v>457672.73066666664</v>
      </c>
      <c r="Q523" s="7">
        <f t="shared" si="2821"/>
        <v>455749.73599999998</v>
      </c>
      <c r="R523" s="7">
        <f t="shared" si="2821"/>
        <v>453826.74133333331</v>
      </c>
      <c r="S523" s="7">
        <f t="shared" si="2821"/>
        <v>451903.74666666664</v>
      </c>
      <c r="T523" s="7">
        <f t="shared" si="2821"/>
        <v>449980.75199999998</v>
      </c>
      <c r="U523" s="7">
        <f t="shared" si="2821"/>
        <v>448057.75733333331</v>
      </c>
      <c r="V523" s="7">
        <f t="shared" si="2821"/>
        <v>446134.76266666665</v>
      </c>
      <c r="W523" s="7">
        <f t="shared" si="2821"/>
        <v>444211.76799999998</v>
      </c>
      <c r="X523" s="7">
        <f t="shared" si="2821"/>
        <v>442288.77333333332</v>
      </c>
      <c r="Y523" s="7">
        <f t="shared" si="2821"/>
        <v>440365.77866666665</v>
      </c>
      <c r="Z523" s="7">
        <f t="shared" si="2821"/>
        <v>438442.78399999999</v>
      </c>
      <c r="AA523" s="7"/>
      <c r="AB523" s="7"/>
      <c r="AC523" s="7">
        <f t="shared" si="2860"/>
        <v>23075.935999999998</v>
      </c>
      <c r="AD523" s="7">
        <f t="shared" si="2861"/>
        <v>436519.78933333332</v>
      </c>
      <c r="AE523" s="7">
        <f t="shared" si="2823"/>
        <v>434596.79466666665</v>
      </c>
      <c r="AF523" s="7">
        <f t="shared" si="2823"/>
        <v>432673.8</v>
      </c>
      <c r="AG523" s="7">
        <f t="shared" si="2823"/>
        <v>430750.80533333332</v>
      </c>
      <c r="AH523" s="7">
        <f t="shared" si="2823"/>
        <v>428827.81066666666</v>
      </c>
      <c r="AI523" s="7">
        <f t="shared" si="2823"/>
        <v>426904.81599999999</v>
      </c>
      <c r="AJ523" s="7">
        <f t="shared" si="2823"/>
        <v>424981.82133333333</v>
      </c>
      <c r="AK523" s="7">
        <f t="shared" si="2823"/>
        <v>423058.82666666666</v>
      </c>
      <c r="AL523" s="7">
        <f t="shared" si="2823"/>
        <v>421135.83199999999</v>
      </c>
      <c r="AM523" s="7">
        <f t="shared" si="2823"/>
        <v>419212.83733333333</v>
      </c>
      <c r="AN523" s="7">
        <f t="shared" si="2823"/>
        <v>417289.84266666666</v>
      </c>
      <c r="AO523" s="7">
        <f t="shared" si="2823"/>
        <v>415366.848</v>
      </c>
      <c r="AP523" s="222"/>
      <c r="AQ523" s="7">
        <v>1922.9946666666665</v>
      </c>
      <c r="AR523" s="7">
        <f t="shared" si="2865"/>
        <v>1922.9946666666656</v>
      </c>
      <c r="AS523" s="7">
        <f t="shared" si="2866"/>
        <v>0</v>
      </c>
      <c r="AT523" s="7">
        <f>AQ523*12</f>
        <v>23075.935999999998</v>
      </c>
      <c r="AU523" s="7">
        <f t="shared" si="2867"/>
        <v>413443.85333333333</v>
      </c>
      <c r="AV523" s="7">
        <f t="shared" si="2824"/>
        <v>411520.85866666667</v>
      </c>
      <c r="AW523" s="7">
        <f t="shared" si="2824"/>
        <v>409597.864</v>
      </c>
      <c r="AX523" s="7">
        <f t="shared" si="2824"/>
        <v>407674.86933333334</v>
      </c>
      <c r="AY523" s="7">
        <f t="shared" si="2824"/>
        <v>405751.87466666667</v>
      </c>
      <c r="AZ523" s="7">
        <f t="shared" si="2824"/>
        <v>403828.88</v>
      </c>
      <c r="BA523" s="7">
        <f t="shared" si="2824"/>
        <v>401905.88533333334</v>
      </c>
      <c r="BB523" s="7">
        <f t="shared" si="2824"/>
        <v>399982.89066666667</v>
      </c>
      <c r="BC523" s="7">
        <f t="shared" si="2824"/>
        <v>398059.89600000001</v>
      </c>
      <c r="BD523" s="7">
        <f t="shared" si="2824"/>
        <v>396136.90133333334</v>
      </c>
      <c r="BE523" s="7">
        <f t="shared" si="2824"/>
        <v>394213.90666666668</v>
      </c>
      <c r="BF523" s="7">
        <f t="shared" si="2824"/>
        <v>392290.91200000001</v>
      </c>
      <c r="BG523" s="236">
        <f t="shared" si="2863"/>
        <v>0</v>
      </c>
      <c r="BH523" s="7">
        <v>1922.9946666666665</v>
      </c>
      <c r="BI523" s="39">
        <f t="shared" si="2868"/>
        <v>23075.935999999998</v>
      </c>
      <c r="BJ523" s="7">
        <f t="shared" si="2869"/>
        <v>390367.91733333335</v>
      </c>
      <c r="BK523" s="7">
        <f t="shared" si="2870"/>
        <v>388444.92266666668</v>
      </c>
      <c r="BL523" s="7">
        <f t="shared" si="2871"/>
        <v>386521.92800000001</v>
      </c>
      <c r="BM523" s="7">
        <f t="shared" si="2872"/>
        <v>384598.93333333335</v>
      </c>
      <c r="BN523" s="7">
        <f t="shared" si="2873"/>
        <v>382675.93866666668</v>
      </c>
      <c r="BO523" s="7">
        <f t="shared" si="2874"/>
        <v>380752.94400000002</v>
      </c>
      <c r="BP523" s="7">
        <f t="shared" si="2875"/>
        <v>378829.94933333335</v>
      </c>
      <c r="BQ523" s="7">
        <f t="shared" si="2876"/>
        <v>376906.95466666669</v>
      </c>
      <c r="BR523" s="7">
        <f t="shared" si="2907"/>
        <v>374983.96</v>
      </c>
      <c r="BS523" s="7">
        <f t="shared" si="2878"/>
        <v>373060.96533333336</v>
      </c>
      <c r="BT523" s="7">
        <f t="shared" si="2879"/>
        <v>371137.97066666669</v>
      </c>
      <c r="BU523" s="7">
        <f t="shared" si="2880"/>
        <v>369214.97600000002</v>
      </c>
      <c r="BV523" s="236">
        <v>0</v>
      </c>
      <c r="BW523" s="7">
        <v>1922.9946666666665</v>
      </c>
      <c r="BX523" s="39">
        <f t="shared" si="2881"/>
        <v>23075.935999999998</v>
      </c>
      <c r="BY523" s="7">
        <f t="shared" si="2882"/>
        <v>367291.98133333336</v>
      </c>
      <c r="BZ523" s="7">
        <f t="shared" si="2883"/>
        <v>365368.98666666669</v>
      </c>
      <c r="CA523" s="7">
        <f t="shared" si="2884"/>
        <v>363445.99200000003</v>
      </c>
      <c r="CB523" s="7">
        <f t="shared" si="2885"/>
        <v>361522.99733333336</v>
      </c>
      <c r="CC523" s="7">
        <f t="shared" si="2886"/>
        <v>359600.0026666667</v>
      </c>
      <c r="CD523" s="7">
        <f t="shared" si="2887"/>
        <v>357677.00800000003</v>
      </c>
      <c r="CE523" s="7">
        <f t="shared" si="2888"/>
        <v>355754.01333333337</v>
      </c>
      <c r="CF523" s="7">
        <f t="shared" si="2889"/>
        <v>353831.0186666667</v>
      </c>
      <c r="CG523" s="7">
        <f t="shared" si="2908"/>
        <v>351908.02400000003</v>
      </c>
      <c r="CH523" s="7">
        <f t="shared" si="2891"/>
        <v>349985.02933333337</v>
      </c>
      <c r="CI523" s="7">
        <f t="shared" si="2892"/>
        <v>348062.0346666667</v>
      </c>
      <c r="CJ523" s="7">
        <f t="shared" si="2893"/>
        <v>346139.04000000004</v>
      </c>
      <c r="CK523" s="236">
        <v>0</v>
      </c>
      <c r="CL523" s="7">
        <v>1922.9946666666665</v>
      </c>
      <c r="CM523" s="39">
        <f t="shared" si="2894"/>
        <v>23075.935999999998</v>
      </c>
      <c r="CN523" s="7">
        <f t="shared" si="2895"/>
        <v>344216.04533333337</v>
      </c>
      <c r="CO523" s="7">
        <f t="shared" si="2896"/>
        <v>342293.05066666671</v>
      </c>
      <c r="CP523" s="7">
        <f t="shared" si="2897"/>
        <v>340370.05600000004</v>
      </c>
      <c r="CQ523" s="7">
        <f t="shared" si="2898"/>
        <v>338447.06133333337</v>
      </c>
      <c r="CR523" s="7">
        <f t="shared" si="2899"/>
        <v>336524.06666666671</v>
      </c>
      <c r="CS523" s="7">
        <f t="shared" si="2900"/>
        <v>334601.07200000004</v>
      </c>
      <c r="CT523" s="7">
        <f t="shared" si="2901"/>
        <v>332678.07733333338</v>
      </c>
      <c r="CU523" s="7">
        <f t="shared" si="2902"/>
        <v>330755.08266666671</v>
      </c>
      <c r="CV523" s="7">
        <f t="shared" si="2909"/>
        <v>328832.08800000005</v>
      </c>
      <c r="CW523" s="7">
        <f t="shared" si="2904"/>
        <v>326909.09333333338</v>
      </c>
      <c r="CX523" s="7">
        <f t="shared" si="2905"/>
        <v>324986.09866666672</v>
      </c>
      <c r="CY523" s="7">
        <f t="shared" si="2906"/>
        <v>323063.10400000005</v>
      </c>
      <c r="CZ523" s="236">
        <v>0</v>
      </c>
    </row>
    <row r="524" spans="1:104" ht="22.5" x14ac:dyDescent="0.2">
      <c r="A524" s="6" t="str">
        <f>'[1]2021 УГРЦТ'!A528</f>
        <v>Компьютер в сборе: Intel Core i5 7400 (Soc-1151-v.2v Gigabyte Soc-1151H31M S2V/ DEEPCOOL THETA 21PWM)</v>
      </c>
      <c r="B524" t="str">
        <f>'[1]2021 УГРЦТ'!B528</f>
        <v>000001761</v>
      </c>
      <c r="C524" t="str">
        <f>'[1]2021 УГРЦТ'!C528</f>
        <v>ОБЩЕПРОИЗВОДСТВЕННЫЕ РАСХОДЫ</v>
      </c>
      <c r="D524" t="str">
        <f>'[1]2021 УГРЦТ'!D528</f>
        <v>Офисное оборудование</v>
      </c>
      <c r="E524" t="str">
        <f>'[1]2021 УГРЦТ'!E528</f>
        <v>03.04.2019</v>
      </c>
      <c r="F524" t="str">
        <f>'[1]2021 УГРЦТ'!F528</f>
        <v>общепроизводственные расходы</v>
      </c>
      <c r="G524">
        <f>'[1]2021 УГРЦТ'!AC528</f>
        <v>36</v>
      </c>
      <c r="H524" s="7">
        <f>'[1]2021 УГРЦТ'!X528</f>
        <v>69433.33</v>
      </c>
      <c r="I524" s="7">
        <f>'[1]2021 УГРЦТ'!Y528</f>
        <v>61718.443333333344</v>
      </c>
      <c r="J524" s="7">
        <f>'[1]2021 УГРЦТ'!Z528</f>
        <v>7714.8866666666581</v>
      </c>
      <c r="K524" s="8">
        <v>0</v>
      </c>
      <c r="L524" s="7">
        <v>1928.6999999999982</v>
      </c>
      <c r="M524" s="7"/>
      <c r="N524" s="7">
        <f>L524*4+0.09</f>
        <v>7714.8899999999931</v>
      </c>
      <c r="O524" s="7">
        <f t="shared" si="2859"/>
        <v>5786.1866666666601</v>
      </c>
      <c r="P524" s="7">
        <f t="shared" si="2821"/>
        <v>3857.4866666666621</v>
      </c>
      <c r="Q524" s="7">
        <f t="shared" si="2821"/>
        <v>1928.7866666666639</v>
      </c>
      <c r="R524" s="7">
        <f t="shared" si="2821"/>
        <v>8.6666666665678349E-2</v>
      </c>
      <c r="S524" s="7">
        <f>R524-0.09</f>
        <v>-3.3333333343216476E-3</v>
      </c>
      <c r="T524" s="7">
        <f>S524-$L524*0</f>
        <v>-3.3333333343216476E-3</v>
      </c>
      <c r="U524" s="7">
        <f t="shared" ref="U524:Z524" si="2910">T524-$L524*0</f>
        <v>-3.3333333343216476E-3</v>
      </c>
      <c r="V524" s="7">
        <f t="shared" si="2910"/>
        <v>-3.3333333343216476E-3</v>
      </c>
      <c r="W524" s="7">
        <f t="shared" si="2910"/>
        <v>-3.3333333343216476E-3</v>
      </c>
      <c r="X524" s="7">
        <f t="shared" si="2910"/>
        <v>-3.3333333343216476E-3</v>
      </c>
      <c r="Y524" s="7">
        <f t="shared" si="2910"/>
        <v>-3.3333333343216476E-3</v>
      </c>
      <c r="Z524" s="7">
        <f t="shared" si="2910"/>
        <v>-3.3333333343216476E-3</v>
      </c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222"/>
      <c r="AQ524" s="7">
        <v>0</v>
      </c>
      <c r="AR524" s="7">
        <f t="shared" si="2865"/>
        <v>0</v>
      </c>
      <c r="AS524" s="7">
        <f t="shared" si="2866"/>
        <v>0</v>
      </c>
      <c r="BG524" s="236">
        <f t="shared" si="2863"/>
        <v>0</v>
      </c>
      <c r="BH524" s="7">
        <v>0</v>
      </c>
      <c r="BV524" s="236">
        <f>IF(Z524&lt;1,0,SUM(BJ524:BU524,BF524)/13*$BG$1)</f>
        <v>0</v>
      </c>
      <c r="BW524" s="7">
        <v>0</v>
      </c>
      <c r="CK524" s="236">
        <f>IF(AO524&lt;1,0,SUM(BY524:CJ524,BU524)/13*$BG$1)</f>
        <v>0</v>
      </c>
      <c r="CL524" s="7">
        <v>0</v>
      </c>
      <c r="CZ524" s="236">
        <f>IF(BF524&lt;1,0,SUM(CN524:CY524,CJ524)/13*$BG$1)</f>
        <v>0</v>
      </c>
    </row>
    <row r="525" spans="1:104" ht="22.5" x14ac:dyDescent="0.2">
      <c r="A525" s="6" t="str">
        <f>'[1]2021 УГРЦТ'!A529</f>
        <v>Компьютер в сборе: Intel Core i5 7400 (Soc-1151-v.2v Gigabyte Soc-1151H31M S2V/ DEEPCOOL THETA 21PWM)</v>
      </c>
      <c r="B525" t="str">
        <f>'[1]2021 УГРЦТ'!B529</f>
        <v>000001762</v>
      </c>
      <c r="C525" t="str">
        <f>'[1]2021 УГРЦТ'!C529</f>
        <v>ОБЩЕПРОИЗВОДСТВЕННЫЕ РАСХОДЫ</v>
      </c>
      <c r="D525" t="str">
        <f>'[1]2021 УГРЦТ'!D529</f>
        <v>Офисное оборудование</v>
      </c>
      <c r="E525" t="str">
        <f>'[1]2021 УГРЦТ'!E529</f>
        <v>03.04.2019</v>
      </c>
      <c r="F525" t="str">
        <f>'[1]2021 УГРЦТ'!F529</f>
        <v>общепроизводственные расходы</v>
      </c>
      <c r="G525">
        <f>'[1]2021 УГРЦТ'!AC529</f>
        <v>36</v>
      </c>
      <c r="H525" s="7">
        <f>'[1]2021 УГРЦТ'!X529</f>
        <v>69433.33</v>
      </c>
      <c r="I525" s="7">
        <f>'[1]2021 УГРЦТ'!Y529</f>
        <v>61718.443333333344</v>
      </c>
      <c r="J525" s="7">
        <f>'[1]2021 УГРЦТ'!Z529</f>
        <v>7714.8866666666581</v>
      </c>
      <c r="K525" s="8">
        <v>0</v>
      </c>
      <c r="L525" s="7">
        <v>1928.6999999999982</v>
      </c>
      <c r="M525" s="7"/>
      <c r="N525" s="7">
        <f t="shared" ref="N525:N527" si="2911">L525*4+0.09</f>
        <v>7714.8899999999931</v>
      </c>
      <c r="O525" s="7">
        <f t="shared" si="2859"/>
        <v>5786.1866666666601</v>
      </c>
      <c r="P525" s="7">
        <f t="shared" si="2821"/>
        <v>3857.4866666666621</v>
      </c>
      <c r="Q525" s="7">
        <f t="shared" si="2821"/>
        <v>1928.7866666666639</v>
      </c>
      <c r="R525" s="7">
        <f t="shared" si="2821"/>
        <v>8.6666666665678349E-2</v>
      </c>
      <c r="S525" s="7">
        <f t="shared" ref="S525:S527" si="2912">R525-0.09</f>
        <v>-3.3333333343216476E-3</v>
      </c>
      <c r="T525" s="7">
        <f t="shared" ref="T525:Z527" si="2913">S525-$L525*0</f>
        <v>-3.3333333343216476E-3</v>
      </c>
      <c r="U525" s="7">
        <f t="shared" si="2913"/>
        <v>-3.3333333343216476E-3</v>
      </c>
      <c r="V525" s="7">
        <f t="shared" si="2913"/>
        <v>-3.3333333343216476E-3</v>
      </c>
      <c r="W525" s="7">
        <f t="shared" si="2913"/>
        <v>-3.3333333343216476E-3</v>
      </c>
      <c r="X525" s="7">
        <f t="shared" si="2913"/>
        <v>-3.3333333343216476E-3</v>
      </c>
      <c r="Y525" s="7">
        <f t="shared" si="2913"/>
        <v>-3.3333333343216476E-3</v>
      </c>
      <c r="Z525" s="7">
        <f t="shared" si="2913"/>
        <v>-3.3333333343216476E-3</v>
      </c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222"/>
      <c r="AQ525" s="7">
        <v>0</v>
      </c>
      <c r="AR525" s="7">
        <f t="shared" si="2865"/>
        <v>0</v>
      </c>
      <c r="AS525" s="7">
        <f t="shared" si="2866"/>
        <v>0</v>
      </c>
      <c r="BG525" s="236">
        <f t="shared" si="2863"/>
        <v>0</v>
      </c>
      <c r="BH525" s="7">
        <v>0</v>
      </c>
      <c r="BV525" s="236">
        <f>IF(Z525&lt;1,0,SUM(BJ525:BU525,BF525)/13*$BG$1)</f>
        <v>0</v>
      </c>
      <c r="BW525" s="7">
        <v>0</v>
      </c>
      <c r="CK525" s="236">
        <f>IF(AO525&lt;1,0,SUM(BY525:CJ525,BU525)/13*$BG$1)</f>
        <v>0</v>
      </c>
      <c r="CL525" s="7">
        <v>0</v>
      </c>
      <c r="CZ525" s="236">
        <f>IF(BF525&lt;1,0,SUM(CN525:CY525,CJ525)/13*$BG$1)</f>
        <v>0</v>
      </c>
    </row>
    <row r="526" spans="1:104" ht="22.5" x14ac:dyDescent="0.2">
      <c r="A526" s="6" t="str">
        <f>'[1]2021 УГРЦТ'!A530</f>
        <v>Компьютер в сборе: Intel Core i5 7400 (Soc-1151-v.2v Gigabyte Soc-1151H31M S2V/ DEEPCOOL THETA 21PWM)</v>
      </c>
      <c r="B526" t="str">
        <f>'[1]2021 УГРЦТ'!B530</f>
        <v>000001763</v>
      </c>
      <c r="C526" t="str">
        <f>'[1]2021 УГРЦТ'!C530</f>
        <v>ОБЩЕПРОИЗВОДСТВЕННЫЕ РАСХОДЫ</v>
      </c>
      <c r="D526" t="str">
        <f>'[1]2021 УГРЦТ'!D530</f>
        <v>Офисное оборудование</v>
      </c>
      <c r="E526" t="str">
        <f>'[1]2021 УГРЦТ'!E530</f>
        <v>03.04.2019</v>
      </c>
      <c r="F526" t="str">
        <f>'[1]2021 УГРЦТ'!F530</f>
        <v>общепроизводственные расходы</v>
      </c>
      <c r="G526">
        <f>'[1]2021 УГРЦТ'!AC530</f>
        <v>36</v>
      </c>
      <c r="H526" s="7">
        <f>'[1]2021 УГРЦТ'!X530</f>
        <v>69433.33</v>
      </c>
      <c r="I526" s="7">
        <f>'[1]2021 УГРЦТ'!Y530</f>
        <v>61718.443333333344</v>
      </c>
      <c r="J526" s="7">
        <f>'[1]2021 УГРЦТ'!Z530</f>
        <v>7714.8866666666581</v>
      </c>
      <c r="K526" s="8">
        <v>0</v>
      </c>
      <c r="L526" s="7">
        <v>1928.6999999999982</v>
      </c>
      <c r="M526" s="7"/>
      <c r="N526" s="7">
        <f t="shared" si="2911"/>
        <v>7714.8899999999931</v>
      </c>
      <c r="O526" s="7">
        <f t="shared" si="2859"/>
        <v>5786.1866666666601</v>
      </c>
      <c r="P526" s="7">
        <f t="shared" si="2821"/>
        <v>3857.4866666666621</v>
      </c>
      <c r="Q526" s="7">
        <f t="shared" si="2821"/>
        <v>1928.7866666666639</v>
      </c>
      <c r="R526" s="7">
        <f t="shared" si="2821"/>
        <v>8.6666666665678349E-2</v>
      </c>
      <c r="S526" s="7">
        <f t="shared" si="2912"/>
        <v>-3.3333333343216476E-3</v>
      </c>
      <c r="T526" s="7">
        <f t="shared" si="2913"/>
        <v>-3.3333333343216476E-3</v>
      </c>
      <c r="U526" s="7">
        <f t="shared" si="2913"/>
        <v>-3.3333333343216476E-3</v>
      </c>
      <c r="V526" s="7">
        <f t="shared" si="2913"/>
        <v>-3.3333333343216476E-3</v>
      </c>
      <c r="W526" s="7">
        <f t="shared" si="2913"/>
        <v>-3.3333333343216476E-3</v>
      </c>
      <c r="X526" s="7">
        <f t="shared" si="2913"/>
        <v>-3.3333333343216476E-3</v>
      </c>
      <c r="Y526" s="7">
        <f t="shared" si="2913"/>
        <v>-3.3333333343216476E-3</v>
      </c>
      <c r="Z526" s="7">
        <f t="shared" si="2913"/>
        <v>-3.3333333343216476E-3</v>
      </c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222"/>
      <c r="AQ526" s="7">
        <v>0</v>
      </c>
      <c r="AR526" s="7">
        <f t="shared" si="2865"/>
        <v>0</v>
      </c>
      <c r="AS526" s="7">
        <f t="shared" si="2866"/>
        <v>0</v>
      </c>
      <c r="BG526" s="236">
        <f t="shared" si="2863"/>
        <v>0</v>
      </c>
      <c r="BH526" s="7">
        <v>0</v>
      </c>
      <c r="BV526" s="236">
        <f>IF(Z526&lt;1,0,SUM(BJ526:BU526,BF526)/13*$BG$1)</f>
        <v>0</v>
      </c>
      <c r="BW526" s="7">
        <v>0</v>
      </c>
      <c r="CK526" s="236">
        <f>IF(AO526&lt;1,0,SUM(BY526:CJ526,BU526)/13*$BG$1)</f>
        <v>0</v>
      </c>
      <c r="CL526" s="7">
        <v>0</v>
      </c>
      <c r="CZ526" s="236">
        <f>IF(BF526&lt;1,0,SUM(CN526:CY526,CJ526)/13*$BG$1)</f>
        <v>0</v>
      </c>
    </row>
    <row r="527" spans="1:104" ht="22.5" x14ac:dyDescent="0.2">
      <c r="A527" s="6" t="str">
        <f>'[1]2021 УГРЦТ'!A531</f>
        <v>Компьютер в сборе: Intel Core i5 7400 (Soc-1151-v.2v Gigabyte Soc-1151H31M S2V/ DEEPCOOL THETA 21PWM)</v>
      </c>
      <c r="B527" t="str">
        <f>'[1]2021 УГРЦТ'!B531</f>
        <v>000001764</v>
      </c>
      <c r="C527" t="str">
        <f>'[1]2021 УГРЦТ'!C531</f>
        <v>ОБЩЕПРОИЗВОДСТВЕННЫЕ РАСХОДЫ</v>
      </c>
      <c r="D527" t="str">
        <f>'[1]2021 УГРЦТ'!D531</f>
        <v>Офисное оборудование</v>
      </c>
      <c r="E527" t="str">
        <f>'[1]2021 УГРЦТ'!E531</f>
        <v>03.04.2019</v>
      </c>
      <c r="F527" t="str">
        <f>'[1]2021 УГРЦТ'!F531</f>
        <v>общепроизводственные расходы</v>
      </c>
      <c r="G527">
        <f>'[1]2021 УГРЦТ'!AC531</f>
        <v>36</v>
      </c>
      <c r="H527" s="7">
        <f>'[1]2021 УГРЦТ'!X531</f>
        <v>69433.34</v>
      </c>
      <c r="I527" s="7">
        <f>'[1]2021 УГРЦТ'!Y531</f>
        <v>61718.44666666667</v>
      </c>
      <c r="J527" s="7">
        <f>'[1]2021 УГРЦТ'!Z531</f>
        <v>7714.8933333333262</v>
      </c>
      <c r="K527" s="8">
        <v>0</v>
      </c>
      <c r="L527" s="7">
        <v>1928.6999999999982</v>
      </c>
      <c r="M527" s="7"/>
      <c r="N527" s="7">
        <f t="shared" si="2911"/>
        <v>7714.8899999999931</v>
      </c>
      <c r="O527" s="7">
        <f t="shared" si="2859"/>
        <v>5786.1933333333282</v>
      </c>
      <c r="P527" s="7">
        <f t="shared" si="2821"/>
        <v>3857.4933333333302</v>
      </c>
      <c r="Q527" s="7">
        <f t="shared" si="2821"/>
        <v>1928.7933333333319</v>
      </c>
      <c r="R527" s="7">
        <f t="shared" si="2821"/>
        <v>9.3333333333703195E-2</v>
      </c>
      <c r="S527" s="7">
        <f t="shared" si="2912"/>
        <v>3.3333333337031978E-3</v>
      </c>
      <c r="T527" s="7">
        <f t="shared" si="2913"/>
        <v>3.3333333337031978E-3</v>
      </c>
      <c r="U527" s="7">
        <f t="shared" si="2913"/>
        <v>3.3333333337031978E-3</v>
      </c>
      <c r="V527" s="7">
        <f t="shared" si="2913"/>
        <v>3.3333333337031978E-3</v>
      </c>
      <c r="W527" s="7">
        <f t="shared" si="2913"/>
        <v>3.3333333337031978E-3</v>
      </c>
      <c r="X527" s="7">
        <f t="shared" si="2913"/>
        <v>3.3333333337031978E-3</v>
      </c>
      <c r="Y527" s="7">
        <f t="shared" si="2913"/>
        <v>3.3333333337031978E-3</v>
      </c>
      <c r="Z527" s="7">
        <f t="shared" si="2913"/>
        <v>3.3333333337031978E-3</v>
      </c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222"/>
      <c r="AQ527" s="7">
        <v>1928.6999999999982</v>
      </c>
      <c r="AR527" s="7"/>
      <c r="AS527" s="7"/>
      <c r="BG527" s="236">
        <f t="shared" si="2863"/>
        <v>0</v>
      </c>
      <c r="BH527" s="7">
        <v>1928.6999999999982</v>
      </c>
      <c r="BV527" s="236">
        <f>IF(Z527&lt;1,0,SUM(BJ527:BU527,BF527)/13*$BG$1)</f>
        <v>0</v>
      </c>
      <c r="BW527" s="7">
        <v>1928.6999999999982</v>
      </c>
      <c r="CK527" s="236">
        <f>IF(AO527&lt;1,0,SUM(BY527:CJ527,BU527)/13*$BG$1)</f>
        <v>0</v>
      </c>
      <c r="CL527" s="7">
        <v>1928.6999999999982</v>
      </c>
      <c r="CZ527" s="236">
        <f>IF(BF527&lt;1,0,SUM(CN527:CY527,CJ527)/13*$BG$1)</f>
        <v>0</v>
      </c>
    </row>
    <row r="528" spans="1:104" x14ac:dyDescent="0.2">
      <c r="A528" s="6" t="str">
        <f>'[1]2021 УГРЦТ'!A532</f>
        <v>Контейнер 20 ф №1</v>
      </c>
      <c r="B528" t="str">
        <f>'[1]2021 УГРЦТ'!B532</f>
        <v>000001521</v>
      </c>
      <c r="C528" t="str">
        <f>'[1]2021 УГРЦТ'!C532</f>
        <v>ОБЩЕПРОИЗВОДСТВЕННЫЕ РАСХОДЫ</v>
      </c>
      <c r="D528" t="str">
        <f>'[1]2021 УГРЦТ'!D532</f>
        <v>Другие виды основных средств</v>
      </c>
      <c r="E528" t="str">
        <f>'[1]2021 УГРЦТ'!E532</f>
        <v>10.04.2013</v>
      </c>
      <c r="F528" t="str">
        <f>'[1]2021 УГРЦТ'!F532</f>
        <v>Тепломеханический цех</v>
      </c>
      <c r="G528">
        <f>'[1]2021 УГРЦТ'!AC532</f>
        <v>180</v>
      </c>
      <c r="H528" s="7">
        <f>'[1]2021 УГРЦТ'!X532</f>
        <v>50847.46</v>
      </c>
      <c r="I528" s="7">
        <f>'[1]2021 УГРЦТ'!Y532</f>
        <v>564.97177777777779</v>
      </c>
      <c r="J528" s="7">
        <f>'[1]2021 УГРЦТ'!Z532</f>
        <v>21468.549333333332</v>
      </c>
      <c r="K528" s="8">
        <v>0</v>
      </c>
      <c r="L528" s="7">
        <v>282.48</v>
      </c>
      <c r="M528" s="7"/>
      <c r="N528" s="7">
        <f t="shared" si="2674"/>
        <v>3389.76</v>
      </c>
      <c r="O528" s="7">
        <f t="shared" si="2859"/>
        <v>21186.069333333333</v>
      </c>
      <c r="P528" s="7">
        <f t="shared" ref="P528:Z543" si="2914">O528-$L528</f>
        <v>20903.589333333333</v>
      </c>
      <c r="Q528" s="7">
        <f t="shared" si="2914"/>
        <v>20621.109333333334</v>
      </c>
      <c r="R528" s="7">
        <f t="shared" si="2914"/>
        <v>20338.629333333334</v>
      </c>
      <c r="S528" s="7">
        <f t="shared" si="2914"/>
        <v>20056.149333333335</v>
      </c>
      <c r="T528" s="7">
        <f t="shared" si="2914"/>
        <v>19773.669333333335</v>
      </c>
      <c r="U528" s="7">
        <f t="shared" si="2914"/>
        <v>19491.189333333336</v>
      </c>
      <c r="V528" s="7">
        <f t="shared" si="2914"/>
        <v>19208.709333333336</v>
      </c>
      <c r="W528" s="7">
        <f t="shared" si="2914"/>
        <v>18926.229333333336</v>
      </c>
      <c r="X528" s="7">
        <f t="shared" si="2914"/>
        <v>18643.749333333337</v>
      </c>
      <c r="Y528" s="7">
        <f t="shared" si="2914"/>
        <v>18361.269333333337</v>
      </c>
      <c r="Z528" s="7">
        <f t="shared" si="2914"/>
        <v>18078.789333333338</v>
      </c>
      <c r="AA528" s="7"/>
      <c r="AB528" s="7"/>
      <c r="AC528" s="7">
        <f t="shared" si="2860"/>
        <v>3389.76</v>
      </c>
      <c r="AD528" s="7">
        <f t="shared" si="2861"/>
        <v>17796.309333333338</v>
      </c>
      <c r="AE528" s="7">
        <f t="shared" ref="AE528:AO532" si="2915">AD528-$L528</f>
        <v>17513.829333333339</v>
      </c>
      <c r="AF528" s="7">
        <f t="shared" si="2915"/>
        <v>17231.349333333339</v>
      </c>
      <c r="AG528" s="7">
        <f t="shared" si="2915"/>
        <v>16948.869333333339</v>
      </c>
      <c r="AH528" s="7">
        <f t="shared" si="2915"/>
        <v>16666.38933333334</v>
      </c>
      <c r="AI528" s="7">
        <f t="shared" si="2915"/>
        <v>16383.90933333334</v>
      </c>
      <c r="AJ528" s="7">
        <f t="shared" si="2915"/>
        <v>16101.429333333341</v>
      </c>
      <c r="AK528" s="7">
        <f t="shared" si="2915"/>
        <v>15818.949333333341</v>
      </c>
      <c r="AL528" s="7">
        <f t="shared" si="2915"/>
        <v>15536.469333333342</v>
      </c>
      <c r="AM528" s="7">
        <f t="shared" si="2915"/>
        <v>15253.989333333342</v>
      </c>
      <c r="AN528" s="7">
        <f t="shared" si="2915"/>
        <v>14971.509333333343</v>
      </c>
      <c r="AO528" s="7">
        <f t="shared" si="2915"/>
        <v>14689.029333333343</v>
      </c>
      <c r="AP528" s="222"/>
      <c r="AQ528" s="7">
        <v>282.48</v>
      </c>
      <c r="AR528" s="7">
        <f t="shared" si="2865"/>
        <v>282.47999999999956</v>
      </c>
      <c r="AS528" s="7">
        <f t="shared" si="2866"/>
        <v>-4.5474735088646412E-13</v>
      </c>
      <c r="AT528" s="7">
        <f t="shared" ref="AT528:AT531" si="2916">AQ528*12</f>
        <v>3389.76</v>
      </c>
      <c r="AU528" s="7">
        <f>AO528-$L528</f>
        <v>14406.549333333343</v>
      </c>
      <c r="AV528" s="7">
        <f t="shared" ref="AV528:BF532" si="2917">AU528-$L528</f>
        <v>14124.069333333344</v>
      </c>
      <c r="AW528" s="7">
        <f t="shared" si="2917"/>
        <v>13841.589333333344</v>
      </c>
      <c r="AX528" s="7">
        <f t="shared" si="2917"/>
        <v>13559.109333333345</v>
      </c>
      <c r="AY528" s="7">
        <f t="shared" si="2917"/>
        <v>13276.629333333345</v>
      </c>
      <c r="AZ528" s="7">
        <f t="shared" si="2917"/>
        <v>12994.149333333346</v>
      </c>
      <c r="BA528" s="7">
        <f t="shared" si="2917"/>
        <v>12711.669333333346</v>
      </c>
      <c r="BB528" s="7">
        <f t="shared" si="2917"/>
        <v>12429.189333333346</v>
      </c>
      <c r="BC528" s="7">
        <f t="shared" si="2917"/>
        <v>12146.709333333347</v>
      </c>
      <c r="BD528" s="7">
        <f t="shared" si="2917"/>
        <v>11864.229333333347</v>
      </c>
      <c r="BE528" s="7">
        <f t="shared" si="2917"/>
        <v>11581.749333333348</v>
      </c>
      <c r="BF528" s="7">
        <f t="shared" si="2917"/>
        <v>11299.269333333348</v>
      </c>
      <c r="BG528" s="236">
        <f t="shared" si="2863"/>
        <v>0</v>
      </c>
      <c r="BH528" s="7">
        <v>282.48</v>
      </c>
      <c r="BI528" s="39">
        <f>BH528*12</f>
        <v>3389.76</v>
      </c>
      <c r="BJ528" s="7">
        <f>BF528-BH528</f>
        <v>11016.789333333349</v>
      </c>
      <c r="BK528" s="7">
        <f t="shared" ref="BK528:BK532" si="2918">BJ528-$L528</f>
        <v>10734.309333333349</v>
      </c>
      <c r="BL528" s="7">
        <f t="shared" ref="BL528:BL532" si="2919">BK528-$L528</f>
        <v>10451.829333333349</v>
      </c>
      <c r="BM528" s="7">
        <f t="shared" ref="BM528:BM532" si="2920">BL528-$L528</f>
        <v>10169.34933333335</v>
      </c>
      <c r="BN528" s="7">
        <f t="shared" ref="BN528:BN532" si="2921">BM528-$L528</f>
        <v>9886.8693333333504</v>
      </c>
      <c r="BO528" s="7">
        <f t="shared" ref="BO528:BO532" si="2922">BN528-$L528</f>
        <v>9604.3893333333508</v>
      </c>
      <c r="BP528" s="7">
        <f t="shared" ref="BP528:BP532" si="2923">BO528-$L528</f>
        <v>9321.9093333333512</v>
      </c>
      <c r="BQ528" s="7">
        <f t="shared" ref="BQ528:BQ532" si="2924">BP528-$L528</f>
        <v>9039.4293333333517</v>
      </c>
      <c r="BR528" s="7">
        <f t="shared" ref="BR528:BR532" si="2925">BQ528-$L528</f>
        <v>8756.9493333333521</v>
      </c>
      <c r="BS528" s="7">
        <f t="shared" ref="BS528:BS532" si="2926">BR528-$L528</f>
        <v>8474.4693333333526</v>
      </c>
      <c r="BT528" s="7">
        <f t="shared" ref="BT528:BT531" si="2927">BS528-$L528</f>
        <v>8191.989333333353</v>
      </c>
      <c r="BU528" s="7">
        <f t="shared" ref="BU528:BU531" si="2928">BT528-$L528</f>
        <v>7909.5093333333534</v>
      </c>
      <c r="BV528" s="236">
        <v>0</v>
      </c>
      <c r="BW528" s="7">
        <v>282.48</v>
      </c>
      <c r="BX528" s="39">
        <f>BW528*12</f>
        <v>3389.76</v>
      </c>
      <c r="BY528" s="7">
        <f>BU528-BW528</f>
        <v>7627.0293333333539</v>
      </c>
      <c r="BZ528" s="7">
        <f t="shared" ref="BZ528:BZ531" si="2929">BY528-$L528</f>
        <v>7344.5493333333543</v>
      </c>
      <c r="CA528" s="7">
        <f t="shared" ref="CA528:CA531" si="2930">BZ528-$L528</f>
        <v>7062.0693333333547</v>
      </c>
      <c r="CB528" s="7">
        <f t="shared" ref="CB528:CB531" si="2931">CA528-$L528</f>
        <v>6779.5893333333552</v>
      </c>
      <c r="CC528" s="7">
        <f t="shared" ref="CC528:CC531" si="2932">CB528-$L528</f>
        <v>6497.1093333333556</v>
      </c>
      <c r="CD528" s="7">
        <f t="shared" ref="CD528:CD531" si="2933">CC528-$L528</f>
        <v>6214.629333333356</v>
      </c>
      <c r="CE528" s="7">
        <f t="shared" ref="CE528:CE531" si="2934">CD528-$L528</f>
        <v>5932.1493333333565</v>
      </c>
      <c r="CF528" s="7">
        <f t="shared" ref="CF528:CF531" si="2935">CE528-$L528</f>
        <v>5649.6693333333569</v>
      </c>
      <c r="CG528" s="7">
        <f t="shared" ref="CG528:CG531" si="2936">CF528-$L528</f>
        <v>5367.1893333333574</v>
      </c>
      <c r="CH528" s="7">
        <f t="shared" ref="CH528:CH531" si="2937">CG528-$L528</f>
        <v>5084.7093333333578</v>
      </c>
      <c r="CI528" s="7">
        <f t="shared" ref="CI528:CI531" si="2938">CH528-$L528</f>
        <v>4802.2293333333582</v>
      </c>
      <c r="CJ528" s="7">
        <f t="shared" ref="CJ528:CJ531" si="2939">CI528-$L528</f>
        <v>4519.7493333333587</v>
      </c>
      <c r="CK528" s="236">
        <v>0</v>
      </c>
      <c r="CL528" s="7">
        <v>282.48</v>
      </c>
      <c r="CM528" s="39">
        <f>CL528*12</f>
        <v>3389.76</v>
      </c>
      <c r="CN528" s="7">
        <f>CJ528-CL528</f>
        <v>4237.2693333333591</v>
      </c>
      <c r="CO528" s="7">
        <f t="shared" ref="CO528:CO531" si="2940">CN528-$L528</f>
        <v>3954.7893333333591</v>
      </c>
      <c r="CP528" s="7">
        <f t="shared" ref="CP528:CP531" si="2941">CO528-$L528</f>
        <v>3672.3093333333591</v>
      </c>
      <c r="CQ528" s="7">
        <f t="shared" ref="CQ528:CQ531" si="2942">CP528-$L528</f>
        <v>3389.829333333359</v>
      </c>
      <c r="CR528" s="7">
        <f t="shared" ref="CR528:CR531" si="2943">CQ528-$L528</f>
        <v>3107.349333333359</v>
      </c>
      <c r="CS528" s="7">
        <f t="shared" ref="CS528:CS531" si="2944">CR528-$L528</f>
        <v>2824.869333333359</v>
      </c>
      <c r="CT528" s="7">
        <f t="shared" ref="CT528:CT531" si="2945">CS528-$L528</f>
        <v>2542.389333333359</v>
      </c>
      <c r="CU528" s="7">
        <f t="shared" ref="CU528:CU531" si="2946">CT528-$L528</f>
        <v>2259.909333333359</v>
      </c>
      <c r="CV528" s="7">
        <f t="shared" ref="CV528:CV531" si="2947">CU528-$L528</f>
        <v>1977.429333333359</v>
      </c>
      <c r="CW528" s="7">
        <f t="shared" ref="CW528:CW531" si="2948">CV528-$L528</f>
        <v>1694.9493333333589</v>
      </c>
      <c r="CX528" s="7">
        <f t="shared" ref="CX528:CX531" si="2949">CW528-$L528</f>
        <v>1412.4693333333589</v>
      </c>
      <c r="CY528" s="7">
        <f t="shared" ref="CY528:CY531" si="2950">CX528-$L528</f>
        <v>1129.9893333333589</v>
      </c>
      <c r="CZ528" s="236">
        <v>0</v>
      </c>
    </row>
    <row r="529" spans="1:104" x14ac:dyDescent="0.2">
      <c r="A529" s="6" t="str">
        <f>'[1]2021 УГРЦТ'!A533</f>
        <v>Мезонин на основе колонн №1</v>
      </c>
      <c r="B529" t="str">
        <f>'[1]2021 УГРЦТ'!B533</f>
        <v>000001856</v>
      </c>
      <c r="C529" t="str">
        <f>'[1]2021 УГРЦТ'!C533</f>
        <v>ОБЩЕПРОИЗВОДСТВЕННЫЕ РАСХОДЫ</v>
      </c>
      <c r="D529" t="str">
        <f>'[1]2021 УГРЦТ'!D533</f>
        <v>Машины и оборудование (кроме офисного)</v>
      </c>
      <c r="E529" t="str">
        <f>'[1]2021 УГРЦТ'!E533</f>
        <v>30.06.2021</v>
      </c>
      <c r="F529" t="str">
        <f>'[1]2021 УГРЦТ'!F533</f>
        <v>общепроизводственные расходы</v>
      </c>
      <c r="G529">
        <f>'[1]2021 УГРЦТ'!AC533</f>
        <v>180</v>
      </c>
      <c r="H529" s="7">
        <f>'[1]2021 УГРЦТ'!X533</f>
        <v>717369.78</v>
      </c>
      <c r="I529" s="7">
        <f>'[1]2021 УГРЦТ'!Y533</f>
        <v>23912.326000000001</v>
      </c>
      <c r="J529" s="7">
        <f>'[1]2021 УГРЦТ'!Z533</f>
        <v>693457.45400000003</v>
      </c>
      <c r="K529" s="8">
        <v>0</v>
      </c>
      <c r="L529" s="7">
        <v>3985.39</v>
      </c>
      <c r="M529" s="7"/>
      <c r="N529" s="7">
        <f t="shared" si="2674"/>
        <v>47824.68</v>
      </c>
      <c r="O529" s="7">
        <f t="shared" si="2859"/>
        <v>689472.06400000001</v>
      </c>
      <c r="P529" s="7">
        <f t="shared" si="2914"/>
        <v>685486.674</v>
      </c>
      <c r="Q529" s="7">
        <f t="shared" si="2914"/>
        <v>681501.28399999999</v>
      </c>
      <c r="R529" s="7">
        <f t="shared" si="2914"/>
        <v>677515.89399999997</v>
      </c>
      <c r="S529" s="7">
        <f t="shared" si="2914"/>
        <v>673530.50399999996</v>
      </c>
      <c r="T529" s="7">
        <f t="shared" si="2914"/>
        <v>669545.11399999994</v>
      </c>
      <c r="U529" s="7">
        <f t="shared" si="2914"/>
        <v>665559.72399999993</v>
      </c>
      <c r="V529" s="7">
        <f t="shared" si="2914"/>
        <v>661574.33399999992</v>
      </c>
      <c r="W529" s="7">
        <f t="shared" si="2914"/>
        <v>657588.9439999999</v>
      </c>
      <c r="X529" s="7">
        <f t="shared" si="2914"/>
        <v>653603.55399999989</v>
      </c>
      <c r="Y529" s="7">
        <f t="shared" si="2914"/>
        <v>649618.16399999987</v>
      </c>
      <c r="Z529" s="7">
        <f t="shared" si="2914"/>
        <v>645632.77399999986</v>
      </c>
      <c r="AA529" s="7"/>
      <c r="AB529" s="7"/>
      <c r="AC529" s="7">
        <f t="shared" si="2860"/>
        <v>47824.68</v>
      </c>
      <c r="AD529" s="7">
        <f t="shared" si="2861"/>
        <v>641647.38399999985</v>
      </c>
      <c r="AE529" s="7">
        <f t="shared" si="2915"/>
        <v>637661.99399999983</v>
      </c>
      <c r="AF529" s="7">
        <f t="shared" si="2915"/>
        <v>633676.60399999982</v>
      </c>
      <c r="AG529" s="7">
        <f t="shared" si="2915"/>
        <v>629691.2139999998</v>
      </c>
      <c r="AH529" s="7">
        <f t="shared" si="2915"/>
        <v>625705.82399999979</v>
      </c>
      <c r="AI529" s="7">
        <f t="shared" si="2915"/>
        <v>621720.43399999978</v>
      </c>
      <c r="AJ529" s="7">
        <f t="shared" si="2915"/>
        <v>617735.04399999976</v>
      </c>
      <c r="AK529" s="7">
        <f t="shared" si="2915"/>
        <v>613749.65399999975</v>
      </c>
      <c r="AL529" s="7">
        <f t="shared" si="2915"/>
        <v>609764.26399999973</v>
      </c>
      <c r="AM529" s="7">
        <f t="shared" si="2915"/>
        <v>605778.87399999972</v>
      </c>
      <c r="AN529" s="7">
        <f t="shared" si="2915"/>
        <v>601793.48399999971</v>
      </c>
      <c r="AO529" s="7">
        <f t="shared" si="2915"/>
        <v>597808.09399999969</v>
      </c>
      <c r="AP529" s="222"/>
      <c r="AQ529" s="7">
        <v>3985.39</v>
      </c>
      <c r="AR529" s="7">
        <f t="shared" si="2865"/>
        <v>3985.390000000014</v>
      </c>
      <c r="AS529" s="7">
        <f t="shared" si="2866"/>
        <v>1.4097167877480388E-11</v>
      </c>
      <c r="AT529" s="7">
        <f t="shared" si="2916"/>
        <v>47824.68</v>
      </c>
      <c r="AU529" s="7">
        <f>AO529-$L529</f>
        <v>593822.70399999968</v>
      </c>
      <c r="AV529" s="7">
        <f t="shared" si="2917"/>
        <v>589837.31399999966</v>
      </c>
      <c r="AW529" s="7">
        <f t="shared" si="2917"/>
        <v>585851.92399999965</v>
      </c>
      <c r="AX529" s="7">
        <f t="shared" si="2917"/>
        <v>581866.53399999964</v>
      </c>
      <c r="AY529" s="7">
        <f t="shared" si="2917"/>
        <v>577881.14399999962</v>
      </c>
      <c r="AZ529" s="7">
        <f t="shared" si="2917"/>
        <v>573895.75399999961</v>
      </c>
      <c r="BA529" s="7">
        <f t="shared" si="2917"/>
        <v>569910.36399999959</v>
      </c>
      <c r="BB529" s="7">
        <f t="shared" si="2917"/>
        <v>565924.97399999958</v>
      </c>
      <c r="BC529" s="7">
        <f t="shared" si="2917"/>
        <v>561939.58399999957</v>
      </c>
      <c r="BD529" s="7">
        <f t="shared" si="2917"/>
        <v>557954.19399999955</v>
      </c>
      <c r="BE529" s="7">
        <f t="shared" si="2917"/>
        <v>553968.80399999954</v>
      </c>
      <c r="BF529" s="7">
        <f t="shared" si="2917"/>
        <v>549983.41399999952</v>
      </c>
      <c r="BG529" s="236">
        <f t="shared" si="2863"/>
        <v>0</v>
      </c>
      <c r="BH529" s="7">
        <v>3985.39</v>
      </c>
      <c r="BI529" s="39">
        <f>BH529*12</f>
        <v>47824.68</v>
      </c>
      <c r="BJ529" s="7">
        <f>BF529-BH529</f>
        <v>545998.02399999951</v>
      </c>
      <c r="BK529" s="7">
        <f t="shared" si="2918"/>
        <v>542012.6339999995</v>
      </c>
      <c r="BL529" s="7">
        <f t="shared" si="2919"/>
        <v>538027.24399999948</v>
      </c>
      <c r="BM529" s="7">
        <f t="shared" si="2920"/>
        <v>534041.85399999947</v>
      </c>
      <c r="BN529" s="7">
        <f t="shared" si="2921"/>
        <v>530056.46399999945</v>
      </c>
      <c r="BO529" s="7">
        <f t="shared" si="2922"/>
        <v>526071.07399999944</v>
      </c>
      <c r="BP529" s="7">
        <f t="shared" si="2923"/>
        <v>522085.68399999943</v>
      </c>
      <c r="BQ529" s="7">
        <f t="shared" si="2924"/>
        <v>518100.29399999941</v>
      </c>
      <c r="BR529" s="7">
        <f t="shared" si="2925"/>
        <v>514114.9039999994</v>
      </c>
      <c r="BS529" s="7">
        <f t="shared" si="2926"/>
        <v>510129.51399999938</v>
      </c>
      <c r="BT529" s="7">
        <f t="shared" si="2927"/>
        <v>506144.12399999937</v>
      </c>
      <c r="BU529" s="7">
        <f t="shared" si="2928"/>
        <v>502158.73399999936</v>
      </c>
      <c r="BV529" s="236">
        <v>0</v>
      </c>
      <c r="BW529" s="7">
        <v>3985.39</v>
      </c>
      <c r="BX529" s="39">
        <f>BW529*12</f>
        <v>47824.68</v>
      </c>
      <c r="BY529" s="7">
        <f>BU529-BW529</f>
        <v>498173.34399999934</v>
      </c>
      <c r="BZ529" s="7">
        <f t="shared" si="2929"/>
        <v>494187.95399999933</v>
      </c>
      <c r="CA529" s="7">
        <f t="shared" si="2930"/>
        <v>490202.56399999931</v>
      </c>
      <c r="CB529" s="7">
        <f t="shared" si="2931"/>
        <v>486217.1739999993</v>
      </c>
      <c r="CC529" s="7">
        <f t="shared" si="2932"/>
        <v>482231.78399999929</v>
      </c>
      <c r="CD529" s="7">
        <f t="shared" si="2933"/>
        <v>478246.39399999927</v>
      </c>
      <c r="CE529" s="7">
        <f t="shared" si="2934"/>
        <v>474261.00399999926</v>
      </c>
      <c r="CF529" s="7">
        <f t="shared" si="2935"/>
        <v>470275.61399999924</v>
      </c>
      <c r="CG529" s="7">
        <f t="shared" si="2936"/>
        <v>466290.22399999923</v>
      </c>
      <c r="CH529" s="7">
        <f t="shared" si="2937"/>
        <v>462304.83399999922</v>
      </c>
      <c r="CI529" s="7">
        <f t="shared" si="2938"/>
        <v>458319.4439999992</v>
      </c>
      <c r="CJ529" s="7">
        <f t="shared" si="2939"/>
        <v>454334.05399999919</v>
      </c>
      <c r="CK529" s="236">
        <v>0</v>
      </c>
      <c r="CL529" s="7">
        <v>3985.39</v>
      </c>
      <c r="CM529" s="39">
        <f>CL529*12</f>
        <v>47824.68</v>
      </c>
      <c r="CN529" s="7">
        <f>CJ529-CL529</f>
        <v>450348.66399999917</v>
      </c>
      <c r="CO529" s="7">
        <f t="shared" si="2940"/>
        <v>446363.27399999916</v>
      </c>
      <c r="CP529" s="7">
        <f t="shared" si="2941"/>
        <v>442377.88399999915</v>
      </c>
      <c r="CQ529" s="7">
        <f t="shared" si="2942"/>
        <v>438392.49399999913</v>
      </c>
      <c r="CR529" s="7">
        <f t="shared" si="2943"/>
        <v>434407.10399999912</v>
      </c>
      <c r="CS529" s="7">
        <f t="shared" si="2944"/>
        <v>430421.7139999991</v>
      </c>
      <c r="CT529" s="7">
        <f t="shared" si="2945"/>
        <v>426436.32399999909</v>
      </c>
      <c r="CU529" s="7">
        <f t="shared" si="2946"/>
        <v>422450.93399999908</v>
      </c>
      <c r="CV529" s="7">
        <f t="shared" si="2947"/>
        <v>418465.54399999906</v>
      </c>
      <c r="CW529" s="7">
        <f t="shared" si="2948"/>
        <v>414480.15399999905</v>
      </c>
      <c r="CX529" s="7">
        <f t="shared" si="2949"/>
        <v>410494.76399999904</v>
      </c>
      <c r="CY529" s="7">
        <f t="shared" si="2950"/>
        <v>406509.37399999902</v>
      </c>
      <c r="CZ529" s="236">
        <v>0</v>
      </c>
    </row>
    <row r="530" spans="1:104" x14ac:dyDescent="0.2">
      <c r="A530" s="6" t="str">
        <f>'[1]2021 УГРЦТ'!A534</f>
        <v>Мезонин на основе колонн №2</v>
      </c>
      <c r="B530" t="str">
        <f>'[1]2021 УГРЦТ'!B534</f>
        <v>000001857</v>
      </c>
      <c r="C530" t="str">
        <f>'[1]2021 УГРЦТ'!C534</f>
        <v>ОБЩЕПРОИЗВОДСТВЕННЫЕ РАСХОДЫ</v>
      </c>
      <c r="D530" t="str">
        <f>'[1]2021 УГРЦТ'!D534</f>
        <v>Машины и оборудование (кроме офисного)</v>
      </c>
      <c r="E530" t="str">
        <f>'[1]2021 УГРЦТ'!E534</f>
        <v>30.06.2021</v>
      </c>
      <c r="F530" t="str">
        <f>'[1]2021 УГРЦТ'!F534</f>
        <v>общепроизводственные расходы</v>
      </c>
      <c r="G530">
        <f>'[1]2021 УГРЦТ'!AC534</f>
        <v>180</v>
      </c>
      <c r="H530" s="7">
        <f>'[1]2021 УГРЦТ'!X534</f>
        <v>727902.42</v>
      </c>
      <c r="I530" s="7">
        <f>'[1]2021 УГРЦТ'!Y534</f>
        <v>24263.413999999997</v>
      </c>
      <c r="J530" s="7">
        <f>'[1]2021 УГРЦТ'!Z534</f>
        <v>703639.00600000005</v>
      </c>
      <c r="K530" s="8">
        <v>0</v>
      </c>
      <c r="L530" s="7">
        <v>4043.9</v>
      </c>
      <c r="M530" s="7"/>
      <c r="N530" s="7">
        <f t="shared" si="2674"/>
        <v>48526.8</v>
      </c>
      <c r="O530" s="7">
        <f t="shared" si="2859"/>
        <v>699595.10600000003</v>
      </c>
      <c r="P530" s="7">
        <f t="shared" si="2914"/>
        <v>695551.20600000001</v>
      </c>
      <c r="Q530" s="7">
        <f t="shared" si="2914"/>
        <v>691507.30599999998</v>
      </c>
      <c r="R530" s="7">
        <f t="shared" si="2914"/>
        <v>687463.40599999996</v>
      </c>
      <c r="S530" s="7">
        <f t="shared" si="2914"/>
        <v>683419.50599999994</v>
      </c>
      <c r="T530" s="7">
        <f t="shared" si="2914"/>
        <v>679375.60599999991</v>
      </c>
      <c r="U530" s="7">
        <f t="shared" si="2914"/>
        <v>675331.70599999989</v>
      </c>
      <c r="V530" s="7">
        <f t="shared" si="2914"/>
        <v>671287.80599999987</v>
      </c>
      <c r="W530" s="7">
        <f t="shared" si="2914"/>
        <v>667243.90599999984</v>
      </c>
      <c r="X530" s="7">
        <f t="shared" si="2914"/>
        <v>663200.00599999982</v>
      </c>
      <c r="Y530" s="7">
        <f t="shared" si="2914"/>
        <v>659156.1059999998</v>
      </c>
      <c r="Z530" s="7">
        <f t="shared" si="2914"/>
        <v>655112.20599999977</v>
      </c>
      <c r="AA530" s="7"/>
      <c r="AB530" s="7"/>
      <c r="AC530" s="7">
        <f t="shared" si="2860"/>
        <v>48526.8</v>
      </c>
      <c r="AD530" s="7">
        <f t="shared" si="2861"/>
        <v>651068.30599999975</v>
      </c>
      <c r="AE530" s="7">
        <f t="shared" si="2915"/>
        <v>647024.40599999973</v>
      </c>
      <c r="AF530" s="7">
        <f t="shared" si="2915"/>
        <v>642980.5059999997</v>
      </c>
      <c r="AG530" s="7">
        <f t="shared" si="2915"/>
        <v>638936.60599999968</v>
      </c>
      <c r="AH530" s="7">
        <f t="shared" si="2915"/>
        <v>634892.70599999966</v>
      </c>
      <c r="AI530" s="7">
        <f t="shared" si="2915"/>
        <v>630848.80599999963</v>
      </c>
      <c r="AJ530" s="7">
        <f t="shared" si="2915"/>
        <v>626804.90599999961</v>
      </c>
      <c r="AK530" s="7">
        <f t="shared" si="2915"/>
        <v>622761.00599999959</v>
      </c>
      <c r="AL530" s="7">
        <f t="shared" si="2915"/>
        <v>618717.10599999956</v>
      </c>
      <c r="AM530" s="7">
        <f t="shared" si="2915"/>
        <v>614673.20599999954</v>
      </c>
      <c r="AN530" s="7">
        <f t="shared" si="2915"/>
        <v>610629.30599999952</v>
      </c>
      <c r="AO530" s="7">
        <f t="shared" si="2915"/>
        <v>606585.40599999949</v>
      </c>
      <c r="AP530" s="222"/>
      <c r="AQ530" s="7">
        <v>4043.9</v>
      </c>
      <c r="AR530" s="7">
        <f t="shared" si="2865"/>
        <v>4043.9000000000233</v>
      </c>
      <c r="AS530" s="7">
        <f t="shared" si="2866"/>
        <v>2.319211489520967E-11</v>
      </c>
      <c r="AT530" s="7">
        <f t="shared" si="2916"/>
        <v>48526.8</v>
      </c>
      <c r="AU530" s="7">
        <f>AO530-$L530</f>
        <v>602541.50599999947</v>
      </c>
      <c r="AV530" s="7">
        <f t="shared" si="2917"/>
        <v>598497.60599999945</v>
      </c>
      <c r="AW530" s="7">
        <f t="shared" si="2917"/>
        <v>594453.70599999942</v>
      </c>
      <c r="AX530" s="7">
        <f t="shared" si="2917"/>
        <v>590409.8059999994</v>
      </c>
      <c r="AY530" s="7">
        <f t="shared" si="2917"/>
        <v>586365.90599999938</v>
      </c>
      <c r="AZ530" s="7">
        <f t="shared" si="2917"/>
        <v>582322.00599999935</v>
      </c>
      <c r="BA530" s="7">
        <f t="shared" si="2917"/>
        <v>578278.10599999933</v>
      </c>
      <c r="BB530" s="7">
        <f t="shared" si="2917"/>
        <v>574234.20599999931</v>
      </c>
      <c r="BC530" s="7">
        <f t="shared" si="2917"/>
        <v>570190.30599999928</v>
      </c>
      <c r="BD530" s="7">
        <f t="shared" si="2917"/>
        <v>566146.40599999926</v>
      </c>
      <c r="BE530" s="7">
        <f t="shared" si="2917"/>
        <v>562102.50599999924</v>
      </c>
      <c r="BF530" s="7">
        <f t="shared" si="2917"/>
        <v>558058.60599999921</v>
      </c>
      <c r="BG530" s="236">
        <f t="shared" si="2863"/>
        <v>0</v>
      </c>
      <c r="BH530" s="7">
        <v>4043.9</v>
      </c>
      <c r="BI530" s="39">
        <f>BH530*12</f>
        <v>48526.8</v>
      </c>
      <c r="BJ530" s="7">
        <f>BF530-BH530</f>
        <v>554014.70599999919</v>
      </c>
      <c r="BK530" s="7">
        <f t="shared" si="2918"/>
        <v>549970.80599999917</v>
      </c>
      <c r="BL530" s="7">
        <f t="shared" si="2919"/>
        <v>545926.90599999914</v>
      </c>
      <c r="BM530" s="7">
        <f t="shared" si="2920"/>
        <v>541883.00599999912</v>
      </c>
      <c r="BN530" s="7">
        <f t="shared" si="2921"/>
        <v>537839.1059999991</v>
      </c>
      <c r="BO530" s="7">
        <f t="shared" si="2922"/>
        <v>533795.20599999907</v>
      </c>
      <c r="BP530" s="7">
        <f t="shared" si="2923"/>
        <v>529751.30599999905</v>
      </c>
      <c r="BQ530" s="7">
        <f t="shared" si="2924"/>
        <v>525707.40599999903</v>
      </c>
      <c r="BR530" s="7">
        <f t="shared" si="2925"/>
        <v>521663.505999999</v>
      </c>
      <c r="BS530" s="7">
        <f t="shared" si="2926"/>
        <v>517619.60599999898</v>
      </c>
      <c r="BT530" s="7">
        <f t="shared" si="2927"/>
        <v>513575.70599999896</v>
      </c>
      <c r="BU530" s="7">
        <f t="shared" si="2928"/>
        <v>509531.80599999893</v>
      </c>
      <c r="BV530" s="236">
        <v>0</v>
      </c>
      <c r="BW530" s="7">
        <v>4043.9</v>
      </c>
      <c r="BX530" s="39">
        <f>BW530*12</f>
        <v>48526.8</v>
      </c>
      <c r="BY530" s="7">
        <f>BU530-BW530</f>
        <v>505487.90599999891</v>
      </c>
      <c r="BZ530" s="7">
        <f t="shared" si="2929"/>
        <v>501444.00599999889</v>
      </c>
      <c r="CA530" s="7">
        <f t="shared" si="2930"/>
        <v>497400.10599999886</v>
      </c>
      <c r="CB530" s="7">
        <f t="shared" si="2931"/>
        <v>493356.20599999884</v>
      </c>
      <c r="CC530" s="7">
        <f t="shared" si="2932"/>
        <v>489312.30599999882</v>
      </c>
      <c r="CD530" s="7">
        <f t="shared" si="2933"/>
        <v>485268.40599999879</v>
      </c>
      <c r="CE530" s="7">
        <f t="shared" si="2934"/>
        <v>481224.50599999877</v>
      </c>
      <c r="CF530" s="7">
        <f t="shared" si="2935"/>
        <v>477180.60599999875</v>
      </c>
      <c r="CG530" s="7">
        <f t="shared" si="2936"/>
        <v>473136.70599999873</v>
      </c>
      <c r="CH530" s="7">
        <f t="shared" si="2937"/>
        <v>469092.8059999987</v>
      </c>
      <c r="CI530" s="7">
        <f t="shared" si="2938"/>
        <v>465048.90599999868</v>
      </c>
      <c r="CJ530" s="7">
        <f t="shared" si="2939"/>
        <v>461005.00599999866</v>
      </c>
      <c r="CK530" s="236">
        <v>0</v>
      </c>
      <c r="CL530" s="7">
        <v>4043.9</v>
      </c>
      <c r="CM530" s="39">
        <f>CL530*12</f>
        <v>48526.8</v>
      </c>
      <c r="CN530" s="7">
        <f>CJ530-CL530</f>
        <v>456961.10599999863</v>
      </c>
      <c r="CO530" s="7">
        <f t="shared" si="2940"/>
        <v>452917.20599999861</v>
      </c>
      <c r="CP530" s="7">
        <f t="shared" si="2941"/>
        <v>448873.30599999859</v>
      </c>
      <c r="CQ530" s="7">
        <f t="shared" si="2942"/>
        <v>444829.40599999856</v>
      </c>
      <c r="CR530" s="7">
        <f t="shared" si="2943"/>
        <v>440785.50599999854</v>
      </c>
      <c r="CS530" s="7">
        <f t="shared" si="2944"/>
        <v>436741.60599999852</v>
      </c>
      <c r="CT530" s="7">
        <f t="shared" si="2945"/>
        <v>432697.70599999849</v>
      </c>
      <c r="CU530" s="7">
        <f t="shared" si="2946"/>
        <v>428653.80599999847</v>
      </c>
      <c r="CV530" s="7">
        <f t="shared" si="2947"/>
        <v>424609.90599999845</v>
      </c>
      <c r="CW530" s="7">
        <f t="shared" si="2948"/>
        <v>420566.00599999842</v>
      </c>
      <c r="CX530" s="7">
        <f t="shared" si="2949"/>
        <v>416522.1059999984</v>
      </c>
      <c r="CY530" s="7">
        <f t="shared" si="2950"/>
        <v>412478.20599999838</v>
      </c>
      <c r="CZ530" s="236">
        <v>0</v>
      </c>
    </row>
    <row r="531" spans="1:104" x14ac:dyDescent="0.2">
      <c r="A531" s="6" t="str">
        <f>'[1]2021 УГРЦТ'!A535</f>
        <v>Металлический стеллаж (складской мезонин)</v>
      </c>
      <c r="B531" t="str">
        <f>'[1]2021 УГРЦТ'!B535</f>
        <v>000001803</v>
      </c>
      <c r="C531" t="str">
        <f>'[1]2021 УГРЦТ'!C535</f>
        <v>ОБЩЕПРОИЗВОДСТВЕННЫЕ РАСХОДЫ</v>
      </c>
      <c r="D531" t="str">
        <f>'[1]2021 УГРЦТ'!D535</f>
        <v>Машины и оборудование (кроме офисного)</v>
      </c>
      <c r="E531" t="str">
        <f>'[1]2021 УГРЦТ'!E535</f>
        <v>17.03.2020</v>
      </c>
      <c r="F531" t="str">
        <f>'[1]2021 УГРЦТ'!F535</f>
        <v>общепроизводственные расходы</v>
      </c>
      <c r="G531">
        <f>'[1]2021 УГРЦТ'!AC535</f>
        <v>180</v>
      </c>
      <c r="H531" s="7">
        <f>'[1]2021 УГРЦТ'!X535</f>
        <v>525332.43000000005</v>
      </c>
      <c r="I531" s="7">
        <f>'[1]2021 УГРЦТ'!Y535</f>
        <v>61288.752000000008</v>
      </c>
      <c r="J531" s="7">
        <f>'[1]2021 УГРЦТ'!Z535</f>
        <v>464043.67800000007</v>
      </c>
      <c r="K531" s="8">
        <v>0</v>
      </c>
      <c r="L531" s="7">
        <v>2918.5100000000007</v>
      </c>
      <c r="M531" s="7"/>
      <c r="N531" s="7">
        <f t="shared" si="2674"/>
        <v>35022.12000000001</v>
      </c>
      <c r="O531" s="7">
        <f t="shared" si="2859"/>
        <v>461125.16800000006</v>
      </c>
      <c r="P531" s="7">
        <f t="shared" si="2914"/>
        <v>458206.65800000005</v>
      </c>
      <c r="Q531" s="7">
        <f t="shared" si="2914"/>
        <v>455288.14800000004</v>
      </c>
      <c r="R531" s="7">
        <f t="shared" si="2914"/>
        <v>452369.63800000004</v>
      </c>
      <c r="S531" s="7">
        <f t="shared" si="2914"/>
        <v>449451.12800000003</v>
      </c>
      <c r="T531" s="7">
        <f t="shared" si="2914"/>
        <v>446532.61800000002</v>
      </c>
      <c r="U531" s="7">
        <f t="shared" si="2914"/>
        <v>443614.10800000001</v>
      </c>
      <c r="V531" s="7">
        <f t="shared" si="2914"/>
        <v>440695.598</v>
      </c>
      <c r="W531" s="7">
        <f t="shared" si="2914"/>
        <v>437777.08799999999</v>
      </c>
      <c r="X531" s="7">
        <f t="shared" si="2914"/>
        <v>434858.57799999998</v>
      </c>
      <c r="Y531" s="7">
        <f t="shared" si="2914"/>
        <v>431940.06799999997</v>
      </c>
      <c r="Z531" s="7">
        <f t="shared" si="2914"/>
        <v>429021.55799999996</v>
      </c>
      <c r="AA531" s="7"/>
      <c r="AB531" s="7"/>
      <c r="AC531" s="7">
        <f t="shared" si="2860"/>
        <v>35022.12000000001</v>
      </c>
      <c r="AD531" s="7">
        <f t="shared" si="2861"/>
        <v>426103.04799999995</v>
      </c>
      <c r="AE531" s="7">
        <f t="shared" si="2915"/>
        <v>423184.53799999994</v>
      </c>
      <c r="AF531" s="7">
        <f t="shared" si="2915"/>
        <v>420266.02799999993</v>
      </c>
      <c r="AG531" s="7">
        <f t="shared" si="2915"/>
        <v>417347.51799999992</v>
      </c>
      <c r="AH531" s="7">
        <f t="shared" si="2915"/>
        <v>414429.00799999991</v>
      </c>
      <c r="AI531" s="7">
        <f t="shared" si="2915"/>
        <v>411510.49799999991</v>
      </c>
      <c r="AJ531" s="7">
        <f t="shared" si="2915"/>
        <v>408591.9879999999</v>
      </c>
      <c r="AK531" s="7">
        <f t="shared" si="2915"/>
        <v>405673.47799999989</v>
      </c>
      <c r="AL531" s="7">
        <f t="shared" si="2915"/>
        <v>402754.96799999988</v>
      </c>
      <c r="AM531" s="7">
        <f t="shared" si="2915"/>
        <v>399836.45799999987</v>
      </c>
      <c r="AN531" s="7">
        <f t="shared" si="2915"/>
        <v>396917.94799999986</v>
      </c>
      <c r="AO531" s="7">
        <f t="shared" si="2915"/>
        <v>393999.43799999985</v>
      </c>
      <c r="AP531" s="222"/>
      <c r="AQ531" s="7">
        <v>2918.5100000000007</v>
      </c>
      <c r="AR531" s="7">
        <f t="shared" si="2865"/>
        <v>2918.5100000000093</v>
      </c>
      <c r="AS531" s="7">
        <f t="shared" si="2866"/>
        <v>8.6401996668428183E-12</v>
      </c>
      <c r="AT531" s="7">
        <f t="shared" si="2916"/>
        <v>35022.12000000001</v>
      </c>
      <c r="AU531" s="7">
        <f>AO531-$L531</f>
        <v>391080.92799999984</v>
      </c>
      <c r="AV531" s="7">
        <f t="shared" si="2917"/>
        <v>388162.41799999983</v>
      </c>
      <c r="AW531" s="7">
        <f t="shared" si="2917"/>
        <v>385243.90799999982</v>
      </c>
      <c r="AX531" s="7">
        <f t="shared" si="2917"/>
        <v>382325.39799999981</v>
      </c>
      <c r="AY531" s="7">
        <f t="shared" si="2917"/>
        <v>379406.8879999998</v>
      </c>
      <c r="AZ531" s="7">
        <f t="shared" si="2917"/>
        <v>376488.37799999979</v>
      </c>
      <c r="BA531" s="7">
        <f t="shared" si="2917"/>
        <v>373569.86799999978</v>
      </c>
      <c r="BB531" s="7">
        <f t="shared" si="2917"/>
        <v>370651.35799999977</v>
      </c>
      <c r="BC531" s="7">
        <f t="shared" si="2917"/>
        <v>367732.84799999977</v>
      </c>
      <c r="BD531" s="7">
        <f t="shared" si="2917"/>
        <v>364814.33799999976</v>
      </c>
      <c r="BE531" s="7">
        <f t="shared" si="2917"/>
        <v>361895.82799999975</v>
      </c>
      <c r="BF531" s="7">
        <f t="shared" si="2917"/>
        <v>358977.31799999974</v>
      </c>
      <c r="BG531" s="236">
        <f t="shared" si="2863"/>
        <v>0</v>
      </c>
      <c r="BH531" s="7">
        <v>2918.5100000000007</v>
      </c>
      <c r="BI531" s="39">
        <f>BH531*12</f>
        <v>35022.12000000001</v>
      </c>
      <c r="BJ531" s="7">
        <f>BF531-BH531</f>
        <v>356058.80799999973</v>
      </c>
      <c r="BK531" s="7">
        <f t="shared" si="2918"/>
        <v>353140.29799999972</v>
      </c>
      <c r="BL531" s="7">
        <f t="shared" si="2919"/>
        <v>350221.78799999971</v>
      </c>
      <c r="BM531" s="7">
        <f t="shared" si="2920"/>
        <v>347303.2779999997</v>
      </c>
      <c r="BN531" s="7">
        <f t="shared" si="2921"/>
        <v>344384.76799999969</v>
      </c>
      <c r="BO531" s="7">
        <f t="shared" si="2922"/>
        <v>341466.25799999968</v>
      </c>
      <c r="BP531" s="7">
        <f t="shared" si="2923"/>
        <v>338547.74799999967</v>
      </c>
      <c r="BQ531" s="7">
        <f t="shared" si="2924"/>
        <v>335629.23799999966</v>
      </c>
      <c r="BR531" s="7">
        <f t="shared" si="2925"/>
        <v>332710.72799999965</v>
      </c>
      <c r="BS531" s="7">
        <f t="shared" si="2926"/>
        <v>329792.21799999964</v>
      </c>
      <c r="BT531" s="7">
        <f t="shared" si="2927"/>
        <v>326873.70799999963</v>
      </c>
      <c r="BU531" s="7">
        <f t="shared" si="2928"/>
        <v>323955.19799999963</v>
      </c>
      <c r="BV531" s="236">
        <v>0</v>
      </c>
      <c r="BW531" s="7">
        <v>2918.5100000000007</v>
      </c>
      <c r="BX531" s="39">
        <f>BW531*12</f>
        <v>35022.12000000001</v>
      </c>
      <c r="BY531" s="7">
        <f>BU531-BW531</f>
        <v>321036.68799999962</v>
      </c>
      <c r="BZ531" s="7">
        <f t="shared" si="2929"/>
        <v>318118.17799999961</v>
      </c>
      <c r="CA531" s="7">
        <f t="shared" si="2930"/>
        <v>315199.6679999996</v>
      </c>
      <c r="CB531" s="7">
        <f t="shared" si="2931"/>
        <v>312281.15799999959</v>
      </c>
      <c r="CC531" s="7">
        <f t="shared" si="2932"/>
        <v>309362.64799999958</v>
      </c>
      <c r="CD531" s="7">
        <f t="shared" si="2933"/>
        <v>306444.13799999957</v>
      </c>
      <c r="CE531" s="7">
        <f t="shared" si="2934"/>
        <v>303525.62799999956</v>
      </c>
      <c r="CF531" s="7">
        <f t="shared" si="2935"/>
        <v>300607.11799999955</v>
      </c>
      <c r="CG531" s="7">
        <f t="shared" si="2936"/>
        <v>297688.60799999954</v>
      </c>
      <c r="CH531" s="7">
        <f t="shared" si="2937"/>
        <v>294770.09799999953</v>
      </c>
      <c r="CI531" s="7">
        <f t="shared" si="2938"/>
        <v>291851.58799999952</v>
      </c>
      <c r="CJ531" s="7">
        <f t="shared" si="2939"/>
        <v>288933.07799999951</v>
      </c>
      <c r="CK531" s="236">
        <v>0</v>
      </c>
      <c r="CL531" s="7">
        <v>2918.5100000000007</v>
      </c>
      <c r="CM531" s="39">
        <f>CL531*12</f>
        <v>35022.12000000001</v>
      </c>
      <c r="CN531" s="7">
        <f>CJ531-CL531</f>
        <v>286014.5679999995</v>
      </c>
      <c r="CO531" s="7">
        <f t="shared" si="2940"/>
        <v>283096.0579999995</v>
      </c>
      <c r="CP531" s="7">
        <f t="shared" si="2941"/>
        <v>280177.54799999949</v>
      </c>
      <c r="CQ531" s="7">
        <f t="shared" si="2942"/>
        <v>277259.03799999948</v>
      </c>
      <c r="CR531" s="7">
        <f t="shared" si="2943"/>
        <v>274340.52799999947</v>
      </c>
      <c r="CS531" s="7">
        <f t="shared" si="2944"/>
        <v>271422.01799999946</v>
      </c>
      <c r="CT531" s="7">
        <f t="shared" si="2945"/>
        <v>268503.50799999945</v>
      </c>
      <c r="CU531" s="7">
        <f t="shared" si="2946"/>
        <v>265584.99799999944</v>
      </c>
      <c r="CV531" s="7">
        <f t="shared" si="2947"/>
        <v>262666.48799999943</v>
      </c>
      <c r="CW531" s="7">
        <f t="shared" si="2948"/>
        <v>259747.97799999942</v>
      </c>
      <c r="CX531" s="7">
        <f t="shared" si="2949"/>
        <v>256829.46799999941</v>
      </c>
      <c r="CY531" s="7">
        <f t="shared" si="2950"/>
        <v>253910.9579999994</v>
      </c>
      <c r="CZ531" s="236">
        <v>0</v>
      </c>
    </row>
    <row r="532" spans="1:104" x14ac:dyDescent="0.2">
      <c r="A532" s="6" t="str">
        <f>'[1]2021 УГРЦТ'!A536</f>
        <v>Ограждение (сайдинг) 69м 2010г</v>
      </c>
      <c r="B532" t="str">
        <f>'[1]2021 УГРЦТ'!B536</f>
        <v>00000311</v>
      </c>
      <c r="C532" t="str">
        <f>'[1]2021 УГРЦТ'!C536</f>
        <v>ОБЩЕПРОИЗВОДСТВЕННЫЕ РАСХОДЫ</v>
      </c>
      <c r="D532" t="str">
        <f>'[1]2021 УГРЦТ'!D536</f>
        <v>Сооружения</v>
      </c>
      <c r="E532" t="str">
        <f>'[1]2021 УГРЦТ'!E536</f>
        <v>30.11.2010</v>
      </c>
      <c r="F532" t="str">
        <f>'[1]2021 УГРЦТ'!F536</f>
        <v>общепроизводственные расходы</v>
      </c>
      <c r="G532">
        <f>'[1]2021 УГРЦТ'!AC536</f>
        <v>180</v>
      </c>
      <c r="H532" s="7">
        <f>'[1]2021 УГРЦТ'!X536</f>
        <v>459881.8</v>
      </c>
      <c r="I532" s="7">
        <f>'[1]2021 УГРЦТ'!Y536</f>
        <v>339801.6866666667</v>
      </c>
      <c r="J532" s="7">
        <f>'[1]2021 УГРЦТ'!Z536</f>
        <v>120080.11333333328</v>
      </c>
      <c r="K532" s="8">
        <v>1</v>
      </c>
      <c r="L532" s="7">
        <v>2554.9000000000005</v>
      </c>
      <c r="M532" s="7"/>
      <c r="N532" s="7">
        <f t="shared" si="2674"/>
        <v>30658.800000000007</v>
      </c>
      <c r="O532" s="7">
        <f t="shared" si="2859"/>
        <v>117525.21333333329</v>
      </c>
      <c r="P532" s="7">
        <f t="shared" si="2914"/>
        <v>114970.3133333333</v>
      </c>
      <c r="Q532" s="7">
        <f t="shared" si="2914"/>
        <v>112415.4133333333</v>
      </c>
      <c r="R532" s="7">
        <f t="shared" si="2914"/>
        <v>109860.51333333331</v>
      </c>
      <c r="S532" s="7">
        <f t="shared" si="2914"/>
        <v>107305.61333333331</v>
      </c>
      <c r="T532" s="7">
        <f t="shared" si="2914"/>
        <v>104750.71333333332</v>
      </c>
      <c r="U532" s="7">
        <f t="shared" si="2914"/>
        <v>102195.81333333332</v>
      </c>
      <c r="V532" s="7">
        <f t="shared" si="2914"/>
        <v>99640.91333333333</v>
      </c>
      <c r="W532" s="7">
        <f t="shared" si="2914"/>
        <v>97086.013333333336</v>
      </c>
      <c r="X532" s="7">
        <f t="shared" si="2914"/>
        <v>94531.113333333342</v>
      </c>
      <c r="Y532" s="7">
        <f t="shared" si="2914"/>
        <v>91976.213333333348</v>
      </c>
      <c r="Z532" s="7">
        <f t="shared" si="2914"/>
        <v>89421.313333333354</v>
      </c>
      <c r="AA532" s="7">
        <f>SUM(O532:Z532,J532)/13*$AA$1</f>
        <v>2304.5156933333324</v>
      </c>
      <c r="AB532" s="7"/>
      <c r="AC532" s="7">
        <f t="shared" si="2860"/>
        <v>30658.800000000007</v>
      </c>
      <c r="AD532" s="7">
        <f t="shared" si="2861"/>
        <v>86866.413333333359</v>
      </c>
      <c r="AE532" s="7">
        <f t="shared" si="2915"/>
        <v>84311.513333333365</v>
      </c>
      <c r="AF532" s="7">
        <f t="shared" si="2915"/>
        <v>81756.613333333371</v>
      </c>
      <c r="AG532" s="7">
        <f t="shared" si="2915"/>
        <v>79201.713333333377</v>
      </c>
      <c r="AH532" s="7">
        <f t="shared" si="2915"/>
        <v>76646.813333333383</v>
      </c>
      <c r="AI532" s="7">
        <f t="shared" si="2915"/>
        <v>74091.913333333388</v>
      </c>
      <c r="AJ532" s="7">
        <f t="shared" si="2915"/>
        <v>71537.013333333394</v>
      </c>
      <c r="AK532" s="7">
        <f t="shared" si="2915"/>
        <v>68982.1133333334</v>
      </c>
      <c r="AL532" s="7">
        <f t="shared" si="2915"/>
        <v>66427.213333333406</v>
      </c>
      <c r="AM532" s="7">
        <f t="shared" si="2915"/>
        <v>63872.313333333404</v>
      </c>
      <c r="AN532" s="7">
        <f t="shared" si="2915"/>
        <v>61317.413333333403</v>
      </c>
      <c r="AO532" s="7">
        <f t="shared" si="2915"/>
        <v>58762.513333333402</v>
      </c>
      <c r="AP532" s="222">
        <f>IF(K532&lt;1,0,SUM(AD532:AO532,Z532)/13*$BG$1)</f>
        <v>1630.0220933333344</v>
      </c>
      <c r="AQ532" s="7">
        <v>2554.9000000000005</v>
      </c>
      <c r="AR532" s="7">
        <f t="shared" si="2865"/>
        <v>2554.9000000000015</v>
      </c>
      <c r="AS532" s="7">
        <f t="shared" si="2866"/>
        <v>0</v>
      </c>
      <c r="AT532" s="7">
        <f>AQ532*12</f>
        <v>30658.800000000007</v>
      </c>
      <c r="AU532" s="7">
        <f>AO532-$L532</f>
        <v>56207.6133333334</v>
      </c>
      <c r="AV532" s="7">
        <f t="shared" si="2917"/>
        <v>53652.713333333399</v>
      </c>
      <c r="AW532" s="7">
        <f t="shared" si="2917"/>
        <v>51097.813333333397</v>
      </c>
      <c r="AX532" s="7">
        <f t="shared" si="2917"/>
        <v>48542.913333333396</v>
      </c>
      <c r="AY532" s="7">
        <f t="shared" si="2917"/>
        <v>45988.013333333394</v>
      </c>
      <c r="AZ532" s="7">
        <f t="shared" si="2917"/>
        <v>43433.113333333393</v>
      </c>
      <c r="BA532" s="7">
        <f t="shared" si="2917"/>
        <v>40878.213333333391</v>
      </c>
      <c r="BB532" s="7">
        <f t="shared" si="2917"/>
        <v>38323.31333333339</v>
      </c>
      <c r="BC532" s="7">
        <f t="shared" si="2917"/>
        <v>35768.413333333388</v>
      </c>
      <c r="BD532" s="7">
        <f t="shared" si="2917"/>
        <v>33213.513333333387</v>
      </c>
      <c r="BE532" s="7">
        <f t="shared" si="2917"/>
        <v>30658.613333333386</v>
      </c>
      <c r="BF532" s="7">
        <f t="shared" si="2917"/>
        <v>28103.713333333384</v>
      </c>
      <c r="BG532" s="236">
        <f t="shared" si="2863"/>
        <v>955.52849333333461</v>
      </c>
      <c r="BH532" s="7">
        <v>2554.9000000000005</v>
      </c>
      <c r="BI532" s="39">
        <v>28103.71</v>
      </c>
      <c r="BJ532" s="7">
        <f>BF532-BH532</f>
        <v>25548.813333333383</v>
      </c>
      <c r="BK532" s="7">
        <f t="shared" si="2918"/>
        <v>22993.913333333381</v>
      </c>
      <c r="BL532" s="7">
        <f t="shared" si="2919"/>
        <v>20439.01333333338</v>
      </c>
      <c r="BM532" s="7">
        <f t="shared" si="2920"/>
        <v>17884.113333333378</v>
      </c>
      <c r="BN532" s="7">
        <f t="shared" si="2921"/>
        <v>15329.213333333377</v>
      </c>
      <c r="BO532" s="7">
        <f t="shared" si="2922"/>
        <v>12774.313333333375</v>
      </c>
      <c r="BP532" s="7">
        <f t="shared" si="2923"/>
        <v>10219.413333333374</v>
      </c>
      <c r="BQ532" s="7">
        <f t="shared" si="2924"/>
        <v>7664.5133333333733</v>
      </c>
      <c r="BR532" s="7">
        <f t="shared" si="2925"/>
        <v>5109.6133333333728</v>
      </c>
      <c r="BS532" s="7">
        <f t="shared" si="2926"/>
        <v>2554.7133333333722</v>
      </c>
      <c r="BT532" s="7"/>
      <c r="BU532" s="7"/>
      <c r="BV532" s="236">
        <f t="shared" ref="BV532:BV560" si="2951">IF(Z532&lt;1,0,SUM(BJ532:BU532,BF532)/13*$BG$1)</f>
        <v>285.35920205128286</v>
      </c>
      <c r="BW532" s="7">
        <v>2554.9000000000005</v>
      </c>
      <c r="BX532" s="39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236">
        <f t="shared" ref="CK532:CK560" si="2952">IF(AO532&lt;1,0,SUM(BY532:CJ532,BU532)/13*$BG$1)</f>
        <v>0</v>
      </c>
      <c r="CL532" s="7">
        <v>2554.9000000000005</v>
      </c>
      <c r="CM532" s="39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236">
        <f t="shared" ref="CZ532:CZ562" si="2953">IF(BF532&lt;1,0,SUM(CN532:CY532,CJ532)/13*$BG$1)</f>
        <v>0</v>
      </c>
    </row>
    <row r="533" spans="1:104" x14ac:dyDescent="0.2">
      <c r="A533" s="6" t="str">
        <f>'[1]2021 УГРЦТ'!A537</f>
        <v>Персональный компьютер (ExeGate special)</v>
      </c>
      <c r="B533" t="str">
        <f>'[1]2021 УГРЦТ'!B537</f>
        <v>000001796</v>
      </c>
      <c r="C533" t="str">
        <f>'[1]2021 УГРЦТ'!C537</f>
        <v>ОБЩЕПРОИЗВОДСТВЕННЫЕ РАСХОДЫ</v>
      </c>
      <c r="D533" t="str">
        <f>'[1]2021 УГРЦТ'!D537</f>
        <v>Машины и оборудование (кроме офисного)</v>
      </c>
      <c r="E533" t="str">
        <f>'[1]2021 УГРЦТ'!E537</f>
        <v>31.12.2019</v>
      </c>
      <c r="F533" t="str">
        <f>'[1]2021 УГРЦТ'!F537</f>
        <v>общепроизводственные расходы</v>
      </c>
      <c r="G533">
        <f>'[1]2021 УГРЦТ'!AC537</f>
        <v>36</v>
      </c>
      <c r="H533" s="7">
        <f>'[1]2021 УГРЦТ'!X537</f>
        <v>51958.33</v>
      </c>
      <c r="I533" s="7">
        <f>'[1]2021 УГРЦТ'!Y537</f>
        <v>34638.923333333332</v>
      </c>
      <c r="J533" s="7">
        <f>'[1]2021 УГРЦТ'!Z537</f>
        <v>17319.406666666669</v>
      </c>
      <c r="K533" s="8">
        <v>0</v>
      </c>
      <c r="L533" s="7">
        <v>1443.2899999999981</v>
      </c>
      <c r="M533" s="7"/>
      <c r="N533" s="7">
        <f>L533*12-0.07</f>
        <v>17319.409999999978</v>
      </c>
      <c r="O533" s="7">
        <f t="shared" si="2859"/>
        <v>15876.116666666672</v>
      </c>
      <c r="P533" s="7">
        <f t="shared" si="2914"/>
        <v>14432.826666666675</v>
      </c>
      <c r="Q533" s="7">
        <f t="shared" si="2914"/>
        <v>12989.536666666678</v>
      </c>
      <c r="R533" s="7">
        <f t="shared" si="2914"/>
        <v>11546.246666666681</v>
      </c>
      <c r="S533" s="7">
        <f t="shared" si="2914"/>
        <v>10102.956666666683</v>
      </c>
      <c r="T533" s="7">
        <f t="shared" si="2914"/>
        <v>8659.6666666666861</v>
      </c>
      <c r="U533" s="7">
        <f t="shared" si="2914"/>
        <v>7216.3766666666879</v>
      </c>
      <c r="V533" s="7">
        <f t="shared" si="2914"/>
        <v>5773.0866666666898</v>
      </c>
      <c r="W533" s="7">
        <f t="shared" si="2914"/>
        <v>4329.7966666666916</v>
      </c>
      <c r="X533" s="7">
        <f t="shared" si="2914"/>
        <v>2886.5066666666935</v>
      </c>
      <c r="Y533" s="7">
        <f t="shared" si="2914"/>
        <v>1443.2166666666953</v>
      </c>
      <c r="Z533" s="7">
        <f>Y533-$L533+0.07</f>
        <v>-3.3333333027985579E-3</v>
      </c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222"/>
      <c r="AQ533" s="7">
        <v>0</v>
      </c>
      <c r="AR533" s="7">
        <f t="shared" si="2865"/>
        <v>0</v>
      </c>
      <c r="AS533" s="7">
        <f t="shared" si="2866"/>
        <v>0</v>
      </c>
      <c r="BG533" s="236">
        <f t="shared" si="2863"/>
        <v>0</v>
      </c>
      <c r="BH533" s="7">
        <v>0</v>
      </c>
      <c r="BV533" s="236">
        <f t="shared" si="2951"/>
        <v>0</v>
      </c>
      <c r="BW533" s="7">
        <v>0</v>
      </c>
      <c r="CK533" s="236">
        <f t="shared" si="2952"/>
        <v>0</v>
      </c>
      <c r="CL533" s="7">
        <v>0</v>
      </c>
      <c r="CZ533" s="236">
        <f t="shared" si="2953"/>
        <v>0</v>
      </c>
    </row>
    <row r="534" spans="1:104" x14ac:dyDescent="0.2">
      <c r="A534" s="6" t="str">
        <f>'[1]2021 УГРЦТ'!A538</f>
        <v>Персональный компьютер (ExeGate special)</v>
      </c>
      <c r="B534" t="str">
        <f>'[1]2021 УГРЦТ'!B538</f>
        <v>000001797</v>
      </c>
      <c r="C534" t="str">
        <f>'[1]2021 УГРЦТ'!C538</f>
        <v>ОБЩЕПРОИЗВОДСТВЕННЫЕ РАСХОДЫ</v>
      </c>
      <c r="D534" t="str">
        <f>'[1]2021 УГРЦТ'!D538</f>
        <v>Машины и оборудование (кроме офисного)</v>
      </c>
      <c r="E534" t="str">
        <f>'[1]2021 УГРЦТ'!E538</f>
        <v>31.12.2019</v>
      </c>
      <c r="F534" t="str">
        <f>'[1]2021 УГРЦТ'!F538</f>
        <v>общепроизводственные расходы</v>
      </c>
      <c r="G534">
        <f>'[1]2021 УГРЦТ'!AC538</f>
        <v>36</v>
      </c>
      <c r="H534" s="7">
        <f>'[1]2021 УГРЦТ'!X538</f>
        <v>51958.34</v>
      </c>
      <c r="I534" s="7">
        <f>'[1]2021 УГРЦТ'!Y538</f>
        <v>34638.926666666666</v>
      </c>
      <c r="J534" s="7">
        <f>'[1]2021 УГРЦТ'!Z538</f>
        <v>17319.41333333333</v>
      </c>
      <c r="K534" s="8">
        <v>0</v>
      </c>
      <c r="L534" s="7">
        <v>1443.2899999999981</v>
      </c>
      <c r="M534" s="7"/>
      <c r="N534" s="7">
        <f t="shared" ref="N534:N538" si="2954">L534*12-0.07</f>
        <v>17319.409999999978</v>
      </c>
      <c r="O534" s="7">
        <f t="shared" si="2859"/>
        <v>15876.123333333333</v>
      </c>
      <c r="P534" s="7">
        <f t="shared" si="2914"/>
        <v>14432.833333333336</v>
      </c>
      <c r="Q534" s="7">
        <f t="shared" si="2914"/>
        <v>12989.543333333339</v>
      </c>
      <c r="R534" s="7">
        <f t="shared" si="2914"/>
        <v>11546.253333333341</v>
      </c>
      <c r="S534" s="7">
        <f t="shared" si="2914"/>
        <v>10102.963333333344</v>
      </c>
      <c r="T534" s="7">
        <f t="shared" si="2914"/>
        <v>8659.6733333333468</v>
      </c>
      <c r="U534" s="7">
        <f t="shared" si="2914"/>
        <v>7216.3833333333487</v>
      </c>
      <c r="V534" s="7">
        <f t="shared" si="2914"/>
        <v>5773.0933333333505</v>
      </c>
      <c r="W534" s="7">
        <f t="shared" si="2914"/>
        <v>4329.8033333333524</v>
      </c>
      <c r="X534" s="7">
        <f t="shared" si="2914"/>
        <v>2886.5133333333542</v>
      </c>
      <c r="Y534" s="7">
        <f t="shared" si="2914"/>
        <v>1443.2233333333561</v>
      </c>
      <c r="Z534" s="7">
        <f t="shared" ref="Z534:Z538" si="2955">Y534-$L534+0.07</f>
        <v>3.3333333579503299E-3</v>
      </c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222"/>
      <c r="AQ534" s="7">
        <v>1443.2899999999981</v>
      </c>
      <c r="AR534" s="7"/>
      <c r="AS534" s="7"/>
      <c r="BG534" s="236">
        <f t="shared" si="2863"/>
        <v>0</v>
      </c>
      <c r="BH534" s="7">
        <v>1443.2899999999981</v>
      </c>
      <c r="BV534" s="236">
        <f t="shared" si="2951"/>
        <v>0</v>
      </c>
      <c r="BW534" s="7">
        <v>1443.2899999999981</v>
      </c>
      <c r="CK534" s="236">
        <f t="shared" si="2952"/>
        <v>0</v>
      </c>
      <c r="CL534" s="7">
        <v>1443.2899999999981</v>
      </c>
      <c r="CZ534" s="236">
        <f t="shared" si="2953"/>
        <v>0</v>
      </c>
    </row>
    <row r="535" spans="1:104" x14ac:dyDescent="0.2">
      <c r="A535" s="6" t="str">
        <f>'[1]2021 УГРЦТ'!A539</f>
        <v>Персональный компьютер (ExeGate special)</v>
      </c>
      <c r="B535" t="str">
        <f>'[1]2021 УГРЦТ'!B539</f>
        <v>000001798</v>
      </c>
      <c r="C535" t="str">
        <f>'[1]2021 УГРЦТ'!C539</f>
        <v>ОБЩЕПРОИЗВОДСТВЕННЫЕ РАСХОДЫ</v>
      </c>
      <c r="D535" t="str">
        <f>'[1]2021 УГРЦТ'!D539</f>
        <v>Машины и оборудование (кроме офисного)</v>
      </c>
      <c r="E535" t="str">
        <f>'[1]2021 УГРЦТ'!E539</f>
        <v>31.12.2019</v>
      </c>
      <c r="F535" t="str">
        <f>'[1]2021 УГРЦТ'!F539</f>
        <v>общепроизводственные расходы</v>
      </c>
      <c r="G535">
        <f>'[1]2021 УГРЦТ'!AC539</f>
        <v>36</v>
      </c>
      <c r="H535" s="7">
        <f>'[1]2021 УГРЦТ'!X539</f>
        <v>51958.34</v>
      </c>
      <c r="I535" s="7">
        <f>'[1]2021 УГРЦТ'!Y539</f>
        <v>34638.926666666666</v>
      </c>
      <c r="J535" s="7">
        <f>'[1]2021 УГРЦТ'!Z539</f>
        <v>17319.41333333333</v>
      </c>
      <c r="K535" s="8">
        <v>0</v>
      </c>
      <c r="L535" s="7">
        <v>1443.2899999999981</v>
      </c>
      <c r="M535" s="7"/>
      <c r="N535" s="7">
        <f t="shared" si="2954"/>
        <v>17319.409999999978</v>
      </c>
      <c r="O535" s="7">
        <f t="shared" si="2859"/>
        <v>15876.123333333333</v>
      </c>
      <c r="P535" s="7">
        <f t="shared" si="2914"/>
        <v>14432.833333333336</v>
      </c>
      <c r="Q535" s="7">
        <f t="shared" si="2914"/>
        <v>12989.543333333339</v>
      </c>
      <c r="R535" s="7">
        <f t="shared" si="2914"/>
        <v>11546.253333333341</v>
      </c>
      <c r="S535" s="7">
        <f t="shared" si="2914"/>
        <v>10102.963333333344</v>
      </c>
      <c r="T535" s="7">
        <f t="shared" si="2914"/>
        <v>8659.6733333333468</v>
      </c>
      <c r="U535" s="7">
        <f t="shared" si="2914"/>
        <v>7216.3833333333487</v>
      </c>
      <c r="V535" s="7">
        <f t="shared" si="2914"/>
        <v>5773.0933333333505</v>
      </c>
      <c r="W535" s="7">
        <f t="shared" si="2914"/>
        <v>4329.8033333333524</v>
      </c>
      <c r="X535" s="7">
        <f t="shared" si="2914"/>
        <v>2886.5133333333542</v>
      </c>
      <c r="Y535" s="7">
        <f t="shared" si="2914"/>
        <v>1443.2233333333561</v>
      </c>
      <c r="Z535" s="7">
        <f t="shared" si="2955"/>
        <v>3.3333333579503299E-3</v>
      </c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222"/>
      <c r="AQ535" s="7">
        <v>1443.2899999999981</v>
      </c>
      <c r="AR535" s="7"/>
      <c r="AS535" s="7"/>
      <c r="BG535" s="236">
        <f t="shared" si="2863"/>
        <v>0</v>
      </c>
      <c r="BH535" s="7">
        <v>1443.2899999999981</v>
      </c>
      <c r="BV535" s="236">
        <f t="shared" si="2951"/>
        <v>0</v>
      </c>
      <c r="BW535" s="7">
        <v>1443.2899999999981</v>
      </c>
      <c r="CK535" s="236">
        <f t="shared" si="2952"/>
        <v>0</v>
      </c>
      <c r="CL535" s="7">
        <v>1443.2899999999981</v>
      </c>
      <c r="CZ535" s="236">
        <f t="shared" si="2953"/>
        <v>0</v>
      </c>
    </row>
    <row r="536" spans="1:104" x14ac:dyDescent="0.2">
      <c r="A536" s="6" t="str">
        <f>'[1]2021 УГРЦТ'!A540</f>
        <v>Персональный компьютер (ExeGate special)</v>
      </c>
      <c r="B536" t="str">
        <f>'[1]2021 УГРЦТ'!B540</f>
        <v>000001799</v>
      </c>
      <c r="C536" t="str">
        <f>'[1]2021 УГРЦТ'!C540</f>
        <v>ОБЩЕПРОИЗВОДСТВЕННЫЕ РАСХОДЫ</v>
      </c>
      <c r="D536" t="str">
        <f>'[1]2021 УГРЦТ'!D540</f>
        <v>Машины и оборудование (кроме офисного)</v>
      </c>
      <c r="E536" t="str">
        <f>'[1]2021 УГРЦТ'!E540</f>
        <v>31.12.2019</v>
      </c>
      <c r="F536" t="str">
        <f>'[1]2021 УГРЦТ'!F540</f>
        <v>общепроизводственные расходы</v>
      </c>
      <c r="G536">
        <f>'[1]2021 УГРЦТ'!AC540</f>
        <v>36</v>
      </c>
      <c r="H536" s="7">
        <f>'[1]2021 УГРЦТ'!X540</f>
        <v>51958.34</v>
      </c>
      <c r="I536" s="7">
        <f>'[1]2021 УГРЦТ'!Y540</f>
        <v>34638.926666666666</v>
      </c>
      <c r="J536" s="7">
        <f>'[1]2021 УГРЦТ'!Z540</f>
        <v>17319.41333333333</v>
      </c>
      <c r="K536" s="8">
        <v>0</v>
      </c>
      <c r="L536" s="7">
        <v>1443.2899999999981</v>
      </c>
      <c r="M536" s="7"/>
      <c r="N536" s="7">
        <f t="shared" si="2954"/>
        <v>17319.409999999978</v>
      </c>
      <c r="O536" s="7">
        <f t="shared" si="2859"/>
        <v>15876.123333333333</v>
      </c>
      <c r="P536" s="7">
        <f t="shared" si="2914"/>
        <v>14432.833333333336</v>
      </c>
      <c r="Q536" s="7">
        <f t="shared" si="2914"/>
        <v>12989.543333333339</v>
      </c>
      <c r="R536" s="7">
        <f t="shared" si="2914"/>
        <v>11546.253333333341</v>
      </c>
      <c r="S536" s="7">
        <f t="shared" si="2914"/>
        <v>10102.963333333344</v>
      </c>
      <c r="T536" s="7">
        <f t="shared" si="2914"/>
        <v>8659.6733333333468</v>
      </c>
      <c r="U536" s="7">
        <f t="shared" si="2914"/>
        <v>7216.3833333333487</v>
      </c>
      <c r="V536" s="7">
        <f t="shared" si="2914"/>
        <v>5773.0933333333505</v>
      </c>
      <c r="W536" s="7">
        <f t="shared" si="2914"/>
        <v>4329.8033333333524</v>
      </c>
      <c r="X536" s="7">
        <f t="shared" si="2914"/>
        <v>2886.5133333333542</v>
      </c>
      <c r="Y536" s="7">
        <f t="shared" si="2914"/>
        <v>1443.2233333333561</v>
      </c>
      <c r="Z536" s="7">
        <f t="shared" si="2955"/>
        <v>3.3333333579503299E-3</v>
      </c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222"/>
      <c r="AQ536" s="7">
        <v>1443.2899999999981</v>
      </c>
      <c r="AR536" s="7"/>
      <c r="AS536" s="7"/>
      <c r="BG536" s="236">
        <f t="shared" si="2863"/>
        <v>0</v>
      </c>
      <c r="BH536" s="7">
        <v>1443.2899999999981</v>
      </c>
      <c r="BV536" s="236">
        <f t="shared" si="2951"/>
        <v>0</v>
      </c>
      <c r="BW536" s="7">
        <v>1443.2899999999981</v>
      </c>
      <c r="CK536" s="236">
        <f t="shared" si="2952"/>
        <v>0</v>
      </c>
      <c r="CL536" s="7">
        <v>1443.2899999999981</v>
      </c>
      <c r="CZ536" s="236">
        <f t="shared" si="2953"/>
        <v>0</v>
      </c>
    </row>
    <row r="537" spans="1:104" x14ac:dyDescent="0.2">
      <c r="A537" s="6" t="str">
        <f>'[1]2021 УГРЦТ'!A541</f>
        <v>Персональный компьютер (ExeGate special)</v>
      </c>
      <c r="B537" t="str">
        <f>'[1]2021 УГРЦТ'!B541</f>
        <v>000001800</v>
      </c>
      <c r="C537" t="str">
        <f>'[1]2021 УГРЦТ'!C541</f>
        <v>ОБЩЕПРОИЗВОДСТВЕННЫЕ РАСХОДЫ</v>
      </c>
      <c r="D537" t="str">
        <f>'[1]2021 УГРЦТ'!D541</f>
        <v>Машины и оборудование (кроме офисного)</v>
      </c>
      <c r="E537" t="str">
        <f>'[1]2021 УГРЦТ'!E541</f>
        <v>31.12.2019</v>
      </c>
      <c r="F537" t="str">
        <f>'[1]2021 УГРЦТ'!F541</f>
        <v>общепроизводственные расходы</v>
      </c>
      <c r="G537">
        <f>'[1]2021 УГРЦТ'!AC541</f>
        <v>36</v>
      </c>
      <c r="H537" s="7">
        <f>'[1]2021 УГРЦТ'!X541</f>
        <v>51958.34</v>
      </c>
      <c r="I537" s="7">
        <f>'[1]2021 УГРЦТ'!Y541</f>
        <v>34638.926666666666</v>
      </c>
      <c r="J537" s="7">
        <f>'[1]2021 УГРЦТ'!Z541</f>
        <v>17319.41333333333</v>
      </c>
      <c r="K537" s="8">
        <v>0</v>
      </c>
      <c r="L537" s="7">
        <v>1443.2899999999981</v>
      </c>
      <c r="M537" s="7"/>
      <c r="N537" s="7">
        <f t="shared" si="2954"/>
        <v>17319.409999999978</v>
      </c>
      <c r="O537" s="7">
        <f t="shared" si="2859"/>
        <v>15876.123333333333</v>
      </c>
      <c r="P537" s="7">
        <f t="shared" si="2914"/>
        <v>14432.833333333336</v>
      </c>
      <c r="Q537" s="7">
        <f t="shared" si="2914"/>
        <v>12989.543333333339</v>
      </c>
      <c r="R537" s="7">
        <f t="shared" si="2914"/>
        <v>11546.253333333341</v>
      </c>
      <c r="S537" s="7">
        <f t="shared" si="2914"/>
        <v>10102.963333333344</v>
      </c>
      <c r="T537" s="7">
        <f t="shared" si="2914"/>
        <v>8659.6733333333468</v>
      </c>
      <c r="U537" s="7">
        <f t="shared" si="2914"/>
        <v>7216.3833333333487</v>
      </c>
      <c r="V537" s="7">
        <f t="shared" si="2914"/>
        <v>5773.0933333333505</v>
      </c>
      <c r="W537" s="7">
        <f t="shared" si="2914"/>
        <v>4329.8033333333524</v>
      </c>
      <c r="X537" s="7">
        <f t="shared" si="2914"/>
        <v>2886.5133333333542</v>
      </c>
      <c r="Y537" s="7">
        <f t="shared" si="2914"/>
        <v>1443.2233333333561</v>
      </c>
      <c r="Z537" s="7">
        <f t="shared" si="2955"/>
        <v>3.3333333579503299E-3</v>
      </c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222"/>
      <c r="AQ537" s="7">
        <v>1443.2899999999981</v>
      </c>
      <c r="AR537" s="7"/>
      <c r="AS537" s="7"/>
      <c r="BG537" s="236">
        <f t="shared" si="2863"/>
        <v>0</v>
      </c>
      <c r="BH537" s="7">
        <v>1443.2899999999981</v>
      </c>
      <c r="BV537" s="236">
        <f t="shared" si="2951"/>
        <v>0</v>
      </c>
      <c r="BW537" s="7">
        <v>1443.2899999999981</v>
      </c>
      <c r="CK537" s="236">
        <f t="shared" si="2952"/>
        <v>0</v>
      </c>
      <c r="CL537" s="7">
        <v>1443.2899999999981</v>
      </c>
      <c r="CZ537" s="236">
        <f t="shared" si="2953"/>
        <v>0</v>
      </c>
    </row>
    <row r="538" spans="1:104" x14ac:dyDescent="0.2">
      <c r="A538" s="6" t="str">
        <f>'[1]2021 УГРЦТ'!A542</f>
        <v>Персональный компьютер (ExeGate special)</v>
      </c>
      <c r="B538" t="str">
        <f>'[1]2021 УГРЦТ'!B542</f>
        <v>000001801</v>
      </c>
      <c r="C538" t="str">
        <f>'[1]2021 УГРЦТ'!C542</f>
        <v>ОБЩЕПРОИЗВОДСТВЕННЫЕ РАСХОДЫ</v>
      </c>
      <c r="D538" t="str">
        <f>'[1]2021 УГРЦТ'!D542</f>
        <v>Машины и оборудование (кроме офисного)</v>
      </c>
      <c r="E538" t="str">
        <f>'[1]2021 УГРЦТ'!E542</f>
        <v>31.12.2019</v>
      </c>
      <c r="F538" t="str">
        <f>'[1]2021 УГРЦТ'!F542</f>
        <v>общепроизводственные расходы</v>
      </c>
      <c r="G538">
        <f>'[1]2021 УГРЦТ'!AC542</f>
        <v>36</v>
      </c>
      <c r="H538" s="7">
        <f>'[1]2021 УГРЦТ'!X542</f>
        <v>51958.34</v>
      </c>
      <c r="I538" s="7">
        <f>'[1]2021 УГРЦТ'!Y542</f>
        <v>34638.926666666666</v>
      </c>
      <c r="J538" s="7">
        <f>'[1]2021 УГРЦТ'!Z542</f>
        <v>17319.41333333333</v>
      </c>
      <c r="K538" s="8">
        <v>0</v>
      </c>
      <c r="L538" s="7">
        <v>1443.2899999999981</v>
      </c>
      <c r="M538" s="7"/>
      <c r="N538" s="7">
        <f t="shared" si="2954"/>
        <v>17319.409999999978</v>
      </c>
      <c r="O538" s="7">
        <f t="shared" si="2859"/>
        <v>15876.123333333333</v>
      </c>
      <c r="P538" s="7">
        <f t="shared" si="2914"/>
        <v>14432.833333333336</v>
      </c>
      <c r="Q538" s="7">
        <f t="shared" si="2914"/>
        <v>12989.543333333339</v>
      </c>
      <c r="R538" s="7">
        <f t="shared" si="2914"/>
        <v>11546.253333333341</v>
      </c>
      <c r="S538" s="7">
        <f t="shared" si="2914"/>
        <v>10102.963333333344</v>
      </c>
      <c r="T538" s="7">
        <f t="shared" si="2914"/>
        <v>8659.6733333333468</v>
      </c>
      <c r="U538" s="7">
        <f t="shared" si="2914"/>
        <v>7216.3833333333487</v>
      </c>
      <c r="V538" s="7">
        <f t="shared" si="2914"/>
        <v>5773.0933333333505</v>
      </c>
      <c r="W538" s="7">
        <f t="shared" si="2914"/>
        <v>4329.8033333333524</v>
      </c>
      <c r="X538" s="7">
        <f t="shared" si="2914"/>
        <v>2886.5133333333542</v>
      </c>
      <c r="Y538" s="7">
        <f t="shared" si="2914"/>
        <v>1443.2233333333561</v>
      </c>
      <c r="Z538" s="7">
        <f t="shared" si="2955"/>
        <v>3.3333333579503299E-3</v>
      </c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222"/>
      <c r="AQ538" s="7">
        <v>1443.2899999999981</v>
      </c>
      <c r="AR538" s="7"/>
      <c r="AS538" s="7"/>
      <c r="BG538" s="236">
        <f t="shared" si="2863"/>
        <v>0</v>
      </c>
      <c r="BH538" s="7">
        <v>1443.2899999999981</v>
      </c>
      <c r="BV538" s="236">
        <f t="shared" si="2951"/>
        <v>0</v>
      </c>
      <c r="BW538" s="7">
        <v>1443.2899999999981</v>
      </c>
      <c r="CK538" s="236">
        <f t="shared" si="2952"/>
        <v>0</v>
      </c>
      <c r="CL538" s="7">
        <v>1443.2899999999981</v>
      </c>
      <c r="CZ538" s="236">
        <f t="shared" si="2953"/>
        <v>0</v>
      </c>
    </row>
    <row r="539" spans="1:104" x14ac:dyDescent="0.2">
      <c r="A539" s="6" t="str">
        <f>'[1]2021 УГРЦТ'!A543</f>
        <v>Персональный компьютер (ExeGate special, AOS 27")</v>
      </c>
      <c r="B539" t="str">
        <f>'[1]2021 УГРЦТ'!B543</f>
        <v>000001786</v>
      </c>
      <c r="C539" t="str">
        <f>'[1]2021 УГРЦТ'!C543</f>
        <v>ОБЩЕПРОИЗВОДСТВЕННЫЕ РАСХОДЫ</v>
      </c>
      <c r="D539" t="str">
        <f>'[1]2021 УГРЦТ'!D543</f>
        <v>Машины и оборудование (кроме офисного)</v>
      </c>
      <c r="E539" t="str">
        <f>'[1]2021 УГРЦТ'!E543</f>
        <v>31.12.2019</v>
      </c>
      <c r="F539" t="str">
        <f>'[1]2021 УГРЦТ'!F543</f>
        <v>общепроизводственные расходы</v>
      </c>
      <c r="G539">
        <f>'[1]2021 УГРЦТ'!AC543</f>
        <v>36</v>
      </c>
      <c r="H539" s="7">
        <f>'[1]2021 УГРЦТ'!X543</f>
        <v>63791.67</v>
      </c>
      <c r="I539" s="7">
        <f>'[1]2021 УГРЦТ'!Y543</f>
        <v>42527.770000000004</v>
      </c>
      <c r="J539" s="7">
        <f>'[1]2021 УГРЦТ'!Z543</f>
        <v>21263.899999999994</v>
      </c>
      <c r="K539" s="8">
        <v>0</v>
      </c>
      <c r="L539" s="7">
        <v>1771.9899999999977</v>
      </c>
      <c r="M539" s="7"/>
      <c r="N539" s="7">
        <f t="shared" si="2674"/>
        <v>21263.879999999972</v>
      </c>
      <c r="O539" s="7">
        <f t="shared" si="2859"/>
        <v>19491.909999999996</v>
      </c>
      <c r="P539" s="7">
        <f t="shared" si="2914"/>
        <v>17719.919999999998</v>
      </c>
      <c r="Q539" s="7">
        <f t="shared" si="2914"/>
        <v>15947.93</v>
      </c>
      <c r="R539" s="7">
        <f t="shared" si="2914"/>
        <v>14175.940000000002</v>
      </c>
      <c r="S539" s="7">
        <f t="shared" si="2914"/>
        <v>12403.950000000004</v>
      </c>
      <c r="T539" s="7">
        <f t="shared" si="2914"/>
        <v>10631.960000000006</v>
      </c>
      <c r="U539" s="7">
        <f t="shared" si="2914"/>
        <v>8859.9700000000084</v>
      </c>
      <c r="V539" s="7">
        <f t="shared" si="2914"/>
        <v>7087.9800000000105</v>
      </c>
      <c r="W539" s="7">
        <f t="shared" si="2914"/>
        <v>5315.9900000000125</v>
      </c>
      <c r="X539" s="7">
        <f t="shared" si="2914"/>
        <v>3544.0000000000146</v>
      </c>
      <c r="Y539" s="7">
        <f t="shared" si="2914"/>
        <v>1772.0100000000168</v>
      </c>
      <c r="Z539" s="7">
        <f t="shared" si="2914"/>
        <v>2.0000000019081199E-2</v>
      </c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222"/>
      <c r="AQ539" s="7">
        <v>1771.9899999999977</v>
      </c>
      <c r="AR539" s="7"/>
      <c r="AS539" s="7"/>
      <c r="BG539" s="236">
        <f t="shared" si="2863"/>
        <v>0</v>
      </c>
      <c r="BH539" s="7">
        <v>1771.9899999999977</v>
      </c>
      <c r="BV539" s="236">
        <f t="shared" si="2951"/>
        <v>0</v>
      </c>
      <c r="BW539" s="7">
        <v>1771.9899999999977</v>
      </c>
      <c r="CK539" s="236">
        <f t="shared" si="2952"/>
        <v>0</v>
      </c>
      <c r="CL539" s="7">
        <v>1771.9899999999977</v>
      </c>
      <c r="CZ539" s="236">
        <f t="shared" si="2953"/>
        <v>0</v>
      </c>
    </row>
    <row r="540" spans="1:104" x14ac:dyDescent="0.2">
      <c r="A540" s="6" t="str">
        <f>'[1]2021 УГРЦТ'!A544</f>
        <v>Персональный компьютер (ExeGate special, AOS 27")</v>
      </c>
      <c r="B540" t="str">
        <f>'[1]2021 УГРЦТ'!B544</f>
        <v>000001787</v>
      </c>
      <c r="C540" t="str">
        <f>'[1]2021 УГРЦТ'!C544</f>
        <v>ОБЩЕПРОИЗВОДСТВЕННЫЕ РАСХОДЫ</v>
      </c>
      <c r="D540" t="str">
        <f>'[1]2021 УГРЦТ'!D544</f>
        <v>Машины и оборудование (кроме офисного)</v>
      </c>
      <c r="E540" t="str">
        <f>'[1]2021 УГРЦТ'!E544</f>
        <v>31.12.2019</v>
      </c>
      <c r="F540" t="str">
        <f>'[1]2021 УГРЦТ'!F544</f>
        <v>общепроизводственные расходы</v>
      </c>
      <c r="G540">
        <f>'[1]2021 УГРЦТ'!AC544</f>
        <v>36</v>
      </c>
      <c r="H540" s="7">
        <f>'[1]2021 УГРЦТ'!X544</f>
        <v>63791.67</v>
      </c>
      <c r="I540" s="7">
        <f>'[1]2021 УГРЦТ'!Y544</f>
        <v>42527.770000000004</v>
      </c>
      <c r="J540" s="7">
        <f>'[1]2021 УГРЦТ'!Z544</f>
        <v>21263.899999999994</v>
      </c>
      <c r="K540" s="8">
        <v>0</v>
      </c>
      <c r="L540" s="7">
        <v>1771.9899999999977</v>
      </c>
      <c r="M540" s="7"/>
      <c r="N540" s="7">
        <f t="shared" si="2674"/>
        <v>21263.879999999972</v>
      </c>
      <c r="O540" s="7">
        <f t="shared" si="2859"/>
        <v>19491.909999999996</v>
      </c>
      <c r="P540" s="7">
        <f t="shared" si="2914"/>
        <v>17719.919999999998</v>
      </c>
      <c r="Q540" s="7">
        <f t="shared" si="2914"/>
        <v>15947.93</v>
      </c>
      <c r="R540" s="7">
        <f t="shared" si="2914"/>
        <v>14175.940000000002</v>
      </c>
      <c r="S540" s="7">
        <f t="shared" si="2914"/>
        <v>12403.950000000004</v>
      </c>
      <c r="T540" s="7">
        <f t="shared" si="2914"/>
        <v>10631.960000000006</v>
      </c>
      <c r="U540" s="7">
        <f t="shared" si="2914"/>
        <v>8859.9700000000084</v>
      </c>
      <c r="V540" s="7">
        <f t="shared" si="2914"/>
        <v>7087.9800000000105</v>
      </c>
      <c r="W540" s="7">
        <f t="shared" si="2914"/>
        <v>5315.9900000000125</v>
      </c>
      <c r="X540" s="7">
        <f t="shared" si="2914"/>
        <v>3544.0000000000146</v>
      </c>
      <c r="Y540" s="7">
        <f t="shared" si="2914"/>
        <v>1772.0100000000168</v>
      </c>
      <c r="Z540" s="7">
        <f t="shared" si="2914"/>
        <v>2.0000000019081199E-2</v>
      </c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222"/>
      <c r="AQ540" s="7">
        <v>1771.9899999999977</v>
      </c>
      <c r="AR540" s="7"/>
      <c r="AS540" s="7"/>
      <c r="BG540" s="236">
        <f t="shared" si="2863"/>
        <v>0</v>
      </c>
      <c r="BH540" s="7">
        <v>1771.9899999999977</v>
      </c>
      <c r="BV540" s="236">
        <f t="shared" si="2951"/>
        <v>0</v>
      </c>
      <c r="BW540" s="7">
        <v>1771.9899999999977</v>
      </c>
      <c r="CK540" s="236">
        <f t="shared" si="2952"/>
        <v>0</v>
      </c>
      <c r="CL540" s="7">
        <v>1771.9899999999977</v>
      </c>
      <c r="CZ540" s="236">
        <f t="shared" si="2953"/>
        <v>0</v>
      </c>
    </row>
    <row r="541" spans="1:104" x14ac:dyDescent="0.2">
      <c r="A541" s="6" t="str">
        <f>'[1]2021 УГРЦТ'!A545</f>
        <v>Персональный компьютер (ExeGate special, AOS 27")</v>
      </c>
      <c r="B541" t="str">
        <f>'[1]2021 УГРЦТ'!B545</f>
        <v>000001788</v>
      </c>
      <c r="C541" t="str">
        <f>'[1]2021 УГРЦТ'!C545</f>
        <v>ОБЩЕПРОИЗВОДСТВЕННЫЕ РАСХОДЫ</v>
      </c>
      <c r="D541" t="str">
        <f>'[1]2021 УГРЦТ'!D545</f>
        <v>Машины и оборудование (кроме офисного)</v>
      </c>
      <c r="E541" t="str">
        <f>'[1]2021 УГРЦТ'!E545</f>
        <v>31.12.2019</v>
      </c>
      <c r="F541" t="str">
        <f>'[1]2021 УГРЦТ'!F545</f>
        <v>общепроизводственные расходы</v>
      </c>
      <c r="G541">
        <f>'[1]2021 УГРЦТ'!AC545</f>
        <v>36</v>
      </c>
      <c r="H541" s="7">
        <f>'[1]2021 УГРЦТ'!X545</f>
        <v>63791.67</v>
      </c>
      <c r="I541" s="7">
        <f>'[1]2021 УГРЦТ'!Y545</f>
        <v>42527.770000000004</v>
      </c>
      <c r="J541" s="7">
        <f>'[1]2021 УГРЦТ'!Z545</f>
        <v>21263.899999999994</v>
      </c>
      <c r="K541" s="8">
        <v>0</v>
      </c>
      <c r="L541" s="7">
        <v>1771.9899999999977</v>
      </c>
      <c r="M541" s="7"/>
      <c r="N541" s="7">
        <f t="shared" si="2674"/>
        <v>21263.879999999972</v>
      </c>
      <c r="O541" s="7">
        <f t="shared" si="2859"/>
        <v>19491.909999999996</v>
      </c>
      <c r="P541" s="7">
        <f t="shared" si="2914"/>
        <v>17719.919999999998</v>
      </c>
      <c r="Q541" s="7">
        <f t="shared" si="2914"/>
        <v>15947.93</v>
      </c>
      <c r="R541" s="7">
        <f t="shared" si="2914"/>
        <v>14175.940000000002</v>
      </c>
      <c r="S541" s="7">
        <f t="shared" si="2914"/>
        <v>12403.950000000004</v>
      </c>
      <c r="T541" s="7">
        <f t="shared" si="2914"/>
        <v>10631.960000000006</v>
      </c>
      <c r="U541" s="7">
        <f t="shared" si="2914"/>
        <v>8859.9700000000084</v>
      </c>
      <c r="V541" s="7">
        <f t="shared" si="2914"/>
        <v>7087.9800000000105</v>
      </c>
      <c r="W541" s="7">
        <f t="shared" si="2914"/>
        <v>5315.9900000000125</v>
      </c>
      <c r="X541" s="7">
        <f t="shared" si="2914"/>
        <v>3544.0000000000146</v>
      </c>
      <c r="Y541" s="7">
        <f t="shared" si="2914"/>
        <v>1772.0100000000168</v>
      </c>
      <c r="Z541" s="7">
        <f t="shared" si="2914"/>
        <v>2.0000000019081199E-2</v>
      </c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222"/>
      <c r="AQ541" s="7">
        <v>1771.9899999999977</v>
      </c>
      <c r="AR541" s="7"/>
      <c r="AS541" s="7"/>
      <c r="BG541" s="236">
        <f t="shared" si="2863"/>
        <v>0</v>
      </c>
      <c r="BH541" s="7">
        <v>1771.9899999999977</v>
      </c>
      <c r="BV541" s="236">
        <f t="shared" si="2951"/>
        <v>0</v>
      </c>
      <c r="BW541" s="7">
        <v>1771.9899999999977</v>
      </c>
      <c r="CK541" s="236">
        <f t="shared" si="2952"/>
        <v>0</v>
      </c>
      <c r="CL541" s="7">
        <v>1771.9899999999977</v>
      </c>
      <c r="CZ541" s="236">
        <f t="shared" si="2953"/>
        <v>0</v>
      </c>
    </row>
    <row r="542" spans="1:104" x14ac:dyDescent="0.2">
      <c r="A542" s="6" t="str">
        <f>'[1]2021 УГРЦТ'!A546</f>
        <v>Персональный компьютер (ExeGate special, AOS 27")</v>
      </c>
      <c r="B542" t="str">
        <f>'[1]2021 УГРЦТ'!B546</f>
        <v>000001789</v>
      </c>
      <c r="C542" t="str">
        <f>'[1]2021 УГРЦТ'!C546</f>
        <v>ОБЩЕПРОИЗВОДСТВЕННЫЕ РАСХОДЫ</v>
      </c>
      <c r="D542" t="str">
        <f>'[1]2021 УГРЦТ'!D546</f>
        <v>Машины и оборудование (кроме офисного)</v>
      </c>
      <c r="E542" t="str">
        <f>'[1]2021 УГРЦТ'!E546</f>
        <v>31.12.2019</v>
      </c>
      <c r="F542" t="str">
        <f>'[1]2021 УГРЦТ'!F546</f>
        <v>общепроизводственные расходы</v>
      </c>
      <c r="G542">
        <f>'[1]2021 УГРЦТ'!AC546</f>
        <v>36</v>
      </c>
      <c r="H542" s="7">
        <f>'[1]2021 УГРЦТ'!X546</f>
        <v>63791.67</v>
      </c>
      <c r="I542" s="7">
        <f>'[1]2021 УГРЦТ'!Y546</f>
        <v>42527.770000000004</v>
      </c>
      <c r="J542" s="7">
        <f>'[1]2021 УГРЦТ'!Z546</f>
        <v>21263.899999999994</v>
      </c>
      <c r="K542" s="8">
        <v>0</v>
      </c>
      <c r="L542" s="7">
        <v>1771.9899999999977</v>
      </c>
      <c r="M542" s="7"/>
      <c r="N542" s="7">
        <f t="shared" si="2674"/>
        <v>21263.879999999972</v>
      </c>
      <c r="O542" s="7">
        <f t="shared" si="2859"/>
        <v>19491.909999999996</v>
      </c>
      <c r="P542" s="7">
        <f t="shared" si="2914"/>
        <v>17719.919999999998</v>
      </c>
      <c r="Q542" s="7">
        <f t="shared" si="2914"/>
        <v>15947.93</v>
      </c>
      <c r="R542" s="7">
        <f t="shared" si="2914"/>
        <v>14175.940000000002</v>
      </c>
      <c r="S542" s="7">
        <f t="shared" si="2914"/>
        <v>12403.950000000004</v>
      </c>
      <c r="T542" s="7">
        <f t="shared" si="2914"/>
        <v>10631.960000000006</v>
      </c>
      <c r="U542" s="7">
        <f t="shared" si="2914"/>
        <v>8859.9700000000084</v>
      </c>
      <c r="V542" s="7">
        <f t="shared" si="2914"/>
        <v>7087.9800000000105</v>
      </c>
      <c r="W542" s="7">
        <f t="shared" si="2914"/>
        <v>5315.9900000000125</v>
      </c>
      <c r="X542" s="7">
        <f t="shared" si="2914"/>
        <v>3544.0000000000146</v>
      </c>
      <c r="Y542" s="7">
        <f t="shared" si="2914"/>
        <v>1772.0100000000168</v>
      </c>
      <c r="Z542" s="7">
        <f t="shared" si="2914"/>
        <v>2.0000000019081199E-2</v>
      </c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222"/>
      <c r="AQ542" s="7">
        <v>1771.9899999999977</v>
      </c>
      <c r="AR542" s="7"/>
      <c r="AS542" s="7"/>
      <c r="BG542" s="236">
        <f t="shared" si="2863"/>
        <v>0</v>
      </c>
      <c r="BH542" s="7">
        <v>1771.9899999999977</v>
      </c>
      <c r="BV542" s="236">
        <f t="shared" si="2951"/>
        <v>0</v>
      </c>
      <c r="BW542" s="7">
        <v>1771.9899999999977</v>
      </c>
      <c r="CK542" s="236">
        <f t="shared" si="2952"/>
        <v>0</v>
      </c>
      <c r="CL542" s="7">
        <v>1771.9899999999977</v>
      </c>
      <c r="CZ542" s="236">
        <f t="shared" si="2953"/>
        <v>0</v>
      </c>
    </row>
    <row r="543" spans="1:104" x14ac:dyDescent="0.2">
      <c r="A543" s="6" t="str">
        <f>'[1]2021 УГРЦТ'!A547</f>
        <v>Персональный компьютер (ExeGate special, AOS 27")</v>
      </c>
      <c r="B543" t="str">
        <f>'[1]2021 УГРЦТ'!B547</f>
        <v>000001790</v>
      </c>
      <c r="C543" t="str">
        <f>'[1]2021 УГРЦТ'!C547</f>
        <v>ОБЩЕПРОИЗВОДСТВЕННЫЕ РАСХОДЫ</v>
      </c>
      <c r="D543" t="str">
        <f>'[1]2021 УГРЦТ'!D547</f>
        <v>Машины и оборудование (кроме офисного)</v>
      </c>
      <c r="E543" t="str">
        <f>'[1]2021 УГРЦТ'!E547</f>
        <v>31.12.2019</v>
      </c>
      <c r="F543" t="str">
        <f>'[1]2021 УГРЦТ'!F547</f>
        <v>общепроизводственные расходы</v>
      </c>
      <c r="G543">
        <f>'[1]2021 УГРЦТ'!AC547</f>
        <v>36</v>
      </c>
      <c r="H543" s="7">
        <f>'[1]2021 УГРЦТ'!X547</f>
        <v>63791.67</v>
      </c>
      <c r="I543" s="7">
        <f>'[1]2021 УГРЦТ'!Y547</f>
        <v>42527.770000000004</v>
      </c>
      <c r="J543" s="7">
        <f>'[1]2021 УГРЦТ'!Z547</f>
        <v>21263.899999999994</v>
      </c>
      <c r="K543" s="8">
        <v>0</v>
      </c>
      <c r="L543" s="7">
        <v>1771.9899999999977</v>
      </c>
      <c r="M543" s="7"/>
      <c r="N543" s="7">
        <f t="shared" si="2674"/>
        <v>21263.879999999972</v>
      </c>
      <c r="O543" s="7">
        <f t="shared" si="2859"/>
        <v>19491.909999999996</v>
      </c>
      <c r="P543" s="7">
        <f t="shared" si="2914"/>
        <v>17719.919999999998</v>
      </c>
      <c r="Q543" s="7">
        <f t="shared" si="2914"/>
        <v>15947.93</v>
      </c>
      <c r="R543" s="7">
        <f t="shared" si="2914"/>
        <v>14175.940000000002</v>
      </c>
      <c r="S543" s="7">
        <f t="shared" si="2914"/>
        <v>12403.950000000004</v>
      </c>
      <c r="T543" s="7">
        <f t="shared" si="2914"/>
        <v>10631.960000000006</v>
      </c>
      <c r="U543" s="7">
        <f t="shared" si="2914"/>
        <v>8859.9700000000084</v>
      </c>
      <c r="V543" s="7">
        <f t="shared" si="2914"/>
        <v>7087.9800000000105</v>
      </c>
      <c r="W543" s="7">
        <f t="shared" si="2914"/>
        <v>5315.9900000000125</v>
      </c>
      <c r="X543" s="7">
        <f t="shared" si="2914"/>
        <v>3544.0000000000146</v>
      </c>
      <c r="Y543" s="7">
        <f t="shared" si="2914"/>
        <v>1772.0100000000168</v>
      </c>
      <c r="Z543" s="7">
        <f t="shared" si="2914"/>
        <v>2.0000000019081199E-2</v>
      </c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222"/>
      <c r="AQ543" s="7">
        <v>1771.9899999999977</v>
      </c>
      <c r="AR543" s="7"/>
      <c r="AS543" s="7"/>
      <c r="BG543" s="236">
        <f t="shared" si="2863"/>
        <v>0</v>
      </c>
      <c r="BH543" s="7">
        <v>1771.9899999999977</v>
      </c>
      <c r="BV543" s="236">
        <f t="shared" si="2951"/>
        <v>0</v>
      </c>
      <c r="BW543" s="7">
        <v>1771.9899999999977</v>
      </c>
      <c r="CK543" s="236">
        <f t="shared" si="2952"/>
        <v>0</v>
      </c>
      <c r="CL543" s="7">
        <v>1771.9899999999977</v>
      </c>
      <c r="CZ543" s="236">
        <f t="shared" si="2953"/>
        <v>0</v>
      </c>
    </row>
    <row r="544" spans="1:104" x14ac:dyDescent="0.2">
      <c r="A544" s="6" t="str">
        <f>'[1]2021 УГРЦТ'!A548</f>
        <v>Персональный компьютер (ExeGate special, AOS 27")</v>
      </c>
      <c r="B544" t="str">
        <f>'[1]2021 УГРЦТ'!B548</f>
        <v>000001791</v>
      </c>
      <c r="C544" t="str">
        <f>'[1]2021 УГРЦТ'!C548</f>
        <v>ОБЩЕПРОИЗВОДСТВЕННЫЕ РАСХОДЫ</v>
      </c>
      <c r="D544" t="str">
        <f>'[1]2021 УГРЦТ'!D548</f>
        <v>Машины и оборудование (кроме офисного)</v>
      </c>
      <c r="E544" t="str">
        <f>'[1]2021 УГРЦТ'!E548</f>
        <v>31.12.2019</v>
      </c>
      <c r="F544" t="str">
        <f>'[1]2021 УГРЦТ'!F548</f>
        <v>общепроизводственные расходы</v>
      </c>
      <c r="G544">
        <f>'[1]2021 УГРЦТ'!AC548</f>
        <v>36</v>
      </c>
      <c r="H544" s="7">
        <f>'[1]2021 УГРЦТ'!X548</f>
        <v>63791.67</v>
      </c>
      <c r="I544" s="7">
        <f>'[1]2021 УГРЦТ'!Y548</f>
        <v>42527.770000000004</v>
      </c>
      <c r="J544" s="7">
        <f>'[1]2021 УГРЦТ'!Z548</f>
        <v>21263.899999999994</v>
      </c>
      <c r="K544" s="8">
        <v>0</v>
      </c>
      <c r="L544" s="7">
        <v>1771.9899999999977</v>
      </c>
      <c r="M544" s="7"/>
      <c r="N544" s="7">
        <f t="shared" si="2674"/>
        <v>21263.879999999972</v>
      </c>
      <c r="O544" s="7">
        <f t="shared" si="2859"/>
        <v>19491.909999999996</v>
      </c>
      <c r="P544" s="7">
        <f t="shared" ref="P544:Z551" si="2956">O544-$L544</f>
        <v>17719.919999999998</v>
      </c>
      <c r="Q544" s="7">
        <f t="shared" si="2956"/>
        <v>15947.93</v>
      </c>
      <c r="R544" s="7">
        <f t="shared" si="2956"/>
        <v>14175.940000000002</v>
      </c>
      <c r="S544" s="7">
        <f t="shared" si="2956"/>
        <v>12403.950000000004</v>
      </c>
      <c r="T544" s="7">
        <f t="shared" si="2956"/>
        <v>10631.960000000006</v>
      </c>
      <c r="U544" s="7">
        <f t="shared" si="2956"/>
        <v>8859.9700000000084</v>
      </c>
      <c r="V544" s="7">
        <f t="shared" si="2956"/>
        <v>7087.9800000000105</v>
      </c>
      <c r="W544" s="7">
        <f t="shared" si="2956"/>
        <v>5315.9900000000125</v>
      </c>
      <c r="X544" s="7">
        <f t="shared" si="2956"/>
        <v>3544.0000000000146</v>
      </c>
      <c r="Y544" s="7">
        <f t="shared" si="2956"/>
        <v>1772.0100000000168</v>
      </c>
      <c r="Z544" s="7">
        <f t="shared" si="2956"/>
        <v>2.0000000019081199E-2</v>
      </c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222"/>
      <c r="AQ544" s="7">
        <v>1771.9899999999977</v>
      </c>
      <c r="AR544" s="7"/>
      <c r="AS544" s="7"/>
      <c r="BG544" s="236">
        <f t="shared" si="2863"/>
        <v>0</v>
      </c>
      <c r="BH544" s="7">
        <v>1771.9899999999977</v>
      </c>
      <c r="BV544" s="236">
        <f t="shared" si="2951"/>
        <v>0</v>
      </c>
      <c r="BW544" s="7">
        <v>1771.9899999999977</v>
      </c>
      <c r="CK544" s="236">
        <f t="shared" si="2952"/>
        <v>0</v>
      </c>
      <c r="CL544" s="7">
        <v>1771.9899999999977</v>
      </c>
      <c r="CZ544" s="236">
        <f t="shared" si="2953"/>
        <v>0</v>
      </c>
    </row>
    <row r="545" spans="1:104" x14ac:dyDescent="0.2">
      <c r="A545" s="6" t="str">
        <f>'[1]2021 УГРЦТ'!A549</f>
        <v>Персональный компьютер (ExeGate special, AOS 27")</v>
      </c>
      <c r="B545" t="str">
        <f>'[1]2021 УГРЦТ'!B549</f>
        <v>000001792</v>
      </c>
      <c r="C545" t="str">
        <f>'[1]2021 УГРЦТ'!C549</f>
        <v>ОБЩЕПРОИЗВОДСТВЕННЫЕ РАСХОДЫ</v>
      </c>
      <c r="D545" t="str">
        <f>'[1]2021 УГРЦТ'!D549</f>
        <v>Машины и оборудование (кроме офисного)</v>
      </c>
      <c r="E545" t="str">
        <f>'[1]2021 УГРЦТ'!E549</f>
        <v>31.12.2019</v>
      </c>
      <c r="F545" t="str">
        <f>'[1]2021 УГРЦТ'!F549</f>
        <v>общепроизводственные расходы</v>
      </c>
      <c r="G545">
        <f>'[1]2021 УГРЦТ'!AC549</f>
        <v>36</v>
      </c>
      <c r="H545" s="7">
        <f>'[1]2021 УГРЦТ'!X549</f>
        <v>63791.67</v>
      </c>
      <c r="I545" s="7">
        <f>'[1]2021 УГРЦТ'!Y549</f>
        <v>42527.770000000004</v>
      </c>
      <c r="J545" s="7">
        <f>'[1]2021 УГРЦТ'!Z549</f>
        <v>21263.899999999994</v>
      </c>
      <c r="K545" s="8">
        <v>0</v>
      </c>
      <c r="L545" s="7">
        <v>1771.9899999999977</v>
      </c>
      <c r="M545" s="7"/>
      <c r="N545" s="7">
        <f t="shared" si="2674"/>
        <v>21263.879999999972</v>
      </c>
      <c r="O545" s="7">
        <f t="shared" si="2859"/>
        <v>19491.909999999996</v>
      </c>
      <c r="P545" s="7">
        <f t="shared" si="2956"/>
        <v>17719.919999999998</v>
      </c>
      <c r="Q545" s="7">
        <f t="shared" si="2956"/>
        <v>15947.93</v>
      </c>
      <c r="R545" s="7">
        <f t="shared" si="2956"/>
        <v>14175.940000000002</v>
      </c>
      <c r="S545" s="7">
        <f t="shared" si="2956"/>
        <v>12403.950000000004</v>
      </c>
      <c r="T545" s="7">
        <f t="shared" si="2956"/>
        <v>10631.960000000006</v>
      </c>
      <c r="U545" s="7">
        <f t="shared" si="2956"/>
        <v>8859.9700000000084</v>
      </c>
      <c r="V545" s="7">
        <f t="shared" si="2956"/>
        <v>7087.9800000000105</v>
      </c>
      <c r="W545" s="7">
        <f t="shared" si="2956"/>
        <v>5315.9900000000125</v>
      </c>
      <c r="X545" s="7">
        <f t="shared" si="2956"/>
        <v>3544.0000000000146</v>
      </c>
      <c r="Y545" s="7">
        <f t="shared" si="2956"/>
        <v>1772.0100000000168</v>
      </c>
      <c r="Z545" s="7">
        <f t="shared" si="2956"/>
        <v>2.0000000019081199E-2</v>
      </c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222"/>
      <c r="AQ545" s="7">
        <v>1771.9899999999977</v>
      </c>
      <c r="AR545" s="7"/>
      <c r="AS545" s="7"/>
      <c r="BG545" s="236">
        <f t="shared" si="2863"/>
        <v>0</v>
      </c>
      <c r="BH545" s="7">
        <v>1771.9899999999977</v>
      </c>
      <c r="BV545" s="236">
        <f t="shared" si="2951"/>
        <v>0</v>
      </c>
      <c r="BW545" s="7">
        <v>1771.9899999999977</v>
      </c>
      <c r="CK545" s="236">
        <f t="shared" si="2952"/>
        <v>0</v>
      </c>
      <c r="CL545" s="7">
        <v>1771.9899999999977</v>
      </c>
      <c r="CZ545" s="236">
        <f t="shared" si="2953"/>
        <v>0</v>
      </c>
    </row>
    <row r="546" spans="1:104" x14ac:dyDescent="0.2">
      <c r="A546" s="6" t="str">
        <f>'[1]2021 УГРЦТ'!A550</f>
        <v>Персональный компьютер (ExeGate special, AOS 27")</v>
      </c>
      <c r="B546" t="str">
        <f>'[1]2021 УГРЦТ'!B550</f>
        <v>000001793</v>
      </c>
      <c r="C546" t="str">
        <f>'[1]2021 УГРЦТ'!C550</f>
        <v>ОБЩЕПРОИЗВОДСТВЕННЫЕ РАСХОДЫ</v>
      </c>
      <c r="D546" t="str">
        <f>'[1]2021 УГРЦТ'!D550</f>
        <v>Машины и оборудование (кроме офисного)</v>
      </c>
      <c r="E546" t="str">
        <f>'[1]2021 УГРЦТ'!E550</f>
        <v>31.12.2019</v>
      </c>
      <c r="F546" t="str">
        <f>'[1]2021 УГРЦТ'!F550</f>
        <v>общепроизводственные расходы</v>
      </c>
      <c r="G546">
        <f>'[1]2021 УГРЦТ'!AC550</f>
        <v>36</v>
      </c>
      <c r="H546" s="7">
        <f>'[1]2021 УГРЦТ'!X550</f>
        <v>63791.67</v>
      </c>
      <c r="I546" s="7">
        <f>'[1]2021 УГРЦТ'!Y550</f>
        <v>42527.770000000004</v>
      </c>
      <c r="J546" s="7">
        <f>'[1]2021 УГРЦТ'!Z550</f>
        <v>21263.899999999994</v>
      </c>
      <c r="K546" s="8">
        <v>0</v>
      </c>
      <c r="L546" s="7">
        <v>1771.9899999999977</v>
      </c>
      <c r="M546" s="7"/>
      <c r="N546" s="7">
        <f t="shared" si="2674"/>
        <v>21263.879999999972</v>
      </c>
      <c r="O546" s="7">
        <f t="shared" si="2859"/>
        <v>19491.909999999996</v>
      </c>
      <c r="P546" s="7">
        <f t="shared" si="2956"/>
        <v>17719.919999999998</v>
      </c>
      <c r="Q546" s="7">
        <f t="shared" si="2956"/>
        <v>15947.93</v>
      </c>
      <c r="R546" s="7">
        <f t="shared" si="2956"/>
        <v>14175.940000000002</v>
      </c>
      <c r="S546" s="7">
        <f t="shared" si="2956"/>
        <v>12403.950000000004</v>
      </c>
      <c r="T546" s="7">
        <f t="shared" si="2956"/>
        <v>10631.960000000006</v>
      </c>
      <c r="U546" s="7">
        <f t="shared" si="2956"/>
        <v>8859.9700000000084</v>
      </c>
      <c r="V546" s="7">
        <f t="shared" si="2956"/>
        <v>7087.9800000000105</v>
      </c>
      <c r="W546" s="7">
        <f t="shared" si="2956"/>
        <v>5315.9900000000125</v>
      </c>
      <c r="X546" s="7">
        <f t="shared" si="2956"/>
        <v>3544.0000000000146</v>
      </c>
      <c r="Y546" s="7">
        <f t="shared" si="2956"/>
        <v>1772.0100000000168</v>
      </c>
      <c r="Z546" s="7">
        <f t="shared" si="2956"/>
        <v>2.0000000019081199E-2</v>
      </c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222"/>
      <c r="AQ546" s="7">
        <v>1771.9899999999977</v>
      </c>
      <c r="AR546" s="7"/>
      <c r="AS546" s="7"/>
      <c r="BG546" s="236">
        <f t="shared" si="2863"/>
        <v>0</v>
      </c>
      <c r="BH546" s="7">
        <v>1771.9899999999977</v>
      </c>
      <c r="BV546" s="236">
        <f t="shared" si="2951"/>
        <v>0</v>
      </c>
      <c r="BW546" s="7">
        <v>1771.9899999999977</v>
      </c>
      <c r="CK546" s="236">
        <f t="shared" si="2952"/>
        <v>0</v>
      </c>
      <c r="CL546" s="7">
        <v>1771.9899999999977</v>
      </c>
      <c r="CZ546" s="236">
        <f t="shared" si="2953"/>
        <v>0</v>
      </c>
    </row>
    <row r="547" spans="1:104" x14ac:dyDescent="0.2">
      <c r="A547" s="6" t="str">
        <f>'[1]2021 УГРЦТ'!A551</f>
        <v>Персональный компьютер (ExeGate special, AOS 27")</v>
      </c>
      <c r="B547" t="str">
        <f>'[1]2021 УГРЦТ'!B551</f>
        <v>000001794</v>
      </c>
      <c r="C547" t="str">
        <f>'[1]2021 УГРЦТ'!C551</f>
        <v>ОБЩЕПРОИЗВОДСТВЕННЫЕ РАСХОДЫ</v>
      </c>
      <c r="D547" t="str">
        <f>'[1]2021 УГРЦТ'!D551</f>
        <v>Машины и оборудование (кроме офисного)</v>
      </c>
      <c r="E547" t="str">
        <f>'[1]2021 УГРЦТ'!E551</f>
        <v>31.12.2019</v>
      </c>
      <c r="F547" t="str">
        <f>'[1]2021 УГРЦТ'!F551</f>
        <v>общепроизводственные расходы</v>
      </c>
      <c r="G547">
        <f>'[1]2021 УГРЦТ'!AC551</f>
        <v>36</v>
      </c>
      <c r="H547" s="7">
        <f>'[1]2021 УГРЦТ'!X551</f>
        <v>63791.68</v>
      </c>
      <c r="I547" s="7">
        <f>'[1]2021 УГРЦТ'!Y551</f>
        <v>42527.773333333331</v>
      </c>
      <c r="J547" s="7">
        <f>'[1]2021 УГРЦТ'!Z551</f>
        <v>21263.906666666669</v>
      </c>
      <c r="K547" s="8">
        <v>0</v>
      </c>
      <c r="L547" s="7">
        <v>1771.9899999999977</v>
      </c>
      <c r="M547" s="7"/>
      <c r="N547" s="7">
        <f t="shared" si="2674"/>
        <v>21263.879999999972</v>
      </c>
      <c r="O547" s="7">
        <f t="shared" si="2859"/>
        <v>19491.916666666672</v>
      </c>
      <c r="P547" s="7">
        <f t="shared" si="2956"/>
        <v>17719.926666666674</v>
      </c>
      <c r="Q547" s="7">
        <f t="shared" si="2956"/>
        <v>15947.936666666676</v>
      </c>
      <c r="R547" s="7">
        <f t="shared" si="2956"/>
        <v>14175.946666666678</v>
      </c>
      <c r="S547" s="7">
        <f t="shared" si="2956"/>
        <v>12403.95666666668</v>
      </c>
      <c r="T547" s="7">
        <f t="shared" si="2956"/>
        <v>10631.966666666682</v>
      </c>
      <c r="U547" s="7">
        <f t="shared" si="2956"/>
        <v>8859.9766666666837</v>
      </c>
      <c r="V547" s="7">
        <f t="shared" si="2956"/>
        <v>7087.9866666666858</v>
      </c>
      <c r="W547" s="7">
        <f t="shared" si="2956"/>
        <v>5315.9966666666878</v>
      </c>
      <c r="X547" s="7">
        <f t="shared" si="2956"/>
        <v>3544.0066666666899</v>
      </c>
      <c r="Y547" s="7">
        <f t="shared" si="2956"/>
        <v>1772.0166666666921</v>
      </c>
      <c r="Z547" s="7">
        <f t="shared" si="2956"/>
        <v>2.6666666694382002E-2</v>
      </c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222"/>
      <c r="AQ547" s="7">
        <v>0</v>
      </c>
      <c r="AR547" s="7"/>
      <c r="AS547" s="7"/>
      <c r="BG547" s="236">
        <f t="shared" si="2863"/>
        <v>0</v>
      </c>
      <c r="BH547" s="7">
        <v>0</v>
      </c>
      <c r="BV547" s="236">
        <f t="shared" si="2951"/>
        <v>0</v>
      </c>
      <c r="BW547" s="7">
        <v>0</v>
      </c>
      <c r="CK547" s="236">
        <f t="shared" si="2952"/>
        <v>0</v>
      </c>
      <c r="CL547" s="7">
        <v>0</v>
      </c>
      <c r="CZ547" s="236">
        <f t="shared" si="2953"/>
        <v>0</v>
      </c>
    </row>
    <row r="548" spans="1:104" x14ac:dyDescent="0.2">
      <c r="A548" s="6" t="str">
        <f>'[1]2021 УГРЦТ'!A552</f>
        <v>Персональный компьютер (ExeGate special, AOS 27")</v>
      </c>
      <c r="B548" t="str">
        <f>'[1]2021 УГРЦТ'!B552</f>
        <v>000001795</v>
      </c>
      <c r="C548" t="str">
        <f>'[1]2021 УГРЦТ'!C552</f>
        <v>ОБЩЕПРОИЗВОДСТВЕННЫЕ РАСХОДЫ</v>
      </c>
      <c r="D548" t="str">
        <f>'[1]2021 УГРЦТ'!D552</f>
        <v>Машины и оборудование (кроме офисного)</v>
      </c>
      <c r="E548" t="str">
        <f>'[1]2021 УГРЦТ'!E552</f>
        <v>31.12.2019</v>
      </c>
      <c r="F548" t="str">
        <f>'[1]2021 УГРЦТ'!F552</f>
        <v>общепроизводственные расходы</v>
      </c>
      <c r="G548">
        <f>'[1]2021 УГРЦТ'!AC552</f>
        <v>36</v>
      </c>
      <c r="H548" s="7">
        <f>'[1]2021 УГРЦТ'!X552</f>
        <v>63791.68</v>
      </c>
      <c r="I548" s="7">
        <f>'[1]2021 УГРЦТ'!Y552</f>
        <v>42527.773333333331</v>
      </c>
      <c r="J548" s="7">
        <f>'[1]2021 УГРЦТ'!Z552</f>
        <v>21263.906666666669</v>
      </c>
      <c r="K548" s="8">
        <v>0</v>
      </c>
      <c r="L548" s="7">
        <v>1771.9899999999977</v>
      </c>
      <c r="M548" s="7"/>
      <c r="N548" s="7">
        <f t="shared" si="2674"/>
        <v>21263.879999999972</v>
      </c>
      <c r="O548" s="7">
        <f t="shared" si="2859"/>
        <v>19491.916666666672</v>
      </c>
      <c r="P548" s="7">
        <f t="shared" si="2956"/>
        <v>17719.926666666674</v>
      </c>
      <c r="Q548" s="7">
        <f t="shared" si="2956"/>
        <v>15947.936666666676</v>
      </c>
      <c r="R548" s="7">
        <f t="shared" si="2956"/>
        <v>14175.946666666678</v>
      </c>
      <c r="S548" s="7">
        <f t="shared" si="2956"/>
        <v>12403.95666666668</v>
      </c>
      <c r="T548" s="7">
        <f t="shared" si="2956"/>
        <v>10631.966666666682</v>
      </c>
      <c r="U548" s="7">
        <f t="shared" si="2956"/>
        <v>8859.9766666666837</v>
      </c>
      <c r="V548" s="7">
        <f t="shared" si="2956"/>
        <v>7087.9866666666858</v>
      </c>
      <c r="W548" s="7">
        <f t="shared" si="2956"/>
        <v>5315.9966666666878</v>
      </c>
      <c r="X548" s="7">
        <f t="shared" si="2956"/>
        <v>3544.0066666666899</v>
      </c>
      <c r="Y548" s="7">
        <f t="shared" si="2956"/>
        <v>1772.0166666666921</v>
      </c>
      <c r="Z548" s="7">
        <f t="shared" si="2956"/>
        <v>2.6666666694382002E-2</v>
      </c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222"/>
      <c r="AQ548" s="7">
        <v>0</v>
      </c>
      <c r="AR548" s="7"/>
      <c r="AS548" s="7"/>
      <c r="BG548" s="236">
        <f t="shared" si="2863"/>
        <v>0</v>
      </c>
      <c r="BH548" s="7">
        <v>0</v>
      </c>
      <c r="BV548" s="236">
        <f t="shared" si="2951"/>
        <v>0</v>
      </c>
      <c r="BW548" s="7">
        <v>0</v>
      </c>
      <c r="CK548" s="236">
        <f t="shared" si="2952"/>
        <v>0</v>
      </c>
      <c r="CL548" s="7">
        <v>0</v>
      </c>
      <c r="CZ548" s="236">
        <f t="shared" si="2953"/>
        <v>0</v>
      </c>
    </row>
    <row r="549" spans="1:104" x14ac:dyDescent="0.2">
      <c r="A549" s="6" t="str">
        <f>'[1]2021 УГРЦТ'!A553</f>
        <v>Персональный компьютер (ExeGate, PHILIPS 27")</v>
      </c>
      <c r="B549" t="str">
        <f>'[1]2021 УГРЦТ'!B553</f>
        <v>000001815</v>
      </c>
      <c r="C549" t="str">
        <f>'[1]2021 УГРЦТ'!C553</f>
        <v>ОБЩЕПРОИЗВОДСТВЕННЫЕ РАСХОДЫ</v>
      </c>
      <c r="D549" t="str">
        <f>'[1]2021 УГРЦТ'!D553</f>
        <v>Машины и оборудование (кроме офисного)</v>
      </c>
      <c r="E549" t="str">
        <f>'[1]2021 УГРЦТ'!E553</f>
        <v>18.06.2020</v>
      </c>
      <c r="F549" t="str">
        <f>'[1]2021 УГРЦТ'!F553</f>
        <v>общепроизводственные расходы</v>
      </c>
      <c r="G549">
        <f>'[1]2021 УГРЦТ'!AC553</f>
        <v>36</v>
      </c>
      <c r="H549" s="7">
        <f>'[1]2021 УГРЦТ'!X553</f>
        <v>80975</v>
      </c>
      <c r="I549" s="7">
        <f>'[1]2021 УГРЦТ'!Y553</f>
        <v>40487.526666666658</v>
      </c>
      <c r="J549" s="7">
        <f>'[1]2021 УГРЦТ'!Z553</f>
        <v>40487.473333333342</v>
      </c>
      <c r="K549" s="8">
        <v>0</v>
      </c>
      <c r="L549" s="7">
        <v>2249.3099999999995</v>
      </c>
      <c r="M549" s="7"/>
      <c r="N549" s="7">
        <f t="shared" si="2674"/>
        <v>26991.719999999994</v>
      </c>
      <c r="O549" s="7">
        <f t="shared" si="2859"/>
        <v>38238.163333333345</v>
      </c>
      <c r="P549" s="7">
        <f t="shared" si="2956"/>
        <v>35988.853333333347</v>
      </c>
      <c r="Q549" s="7">
        <f t="shared" si="2956"/>
        <v>33739.543333333349</v>
      </c>
      <c r="R549" s="7">
        <f t="shared" si="2956"/>
        <v>31490.233333333352</v>
      </c>
      <c r="S549" s="7">
        <f t="shared" si="2956"/>
        <v>29240.923333333354</v>
      </c>
      <c r="T549" s="7">
        <f t="shared" si="2956"/>
        <v>26991.613333333356</v>
      </c>
      <c r="U549" s="7">
        <f t="shared" si="2956"/>
        <v>24742.303333333359</v>
      </c>
      <c r="V549" s="7">
        <f t="shared" si="2956"/>
        <v>22492.993333333361</v>
      </c>
      <c r="W549" s="7">
        <f t="shared" si="2956"/>
        <v>20243.683333333363</v>
      </c>
      <c r="X549" s="7">
        <f t="shared" si="2956"/>
        <v>17994.373333333366</v>
      </c>
      <c r="Y549" s="7">
        <f t="shared" si="2956"/>
        <v>15745.063333333366</v>
      </c>
      <c r="Z549" s="7">
        <f t="shared" si="2956"/>
        <v>13495.753333333367</v>
      </c>
      <c r="AA549" s="7"/>
      <c r="AB549" s="7"/>
      <c r="AC549" s="7">
        <f>L549*6-0.11</f>
        <v>13495.749999999996</v>
      </c>
      <c r="AD549" s="7">
        <f t="shared" si="2861"/>
        <v>11246.443333333367</v>
      </c>
      <c r="AE549" s="7">
        <f t="shared" ref="AE549:AH551" si="2957">AD549-$L549</f>
        <v>8997.1333333333678</v>
      </c>
      <c r="AF549" s="7">
        <f t="shared" si="2957"/>
        <v>6747.8233333333683</v>
      </c>
      <c r="AG549" s="7">
        <f t="shared" si="2957"/>
        <v>4498.5133333333688</v>
      </c>
      <c r="AH549" s="7">
        <f t="shared" si="2957"/>
        <v>2249.2033333333693</v>
      </c>
      <c r="AI549" s="7"/>
      <c r="AJ549" s="7"/>
      <c r="AK549" s="7"/>
      <c r="AL549" s="7"/>
      <c r="AM549" s="7"/>
      <c r="AN549" s="7"/>
      <c r="AO549" s="7"/>
      <c r="AP549" s="222"/>
      <c r="AQ549" s="7">
        <v>2249.3099999999995</v>
      </c>
      <c r="AR549" s="7"/>
      <c r="AS549" s="7"/>
      <c r="BG549" s="236">
        <f t="shared" si="2863"/>
        <v>0</v>
      </c>
      <c r="BH549" s="7">
        <v>2249.3099999999995</v>
      </c>
      <c r="BV549" s="236">
        <f t="shared" si="2951"/>
        <v>0</v>
      </c>
      <c r="BW549" s="7">
        <v>2249.3099999999995</v>
      </c>
      <c r="CK549" s="236">
        <f t="shared" si="2952"/>
        <v>0</v>
      </c>
      <c r="CL549" s="7">
        <v>2249.3099999999995</v>
      </c>
      <c r="CZ549" s="236">
        <f t="shared" si="2953"/>
        <v>0</v>
      </c>
    </row>
    <row r="550" spans="1:104" x14ac:dyDescent="0.2">
      <c r="A550" s="6" t="str">
        <f>'[1]2021 УГРЦТ'!A554</f>
        <v>Персональный компьютер (ExeGate, PHILIPS 27")</v>
      </c>
      <c r="B550" t="str">
        <f>'[1]2021 УГРЦТ'!B554</f>
        <v>000001816</v>
      </c>
      <c r="C550" t="str">
        <f>'[1]2021 УГРЦТ'!C554</f>
        <v>ОБЩЕПРОИЗВОДСТВЕННЫЕ РАСХОДЫ</v>
      </c>
      <c r="D550" t="str">
        <f>'[1]2021 УГРЦТ'!D554</f>
        <v>Машины и оборудование (кроме офисного)</v>
      </c>
      <c r="E550" t="str">
        <f>'[1]2021 УГРЦТ'!E554</f>
        <v>18.06.2020</v>
      </c>
      <c r="F550" t="str">
        <f>'[1]2021 УГРЦТ'!F554</f>
        <v>общепроизводственные расходы</v>
      </c>
      <c r="G550">
        <f>'[1]2021 УГРЦТ'!AC554</f>
        <v>36</v>
      </c>
      <c r="H550" s="7">
        <f>'[1]2021 УГРЦТ'!X554</f>
        <v>80975</v>
      </c>
      <c r="I550" s="7">
        <f>'[1]2021 УГРЦТ'!Y554</f>
        <v>40487.526666666658</v>
      </c>
      <c r="J550" s="7">
        <f>'[1]2021 УГРЦТ'!Z554</f>
        <v>40487.473333333342</v>
      </c>
      <c r="K550" s="8">
        <v>0</v>
      </c>
      <c r="L550" s="7">
        <v>2249.3099999999995</v>
      </c>
      <c r="M550" s="7"/>
      <c r="N550" s="7">
        <f>L550*12</f>
        <v>26991.719999999994</v>
      </c>
      <c r="O550" s="7">
        <f t="shared" si="2859"/>
        <v>38238.163333333345</v>
      </c>
      <c r="P550" s="7">
        <f t="shared" si="2956"/>
        <v>35988.853333333347</v>
      </c>
      <c r="Q550" s="7">
        <f t="shared" si="2956"/>
        <v>33739.543333333349</v>
      </c>
      <c r="R550" s="7">
        <f t="shared" si="2956"/>
        <v>31490.233333333352</v>
      </c>
      <c r="S550" s="7">
        <f t="shared" si="2956"/>
        <v>29240.923333333354</v>
      </c>
      <c r="T550" s="7">
        <f t="shared" si="2956"/>
        <v>26991.613333333356</v>
      </c>
      <c r="U550" s="7">
        <f t="shared" si="2956"/>
        <v>24742.303333333359</v>
      </c>
      <c r="V550" s="7">
        <f t="shared" si="2956"/>
        <v>22492.993333333361</v>
      </c>
      <c r="W550" s="7">
        <f t="shared" si="2956"/>
        <v>20243.683333333363</v>
      </c>
      <c r="X550" s="7">
        <f t="shared" si="2956"/>
        <v>17994.373333333366</v>
      </c>
      <c r="Y550" s="7">
        <f t="shared" si="2956"/>
        <v>15745.063333333366</v>
      </c>
      <c r="Z550" s="7">
        <f t="shared" si="2956"/>
        <v>13495.753333333367</v>
      </c>
      <c r="AA550" s="7"/>
      <c r="AB550" s="7"/>
      <c r="AC550" s="7">
        <f t="shared" ref="AC550" si="2958">L550*6-0.11</f>
        <v>13495.749999999996</v>
      </c>
      <c r="AD550" s="7">
        <f t="shared" si="2861"/>
        <v>11246.443333333367</v>
      </c>
      <c r="AE550" s="7">
        <f t="shared" si="2957"/>
        <v>8997.1333333333678</v>
      </c>
      <c r="AF550" s="7">
        <f t="shared" si="2957"/>
        <v>6747.8233333333683</v>
      </c>
      <c r="AG550" s="7">
        <f t="shared" si="2957"/>
        <v>4498.5133333333688</v>
      </c>
      <c r="AH550" s="7">
        <f t="shared" si="2957"/>
        <v>2249.2033333333693</v>
      </c>
      <c r="AI550" s="7"/>
      <c r="AJ550" s="7"/>
      <c r="AK550" s="7"/>
      <c r="AL550" s="7"/>
      <c r="AM550" s="7"/>
      <c r="AN550" s="7"/>
      <c r="AO550" s="7"/>
      <c r="AP550" s="222"/>
      <c r="AQ550" s="7">
        <v>2249.3099999999995</v>
      </c>
      <c r="AR550" s="7"/>
      <c r="AS550" s="7"/>
      <c r="BG550" s="236">
        <f t="shared" si="2863"/>
        <v>0</v>
      </c>
      <c r="BH550" s="7">
        <v>2249.3099999999995</v>
      </c>
      <c r="BV550" s="236">
        <f t="shared" si="2951"/>
        <v>0</v>
      </c>
      <c r="BW550" s="7">
        <v>2249.3099999999995</v>
      </c>
      <c r="CK550" s="236">
        <f t="shared" si="2952"/>
        <v>0</v>
      </c>
      <c r="CL550" s="7">
        <v>2249.3099999999995</v>
      </c>
      <c r="CZ550" s="236">
        <f t="shared" si="2953"/>
        <v>0</v>
      </c>
    </row>
    <row r="551" spans="1:104" x14ac:dyDescent="0.2">
      <c r="A551" s="6" t="str">
        <f>'[1]2021 УГРЦТ'!A555</f>
        <v>Персональный компьютер (ExeGate, VIEWSONIK 32")</v>
      </c>
      <c r="B551" t="str">
        <f>'[1]2021 УГРЦТ'!B555</f>
        <v>000001814</v>
      </c>
      <c r="C551" t="str">
        <f>'[1]2021 УГРЦТ'!C555</f>
        <v>ОБЩЕПРОИЗВОДСТВЕННЫЕ РАСХОДЫ</v>
      </c>
      <c r="D551" t="str">
        <f>'[1]2021 УГРЦТ'!D555</f>
        <v>Машины и оборудование (кроме офисного)</v>
      </c>
      <c r="E551" t="str">
        <f>'[1]2021 УГРЦТ'!E555</f>
        <v>18.06.2020</v>
      </c>
      <c r="F551" t="str">
        <f>'[1]2021 УГРЦТ'!F555</f>
        <v>общепроизводственные расходы</v>
      </c>
      <c r="G551">
        <f>'[1]2021 УГРЦТ'!AC555</f>
        <v>36</v>
      </c>
      <c r="H551" s="7">
        <f>'[1]2021 УГРЦТ'!X555</f>
        <v>93033.34</v>
      </c>
      <c r="I551" s="7">
        <f>'[1]2021 УГРЦТ'!Y555</f>
        <v>46516.673333333332</v>
      </c>
      <c r="J551" s="7">
        <f>'[1]2021 УГРЦТ'!Z555</f>
        <v>46516.666666666664</v>
      </c>
      <c r="K551" s="8">
        <v>0</v>
      </c>
      <c r="L551" s="7">
        <v>2584.2600000000007</v>
      </c>
      <c r="M551" s="7"/>
      <c r="N551" s="7">
        <f>L551*12</f>
        <v>31011.12000000001</v>
      </c>
      <c r="O551" s="7">
        <f t="shared" si="2859"/>
        <v>43932.406666666662</v>
      </c>
      <c r="P551" s="7">
        <f t="shared" si="2956"/>
        <v>41348.14666666666</v>
      </c>
      <c r="Q551" s="7">
        <f t="shared" si="2956"/>
        <v>38763.886666666658</v>
      </c>
      <c r="R551" s="7">
        <f t="shared" si="2956"/>
        <v>36179.626666666656</v>
      </c>
      <c r="S551" s="7">
        <f t="shared" si="2956"/>
        <v>33595.366666666654</v>
      </c>
      <c r="T551" s="7">
        <f t="shared" si="2956"/>
        <v>31011.106666666652</v>
      </c>
      <c r="U551" s="7">
        <f t="shared" si="2956"/>
        <v>28426.84666666665</v>
      </c>
      <c r="V551" s="7">
        <f t="shared" si="2956"/>
        <v>25842.586666666648</v>
      </c>
      <c r="W551" s="7">
        <f t="shared" si="2956"/>
        <v>23258.326666666646</v>
      </c>
      <c r="X551" s="7">
        <f t="shared" si="2956"/>
        <v>20674.066666666644</v>
      </c>
      <c r="Y551" s="7">
        <f t="shared" si="2956"/>
        <v>18089.806666666642</v>
      </c>
      <c r="Z551" s="7">
        <f t="shared" si="2956"/>
        <v>15505.546666666642</v>
      </c>
      <c r="AA551" s="7"/>
      <c r="AB551" s="7"/>
      <c r="AC551" s="7">
        <f>L551*6-0.01</f>
        <v>15505.550000000005</v>
      </c>
      <c r="AD551" s="7">
        <f t="shared" si="2861"/>
        <v>12921.286666666641</v>
      </c>
      <c r="AE551" s="7">
        <f t="shared" si="2957"/>
        <v>10337.026666666641</v>
      </c>
      <c r="AF551" s="7">
        <f t="shared" si="2957"/>
        <v>7752.766666666641</v>
      </c>
      <c r="AG551" s="7">
        <f t="shared" si="2957"/>
        <v>5168.5066666666407</v>
      </c>
      <c r="AH551" s="7">
        <f t="shared" si="2957"/>
        <v>2584.2466666666401</v>
      </c>
      <c r="AI551" s="7"/>
      <c r="AJ551" s="7"/>
      <c r="AK551" s="7"/>
      <c r="AL551" s="7"/>
      <c r="AM551" s="7"/>
      <c r="AN551" s="7"/>
      <c r="AO551" s="7"/>
      <c r="AP551" s="222"/>
      <c r="AQ551" s="7">
        <v>0</v>
      </c>
      <c r="AR551" s="7"/>
      <c r="AS551" s="7"/>
      <c r="BG551" s="236">
        <f t="shared" si="2863"/>
        <v>0</v>
      </c>
      <c r="BH551" s="7">
        <v>0</v>
      </c>
      <c r="BV551" s="236">
        <f t="shared" si="2951"/>
        <v>0</v>
      </c>
      <c r="BW551" s="7">
        <v>0</v>
      </c>
      <c r="CK551" s="236">
        <f t="shared" si="2952"/>
        <v>0</v>
      </c>
      <c r="CL551" s="7">
        <v>0</v>
      </c>
      <c r="CZ551" s="236">
        <f t="shared" si="2953"/>
        <v>0</v>
      </c>
    </row>
    <row r="552" spans="1:104" ht="22.5" x14ac:dyDescent="0.2">
      <c r="A552" s="6" t="str">
        <f>'[1]2021 УГРЦТ'!A556</f>
        <v>Персональный компьютер (ПК) с высокой производительностью</v>
      </c>
      <c r="B552" t="str">
        <f>'[1]2021 УГРЦТ'!B556</f>
        <v>000001745</v>
      </c>
      <c r="C552" t="str">
        <f>'[1]2021 УГРЦТ'!C556</f>
        <v>ОБЩЕПРОИЗВОДСТВЕННЫЕ РАСХОДЫ</v>
      </c>
      <c r="D552" t="str">
        <f>'[1]2021 УГРЦТ'!D556</f>
        <v>Машины и оборудование (кроме офисного)</v>
      </c>
      <c r="E552" t="str">
        <f>'[1]2021 УГРЦТ'!E556</f>
        <v>29.10.2018</v>
      </c>
      <c r="F552" t="str">
        <f>'[1]2021 УГРЦТ'!F556</f>
        <v>общепроизводственные расходы</v>
      </c>
      <c r="G552">
        <f>'[1]2021 УГРЦТ'!AC556</f>
        <v>36</v>
      </c>
      <c r="H552" s="7">
        <f>'[1]2021 УГРЦТ'!X556</f>
        <v>68983.05</v>
      </c>
      <c r="I552" s="7">
        <f>'[1]2021 УГРЦТ'!Y556</f>
        <v>68983.012499999997</v>
      </c>
      <c r="J552" s="7">
        <f>'[1]2021 УГРЦТ'!Z556</f>
        <v>3.7500000005820766E-2</v>
      </c>
      <c r="K552" s="8">
        <v>0</v>
      </c>
      <c r="L552" s="7">
        <v>1916.2</v>
      </c>
      <c r="M552" s="7"/>
      <c r="N552" s="7">
        <f>L552*0+0.04</f>
        <v>0.04</v>
      </c>
      <c r="O552" s="7">
        <f>J552-0.04</f>
        <v>-2.4999999941792347E-3</v>
      </c>
      <c r="P552" s="7">
        <f>O552-$L552*0</f>
        <v>-2.4999999941792347E-3</v>
      </c>
      <c r="Q552" s="7">
        <f t="shared" ref="Q552:Z552" si="2959">P552-$L552*0</f>
        <v>-2.4999999941792347E-3</v>
      </c>
      <c r="R552" s="7">
        <f t="shared" si="2959"/>
        <v>-2.4999999941792347E-3</v>
      </c>
      <c r="S552" s="7">
        <f t="shared" si="2959"/>
        <v>-2.4999999941792347E-3</v>
      </c>
      <c r="T552" s="7">
        <f t="shared" si="2959"/>
        <v>-2.4999999941792347E-3</v>
      </c>
      <c r="U552" s="7">
        <f t="shared" si="2959"/>
        <v>-2.4999999941792347E-3</v>
      </c>
      <c r="V552" s="7">
        <f t="shared" si="2959"/>
        <v>-2.4999999941792347E-3</v>
      </c>
      <c r="W552" s="7">
        <f t="shared" si="2959"/>
        <v>-2.4999999941792347E-3</v>
      </c>
      <c r="X552" s="7">
        <f t="shared" si="2959"/>
        <v>-2.4999999941792347E-3</v>
      </c>
      <c r="Y552" s="7">
        <f t="shared" si="2959"/>
        <v>-2.4999999941792347E-3</v>
      </c>
      <c r="Z552" s="7">
        <f t="shared" si="2959"/>
        <v>-2.4999999941792347E-3</v>
      </c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222"/>
      <c r="AQ552" s="7">
        <v>0</v>
      </c>
      <c r="AR552" s="7"/>
      <c r="AS552" s="7"/>
      <c r="BG552" s="236">
        <f t="shared" si="2863"/>
        <v>0</v>
      </c>
      <c r="BH552" s="7">
        <v>0</v>
      </c>
      <c r="BV552" s="236">
        <f t="shared" si="2951"/>
        <v>0</v>
      </c>
      <c r="BW552" s="7">
        <v>0</v>
      </c>
      <c r="CK552" s="236">
        <f t="shared" si="2952"/>
        <v>0</v>
      </c>
      <c r="CL552" s="7">
        <v>0</v>
      </c>
      <c r="CZ552" s="236">
        <f t="shared" si="2953"/>
        <v>0</v>
      </c>
    </row>
    <row r="553" spans="1:104" ht="22.5" x14ac:dyDescent="0.2">
      <c r="A553" s="6" t="str">
        <f>'[1]2021 УГРЦТ'!A557</f>
        <v>Персональный компьютер (ПК) с высокой производительностью</v>
      </c>
      <c r="B553" t="str">
        <f>'[1]2021 УГРЦТ'!B557</f>
        <v>000001746</v>
      </c>
      <c r="C553" t="str">
        <f>'[1]2021 УГРЦТ'!C557</f>
        <v>ОБЩЕПРОИЗВОДСТВЕННЫЕ РАСХОДЫ</v>
      </c>
      <c r="D553" t="str">
        <f>'[1]2021 УГРЦТ'!D557</f>
        <v>Машины и оборудование (кроме офисного)</v>
      </c>
      <c r="E553" t="str">
        <f>'[1]2021 УГРЦТ'!E557</f>
        <v>29.10.2018</v>
      </c>
      <c r="F553" t="str">
        <f>'[1]2021 УГРЦТ'!F557</f>
        <v>общепроизводственные расходы</v>
      </c>
      <c r="G553">
        <f>'[1]2021 УГРЦТ'!AC557</f>
        <v>36</v>
      </c>
      <c r="H553" s="7">
        <f>'[1]2021 УГРЦТ'!X557</f>
        <v>68983.05</v>
      </c>
      <c r="I553" s="7">
        <f>'[1]2021 УГРЦТ'!Y557</f>
        <v>68983.012499999997</v>
      </c>
      <c r="J553" s="7">
        <f>'[1]2021 УГРЦТ'!Z557</f>
        <v>3.7500000005820766E-2</v>
      </c>
      <c r="K553" s="8">
        <v>0</v>
      </c>
      <c r="L553" s="7">
        <v>1916.2</v>
      </c>
      <c r="M553" s="7"/>
      <c r="N553" s="7">
        <f t="shared" ref="N553:N557" si="2960">L553*0+0.04</f>
        <v>0.04</v>
      </c>
      <c r="O553" s="7">
        <f t="shared" ref="O553:O557" si="2961">J553-0.04</f>
        <v>-2.4999999941792347E-3</v>
      </c>
      <c r="P553" s="7">
        <f t="shared" ref="P553:Z557" si="2962">O553-$L553*0</f>
        <v>-2.4999999941792347E-3</v>
      </c>
      <c r="Q553" s="7">
        <f t="shared" si="2962"/>
        <v>-2.4999999941792347E-3</v>
      </c>
      <c r="R553" s="7">
        <f t="shared" si="2962"/>
        <v>-2.4999999941792347E-3</v>
      </c>
      <c r="S553" s="7">
        <f t="shared" si="2962"/>
        <v>-2.4999999941792347E-3</v>
      </c>
      <c r="T553" s="7">
        <f t="shared" si="2962"/>
        <v>-2.4999999941792347E-3</v>
      </c>
      <c r="U553" s="7">
        <f t="shared" si="2962"/>
        <v>-2.4999999941792347E-3</v>
      </c>
      <c r="V553" s="7">
        <f t="shared" si="2962"/>
        <v>-2.4999999941792347E-3</v>
      </c>
      <c r="W553" s="7">
        <f t="shared" si="2962"/>
        <v>-2.4999999941792347E-3</v>
      </c>
      <c r="X553" s="7">
        <f t="shared" si="2962"/>
        <v>-2.4999999941792347E-3</v>
      </c>
      <c r="Y553" s="7">
        <f t="shared" si="2962"/>
        <v>-2.4999999941792347E-3</v>
      </c>
      <c r="Z553" s="7">
        <f t="shared" si="2962"/>
        <v>-2.4999999941792347E-3</v>
      </c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222"/>
      <c r="AQ553" s="7">
        <v>0</v>
      </c>
      <c r="AR553" s="7"/>
      <c r="AS553" s="7"/>
      <c r="BG553" s="236">
        <f t="shared" si="2863"/>
        <v>0</v>
      </c>
      <c r="BH553" s="7">
        <v>0</v>
      </c>
      <c r="BV553" s="236">
        <f t="shared" si="2951"/>
        <v>0</v>
      </c>
      <c r="BW553" s="7">
        <v>0</v>
      </c>
      <c r="CK553" s="236">
        <f t="shared" si="2952"/>
        <v>0</v>
      </c>
      <c r="CL553" s="7">
        <v>0</v>
      </c>
      <c r="CZ553" s="236">
        <f t="shared" si="2953"/>
        <v>0</v>
      </c>
    </row>
    <row r="554" spans="1:104" ht="22.5" x14ac:dyDescent="0.2">
      <c r="A554" s="6" t="str">
        <f>'[1]2021 УГРЦТ'!A558</f>
        <v>Персональный компьютер (ПК) с высокой производительностью</v>
      </c>
      <c r="B554" t="str">
        <f>'[1]2021 УГРЦТ'!B558</f>
        <v>000001747</v>
      </c>
      <c r="C554" t="str">
        <f>'[1]2021 УГРЦТ'!C558</f>
        <v>ОБЩЕПРОИЗВОДСТВЕННЫЕ РАСХОДЫ</v>
      </c>
      <c r="D554" t="str">
        <f>'[1]2021 УГРЦТ'!D558</f>
        <v>Машины и оборудование (кроме офисного)</v>
      </c>
      <c r="E554" t="str">
        <f>'[1]2021 УГРЦТ'!E558</f>
        <v>29.10.2018</v>
      </c>
      <c r="F554" t="str">
        <f>'[1]2021 УГРЦТ'!F558</f>
        <v>общепроизводственные расходы</v>
      </c>
      <c r="G554">
        <f>'[1]2021 УГРЦТ'!AC558</f>
        <v>36</v>
      </c>
      <c r="H554" s="7">
        <f>'[1]2021 УГРЦТ'!X558</f>
        <v>68983.05</v>
      </c>
      <c r="I554" s="7">
        <f>'[1]2021 УГРЦТ'!Y558</f>
        <v>68983.012499999997</v>
      </c>
      <c r="J554" s="7">
        <f>'[1]2021 УГРЦТ'!Z558</f>
        <v>3.7500000005820766E-2</v>
      </c>
      <c r="K554" s="8">
        <v>0</v>
      </c>
      <c r="L554" s="7">
        <v>1916.2</v>
      </c>
      <c r="M554" s="7"/>
      <c r="N554" s="7">
        <f t="shared" si="2960"/>
        <v>0.04</v>
      </c>
      <c r="O554" s="7">
        <f t="shared" si="2961"/>
        <v>-2.4999999941792347E-3</v>
      </c>
      <c r="P554" s="7">
        <f t="shared" si="2962"/>
        <v>-2.4999999941792347E-3</v>
      </c>
      <c r="Q554" s="7">
        <f t="shared" si="2962"/>
        <v>-2.4999999941792347E-3</v>
      </c>
      <c r="R554" s="7">
        <f t="shared" si="2962"/>
        <v>-2.4999999941792347E-3</v>
      </c>
      <c r="S554" s="7">
        <f t="shared" si="2962"/>
        <v>-2.4999999941792347E-3</v>
      </c>
      <c r="T554" s="7">
        <f t="shared" si="2962"/>
        <v>-2.4999999941792347E-3</v>
      </c>
      <c r="U554" s="7">
        <f t="shared" si="2962"/>
        <v>-2.4999999941792347E-3</v>
      </c>
      <c r="V554" s="7">
        <f t="shared" si="2962"/>
        <v>-2.4999999941792347E-3</v>
      </c>
      <c r="W554" s="7">
        <f t="shared" si="2962"/>
        <v>-2.4999999941792347E-3</v>
      </c>
      <c r="X554" s="7">
        <f t="shared" si="2962"/>
        <v>-2.4999999941792347E-3</v>
      </c>
      <c r="Y554" s="7">
        <f t="shared" si="2962"/>
        <v>-2.4999999941792347E-3</v>
      </c>
      <c r="Z554" s="7">
        <f t="shared" si="2962"/>
        <v>-2.4999999941792347E-3</v>
      </c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222"/>
      <c r="AQ554" s="7">
        <v>0</v>
      </c>
      <c r="AR554" s="7"/>
      <c r="AS554" s="7"/>
      <c r="BG554" s="236">
        <f t="shared" si="2863"/>
        <v>0</v>
      </c>
      <c r="BH554" s="7">
        <v>0</v>
      </c>
      <c r="BV554" s="236">
        <f t="shared" si="2951"/>
        <v>0</v>
      </c>
      <c r="BW554" s="7">
        <v>0</v>
      </c>
      <c r="CK554" s="236">
        <f t="shared" si="2952"/>
        <v>0</v>
      </c>
      <c r="CL554" s="7">
        <v>0</v>
      </c>
      <c r="CZ554" s="236">
        <f t="shared" si="2953"/>
        <v>0</v>
      </c>
    </row>
    <row r="555" spans="1:104" ht="22.5" x14ac:dyDescent="0.2">
      <c r="A555" s="6" t="str">
        <f>'[1]2021 УГРЦТ'!A559</f>
        <v>Персональный компьютер (ПК) с высокой производительностью</v>
      </c>
      <c r="B555" t="str">
        <f>'[1]2021 УГРЦТ'!B559</f>
        <v>000001748</v>
      </c>
      <c r="C555" t="str">
        <f>'[1]2021 УГРЦТ'!C559</f>
        <v>ОБЩЕПРОИЗВОДСТВЕННЫЕ РАСХОДЫ</v>
      </c>
      <c r="D555" t="str">
        <f>'[1]2021 УГРЦТ'!D559</f>
        <v>Машины и оборудование (кроме офисного)</v>
      </c>
      <c r="E555" t="str">
        <f>'[1]2021 УГРЦТ'!E559</f>
        <v>29.10.2018</v>
      </c>
      <c r="F555" t="str">
        <f>'[1]2021 УГРЦТ'!F559</f>
        <v>общепроизводственные расходы</v>
      </c>
      <c r="G555">
        <f>'[1]2021 УГРЦТ'!AC559</f>
        <v>36</v>
      </c>
      <c r="H555" s="7">
        <f>'[1]2021 УГРЦТ'!X559</f>
        <v>68983.05</v>
      </c>
      <c r="I555" s="7">
        <f>'[1]2021 УГРЦТ'!Y559</f>
        <v>68983.012499999997</v>
      </c>
      <c r="J555" s="7">
        <f>'[1]2021 УГРЦТ'!Z559</f>
        <v>3.7500000005820766E-2</v>
      </c>
      <c r="K555" s="8">
        <v>0</v>
      </c>
      <c r="L555" s="7">
        <v>1916.2</v>
      </c>
      <c r="M555" s="7"/>
      <c r="N555" s="7">
        <f t="shared" si="2960"/>
        <v>0.04</v>
      </c>
      <c r="O555" s="7">
        <f t="shared" si="2961"/>
        <v>-2.4999999941792347E-3</v>
      </c>
      <c r="P555" s="7">
        <f t="shared" si="2962"/>
        <v>-2.4999999941792347E-3</v>
      </c>
      <c r="Q555" s="7">
        <f t="shared" si="2962"/>
        <v>-2.4999999941792347E-3</v>
      </c>
      <c r="R555" s="7">
        <f t="shared" si="2962"/>
        <v>-2.4999999941792347E-3</v>
      </c>
      <c r="S555" s="7">
        <f t="shared" si="2962"/>
        <v>-2.4999999941792347E-3</v>
      </c>
      <c r="T555" s="7">
        <f t="shared" si="2962"/>
        <v>-2.4999999941792347E-3</v>
      </c>
      <c r="U555" s="7">
        <f t="shared" si="2962"/>
        <v>-2.4999999941792347E-3</v>
      </c>
      <c r="V555" s="7">
        <f t="shared" si="2962"/>
        <v>-2.4999999941792347E-3</v>
      </c>
      <c r="W555" s="7">
        <f t="shared" si="2962"/>
        <v>-2.4999999941792347E-3</v>
      </c>
      <c r="X555" s="7">
        <f t="shared" si="2962"/>
        <v>-2.4999999941792347E-3</v>
      </c>
      <c r="Y555" s="7">
        <f t="shared" si="2962"/>
        <v>-2.4999999941792347E-3</v>
      </c>
      <c r="Z555" s="7">
        <f t="shared" si="2962"/>
        <v>-2.4999999941792347E-3</v>
      </c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222"/>
      <c r="AQ555" s="7">
        <v>0</v>
      </c>
      <c r="AR555" s="7"/>
      <c r="AS555" s="7"/>
      <c r="BG555" s="236">
        <f t="shared" si="2863"/>
        <v>0</v>
      </c>
      <c r="BH555" s="7">
        <v>0</v>
      </c>
      <c r="BV555" s="236">
        <f t="shared" si="2951"/>
        <v>0</v>
      </c>
      <c r="BW555" s="7">
        <v>0</v>
      </c>
      <c r="CK555" s="236">
        <f t="shared" si="2952"/>
        <v>0</v>
      </c>
      <c r="CL555" s="7">
        <v>0</v>
      </c>
      <c r="CZ555" s="236">
        <f t="shared" si="2953"/>
        <v>0</v>
      </c>
    </row>
    <row r="556" spans="1:104" ht="22.5" x14ac:dyDescent="0.2">
      <c r="A556" s="6" t="str">
        <f>'[1]2021 УГРЦТ'!A560</f>
        <v>Персональный компьютер (ПК) с высокой производительностью</v>
      </c>
      <c r="B556" t="str">
        <f>'[1]2021 УГРЦТ'!B560</f>
        <v>000001749</v>
      </c>
      <c r="C556" t="str">
        <f>'[1]2021 УГРЦТ'!C560</f>
        <v>ОБЩЕПРОИЗВОДСТВЕННЫЕ РАСХОДЫ</v>
      </c>
      <c r="D556" t="str">
        <f>'[1]2021 УГРЦТ'!D560</f>
        <v>Машины и оборудование (кроме офисного)</v>
      </c>
      <c r="E556" t="str">
        <f>'[1]2021 УГРЦТ'!E560</f>
        <v>29.10.2018</v>
      </c>
      <c r="F556" t="str">
        <f>'[1]2021 УГРЦТ'!F560</f>
        <v>общепроизводственные расходы</v>
      </c>
      <c r="G556">
        <f>'[1]2021 УГРЦТ'!AC560</f>
        <v>36</v>
      </c>
      <c r="H556" s="7">
        <f>'[1]2021 УГРЦТ'!X560</f>
        <v>68983.06</v>
      </c>
      <c r="I556" s="7">
        <f>'[1]2021 УГРЦТ'!Y560</f>
        <v>68983.014999999999</v>
      </c>
      <c r="J556" s="7">
        <f>'[1]2021 УГРЦТ'!Z560</f>
        <v>4.499999999825377E-2</v>
      </c>
      <c r="K556" s="8">
        <v>0</v>
      </c>
      <c r="L556" s="7">
        <v>1916.2</v>
      </c>
      <c r="M556" s="7"/>
      <c r="N556" s="7">
        <f t="shared" si="2960"/>
        <v>0.04</v>
      </c>
      <c r="O556" s="7">
        <f t="shared" si="2961"/>
        <v>4.9999999982537693E-3</v>
      </c>
      <c r="P556" s="7">
        <f t="shared" si="2962"/>
        <v>4.9999999982537693E-3</v>
      </c>
      <c r="Q556" s="7">
        <f t="shared" si="2962"/>
        <v>4.9999999982537693E-3</v>
      </c>
      <c r="R556" s="7">
        <f t="shared" si="2962"/>
        <v>4.9999999982537693E-3</v>
      </c>
      <c r="S556" s="7">
        <f t="shared" si="2962"/>
        <v>4.9999999982537693E-3</v>
      </c>
      <c r="T556" s="7">
        <f t="shared" si="2962"/>
        <v>4.9999999982537693E-3</v>
      </c>
      <c r="U556" s="7">
        <f t="shared" si="2962"/>
        <v>4.9999999982537693E-3</v>
      </c>
      <c r="V556" s="7">
        <f t="shared" si="2962"/>
        <v>4.9999999982537693E-3</v>
      </c>
      <c r="W556" s="7">
        <f t="shared" si="2962"/>
        <v>4.9999999982537693E-3</v>
      </c>
      <c r="X556" s="7">
        <f t="shared" si="2962"/>
        <v>4.9999999982537693E-3</v>
      </c>
      <c r="Y556" s="7">
        <f t="shared" si="2962"/>
        <v>4.9999999982537693E-3</v>
      </c>
      <c r="Z556" s="7">
        <f t="shared" si="2962"/>
        <v>4.9999999982537693E-3</v>
      </c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222"/>
      <c r="AQ556" s="7">
        <v>1916.2</v>
      </c>
      <c r="AR556" s="7"/>
      <c r="AS556" s="7"/>
      <c r="BG556" s="236">
        <f t="shared" si="2863"/>
        <v>0</v>
      </c>
      <c r="BH556" s="7">
        <v>1916.2</v>
      </c>
      <c r="BV556" s="236">
        <f t="shared" si="2951"/>
        <v>0</v>
      </c>
      <c r="BW556" s="7">
        <v>1916.2</v>
      </c>
      <c r="CK556" s="236">
        <f t="shared" si="2952"/>
        <v>0</v>
      </c>
      <c r="CL556" s="7">
        <v>1916.2</v>
      </c>
      <c r="CZ556" s="236">
        <f t="shared" si="2953"/>
        <v>0</v>
      </c>
    </row>
    <row r="557" spans="1:104" ht="22.5" x14ac:dyDescent="0.2">
      <c r="A557" s="6" t="str">
        <f>'[1]2021 УГРЦТ'!A561</f>
        <v>Персональный компьютер (ПК) с высокой производительностью</v>
      </c>
      <c r="B557" t="str">
        <f>'[1]2021 УГРЦТ'!B561</f>
        <v>000001750</v>
      </c>
      <c r="C557" t="str">
        <f>'[1]2021 УГРЦТ'!C561</f>
        <v>ОБЩЕПРОИЗВОДСТВЕННЫЕ РАСХОДЫ</v>
      </c>
      <c r="D557" t="str">
        <f>'[1]2021 УГРЦТ'!D561</f>
        <v>Машины и оборудование (кроме офисного)</v>
      </c>
      <c r="E557" t="str">
        <f>'[1]2021 УГРЦТ'!E561</f>
        <v>29.10.2018</v>
      </c>
      <c r="F557" t="str">
        <f>'[1]2021 УГРЦТ'!F561</f>
        <v>общепроизводственные расходы</v>
      </c>
      <c r="G557">
        <f>'[1]2021 УГРЦТ'!AC561</f>
        <v>36</v>
      </c>
      <c r="H557" s="7">
        <f>'[1]2021 УГРЦТ'!X561</f>
        <v>68983.06</v>
      </c>
      <c r="I557" s="7">
        <f>'[1]2021 УГРЦТ'!Y561</f>
        <v>68983.014999999999</v>
      </c>
      <c r="J557" s="7">
        <f>'[1]2021 УГРЦТ'!Z561</f>
        <v>4.499999999825377E-2</v>
      </c>
      <c r="K557" s="8">
        <v>0</v>
      </c>
      <c r="L557" s="7">
        <v>1916.2</v>
      </c>
      <c r="M557" s="7"/>
      <c r="N557" s="7">
        <f t="shared" si="2960"/>
        <v>0.04</v>
      </c>
      <c r="O557" s="7">
        <f t="shared" si="2961"/>
        <v>4.9999999982537693E-3</v>
      </c>
      <c r="P557" s="7">
        <f t="shared" si="2962"/>
        <v>4.9999999982537693E-3</v>
      </c>
      <c r="Q557" s="7">
        <f t="shared" si="2962"/>
        <v>4.9999999982537693E-3</v>
      </c>
      <c r="R557" s="7">
        <f t="shared" si="2962"/>
        <v>4.9999999982537693E-3</v>
      </c>
      <c r="S557" s="7">
        <f t="shared" si="2962"/>
        <v>4.9999999982537693E-3</v>
      </c>
      <c r="T557" s="7">
        <f t="shared" si="2962"/>
        <v>4.9999999982537693E-3</v>
      </c>
      <c r="U557" s="7">
        <f t="shared" si="2962"/>
        <v>4.9999999982537693E-3</v>
      </c>
      <c r="V557" s="7">
        <f t="shared" si="2962"/>
        <v>4.9999999982537693E-3</v>
      </c>
      <c r="W557" s="7">
        <f t="shared" si="2962"/>
        <v>4.9999999982537693E-3</v>
      </c>
      <c r="X557" s="7">
        <f t="shared" si="2962"/>
        <v>4.9999999982537693E-3</v>
      </c>
      <c r="Y557" s="7">
        <f t="shared" si="2962"/>
        <v>4.9999999982537693E-3</v>
      </c>
      <c r="Z557" s="7">
        <f t="shared" si="2962"/>
        <v>4.9999999982537693E-3</v>
      </c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222"/>
      <c r="AQ557" s="7">
        <v>1916.2</v>
      </c>
      <c r="AR557" s="7"/>
      <c r="AS557" s="7"/>
      <c r="BG557" s="236">
        <f t="shared" si="2863"/>
        <v>0</v>
      </c>
      <c r="BH557" s="7">
        <v>1916.2</v>
      </c>
      <c r="BV557" s="236">
        <f t="shared" si="2951"/>
        <v>0</v>
      </c>
      <c r="BW557" s="7">
        <v>1916.2</v>
      </c>
      <c r="CK557" s="236">
        <f t="shared" si="2952"/>
        <v>0</v>
      </c>
      <c r="CL557" s="7">
        <v>1916.2</v>
      </c>
      <c r="CZ557" s="236">
        <f t="shared" si="2953"/>
        <v>0</v>
      </c>
    </row>
    <row r="558" spans="1:104" x14ac:dyDescent="0.2">
      <c r="A558" s="6" t="str">
        <f>'[1]2021 УГРЦТ'!A562</f>
        <v>Персональный компьютер высокой производительности</v>
      </c>
      <c r="B558" t="str">
        <f>'[1]2021 УГРЦТ'!B562</f>
        <v>000001851</v>
      </c>
      <c r="C558" t="str">
        <f>'[1]2021 УГРЦТ'!C562</f>
        <v>ОБЩЕПРОИЗВОДСТВЕННЫЕ РАСХОДЫ</v>
      </c>
      <c r="D558" t="str">
        <f>'[1]2021 УГРЦТ'!D562</f>
        <v>Машины и оборудование (кроме офисного)</v>
      </c>
      <c r="E558" t="str">
        <f>'[1]2021 УГРЦТ'!E562</f>
        <v>22.06.2021</v>
      </c>
      <c r="F558" t="str">
        <f>'[1]2021 УГРЦТ'!F562</f>
        <v>общепроизводственные расходы</v>
      </c>
      <c r="G558">
        <f>'[1]2021 УГРЦТ'!AC562</f>
        <v>36</v>
      </c>
      <c r="H558" s="7">
        <f>'[1]2021 УГРЦТ'!X562</f>
        <v>84400</v>
      </c>
      <c r="I558" s="7">
        <f>'[1]2021 УГРЦТ'!Y562</f>
        <v>14066.666666666668</v>
      </c>
      <c r="J558" s="7">
        <f>'[1]2021 УГРЦТ'!Z562</f>
        <v>70333.333333333328</v>
      </c>
      <c r="K558" s="8">
        <v>0</v>
      </c>
      <c r="L558" s="7">
        <v>2344.4399999999996</v>
      </c>
      <c r="M558" s="7"/>
      <c r="N558" s="7">
        <f t="shared" ref="N558:N563" si="2963">L558*12</f>
        <v>28133.279999999995</v>
      </c>
      <c r="O558" s="7">
        <f t="shared" si="2859"/>
        <v>67988.893333333326</v>
      </c>
      <c r="P558" s="7">
        <f t="shared" ref="P558:Z573" si="2964">O558-$L558</f>
        <v>65644.453333333324</v>
      </c>
      <c r="Q558" s="7">
        <f t="shared" si="2964"/>
        <v>63300.013333333321</v>
      </c>
      <c r="R558" s="7">
        <f t="shared" si="2964"/>
        <v>60955.573333333319</v>
      </c>
      <c r="S558" s="7">
        <f t="shared" si="2964"/>
        <v>58611.133333333317</v>
      </c>
      <c r="T558" s="7">
        <f t="shared" si="2964"/>
        <v>56266.693333333315</v>
      </c>
      <c r="U558" s="7">
        <f t="shared" si="2964"/>
        <v>53922.253333333312</v>
      </c>
      <c r="V558" s="7">
        <f t="shared" si="2964"/>
        <v>51577.81333333331</v>
      </c>
      <c r="W558" s="7">
        <f t="shared" si="2964"/>
        <v>49233.373333333308</v>
      </c>
      <c r="X558" s="7">
        <f t="shared" si="2964"/>
        <v>46888.933333333305</v>
      </c>
      <c r="Y558" s="7">
        <f t="shared" si="2964"/>
        <v>44544.493333333303</v>
      </c>
      <c r="Z558" s="7">
        <f t="shared" si="2964"/>
        <v>42200.053333333301</v>
      </c>
      <c r="AA558" s="7"/>
      <c r="AB558" s="7"/>
      <c r="AC558" s="7">
        <f t="shared" si="2860"/>
        <v>28133.279999999995</v>
      </c>
      <c r="AD558" s="7">
        <f t="shared" si="2861"/>
        <v>39855.613333333298</v>
      </c>
      <c r="AE558" s="7">
        <f t="shared" ref="AE558:AO573" si="2965">AD558-$L558</f>
        <v>37511.173333333296</v>
      </c>
      <c r="AF558" s="7">
        <f t="shared" si="2965"/>
        <v>35166.733333333294</v>
      </c>
      <c r="AG558" s="7">
        <f t="shared" si="2965"/>
        <v>32822.293333333291</v>
      </c>
      <c r="AH558" s="7">
        <f t="shared" si="2965"/>
        <v>30477.853333333293</v>
      </c>
      <c r="AI558" s="7">
        <f t="shared" si="2965"/>
        <v>28133.413333333294</v>
      </c>
      <c r="AJ558" s="7">
        <f t="shared" si="2965"/>
        <v>25788.973333333295</v>
      </c>
      <c r="AK558" s="7">
        <f t="shared" si="2965"/>
        <v>23444.533333333296</v>
      </c>
      <c r="AL558" s="7">
        <f t="shared" si="2965"/>
        <v>21100.093333333298</v>
      </c>
      <c r="AM558" s="7">
        <f t="shared" si="2965"/>
        <v>18755.653333333299</v>
      </c>
      <c r="AN558" s="7">
        <f t="shared" si="2965"/>
        <v>16411.2133333333</v>
      </c>
      <c r="AO558" s="7">
        <f t="shared" si="2965"/>
        <v>14066.773333333302</v>
      </c>
      <c r="AP558" s="222"/>
      <c r="AQ558" s="7">
        <v>2344.4399999999996</v>
      </c>
      <c r="AR558" s="7">
        <f t="shared" si="2865"/>
        <v>2344.4399999999987</v>
      </c>
      <c r="AS558" s="7">
        <f t="shared" si="2866"/>
        <v>0</v>
      </c>
      <c r="AT558" s="7">
        <f>L558*6+0.13</f>
        <v>14066.769999999997</v>
      </c>
      <c r="AU558" s="7">
        <f>AO558-$L558</f>
        <v>11722.333333333303</v>
      </c>
      <c r="AV558" s="7">
        <f t="shared" ref="AV558:BB560" si="2966">AU558-$L558</f>
        <v>9377.8933333333043</v>
      </c>
      <c r="AW558" s="7">
        <f t="shared" si="2966"/>
        <v>7033.4533333333047</v>
      </c>
      <c r="AX558" s="7">
        <f t="shared" si="2966"/>
        <v>4689.0133333333051</v>
      </c>
      <c r="AY558" s="7">
        <f t="shared" si="2966"/>
        <v>2344.5733333333055</v>
      </c>
      <c r="AZ558" s="7">
        <f t="shared" si="2966"/>
        <v>0.13333333330592723</v>
      </c>
      <c r="BA558" s="7">
        <f>AZ558-0.13</f>
        <v>3.3333333059272219E-3</v>
      </c>
      <c r="BB558" s="7">
        <f t="shared" ref="BB558:BF559" si="2967">BA558-$L558*0</f>
        <v>3.3333333059272219E-3</v>
      </c>
      <c r="BC558" s="7">
        <f t="shared" si="2967"/>
        <v>3.3333333059272219E-3</v>
      </c>
      <c r="BD558" s="7">
        <f t="shared" si="2967"/>
        <v>3.3333333059272219E-3</v>
      </c>
      <c r="BE558" s="7">
        <f t="shared" si="2967"/>
        <v>3.3333333059272219E-3</v>
      </c>
      <c r="BF558" s="7">
        <f t="shared" si="2967"/>
        <v>3.3333333059272219E-3</v>
      </c>
      <c r="BG558" s="236">
        <f t="shared" si="2863"/>
        <v>0</v>
      </c>
      <c r="BH558" s="7">
        <v>2344.4399999999996</v>
      </c>
      <c r="BI558" s="39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236">
        <f t="shared" si="2951"/>
        <v>5.6410255946460669E-6</v>
      </c>
      <c r="BW558" s="7">
        <v>2344.4399999999996</v>
      </c>
      <c r="BX558" s="39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236">
        <f t="shared" si="2952"/>
        <v>0</v>
      </c>
      <c r="CL558" s="7">
        <v>2344.4399999999996</v>
      </c>
      <c r="CM558" s="39">
        <v>0</v>
      </c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236">
        <f t="shared" si="2953"/>
        <v>0</v>
      </c>
    </row>
    <row r="559" spans="1:104" x14ac:dyDescent="0.2">
      <c r="A559" s="6" t="str">
        <f>'[1]2021 УГРЦТ'!A563</f>
        <v>Персональный компьютер высокой производительности</v>
      </c>
      <c r="B559" t="str">
        <f>'[1]2021 УГРЦТ'!B563</f>
        <v>000001859</v>
      </c>
      <c r="C559" t="str">
        <f>'[1]2021 УГРЦТ'!C563</f>
        <v>ОБЩЕПРОИЗВОДСТВЕННЫЕ РАСХОДЫ</v>
      </c>
      <c r="D559" t="str">
        <f>'[1]2021 УГРЦТ'!D563</f>
        <v>Машины и оборудование (кроме офисного)</v>
      </c>
      <c r="E559" t="str">
        <f>'[1]2021 УГРЦТ'!E563</f>
        <v>31.08.2021</v>
      </c>
      <c r="F559" t="str">
        <f>'[1]2021 УГРЦТ'!F563</f>
        <v>общепроизводственные расходы</v>
      </c>
      <c r="G559">
        <f>'[1]2021 УГРЦТ'!AC563</f>
        <v>36</v>
      </c>
      <c r="H559" s="7">
        <f>'[1]2021 УГРЦТ'!X563</f>
        <v>84400</v>
      </c>
      <c r="I559" s="7">
        <f>'[1]2021 УГРЦТ'!Y563</f>
        <v>9377.7777777777774</v>
      </c>
      <c r="J559" s="7">
        <f>'[1]2021 УГРЦТ'!Z563</f>
        <v>75022.222222222219</v>
      </c>
      <c r="K559" s="8">
        <v>0</v>
      </c>
      <c r="L559" s="7">
        <v>2344.4399999999996</v>
      </c>
      <c r="M559" s="7"/>
      <c r="N559" s="7">
        <f t="shared" si="2963"/>
        <v>28133.279999999995</v>
      </c>
      <c r="O559" s="7">
        <f t="shared" si="2859"/>
        <v>72677.782222222217</v>
      </c>
      <c r="P559" s="7">
        <f t="shared" si="2964"/>
        <v>70333.342222222214</v>
      </c>
      <c r="Q559" s="7">
        <f t="shared" si="2964"/>
        <v>67988.902222222212</v>
      </c>
      <c r="R559" s="7">
        <f t="shared" si="2964"/>
        <v>65644.46222222221</v>
      </c>
      <c r="S559" s="7">
        <f t="shared" si="2964"/>
        <v>63300.022222222207</v>
      </c>
      <c r="T559" s="7">
        <f t="shared" si="2964"/>
        <v>60955.582222222205</v>
      </c>
      <c r="U559" s="7">
        <f t="shared" si="2964"/>
        <v>58611.142222222203</v>
      </c>
      <c r="V559" s="7">
        <f t="shared" si="2964"/>
        <v>56266.7022222222</v>
      </c>
      <c r="W559" s="7">
        <f t="shared" si="2964"/>
        <v>53922.262222222198</v>
      </c>
      <c r="X559" s="7">
        <f t="shared" si="2964"/>
        <v>51577.822222222196</v>
      </c>
      <c r="Y559" s="7">
        <f t="shared" si="2964"/>
        <v>49233.382222222193</v>
      </c>
      <c r="Z559" s="7">
        <f t="shared" si="2964"/>
        <v>46888.942222222191</v>
      </c>
      <c r="AA559" s="7"/>
      <c r="AB559" s="7"/>
      <c r="AC559" s="7">
        <f t="shared" si="2860"/>
        <v>28133.279999999995</v>
      </c>
      <c r="AD559" s="7">
        <f t="shared" si="2861"/>
        <v>44544.502222222189</v>
      </c>
      <c r="AE559" s="7">
        <f t="shared" si="2965"/>
        <v>42200.062222222186</v>
      </c>
      <c r="AF559" s="7">
        <f t="shared" si="2965"/>
        <v>39855.622222222184</v>
      </c>
      <c r="AG559" s="7">
        <f t="shared" si="2965"/>
        <v>37511.182222222182</v>
      </c>
      <c r="AH559" s="7">
        <f t="shared" si="2965"/>
        <v>35166.742222222179</v>
      </c>
      <c r="AI559" s="7">
        <f t="shared" si="2965"/>
        <v>32822.302222222177</v>
      </c>
      <c r="AJ559" s="7">
        <f t="shared" si="2965"/>
        <v>30477.862222222178</v>
      </c>
      <c r="AK559" s="7">
        <f t="shared" si="2965"/>
        <v>28133.42222222218</v>
      </c>
      <c r="AL559" s="7">
        <f t="shared" si="2965"/>
        <v>25788.982222222181</v>
      </c>
      <c r="AM559" s="7">
        <f t="shared" si="2965"/>
        <v>23444.542222222182</v>
      </c>
      <c r="AN559" s="7">
        <f t="shared" si="2965"/>
        <v>21100.102222222184</v>
      </c>
      <c r="AO559" s="7">
        <f t="shared" si="2965"/>
        <v>18755.662222222185</v>
      </c>
      <c r="AP559" s="222"/>
      <c r="AQ559" s="7">
        <v>2344.4399999999996</v>
      </c>
      <c r="AR559" s="7">
        <f t="shared" si="2865"/>
        <v>2344.4399999999987</v>
      </c>
      <c r="AS559" s="7">
        <f t="shared" si="2866"/>
        <v>0</v>
      </c>
      <c r="AT559" s="7">
        <f>L559*8+0.14</f>
        <v>18755.659999999996</v>
      </c>
      <c r="AU559" s="7">
        <f>AO559-$L559</f>
        <v>16411.222222222186</v>
      </c>
      <c r="AV559" s="7">
        <f t="shared" si="2966"/>
        <v>14066.782222222188</v>
      </c>
      <c r="AW559" s="7">
        <f t="shared" si="2966"/>
        <v>11722.342222222189</v>
      </c>
      <c r="AX559" s="7">
        <f t="shared" si="2966"/>
        <v>9377.9022222221902</v>
      </c>
      <c r="AY559" s="7">
        <f t="shared" si="2966"/>
        <v>7033.4622222221906</v>
      </c>
      <c r="AZ559" s="7">
        <f t="shared" si="2966"/>
        <v>4689.022222222191</v>
      </c>
      <c r="BA559" s="7">
        <f t="shared" si="2966"/>
        <v>2344.5822222221914</v>
      </c>
      <c r="BB559" s="7">
        <f t="shared" si="2966"/>
        <v>0.14222222219177638</v>
      </c>
      <c r="BC559" s="7">
        <f>BB559-0.14</f>
        <v>2.2222221917763685E-3</v>
      </c>
      <c r="BD559" s="7">
        <f t="shared" si="2967"/>
        <v>2.2222221917763685E-3</v>
      </c>
      <c r="BE559" s="7">
        <f t="shared" si="2967"/>
        <v>2.2222221917763685E-3</v>
      </c>
      <c r="BF559" s="7">
        <f t="shared" si="2967"/>
        <v>2.2222221917763685E-3</v>
      </c>
      <c r="BG559" s="236">
        <f t="shared" si="2863"/>
        <v>0</v>
      </c>
      <c r="BH559" s="7">
        <v>2344.4399999999996</v>
      </c>
      <c r="BI559" s="39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236">
        <f t="shared" si="2951"/>
        <v>3.7606837091600083E-6</v>
      </c>
      <c r="BW559" s="7">
        <v>2344.4399999999996</v>
      </c>
      <c r="BX559" s="39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236">
        <f t="shared" si="2952"/>
        <v>0</v>
      </c>
      <c r="CL559" s="7">
        <v>2344.4399999999996</v>
      </c>
      <c r="CM559" s="39">
        <v>0</v>
      </c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236">
        <f t="shared" si="2953"/>
        <v>0</v>
      </c>
    </row>
    <row r="560" spans="1:104" ht="22.5" x14ac:dyDescent="0.2">
      <c r="A560" s="6" t="str">
        <f>'[1]2021 УГРЦТ'!A564</f>
        <v>Персональный компьютер высокой производительности c 2-мя мониторами</v>
      </c>
      <c r="B560" t="str">
        <f>'[1]2021 УГРЦТ'!B564</f>
        <v>000001850</v>
      </c>
      <c r="C560" t="str">
        <f>'[1]2021 УГРЦТ'!C564</f>
        <v>ОБЩЕПРОИЗВОДСТВЕННЫЕ РАСХОДЫ</v>
      </c>
      <c r="D560" t="str">
        <f>'[1]2021 УГРЦТ'!D564</f>
        <v>Машины и оборудование (кроме офисного)</v>
      </c>
      <c r="E560" t="str">
        <f>'[1]2021 УГРЦТ'!E564</f>
        <v>26.05.2021</v>
      </c>
      <c r="F560" t="str">
        <f>'[1]2021 УГРЦТ'!F564</f>
        <v>общепроизводственные расходы</v>
      </c>
      <c r="G560">
        <f>'[1]2021 УГРЦТ'!AC564</f>
        <v>36</v>
      </c>
      <c r="H560" s="7">
        <f>'[1]2021 УГРЦТ'!X564</f>
        <v>99990</v>
      </c>
      <c r="I560" s="7">
        <f>'[1]2021 УГРЦТ'!Y564</f>
        <v>19442.5</v>
      </c>
      <c r="J560" s="7">
        <f>'[1]2021 УГРЦТ'!Z564</f>
        <v>80547.5</v>
      </c>
      <c r="K560" s="8">
        <v>0</v>
      </c>
      <c r="L560" s="7">
        <v>2777.5</v>
      </c>
      <c r="M560" s="7"/>
      <c r="N560" s="7">
        <f t="shared" si="2963"/>
        <v>33330</v>
      </c>
      <c r="O560" s="7">
        <f t="shared" si="2859"/>
        <v>77770</v>
      </c>
      <c r="P560" s="7">
        <f t="shared" si="2964"/>
        <v>74992.5</v>
      </c>
      <c r="Q560" s="7">
        <f t="shared" si="2964"/>
        <v>72215</v>
      </c>
      <c r="R560" s="7">
        <f t="shared" si="2964"/>
        <v>69437.5</v>
      </c>
      <c r="S560" s="7">
        <f t="shared" si="2964"/>
        <v>66660</v>
      </c>
      <c r="T560" s="7">
        <f t="shared" si="2964"/>
        <v>63882.5</v>
      </c>
      <c r="U560" s="7">
        <f t="shared" si="2964"/>
        <v>61105</v>
      </c>
      <c r="V560" s="7">
        <f t="shared" si="2964"/>
        <v>58327.5</v>
      </c>
      <c r="W560" s="7">
        <f t="shared" si="2964"/>
        <v>55550</v>
      </c>
      <c r="X560" s="7">
        <f t="shared" si="2964"/>
        <v>52772.5</v>
      </c>
      <c r="Y560" s="7">
        <f t="shared" si="2964"/>
        <v>49995</v>
      </c>
      <c r="Z560" s="7">
        <f t="shared" si="2964"/>
        <v>47217.5</v>
      </c>
      <c r="AA560" s="7"/>
      <c r="AB560" s="7"/>
      <c r="AC560" s="7">
        <f t="shared" si="2860"/>
        <v>33330</v>
      </c>
      <c r="AD560" s="7">
        <f t="shared" si="2861"/>
        <v>44440</v>
      </c>
      <c r="AE560" s="7">
        <f t="shared" si="2965"/>
        <v>41662.5</v>
      </c>
      <c r="AF560" s="7">
        <f t="shared" si="2965"/>
        <v>38885</v>
      </c>
      <c r="AG560" s="7">
        <f t="shared" si="2965"/>
        <v>36107.5</v>
      </c>
      <c r="AH560" s="7">
        <f t="shared" si="2965"/>
        <v>33330</v>
      </c>
      <c r="AI560" s="7">
        <f t="shared" si="2965"/>
        <v>30552.5</v>
      </c>
      <c r="AJ560" s="7">
        <f t="shared" si="2965"/>
        <v>27775</v>
      </c>
      <c r="AK560" s="7">
        <f t="shared" si="2965"/>
        <v>24997.5</v>
      </c>
      <c r="AL560" s="7">
        <f t="shared" si="2965"/>
        <v>22220</v>
      </c>
      <c r="AM560" s="7">
        <f t="shared" si="2965"/>
        <v>19442.5</v>
      </c>
      <c r="AN560" s="7">
        <f t="shared" si="2965"/>
        <v>16665</v>
      </c>
      <c r="AO560" s="7">
        <f t="shared" si="2965"/>
        <v>13887.5</v>
      </c>
      <c r="AP560" s="222"/>
      <c r="AQ560" s="7">
        <v>2777.5</v>
      </c>
      <c r="AR560" s="7">
        <f t="shared" si="2865"/>
        <v>2777.5</v>
      </c>
      <c r="AS560" s="7">
        <f t="shared" si="2866"/>
        <v>0</v>
      </c>
      <c r="AT560" s="7">
        <f>L560*5</f>
        <v>13887.5</v>
      </c>
      <c r="AU560" s="7">
        <f>AO560-$L560</f>
        <v>11110</v>
      </c>
      <c r="AV560" s="7">
        <f t="shared" si="2966"/>
        <v>8332.5</v>
      </c>
      <c r="AW560" s="7">
        <f t="shared" si="2966"/>
        <v>5555</v>
      </c>
      <c r="AX560" s="7">
        <f t="shared" si="2966"/>
        <v>2777.5</v>
      </c>
      <c r="AY560" s="7"/>
      <c r="AZ560" s="7"/>
      <c r="BA560" s="7"/>
      <c r="BB560" s="7"/>
      <c r="BC560" s="7"/>
      <c r="BD560" s="7"/>
      <c r="BE560" s="7"/>
      <c r="BF560" s="7"/>
      <c r="BG560" s="236">
        <f t="shared" si="2863"/>
        <v>0</v>
      </c>
      <c r="BH560" s="7">
        <v>2777.5</v>
      </c>
      <c r="BI560" s="39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236">
        <f t="shared" si="2951"/>
        <v>0</v>
      </c>
      <c r="BW560" s="7">
        <v>2777.5</v>
      </c>
      <c r="BX560" s="39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236">
        <f t="shared" si="2952"/>
        <v>0</v>
      </c>
      <c r="CL560" s="7">
        <v>2777.5</v>
      </c>
      <c r="CM560" s="39">
        <v>0</v>
      </c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236">
        <f t="shared" si="2953"/>
        <v>0</v>
      </c>
    </row>
    <row r="561" spans="1:104" x14ac:dyDescent="0.2">
      <c r="A561" s="6" t="str">
        <f>'[1]2021 УГРЦТ'!A565</f>
        <v>Перфоратор Makita HR5202C</v>
      </c>
      <c r="B561" t="str">
        <f>'[1]2021 УГРЦТ'!B565</f>
        <v>000001807</v>
      </c>
      <c r="C561" t="str">
        <f>'[1]2021 УГРЦТ'!C565</f>
        <v>ОБЩЕПРОИЗВОДСТВЕННЫЕ РАСХОДЫ</v>
      </c>
      <c r="D561" t="str">
        <f>'[1]2021 УГРЦТ'!D565</f>
        <v>Машины и оборудование (кроме офисного)</v>
      </c>
      <c r="E561" t="str">
        <f>'[1]2021 УГРЦТ'!E565</f>
        <v>16.04.2020</v>
      </c>
      <c r="F561" t="str">
        <f>'[1]2021 УГРЦТ'!F565</f>
        <v>общепроизводственные расходы</v>
      </c>
      <c r="G561">
        <f>'[1]2021 УГРЦТ'!AC565</f>
        <v>24</v>
      </c>
      <c r="H561" s="7">
        <v>0</v>
      </c>
      <c r="I561" s="7">
        <f>'[1]2021 УГРЦТ'!Y565</f>
        <v>34519.964583333327</v>
      </c>
      <c r="J561" s="7">
        <v>0</v>
      </c>
      <c r="K561" s="8">
        <v>0</v>
      </c>
      <c r="L561" s="13"/>
      <c r="M561" s="13"/>
      <c r="N561" s="7">
        <v>0</v>
      </c>
      <c r="O561" s="7">
        <f t="shared" si="2859"/>
        <v>0</v>
      </c>
      <c r="P561" s="7">
        <f t="shared" si="2964"/>
        <v>0</v>
      </c>
      <c r="Q561" s="7">
        <f t="shared" si="2964"/>
        <v>0</v>
      </c>
      <c r="R561" s="7">
        <f t="shared" si="2964"/>
        <v>0</v>
      </c>
      <c r="S561" s="7">
        <f t="shared" si="2964"/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222"/>
      <c r="AQ561" s="7">
        <v>0</v>
      </c>
      <c r="AR561" s="7">
        <f t="shared" si="2865"/>
        <v>0</v>
      </c>
      <c r="AS561" s="7">
        <f t="shared" si="2866"/>
        <v>0</v>
      </c>
      <c r="BG561" s="236">
        <f t="shared" si="2863"/>
        <v>0</v>
      </c>
      <c r="BH561" s="7">
        <v>0</v>
      </c>
      <c r="BI561" s="39"/>
      <c r="BV561" s="236">
        <v>0</v>
      </c>
      <c r="BW561" s="7">
        <v>0</v>
      </c>
      <c r="BX561" s="39"/>
      <c r="CK561" s="236">
        <v>0</v>
      </c>
      <c r="CL561" s="7">
        <v>0</v>
      </c>
      <c r="CM561" s="39"/>
      <c r="CZ561" s="236">
        <f t="shared" si="2953"/>
        <v>0</v>
      </c>
    </row>
    <row r="562" spans="1:104" s="26" customFormat="1" x14ac:dyDescent="0.2">
      <c r="A562" s="104" t="str">
        <f>'[1]2021 УГРЦТ'!A566</f>
        <v>Пристройка архива к существующему зданию</v>
      </c>
      <c r="B562" s="26" t="str">
        <f>'[1]2021 УГРЦТ'!B566</f>
        <v>00001048</v>
      </c>
      <c r="C562" s="26" t="str">
        <f>'[1]2021 УГРЦТ'!C566</f>
        <v>ОБЩЕПРОИЗВОДСТВЕННЫЕ РАСХОДЫ</v>
      </c>
      <c r="D562" s="26" t="str">
        <f>'[1]2021 УГРЦТ'!D566</f>
        <v>Здания</v>
      </c>
      <c r="E562" s="26" t="str">
        <f>'[1]2021 УГРЦТ'!E566</f>
        <v>31.10.2007</v>
      </c>
      <c r="F562" s="26" t="str">
        <f>'[1]2021 УГРЦТ'!F566</f>
        <v>Общехозяйственные расходы</v>
      </c>
      <c r="G562" s="26">
        <f>'[1]2021 УГРЦТ'!AC566</f>
        <v>300</v>
      </c>
      <c r="H562" s="39">
        <f>'[1]2021 УГРЦТ'!X566</f>
        <v>1011733.62</v>
      </c>
      <c r="I562" s="39">
        <f>'[1]2021 УГРЦТ'!Y566</f>
        <v>409999.94</v>
      </c>
      <c r="J562" s="39">
        <f>'[1]2021 УГРЦТ'!Z566</f>
        <v>601733.67999999993</v>
      </c>
      <c r="K562" s="40">
        <v>1</v>
      </c>
      <c r="L562" s="39">
        <v>4628.7206433016418</v>
      </c>
      <c r="M562" s="39"/>
      <c r="N562" s="39">
        <f t="shared" si="2963"/>
        <v>55544.647719619701</v>
      </c>
      <c r="O562" s="7">
        <f t="shared" si="2859"/>
        <v>597104.95935669832</v>
      </c>
      <c r="P562" s="7">
        <f t="shared" si="2964"/>
        <v>592476.23871339671</v>
      </c>
      <c r="Q562" s="7">
        <f t="shared" si="2964"/>
        <v>587847.5180700951</v>
      </c>
      <c r="R562" s="7">
        <f t="shared" si="2964"/>
        <v>583218.79742679349</v>
      </c>
      <c r="S562" s="7">
        <f t="shared" si="2964"/>
        <v>578590.07678349188</v>
      </c>
      <c r="T562" s="7">
        <f t="shared" si="2964"/>
        <v>573961.35614019027</v>
      </c>
      <c r="U562" s="7">
        <f t="shared" si="2964"/>
        <v>569332.63549688866</v>
      </c>
      <c r="V562" s="7">
        <f t="shared" si="2964"/>
        <v>564703.91485358705</v>
      </c>
      <c r="W562" s="7">
        <f t="shared" si="2964"/>
        <v>560075.19421028544</v>
      </c>
      <c r="X562" s="7">
        <f t="shared" si="2964"/>
        <v>555446.47356698383</v>
      </c>
      <c r="Y562" s="7">
        <f t="shared" si="2964"/>
        <v>550817.75292368222</v>
      </c>
      <c r="Z562" s="39">
        <f t="shared" si="2964"/>
        <v>546189.0322803806</v>
      </c>
      <c r="AA562" s="39">
        <f>SUM(O562:Z562,J562)/13*$AA$1</f>
        <v>12627.149835084185</v>
      </c>
      <c r="AB562" s="39"/>
      <c r="AC562" s="7">
        <f>IF(AB562&gt;0,AB562*12,L562*12)</f>
        <v>55544.647719619701</v>
      </c>
      <c r="AD562" s="7">
        <f t="shared" si="2861"/>
        <v>541560.31163707899</v>
      </c>
      <c r="AE562" s="7">
        <f t="shared" si="2965"/>
        <v>536931.59099377738</v>
      </c>
      <c r="AF562" s="7">
        <f t="shared" si="2965"/>
        <v>532302.87035047577</v>
      </c>
      <c r="AG562" s="7">
        <f t="shared" si="2965"/>
        <v>527674.14970717416</v>
      </c>
      <c r="AH562" s="7">
        <f t="shared" si="2965"/>
        <v>523045.42906387249</v>
      </c>
      <c r="AI562" s="7">
        <f t="shared" si="2965"/>
        <v>518416.70842057082</v>
      </c>
      <c r="AJ562" s="7">
        <f t="shared" si="2965"/>
        <v>513787.98777726915</v>
      </c>
      <c r="AK562" s="7">
        <f t="shared" si="2965"/>
        <v>509159.26713396749</v>
      </c>
      <c r="AL562" s="7">
        <f t="shared" si="2965"/>
        <v>504530.54649066582</v>
      </c>
      <c r="AM562" s="7">
        <f t="shared" si="2965"/>
        <v>499901.82584736415</v>
      </c>
      <c r="AN562" s="7">
        <f t="shared" si="2965"/>
        <v>495273.10520406248</v>
      </c>
      <c r="AO562" s="39">
        <f>AN562-$L562</f>
        <v>490644.38456076081</v>
      </c>
      <c r="AP562" s="222">
        <f>IF(K562&lt;1,0,SUM(AD562:AO562,Z562)/13*$BG$1)</f>
        <v>11405.167585252557</v>
      </c>
      <c r="AQ562" s="39">
        <v>4628.7206433016418</v>
      </c>
      <c r="AR562" s="7">
        <f t="shared" si="2865"/>
        <v>4628.720643301669</v>
      </c>
      <c r="AS562" s="7">
        <f t="shared" si="2866"/>
        <v>2.7284841053187847E-11</v>
      </c>
      <c r="AT562" s="39">
        <f>AQ562*12</f>
        <v>55544.647719619701</v>
      </c>
      <c r="AU562" s="7">
        <f>AO562-$L562</f>
        <v>486015.66391745914</v>
      </c>
      <c r="AV562" s="7">
        <f t="shared" ref="AV562:BF570" si="2968">AU562-$L562</f>
        <v>481386.94327415747</v>
      </c>
      <c r="AW562" s="7">
        <f t="shared" si="2968"/>
        <v>476758.2226308558</v>
      </c>
      <c r="AX562" s="7">
        <f t="shared" si="2968"/>
        <v>472129.50198755413</v>
      </c>
      <c r="AY562" s="7">
        <f t="shared" si="2968"/>
        <v>467500.78134425246</v>
      </c>
      <c r="AZ562" s="7">
        <f t="shared" si="2968"/>
        <v>462872.06070095079</v>
      </c>
      <c r="BA562" s="7">
        <f t="shared" si="2968"/>
        <v>458243.34005764913</v>
      </c>
      <c r="BB562" s="7">
        <f t="shared" si="2968"/>
        <v>453614.61941434746</v>
      </c>
      <c r="BC562" s="7">
        <f>BB562-$L562</f>
        <v>448985.89877104579</v>
      </c>
      <c r="BD562" s="7">
        <f t="shared" si="2968"/>
        <v>444357.17812774412</v>
      </c>
      <c r="BE562" s="7">
        <f>BD562-$L562</f>
        <v>439728.45748444245</v>
      </c>
      <c r="BF562" s="39">
        <f t="shared" si="2968"/>
        <v>435099.73684114078</v>
      </c>
      <c r="BG562" s="236">
        <f t="shared" si="2863"/>
        <v>10183.185335420916</v>
      </c>
      <c r="BH562" s="39">
        <v>4628.7206433016418</v>
      </c>
      <c r="BI562" s="39">
        <f>BH562*12</f>
        <v>55544.647719619701</v>
      </c>
      <c r="BJ562" s="7">
        <f>BF562-BH562</f>
        <v>430471.01619783911</v>
      </c>
      <c r="BK562" s="7">
        <f t="shared" ref="BK562:BK563" si="2969">BJ562-$L562</f>
        <v>425842.29555453744</v>
      </c>
      <c r="BL562" s="7">
        <f t="shared" ref="BL562:BL563" si="2970">BK562-$L562</f>
        <v>421213.57491123577</v>
      </c>
      <c r="BM562" s="7">
        <f t="shared" ref="BM562:BM563" si="2971">BL562-$L562</f>
        <v>416584.8542679341</v>
      </c>
      <c r="BN562" s="7">
        <f t="shared" ref="BN562:BN563" si="2972">BM562-$L562</f>
        <v>411956.13362463244</v>
      </c>
      <c r="BO562" s="7">
        <f t="shared" ref="BO562:BO563" si="2973">BN562-$L562</f>
        <v>407327.41298133077</v>
      </c>
      <c r="BP562" s="7">
        <f t="shared" ref="BP562:BP563" si="2974">BO562-$L562</f>
        <v>402698.6923380291</v>
      </c>
      <c r="BQ562" s="7">
        <f t="shared" ref="BQ562:BQ563" si="2975">BP562-$L562</f>
        <v>398069.97169472743</v>
      </c>
      <c r="BR562" s="7">
        <f>BQ562-$L562</f>
        <v>393441.25105142576</v>
      </c>
      <c r="BS562" s="7">
        <f t="shared" ref="BS562:BS563" si="2976">BR562-$L562</f>
        <v>388812.53040812409</v>
      </c>
      <c r="BT562" s="7">
        <f>BS562-$L562</f>
        <v>384183.80976482242</v>
      </c>
      <c r="BU562" s="39">
        <f t="shared" ref="BU562:BU563" si="2977">BT562-$L562</f>
        <v>379555.08912152075</v>
      </c>
      <c r="BV562" s="236">
        <f>IF(Z562&lt;1,0,SUM(BJ562:BU562,BF562)/13*$BG$1)</f>
        <v>8961.2030855892772</v>
      </c>
      <c r="BW562" s="39">
        <v>4628.7206433016418</v>
      </c>
      <c r="BX562" s="39">
        <f>BW562*12</f>
        <v>55544.647719619701</v>
      </c>
      <c r="BY562" s="7">
        <f>BU562-BW562</f>
        <v>374926.36847821908</v>
      </c>
      <c r="BZ562" s="7">
        <f t="shared" ref="BZ562:BZ563" si="2978">BY562-$L562</f>
        <v>370297.64783491741</v>
      </c>
      <c r="CA562" s="7">
        <f t="shared" ref="CA562:CA563" si="2979">BZ562-$L562</f>
        <v>365668.92719161574</v>
      </c>
      <c r="CB562" s="7">
        <f t="shared" ref="CB562:CB563" si="2980">CA562-$L562</f>
        <v>361040.20654831408</v>
      </c>
      <c r="CC562" s="7">
        <f t="shared" ref="CC562:CC563" si="2981">CB562-$L562</f>
        <v>356411.48590501241</v>
      </c>
      <c r="CD562" s="7">
        <f t="shared" ref="CD562:CD563" si="2982">CC562-$L562</f>
        <v>351782.76526171074</v>
      </c>
      <c r="CE562" s="7">
        <f t="shared" ref="CE562:CE563" si="2983">CD562-$L562</f>
        <v>347154.04461840907</v>
      </c>
      <c r="CF562" s="7">
        <f t="shared" ref="CF562:CF563" si="2984">CE562-$L562</f>
        <v>342525.3239751074</v>
      </c>
      <c r="CG562" s="7">
        <f>CF562-$L562</f>
        <v>337896.60333180573</v>
      </c>
      <c r="CH562" s="7">
        <f t="shared" ref="CH562:CH563" si="2985">CG562-$L562</f>
        <v>333267.88268850406</v>
      </c>
      <c r="CI562" s="7">
        <f>CH562-$L562</f>
        <v>328639.16204520239</v>
      </c>
      <c r="CJ562" s="39">
        <f t="shared" ref="CJ562:CJ563" si="2986">CI562-$L562</f>
        <v>324010.44140190072</v>
      </c>
      <c r="CK562" s="236">
        <f>IF(AO562&lt;1,0,SUM(BY562:CJ562,BU562)/13*$BG$1)</f>
        <v>7739.2208357576346</v>
      </c>
      <c r="CL562" s="39">
        <v>4628.7206433016418</v>
      </c>
      <c r="CM562" s="39">
        <f>CL562*12</f>
        <v>55544.647719619701</v>
      </c>
      <c r="CN562" s="7">
        <f>CJ562-CL562</f>
        <v>319381.72075859905</v>
      </c>
      <c r="CO562" s="7">
        <f t="shared" ref="CO562:CO563" si="2987">CN562-$L562</f>
        <v>314753.00011529739</v>
      </c>
      <c r="CP562" s="7">
        <f t="shared" ref="CP562:CP563" si="2988">CO562-$L562</f>
        <v>310124.27947199572</v>
      </c>
      <c r="CQ562" s="7">
        <f t="shared" ref="CQ562:CQ563" si="2989">CP562-$L562</f>
        <v>305495.55882869405</v>
      </c>
      <c r="CR562" s="7">
        <f t="shared" ref="CR562:CR563" si="2990">CQ562-$L562</f>
        <v>300866.83818539238</v>
      </c>
      <c r="CS562" s="7">
        <f t="shared" ref="CS562:CS563" si="2991">CR562-$L562</f>
        <v>296238.11754209071</v>
      </c>
      <c r="CT562" s="7">
        <f t="shared" ref="CT562:CT563" si="2992">CS562-$L562</f>
        <v>291609.39689878904</v>
      </c>
      <c r="CU562" s="7">
        <f t="shared" ref="CU562:CU563" si="2993">CT562-$L562</f>
        <v>286980.67625548737</v>
      </c>
      <c r="CV562" s="7">
        <f>CU562-$L562</f>
        <v>282351.9556121857</v>
      </c>
      <c r="CW562" s="7">
        <f t="shared" ref="CW562:CW563" si="2994">CV562-$L562</f>
        <v>277723.23496888403</v>
      </c>
      <c r="CX562" s="7">
        <f>CW562-$L562</f>
        <v>273094.51432558236</v>
      </c>
      <c r="CY562" s="39">
        <f t="shared" ref="CY562:CY563" si="2995">CX562-$L562</f>
        <v>268465.7936822807</v>
      </c>
      <c r="CZ562" s="236">
        <f t="shared" si="2953"/>
        <v>6517.2385859259948</v>
      </c>
    </row>
    <row r="563" spans="1:104" s="26" customFormat="1" ht="22.5" x14ac:dyDescent="0.2">
      <c r="A563" s="104" t="str">
        <f>'[1]2021 УГРЦТ'!A567</f>
        <v>Противотаранное устройство при въезде на территорию предприятия</v>
      </c>
      <c r="B563" s="26" t="str">
        <f>'[1]2021 УГРЦТ'!B567</f>
        <v>000001860</v>
      </c>
      <c r="C563" s="26" t="str">
        <f>'[1]2021 УГРЦТ'!C567</f>
        <v>ОБЩЕПРОИЗВОДСТВЕННЫЕ РАСХОДЫ</v>
      </c>
      <c r="D563" s="26" t="str">
        <f>'[1]2021 УГРЦТ'!D567</f>
        <v>Машины и оборудование (кроме офисного)</v>
      </c>
      <c r="E563" s="26" t="str">
        <f>'[1]2021 УГРЦТ'!E567</f>
        <v>13.09.2021</v>
      </c>
      <c r="F563" s="26" t="s">
        <v>25</v>
      </c>
      <c r="G563" s="26">
        <f>'[1]2021 УГРЦТ'!AC567</f>
        <v>120</v>
      </c>
      <c r="H563" s="39">
        <f>'[1]2021 УГРЦТ'!X567</f>
        <v>2359797.04</v>
      </c>
      <c r="I563" s="39">
        <f>'[1]2021 УГРЦТ'!Y567</f>
        <v>19664.975333333332</v>
      </c>
      <c r="J563" s="39">
        <f>'[1]2021 УГРЦТ'!Z567</f>
        <v>2300802.1140000001</v>
      </c>
      <c r="K563" s="40">
        <v>0</v>
      </c>
      <c r="L563" s="39">
        <v>19664.98</v>
      </c>
      <c r="M563" s="39"/>
      <c r="N563" s="39">
        <f t="shared" si="2963"/>
        <v>235979.76</v>
      </c>
      <c r="O563" s="39">
        <f t="shared" si="2859"/>
        <v>2281137.1340000001</v>
      </c>
      <c r="P563" s="39">
        <f t="shared" si="2964"/>
        <v>2261472.1540000001</v>
      </c>
      <c r="Q563" s="39">
        <f t="shared" si="2964"/>
        <v>2241807.1740000001</v>
      </c>
      <c r="R563" s="39">
        <f t="shared" si="2964"/>
        <v>2222142.1940000001</v>
      </c>
      <c r="S563" s="39">
        <f t="shared" si="2964"/>
        <v>2202477.2140000002</v>
      </c>
      <c r="T563" s="39">
        <f t="shared" si="2964"/>
        <v>2182812.2340000002</v>
      </c>
      <c r="U563" s="39">
        <f t="shared" si="2964"/>
        <v>2163147.2540000002</v>
      </c>
      <c r="V563" s="39">
        <f t="shared" si="2964"/>
        <v>2143482.2740000002</v>
      </c>
      <c r="W563" s="39">
        <f t="shared" si="2964"/>
        <v>2123817.2940000002</v>
      </c>
      <c r="X563" s="39">
        <f t="shared" si="2964"/>
        <v>2104152.3140000002</v>
      </c>
      <c r="Y563" s="39">
        <f t="shared" si="2964"/>
        <v>2084487.3340000003</v>
      </c>
      <c r="Z563" s="39">
        <f t="shared" si="2964"/>
        <v>2064822.3540000003</v>
      </c>
      <c r="AA563" s="39"/>
      <c r="AB563" s="39"/>
      <c r="AC563" s="39">
        <f t="shared" si="2860"/>
        <v>235979.76</v>
      </c>
      <c r="AD563" s="39">
        <f t="shared" si="2861"/>
        <v>2045157.3740000003</v>
      </c>
      <c r="AE563" s="39">
        <f t="shared" si="2965"/>
        <v>2025492.3940000003</v>
      </c>
      <c r="AF563" s="39">
        <f t="shared" si="2965"/>
        <v>2005827.4140000003</v>
      </c>
      <c r="AG563" s="39">
        <f t="shared" si="2965"/>
        <v>1986162.4340000004</v>
      </c>
      <c r="AH563" s="39">
        <f t="shared" si="2965"/>
        <v>1966497.4540000004</v>
      </c>
      <c r="AI563" s="39">
        <f t="shared" si="2965"/>
        <v>1946832.4740000004</v>
      </c>
      <c r="AJ563" s="39">
        <f t="shared" si="2965"/>
        <v>1927167.4940000004</v>
      </c>
      <c r="AK563" s="39">
        <f t="shared" si="2965"/>
        <v>1907502.5140000004</v>
      </c>
      <c r="AL563" s="39">
        <f t="shared" si="2965"/>
        <v>1887837.5340000005</v>
      </c>
      <c r="AM563" s="39">
        <f t="shared" si="2965"/>
        <v>1868172.5540000005</v>
      </c>
      <c r="AN563" s="39">
        <f t="shared" si="2965"/>
        <v>1848507.5740000005</v>
      </c>
      <c r="AO563" s="39">
        <f t="shared" si="2965"/>
        <v>1828842.5940000005</v>
      </c>
      <c r="AP563" s="236"/>
      <c r="AQ563" s="39">
        <v>19664.98</v>
      </c>
      <c r="AR563" s="7">
        <f t="shared" si="2865"/>
        <v>19664.979999999981</v>
      </c>
      <c r="AS563" s="7">
        <f t="shared" si="2866"/>
        <v>0</v>
      </c>
      <c r="AT563" s="39">
        <f t="shared" ref="AT563" si="2996">AQ563*12</f>
        <v>235979.76</v>
      </c>
      <c r="AU563" s="39">
        <f>AO563-$L563</f>
        <v>1809177.6140000005</v>
      </c>
      <c r="AV563" s="39">
        <f t="shared" si="2968"/>
        <v>1789512.6340000005</v>
      </c>
      <c r="AW563" s="39">
        <f t="shared" si="2968"/>
        <v>1769847.6540000006</v>
      </c>
      <c r="AX563" s="39">
        <f t="shared" si="2968"/>
        <v>1750182.6740000006</v>
      </c>
      <c r="AY563" s="39">
        <f t="shared" si="2968"/>
        <v>1730517.6940000006</v>
      </c>
      <c r="AZ563" s="39">
        <f t="shared" si="2968"/>
        <v>1710852.7140000006</v>
      </c>
      <c r="BA563" s="39">
        <f t="shared" si="2968"/>
        <v>1691187.7340000006</v>
      </c>
      <c r="BB563" s="39">
        <f t="shared" si="2968"/>
        <v>1671522.7540000007</v>
      </c>
      <c r="BC563" s="39">
        <f t="shared" si="2968"/>
        <v>1651857.7740000007</v>
      </c>
      <c r="BD563" s="39">
        <f t="shared" si="2968"/>
        <v>1632192.7940000007</v>
      </c>
      <c r="BE563" s="39">
        <f t="shared" si="2968"/>
        <v>1612527.8140000007</v>
      </c>
      <c r="BF563" s="39">
        <f t="shared" si="2968"/>
        <v>1592862.8340000007</v>
      </c>
      <c r="BG563" s="236">
        <f t="shared" si="2863"/>
        <v>0</v>
      </c>
      <c r="BH563" s="39">
        <v>19664.98</v>
      </c>
      <c r="BI563" s="39">
        <f>BH563*12</f>
        <v>235979.76</v>
      </c>
      <c r="BJ563" s="7">
        <f>BF563-BH563</f>
        <v>1573197.8540000007</v>
      </c>
      <c r="BK563" s="39">
        <f t="shared" si="2969"/>
        <v>1553532.8740000008</v>
      </c>
      <c r="BL563" s="39">
        <f t="shared" si="2970"/>
        <v>1533867.8940000008</v>
      </c>
      <c r="BM563" s="39">
        <f t="shared" si="2971"/>
        <v>1514202.9140000008</v>
      </c>
      <c r="BN563" s="39">
        <f t="shared" si="2972"/>
        <v>1494537.9340000008</v>
      </c>
      <c r="BO563" s="39">
        <f t="shared" si="2973"/>
        <v>1474872.9540000008</v>
      </c>
      <c r="BP563" s="39">
        <f t="shared" si="2974"/>
        <v>1455207.9740000009</v>
      </c>
      <c r="BQ563" s="39">
        <f t="shared" si="2975"/>
        <v>1435542.9940000009</v>
      </c>
      <c r="BR563" s="39">
        <f t="shared" ref="BR563" si="2997">BQ563-$L563</f>
        <v>1415878.0140000009</v>
      </c>
      <c r="BS563" s="39">
        <f t="shared" si="2976"/>
        <v>1396213.0340000009</v>
      </c>
      <c r="BT563" s="39">
        <f t="shared" ref="BT563" si="2998">BS563-$L563</f>
        <v>1376548.0540000009</v>
      </c>
      <c r="BU563" s="39">
        <f t="shared" si="2977"/>
        <v>1356883.074000001</v>
      </c>
      <c r="BV563" s="236">
        <v>0</v>
      </c>
      <c r="BW563" s="39">
        <v>19664.98</v>
      </c>
      <c r="BX563" s="39">
        <f>BW563*12</f>
        <v>235979.76</v>
      </c>
      <c r="BY563" s="7">
        <f>BU563-BW563</f>
        <v>1337218.094000001</v>
      </c>
      <c r="BZ563" s="39">
        <f t="shared" si="2978"/>
        <v>1317553.114000001</v>
      </c>
      <c r="CA563" s="39">
        <f t="shared" si="2979"/>
        <v>1297888.134000001</v>
      </c>
      <c r="CB563" s="39">
        <f t="shared" si="2980"/>
        <v>1278223.154000001</v>
      </c>
      <c r="CC563" s="39">
        <f t="shared" si="2981"/>
        <v>1258558.174000001</v>
      </c>
      <c r="CD563" s="39">
        <f t="shared" si="2982"/>
        <v>1238893.1940000011</v>
      </c>
      <c r="CE563" s="39">
        <f t="shared" si="2983"/>
        <v>1219228.2140000011</v>
      </c>
      <c r="CF563" s="39">
        <f t="shared" si="2984"/>
        <v>1199563.2340000011</v>
      </c>
      <c r="CG563" s="39">
        <f t="shared" ref="CG563" si="2999">CF563-$L563</f>
        <v>1179898.2540000011</v>
      </c>
      <c r="CH563" s="39">
        <f t="shared" si="2985"/>
        <v>1160233.2740000011</v>
      </c>
      <c r="CI563" s="39">
        <f t="shared" ref="CI563" si="3000">CH563-$L563</f>
        <v>1140568.2940000012</v>
      </c>
      <c r="CJ563" s="39">
        <f t="shared" si="2986"/>
        <v>1120903.3140000012</v>
      </c>
      <c r="CK563" s="236">
        <v>0</v>
      </c>
      <c r="CL563" s="39">
        <v>19664.98</v>
      </c>
      <c r="CM563" s="39">
        <f>CL563*12</f>
        <v>235979.76</v>
      </c>
      <c r="CN563" s="7">
        <f>CJ563-CL563</f>
        <v>1101238.3340000012</v>
      </c>
      <c r="CO563" s="39">
        <f t="shared" si="2987"/>
        <v>1081573.3540000012</v>
      </c>
      <c r="CP563" s="39">
        <f t="shared" si="2988"/>
        <v>1061908.3740000012</v>
      </c>
      <c r="CQ563" s="39">
        <f t="shared" si="2989"/>
        <v>1042243.3940000013</v>
      </c>
      <c r="CR563" s="39">
        <f t="shared" si="2990"/>
        <v>1022578.4140000013</v>
      </c>
      <c r="CS563" s="39">
        <f t="shared" si="2991"/>
        <v>1002913.4340000013</v>
      </c>
      <c r="CT563" s="39">
        <f t="shared" si="2992"/>
        <v>983248.45400000131</v>
      </c>
      <c r="CU563" s="39">
        <f t="shared" si="2993"/>
        <v>963583.47400000133</v>
      </c>
      <c r="CV563" s="39">
        <f t="shared" ref="CV563" si="3001">CU563-$L563</f>
        <v>943918.49400000134</v>
      </c>
      <c r="CW563" s="39">
        <f t="shared" si="2994"/>
        <v>924253.51400000136</v>
      </c>
      <c r="CX563" s="39">
        <f t="shared" ref="CX563" si="3002">CW563-$L563</f>
        <v>904588.53400000138</v>
      </c>
      <c r="CY563" s="39">
        <f t="shared" si="2995"/>
        <v>884923.5540000014</v>
      </c>
      <c r="CZ563" s="236">
        <v>0</v>
      </c>
    </row>
    <row r="564" spans="1:104" x14ac:dyDescent="0.2">
      <c r="A564" s="6" t="str">
        <f>'[1]2021 УГРЦТ'!A568</f>
        <v>Сетевой сервер DEPO Storm 3300K</v>
      </c>
      <c r="B564" t="str">
        <f>'[1]2021 УГРЦТ'!B568</f>
        <v>00001161</v>
      </c>
      <c r="C564" t="str">
        <f>'[1]2021 УГРЦТ'!C568</f>
        <v>ОБЩЕПРОИЗВОДСТВЕННЫЕ РАСХОДЫ</v>
      </c>
      <c r="D564" t="str">
        <f>'[1]2021 УГРЦТ'!D568</f>
        <v>Машины и оборудование (кроме офисного)</v>
      </c>
      <c r="E564" t="str">
        <f>'[1]2021 УГРЦТ'!E568</f>
        <v>30.06.2010</v>
      </c>
      <c r="F564" t="str">
        <f>'[1]2021 УГРЦТ'!F568</f>
        <v>общепроизводственные расходы</v>
      </c>
      <c r="G564">
        <v>36</v>
      </c>
      <c r="H564" s="7">
        <f>Лист1!E9+Лист1!J9+Лист1!O9+Лист1!T9</f>
        <v>285424.40000000002</v>
      </c>
      <c r="I564" s="7">
        <f>H564-J564</f>
        <v>233878.06666666668</v>
      </c>
      <c r="J564" s="7">
        <f>Лист1!E11</f>
        <v>51546.333333333336</v>
      </c>
      <c r="K564" s="8">
        <v>0</v>
      </c>
      <c r="L564" s="39">
        <v>873.66666666666663</v>
      </c>
      <c r="M564" s="11"/>
      <c r="N564" s="7">
        <f>L564*1</f>
        <v>873.66666666666663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>
        <f>Лист1!O9</f>
        <v>52420</v>
      </c>
      <c r="Z564" s="7">
        <f>Y564-$L564</f>
        <v>51546.333333333336</v>
      </c>
      <c r="AA564" s="7"/>
      <c r="AB564" s="7">
        <f>N564</f>
        <v>873.66666666666663</v>
      </c>
      <c r="AC564" s="7">
        <f>AB564*12</f>
        <v>10484</v>
      </c>
      <c r="AD564" s="7">
        <f>Z564-$AB564</f>
        <v>50672.666666666672</v>
      </c>
      <c r="AE564" s="7">
        <f>AD564-$AB564</f>
        <v>49799.000000000007</v>
      </c>
      <c r="AF564" s="7">
        <f>AE564-$AB564</f>
        <v>48925.333333333343</v>
      </c>
      <c r="AG564" s="7">
        <f t="shared" ref="AG564:AN564" si="3003">AF564-$AB564</f>
        <v>48051.666666666679</v>
      </c>
      <c r="AH564" s="7">
        <f t="shared" si="3003"/>
        <v>47178.000000000015</v>
      </c>
      <c r="AI564" s="7">
        <f t="shared" si="3003"/>
        <v>46304.33333333335</v>
      </c>
      <c r="AJ564" s="7">
        <f t="shared" si="3003"/>
        <v>45430.666666666686</v>
      </c>
      <c r="AK564" s="7">
        <f>AJ564-$AB564</f>
        <v>44557.000000000022</v>
      </c>
      <c r="AL564" s="7">
        <f t="shared" si="3003"/>
        <v>43683.333333333358</v>
      </c>
      <c r="AM564" s="7">
        <f>AL564-$AB564</f>
        <v>42809.666666666693</v>
      </c>
      <c r="AN564" s="7">
        <f t="shared" si="3003"/>
        <v>41936.000000000029</v>
      </c>
      <c r="AO564" s="7">
        <f>AN564-$AB564</f>
        <v>41062.333333333365</v>
      </c>
      <c r="AP564" s="222"/>
      <c r="AQ564" s="7">
        <v>2037.7142857142858</v>
      </c>
      <c r="AR564" s="7"/>
      <c r="AS564" s="7"/>
      <c r="AT564" s="7">
        <f>AQ564*12</f>
        <v>24452.571428571428</v>
      </c>
      <c r="AU564" s="7">
        <f>AO564-$AQ564</f>
        <v>39024.619047619082</v>
      </c>
      <c r="AV564" s="7">
        <f>AU564-$AQ564</f>
        <v>36986.9047619048</v>
      </c>
      <c r="AW564" s="7">
        <f>AV564-$AQ564</f>
        <v>34949.190476190517</v>
      </c>
      <c r="AX564" s="7">
        <f t="shared" ref="AX564:BC564" si="3004">AW564-$AQ564</f>
        <v>32911.476190476234</v>
      </c>
      <c r="AY564" s="7">
        <f t="shared" si="3004"/>
        <v>30873.761904761948</v>
      </c>
      <c r="AZ564" s="7">
        <f t="shared" si="3004"/>
        <v>28836.047619047662</v>
      </c>
      <c r="BA564" s="7">
        <f t="shared" si="3004"/>
        <v>26798.333333333376</v>
      </c>
      <c r="BB564" s="7">
        <f t="shared" si="3004"/>
        <v>24760.61904761909</v>
      </c>
      <c r="BC564" s="7">
        <f t="shared" si="3004"/>
        <v>22722.904761904803</v>
      </c>
      <c r="BD564" s="7">
        <f>BC564-$AQ564</f>
        <v>20685.190476190517</v>
      </c>
      <c r="BE564" s="7">
        <f>BD564-$AQ564</f>
        <v>18647.476190476231</v>
      </c>
      <c r="BF564" s="7">
        <f>BE564-$AQ564</f>
        <v>16609.761904761945</v>
      </c>
      <c r="BG564" s="236">
        <f t="shared" si="2863"/>
        <v>0</v>
      </c>
      <c r="BH564" s="7">
        <v>2037.7142857142858</v>
      </c>
      <c r="BI564" s="39">
        <v>16609.759999999998</v>
      </c>
      <c r="BJ564" s="7">
        <f>BF564-BH564</f>
        <v>14572.047619047658</v>
      </c>
      <c r="BK564" s="7">
        <f>BJ564-$AQ564</f>
        <v>12534.333333333372</v>
      </c>
      <c r="BL564" s="7">
        <f>BK564-$AQ564</f>
        <v>10496.619047619086</v>
      </c>
      <c r="BM564" s="7">
        <f t="shared" ref="BM564:BM565" si="3005">BL564-$AQ564</f>
        <v>8458.9047619047997</v>
      </c>
      <c r="BN564" s="7">
        <f t="shared" ref="BN564:BN565" si="3006">BM564-$AQ564</f>
        <v>6421.1904761905134</v>
      </c>
      <c r="BO564" s="7">
        <f t="shared" ref="BO564:BO565" si="3007">BN564-$AQ564</f>
        <v>4383.4761904762272</v>
      </c>
      <c r="BP564" s="7">
        <f t="shared" ref="BP564:BP565" si="3008">BO564-$AQ564</f>
        <v>2345.7619047619414</v>
      </c>
      <c r="BQ564" s="7">
        <f t="shared" ref="BQ564:BQ565" si="3009">BP564-$AQ564</f>
        <v>308.04761904765564</v>
      </c>
      <c r="BR564" s="7"/>
      <c r="BS564" s="7"/>
      <c r="BT564" s="7"/>
      <c r="BU564" s="7"/>
      <c r="BV564" s="236">
        <v>0</v>
      </c>
      <c r="BW564" s="7">
        <v>2037.7142857142858</v>
      </c>
      <c r="BX564" s="39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236">
        <v>0</v>
      </c>
      <c r="CL564" s="7">
        <v>2037.7142857142858</v>
      </c>
      <c r="CM564" s="39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236">
        <v>0</v>
      </c>
    </row>
    <row r="565" spans="1:104" ht="22.5" x14ac:dyDescent="0.2">
      <c r="A565" s="6" t="str">
        <f>'[1]2021 УГРЦТ'!A569</f>
        <v>Система контроля и управления доступом на 4 точки прохода (двери)</v>
      </c>
      <c r="B565" t="str">
        <f>'[1]2021 УГРЦТ'!B569</f>
        <v>000001716</v>
      </c>
      <c r="C565" t="str">
        <f>'[1]2021 УГРЦТ'!C569</f>
        <v>ОБЩЕПРОИЗВОДСТВЕННЫЕ РАСХОДЫ</v>
      </c>
      <c r="D565" t="str">
        <f>'[1]2021 УГРЦТ'!D569</f>
        <v>Машины и оборудование (кроме офисного)</v>
      </c>
      <c r="E565" t="str">
        <f>'[1]2021 УГРЦТ'!E569</f>
        <v>28.02.2018</v>
      </c>
      <c r="F565" t="str">
        <f>'[1]2021 УГРЦТ'!F569</f>
        <v>общепроизводственные расходы</v>
      </c>
      <c r="G565">
        <v>180</v>
      </c>
      <c r="H565" s="39">
        <f>'[1]2021 УГРЦТ'!X569</f>
        <v>98908</v>
      </c>
      <c r="I565" s="7">
        <f>'[1]2021 УГРЦТ'!Y569</f>
        <v>34467.836363636365</v>
      </c>
      <c r="J565" s="7">
        <f>'[1]2021 УГРЦТ'!Z569</f>
        <v>64440.163636363635</v>
      </c>
      <c r="K565" s="8">
        <v>0</v>
      </c>
      <c r="L565" s="39">
        <v>549.48888888888894</v>
      </c>
      <c r="M565" s="39">
        <f>Лист1!L14</f>
        <v>669.11047619047633</v>
      </c>
      <c r="N565" s="7">
        <f>L565*8+M565*4</f>
        <v>7072.3530158730173</v>
      </c>
      <c r="O565" s="7">
        <f>J565-$L565</f>
        <v>63890.674747474746</v>
      </c>
      <c r="P565" s="7">
        <f t="shared" si="2964"/>
        <v>63341.185858585857</v>
      </c>
      <c r="Q565" s="7">
        <f t="shared" si="2964"/>
        <v>62791.696969696968</v>
      </c>
      <c r="R565" s="7">
        <f t="shared" si="2964"/>
        <v>62242.208080808079</v>
      </c>
      <c r="S565" s="7">
        <f t="shared" si="2964"/>
        <v>61692.71919191919</v>
      </c>
      <c r="T565" s="7">
        <f t="shared" si="2964"/>
        <v>61143.230303030301</v>
      </c>
      <c r="U565" s="7">
        <f t="shared" si="2964"/>
        <v>60593.741414141412</v>
      </c>
      <c r="V565" s="7">
        <f>U565-$M565</f>
        <v>59924.630937950933</v>
      </c>
      <c r="W565" s="7">
        <f>V565-$M565</f>
        <v>59255.520461760454</v>
      </c>
      <c r="X565" s="7">
        <f t="shared" ref="X565:Z565" si="3010">W565-$M565</f>
        <v>58586.409985569975</v>
      </c>
      <c r="Y565" s="7">
        <f t="shared" si="3010"/>
        <v>57917.299509379496</v>
      </c>
      <c r="Z565" s="7">
        <f t="shared" si="3010"/>
        <v>57248.189033189017</v>
      </c>
      <c r="AA565" s="7"/>
      <c r="AB565" s="7"/>
      <c r="AC565" s="7">
        <f>M565*12</f>
        <v>8029.3257142857165</v>
      </c>
      <c r="AD565" s="7">
        <f>Z565-$M565</f>
        <v>56579.078556998538</v>
      </c>
      <c r="AE565" s="7">
        <f>AD565-$M565</f>
        <v>55909.968080808059</v>
      </c>
      <c r="AF565" s="7">
        <f>AE565-$M565</f>
        <v>55240.85760461758</v>
      </c>
      <c r="AG565" s="7">
        <f>AF565-$M565</f>
        <v>54571.747128427101</v>
      </c>
      <c r="AH565" s="7">
        <f t="shared" ref="AH565:AN565" si="3011">AG565-$M565</f>
        <v>53902.636652236622</v>
      </c>
      <c r="AI565" s="7">
        <f t="shared" si="3011"/>
        <v>53233.526176046144</v>
      </c>
      <c r="AJ565" s="7">
        <f t="shared" si="3011"/>
        <v>52564.415699855665</v>
      </c>
      <c r="AK565" s="7">
        <f t="shared" si="3011"/>
        <v>51895.305223665186</v>
      </c>
      <c r="AL565" s="7">
        <f t="shared" si="3011"/>
        <v>51226.194747474707</v>
      </c>
      <c r="AM565" s="7">
        <f t="shared" si="3011"/>
        <v>50557.084271284228</v>
      </c>
      <c r="AN565" s="7">
        <f t="shared" si="3011"/>
        <v>49887.973795093749</v>
      </c>
      <c r="AO565" s="7">
        <f>AN565-$M565</f>
        <v>49218.86331890327</v>
      </c>
      <c r="AP565" s="222"/>
      <c r="AQ565" s="7">
        <v>669.11047619047633</v>
      </c>
      <c r="AR565" s="7">
        <f t="shared" si="2865"/>
        <v>669.11047619047895</v>
      </c>
      <c r="AS565" s="7">
        <f t="shared" si="2866"/>
        <v>2.6147972675971687E-12</v>
      </c>
      <c r="AT565" s="7">
        <f>AQ565*12</f>
        <v>8029.3257142857165</v>
      </c>
      <c r="AU565" s="7">
        <f>AO565-$AQ565</f>
        <v>48549.752842712791</v>
      </c>
      <c r="AV565" s="7">
        <f>AU565-$AQ565</f>
        <v>47880.642366522312</v>
      </c>
      <c r="AW565" s="7">
        <f t="shared" ref="AW565:BF565" si="3012">AV565-$AQ565</f>
        <v>47211.531890331833</v>
      </c>
      <c r="AX565" s="7">
        <f t="shared" si="3012"/>
        <v>46542.421414141354</v>
      </c>
      <c r="AY565" s="7">
        <f t="shared" si="3012"/>
        <v>45873.310937950875</v>
      </c>
      <c r="AZ565" s="7">
        <f t="shared" si="3012"/>
        <v>45204.200461760396</v>
      </c>
      <c r="BA565" s="7">
        <f t="shared" si="3012"/>
        <v>44535.089985569917</v>
      </c>
      <c r="BB565" s="7">
        <f t="shared" si="3012"/>
        <v>43865.979509379438</v>
      </c>
      <c r="BC565" s="7">
        <f>BB565-$AQ565</f>
        <v>43196.869033188959</v>
      </c>
      <c r="BD565" s="7">
        <f t="shared" si="3012"/>
        <v>42527.75855699848</v>
      </c>
      <c r="BE565" s="7">
        <f t="shared" si="3012"/>
        <v>41858.648080808001</v>
      </c>
      <c r="BF565" s="7">
        <f t="shared" si="3012"/>
        <v>41189.537604617522</v>
      </c>
      <c r="BG565" s="236">
        <f t="shared" si="2863"/>
        <v>0</v>
      </c>
      <c r="BH565" s="7">
        <v>669.11047619047633</v>
      </c>
      <c r="BI565" s="39">
        <f>BH565*12</f>
        <v>8029.3257142857165</v>
      </c>
      <c r="BJ565" s="7">
        <f>BF565-BH565</f>
        <v>40520.427128427043</v>
      </c>
      <c r="BK565" s="7">
        <f>BJ565-$AQ565</f>
        <v>39851.316652236565</v>
      </c>
      <c r="BL565" s="7">
        <f t="shared" ref="BL565" si="3013">BK565-$AQ565</f>
        <v>39182.206176046086</v>
      </c>
      <c r="BM565" s="7">
        <f t="shared" si="3005"/>
        <v>38513.095699855607</v>
      </c>
      <c r="BN565" s="7">
        <f t="shared" si="3006"/>
        <v>37843.985223665128</v>
      </c>
      <c r="BO565" s="7">
        <f t="shared" si="3007"/>
        <v>37174.874747474649</v>
      </c>
      <c r="BP565" s="7">
        <f t="shared" si="3008"/>
        <v>36505.76427128417</v>
      </c>
      <c r="BQ565" s="7">
        <f t="shared" si="3009"/>
        <v>35836.653795093691</v>
      </c>
      <c r="BR565" s="7">
        <f>BQ565-$AQ565</f>
        <v>35167.543318903212</v>
      </c>
      <c r="BS565" s="7">
        <f t="shared" ref="BS565" si="3014">BR565-$AQ565</f>
        <v>34498.432842712733</v>
      </c>
      <c r="BT565" s="7">
        <f t="shared" ref="BT565" si="3015">BS565-$AQ565</f>
        <v>33829.322366522254</v>
      </c>
      <c r="BU565" s="7">
        <f t="shared" ref="BU565" si="3016">BT565-$AQ565</f>
        <v>33160.211890331775</v>
      </c>
      <c r="BV565" s="236">
        <v>0</v>
      </c>
      <c r="BW565" s="7">
        <v>669.11047619047633</v>
      </c>
      <c r="BX565" s="39">
        <f>BW565*12</f>
        <v>8029.3257142857165</v>
      </c>
      <c r="BY565" s="7">
        <f>BU565-BW565</f>
        <v>32491.1014141413</v>
      </c>
      <c r="BZ565" s="7">
        <f>BY565-$AQ565</f>
        <v>31821.990937950824</v>
      </c>
      <c r="CA565" s="7">
        <f t="shared" ref="CA565" si="3017">BZ565-$AQ565</f>
        <v>31152.880461760349</v>
      </c>
      <c r="CB565" s="7">
        <f t="shared" ref="CB565" si="3018">CA565-$AQ565</f>
        <v>30483.769985569874</v>
      </c>
      <c r="CC565" s="7">
        <f t="shared" ref="CC565" si="3019">CB565-$AQ565</f>
        <v>29814.659509379399</v>
      </c>
      <c r="CD565" s="7">
        <f t="shared" ref="CD565" si="3020">CC565-$AQ565</f>
        <v>29145.549033188923</v>
      </c>
      <c r="CE565" s="7">
        <f t="shared" ref="CE565" si="3021">CD565-$AQ565</f>
        <v>28476.438556998448</v>
      </c>
      <c r="CF565" s="7">
        <f t="shared" ref="CF565" si="3022">CE565-$AQ565</f>
        <v>27807.328080807973</v>
      </c>
      <c r="CG565" s="7">
        <f>CF565-$AQ565</f>
        <v>27138.217604617497</v>
      </c>
      <c r="CH565" s="7">
        <f t="shared" ref="CH565" si="3023">CG565-$AQ565</f>
        <v>26469.107128427022</v>
      </c>
      <c r="CI565" s="7">
        <f t="shared" ref="CI565" si="3024">CH565-$AQ565</f>
        <v>25799.996652236547</v>
      </c>
      <c r="CJ565" s="7">
        <f t="shared" ref="CJ565" si="3025">CI565-$AQ565</f>
        <v>25130.886176046071</v>
      </c>
      <c r="CK565" s="236">
        <v>0</v>
      </c>
      <c r="CL565" s="7">
        <v>669.11047619047633</v>
      </c>
      <c r="CM565" s="39">
        <f>CL565*12</f>
        <v>8029.3257142857165</v>
      </c>
      <c r="CN565" s="7">
        <f>CJ565-CL565</f>
        <v>24461.775699855596</v>
      </c>
      <c r="CO565" s="7">
        <f>CN565-$AQ565</f>
        <v>23792.665223665121</v>
      </c>
      <c r="CP565" s="7">
        <f t="shared" ref="CP565" si="3026">CO565-$AQ565</f>
        <v>23123.554747474645</v>
      </c>
      <c r="CQ565" s="7">
        <f t="shared" ref="CQ565" si="3027">CP565-$AQ565</f>
        <v>22454.44427128417</v>
      </c>
      <c r="CR565" s="7">
        <f t="shared" ref="CR565" si="3028">CQ565-$AQ565</f>
        <v>21785.333795093695</v>
      </c>
      <c r="CS565" s="7">
        <f t="shared" ref="CS565" si="3029">CR565-$AQ565</f>
        <v>21116.223318903219</v>
      </c>
      <c r="CT565" s="7">
        <f t="shared" ref="CT565" si="3030">CS565-$AQ565</f>
        <v>20447.112842712744</v>
      </c>
      <c r="CU565" s="7">
        <f t="shared" ref="CU565" si="3031">CT565-$AQ565</f>
        <v>19778.002366522269</v>
      </c>
      <c r="CV565" s="7">
        <f>CU565-$AQ565</f>
        <v>19108.891890331794</v>
      </c>
      <c r="CW565" s="7">
        <f t="shared" ref="CW565" si="3032">CV565-$AQ565</f>
        <v>18439.781414141318</v>
      </c>
      <c r="CX565" s="7">
        <f t="shared" ref="CX565" si="3033">CW565-$AQ565</f>
        <v>17770.670937950843</v>
      </c>
      <c r="CY565" s="7">
        <f t="shared" ref="CY565" si="3034">CX565-$AQ565</f>
        <v>17101.560461760368</v>
      </c>
      <c r="CZ565" s="236">
        <v>0</v>
      </c>
    </row>
    <row r="566" spans="1:104" x14ac:dyDescent="0.2">
      <c r="A566" s="6" t="str">
        <f>'[1]2021 УГРЦТ'!A570</f>
        <v>Система охраны периметра и охранного телевидения</v>
      </c>
      <c r="B566" t="str">
        <f>'[1]2021 УГРЦТ'!B570</f>
        <v>000001712</v>
      </c>
      <c r="C566" t="str">
        <f>'[1]2021 УГРЦТ'!C570</f>
        <v>ОБЩЕПРОИЗВОДСТВЕННЫЕ РАСХОДЫ</v>
      </c>
      <c r="D566" t="str">
        <f>'[1]2021 УГРЦТ'!D570</f>
        <v>Машины и оборудование (кроме офисного)</v>
      </c>
      <c r="E566" t="str">
        <f>'[1]2021 УГРЦТ'!E570</f>
        <v>21.08.2017</v>
      </c>
      <c r="F566" t="str">
        <f>'[1]2021 УГРЦТ'!F570</f>
        <v>общепроизводственные расходы</v>
      </c>
      <c r="G566">
        <f>'[1]2021 УГРЦТ'!AC570</f>
        <v>84</v>
      </c>
      <c r="H566" s="7">
        <f>'[1]2021 УГРЦТ'!X570</f>
        <v>4836509.93</v>
      </c>
      <c r="I566" s="7">
        <f>'[1]2021 УГРЦТ'!Y570</f>
        <v>2994029.9899999998</v>
      </c>
      <c r="J566" s="7">
        <f>'[1]2021 УГРЦТ'!Z570</f>
        <v>1842479.94</v>
      </c>
      <c r="K566" s="8">
        <v>0</v>
      </c>
      <c r="L566" s="7">
        <v>57577.5</v>
      </c>
      <c r="M566" s="7"/>
      <c r="N566" s="7">
        <f t="shared" ref="N566:N583" si="3035">L566*12</f>
        <v>690930</v>
      </c>
      <c r="O566" s="7">
        <f t="shared" si="2859"/>
        <v>1784902.44</v>
      </c>
      <c r="P566" s="7">
        <f t="shared" si="2964"/>
        <v>1727324.94</v>
      </c>
      <c r="Q566" s="7">
        <f t="shared" si="2964"/>
        <v>1669747.44</v>
      </c>
      <c r="R566" s="7">
        <f t="shared" si="2964"/>
        <v>1612169.94</v>
      </c>
      <c r="S566" s="7">
        <f t="shared" si="2964"/>
        <v>1554592.44</v>
      </c>
      <c r="T566" s="7">
        <f t="shared" si="2964"/>
        <v>1497014.94</v>
      </c>
      <c r="U566" s="7">
        <f t="shared" si="2964"/>
        <v>1439437.44</v>
      </c>
      <c r="V566" s="7">
        <f t="shared" si="2964"/>
        <v>1381859.94</v>
      </c>
      <c r="W566" s="7">
        <f t="shared" si="2964"/>
        <v>1324282.44</v>
      </c>
      <c r="X566" s="7">
        <f t="shared" si="2964"/>
        <v>1266704.94</v>
      </c>
      <c r="Y566" s="7">
        <f t="shared" si="2964"/>
        <v>1209127.44</v>
      </c>
      <c r="Z566" s="7">
        <f t="shared" si="2964"/>
        <v>1151549.94</v>
      </c>
      <c r="AA566" s="7"/>
      <c r="AB566" s="7"/>
      <c r="AC566" s="7">
        <f t="shared" si="2860"/>
        <v>690930</v>
      </c>
      <c r="AD566" s="7">
        <f t="shared" si="2861"/>
        <v>1093972.44</v>
      </c>
      <c r="AE566" s="7">
        <f t="shared" si="2965"/>
        <v>1036394.94</v>
      </c>
      <c r="AF566" s="7">
        <f t="shared" si="2965"/>
        <v>978817.44</v>
      </c>
      <c r="AG566" s="7">
        <f t="shared" si="2965"/>
        <v>921239.94</v>
      </c>
      <c r="AH566" s="7">
        <f t="shared" si="2965"/>
        <v>863662.44</v>
      </c>
      <c r="AI566" s="7">
        <f t="shared" si="2965"/>
        <v>806084.94</v>
      </c>
      <c r="AJ566" s="7">
        <f t="shared" si="2965"/>
        <v>748507.44</v>
      </c>
      <c r="AK566" s="7">
        <f t="shared" si="2965"/>
        <v>690929.94</v>
      </c>
      <c r="AL566" s="7">
        <f t="shared" si="2965"/>
        <v>633352.43999999994</v>
      </c>
      <c r="AM566" s="7">
        <f t="shared" si="2965"/>
        <v>575774.93999999994</v>
      </c>
      <c r="AN566" s="7">
        <f t="shared" si="2965"/>
        <v>518197.43999999994</v>
      </c>
      <c r="AO566" s="7">
        <f t="shared" si="2965"/>
        <v>460619.93999999994</v>
      </c>
      <c r="AP566" s="222"/>
      <c r="AQ566" s="7">
        <v>57577.5</v>
      </c>
      <c r="AR566" s="7">
        <f t="shared" si="2865"/>
        <v>57577.5</v>
      </c>
      <c r="AS566" s="7">
        <f t="shared" si="2866"/>
        <v>0</v>
      </c>
      <c r="AT566" s="7">
        <f>L566*8-0.06</f>
        <v>460619.94</v>
      </c>
      <c r="AU566" s="7">
        <f>AO566-$L566</f>
        <v>403042.43999999994</v>
      </c>
      <c r="AV566" s="7">
        <f t="shared" si="2968"/>
        <v>345464.93999999994</v>
      </c>
      <c r="AW566" s="7">
        <f t="shared" si="2968"/>
        <v>287887.43999999994</v>
      </c>
      <c r="AX566" s="7">
        <f t="shared" si="2968"/>
        <v>230309.93999999994</v>
      </c>
      <c r="AY566" s="7">
        <f t="shared" si="2968"/>
        <v>172732.43999999994</v>
      </c>
      <c r="AZ566" s="7">
        <f t="shared" si="2968"/>
        <v>115154.93999999994</v>
      </c>
      <c r="BA566" s="7">
        <f t="shared" si="2968"/>
        <v>57577.439999999944</v>
      </c>
      <c r="BB566" s="7">
        <f>BA566-$L566+0.06</f>
        <v>-5.587935669737476E-11</v>
      </c>
      <c r="BC566" s="7">
        <f t="shared" ref="BC566:BF566" si="3036">BB566-$L566*0</f>
        <v>-5.587935669737476E-11</v>
      </c>
      <c r="BD566" s="7">
        <f t="shared" si="3036"/>
        <v>-5.587935669737476E-11</v>
      </c>
      <c r="BE566" s="7">
        <f t="shared" si="3036"/>
        <v>-5.587935669737476E-11</v>
      </c>
      <c r="BF566" s="7">
        <f t="shared" si="3036"/>
        <v>-5.587935669737476E-11</v>
      </c>
      <c r="BG566" s="236">
        <f t="shared" si="2863"/>
        <v>0</v>
      </c>
      <c r="BH566" s="7">
        <v>57577.5</v>
      </c>
      <c r="BI566" s="39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236">
        <f>IF(Z566&lt;1,0,SUM(BJ566:BU566,BF566)/13*$BG$1)</f>
        <v>-9.4565065180172656E-14</v>
      </c>
      <c r="BW566" s="7">
        <v>57577.5</v>
      </c>
      <c r="BX566" s="39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236">
        <f>IF(AO566&lt;1,0,SUM(BY566:CJ566,BU566)/13*$BG$1)</f>
        <v>0</v>
      </c>
      <c r="CL566" s="7">
        <v>57577.5</v>
      </c>
      <c r="CM566" s="39">
        <v>0</v>
      </c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236">
        <f>IF(BF566&lt;1,0,SUM(CN566:CY566,CJ566)/13*$BG$1)</f>
        <v>0</v>
      </c>
    </row>
    <row r="567" spans="1:104" x14ac:dyDescent="0.2">
      <c r="A567" s="6" t="str">
        <f>'[1]2021 УГРЦТ'!A571</f>
        <v>Спутниковое геодезическое оборудование</v>
      </c>
      <c r="B567" t="str">
        <f>'[1]2021 УГРЦТ'!B571</f>
        <v>000001718</v>
      </c>
      <c r="C567" t="str">
        <f>'[1]2021 УГРЦТ'!C571</f>
        <v>ОБЩЕПРОИЗВОДСТВЕННЫЕ РАСХОДЫ</v>
      </c>
      <c r="D567" t="str">
        <f>'[1]2021 УГРЦТ'!D571</f>
        <v>Машины и оборудование (кроме офисного)</v>
      </c>
      <c r="E567" t="str">
        <f>'[1]2021 УГРЦТ'!E571</f>
        <v>03.04.2018</v>
      </c>
      <c r="F567" t="str">
        <f>'[1]2021 УГРЦТ'!F571</f>
        <v>общепроизводственные расходы</v>
      </c>
      <c r="G567">
        <f>'[1]2021 УГРЦТ'!AC571</f>
        <v>120</v>
      </c>
      <c r="H567" s="7">
        <f>'[1]2021 УГРЦТ'!X571</f>
        <v>741762.97</v>
      </c>
      <c r="I567" s="7">
        <f>'[1]2021 УГРЦТ'!Y571</f>
        <v>271979.81699999998</v>
      </c>
      <c r="J567" s="7">
        <f>'[1]2021 УГРЦТ'!Z571</f>
        <v>469783.15299999999</v>
      </c>
      <c r="K567" s="8">
        <v>0</v>
      </c>
      <c r="L567" s="7">
        <v>6181.36</v>
      </c>
      <c r="M567" s="7"/>
      <c r="N567" s="7">
        <f t="shared" si="3035"/>
        <v>74176.319999999992</v>
      </c>
      <c r="O567" s="7">
        <f t="shared" si="2859"/>
        <v>463601.79300000001</v>
      </c>
      <c r="P567" s="7">
        <f t="shared" si="2964"/>
        <v>457420.43300000002</v>
      </c>
      <c r="Q567" s="7">
        <f t="shared" si="2964"/>
        <v>451239.07300000003</v>
      </c>
      <c r="R567" s="7">
        <f t="shared" si="2964"/>
        <v>445057.71300000005</v>
      </c>
      <c r="S567" s="7">
        <f t="shared" si="2964"/>
        <v>438876.35300000006</v>
      </c>
      <c r="T567" s="7">
        <f t="shared" si="2964"/>
        <v>432694.99300000007</v>
      </c>
      <c r="U567" s="7">
        <f t="shared" si="2964"/>
        <v>426513.63300000009</v>
      </c>
      <c r="V567" s="7">
        <f t="shared" si="2964"/>
        <v>420332.2730000001</v>
      </c>
      <c r="W567" s="7">
        <f t="shared" si="2964"/>
        <v>414150.91300000012</v>
      </c>
      <c r="X567" s="7">
        <f t="shared" si="2964"/>
        <v>407969.55300000013</v>
      </c>
      <c r="Y567" s="7">
        <f t="shared" si="2964"/>
        <v>401788.19300000014</v>
      </c>
      <c r="Z567" s="7">
        <f t="shared" si="2964"/>
        <v>395606.83300000016</v>
      </c>
      <c r="AA567" s="7"/>
      <c r="AB567" s="7"/>
      <c r="AC567" s="7">
        <f t="shared" si="2860"/>
        <v>74176.319999999992</v>
      </c>
      <c r="AD567" s="7">
        <f t="shared" si="2861"/>
        <v>389425.47300000017</v>
      </c>
      <c r="AE567" s="7">
        <f t="shared" si="2965"/>
        <v>383244.11300000019</v>
      </c>
      <c r="AF567" s="7">
        <f t="shared" si="2965"/>
        <v>377062.7530000002</v>
      </c>
      <c r="AG567" s="7">
        <f t="shared" si="2965"/>
        <v>370881.39300000021</v>
      </c>
      <c r="AH567" s="7">
        <f t="shared" si="2965"/>
        <v>364700.03300000023</v>
      </c>
      <c r="AI567" s="7">
        <f t="shared" si="2965"/>
        <v>358518.67300000024</v>
      </c>
      <c r="AJ567" s="7">
        <f t="shared" si="2965"/>
        <v>352337.31300000026</v>
      </c>
      <c r="AK567" s="7">
        <f t="shared" si="2965"/>
        <v>346155.95300000027</v>
      </c>
      <c r="AL567" s="7">
        <f t="shared" si="2965"/>
        <v>339974.59300000028</v>
      </c>
      <c r="AM567" s="7">
        <f t="shared" si="2965"/>
        <v>333793.2330000003</v>
      </c>
      <c r="AN567" s="7">
        <f t="shared" si="2965"/>
        <v>327611.87300000031</v>
      </c>
      <c r="AO567" s="7">
        <f t="shared" si="2965"/>
        <v>321430.51300000033</v>
      </c>
      <c r="AP567" s="222"/>
      <c r="AQ567" s="7">
        <v>6181.36</v>
      </c>
      <c r="AR567" s="7">
        <f t="shared" si="2865"/>
        <v>6181.359999999986</v>
      </c>
      <c r="AS567" s="7">
        <f t="shared" si="2866"/>
        <v>-1.3642420526593924E-11</v>
      </c>
      <c r="AT567" s="7">
        <f t="shared" ref="AT567:AT570" si="3037">AQ567*12</f>
        <v>74176.319999999992</v>
      </c>
      <c r="AU567" s="7">
        <f>AO567-$L567</f>
        <v>315249.15300000034</v>
      </c>
      <c r="AV567" s="7">
        <f t="shared" si="2968"/>
        <v>309067.79300000035</v>
      </c>
      <c r="AW567" s="7">
        <f t="shared" si="2968"/>
        <v>302886.43300000037</v>
      </c>
      <c r="AX567" s="7">
        <f t="shared" si="2968"/>
        <v>296705.07300000038</v>
      </c>
      <c r="AY567" s="7">
        <f t="shared" si="2968"/>
        <v>290523.7130000004</v>
      </c>
      <c r="AZ567" s="7">
        <f t="shared" si="2968"/>
        <v>284342.35300000041</v>
      </c>
      <c r="BA567" s="7">
        <f t="shared" si="2968"/>
        <v>278160.99300000042</v>
      </c>
      <c r="BB567" s="7">
        <f t="shared" si="2968"/>
        <v>271979.63300000044</v>
      </c>
      <c r="BC567" s="7">
        <f t="shared" si="2968"/>
        <v>265798.27300000045</v>
      </c>
      <c r="BD567" s="7">
        <f t="shared" si="2968"/>
        <v>259616.91300000047</v>
      </c>
      <c r="BE567" s="7">
        <f t="shared" si="2968"/>
        <v>253435.55300000048</v>
      </c>
      <c r="BF567" s="7">
        <f t="shared" si="2968"/>
        <v>247254.19300000049</v>
      </c>
      <c r="BG567" s="236">
        <v>0</v>
      </c>
      <c r="BH567" s="7">
        <v>6181.36</v>
      </c>
      <c r="BI567" s="39">
        <f>BH567*12</f>
        <v>74176.319999999992</v>
      </c>
      <c r="BJ567" s="7">
        <f>BF567-BH567</f>
        <v>241072.83300000051</v>
      </c>
      <c r="BK567" s="7">
        <f t="shared" ref="BK567:BK570" si="3038">BJ567-$L567</f>
        <v>234891.47300000052</v>
      </c>
      <c r="BL567" s="7">
        <f t="shared" ref="BL567:BL570" si="3039">BK567-$L567</f>
        <v>228710.11300000054</v>
      </c>
      <c r="BM567" s="7">
        <f t="shared" ref="BM567:BM570" si="3040">BL567-$L567</f>
        <v>222528.75300000055</v>
      </c>
      <c r="BN567" s="7">
        <f t="shared" ref="BN567:BN570" si="3041">BM567-$L567</f>
        <v>216347.39300000056</v>
      </c>
      <c r="BO567" s="7">
        <f t="shared" ref="BO567:BO570" si="3042">BN567-$L567</f>
        <v>210166.03300000058</v>
      </c>
      <c r="BP567" s="7">
        <f t="shared" ref="BP567:BP570" si="3043">BO567-$L567</f>
        <v>203984.67300000059</v>
      </c>
      <c r="BQ567" s="7">
        <f t="shared" ref="BQ567:BQ570" si="3044">BP567-$L567</f>
        <v>197803.31300000061</v>
      </c>
      <c r="BR567" s="7">
        <f t="shared" ref="BR567:BR570" si="3045">BQ567-$L567</f>
        <v>191621.95300000062</v>
      </c>
      <c r="BS567" s="7">
        <f t="shared" ref="BS567:BS570" si="3046">BR567-$L567</f>
        <v>185440.59300000063</v>
      </c>
      <c r="BT567" s="7">
        <f t="shared" ref="BT567:BT570" si="3047">BS567-$L567</f>
        <v>179259.23300000065</v>
      </c>
      <c r="BU567" s="7">
        <f t="shared" ref="BU567:BU570" si="3048">BT567-$L567</f>
        <v>173077.87300000066</v>
      </c>
      <c r="BV567" s="236">
        <v>0</v>
      </c>
      <c r="BW567" s="7">
        <v>6181.36</v>
      </c>
      <c r="BX567" s="39">
        <f>BW567*12</f>
        <v>74176.319999999992</v>
      </c>
      <c r="BY567" s="7">
        <f>BU567-BW567</f>
        <v>166896.51300000068</v>
      </c>
      <c r="BZ567" s="7">
        <f t="shared" ref="BZ567:BZ570" si="3049">BY567-$L567</f>
        <v>160715.15300000069</v>
      </c>
      <c r="CA567" s="7">
        <f t="shared" ref="CA567:CA570" si="3050">BZ567-$L567</f>
        <v>154533.7930000007</v>
      </c>
      <c r="CB567" s="7">
        <f t="shared" ref="CB567:CB570" si="3051">CA567-$L567</f>
        <v>148352.43300000072</v>
      </c>
      <c r="CC567" s="7">
        <f t="shared" ref="CC567:CC570" si="3052">CB567-$L567</f>
        <v>142171.07300000073</v>
      </c>
      <c r="CD567" s="7">
        <f t="shared" ref="CD567:CD570" si="3053">CC567-$L567</f>
        <v>135989.71300000075</v>
      </c>
      <c r="CE567" s="7">
        <f t="shared" ref="CE567:CE570" si="3054">CD567-$L567</f>
        <v>129808.35300000074</v>
      </c>
      <c r="CF567" s="7">
        <f t="shared" ref="CF567:CF570" si="3055">CE567-$L567</f>
        <v>123626.99300000074</v>
      </c>
      <c r="CG567" s="7">
        <f t="shared" ref="CG567:CG570" si="3056">CF567-$L567</f>
        <v>117445.63300000074</v>
      </c>
      <c r="CH567" s="7">
        <f t="shared" ref="CH567:CH570" si="3057">CG567-$L567</f>
        <v>111264.27300000074</v>
      </c>
      <c r="CI567" s="7">
        <f t="shared" ref="CI567:CI570" si="3058">CH567-$L567</f>
        <v>105082.91300000074</v>
      </c>
      <c r="CJ567" s="7">
        <f t="shared" ref="CJ567:CJ570" si="3059">CI567-$L567</f>
        <v>98901.553000000742</v>
      </c>
      <c r="CK567" s="236">
        <v>0</v>
      </c>
      <c r="CL567" s="7">
        <v>6181.36</v>
      </c>
      <c r="CM567" s="39">
        <f>CL567*12</f>
        <v>74176.319999999992</v>
      </c>
      <c r="CN567" s="7">
        <f>CJ567-CL567</f>
        <v>92720.193000000741</v>
      </c>
      <c r="CO567" s="7">
        <f t="shared" ref="CO567:CO570" si="3060">CN567-$L567</f>
        <v>86538.833000000741</v>
      </c>
      <c r="CP567" s="7">
        <f t="shared" ref="CP567:CP570" si="3061">CO567-$L567</f>
        <v>80357.47300000074</v>
      </c>
      <c r="CQ567" s="7">
        <f t="shared" ref="CQ567:CQ570" si="3062">CP567-$L567</f>
        <v>74176.11300000074</v>
      </c>
      <c r="CR567" s="7">
        <f t="shared" ref="CR567:CR570" si="3063">CQ567-$L567</f>
        <v>67994.753000000739</v>
      </c>
      <c r="CS567" s="7">
        <f t="shared" ref="CS567:CS570" si="3064">CR567-$L567</f>
        <v>61813.393000000739</v>
      </c>
      <c r="CT567" s="7">
        <f t="shared" ref="CT567:CT570" si="3065">CS567-$L567</f>
        <v>55632.033000000738</v>
      </c>
      <c r="CU567" s="7">
        <f t="shared" ref="CU567:CU570" si="3066">CT567-$L567</f>
        <v>49450.673000000737</v>
      </c>
      <c r="CV567" s="7">
        <f t="shared" ref="CV567:CV570" si="3067">CU567-$L567</f>
        <v>43269.313000000737</v>
      </c>
      <c r="CW567" s="7">
        <f t="shared" ref="CW567:CW570" si="3068">CV567-$L567</f>
        <v>37087.953000000736</v>
      </c>
      <c r="CX567" s="7">
        <f t="shared" ref="CX567:CX570" si="3069">CW567-$L567</f>
        <v>30906.593000000736</v>
      </c>
      <c r="CY567" s="7">
        <f t="shared" ref="CY567:CY570" si="3070">CX567-$L567</f>
        <v>24725.233000000735</v>
      </c>
      <c r="CZ567" s="236">
        <v>0</v>
      </c>
    </row>
    <row r="568" spans="1:104" x14ac:dyDescent="0.2">
      <c r="A568" s="6" t="str">
        <f>'[1]2021 УГРЦТ'!A572</f>
        <v>Стеллаж металлический 5 пролетов</v>
      </c>
      <c r="B568" t="str">
        <f>'[1]2021 УГРЦТ'!B572</f>
        <v>000001821</v>
      </c>
      <c r="C568" t="str">
        <f>'[1]2021 УГРЦТ'!C572</f>
        <v>ОБЩЕПРОИЗВОДСТВЕННЫЕ РАСХОДЫ</v>
      </c>
      <c r="D568" t="str">
        <f>'[1]2021 УГРЦТ'!D572</f>
        <v>Производственный и хозяйственный инвентарь</v>
      </c>
      <c r="E568" t="str">
        <f>'[1]2021 УГРЦТ'!E572</f>
        <v>31.08.2020</v>
      </c>
      <c r="F568" t="str">
        <f>'[1]2021 УГРЦТ'!F572</f>
        <v>общепроизводственные расходы</v>
      </c>
      <c r="G568">
        <f>'[1]2021 УГРЦТ'!AC572</f>
        <v>180</v>
      </c>
      <c r="H568" s="7">
        <f>'[1]2021 УГРЦТ'!X572</f>
        <v>115494.34</v>
      </c>
      <c r="I568" s="7">
        <f>'[1]2021 УГРЦТ'!Y572</f>
        <v>10266.182666666666</v>
      </c>
      <c r="J568" s="7">
        <f>'[1]2021 УГРЦТ'!Z572</f>
        <v>105228.15733333334</v>
      </c>
      <c r="K568" s="8">
        <v>0</v>
      </c>
      <c r="L568" s="7">
        <v>641.63166669999998</v>
      </c>
      <c r="M568" s="7"/>
      <c r="N568" s="7">
        <f t="shared" si="3035"/>
        <v>7699.5800003999993</v>
      </c>
      <c r="O568" s="7">
        <f t="shared" si="2859"/>
        <v>104586.52566663333</v>
      </c>
      <c r="P568" s="7">
        <f t="shared" si="2964"/>
        <v>103944.89399993332</v>
      </c>
      <c r="Q568" s="7">
        <f t="shared" si="2964"/>
        <v>103303.26233323332</v>
      </c>
      <c r="R568" s="7">
        <f t="shared" si="2964"/>
        <v>102661.63066653331</v>
      </c>
      <c r="S568" s="7">
        <f t="shared" si="2964"/>
        <v>102019.9989998333</v>
      </c>
      <c r="T568" s="7">
        <f t="shared" si="2964"/>
        <v>101378.3673331333</v>
      </c>
      <c r="U568" s="7">
        <f t="shared" si="2964"/>
        <v>100736.73566643329</v>
      </c>
      <c r="V568" s="7">
        <f t="shared" si="2964"/>
        <v>100095.10399973328</v>
      </c>
      <c r="W568" s="7">
        <f t="shared" si="2964"/>
        <v>99453.472333033278</v>
      </c>
      <c r="X568" s="7">
        <f t="shared" si="2964"/>
        <v>98811.840666333272</v>
      </c>
      <c r="Y568" s="7">
        <f t="shared" si="2964"/>
        <v>98170.208999633265</v>
      </c>
      <c r="Z568" s="7">
        <f t="shared" si="2964"/>
        <v>97528.577332933259</v>
      </c>
      <c r="AA568" s="7"/>
      <c r="AB568" s="7"/>
      <c r="AC568" s="7">
        <f t="shared" si="2860"/>
        <v>7699.5800003999993</v>
      </c>
      <c r="AD568" s="7">
        <f t="shared" si="2861"/>
        <v>96886.945666233252</v>
      </c>
      <c r="AE568" s="7">
        <f t="shared" si="2965"/>
        <v>96245.313999533246</v>
      </c>
      <c r="AF568" s="7">
        <f t="shared" si="2965"/>
        <v>95603.682332833239</v>
      </c>
      <c r="AG568" s="7">
        <f t="shared" si="2965"/>
        <v>94962.050666133233</v>
      </c>
      <c r="AH568" s="7">
        <f t="shared" si="2965"/>
        <v>94320.418999433226</v>
      </c>
      <c r="AI568" s="7">
        <f t="shared" si="2965"/>
        <v>93678.78733273322</v>
      </c>
      <c r="AJ568" s="7">
        <f t="shared" si="2965"/>
        <v>93037.155666033213</v>
      </c>
      <c r="AK568" s="7">
        <f t="shared" si="2965"/>
        <v>92395.523999333207</v>
      </c>
      <c r="AL568" s="7">
        <f t="shared" si="2965"/>
        <v>91753.892332633201</v>
      </c>
      <c r="AM568" s="7">
        <f t="shared" si="2965"/>
        <v>91112.260665933194</v>
      </c>
      <c r="AN568" s="7">
        <f t="shared" si="2965"/>
        <v>90470.628999233188</v>
      </c>
      <c r="AO568" s="7">
        <f t="shared" si="2965"/>
        <v>89828.997332533181</v>
      </c>
      <c r="AP568" s="222"/>
      <c r="AQ568" s="7">
        <v>641.63166669999998</v>
      </c>
      <c r="AR568" s="7">
        <f t="shared" si="2865"/>
        <v>641.63166670000646</v>
      </c>
      <c r="AS568" s="7">
        <f t="shared" si="2866"/>
        <v>6.4801497501321137E-12</v>
      </c>
      <c r="AT568" s="7">
        <f t="shared" si="3037"/>
        <v>7699.5800003999993</v>
      </c>
      <c r="AU568" s="7">
        <f>AO568-$L568</f>
        <v>89187.365665833175</v>
      </c>
      <c r="AV568" s="7">
        <f t="shared" si="2968"/>
        <v>88545.733999133168</v>
      </c>
      <c r="AW568" s="7">
        <f t="shared" si="2968"/>
        <v>87904.102332433162</v>
      </c>
      <c r="AX568" s="7">
        <f t="shared" si="2968"/>
        <v>87262.470665733155</v>
      </c>
      <c r="AY568" s="7">
        <f t="shared" si="2968"/>
        <v>86620.838999033149</v>
      </c>
      <c r="AZ568" s="7">
        <f t="shared" si="2968"/>
        <v>85979.207332333142</v>
      </c>
      <c r="BA568" s="7">
        <f t="shared" si="2968"/>
        <v>85337.575665633136</v>
      </c>
      <c r="BB568" s="7">
        <f t="shared" si="2968"/>
        <v>84695.943998933129</v>
      </c>
      <c r="BC568" s="7">
        <f t="shared" si="2968"/>
        <v>84054.312332233123</v>
      </c>
      <c r="BD568" s="7">
        <f t="shared" si="2968"/>
        <v>83412.680665533117</v>
      </c>
      <c r="BE568" s="7">
        <f t="shared" si="2968"/>
        <v>82771.04899883311</v>
      </c>
      <c r="BF568" s="7">
        <f t="shared" si="2968"/>
        <v>82129.417332133104</v>
      </c>
      <c r="BG568" s="236">
        <f t="shared" ref="BG568:BG599" si="3071">IF(K568&lt;1,0,SUM(AU568:BF568,AO568)/13*$BG$1)</f>
        <v>0</v>
      </c>
      <c r="BH568" s="7">
        <v>641.63166669999998</v>
      </c>
      <c r="BI568" s="39">
        <f>BH568*12</f>
        <v>7699.5800003999993</v>
      </c>
      <c r="BJ568" s="7">
        <f>BF568-BH568</f>
        <v>81487.785665433097</v>
      </c>
      <c r="BK568" s="7">
        <f t="shared" si="3038"/>
        <v>80846.153998733091</v>
      </c>
      <c r="BL568" s="7">
        <f t="shared" si="3039"/>
        <v>80204.522332033084</v>
      </c>
      <c r="BM568" s="7">
        <f t="shared" si="3040"/>
        <v>79562.890665333078</v>
      </c>
      <c r="BN568" s="7">
        <f t="shared" si="3041"/>
        <v>78921.258998633071</v>
      </c>
      <c r="BO568" s="7">
        <f t="shared" si="3042"/>
        <v>78279.627331933065</v>
      </c>
      <c r="BP568" s="7">
        <f t="shared" si="3043"/>
        <v>77637.995665233058</v>
      </c>
      <c r="BQ568" s="7">
        <f t="shared" si="3044"/>
        <v>76996.363998533052</v>
      </c>
      <c r="BR568" s="7">
        <f t="shared" si="3045"/>
        <v>76354.732331833045</v>
      </c>
      <c r="BS568" s="7">
        <f t="shared" si="3046"/>
        <v>75713.100665133039</v>
      </c>
      <c r="BT568" s="7">
        <f t="shared" si="3047"/>
        <v>75071.468998433033</v>
      </c>
      <c r="BU568" s="7">
        <f t="shared" si="3048"/>
        <v>74429.837331733026</v>
      </c>
      <c r="BV568" s="236">
        <v>0</v>
      </c>
      <c r="BW568" s="7">
        <v>641.63166669999998</v>
      </c>
      <c r="BX568" s="39">
        <f>BW568*12</f>
        <v>7699.5800003999993</v>
      </c>
      <c r="BY568" s="7">
        <f>BU568-BW568</f>
        <v>73788.20566503302</v>
      </c>
      <c r="BZ568" s="7">
        <f t="shared" si="3049"/>
        <v>73146.573998333013</v>
      </c>
      <c r="CA568" s="7">
        <f t="shared" si="3050"/>
        <v>72504.942331633007</v>
      </c>
      <c r="CB568" s="7">
        <f t="shared" si="3051"/>
        <v>71863.310664933</v>
      </c>
      <c r="CC568" s="7">
        <f t="shared" si="3052"/>
        <v>71221.678998232994</v>
      </c>
      <c r="CD568" s="7">
        <f t="shared" si="3053"/>
        <v>70580.047331532987</v>
      </c>
      <c r="CE568" s="7">
        <f t="shared" si="3054"/>
        <v>69938.415664832981</v>
      </c>
      <c r="CF568" s="7">
        <f t="shared" si="3055"/>
        <v>69296.783998132974</v>
      </c>
      <c r="CG568" s="7">
        <f t="shared" si="3056"/>
        <v>68655.152331432968</v>
      </c>
      <c r="CH568" s="7">
        <f t="shared" si="3057"/>
        <v>68013.520664732961</v>
      </c>
      <c r="CI568" s="7">
        <f t="shared" si="3058"/>
        <v>67371.888998032955</v>
      </c>
      <c r="CJ568" s="7">
        <f t="shared" si="3059"/>
        <v>66730.257331332949</v>
      </c>
      <c r="CK568" s="236">
        <f t="shared" ref="CK568:CK580" si="3072">IF(AO568&lt;1,0,SUM(BY568:CJ568,BU568)/13*$BG$1)</f>
        <v>1552.7610412937256</v>
      </c>
      <c r="CL568" s="7">
        <v>641.63166669999998</v>
      </c>
      <c r="CM568" s="39">
        <f>CL568*12</f>
        <v>7699.5800003999993</v>
      </c>
      <c r="CN568" s="7">
        <f>CJ568-CL568</f>
        <v>66088.625664632942</v>
      </c>
      <c r="CO568" s="7">
        <f t="shared" si="3060"/>
        <v>65446.993997932943</v>
      </c>
      <c r="CP568" s="7">
        <f t="shared" si="3061"/>
        <v>64805.362331232944</v>
      </c>
      <c r="CQ568" s="7">
        <f t="shared" si="3062"/>
        <v>64163.730664532945</v>
      </c>
      <c r="CR568" s="7">
        <f t="shared" si="3063"/>
        <v>63522.098997832945</v>
      </c>
      <c r="CS568" s="7">
        <f t="shared" si="3064"/>
        <v>62880.467331132946</v>
      </c>
      <c r="CT568" s="7">
        <f t="shared" si="3065"/>
        <v>62238.835664432947</v>
      </c>
      <c r="CU568" s="7">
        <f t="shared" si="3066"/>
        <v>61597.203997732948</v>
      </c>
      <c r="CV568" s="7">
        <f t="shared" si="3067"/>
        <v>60955.572331032949</v>
      </c>
      <c r="CW568" s="7">
        <f t="shared" si="3068"/>
        <v>60313.940664332949</v>
      </c>
      <c r="CX568" s="7">
        <f t="shared" si="3069"/>
        <v>59672.30899763295</v>
      </c>
      <c r="CY568" s="7">
        <f t="shared" si="3070"/>
        <v>59030.677330932951</v>
      </c>
      <c r="CZ568" s="236">
        <f t="shared" ref="CZ568:CZ580" si="3073">IF(BF568&lt;1,0,SUM(CN568:CY568,CJ568)/13*$BG$1)</f>
        <v>1383.3702812849247</v>
      </c>
    </row>
    <row r="569" spans="1:104" x14ac:dyDescent="0.2">
      <c r="A569" s="6" t="str">
        <f>'[1]2021 УГРЦТ'!A573</f>
        <v>Стеллаж металлический 9 пролетов</v>
      </c>
      <c r="B569" t="str">
        <f>'[1]2021 УГРЦТ'!B573</f>
        <v>000001822</v>
      </c>
      <c r="C569" t="str">
        <f>'[1]2021 УГРЦТ'!C573</f>
        <v>ОБЩЕПРОИЗВОДСТВЕННЫЕ РАСХОДЫ</v>
      </c>
      <c r="D569" t="str">
        <f>'[1]2021 УГРЦТ'!D573</f>
        <v>Производственный и хозяйственный инвентарь</v>
      </c>
      <c r="E569" t="str">
        <f>'[1]2021 УГРЦТ'!E573</f>
        <v>31.08.2020</v>
      </c>
      <c r="F569" t="str">
        <f>'[1]2021 УГРЦТ'!F573</f>
        <v>общепроизводственные расходы</v>
      </c>
      <c r="G569">
        <f>'[1]2021 УГРЦТ'!AC573</f>
        <v>180</v>
      </c>
      <c r="H569" s="7">
        <f>'[1]2021 УГРЦТ'!X573</f>
        <v>160390.26</v>
      </c>
      <c r="I569" s="7">
        <f>'[1]2021 УГРЦТ'!Y573</f>
        <v>14256.924000000001</v>
      </c>
      <c r="J569" s="7">
        <f>'[1]2021 УГРЦТ'!Z573</f>
        <v>146133.33600000001</v>
      </c>
      <c r="K569" s="8">
        <v>0</v>
      </c>
      <c r="L569" s="7">
        <v>891.0599999999996</v>
      </c>
      <c r="M569" s="7"/>
      <c r="N569" s="7">
        <f t="shared" si="3035"/>
        <v>10692.719999999996</v>
      </c>
      <c r="O569" s="7">
        <f t="shared" si="2859"/>
        <v>145242.27600000001</v>
      </c>
      <c r="P569" s="7">
        <f t="shared" si="2964"/>
        <v>144351.21600000001</v>
      </c>
      <c r="Q569" s="7">
        <f t="shared" si="2964"/>
        <v>143460.15600000002</v>
      </c>
      <c r="R569" s="7">
        <f t="shared" si="2964"/>
        <v>142569.09600000002</v>
      </c>
      <c r="S569" s="7">
        <f t="shared" si="2964"/>
        <v>141678.03600000002</v>
      </c>
      <c r="T569" s="7">
        <f t="shared" si="2964"/>
        <v>140786.97600000002</v>
      </c>
      <c r="U569" s="7">
        <f t="shared" si="2964"/>
        <v>139895.91600000003</v>
      </c>
      <c r="V569" s="7">
        <f t="shared" si="2964"/>
        <v>139004.85600000003</v>
      </c>
      <c r="W569" s="7">
        <f t="shared" si="2964"/>
        <v>138113.79600000003</v>
      </c>
      <c r="X569" s="7">
        <f t="shared" si="2964"/>
        <v>137222.73600000003</v>
      </c>
      <c r="Y569" s="7">
        <f t="shared" si="2964"/>
        <v>136331.67600000004</v>
      </c>
      <c r="Z569" s="7">
        <f t="shared" si="2964"/>
        <v>135440.61600000004</v>
      </c>
      <c r="AA569" s="7"/>
      <c r="AB569" s="7"/>
      <c r="AC569" s="7">
        <f t="shared" si="2860"/>
        <v>10692.719999999996</v>
      </c>
      <c r="AD569" s="7">
        <f t="shared" si="2861"/>
        <v>134549.55600000004</v>
      </c>
      <c r="AE569" s="7">
        <f t="shared" si="2965"/>
        <v>133658.49600000004</v>
      </c>
      <c r="AF569" s="7">
        <f t="shared" si="2965"/>
        <v>132767.43600000005</v>
      </c>
      <c r="AG569" s="7">
        <f t="shared" si="2965"/>
        <v>131876.37600000005</v>
      </c>
      <c r="AH569" s="7">
        <f t="shared" si="2965"/>
        <v>130985.31600000005</v>
      </c>
      <c r="AI569" s="7">
        <f t="shared" si="2965"/>
        <v>130094.25600000005</v>
      </c>
      <c r="AJ569" s="7">
        <f t="shared" si="2965"/>
        <v>129203.19600000005</v>
      </c>
      <c r="AK569" s="7">
        <f t="shared" si="2965"/>
        <v>128312.13600000006</v>
      </c>
      <c r="AL569" s="7">
        <f t="shared" si="2965"/>
        <v>127421.07600000006</v>
      </c>
      <c r="AM569" s="7">
        <f t="shared" si="2965"/>
        <v>126530.01600000006</v>
      </c>
      <c r="AN569" s="7">
        <f t="shared" si="2965"/>
        <v>125638.95600000006</v>
      </c>
      <c r="AO569" s="7">
        <f t="shared" si="2965"/>
        <v>124747.89600000007</v>
      </c>
      <c r="AP569" s="222"/>
      <c r="AQ569" s="7">
        <v>891.0599999999996</v>
      </c>
      <c r="AR569" s="7">
        <f t="shared" si="2865"/>
        <v>891.05999999999767</v>
      </c>
      <c r="AS569" s="7">
        <f t="shared" si="2866"/>
        <v>-1.9326762412674725E-12</v>
      </c>
      <c r="AT569" s="7">
        <f t="shared" si="3037"/>
        <v>10692.719999999996</v>
      </c>
      <c r="AU569" s="7">
        <f>AO569-$L569</f>
        <v>123856.83600000007</v>
      </c>
      <c r="AV569" s="7">
        <f t="shared" si="2968"/>
        <v>122965.77600000007</v>
      </c>
      <c r="AW569" s="7">
        <f t="shared" si="2968"/>
        <v>122074.71600000007</v>
      </c>
      <c r="AX569" s="7">
        <f t="shared" si="2968"/>
        <v>121183.65600000008</v>
      </c>
      <c r="AY569" s="7">
        <f t="shared" si="2968"/>
        <v>120292.59600000008</v>
      </c>
      <c r="AZ569" s="7">
        <f t="shared" si="2968"/>
        <v>119401.53600000008</v>
      </c>
      <c r="BA569" s="7">
        <f t="shared" si="2968"/>
        <v>118510.47600000008</v>
      </c>
      <c r="BB569" s="7">
        <f t="shared" si="2968"/>
        <v>117619.41600000008</v>
      </c>
      <c r="BC569" s="7">
        <f t="shared" si="2968"/>
        <v>116728.35600000009</v>
      </c>
      <c r="BD569" s="7">
        <f t="shared" si="2968"/>
        <v>115837.29600000009</v>
      </c>
      <c r="BE569" s="7">
        <f t="shared" si="2968"/>
        <v>114946.23600000009</v>
      </c>
      <c r="BF569" s="7">
        <f t="shared" si="2968"/>
        <v>114055.17600000009</v>
      </c>
      <c r="BG569" s="236">
        <f t="shared" si="3071"/>
        <v>0</v>
      </c>
      <c r="BH569" s="7">
        <v>891.0599999999996</v>
      </c>
      <c r="BI569" s="39">
        <f>BH569*12</f>
        <v>10692.719999999996</v>
      </c>
      <c r="BJ569" s="7">
        <f>BF569-BH569</f>
        <v>113164.1160000001</v>
      </c>
      <c r="BK569" s="7">
        <f t="shared" si="3038"/>
        <v>112273.0560000001</v>
      </c>
      <c r="BL569" s="7">
        <f t="shared" si="3039"/>
        <v>111381.9960000001</v>
      </c>
      <c r="BM569" s="7">
        <f t="shared" si="3040"/>
        <v>110490.9360000001</v>
      </c>
      <c r="BN569" s="7">
        <f t="shared" si="3041"/>
        <v>109599.87600000011</v>
      </c>
      <c r="BO569" s="7">
        <f t="shared" si="3042"/>
        <v>108708.81600000011</v>
      </c>
      <c r="BP569" s="7">
        <f t="shared" si="3043"/>
        <v>107817.75600000011</v>
      </c>
      <c r="BQ569" s="7">
        <f t="shared" si="3044"/>
        <v>106926.69600000011</v>
      </c>
      <c r="BR569" s="7">
        <f t="shared" si="3045"/>
        <v>106035.63600000012</v>
      </c>
      <c r="BS569" s="7">
        <f t="shared" si="3046"/>
        <v>105144.57600000012</v>
      </c>
      <c r="BT569" s="7">
        <f t="shared" si="3047"/>
        <v>104253.51600000012</v>
      </c>
      <c r="BU569" s="7">
        <f t="shared" si="3048"/>
        <v>103362.45600000012</v>
      </c>
      <c r="BV569" s="236">
        <v>0</v>
      </c>
      <c r="BW569" s="7">
        <v>891.0599999999996</v>
      </c>
      <c r="BX569" s="39">
        <f>BW569*12</f>
        <v>10692.719999999996</v>
      </c>
      <c r="BY569" s="7">
        <f>BU569-BW569</f>
        <v>102471.39600000012</v>
      </c>
      <c r="BZ569" s="7">
        <f t="shared" si="3049"/>
        <v>101580.33600000013</v>
      </c>
      <c r="CA569" s="7">
        <f t="shared" si="3050"/>
        <v>100689.27600000013</v>
      </c>
      <c r="CB569" s="7">
        <f t="shared" si="3051"/>
        <v>99798.216000000131</v>
      </c>
      <c r="CC569" s="7">
        <f t="shared" si="3052"/>
        <v>98907.156000000134</v>
      </c>
      <c r="CD569" s="7">
        <f t="shared" si="3053"/>
        <v>98016.096000000136</v>
      </c>
      <c r="CE569" s="7">
        <f t="shared" si="3054"/>
        <v>97125.036000000138</v>
      </c>
      <c r="CF569" s="7">
        <f t="shared" si="3055"/>
        <v>96233.976000000141</v>
      </c>
      <c r="CG569" s="7">
        <f t="shared" si="3056"/>
        <v>95342.916000000143</v>
      </c>
      <c r="CH569" s="7">
        <f t="shared" si="3057"/>
        <v>94451.856000000145</v>
      </c>
      <c r="CI569" s="7">
        <f t="shared" si="3058"/>
        <v>93560.796000000148</v>
      </c>
      <c r="CJ569" s="7">
        <f t="shared" si="3059"/>
        <v>92669.73600000015</v>
      </c>
      <c r="CK569" s="236">
        <f t="shared" si="3072"/>
        <v>2156.3541120000027</v>
      </c>
      <c r="CL569" s="7">
        <v>891.0599999999996</v>
      </c>
      <c r="CM569" s="39">
        <f>CL569*12</f>
        <v>10692.719999999996</v>
      </c>
      <c r="CN569" s="7">
        <f>CJ569-CL569</f>
        <v>91778.676000000152</v>
      </c>
      <c r="CO569" s="7">
        <f t="shared" si="3060"/>
        <v>90887.616000000155</v>
      </c>
      <c r="CP569" s="7">
        <f t="shared" si="3061"/>
        <v>89996.556000000157</v>
      </c>
      <c r="CQ569" s="7">
        <f t="shared" si="3062"/>
        <v>89105.496000000159</v>
      </c>
      <c r="CR569" s="7">
        <f t="shared" si="3063"/>
        <v>88214.436000000162</v>
      </c>
      <c r="CS569" s="7">
        <f t="shared" si="3064"/>
        <v>87323.376000000164</v>
      </c>
      <c r="CT569" s="7">
        <f t="shared" si="3065"/>
        <v>86432.316000000166</v>
      </c>
      <c r="CU569" s="7">
        <f t="shared" si="3066"/>
        <v>85541.256000000169</v>
      </c>
      <c r="CV569" s="7">
        <f t="shared" si="3067"/>
        <v>84650.196000000171</v>
      </c>
      <c r="CW569" s="7">
        <f t="shared" si="3068"/>
        <v>83759.136000000173</v>
      </c>
      <c r="CX569" s="7">
        <f t="shared" si="3069"/>
        <v>82868.076000000176</v>
      </c>
      <c r="CY569" s="7">
        <f t="shared" si="3070"/>
        <v>81977.016000000178</v>
      </c>
      <c r="CZ569" s="236">
        <f t="shared" si="3073"/>
        <v>1921.1142720000032</v>
      </c>
    </row>
    <row r="570" spans="1:104" x14ac:dyDescent="0.2">
      <c r="A570" s="6" t="str">
        <f>'[1]2021 УГРЦТ'!A574</f>
        <v>Стойка напольная с лотками</v>
      </c>
      <c r="B570" t="str">
        <f>'[1]2021 УГРЦТ'!B574</f>
        <v>000001811</v>
      </c>
      <c r="C570" t="str">
        <f>'[1]2021 УГРЦТ'!C574</f>
        <v>ОБЩЕПРОИЗВОДСТВЕННЫЕ РАСХОДЫ</v>
      </c>
      <c r="D570" t="str">
        <f>'[1]2021 УГРЦТ'!D574</f>
        <v>Производственный и хозяйственный инвентарь</v>
      </c>
      <c r="E570" t="str">
        <f>'[1]2021 УГРЦТ'!E574</f>
        <v>05.06.2020</v>
      </c>
      <c r="F570" t="str">
        <f>'[1]2021 УГРЦТ'!F574</f>
        <v>общепроизводственные расходы</v>
      </c>
      <c r="G570">
        <f>'[1]2021 УГРЦТ'!AC574</f>
        <v>180</v>
      </c>
      <c r="H570" s="7">
        <f>'[1]2021 УГРЦТ'!X574</f>
        <v>40297.269999999997</v>
      </c>
      <c r="I570" s="7">
        <f>'[1]2021 УГРЦТ'!Y574</f>
        <v>4029.7046666666656</v>
      </c>
      <c r="J570" s="7">
        <f>'[1]2021 УГРЦТ'!Z574</f>
        <v>36267.565333333332</v>
      </c>
      <c r="K570" s="8">
        <v>0</v>
      </c>
      <c r="L570" s="7">
        <v>223.86999999999992</v>
      </c>
      <c r="M570" s="7"/>
      <c r="N570" s="7">
        <f t="shared" si="3035"/>
        <v>2686.4399999999991</v>
      </c>
      <c r="O570" s="7">
        <f t="shared" si="2859"/>
        <v>36043.695333333329</v>
      </c>
      <c r="P570" s="7">
        <f t="shared" si="2964"/>
        <v>35819.825333333327</v>
      </c>
      <c r="Q570" s="7">
        <f t="shared" si="2964"/>
        <v>35595.955333333324</v>
      </c>
      <c r="R570" s="7">
        <f t="shared" si="2964"/>
        <v>35372.085333333322</v>
      </c>
      <c r="S570" s="7">
        <f t="shared" si="2964"/>
        <v>35148.215333333319</v>
      </c>
      <c r="T570" s="7">
        <f t="shared" si="2964"/>
        <v>34924.345333333316</v>
      </c>
      <c r="U570" s="7">
        <f t="shared" si="2964"/>
        <v>34700.475333333314</v>
      </c>
      <c r="V570" s="7">
        <f t="shared" si="2964"/>
        <v>34476.605333333311</v>
      </c>
      <c r="W570" s="7">
        <f t="shared" si="2964"/>
        <v>34252.735333333309</v>
      </c>
      <c r="X570" s="7">
        <f t="shared" si="2964"/>
        <v>34028.865333333306</v>
      </c>
      <c r="Y570" s="7">
        <f t="shared" si="2964"/>
        <v>33804.995333333303</v>
      </c>
      <c r="Z570" s="7">
        <f t="shared" si="2964"/>
        <v>33581.125333333301</v>
      </c>
      <c r="AA570" s="7"/>
      <c r="AB570" s="7"/>
      <c r="AC570" s="7">
        <f t="shared" si="2860"/>
        <v>2686.4399999999991</v>
      </c>
      <c r="AD570" s="7">
        <f t="shared" si="2861"/>
        <v>33357.255333333298</v>
      </c>
      <c r="AE570" s="7">
        <f t="shared" si="2965"/>
        <v>33133.385333333295</v>
      </c>
      <c r="AF570" s="7">
        <f t="shared" si="2965"/>
        <v>32909.515333333293</v>
      </c>
      <c r="AG570" s="7">
        <f t="shared" si="2965"/>
        <v>32685.645333333294</v>
      </c>
      <c r="AH570" s="7">
        <f t="shared" si="2965"/>
        <v>32461.775333333295</v>
      </c>
      <c r="AI570" s="7">
        <f t="shared" si="2965"/>
        <v>32237.905333333296</v>
      </c>
      <c r="AJ570" s="7">
        <f t="shared" si="2965"/>
        <v>32014.035333333297</v>
      </c>
      <c r="AK570" s="7">
        <f t="shared" si="2965"/>
        <v>31790.165333333298</v>
      </c>
      <c r="AL570" s="7">
        <f t="shared" si="2965"/>
        <v>31566.295333333299</v>
      </c>
      <c r="AM570" s="7">
        <f t="shared" si="2965"/>
        <v>31342.4253333333</v>
      </c>
      <c r="AN570" s="7">
        <f t="shared" si="2965"/>
        <v>31118.555333333301</v>
      </c>
      <c r="AO570" s="7">
        <f t="shared" si="2965"/>
        <v>30894.685333333302</v>
      </c>
      <c r="AP570" s="222"/>
      <c r="AQ570" s="7">
        <v>223.86999999999992</v>
      </c>
      <c r="AR570" s="7">
        <f t="shared" si="2865"/>
        <v>223.86999999999898</v>
      </c>
      <c r="AS570" s="7">
        <f t="shared" si="2866"/>
        <v>-9.3791641120333225E-13</v>
      </c>
      <c r="AT570" s="7">
        <f t="shared" si="3037"/>
        <v>2686.4399999999991</v>
      </c>
      <c r="AU570" s="7">
        <f>AO570-$L570</f>
        <v>30670.815333333303</v>
      </c>
      <c r="AV570" s="7">
        <f t="shared" si="2968"/>
        <v>30446.945333333304</v>
      </c>
      <c r="AW570" s="7">
        <f t="shared" si="2968"/>
        <v>30223.075333333305</v>
      </c>
      <c r="AX570" s="7">
        <f t="shared" si="2968"/>
        <v>29999.205333333306</v>
      </c>
      <c r="AY570" s="7">
        <f t="shared" si="2968"/>
        <v>29775.335333333307</v>
      </c>
      <c r="AZ570" s="7">
        <f t="shared" si="2968"/>
        <v>29551.465333333308</v>
      </c>
      <c r="BA570" s="7">
        <f t="shared" si="2968"/>
        <v>29327.595333333309</v>
      </c>
      <c r="BB570" s="7">
        <f t="shared" si="2968"/>
        <v>29103.72533333331</v>
      </c>
      <c r="BC570" s="7">
        <f t="shared" si="2968"/>
        <v>28879.855333333311</v>
      </c>
      <c r="BD570" s="7">
        <f t="shared" si="2968"/>
        <v>28655.985333333312</v>
      </c>
      <c r="BE570" s="7">
        <f t="shared" si="2968"/>
        <v>28432.115333333313</v>
      </c>
      <c r="BF570" s="7">
        <f t="shared" si="2968"/>
        <v>28208.245333333314</v>
      </c>
      <c r="BG570" s="236">
        <f t="shared" si="3071"/>
        <v>0</v>
      </c>
      <c r="BH570" s="7">
        <v>223.86999999999992</v>
      </c>
      <c r="BI570" s="39">
        <f>BH570*12</f>
        <v>2686.4399999999991</v>
      </c>
      <c r="BJ570" s="7">
        <f>BF570-BH570</f>
        <v>27984.375333333315</v>
      </c>
      <c r="BK570" s="7">
        <f t="shared" si="3038"/>
        <v>27760.505333333316</v>
      </c>
      <c r="BL570" s="7">
        <f t="shared" si="3039"/>
        <v>27536.635333333317</v>
      </c>
      <c r="BM570" s="7">
        <f t="shared" si="3040"/>
        <v>27312.765333333318</v>
      </c>
      <c r="BN570" s="7">
        <f t="shared" si="3041"/>
        <v>27088.895333333319</v>
      </c>
      <c r="BO570" s="7">
        <f t="shared" si="3042"/>
        <v>26865.02533333332</v>
      </c>
      <c r="BP570" s="7">
        <f t="shared" si="3043"/>
        <v>26641.155333333321</v>
      </c>
      <c r="BQ570" s="7">
        <f t="shared" si="3044"/>
        <v>26417.285333333322</v>
      </c>
      <c r="BR570" s="7">
        <f t="shared" si="3045"/>
        <v>26193.415333333323</v>
      </c>
      <c r="BS570" s="7">
        <f t="shared" si="3046"/>
        <v>25969.545333333324</v>
      </c>
      <c r="BT570" s="7">
        <f t="shared" si="3047"/>
        <v>25745.675333333325</v>
      </c>
      <c r="BU570" s="7">
        <f t="shared" si="3048"/>
        <v>25521.805333333326</v>
      </c>
      <c r="BV570" s="236">
        <v>0</v>
      </c>
      <c r="BW570" s="7">
        <v>223.86999999999992</v>
      </c>
      <c r="BX570" s="39">
        <f>BW570*12</f>
        <v>2686.4399999999991</v>
      </c>
      <c r="BY570" s="7">
        <f>BU570-BW570</f>
        <v>25297.935333333327</v>
      </c>
      <c r="BZ570" s="7">
        <f t="shared" si="3049"/>
        <v>25074.065333333328</v>
      </c>
      <c r="CA570" s="7">
        <f t="shared" si="3050"/>
        <v>24850.195333333329</v>
      </c>
      <c r="CB570" s="7">
        <f t="shared" si="3051"/>
        <v>24626.32533333333</v>
      </c>
      <c r="CC570" s="7">
        <f t="shared" si="3052"/>
        <v>24402.455333333332</v>
      </c>
      <c r="CD570" s="7">
        <f t="shared" si="3053"/>
        <v>24178.585333333333</v>
      </c>
      <c r="CE570" s="7">
        <f t="shared" si="3054"/>
        <v>23954.715333333334</v>
      </c>
      <c r="CF570" s="7">
        <f t="shared" si="3055"/>
        <v>23730.845333333335</v>
      </c>
      <c r="CG570" s="7">
        <f t="shared" si="3056"/>
        <v>23506.975333333336</v>
      </c>
      <c r="CH570" s="7">
        <f t="shared" si="3057"/>
        <v>23283.105333333337</v>
      </c>
      <c r="CI570" s="7">
        <f t="shared" si="3058"/>
        <v>23059.235333333338</v>
      </c>
      <c r="CJ570" s="7">
        <f t="shared" si="3059"/>
        <v>22835.365333333339</v>
      </c>
      <c r="CK570" s="236">
        <f t="shared" si="3072"/>
        <v>531.92887733333316</v>
      </c>
      <c r="CL570" s="7">
        <v>223.86999999999992</v>
      </c>
      <c r="CM570" s="39">
        <f>CL570*12</f>
        <v>2686.4399999999991</v>
      </c>
      <c r="CN570" s="7">
        <f>CJ570-CL570</f>
        <v>22611.49533333334</v>
      </c>
      <c r="CO570" s="7">
        <f t="shared" si="3060"/>
        <v>22387.625333333341</v>
      </c>
      <c r="CP570" s="7">
        <f t="shared" si="3061"/>
        <v>22163.755333333342</v>
      </c>
      <c r="CQ570" s="7">
        <f t="shared" si="3062"/>
        <v>21939.885333333343</v>
      </c>
      <c r="CR570" s="7">
        <f t="shared" si="3063"/>
        <v>21716.015333333344</v>
      </c>
      <c r="CS570" s="7">
        <f t="shared" si="3064"/>
        <v>21492.145333333345</v>
      </c>
      <c r="CT570" s="7">
        <f t="shared" si="3065"/>
        <v>21268.275333333346</v>
      </c>
      <c r="CU570" s="7">
        <f t="shared" si="3066"/>
        <v>21044.405333333347</v>
      </c>
      <c r="CV570" s="7">
        <f t="shared" si="3067"/>
        <v>20820.535333333348</v>
      </c>
      <c r="CW570" s="7">
        <f t="shared" si="3068"/>
        <v>20596.665333333349</v>
      </c>
      <c r="CX570" s="7">
        <f t="shared" si="3069"/>
        <v>20372.79533333335</v>
      </c>
      <c r="CY570" s="7">
        <f t="shared" si="3070"/>
        <v>20148.925333333351</v>
      </c>
      <c r="CZ570" s="236">
        <f t="shared" si="3073"/>
        <v>472.82719733333357</v>
      </c>
    </row>
    <row r="571" spans="1:104" x14ac:dyDescent="0.2">
      <c r="A571" s="6" t="str">
        <f>'[1]2021 УГРЦТ'!A575</f>
        <v>Теодолит электронный ADA DigiTeo 2 в комплекте</v>
      </c>
      <c r="B571" t="str">
        <f>'[1]2021 УГРЦТ'!B575</f>
        <v>000001681</v>
      </c>
      <c r="C571" t="str">
        <f>'[1]2021 УГРЦТ'!C575</f>
        <v>ОБЩЕПРОИЗВОДСТВЕННЫЕ РАСХОДЫ</v>
      </c>
      <c r="D571" t="str">
        <f>'[1]2021 УГРЦТ'!D575</f>
        <v>Машины и оборудование (кроме офисного)</v>
      </c>
      <c r="E571" t="str">
        <f>'[1]2021 УГРЦТ'!E575</f>
        <v>29.04.2016</v>
      </c>
      <c r="F571" t="str">
        <f>'[1]2021 УГРЦТ'!F575</f>
        <v>общепроизводственные расходы</v>
      </c>
      <c r="G571">
        <f>'[1]2021 УГРЦТ'!AC575</f>
        <v>84</v>
      </c>
      <c r="H571" s="7">
        <f>'[1]2021 УГРЦТ'!X575</f>
        <v>74241.69</v>
      </c>
      <c r="I571" s="7">
        <f>'[1]2021 УГРЦТ'!Y575</f>
        <v>60100.435714285719</v>
      </c>
      <c r="J571" s="7">
        <f>'[1]2021 УГРЦТ'!Z575</f>
        <v>14141.254285714283</v>
      </c>
      <c r="K571" s="8">
        <v>0</v>
      </c>
      <c r="L571" s="7">
        <v>883.83</v>
      </c>
      <c r="M571" s="7"/>
      <c r="N571" s="7">
        <f t="shared" si="3035"/>
        <v>10605.960000000001</v>
      </c>
      <c r="O571" s="7">
        <f t="shared" si="2859"/>
        <v>13257.424285714284</v>
      </c>
      <c r="P571" s="7">
        <f t="shared" si="2964"/>
        <v>12373.594285714284</v>
      </c>
      <c r="Q571" s="7">
        <f t="shared" si="2964"/>
        <v>11489.764285714284</v>
      </c>
      <c r="R571" s="7">
        <f t="shared" si="2964"/>
        <v>10605.934285714284</v>
      </c>
      <c r="S571" s="7">
        <f t="shared" si="2964"/>
        <v>9722.1042857142838</v>
      </c>
      <c r="T571" s="7">
        <f t="shared" si="2964"/>
        <v>8838.2742857142839</v>
      </c>
      <c r="U571" s="7">
        <f t="shared" si="2964"/>
        <v>7954.444285714284</v>
      </c>
      <c r="V571" s="7">
        <f t="shared" si="2964"/>
        <v>7070.6142857142841</v>
      </c>
      <c r="W571" s="7">
        <f t="shared" si="2964"/>
        <v>6186.7842857142841</v>
      </c>
      <c r="X571" s="7">
        <f t="shared" si="2964"/>
        <v>5302.9542857142842</v>
      </c>
      <c r="Y571" s="7">
        <f t="shared" si="2964"/>
        <v>4419.1242857142843</v>
      </c>
      <c r="Z571" s="7">
        <f t="shared" si="2964"/>
        <v>3535.2942857142843</v>
      </c>
      <c r="AA571" s="7"/>
      <c r="AB571" s="7"/>
      <c r="AC571" s="7">
        <f>L571*4-0.03</f>
        <v>3535.29</v>
      </c>
      <c r="AD571" s="7">
        <f t="shared" si="2861"/>
        <v>2651.4642857142844</v>
      </c>
      <c r="AE571" s="7">
        <f t="shared" si="2965"/>
        <v>1767.6342857142845</v>
      </c>
      <c r="AF571" s="7">
        <f t="shared" si="2965"/>
        <v>883.80428571428445</v>
      </c>
      <c r="AG571" s="7"/>
      <c r="AH571" s="7"/>
      <c r="AI571" s="7"/>
      <c r="AJ571" s="7"/>
      <c r="AK571" s="7"/>
      <c r="AL571" s="7"/>
      <c r="AM571" s="7"/>
      <c r="AN571" s="7"/>
      <c r="AO571" s="7"/>
      <c r="AP571" s="222"/>
      <c r="AQ571" s="7">
        <v>883.83</v>
      </c>
      <c r="AR571" s="7"/>
      <c r="AS571" s="7"/>
      <c r="BG571" s="236">
        <f t="shared" si="3071"/>
        <v>0</v>
      </c>
      <c r="BH571" s="7">
        <v>883.83</v>
      </c>
      <c r="BI571" s="39"/>
      <c r="BV571" s="236">
        <f t="shared" ref="BV571:BV580" si="3074">IF(Z571&lt;1,0,SUM(BJ571:BU571,BF571)/13*$BG$1)</f>
        <v>0</v>
      </c>
      <c r="BW571" s="7">
        <v>883.83</v>
      </c>
      <c r="BX571" s="39"/>
      <c r="CK571" s="236">
        <f t="shared" si="3072"/>
        <v>0</v>
      </c>
      <c r="CL571" s="7">
        <v>883.83</v>
      </c>
      <c r="CM571" s="39">
        <v>0</v>
      </c>
      <c r="CZ571" s="236">
        <f t="shared" si="3073"/>
        <v>0</v>
      </c>
    </row>
    <row r="572" spans="1:104" x14ac:dyDescent="0.2">
      <c r="A572" s="6" t="str">
        <f>'[1]2021 УГРЦТ'!A576</f>
        <v>Устройство ограждения 2009г 149,5 п.м.</v>
      </c>
      <c r="B572" t="str">
        <f>'[1]2021 УГРЦТ'!B576</f>
        <v>00001151</v>
      </c>
      <c r="C572" t="str">
        <f>'[1]2021 УГРЦТ'!C576</f>
        <v>ОБЩЕПРОИЗВОДСТВЕННЫЕ РАСХОДЫ</v>
      </c>
      <c r="D572" t="str">
        <f>'[1]2021 УГРЦТ'!D576</f>
        <v>Сооружения</v>
      </c>
      <c r="E572" t="str">
        <f>'[1]2021 УГРЦТ'!E576</f>
        <v>30.11.2009</v>
      </c>
      <c r="F572" t="str">
        <f>'[1]2021 УГРЦТ'!F576</f>
        <v>общепроизводственные расходы</v>
      </c>
      <c r="G572">
        <f>'[1]2021 УГРЦТ'!AC576</f>
        <v>180</v>
      </c>
      <c r="H572" s="7">
        <f>'[1]2021 УГРЦТ'!X576</f>
        <v>1190946</v>
      </c>
      <c r="I572" s="7">
        <f>'[1]2021 УГРЦТ'!Y576</f>
        <v>1018920.91</v>
      </c>
      <c r="J572" s="7">
        <f>'[1]2021 УГРЦТ'!Z576</f>
        <v>172025.08999999997</v>
      </c>
      <c r="K572" s="8">
        <v>1</v>
      </c>
      <c r="L572" s="7">
        <v>6616.37</v>
      </c>
      <c r="M572" s="7"/>
      <c r="N572" s="7">
        <f t="shared" si="3035"/>
        <v>79396.44</v>
      </c>
      <c r="O572" s="7">
        <f t="shared" si="2859"/>
        <v>165408.71999999997</v>
      </c>
      <c r="P572" s="7">
        <f t="shared" si="2964"/>
        <v>158792.34999999998</v>
      </c>
      <c r="Q572" s="7">
        <f t="shared" si="2964"/>
        <v>152175.97999999998</v>
      </c>
      <c r="R572" s="7">
        <f t="shared" si="2964"/>
        <v>145559.60999999999</v>
      </c>
      <c r="S572" s="7">
        <f t="shared" si="2964"/>
        <v>138943.24</v>
      </c>
      <c r="T572" s="7">
        <f t="shared" si="2964"/>
        <v>132326.87</v>
      </c>
      <c r="U572" s="7">
        <f t="shared" si="2964"/>
        <v>125710.5</v>
      </c>
      <c r="V572" s="7">
        <f t="shared" si="2964"/>
        <v>119094.13</v>
      </c>
      <c r="W572" s="7">
        <f t="shared" si="2964"/>
        <v>112477.76000000001</v>
      </c>
      <c r="X572" s="7">
        <f t="shared" si="2964"/>
        <v>105861.39000000001</v>
      </c>
      <c r="Y572" s="7">
        <f t="shared" si="2964"/>
        <v>99245.020000000019</v>
      </c>
      <c r="Z572" s="7">
        <f t="shared" si="2964"/>
        <v>92628.650000000023</v>
      </c>
      <c r="AA572" s="7">
        <f>SUM(O572:Z572,J572)/13*$AA$1</f>
        <v>2911.191139999999</v>
      </c>
      <c r="AB572" s="7"/>
      <c r="AC572" s="7">
        <f t="shared" si="2860"/>
        <v>79396.44</v>
      </c>
      <c r="AD572" s="7">
        <f t="shared" si="2861"/>
        <v>86012.280000000028</v>
      </c>
      <c r="AE572" s="7">
        <f t="shared" si="2965"/>
        <v>79395.910000000033</v>
      </c>
      <c r="AF572" s="7">
        <f t="shared" si="2965"/>
        <v>72779.540000000037</v>
      </c>
      <c r="AG572" s="7">
        <f t="shared" si="2965"/>
        <v>66163.170000000042</v>
      </c>
      <c r="AH572" s="7">
        <f t="shared" si="2965"/>
        <v>59546.800000000039</v>
      </c>
      <c r="AI572" s="7">
        <f t="shared" si="2965"/>
        <v>52930.430000000037</v>
      </c>
      <c r="AJ572" s="7">
        <f t="shared" si="2965"/>
        <v>46314.060000000034</v>
      </c>
      <c r="AK572" s="7">
        <f t="shared" si="2965"/>
        <v>39697.690000000031</v>
      </c>
      <c r="AL572" s="7">
        <f t="shared" si="2965"/>
        <v>33081.320000000029</v>
      </c>
      <c r="AM572" s="7">
        <f t="shared" si="2965"/>
        <v>26464.95000000003</v>
      </c>
      <c r="AN572" s="7">
        <f t="shared" si="2965"/>
        <v>19848.580000000031</v>
      </c>
      <c r="AO572" s="7">
        <f t="shared" si="2965"/>
        <v>13232.210000000032</v>
      </c>
      <c r="AP572" s="222">
        <f>IF(K572&lt;1,0,SUM(AD572:AO572,Z572)/13*$BG$1)</f>
        <v>1164.4694600000012</v>
      </c>
      <c r="AQ572" s="7">
        <v>6616.37</v>
      </c>
      <c r="AR572" s="7">
        <f t="shared" si="2865"/>
        <v>6616.369999999999</v>
      </c>
      <c r="AS572" s="7">
        <f t="shared" si="2866"/>
        <v>0</v>
      </c>
      <c r="AT572" s="7">
        <f>L572*2-0.53</f>
        <v>13232.21</v>
      </c>
      <c r="AU572" s="7">
        <f>AO572-$L572</f>
        <v>6615.840000000032</v>
      </c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236">
        <f t="shared" si="3071"/>
        <v>33.589007692307796</v>
      </c>
      <c r="BH572" s="7">
        <v>6616.37</v>
      </c>
      <c r="BI572" s="39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236">
        <f t="shared" si="3074"/>
        <v>0</v>
      </c>
      <c r="BW572" s="7">
        <v>6616.37</v>
      </c>
      <c r="BX572" s="39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236">
        <f t="shared" si="3072"/>
        <v>0</v>
      </c>
      <c r="CL572" s="7">
        <v>6616.37</v>
      </c>
      <c r="CM572" s="39">
        <v>0</v>
      </c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236">
        <f t="shared" si="3073"/>
        <v>0</v>
      </c>
    </row>
    <row r="573" spans="1:104" x14ac:dyDescent="0.2">
      <c r="A573" s="6" t="str">
        <f>'[1]2021 УГРЦТ'!A577</f>
        <v>ЩО 70-3-02 УЗ №1 ТП в районе школы №2</v>
      </c>
      <c r="B573" t="str">
        <f>'[1]2021 УГРЦТ'!B577</f>
        <v>00001105</v>
      </c>
      <c r="C573" t="str">
        <f>'[1]2021 УГРЦТ'!C577</f>
        <v>ОБЩЕПРОИЗВОДСТВЕННЫЕ РАСХОДЫ</v>
      </c>
      <c r="D573" t="str">
        <f>'[1]2021 УГРЦТ'!D577</f>
        <v>Машины и оборудование (кроме офисного)</v>
      </c>
      <c r="E573" t="str">
        <f>'[1]2021 УГРЦТ'!E577</f>
        <v>31.12.2008</v>
      </c>
      <c r="F573" t="str">
        <f>'[1]2021 УГРЦТ'!F577</f>
        <v>Цех электрических сетей</v>
      </c>
      <c r="G573">
        <f>'[1]2021 УГРЦТ'!AC577</f>
        <v>180</v>
      </c>
      <c r="H573" s="7">
        <f>'[1]2021 УГРЦТ'!X577</f>
        <v>25570</v>
      </c>
      <c r="I573" s="7">
        <f>'[1]2021 УГРЦТ'!Y577</f>
        <v>22161.306666666667</v>
      </c>
      <c r="J573" s="7">
        <f>'[1]2021 УГРЦТ'!Z577</f>
        <v>3408.6933333333327</v>
      </c>
      <c r="K573" s="8">
        <v>0</v>
      </c>
      <c r="L573" s="7">
        <v>142.05999999999997</v>
      </c>
      <c r="M573" s="7"/>
      <c r="N573" s="7">
        <f t="shared" si="3035"/>
        <v>1704.7199999999998</v>
      </c>
      <c r="O573" s="7">
        <f t="shared" si="2859"/>
        <v>3266.6333333333328</v>
      </c>
      <c r="P573" s="7">
        <f t="shared" si="2964"/>
        <v>3124.5733333333328</v>
      </c>
      <c r="Q573" s="7">
        <f t="shared" si="2964"/>
        <v>2982.5133333333329</v>
      </c>
      <c r="R573" s="7">
        <f t="shared" si="2964"/>
        <v>2840.4533333333329</v>
      </c>
      <c r="S573" s="7">
        <f t="shared" si="2964"/>
        <v>2698.393333333333</v>
      </c>
      <c r="T573" s="7">
        <f t="shared" si="2964"/>
        <v>2556.333333333333</v>
      </c>
      <c r="U573" s="7">
        <f t="shared" si="2964"/>
        <v>2414.2733333333331</v>
      </c>
      <c r="V573" s="7">
        <f t="shared" si="2964"/>
        <v>2272.2133333333331</v>
      </c>
      <c r="W573" s="7">
        <f t="shared" si="2964"/>
        <v>2130.1533333333332</v>
      </c>
      <c r="X573" s="7">
        <f t="shared" si="2964"/>
        <v>1988.0933333333332</v>
      </c>
      <c r="Y573" s="7">
        <f t="shared" si="2964"/>
        <v>1846.0333333333333</v>
      </c>
      <c r="Z573" s="7">
        <f t="shared" si="2964"/>
        <v>1703.9733333333334</v>
      </c>
      <c r="AA573" s="7"/>
      <c r="AB573" s="7"/>
      <c r="AC573" s="7">
        <f>L573*12-0.75</f>
        <v>1703.9699999999998</v>
      </c>
      <c r="AD573" s="7">
        <f t="shared" si="2861"/>
        <v>1561.9133333333334</v>
      </c>
      <c r="AE573" s="7">
        <f t="shared" si="2965"/>
        <v>1419.8533333333335</v>
      </c>
      <c r="AF573" s="7">
        <f t="shared" si="2965"/>
        <v>1277.7933333333335</v>
      </c>
      <c r="AG573" s="7">
        <f t="shared" si="2965"/>
        <v>1135.7333333333336</v>
      </c>
      <c r="AH573" s="7">
        <f t="shared" si="2965"/>
        <v>993.67333333333363</v>
      </c>
      <c r="AI573" s="7">
        <f t="shared" si="2965"/>
        <v>851.61333333333369</v>
      </c>
      <c r="AJ573" s="7">
        <f t="shared" si="2965"/>
        <v>709.55333333333374</v>
      </c>
      <c r="AK573" s="7">
        <f t="shared" si="2965"/>
        <v>567.49333333333379</v>
      </c>
      <c r="AL573" s="7">
        <f t="shared" si="2965"/>
        <v>425.43333333333385</v>
      </c>
      <c r="AM573" s="7">
        <f t="shared" si="2965"/>
        <v>283.3733333333339</v>
      </c>
      <c r="AN573" s="7">
        <f t="shared" si="2965"/>
        <v>141.31333333333393</v>
      </c>
      <c r="AO573" s="7">
        <f>AN573-$L573+0.75</f>
        <v>3.3333333339555793E-3</v>
      </c>
      <c r="AP573" s="222"/>
      <c r="AQ573" s="7">
        <v>142.05999999999997</v>
      </c>
      <c r="AR573" s="7"/>
      <c r="AS573" s="7"/>
      <c r="BG573" s="236">
        <f t="shared" si="3071"/>
        <v>0</v>
      </c>
      <c r="BH573" s="7">
        <v>142.05999999999997</v>
      </c>
      <c r="BV573" s="236">
        <f t="shared" si="3074"/>
        <v>0</v>
      </c>
      <c r="BW573" s="7">
        <v>142.05999999999997</v>
      </c>
      <c r="CK573" s="236">
        <f t="shared" si="3072"/>
        <v>0</v>
      </c>
      <c r="CL573" s="7">
        <v>142.05999999999997</v>
      </c>
      <c r="CZ573" s="236">
        <f t="shared" si="3073"/>
        <v>0</v>
      </c>
    </row>
    <row r="574" spans="1:104" x14ac:dyDescent="0.2">
      <c r="A574" s="6" t="str">
        <f>'[1]2021 УГРЦТ'!A578</f>
        <v>ОБЩЕХОЗЯЙСТВЕННЫЕ РАСХОДЫ</v>
      </c>
      <c r="H574" s="7">
        <f>'[1]2021 УГРЦТ'!X578</f>
        <v>7224965.2799999993</v>
      </c>
      <c r="I574" s="7">
        <f>'[1]2021 УГРЦТ'!Y578</f>
        <v>1761521.7648571427</v>
      </c>
      <c r="J574" s="7">
        <f>'[1]2021 УГРЦТ'!Z578</f>
        <v>5502773.4658095231</v>
      </c>
      <c r="K574" s="8">
        <v>0</v>
      </c>
      <c r="L574" s="7">
        <v>0</v>
      </c>
      <c r="M574" s="7"/>
      <c r="N574" s="7">
        <f t="shared" si="3035"/>
        <v>0</v>
      </c>
      <c r="O574" s="7">
        <f t="shared" si="2859"/>
        <v>5502773.4658095231</v>
      </c>
      <c r="P574" s="7">
        <f t="shared" ref="P574:Z589" si="3075">O574-$L574</f>
        <v>5502773.4658095231</v>
      </c>
      <c r="Q574" s="7">
        <f t="shared" si="3075"/>
        <v>5502773.4658095231</v>
      </c>
      <c r="R574" s="7">
        <f t="shared" si="3075"/>
        <v>5502773.4658095231</v>
      </c>
      <c r="S574" s="7">
        <f t="shared" si="3075"/>
        <v>5502773.4658095231</v>
      </c>
      <c r="T574" s="7">
        <f t="shared" si="3075"/>
        <v>5502773.4658095231</v>
      </c>
      <c r="U574" s="7">
        <f t="shared" si="3075"/>
        <v>5502773.4658095231</v>
      </c>
      <c r="V574" s="7">
        <f t="shared" si="3075"/>
        <v>5502773.4658095231</v>
      </c>
      <c r="W574" s="7">
        <f t="shared" si="3075"/>
        <v>5502773.4658095231</v>
      </c>
      <c r="X574" s="7">
        <f t="shared" si="3075"/>
        <v>5502773.4658095231</v>
      </c>
      <c r="Y574" s="7">
        <f t="shared" si="3075"/>
        <v>5502773.4658095231</v>
      </c>
      <c r="Z574" s="7">
        <f t="shared" si="3075"/>
        <v>5502773.4658095231</v>
      </c>
      <c r="AA574" s="7"/>
      <c r="AB574" s="7"/>
      <c r="AC574" s="7">
        <f t="shared" si="2860"/>
        <v>0</v>
      </c>
      <c r="AD574" s="7">
        <f t="shared" si="2861"/>
        <v>5502773.4658095231</v>
      </c>
      <c r="AE574" s="7">
        <f t="shared" ref="AE574:AO583" si="3076">AD574-$L574</f>
        <v>5502773.4658095231</v>
      </c>
      <c r="AF574" s="7">
        <f t="shared" si="3076"/>
        <v>5502773.4658095231</v>
      </c>
      <c r="AG574" s="7">
        <f t="shared" si="3076"/>
        <v>5502773.4658095231</v>
      </c>
      <c r="AH574" s="7">
        <f t="shared" si="3076"/>
        <v>5502773.4658095231</v>
      </c>
      <c r="AI574" s="7">
        <f t="shared" si="3076"/>
        <v>5502773.4658095231</v>
      </c>
      <c r="AJ574" s="7">
        <f t="shared" si="3076"/>
        <v>5502773.4658095231</v>
      </c>
      <c r="AK574" s="7">
        <f t="shared" si="3076"/>
        <v>5502773.4658095231</v>
      </c>
      <c r="AL574" s="7">
        <f t="shared" si="3076"/>
        <v>5502773.4658095231</v>
      </c>
      <c r="AM574" s="7">
        <f t="shared" si="3076"/>
        <v>5502773.4658095231</v>
      </c>
      <c r="AN574" s="7">
        <f t="shared" si="3076"/>
        <v>5502773.4658095231</v>
      </c>
      <c r="AO574" s="7">
        <f t="shared" si="3076"/>
        <v>5502773.4658095231</v>
      </c>
      <c r="AP574" s="222"/>
      <c r="AQ574" s="7">
        <v>0</v>
      </c>
      <c r="AR574" s="7">
        <f t="shared" si="2865"/>
        <v>0</v>
      </c>
      <c r="AS574" s="7">
        <f t="shared" si="2866"/>
        <v>0</v>
      </c>
      <c r="AT574" s="7">
        <f t="shared" ref="AT574" si="3077">L574*12</f>
        <v>0</v>
      </c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236">
        <f t="shared" si="3071"/>
        <v>0</v>
      </c>
      <c r="BH574" s="7">
        <v>0</v>
      </c>
      <c r="BI574" s="7">
        <f>AC574*12</f>
        <v>0</v>
      </c>
      <c r="BJ574" s="39"/>
      <c r="BK574" s="39"/>
      <c r="BL574" s="39"/>
      <c r="BM574" s="39"/>
      <c r="BN574" s="39"/>
      <c r="BO574" s="39"/>
      <c r="BP574" s="39"/>
      <c r="BQ574" s="39"/>
      <c r="BR574" s="39"/>
      <c r="BS574" s="39"/>
      <c r="BT574" s="39"/>
      <c r="BU574" s="39"/>
      <c r="BV574" s="236">
        <f t="shared" si="3074"/>
        <v>0</v>
      </c>
      <c r="BW574" s="7">
        <v>0</v>
      </c>
      <c r="BX574" s="7">
        <f>AT574*12</f>
        <v>0</v>
      </c>
      <c r="BY574" s="39"/>
      <c r="BZ574" s="39"/>
      <c r="CA574" s="39"/>
      <c r="CB574" s="39"/>
      <c r="CC574" s="39"/>
      <c r="CD574" s="39"/>
      <c r="CE574" s="39"/>
      <c r="CF574" s="39"/>
      <c r="CG574" s="39"/>
      <c r="CH574" s="39"/>
      <c r="CI574" s="39"/>
      <c r="CJ574" s="39"/>
      <c r="CK574" s="236">
        <f t="shared" si="3072"/>
        <v>0</v>
      </c>
      <c r="CL574" s="7">
        <v>0</v>
      </c>
      <c r="CM574" s="7">
        <f>BI574*12</f>
        <v>0</v>
      </c>
      <c r="CN574" s="39"/>
      <c r="CO574" s="39"/>
      <c r="CP574" s="39"/>
      <c r="CQ574" s="39"/>
      <c r="CR574" s="39"/>
      <c r="CS574" s="39"/>
      <c r="CT574" s="39"/>
      <c r="CU574" s="39"/>
      <c r="CV574" s="39"/>
      <c r="CW574" s="39"/>
      <c r="CX574" s="39"/>
      <c r="CY574" s="39"/>
      <c r="CZ574" s="236">
        <f t="shared" si="3073"/>
        <v>0</v>
      </c>
    </row>
    <row r="575" spans="1:104" x14ac:dyDescent="0.2">
      <c r="A575" s="6" t="str">
        <f>'[1]2021 УГРЦТ'!A579</f>
        <v>Балок 2004г</v>
      </c>
      <c r="B575" t="str">
        <f>'[1]2021 УГРЦТ'!B579</f>
        <v>00000702</v>
      </c>
      <c r="C575" t="str">
        <f>'[1]2021 УГРЦТ'!C579</f>
        <v>ОБЩЕХОЗЯЙСТВЕННЫЕ РАСХОДЫ</v>
      </c>
      <c r="D575" t="str">
        <f>'[1]2021 УГРЦТ'!D579</f>
        <v>Здания</v>
      </c>
      <c r="E575" t="str">
        <f>'[1]2021 УГРЦТ'!E579</f>
        <v>30.06.2004</v>
      </c>
      <c r="F575" t="str">
        <f>'[1]2021 УГРЦТ'!F579</f>
        <v>Общехозяйственные расходы</v>
      </c>
      <c r="G575">
        <f>'[1]2021 УГРЦТ'!AC579</f>
        <v>120</v>
      </c>
      <c r="H575" s="7">
        <f>'[1]2021 УГРЦТ'!X579</f>
        <v>147586.91</v>
      </c>
      <c r="I575" s="7">
        <f>'[1]2021 УГРЦТ'!Y579</f>
        <v>71696.42</v>
      </c>
      <c r="J575" s="7">
        <f>'[1]2021 УГРЦТ'!Z579</f>
        <v>75890.490000000005</v>
      </c>
      <c r="K575" s="8">
        <v>1</v>
      </c>
      <c r="L575" s="7">
        <v>1054.0300000000002</v>
      </c>
      <c r="M575" s="7"/>
      <c r="N575" s="7">
        <f t="shared" si="3035"/>
        <v>12648.360000000002</v>
      </c>
      <c r="O575" s="7">
        <f t="shared" si="2859"/>
        <v>74836.460000000006</v>
      </c>
      <c r="P575" s="7">
        <f t="shared" si="3075"/>
        <v>73782.430000000008</v>
      </c>
      <c r="Q575" s="7">
        <f t="shared" si="3075"/>
        <v>72728.400000000009</v>
      </c>
      <c r="R575" s="7">
        <f t="shared" si="3075"/>
        <v>71674.37000000001</v>
      </c>
      <c r="S575" s="7">
        <f t="shared" si="3075"/>
        <v>70620.340000000011</v>
      </c>
      <c r="T575" s="7">
        <f t="shared" si="3075"/>
        <v>69566.310000000012</v>
      </c>
      <c r="U575" s="7">
        <f t="shared" si="3075"/>
        <v>68512.280000000013</v>
      </c>
      <c r="V575" s="7">
        <f t="shared" si="3075"/>
        <v>67458.250000000015</v>
      </c>
      <c r="W575" s="7">
        <f t="shared" si="3075"/>
        <v>66404.220000000016</v>
      </c>
      <c r="X575" s="7">
        <f t="shared" si="3075"/>
        <v>65350.190000000017</v>
      </c>
      <c r="Y575" s="7">
        <f t="shared" si="3075"/>
        <v>64296.160000000018</v>
      </c>
      <c r="Z575" s="7">
        <f t="shared" si="3075"/>
        <v>63242.130000000019</v>
      </c>
      <c r="AA575" s="7">
        <f t="shared" ref="AA575:AA580" si="3078">SUM(O575:Z575,J575)/13*$AA$1</f>
        <v>1530.4588200000003</v>
      </c>
      <c r="AB575" s="7"/>
      <c r="AC575" s="7">
        <f t="shared" si="2860"/>
        <v>12648.360000000002</v>
      </c>
      <c r="AD575" s="7">
        <f t="shared" si="2861"/>
        <v>62188.10000000002</v>
      </c>
      <c r="AE575" s="7">
        <f t="shared" si="3076"/>
        <v>61134.070000000022</v>
      </c>
      <c r="AF575" s="7">
        <f t="shared" si="3076"/>
        <v>60080.040000000023</v>
      </c>
      <c r="AG575" s="7">
        <f t="shared" si="3076"/>
        <v>59026.010000000024</v>
      </c>
      <c r="AH575" s="7">
        <f t="shared" si="3076"/>
        <v>57971.980000000025</v>
      </c>
      <c r="AI575" s="7">
        <f t="shared" si="3076"/>
        <v>56917.950000000026</v>
      </c>
      <c r="AJ575" s="7">
        <f t="shared" si="3076"/>
        <v>55863.920000000027</v>
      </c>
      <c r="AK575" s="7">
        <f t="shared" si="3076"/>
        <v>54809.890000000029</v>
      </c>
      <c r="AL575" s="7">
        <f t="shared" si="3076"/>
        <v>53755.86000000003</v>
      </c>
      <c r="AM575" s="7">
        <f t="shared" si="3076"/>
        <v>52701.830000000031</v>
      </c>
      <c r="AN575" s="7">
        <f t="shared" si="3076"/>
        <v>51647.800000000032</v>
      </c>
      <c r="AO575" s="7">
        <f t="shared" si="3076"/>
        <v>50593.770000000033</v>
      </c>
      <c r="AP575" s="222">
        <f t="shared" ref="AP575:AP580" si="3079">IF(K575&lt;1,0,SUM(AD575:AO575,Z575)/13*$BG$1)</f>
        <v>1252.1949000000004</v>
      </c>
      <c r="AQ575" s="7">
        <v>1054.0300000000002</v>
      </c>
      <c r="AR575" s="7">
        <f t="shared" si="2865"/>
        <v>1054.0299999999988</v>
      </c>
      <c r="AS575" s="7">
        <f t="shared" si="2866"/>
        <v>0</v>
      </c>
      <c r="AT575" s="7">
        <f t="shared" ref="AT575:AT580" si="3080">AQ575*12</f>
        <v>12648.360000000002</v>
      </c>
      <c r="AU575" s="39">
        <f t="shared" ref="AU575:AU583" si="3081">AO575-$AQ575</f>
        <v>49539.740000000034</v>
      </c>
      <c r="AV575" s="39">
        <f t="shared" ref="AV575:BF575" si="3082">AU575-$AQ575</f>
        <v>48485.710000000036</v>
      </c>
      <c r="AW575" s="39">
        <f t="shared" si="3082"/>
        <v>47431.680000000037</v>
      </c>
      <c r="AX575" s="39">
        <f t="shared" si="3082"/>
        <v>46377.650000000038</v>
      </c>
      <c r="AY575" s="39">
        <f t="shared" si="3082"/>
        <v>45323.620000000039</v>
      </c>
      <c r="AZ575" s="39">
        <f t="shared" si="3082"/>
        <v>44269.59000000004</v>
      </c>
      <c r="BA575" s="39">
        <f t="shared" si="3082"/>
        <v>43215.560000000041</v>
      </c>
      <c r="BB575" s="39">
        <f t="shared" si="3082"/>
        <v>42161.530000000042</v>
      </c>
      <c r="BC575" s="39">
        <f t="shared" si="3082"/>
        <v>41107.500000000044</v>
      </c>
      <c r="BD575" s="39">
        <f t="shared" si="3082"/>
        <v>40053.470000000045</v>
      </c>
      <c r="BE575" s="39">
        <f t="shared" si="3082"/>
        <v>38999.440000000046</v>
      </c>
      <c r="BF575" s="39">
        <f t="shared" si="3082"/>
        <v>37945.410000000047</v>
      </c>
      <c r="BG575" s="236">
        <f t="shared" si="3071"/>
        <v>973.93098000000077</v>
      </c>
      <c r="BH575" s="7">
        <v>1054.0300000000002</v>
      </c>
      <c r="BI575" s="39">
        <f t="shared" ref="BI575:BI581" si="3083">BH575*12</f>
        <v>12648.360000000002</v>
      </c>
      <c r="BJ575" s="7">
        <f t="shared" ref="BJ575:BJ583" si="3084">BF575-BH575</f>
        <v>36891.380000000048</v>
      </c>
      <c r="BK575" s="39">
        <f t="shared" ref="BK575:BK583" si="3085">BJ575-$AQ575</f>
        <v>35837.350000000049</v>
      </c>
      <c r="BL575" s="39">
        <f t="shared" ref="BL575:BL583" si="3086">BK575-$AQ575</f>
        <v>34783.320000000051</v>
      </c>
      <c r="BM575" s="39">
        <f t="shared" ref="BM575:BM583" si="3087">BL575-$AQ575</f>
        <v>33729.290000000052</v>
      </c>
      <c r="BN575" s="39">
        <f t="shared" ref="BN575:BN583" si="3088">BM575-$AQ575</f>
        <v>32675.260000000053</v>
      </c>
      <c r="BO575" s="39">
        <f t="shared" ref="BO575:BO583" si="3089">BN575-$AQ575</f>
        <v>31621.230000000054</v>
      </c>
      <c r="BP575" s="39">
        <f t="shared" ref="BP575:BP583" si="3090">BO575-$AQ575</f>
        <v>30567.200000000055</v>
      </c>
      <c r="BQ575" s="39">
        <f t="shared" ref="BQ575:BQ583" si="3091">BP575-$AQ575</f>
        <v>29513.170000000056</v>
      </c>
      <c r="BR575" s="39">
        <f t="shared" ref="BR575:BR577" si="3092">BQ575-$AQ575</f>
        <v>28459.140000000058</v>
      </c>
      <c r="BS575" s="39">
        <f t="shared" ref="BS575:BS583" si="3093">BR575-$AQ575</f>
        <v>27405.110000000059</v>
      </c>
      <c r="BT575" s="39">
        <f t="shared" ref="BT575:BT583" si="3094">BS575-$AQ575</f>
        <v>26351.08000000006</v>
      </c>
      <c r="BU575" s="39">
        <f t="shared" ref="BU575:BU583" si="3095">BT575-$AQ575</f>
        <v>25297.050000000061</v>
      </c>
      <c r="BV575" s="236">
        <f t="shared" si="3074"/>
        <v>695.66706000000113</v>
      </c>
      <c r="BW575" s="7">
        <v>1054.0300000000002</v>
      </c>
      <c r="BX575" s="39">
        <f t="shared" ref="BX575:BX581" si="3096">BW575*12</f>
        <v>12648.360000000002</v>
      </c>
      <c r="BY575" s="7">
        <f t="shared" ref="BY575:BY581" si="3097">BU575-BW575</f>
        <v>24243.020000000062</v>
      </c>
      <c r="BZ575" s="39">
        <f t="shared" ref="BZ575:BZ583" si="3098">BY575-$AQ575</f>
        <v>23188.990000000063</v>
      </c>
      <c r="CA575" s="39">
        <f t="shared" ref="CA575:CA583" si="3099">BZ575-$AQ575</f>
        <v>22134.960000000065</v>
      </c>
      <c r="CB575" s="39">
        <f t="shared" ref="CB575:CB583" si="3100">CA575-$AQ575</f>
        <v>21080.930000000066</v>
      </c>
      <c r="CC575" s="39">
        <f t="shared" ref="CC575:CC583" si="3101">CB575-$AQ575</f>
        <v>20026.900000000067</v>
      </c>
      <c r="CD575" s="39">
        <f t="shared" ref="CD575:CD583" si="3102">CC575-$AQ575</f>
        <v>18972.870000000068</v>
      </c>
      <c r="CE575" s="39">
        <f t="shared" ref="CE575:CE583" si="3103">CD575-$AQ575</f>
        <v>17918.840000000069</v>
      </c>
      <c r="CF575" s="39">
        <f t="shared" ref="CF575:CF583" si="3104">CE575-$AQ575</f>
        <v>16864.81000000007</v>
      </c>
      <c r="CG575" s="39">
        <f t="shared" ref="CG575:CG577" si="3105">CF575-$AQ575</f>
        <v>15810.78000000007</v>
      </c>
      <c r="CH575" s="39">
        <f t="shared" ref="CH575:CH583" si="3106">CG575-$AQ575</f>
        <v>14756.750000000069</v>
      </c>
      <c r="CI575" s="39">
        <f t="shared" ref="CI575:CI583" si="3107">CH575-$AQ575</f>
        <v>13702.720000000068</v>
      </c>
      <c r="CJ575" s="39">
        <f t="shared" ref="CJ575:CJ583" si="3108">CI575-$AQ575</f>
        <v>12648.690000000068</v>
      </c>
      <c r="CK575" s="236">
        <f t="shared" si="3072"/>
        <v>417.40314000000132</v>
      </c>
      <c r="CL575" s="7">
        <v>1054.0300000000002</v>
      </c>
      <c r="CM575" s="39">
        <f t="shared" ref="CM575:CM581" si="3109">CL575*12</f>
        <v>12648.360000000002</v>
      </c>
      <c r="CN575" s="7">
        <f t="shared" ref="CN575:CN581" si="3110">CJ575-CL575</f>
        <v>11594.660000000067</v>
      </c>
      <c r="CO575" s="39">
        <f t="shared" ref="CO575:CO581" si="3111">CN575-$AQ575</f>
        <v>10540.630000000067</v>
      </c>
      <c r="CP575" s="39">
        <f t="shared" ref="CP575:CP581" si="3112">CO575-$AQ575</f>
        <v>9486.6000000000658</v>
      </c>
      <c r="CQ575" s="39">
        <f t="shared" ref="CQ575:CQ581" si="3113">CP575-$AQ575</f>
        <v>8432.5700000000652</v>
      </c>
      <c r="CR575" s="39">
        <f t="shared" ref="CR575:CR581" si="3114">CQ575-$AQ575</f>
        <v>7378.5400000000645</v>
      </c>
      <c r="CS575" s="39">
        <f t="shared" ref="CS575:CS581" si="3115">CR575-$AQ575</f>
        <v>6324.5100000000639</v>
      </c>
      <c r="CT575" s="39">
        <f t="shared" ref="CT575:CT581" si="3116">CS575-$AQ575</f>
        <v>5270.4800000000632</v>
      </c>
      <c r="CU575" s="39">
        <f t="shared" ref="CU575:CU581" si="3117">CT575-$AQ575</f>
        <v>4216.4500000000626</v>
      </c>
      <c r="CV575" s="39">
        <f t="shared" ref="CV575:CV577" si="3118">CU575-$AQ575</f>
        <v>3162.4200000000624</v>
      </c>
      <c r="CW575" s="39">
        <f t="shared" ref="CW575:CW581" si="3119">CV575-$AQ575</f>
        <v>2108.3900000000622</v>
      </c>
      <c r="CX575" s="39">
        <f t="shared" ref="CX575:CX581" si="3120">CW575-$AQ575</f>
        <v>1054.360000000062</v>
      </c>
      <c r="CY575" s="39">
        <f t="shared" ref="CY575:CY581" si="3121">CX575-$AQ575</f>
        <v>0.33000000006177288</v>
      </c>
      <c r="CZ575" s="236">
        <f t="shared" si="3073"/>
        <v>139.13922000000139</v>
      </c>
    </row>
    <row r="576" spans="1:104" x14ac:dyDescent="0.2">
      <c r="A576" s="6" t="str">
        <f>'[1]2021 УГРЦТ'!A580</f>
        <v>Балок Геолог деревянный 1991г</v>
      </c>
      <c r="B576" t="str">
        <f>'[1]2021 УГРЦТ'!B580</f>
        <v>00000052</v>
      </c>
      <c r="C576" t="str">
        <f>'[1]2021 УГРЦТ'!C580</f>
        <v>ОБЩЕХОЗЯЙСТВЕННЫЕ РАСХОДЫ</v>
      </c>
      <c r="D576" t="str">
        <f>'[1]2021 УГРЦТ'!D580</f>
        <v>Здания</v>
      </c>
      <c r="E576" t="str">
        <f>'[1]2021 УГРЦТ'!E580</f>
        <v>01.01.1991</v>
      </c>
      <c r="F576" t="str">
        <f>'[1]2021 УГРЦТ'!F580</f>
        <v>Общехозяйственные расходы</v>
      </c>
      <c r="G576">
        <f>'[1]2021 УГРЦТ'!AC580</f>
        <v>120</v>
      </c>
      <c r="H576" s="7">
        <f>'[1]2021 УГРЦТ'!X580</f>
        <v>135023.92000000001</v>
      </c>
      <c r="I576" s="7">
        <f>'[1]2021 УГРЦТ'!Y580</f>
        <v>59133.440000000002</v>
      </c>
      <c r="J576" s="7">
        <f>'[1]2021 УГРЦТ'!Z580</f>
        <v>75890.48000000001</v>
      </c>
      <c r="K576" s="8">
        <v>1</v>
      </c>
      <c r="L576" s="7">
        <v>1054.0300000000002</v>
      </c>
      <c r="M576" s="7"/>
      <c r="N576" s="7">
        <f t="shared" si="3035"/>
        <v>12648.360000000002</v>
      </c>
      <c r="O576" s="7">
        <f t="shared" si="2859"/>
        <v>74836.450000000012</v>
      </c>
      <c r="P576" s="7">
        <f t="shared" si="3075"/>
        <v>73782.420000000013</v>
      </c>
      <c r="Q576" s="7">
        <f t="shared" si="3075"/>
        <v>72728.390000000014</v>
      </c>
      <c r="R576" s="7">
        <f t="shared" si="3075"/>
        <v>71674.360000000015</v>
      </c>
      <c r="S576" s="7">
        <f t="shared" si="3075"/>
        <v>70620.330000000016</v>
      </c>
      <c r="T576" s="7">
        <f t="shared" si="3075"/>
        <v>69566.300000000017</v>
      </c>
      <c r="U576" s="7">
        <f t="shared" si="3075"/>
        <v>68512.270000000019</v>
      </c>
      <c r="V576" s="7">
        <f t="shared" si="3075"/>
        <v>67458.24000000002</v>
      </c>
      <c r="W576" s="7">
        <f t="shared" si="3075"/>
        <v>66404.210000000021</v>
      </c>
      <c r="X576" s="7">
        <f t="shared" si="3075"/>
        <v>65350.180000000022</v>
      </c>
      <c r="Y576" s="7">
        <f t="shared" si="3075"/>
        <v>64296.150000000023</v>
      </c>
      <c r="Z576" s="7">
        <f t="shared" si="3075"/>
        <v>63242.120000000024</v>
      </c>
      <c r="AA576" s="7">
        <f t="shared" si="3078"/>
        <v>1530.4586000000004</v>
      </c>
      <c r="AB576" s="7"/>
      <c r="AC576" s="7">
        <f t="shared" si="2860"/>
        <v>12648.360000000002</v>
      </c>
      <c r="AD576" s="7">
        <f t="shared" si="2861"/>
        <v>62188.090000000026</v>
      </c>
      <c r="AE576" s="7">
        <f t="shared" si="3076"/>
        <v>61134.060000000027</v>
      </c>
      <c r="AF576" s="7">
        <f t="shared" si="3076"/>
        <v>60080.030000000028</v>
      </c>
      <c r="AG576" s="7">
        <f t="shared" si="3076"/>
        <v>59026.000000000029</v>
      </c>
      <c r="AH576" s="7">
        <f t="shared" si="3076"/>
        <v>57971.97000000003</v>
      </c>
      <c r="AI576" s="7">
        <f t="shared" si="3076"/>
        <v>56917.940000000031</v>
      </c>
      <c r="AJ576" s="7">
        <f t="shared" si="3076"/>
        <v>55863.910000000033</v>
      </c>
      <c r="AK576" s="7">
        <f t="shared" si="3076"/>
        <v>54809.880000000034</v>
      </c>
      <c r="AL576" s="7">
        <f t="shared" si="3076"/>
        <v>53755.850000000035</v>
      </c>
      <c r="AM576" s="7">
        <f t="shared" si="3076"/>
        <v>52701.820000000036</v>
      </c>
      <c r="AN576" s="7">
        <f t="shared" si="3076"/>
        <v>51647.790000000037</v>
      </c>
      <c r="AO576" s="7">
        <f t="shared" si="3076"/>
        <v>50593.760000000038</v>
      </c>
      <c r="AP576" s="222">
        <f t="shared" si="3079"/>
        <v>1252.1946800000005</v>
      </c>
      <c r="AQ576" s="7">
        <v>1054.0300000000002</v>
      </c>
      <c r="AR576" s="7">
        <f t="shared" si="2865"/>
        <v>1054.0299999999988</v>
      </c>
      <c r="AS576" s="7">
        <f t="shared" si="2866"/>
        <v>0</v>
      </c>
      <c r="AT576" s="7">
        <f t="shared" si="3080"/>
        <v>12648.360000000002</v>
      </c>
      <c r="AU576" s="39">
        <f t="shared" si="3081"/>
        <v>49539.73000000004</v>
      </c>
      <c r="AV576" s="39">
        <f t="shared" ref="AV576:BF576" si="3122">AU576-$AQ576</f>
        <v>48485.700000000041</v>
      </c>
      <c r="AW576" s="39">
        <f t="shared" si="3122"/>
        <v>47431.670000000042</v>
      </c>
      <c r="AX576" s="39">
        <f t="shared" si="3122"/>
        <v>46377.640000000043</v>
      </c>
      <c r="AY576" s="39">
        <f t="shared" si="3122"/>
        <v>45323.610000000044</v>
      </c>
      <c r="AZ576" s="39">
        <f t="shared" si="3122"/>
        <v>44269.580000000045</v>
      </c>
      <c r="BA576" s="39">
        <f t="shared" si="3122"/>
        <v>43215.550000000047</v>
      </c>
      <c r="BB576" s="39">
        <f t="shared" si="3122"/>
        <v>42161.520000000048</v>
      </c>
      <c r="BC576" s="39">
        <f t="shared" si="3122"/>
        <v>41107.490000000049</v>
      </c>
      <c r="BD576" s="39">
        <f t="shared" si="3122"/>
        <v>40053.46000000005</v>
      </c>
      <c r="BE576" s="39">
        <f t="shared" si="3122"/>
        <v>38999.430000000051</v>
      </c>
      <c r="BF576" s="39">
        <f t="shared" si="3122"/>
        <v>37945.400000000052</v>
      </c>
      <c r="BG576" s="236">
        <f t="shared" si="3071"/>
        <v>973.93076000000076</v>
      </c>
      <c r="BH576" s="7">
        <v>1054.0300000000002</v>
      </c>
      <c r="BI576" s="39">
        <f t="shared" si="3083"/>
        <v>12648.360000000002</v>
      </c>
      <c r="BJ576" s="7">
        <f t="shared" si="3084"/>
        <v>36891.370000000054</v>
      </c>
      <c r="BK576" s="39">
        <f t="shared" si="3085"/>
        <v>35837.340000000055</v>
      </c>
      <c r="BL576" s="39">
        <f t="shared" si="3086"/>
        <v>34783.310000000056</v>
      </c>
      <c r="BM576" s="39">
        <f t="shared" si="3087"/>
        <v>33729.280000000057</v>
      </c>
      <c r="BN576" s="39">
        <f t="shared" si="3088"/>
        <v>32675.250000000058</v>
      </c>
      <c r="BO576" s="39">
        <f t="shared" si="3089"/>
        <v>31621.220000000059</v>
      </c>
      <c r="BP576" s="39">
        <f t="shared" si="3090"/>
        <v>30567.190000000061</v>
      </c>
      <c r="BQ576" s="39">
        <f t="shared" si="3091"/>
        <v>29513.160000000062</v>
      </c>
      <c r="BR576" s="39">
        <f t="shared" si="3092"/>
        <v>28459.130000000063</v>
      </c>
      <c r="BS576" s="39">
        <f t="shared" si="3093"/>
        <v>27405.100000000064</v>
      </c>
      <c r="BT576" s="39">
        <f t="shared" si="3094"/>
        <v>26351.070000000065</v>
      </c>
      <c r="BU576" s="39">
        <f t="shared" si="3095"/>
        <v>25297.040000000066</v>
      </c>
      <c r="BV576" s="236">
        <f t="shared" si="3074"/>
        <v>695.66684000000112</v>
      </c>
      <c r="BW576" s="7">
        <v>1054.0300000000002</v>
      </c>
      <c r="BX576" s="39">
        <f t="shared" si="3096"/>
        <v>12648.360000000002</v>
      </c>
      <c r="BY576" s="7">
        <f t="shared" si="3097"/>
        <v>24243.010000000068</v>
      </c>
      <c r="BZ576" s="39">
        <f t="shared" si="3098"/>
        <v>23188.980000000069</v>
      </c>
      <c r="CA576" s="39">
        <f t="shared" si="3099"/>
        <v>22134.95000000007</v>
      </c>
      <c r="CB576" s="39">
        <f t="shared" si="3100"/>
        <v>21080.920000000071</v>
      </c>
      <c r="CC576" s="39">
        <f t="shared" si="3101"/>
        <v>20026.890000000072</v>
      </c>
      <c r="CD576" s="39">
        <f t="shared" si="3102"/>
        <v>18972.860000000073</v>
      </c>
      <c r="CE576" s="39">
        <f t="shared" si="3103"/>
        <v>17918.830000000075</v>
      </c>
      <c r="CF576" s="39">
        <f t="shared" si="3104"/>
        <v>16864.800000000076</v>
      </c>
      <c r="CG576" s="39">
        <f t="shared" si="3105"/>
        <v>15810.770000000075</v>
      </c>
      <c r="CH576" s="39">
        <f t="shared" si="3106"/>
        <v>14756.740000000074</v>
      </c>
      <c r="CI576" s="39">
        <f t="shared" si="3107"/>
        <v>13702.710000000074</v>
      </c>
      <c r="CJ576" s="39">
        <f t="shared" si="3108"/>
        <v>12648.680000000073</v>
      </c>
      <c r="CK576" s="236">
        <f t="shared" si="3072"/>
        <v>417.40292000000159</v>
      </c>
      <c r="CL576" s="7">
        <v>1054.0300000000002</v>
      </c>
      <c r="CM576" s="39">
        <f t="shared" si="3109"/>
        <v>12648.360000000002</v>
      </c>
      <c r="CN576" s="7">
        <f t="shared" si="3110"/>
        <v>11594.650000000072</v>
      </c>
      <c r="CO576" s="39">
        <f t="shared" si="3111"/>
        <v>10540.620000000072</v>
      </c>
      <c r="CP576" s="39">
        <f t="shared" si="3112"/>
        <v>9486.5900000000711</v>
      </c>
      <c r="CQ576" s="39">
        <f t="shared" si="3113"/>
        <v>8432.5600000000704</v>
      </c>
      <c r="CR576" s="39">
        <f t="shared" si="3114"/>
        <v>7378.5300000000698</v>
      </c>
      <c r="CS576" s="39">
        <f t="shared" si="3115"/>
        <v>6324.5000000000691</v>
      </c>
      <c r="CT576" s="39">
        <f t="shared" si="3116"/>
        <v>5270.4700000000685</v>
      </c>
      <c r="CU576" s="39">
        <f t="shared" si="3117"/>
        <v>4216.4400000000678</v>
      </c>
      <c r="CV576" s="39">
        <f t="shared" si="3118"/>
        <v>3162.4100000000676</v>
      </c>
      <c r="CW576" s="39">
        <f t="shared" si="3119"/>
        <v>2108.3800000000674</v>
      </c>
      <c r="CX576" s="39">
        <f t="shared" si="3120"/>
        <v>1054.3500000000672</v>
      </c>
      <c r="CY576" s="39">
        <f t="shared" si="3121"/>
        <v>0.32000000006701157</v>
      </c>
      <c r="CZ576" s="236">
        <f t="shared" si="3073"/>
        <v>139.13900000000146</v>
      </c>
    </row>
    <row r="577" spans="1:104" x14ac:dyDescent="0.2">
      <c r="A577" s="6" t="str">
        <f>'[1]2021 УГРЦТ'!A581</f>
        <v>Балок Геолог деревянный 1994г.</v>
      </c>
      <c r="B577" t="str">
        <f>'[1]2021 УГРЦТ'!B581</f>
        <v>00000051</v>
      </c>
      <c r="C577" t="str">
        <f>'[1]2021 УГРЦТ'!C581</f>
        <v>ОБЩЕХОЗЯЙСТВЕННЫЕ РАСХОДЫ</v>
      </c>
      <c r="D577" t="str">
        <f>'[1]2021 УГРЦТ'!D581</f>
        <v>Здания</v>
      </c>
      <c r="E577" t="str">
        <f>'[1]2021 УГРЦТ'!E581</f>
        <v>01.01.1994</v>
      </c>
      <c r="F577" t="str">
        <f>'[1]2021 УГРЦТ'!F581</f>
        <v>Общехозяйственные расходы</v>
      </c>
      <c r="G577">
        <f>'[1]2021 УГРЦТ'!AC581</f>
        <v>120</v>
      </c>
      <c r="H577" s="7">
        <f>'[1]2021 УГРЦТ'!X581</f>
        <v>164373.92000000001</v>
      </c>
      <c r="I577" s="7">
        <f>'[1]2021 УГРЦТ'!Y581</f>
        <v>88483.44</v>
      </c>
      <c r="J577" s="7">
        <f>'[1]2021 УГРЦТ'!Z581</f>
        <v>75890.48000000001</v>
      </c>
      <c r="K577" s="8">
        <v>1</v>
      </c>
      <c r="L577" s="7">
        <v>1054.0300000000002</v>
      </c>
      <c r="M577" s="7"/>
      <c r="N577" s="7">
        <f t="shared" si="3035"/>
        <v>12648.360000000002</v>
      </c>
      <c r="O577" s="7">
        <f t="shared" si="2859"/>
        <v>74836.450000000012</v>
      </c>
      <c r="P577" s="7">
        <f t="shared" si="3075"/>
        <v>73782.420000000013</v>
      </c>
      <c r="Q577" s="7">
        <f t="shared" si="3075"/>
        <v>72728.390000000014</v>
      </c>
      <c r="R577" s="7">
        <f t="shared" si="3075"/>
        <v>71674.360000000015</v>
      </c>
      <c r="S577" s="7">
        <f t="shared" si="3075"/>
        <v>70620.330000000016</v>
      </c>
      <c r="T577" s="7">
        <f t="shared" si="3075"/>
        <v>69566.300000000017</v>
      </c>
      <c r="U577" s="7">
        <f t="shared" si="3075"/>
        <v>68512.270000000019</v>
      </c>
      <c r="V577" s="7">
        <f t="shared" si="3075"/>
        <v>67458.24000000002</v>
      </c>
      <c r="W577" s="7">
        <f t="shared" si="3075"/>
        <v>66404.210000000021</v>
      </c>
      <c r="X577" s="7">
        <f t="shared" si="3075"/>
        <v>65350.180000000022</v>
      </c>
      <c r="Y577" s="7">
        <f t="shared" si="3075"/>
        <v>64296.150000000023</v>
      </c>
      <c r="Z577" s="7">
        <f t="shared" si="3075"/>
        <v>63242.120000000024</v>
      </c>
      <c r="AA577" s="7">
        <f t="shared" si="3078"/>
        <v>1530.4586000000004</v>
      </c>
      <c r="AB577" s="7"/>
      <c r="AC577" s="7">
        <f t="shared" si="2860"/>
        <v>12648.360000000002</v>
      </c>
      <c r="AD577" s="7">
        <f t="shared" si="2861"/>
        <v>62188.090000000026</v>
      </c>
      <c r="AE577" s="7">
        <f t="shared" si="3076"/>
        <v>61134.060000000027</v>
      </c>
      <c r="AF577" s="7">
        <f t="shared" si="3076"/>
        <v>60080.030000000028</v>
      </c>
      <c r="AG577" s="7">
        <f t="shared" si="3076"/>
        <v>59026.000000000029</v>
      </c>
      <c r="AH577" s="7">
        <f t="shared" si="3076"/>
        <v>57971.97000000003</v>
      </c>
      <c r="AI577" s="7">
        <f t="shared" si="3076"/>
        <v>56917.940000000031</v>
      </c>
      <c r="AJ577" s="7">
        <f t="shared" si="3076"/>
        <v>55863.910000000033</v>
      </c>
      <c r="AK577" s="7">
        <f t="shared" si="3076"/>
        <v>54809.880000000034</v>
      </c>
      <c r="AL577" s="7">
        <f t="shared" si="3076"/>
        <v>53755.850000000035</v>
      </c>
      <c r="AM577" s="7">
        <f t="shared" si="3076"/>
        <v>52701.820000000036</v>
      </c>
      <c r="AN577" s="7">
        <f t="shared" si="3076"/>
        <v>51647.790000000037</v>
      </c>
      <c r="AO577" s="7">
        <f t="shared" si="3076"/>
        <v>50593.760000000038</v>
      </c>
      <c r="AP577" s="222">
        <f t="shared" si="3079"/>
        <v>1252.1946800000005</v>
      </c>
      <c r="AQ577" s="7">
        <v>1054.0300000000002</v>
      </c>
      <c r="AR577" s="7">
        <f t="shared" si="2865"/>
        <v>1054.0299999999988</v>
      </c>
      <c r="AS577" s="7">
        <f t="shared" si="2866"/>
        <v>0</v>
      </c>
      <c r="AT577" s="7">
        <f t="shared" si="3080"/>
        <v>12648.360000000002</v>
      </c>
      <c r="AU577" s="39">
        <f t="shared" si="3081"/>
        <v>49539.73000000004</v>
      </c>
      <c r="AV577" s="39">
        <f t="shared" ref="AV577:BF577" si="3123">AU577-$AQ577</f>
        <v>48485.700000000041</v>
      </c>
      <c r="AW577" s="39">
        <f t="shared" si="3123"/>
        <v>47431.670000000042</v>
      </c>
      <c r="AX577" s="39">
        <f t="shared" si="3123"/>
        <v>46377.640000000043</v>
      </c>
      <c r="AY577" s="39">
        <f t="shared" si="3123"/>
        <v>45323.610000000044</v>
      </c>
      <c r="AZ577" s="39">
        <f t="shared" si="3123"/>
        <v>44269.580000000045</v>
      </c>
      <c r="BA577" s="39">
        <f t="shared" si="3123"/>
        <v>43215.550000000047</v>
      </c>
      <c r="BB577" s="39">
        <f t="shared" si="3123"/>
        <v>42161.520000000048</v>
      </c>
      <c r="BC577" s="39">
        <f t="shared" si="3123"/>
        <v>41107.490000000049</v>
      </c>
      <c r="BD577" s="39">
        <f t="shared" si="3123"/>
        <v>40053.46000000005</v>
      </c>
      <c r="BE577" s="39">
        <f t="shared" si="3123"/>
        <v>38999.430000000051</v>
      </c>
      <c r="BF577" s="39">
        <f t="shared" si="3123"/>
        <v>37945.400000000052</v>
      </c>
      <c r="BG577" s="236">
        <f t="shared" si="3071"/>
        <v>973.93076000000076</v>
      </c>
      <c r="BH577" s="7">
        <v>1054.0300000000002</v>
      </c>
      <c r="BI577" s="39">
        <f t="shared" si="3083"/>
        <v>12648.360000000002</v>
      </c>
      <c r="BJ577" s="7">
        <f t="shared" si="3084"/>
        <v>36891.370000000054</v>
      </c>
      <c r="BK577" s="39">
        <f t="shared" si="3085"/>
        <v>35837.340000000055</v>
      </c>
      <c r="BL577" s="39">
        <f t="shared" si="3086"/>
        <v>34783.310000000056</v>
      </c>
      <c r="BM577" s="39">
        <f t="shared" si="3087"/>
        <v>33729.280000000057</v>
      </c>
      <c r="BN577" s="39">
        <f t="shared" si="3088"/>
        <v>32675.250000000058</v>
      </c>
      <c r="BO577" s="39">
        <f t="shared" si="3089"/>
        <v>31621.220000000059</v>
      </c>
      <c r="BP577" s="39">
        <f t="shared" si="3090"/>
        <v>30567.190000000061</v>
      </c>
      <c r="BQ577" s="39">
        <f t="shared" si="3091"/>
        <v>29513.160000000062</v>
      </c>
      <c r="BR577" s="39">
        <f t="shared" si="3092"/>
        <v>28459.130000000063</v>
      </c>
      <c r="BS577" s="39">
        <f t="shared" si="3093"/>
        <v>27405.100000000064</v>
      </c>
      <c r="BT577" s="39">
        <f t="shared" si="3094"/>
        <v>26351.070000000065</v>
      </c>
      <c r="BU577" s="39">
        <f t="shared" si="3095"/>
        <v>25297.040000000066</v>
      </c>
      <c r="BV577" s="236">
        <f t="shared" si="3074"/>
        <v>695.66684000000112</v>
      </c>
      <c r="BW577" s="7">
        <v>1054.0300000000002</v>
      </c>
      <c r="BX577" s="39">
        <f t="shared" si="3096"/>
        <v>12648.360000000002</v>
      </c>
      <c r="BY577" s="7">
        <f t="shared" si="3097"/>
        <v>24243.010000000068</v>
      </c>
      <c r="BZ577" s="39">
        <f t="shared" si="3098"/>
        <v>23188.980000000069</v>
      </c>
      <c r="CA577" s="39">
        <f t="shared" si="3099"/>
        <v>22134.95000000007</v>
      </c>
      <c r="CB577" s="39">
        <f t="shared" si="3100"/>
        <v>21080.920000000071</v>
      </c>
      <c r="CC577" s="39">
        <f t="shared" si="3101"/>
        <v>20026.890000000072</v>
      </c>
      <c r="CD577" s="39">
        <f t="shared" si="3102"/>
        <v>18972.860000000073</v>
      </c>
      <c r="CE577" s="39">
        <f t="shared" si="3103"/>
        <v>17918.830000000075</v>
      </c>
      <c r="CF577" s="39">
        <f t="shared" si="3104"/>
        <v>16864.800000000076</v>
      </c>
      <c r="CG577" s="39">
        <f t="shared" si="3105"/>
        <v>15810.770000000075</v>
      </c>
      <c r="CH577" s="39">
        <f t="shared" si="3106"/>
        <v>14756.740000000074</v>
      </c>
      <c r="CI577" s="39">
        <f t="shared" si="3107"/>
        <v>13702.710000000074</v>
      </c>
      <c r="CJ577" s="39">
        <f t="shared" si="3108"/>
        <v>12648.680000000073</v>
      </c>
      <c r="CK577" s="236">
        <f t="shared" si="3072"/>
        <v>417.40292000000159</v>
      </c>
      <c r="CL577" s="7">
        <v>1054.0300000000002</v>
      </c>
      <c r="CM577" s="39">
        <f t="shared" si="3109"/>
        <v>12648.360000000002</v>
      </c>
      <c r="CN577" s="7">
        <f t="shared" si="3110"/>
        <v>11594.650000000072</v>
      </c>
      <c r="CO577" s="39">
        <f t="shared" si="3111"/>
        <v>10540.620000000072</v>
      </c>
      <c r="CP577" s="39">
        <f t="shared" si="3112"/>
        <v>9486.5900000000711</v>
      </c>
      <c r="CQ577" s="39">
        <f t="shared" si="3113"/>
        <v>8432.5600000000704</v>
      </c>
      <c r="CR577" s="39">
        <f t="shared" si="3114"/>
        <v>7378.5300000000698</v>
      </c>
      <c r="CS577" s="39">
        <f t="shared" si="3115"/>
        <v>6324.5000000000691</v>
      </c>
      <c r="CT577" s="39">
        <f t="shared" si="3116"/>
        <v>5270.4700000000685</v>
      </c>
      <c r="CU577" s="39">
        <f t="shared" si="3117"/>
        <v>4216.4400000000678</v>
      </c>
      <c r="CV577" s="39">
        <f t="shared" si="3118"/>
        <v>3162.4100000000676</v>
      </c>
      <c r="CW577" s="39">
        <f t="shared" si="3119"/>
        <v>2108.3800000000674</v>
      </c>
      <c r="CX577" s="39">
        <f t="shared" si="3120"/>
        <v>1054.3500000000672</v>
      </c>
      <c r="CY577" s="39">
        <f t="shared" si="3121"/>
        <v>0.32000000006701157</v>
      </c>
      <c r="CZ577" s="236">
        <f t="shared" si="3073"/>
        <v>139.13900000000146</v>
      </c>
    </row>
    <row r="578" spans="1:104" x14ac:dyDescent="0.2">
      <c r="A578" s="6" t="str">
        <f>'[1]2021 УГРЦТ'!A582</f>
        <v>Здание  конторы  1976г.</v>
      </c>
      <c r="B578" t="str">
        <f>'[1]2021 УГРЦТ'!B582</f>
        <v>00000049</v>
      </c>
      <c r="C578" t="str">
        <f>'[1]2021 УГРЦТ'!C582</f>
        <v>ОБЩЕХОЗЯЙСТВЕННЫЕ РАСХОДЫ</v>
      </c>
      <c r="D578" t="str">
        <f>'[1]2021 УГРЦТ'!D582</f>
        <v>Здания</v>
      </c>
      <c r="E578" t="str">
        <f>'[1]2021 УГРЦТ'!E582</f>
        <v>01.01.1995</v>
      </c>
      <c r="F578" t="str">
        <f>'[1]2021 УГРЦТ'!F582</f>
        <v>Общехозяйственные расходы</v>
      </c>
      <c r="G578">
        <f>'[1]2021 УГРЦТ'!AC582</f>
        <v>480</v>
      </c>
      <c r="H578" s="7">
        <f>'[1]2021 УГРЦТ'!X582</f>
        <v>2090658.5</v>
      </c>
      <c r="I578" s="7">
        <f>'[1]2021 УГРЦТ'!Y582</f>
        <v>426997.6</v>
      </c>
      <c r="J578" s="7">
        <f>'[1]2021 УГРЦТ'!Z582</f>
        <v>1663660.9</v>
      </c>
      <c r="K578" s="8">
        <v>1</v>
      </c>
      <c r="L578" s="39">
        <v>10596.031730469689</v>
      </c>
      <c r="M578" s="11"/>
      <c r="N578" s="39">
        <f>L578*12</f>
        <v>127152.38076563628</v>
      </c>
      <c r="O578" s="7">
        <f t="shared" si="2859"/>
        <v>1653064.8682695301</v>
      </c>
      <c r="P578" s="7">
        <f t="shared" si="3075"/>
        <v>1642468.8365390603</v>
      </c>
      <c r="Q578" s="7">
        <f t="shared" si="3075"/>
        <v>1631872.8048085906</v>
      </c>
      <c r="R578" s="7">
        <f t="shared" si="3075"/>
        <v>1621276.7730781208</v>
      </c>
      <c r="S578" s="7">
        <f t="shared" si="3075"/>
        <v>1610680.741347651</v>
      </c>
      <c r="T578" s="7">
        <f t="shared" si="3075"/>
        <v>1600084.7096171812</v>
      </c>
      <c r="U578" s="7">
        <f t="shared" si="3075"/>
        <v>1589488.6778867114</v>
      </c>
      <c r="V578" s="7">
        <f t="shared" si="3075"/>
        <v>1578892.6461562417</v>
      </c>
      <c r="W578" s="7">
        <f t="shared" si="3075"/>
        <v>1568296.6144257719</v>
      </c>
      <c r="X578" s="7">
        <f t="shared" si="3075"/>
        <v>1557700.5826953021</v>
      </c>
      <c r="Y578" s="7">
        <f t="shared" si="3075"/>
        <v>1547104.5509648323</v>
      </c>
      <c r="Z578" s="7">
        <f t="shared" si="3075"/>
        <v>1536508.5192343625</v>
      </c>
      <c r="AA578" s="7">
        <f t="shared" si="3078"/>
        <v>35201.863611577988</v>
      </c>
      <c r="AB578" s="7"/>
      <c r="AC578" s="7">
        <f t="shared" si="2860"/>
        <v>127152.38076563628</v>
      </c>
      <c r="AD578" s="7">
        <f t="shared" si="2861"/>
        <v>1525912.4875038927</v>
      </c>
      <c r="AE578" s="7">
        <f t="shared" si="3076"/>
        <v>1515316.455773423</v>
      </c>
      <c r="AF578" s="7">
        <f t="shared" si="3076"/>
        <v>1504720.4240429532</v>
      </c>
      <c r="AG578" s="7">
        <f t="shared" si="3076"/>
        <v>1494124.3923124834</v>
      </c>
      <c r="AH578" s="7">
        <f t="shared" si="3076"/>
        <v>1483528.3605820136</v>
      </c>
      <c r="AI578" s="7">
        <f t="shared" si="3076"/>
        <v>1472932.3288515438</v>
      </c>
      <c r="AJ578" s="7">
        <f t="shared" si="3076"/>
        <v>1462336.2971210741</v>
      </c>
      <c r="AK578" s="7">
        <f t="shared" si="3076"/>
        <v>1451740.2653906043</v>
      </c>
      <c r="AL578" s="7">
        <f t="shared" si="3076"/>
        <v>1441144.2336601345</v>
      </c>
      <c r="AM578" s="7">
        <f t="shared" si="3076"/>
        <v>1430548.2019296647</v>
      </c>
      <c r="AN578" s="7">
        <f t="shared" si="3076"/>
        <v>1419952.1701991949</v>
      </c>
      <c r="AO578" s="7">
        <f t="shared" si="3076"/>
        <v>1409356.1384687251</v>
      </c>
      <c r="AP578" s="222">
        <f t="shared" si="3079"/>
        <v>32404.511234733964</v>
      </c>
      <c r="AQ578" s="7">
        <v>10596.031730469689</v>
      </c>
      <c r="AR578" s="7">
        <f t="shared" si="2865"/>
        <v>10596.031730469782</v>
      </c>
      <c r="AS578" s="7">
        <f t="shared" si="2866"/>
        <v>9.276845958083868E-11</v>
      </c>
      <c r="AT578" s="7">
        <f>AQ578*12</f>
        <v>127152.38076563628</v>
      </c>
      <c r="AU578" s="39">
        <f t="shared" si="3081"/>
        <v>1398760.1067382554</v>
      </c>
      <c r="AV578" s="39">
        <f t="shared" ref="AV578:BF578" si="3124">AU578-$AQ578</f>
        <v>1388164.0750077856</v>
      </c>
      <c r="AW578" s="39">
        <f t="shared" si="3124"/>
        <v>1377568.0432773158</v>
      </c>
      <c r="AX578" s="39">
        <f t="shared" si="3124"/>
        <v>1366972.011546846</v>
      </c>
      <c r="AY578" s="39">
        <f t="shared" si="3124"/>
        <v>1356375.9798163762</v>
      </c>
      <c r="AZ578" s="39">
        <f t="shared" si="3124"/>
        <v>1345779.9480859064</v>
      </c>
      <c r="BA578" s="39">
        <f t="shared" si="3124"/>
        <v>1335183.9163554367</v>
      </c>
      <c r="BB578" s="39">
        <f t="shared" si="3124"/>
        <v>1324587.8846249669</v>
      </c>
      <c r="BC578" s="39">
        <f>BB578-$AQ578</f>
        <v>1313991.8528944971</v>
      </c>
      <c r="BD578" s="39">
        <f t="shared" si="3124"/>
        <v>1303395.8211640273</v>
      </c>
      <c r="BE578" s="39">
        <f t="shared" si="3124"/>
        <v>1292799.7894335575</v>
      </c>
      <c r="BF578" s="39">
        <f t="shared" si="3124"/>
        <v>1282203.7577030878</v>
      </c>
      <c r="BG578" s="236">
        <f t="shared" si="3071"/>
        <v>29607.158857889939</v>
      </c>
      <c r="BH578" s="7">
        <v>10596.031730469689</v>
      </c>
      <c r="BI578" s="39">
        <f t="shared" si="3083"/>
        <v>127152.38076563628</v>
      </c>
      <c r="BJ578" s="7">
        <f t="shared" si="3084"/>
        <v>1271607.725972618</v>
      </c>
      <c r="BK578" s="39">
        <f t="shared" si="3085"/>
        <v>1261011.6942421482</v>
      </c>
      <c r="BL578" s="39">
        <f t="shared" si="3086"/>
        <v>1250415.6625116784</v>
      </c>
      <c r="BM578" s="39">
        <f t="shared" si="3087"/>
        <v>1239819.6307812086</v>
      </c>
      <c r="BN578" s="39">
        <f t="shared" si="3088"/>
        <v>1229223.5990507388</v>
      </c>
      <c r="BO578" s="39">
        <f t="shared" si="3089"/>
        <v>1218627.5673202691</v>
      </c>
      <c r="BP578" s="39">
        <f t="shared" si="3090"/>
        <v>1208031.5355897993</v>
      </c>
      <c r="BQ578" s="39">
        <f t="shared" si="3091"/>
        <v>1197435.5038593295</v>
      </c>
      <c r="BR578" s="39">
        <f>BQ578-$AQ578</f>
        <v>1186839.4721288597</v>
      </c>
      <c r="BS578" s="39">
        <f t="shared" si="3093"/>
        <v>1176243.4403983899</v>
      </c>
      <c r="BT578" s="39">
        <f t="shared" si="3094"/>
        <v>1165647.4086679202</v>
      </c>
      <c r="BU578" s="39">
        <f t="shared" si="3095"/>
        <v>1155051.3769374504</v>
      </c>
      <c r="BV578" s="236">
        <f t="shared" si="3074"/>
        <v>26809.806481045918</v>
      </c>
      <c r="BW578" s="7">
        <v>10596.031730469689</v>
      </c>
      <c r="BX578" s="39">
        <f t="shared" si="3096"/>
        <v>127152.38076563628</v>
      </c>
      <c r="BY578" s="7">
        <f t="shared" si="3097"/>
        <v>1144455.3452069806</v>
      </c>
      <c r="BZ578" s="39">
        <f t="shared" si="3098"/>
        <v>1133859.3134765108</v>
      </c>
      <c r="CA578" s="39">
        <f t="shared" si="3099"/>
        <v>1123263.281746041</v>
      </c>
      <c r="CB578" s="39">
        <f t="shared" si="3100"/>
        <v>1112667.2500155712</v>
      </c>
      <c r="CC578" s="39">
        <f t="shared" si="3101"/>
        <v>1102071.2182851015</v>
      </c>
      <c r="CD578" s="39">
        <f t="shared" si="3102"/>
        <v>1091475.1865546317</v>
      </c>
      <c r="CE578" s="39">
        <f t="shared" si="3103"/>
        <v>1080879.1548241619</v>
      </c>
      <c r="CF578" s="39">
        <f t="shared" si="3104"/>
        <v>1070283.1230936921</v>
      </c>
      <c r="CG578" s="39">
        <f>CF578-$AQ578</f>
        <v>1059687.0913632223</v>
      </c>
      <c r="CH578" s="39">
        <f t="shared" si="3106"/>
        <v>1049091.0596327526</v>
      </c>
      <c r="CI578" s="39">
        <f t="shared" si="3107"/>
        <v>1038495.0279022829</v>
      </c>
      <c r="CJ578" s="39">
        <f t="shared" si="3108"/>
        <v>1027898.9961718132</v>
      </c>
      <c r="CK578" s="236">
        <f t="shared" si="3072"/>
        <v>24012.454104201897</v>
      </c>
      <c r="CL578" s="7">
        <v>10596.031730469689</v>
      </c>
      <c r="CM578" s="39">
        <f t="shared" si="3109"/>
        <v>127152.38076563628</v>
      </c>
      <c r="CN578" s="7">
        <f t="shared" si="3110"/>
        <v>1017302.9644413436</v>
      </c>
      <c r="CO578" s="39">
        <f t="shared" si="3111"/>
        <v>1006706.9327108739</v>
      </c>
      <c r="CP578" s="39">
        <f t="shared" si="3112"/>
        <v>996110.90098040423</v>
      </c>
      <c r="CQ578" s="39">
        <f t="shared" si="3113"/>
        <v>985514.86924993456</v>
      </c>
      <c r="CR578" s="39">
        <f t="shared" si="3114"/>
        <v>974918.8375194649</v>
      </c>
      <c r="CS578" s="39">
        <f t="shared" si="3115"/>
        <v>964322.80578899523</v>
      </c>
      <c r="CT578" s="39">
        <f t="shared" si="3116"/>
        <v>953726.77405852557</v>
      </c>
      <c r="CU578" s="39">
        <f t="shared" si="3117"/>
        <v>943130.7423280559</v>
      </c>
      <c r="CV578" s="39">
        <f>CU578-$AQ578</f>
        <v>932534.71059758624</v>
      </c>
      <c r="CW578" s="39">
        <f t="shared" si="3119"/>
        <v>921938.67886711657</v>
      </c>
      <c r="CX578" s="39">
        <f t="shared" si="3120"/>
        <v>911342.6471366469</v>
      </c>
      <c r="CY578" s="39">
        <f t="shared" si="3121"/>
        <v>900746.61540617724</v>
      </c>
      <c r="CZ578" s="236">
        <f t="shared" si="3073"/>
        <v>21215.101727357895</v>
      </c>
    </row>
    <row r="579" spans="1:104" x14ac:dyDescent="0.2">
      <c r="A579" s="6" t="str">
        <f>'[1]2021 УГРЦТ'!A583</f>
        <v>Здание конторы  1996г.</v>
      </c>
      <c r="B579" t="str">
        <f>'[1]2021 УГРЦТ'!B583</f>
        <v>00000048</v>
      </c>
      <c r="C579" t="str">
        <f>'[1]2021 УГРЦТ'!C583</f>
        <v>ОБЩЕХОЗЯЙСТВЕННЫЕ РАСХОДЫ</v>
      </c>
      <c r="D579" t="str">
        <f>'[1]2021 УГРЦТ'!D583</f>
        <v>Здания</v>
      </c>
      <c r="E579" t="str">
        <f>'[1]2021 УГРЦТ'!E583</f>
        <v>01.01.1965</v>
      </c>
      <c r="F579" t="str">
        <f>'[1]2021 УГРЦТ'!F583</f>
        <v>Общехозяйственные расходы</v>
      </c>
      <c r="G579">
        <v>120</v>
      </c>
      <c r="H579" s="7">
        <f>'[1]2021 УГРЦТ'!X583</f>
        <v>826047.9</v>
      </c>
      <c r="I579" s="7">
        <f>'[1]2021 УГРЦТ'!Y583</f>
        <v>138288.44</v>
      </c>
      <c r="J579" s="7">
        <f>'[1]2021 УГРЦТ'!Z583</f>
        <v>687759.46</v>
      </c>
      <c r="K579" s="8">
        <v>1</v>
      </c>
      <c r="L579" s="39">
        <v>9552.2129444444436</v>
      </c>
      <c r="M579" s="11"/>
      <c r="N579" s="39">
        <f>L579*12</f>
        <v>114626.55533333332</v>
      </c>
      <c r="O579" s="7">
        <f t="shared" si="2859"/>
        <v>678207.24705555546</v>
      </c>
      <c r="P579" s="7">
        <f t="shared" si="3075"/>
        <v>668655.03411111096</v>
      </c>
      <c r="Q579" s="7">
        <f t="shared" si="3075"/>
        <v>659102.82116666646</v>
      </c>
      <c r="R579" s="7">
        <f t="shared" si="3075"/>
        <v>649550.60822222196</v>
      </c>
      <c r="S579" s="7">
        <f t="shared" si="3075"/>
        <v>639998.39527777745</v>
      </c>
      <c r="T579" s="7">
        <f t="shared" si="3075"/>
        <v>630446.18233333295</v>
      </c>
      <c r="U579" s="7">
        <f t="shared" si="3075"/>
        <v>620893.96938888845</v>
      </c>
      <c r="V579" s="7">
        <f t="shared" si="3075"/>
        <v>611341.75644444395</v>
      </c>
      <c r="W579" s="7">
        <f t="shared" si="3075"/>
        <v>601789.54349999945</v>
      </c>
      <c r="X579" s="7">
        <f t="shared" si="3075"/>
        <v>592237.33055555495</v>
      </c>
      <c r="Y579" s="7">
        <f t="shared" si="3075"/>
        <v>582685.11761111044</v>
      </c>
      <c r="Z579" s="7">
        <f>Y579-$L579</f>
        <v>573132.90466666594</v>
      </c>
      <c r="AA579" s="7">
        <f t="shared" si="3078"/>
        <v>13869.816011333323</v>
      </c>
      <c r="AB579" s="7"/>
      <c r="AC579" s="7">
        <f>L579*12</f>
        <v>114626.55533333332</v>
      </c>
      <c r="AD579" s="7">
        <f t="shared" si="2861"/>
        <v>563580.69172222144</v>
      </c>
      <c r="AE579" s="7">
        <f t="shared" si="3076"/>
        <v>554028.47877777694</v>
      </c>
      <c r="AF579" s="7">
        <f t="shared" si="3076"/>
        <v>544476.26583333244</v>
      </c>
      <c r="AG579" s="7">
        <f t="shared" si="3076"/>
        <v>534924.05288888793</v>
      </c>
      <c r="AH579" s="7">
        <f t="shared" si="3076"/>
        <v>525371.83994444343</v>
      </c>
      <c r="AI579" s="7">
        <f t="shared" si="3076"/>
        <v>515819.62699999899</v>
      </c>
      <c r="AJ579" s="7">
        <f t="shared" si="3076"/>
        <v>506267.41405555455</v>
      </c>
      <c r="AK579" s="7">
        <f t="shared" si="3076"/>
        <v>496715.2011111101</v>
      </c>
      <c r="AL579" s="7">
        <f t="shared" si="3076"/>
        <v>487162.98816666566</v>
      </c>
      <c r="AM579" s="7">
        <f t="shared" si="3076"/>
        <v>477610.77522222121</v>
      </c>
      <c r="AN579" s="7">
        <f t="shared" si="3076"/>
        <v>468058.56227777677</v>
      </c>
      <c r="AO579" s="7">
        <f t="shared" si="3076"/>
        <v>458506.34933333233</v>
      </c>
      <c r="AP579" s="222">
        <f t="shared" si="3079"/>
        <v>11348.031793999979</v>
      </c>
      <c r="AQ579" s="7">
        <v>9552.2129444444436</v>
      </c>
      <c r="AR579" s="7">
        <f t="shared" si="2865"/>
        <v>9552.2129444444436</v>
      </c>
      <c r="AS579" s="7">
        <f t="shared" si="2866"/>
        <v>0</v>
      </c>
      <c r="AT579" s="7">
        <f>AQ579*12</f>
        <v>114626.55533333332</v>
      </c>
      <c r="AU579" s="39">
        <f t="shared" si="3081"/>
        <v>448954.13638888788</v>
      </c>
      <c r="AV579" s="39">
        <f t="shared" ref="AV579:BF579" si="3125">AU579-$AQ579</f>
        <v>439401.92344444344</v>
      </c>
      <c r="AW579" s="39">
        <f t="shared" si="3125"/>
        <v>429849.710499999</v>
      </c>
      <c r="AX579" s="39">
        <f t="shared" si="3125"/>
        <v>420297.49755555455</v>
      </c>
      <c r="AY579" s="39">
        <f t="shared" si="3125"/>
        <v>410745.28461111011</v>
      </c>
      <c r="AZ579" s="39">
        <f t="shared" si="3125"/>
        <v>401193.07166666567</v>
      </c>
      <c r="BA579" s="39">
        <f t="shared" si="3125"/>
        <v>391640.85872222122</v>
      </c>
      <c r="BB579" s="39">
        <f t="shared" si="3125"/>
        <v>382088.64577777678</v>
      </c>
      <c r="BC579" s="39">
        <f>BB579-$AQ579</f>
        <v>372536.43283333234</v>
      </c>
      <c r="BD579" s="39">
        <f t="shared" si="3125"/>
        <v>362984.21988888789</v>
      </c>
      <c r="BE579" s="39">
        <f t="shared" si="3125"/>
        <v>353432.00694444345</v>
      </c>
      <c r="BF579" s="39">
        <f t="shared" si="3125"/>
        <v>343879.793999999</v>
      </c>
      <c r="BG579" s="236">
        <f t="shared" si="3071"/>
        <v>8826.247576666643</v>
      </c>
      <c r="BH579" s="7">
        <v>9552.2129444444436</v>
      </c>
      <c r="BI579" s="39">
        <f t="shared" si="3083"/>
        <v>114626.55533333332</v>
      </c>
      <c r="BJ579" s="7">
        <f t="shared" si="3084"/>
        <v>334327.58105555456</v>
      </c>
      <c r="BK579" s="39">
        <f t="shared" si="3085"/>
        <v>324775.36811111012</v>
      </c>
      <c r="BL579" s="39">
        <f t="shared" si="3086"/>
        <v>315223.15516666567</v>
      </c>
      <c r="BM579" s="39">
        <f t="shared" si="3087"/>
        <v>305670.94222222123</v>
      </c>
      <c r="BN579" s="39">
        <f t="shared" si="3088"/>
        <v>296118.72927777679</v>
      </c>
      <c r="BO579" s="39">
        <f t="shared" si="3089"/>
        <v>286566.51633333234</v>
      </c>
      <c r="BP579" s="39">
        <f t="shared" si="3090"/>
        <v>277014.3033888879</v>
      </c>
      <c r="BQ579" s="39">
        <f t="shared" si="3091"/>
        <v>267462.09044444346</v>
      </c>
      <c r="BR579" s="39">
        <f>BQ579-$AQ579</f>
        <v>257909.87749999901</v>
      </c>
      <c r="BS579" s="39">
        <f t="shared" si="3093"/>
        <v>248357.66455555457</v>
      </c>
      <c r="BT579" s="39">
        <f t="shared" si="3094"/>
        <v>238805.45161111013</v>
      </c>
      <c r="BU579" s="39">
        <f t="shared" si="3095"/>
        <v>229253.23866666568</v>
      </c>
      <c r="BV579" s="236">
        <f t="shared" si="3074"/>
        <v>6304.463359333311</v>
      </c>
      <c r="BW579" s="7">
        <v>9552.2129444444436</v>
      </c>
      <c r="BX579" s="39">
        <f t="shared" si="3096"/>
        <v>114626.55533333332</v>
      </c>
      <c r="BY579" s="7">
        <f t="shared" si="3097"/>
        <v>219701.02572222124</v>
      </c>
      <c r="BZ579" s="39">
        <f t="shared" si="3098"/>
        <v>210148.81277777679</v>
      </c>
      <c r="CA579" s="39">
        <f t="shared" si="3099"/>
        <v>200596.59983333235</v>
      </c>
      <c r="CB579" s="39">
        <f t="shared" si="3100"/>
        <v>191044.38688888791</v>
      </c>
      <c r="CC579" s="39">
        <f t="shared" si="3101"/>
        <v>181492.17394444346</v>
      </c>
      <c r="CD579" s="39">
        <f t="shared" si="3102"/>
        <v>171939.96099999902</v>
      </c>
      <c r="CE579" s="39">
        <f t="shared" si="3103"/>
        <v>162387.74805555458</v>
      </c>
      <c r="CF579" s="39">
        <f t="shared" si="3104"/>
        <v>152835.53511111013</v>
      </c>
      <c r="CG579" s="39">
        <f>CF579-$AQ579</f>
        <v>143283.32216666569</v>
      </c>
      <c r="CH579" s="39">
        <f t="shared" si="3106"/>
        <v>133731.10922222125</v>
      </c>
      <c r="CI579" s="39">
        <f t="shared" si="3107"/>
        <v>124178.8962777768</v>
      </c>
      <c r="CJ579" s="39">
        <f t="shared" si="3108"/>
        <v>114626.68333333236</v>
      </c>
      <c r="CK579" s="236">
        <f t="shared" si="3072"/>
        <v>3782.6791419999781</v>
      </c>
      <c r="CL579" s="7">
        <v>9552.2129444444436</v>
      </c>
      <c r="CM579" s="39">
        <f t="shared" si="3109"/>
        <v>114626.55533333332</v>
      </c>
      <c r="CN579" s="7">
        <f t="shared" si="3110"/>
        <v>105074.47038888792</v>
      </c>
      <c r="CO579" s="39">
        <f t="shared" si="3111"/>
        <v>95522.257444443472</v>
      </c>
      <c r="CP579" s="39">
        <f t="shared" si="3112"/>
        <v>85970.044499999029</v>
      </c>
      <c r="CQ579" s="39">
        <f t="shared" si="3113"/>
        <v>76417.831555554585</v>
      </c>
      <c r="CR579" s="39">
        <f t="shared" si="3114"/>
        <v>66865.618611110142</v>
      </c>
      <c r="CS579" s="39">
        <f t="shared" si="3115"/>
        <v>57313.405666665698</v>
      </c>
      <c r="CT579" s="39">
        <f t="shared" si="3116"/>
        <v>47761.192722221254</v>
      </c>
      <c r="CU579" s="39">
        <f t="shared" si="3117"/>
        <v>38208.979777776811</v>
      </c>
      <c r="CV579" s="39">
        <f>CU579-$AQ579</f>
        <v>28656.766833332367</v>
      </c>
      <c r="CW579" s="39">
        <f t="shared" si="3119"/>
        <v>19104.553888887924</v>
      </c>
      <c r="CX579" s="39">
        <f t="shared" si="3120"/>
        <v>9552.3409444434801</v>
      </c>
      <c r="CY579" s="39">
        <f t="shared" si="3121"/>
        <v>0.1279999990365468</v>
      </c>
      <c r="CZ579" s="236">
        <f t="shared" si="3073"/>
        <v>1260.894924666645</v>
      </c>
    </row>
    <row r="580" spans="1:104" x14ac:dyDescent="0.2">
      <c r="A580" s="6" t="str">
        <f>'[1]2021 УГРЦТ'!A584</f>
        <v>Здание операц зала 2006г</v>
      </c>
      <c r="B580" t="str">
        <f>'[1]2021 УГРЦТ'!B584</f>
        <v>00000978</v>
      </c>
      <c r="C580" t="str">
        <f>'[1]2021 УГРЦТ'!C584</f>
        <v>ОБЩЕХОЗЯЙСТВЕННЫЕ РАСХОДЫ</v>
      </c>
      <c r="D580" t="str">
        <f>'[1]2021 УГРЦТ'!D584</f>
        <v>Здания</v>
      </c>
      <c r="E580" t="str">
        <f>'[1]2021 УГРЦТ'!E584</f>
        <v>30.04.2006</v>
      </c>
      <c r="F580" t="str">
        <f>'[1]2021 УГРЦТ'!F584</f>
        <v>Общехозяйственные расходы</v>
      </c>
      <c r="G580">
        <f>'[1]2021 УГРЦТ'!AC584</f>
        <v>600</v>
      </c>
      <c r="H580" s="7">
        <f>'[1]2021 УГРЦТ'!X584</f>
        <v>3591858.71</v>
      </c>
      <c r="I580" s="7">
        <f>'[1]2021 УГРЦТ'!Y584</f>
        <v>861525.4</v>
      </c>
      <c r="J580" s="7">
        <f>'[1]2021 УГРЦТ'!Z584</f>
        <v>2730333.31</v>
      </c>
      <c r="K580" s="8">
        <v>1</v>
      </c>
      <c r="L580" s="39">
        <v>6628.0693486005594</v>
      </c>
      <c r="M580" s="11"/>
      <c r="N580" s="39">
        <f>L580*12</f>
        <v>79536.832183206716</v>
      </c>
      <c r="O580" s="7">
        <f t="shared" ref="O580:O585" si="3126">J580-$L580</f>
        <v>2723705.2406513994</v>
      </c>
      <c r="P580" s="7">
        <f t="shared" si="3075"/>
        <v>2717077.1713027987</v>
      </c>
      <c r="Q580" s="7">
        <f t="shared" si="3075"/>
        <v>2710449.101954198</v>
      </c>
      <c r="R580" s="7">
        <f t="shared" si="3075"/>
        <v>2703821.0326055973</v>
      </c>
      <c r="S580" s="7">
        <f t="shared" si="3075"/>
        <v>2697192.9632569966</v>
      </c>
      <c r="T580" s="7">
        <f t="shared" si="3075"/>
        <v>2690564.8939083959</v>
      </c>
      <c r="U580" s="7">
        <f t="shared" si="3075"/>
        <v>2683936.8245597952</v>
      </c>
      <c r="V580" s="7">
        <f t="shared" si="3075"/>
        <v>2677308.7552111945</v>
      </c>
      <c r="W580" s="7">
        <f t="shared" si="3075"/>
        <v>2670680.6858625938</v>
      </c>
      <c r="X580" s="7">
        <f t="shared" si="3075"/>
        <v>2664052.6165139931</v>
      </c>
      <c r="Y580" s="7">
        <f t="shared" si="3075"/>
        <v>2657424.5471653924</v>
      </c>
      <c r="Z580" s="7">
        <f t="shared" si="3075"/>
        <v>2650796.4778167917</v>
      </c>
      <c r="AA580" s="7">
        <f t="shared" si="3078"/>
        <v>59192.427665984709</v>
      </c>
      <c r="AB580" s="7"/>
      <c r="AC580" s="7">
        <f t="shared" ref="AC580:AC602" si="3127">L580*12</f>
        <v>79536.832183206716</v>
      </c>
      <c r="AD580" s="7">
        <f t="shared" ref="AD580:AD583" si="3128">Z580-$L580</f>
        <v>2644168.408468191</v>
      </c>
      <c r="AE580" s="7">
        <f t="shared" si="3076"/>
        <v>2637540.3391195904</v>
      </c>
      <c r="AF580" s="7">
        <f t="shared" si="3076"/>
        <v>2630912.2697709897</v>
      </c>
      <c r="AG580" s="7">
        <f t="shared" si="3076"/>
        <v>2624284.200422389</v>
      </c>
      <c r="AH580" s="7">
        <f t="shared" si="3076"/>
        <v>2617656.1310737883</v>
      </c>
      <c r="AI580" s="7">
        <f t="shared" si="3076"/>
        <v>2611028.0617251876</v>
      </c>
      <c r="AJ580" s="7">
        <f t="shared" si="3076"/>
        <v>2604399.9923765869</v>
      </c>
      <c r="AK580" s="7">
        <f t="shared" si="3076"/>
        <v>2597771.9230279862</v>
      </c>
      <c r="AL580" s="7">
        <f t="shared" si="3076"/>
        <v>2591143.8536793855</v>
      </c>
      <c r="AM580" s="7">
        <f t="shared" si="3076"/>
        <v>2584515.7843307848</v>
      </c>
      <c r="AN580" s="7">
        <f t="shared" si="3076"/>
        <v>2577887.7149821841</v>
      </c>
      <c r="AO580" s="7">
        <f t="shared" si="3076"/>
        <v>2571259.6456335834</v>
      </c>
      <c r="AP580" s="222">
        <f t="shared" si="3079"/>
        <v>57442.617357954121</v>
      </c>
      <c r="AQ580" s="7">
        <v>6628.0693486005594</v>
      </c>
      <c r="AR580" s="7">
        <f t="shared" si="2865"/>
        <v>6628.069348600693</v>
      </c>
      <c r="AS580" s="7">
        <f t="shared" si="2866"/>
        <v>1.3369572116062045E-10</v>
      </c>
      <c r="AT580" s="7">
        <f t="shared" si="3080"/>
        <v>79536.832183206716</v>
      </c>
      <c r="AU580" s="39">
        <f t="shared" si="3081"/>
        <v>2564631.5762849827</v>
      </c>
      <c r="AV580" s="39">
        <f t="shared" ref="AV580:BF580" si="3129">AU580-$AQ580</f>
        <v>2558003.506936382</v>
      </c>
      <c r="AW580" s="39">
        <f t="shared" si="3129"/>
        <v>2551375.4375877813</v>
      </c>
      <c r="AX580" s="39">
        <f t="shared" si="3129"/>
        <v>2544747.3682391807</v>
      </c>
      <c r="AY580" s="39">
        <f t="shared" si="3129"/>
        <v>2538119.29889058</v>
      </c>
      <c r="AZ580" s="39">
        <f t="shared" si="3129"/>
        <v>2531491.2295419793</v>
      </c>
      <c r="BA580" s="39">
        <f t="shared" si="3129"/>
        <v>2524863.1601933786</v>
      </c>
      <c r="BB580" s="39">
        <f t="shared" si="3129"/>
        <v>2518235.0908447779</v>
      </c>
      <c r="BC580" s="39">
        <f t="shared" si="3129"/>
        <v>2511607.0214961772</v>
      </c>
      <c r="BD580" s="39">
        <f t="shared" si="3129"/>
        <v>2504978.9521475765</v>
      </c>
      <c r="BE580" s="39">
        <f t="shared" si="3129"/>
        <v>2498350.8827989758</v>
      </c>
      <c r="BF580" s="39">
        <f t="shared" si="3129"/>
        <v>2491722.8134503751</v>
      </c>
      <c r="BG580" s="236">
        <f t="shared" si="3071"/>
        <v>55692.80704992354</v>
      </c>
      <c r="BH580" s="7">
        <v>6628.0693486005594</v>
      </c>
      <c r="BI580" s="39">
        <f t="shared" si="3083"/>
        <v>79536.832183206716</v>
      </c>
      <c r="BJ580" s="7">
        <f t="shared" si="3084"/>
        <v>2485094.7441017744</v>
      </c>
      <c r="BK580" s="39">
        <f t="shared" si="3085"/>
        <v>2478466.6747531737</v>
      </c>
      <c r="BL580" s="39">
        <f t="shared" si="3086"/>
        <v>2471838.605404573</v>
      </c>
      <c r="BM580" s="39">
        <f t="shared" si="3087"/>
        <v>2465210.5360559723</v>
      </c>
      <c r="BN580" s="39">
        <f t="shared" si="3088"/>
        <v>2458582.4667073716</v>
      </c>
      <c r="BO580" s="39">
        <f t="shared" si="3089"/>
        <v>2451954.3973587709</v>
      </c>
      <c r="BP580" s="39">
        <f t="shared" si="3090"/>
        <v>2445326.3280101703</v>
      </c>
      <c r="BQ580" s="39">
        <f t="shared" si="3091"/>
        <v>2438698.2586615696</v>
      </c>
      <c r="BR580" s="39">
        <f t="shared" ref="BR580:BR583" si="3130">BQ580-$AQ580</f>
        <v>2432070.1893129689</v>
      </c>
      <c r="BS580" s="39">
        <f t="shared" si="3093"/>
        <v>2425442.1199643682</v>
      </c>
      <c r="BT580" s="39">
        <f t="shared" si="3094"/>
        <v>2418814.0506157675</v>
      </c>
      <c r="BU580" s="39">
        <f t="shared" si="3095"/>
        <v>2412185.9812671668</v>
      </c>
      <c r="BV580" s="236">
        <f t="shared" si="3074"/>
        <v>53942.996741892959</v>
      </c>
      <c r="BW580" s="7">
        <v>6628.0693486005594</v>
      </c>
      <c r="BX580" s="39">
        <f t="shared" si="3096"/>
        <v>79536.832183206716</v>
      </c>
      <c r="BY580" s="7">
        <f t="shared" si="3097"/>
        <v>2405557.9119185661</v>
      </c>
      <c r="BZ580" s="39">
        <f t="shared" si="3098"/>
        <v>2398929.8425699654</v>
      </c>
      <c r="CA580" s="39">
        <f t="shared" si="3099"/>
        <v>2392301.7732213647</v>
      </c>
      <c r="CB580" s="39">
        <f t="shared" si="3100"/>
        <v>2385673.703872764</v>
      </c>
      <c r="CC580" s="39">
        <f t="shared" si="3101"/>
        <v>2379045.6345241633</v>
      </c>
      <c r="CD580" s="39">
        <f t="shared" si="3102"/>
        <v>2372417.5651755626</v>
      </c>
      <c r="CE580" s="39">
        <f t="shared" si="3103"/>
        <v>2365789.4958269619</v>
      </c>
      <c r="CF580" s="39">
        <f t="shared" si="3104"/>
        <v>2359161.4264783612</v>
      </c>
      <c r="CG580" s="39">
        <f t="shared" ref="CG580:CG583" si="3131">CF580-$AQ580</f>
        <v>2352533.3571297606</v>
      </c>
      <c r="CH580" s="39">
        <f t="shared" si="3106"/>
        <v>2345905.2877811599</v>
      </c>
      <c r="CI580" s="39">
        <f t="shared" si="3107"/>
        <v>2339277.2184325592</v>
      </c>
      <c r="CJ580" s="39">
        <f t="shared" si="3108"/>
        <v>2332649.1490839585</v>
      </c>
      <c r="CK580" s="236">
        <f t="shared" si="3072"/>
        <v>52193.186433862378</v>
      </c>
      <c r="CL580" s="7">
        <v>6628.0693486005594</v>
      </c>
      <c r="CM580" s="39">
        <f t="shared" si="3109"/>
        <v>79536.832183206716</v>
      </c>
      <c r="CN580" s="7">
        <f t="shared" si="3110"/>
        <v>2326021.0797353578</v>
      </c>
      <c r="CO580" s="39">
        <f t="shared" si="3111"/>
        <v>2319393.0103867571</v>
      </c>
      <c r="CP580" s="39">
        <f t="shared" si="3112"/>
        <v>2312764.9410381564</v>
      </c>
      <c r="CQ580" s="39">
        <f t="shared" si="3113"/>
        <v>2306136.8716895557</v>
      </c>
      <c r="CR580" s="39">
        <f t="shared" si="3114"/>
        <v>2299508.802340955</v>
      </c>
      <c r="CS580" s="39">
        <f t="shared" si="3115"/>
        <v>2292880.7329923543</v>
      </c>
      <c r="CT580" s="39">
        <f t="shared" si="3116"/>
        <v>2286252.6636437536</v>
      </c>
      <c r="CU580" s="39">
        <f t="shared" si="3117"/>
        <v>2279624.5942951529</v>
      </c>
      <c r="CV580" s="39">
        <f t="shared" ref="CV580:CV581" si="3132">CU580-$AQ580</f>
        <v>2272996.5249465522</v>
      </c>
      <c r="CW580" s="39">
        <f t="shared" si="3119"/>
        <v>2266368.4555979515</v>
      </c>
      <c r="CX580" s="39">
        <f t="shared" si="3120"/>
        <v>2259740.3862493508</v>
      </c>
      <c r="CY580" s="39">
        <f t="shared" si="3121"/>
        <v>2253112.3169007502</v>
      </c>
      <c r="CZ580" s="236">
        <f t="shared" si="3073"/>
        <v>50443.37612583179</v>
      </c>
    </row>
    <row r="581" spans="1:104" ht="22.5" x14ac:dyDescent="0.2">
      <c r="A581" s="6" t="str">
        <f>'[1]2021 УГРЦТ'!A585</f>
        <v>Комплект мебели для бухгалтерии цвет ЛДСП Ясень анкор светлый (1 шкаф;4 стеллажа;5 столов;4 тумбы)</v>
      </c>
      <c r="B581" t="str">
        <f>'[1]2021 УГРЦТ'!B585</f>
        <v>000001882</v>
      </c>
      <c r="C581" t="str">
        <f>'[1]2021 УГРЦТ'!C585</f>
        <v>ОБЩЕХОЗЯЙСТВЕННЫЕ РАСХОДЫ</v>
      </c>
      <c r="D581" t="str">
        <f>'[1]2021 УГРЦТ'!D585</f>
        <v>Производственный и хозяйственный инвентарь</v>
      </c>
      <c r="E581" s="4">
        <f>'[1]2021 УГРЦТ'!E585</f>
        <v>44560</v>
      </c>
      <c r="F581" t="str">
        <f>'[1]2021 УГРЦТ'!F585</f>
        <v>Общехозяйственные расходы</v>
      </c>
      <c r="G581">
        <f>'[1]2021 УГРЦТ'!AC585</f>
        <v>180</v>
      </c>
      <c r="H581" s="7">
        <f>'[1]2021 УГРЦТ'!X585</f>
        <v>128890</v>
      </c>
      <c r="I581" s="7" t="e">
        <f>'[1]2021 УГРЦТ'!Y585</f>
        <v>#REF!</v>
      </c>
      <c r="J581" s="7">
        <f>'[1]2021 УГРЦТ'!Z585</f>
        <v>128890</v>
      </c>
      <c r="K581" s="8">
        <v>0</v>
      </c>
      <c r="L581" s="7">
        <v>716.05555555555554</v>
      </c>
      <c r="M581" s="7"/>
      <c r="N581" s="7">
        <f t="shared" si="3035"/>
        <v>8592.6666666666661</v>
      </c>
      <c r="O581" s="7">
        <f t="shared" si="3126"/>
        <v>128173.94444444444</v>
      </c>
      <c r="P581" s="7">
        <f t="shared" si="3075"/>
        <v>127457.88888888888</v>
      </c>
      <c r="Q581" s="7">
        <f t="shared" si="3075"/>
        <v>126741.83333333331</v>
      </c>
      <c r="R581" s="7">
        <f t="shared" si="3075"/>
        <v>126025.77777777775</v>
      </c>
      <c r="S581" s="7">
        <f t="shared" si="3075"/>
        <v>125309.72222222219</v>
      </c>
      <c r="T581" s="7">
        <f t="shared" si="3075"/>
        <v>124593.66666666663</v>
      </c>
      <c r="U581" s="7">
        <f t="shared" si="3075"/>
        <v>123877.61111111107</v>
      </c>
      <c r="V581" s="7">
        <f t="shared" si="3075"/>
        <v>123161.5555555555</v>
      </c>
      <c r="W581" s="7">
        <f t="shared" si="3075"/>
        <v>122445.49999999994</v>
      </c>
      <c r="X581" s="7">
        <f t="shared" si="3075"/>
        <v>121729.44444444438</v>
      </c>
      <c r="Y581" s="7">
        <f t="shared" si="3075"/>
        <v>121013.38888888882</v>
      </c>
      <c r="Z581" s="7">
        <f t="shared" si="3075"/>
        <v>120297.33333333326</v>
      </c>
      <c r="AA581" s="7"/>
      <c r="AB581" s="7"/>
      <c r="AC581" s="7">
        <f t="shared" si="3127"/>
        <v>8592.6666666666661</v>
      </c>
      <c r="AD581" s="7">
        <f t="shared" si="3128"/>
        <v>119581.27777777769</v>
      </c>
      <c r="AE581" s="7">
        <f t="shared" si="3076"/>
        <v>118865.22222222213</v>
      </c>
      <c r="AF581" s="7">
        <f t="shared" si="3076"/>
        <v>118149.16666666657</v>
      </c>
      <c r="AG581" s="7">
        <f t="shared" si="3076"/>
        <v>117433.11111111101</v>
      </c>
      <c r="AH581" s="7">
        <f t="shared" si="3076"/>
        <v>116717.05555555545</v>
      </c>
      <c r="AI581" s="7">
        <f t="shared" si="3076"/>
        <v>116000.99999999988</v>
      </c>
      <c r="AJ581" s="7">
        <f t="shared" si="3076"/>
        <v>115284.94444444432</v>
      </c>
      <c r="AK581" s="7">
        <f t="shared" si="3076"/>
        <v>114568.88888888876</v>
      </c>
      <c r="AL581" s="7">
        <f t="shared" si="3076"/>
        <v>113852.8333333332</v>
      </c>
      <c r="AM581" s="7">
        <f t="shared" si="3076"/>
        <v>113136.77777777764</v>
      </c>
      <c r="AN581" s="7">
        <f t="shared" si="3076"/>
        <v>112420.72222222207</v>
      </c>
      <c r="AO581" s="7">
        <f t="shared" si="3076"/>
        <v>111704.66666666651</v>
      </c>
      <c r="AP581" s="222"/>
      <c r="AQ581" s="7">
        <v>716.05555555555554</v>
      </c>
      <c r="AR581" s="7">
        <f t="shared" ref="AR581:AR644" si="3133">AN581-AO581</f>
        <v>716.05555555556202</v>
      </c>
      <c r="AS581" s="7">
        <f t="shared" ref="AS581:AS644" si="3134">AR581-AQ581</f>
        <v>6.4801497501321137E-12</v>
      </c>
      <c r="AT581" s="7">
        <f t="shared" ref="AT581:AT596" si="3135">AQ581*12</f>
        <v>8592.6666666666661</v>
      </c>
      <c r="AU581" s="39">
        <f t="shared" si="3081"/>
        <v>110988.61111111095</v>
      </c>
      <c r="AV581" s="39">
        <f t="shared" ref="AV581:BF581" si="3136">AU581-$AQ581</f>
        <v>110272.55555555539</v>
      </c>
      <c r="AW581" s="39">
        <f t="shared" si="3136"/>
        <v>109556.49999999983</v>
      </c>
      <c r="AX581" s="39">
        <f t="shared" si="3136"/>
        <v>108840.44444444426</v>
      </c>
      <c r="AY581" s="39">
        <f t="shared" si="3136"/>
        <v>108124.3888888887</v>
      </c>
      <c r="AZ581" s="39">
        <f t="shared" si="3136"/>
        <v>107408.33333333314</v>
      </c>
      <c r="BA581" s="39">
        <f t="shared" si="3136"/>
        <v>106692.27777777758</v>
      </c>
      <c r="BB581" s="39">
        <f t="shared" si="3136"/>
        <v>105976.22222222202</v>
      </c>
      <c r="BC581" s="39">
        <f t="shared" si="3136"/>
        <v>105260.16666666645</v>
      </c>
      <c r="BD581" s="39">
        <f t="shared" si="3136"/>
        <v>104544.11111111089</v>
      </c>
      <c r="BE581" s="39">
        <f t="shared" si="3136"/>
        <v>103828.05555555533</v>
      </c>
      <c r="BF581" s="39">
        <f t="shared" si="3136"/>
        <v>103111.99999999977</v>
      </c>
      <c r="BG581" s="236">
        <f t="shared" si="3071"/>
        <v>0</v>
      </c>
      <c r="BH581" s="7">
        <v>716.05555555555554</v>
      </c>
      <c r="BI581" s="39">
        <f t="shared" si="3083"/>
        <v>8592.6666666666661</v>
      </c>
      <c r="BJ581" s="7">
        <f t="shared" si="3084"/>
        <v>102395.94444444421</v>
      </c>
      <c r="BK581" s="39">
        <f t="shared" si="3085"/>
        <v>101679.88888888864</v>
      </c>
      <c r="BL581" s="39">
        <f t="shared" si="3086"/>
        <v>100963.83333333308</v>
      </c>
      <c r="BM581" s="39">
        <f t="shared" si="3087"/>
        <v>100247.77777777752</v>
      </c>
      <c r="BN581" s="39">
        <f t="shared" si="3088"/>
        <v>99531.722222221957</v>
      </c>
      <c r="BO581" s="39">
        <f t="shared" si="3089"/>
        <v>98815.666666666395</v>
      </c>
      <c r="BP581" s="39">
        <f t="shared" si="3090"/>
        <v>98099.611111110833</v>
      </c>
      <c r="BQ581" s="39">
        <f t="shared" si="3091"/>
        <v>97383.555555555271</v>
      </c>
      <c r="BR581" s="39">
        <f t="shared" si="3130"/>
        <v>96667.499999999709</v>
      </c>
      <c r="BS581" s="39">
        <f t="shared" si="3093"/>
        <v>95951.444444444147</v>
      </c>
      <c r="BT581" s="39">
        <f t="shared" si="3094"/>
        <v>95235.388888888585</v>
      </c>
      <c r="BU581" s="39">
        <f t="shared" si="3095"/>
        <v>94519.333333333023</v>
      </c>
      <c r="BV581" s="236">
        <v>0</v>
      </c>
      <c r="BW581" s="7">
        <v>716.05555555555554</v>
      </c>
      <c r="BX581" s="39">
        <f t="shared" si="3096"/>
        <v>8592.6666666666661</v>
      </c>
      <c r="BY581" s="7">
        <f t="shared" si="3097"/>
        <v>93803.277777777461</v>
      </c>
      <c r="BZ581" s="39">
        <f t="shared" si="3098"/>
        <v>93087.222222221899</v>
      </c>
      <c r="CA581" s="39">
        <f t="shared" si="3099"/>
        <v>92371.166666666337</v>
      </c>
      <c r="CB581" s="39">
        <f t="shared" si="3100"/>
        <v>91655.111111110775</v>
      </c>
      <c r="CC581" s="39">
        <f t="shared" si="3101"/>
        <v>90939.055555555213</v>
      </c>
      <c r="CD581" s="39">
        <f t="shared" si="3102"/>
        <v>90222.999999999651</v>
      </c>
      <c r="CE581" s="39">
        <f t="shared" si="3103"/>
        <v>89506.944444444089</v>
      </c>
      <c r="CF581" s="39">
        <f t="shared" si="3104"/>
        <v>88790.888888888527</v>
      </c>
      <c r="CG581" s="39">
        <f t="shared" si="3131"/>
        <v>88074.833333332965</v>
      </c>
      <c r="CH581" s="39">
        <f t="shared" si="3106"/>
        <v>87358.777777777403</v>
      </c>
      <c r="CI581" s="39">
        <f t="shared" si="3107"/>
        <v>86642.722222221841</v>
      </c>
      <c r="CJ581" s="39">
        <f t="shared" si="3108"/>
        <v>85926.666666666279</v>
      </c>
      <c r="CK581" s="236">
        <v>0</v>
      </c>
      <c r="CL581" s="7">
        <v>716.05555555555554</v>
      </c>
      <c r="CM581" s="39">
        <f t="shared" si="3109"/>
        <v>8592.6666666666661</v>
      </c>
      <c r="CN581" s="7">
        <f t="shared" si="3110"/>
        <v>85210.611111110717</v>
      </c>
      <c r="CO581" s="39">
        <f t="shared" si="3111"/>
        <v>84494.555555555155</v>
      </c>
      <c r="CP581" s="39">
        <f t="shared" si="3112"/>
        <v>83778.499999999593</v>
      </c>
      <c r="CQ581" s="39">
        <f t="shared" si="3113"/>
        <v>83062.444444444031</v>
      </c>
      <c r="CR581" s="39">
        <f t="shared" si="3114"/>
        <v>82346.388888888469</v>
      </c>
      <c r="CS581" s="39">
        <f t="shared" si="3115"/>
        <v>81630.333333332906</v>
      </c>
      <c r="CT581" s="39">
        <f t="shared" si="3116"/>
        <v>80914.277777777344</v>
      </c>
      <c r="CU581" s="39">
        <f t="shared" si="3117"/>
        <v>80198.222222221782</v>
      </c>
      <c r="CV581" s="39">
        <f t="shared" si="3132"/>
        <v>79482.16666666622</v>
      </c>
      <c r="CW581" s="39">
        <f t="shared" si="3119"/>
        <v>78766.111111110658</v>
      </c>
      <c r="CX581" s="39">
        <f t="shared" si="3120"/>
        <v>78050.055555555096</v>
      </c>
      <c r="CY581" s="39">
        <f t="shared" si="3121"/>
        <v>77333.999999999534</v>
      </c>
      <c r="CZ581" s="236">
        <v>0</v>
      </c>
    </row>
    <row r="582" spans="1:104" x14ac:dyDescent="0.2">
      <c r="A582" s="6" t="str">
        <f>'[1]2021 УГРЦТ'!A586</f>
        <v>Шредер Rexel Auto 300X (секр.P-4)</v>
      </c>
      <c r="B582" t="str">
        <f>'[1]2021 УГРЦТ'!B586</f>
        <v>000001726</v>
      </c>
      <c r="C582" t="str">
        <f>'[1]2021 УГРЦТ'!C586</f>
        <v>ОБЩЕХОЗЯЙСТВЕННЫЕ РАСХОДЫ</v>
      </c>
      <c r="D582" t="str">
        <f>'[1]2021 УГРЦТ'!D586</f>
        <v>Офисное оборудование</v>
      </c>
      <c r="E582" t="str">
        <f>'[1]2021 УГРЦТ'!E586</f>
        <v>07.06.2018</v>
      </c>
      <c r="F582" t="str">
        <f>'[1]2021 УГРЦТ'!F586</f>
        <v>Общехозяйственные расходы</v>
      </c>
      <c r="G582">
        <f>'[1]2021 УГРЦТ'!AC586</f>
        <v>84</v>
      </c>
      <c r="H582" s="7">
        <f>'[1]2021 УГРЦТ'!X586</f>
        <v>46966.1</v>
      </c>
      <c r="I582" s="7">
        <f>'[1]2021 УГРЦТ'!Y586</f>
        <v>23483.042857142857</v>
      </c>
      <c r="J582" s="7">
        <f>'[1]2021 УГРЦТ'!Z586</f>
        <v>23483.057142857142</v>
      </c>
      <c r="K582" s="8">
        <v>0</v>
      </c>
      <c r="L582" s="7">
        <v>559.12</v>
      </c>
      <c r="M582" s="7"/>
      <c r="N582" s="7">
        <f t="shared" si="3035"/>
        <v>6709.4400000000005</v>
      </c>
      <c r="O582" s="7">
        <f t="shared" si="3126"/>
        <v>22923.937142857143</v>
      </c>
      <c r="P582" s="7">
        <f t="shared" si="3075"/>
        <v>22364.817142857144</v>
      </c>
      <c r="Q582" s="7">
        <f t="shared" si="3075"/>
        <v>21805.697142857145</v>
      </c>
      <c r="R582" s="7">
        <f t="shared" si="3075"/>
        <v>21246.577142857146</v>
      </c>
      <c r="S582" s="7">
        <f t="shared" si="3075"/>
        <v>20687.457142857147</v>
      </c>
      <c r="T582" s="7">
        <f t="shared" si="3075"/>
        <v>20128.337142857148</v>
      </c>
      <c r="U582" s="7">
        <f t="shared" si="3075"/>
        <v>19569.217142857149</v>
      </c>
      <c r="V582" s="7">
        <f t="shared" si="3075"/>
        <v>19010.09714285715</v>
      </c>
      <c r="W582" s="7">
        <f t="shared" si="3075"/>
        <v>18450.977142857151</v>
      </c>
      <c r="X582" s="7">
        <f t="shared" si="3075"/>
        <v>17891.857142857152</v>
      </c>
      <c r="Y582" s="7">
        <f t="shared" si="3075"/>
        <v>17332.737142857153</v>
      </c>
      <c r="Z582" s="7">
        <f t="shared" si="3075"/>
        <v>16773.617142857154</v>
      </c>
      <c r="AA582" s="7"/>
      <c r="AB582" s="7"/>
      <c r="AC582" s="7">
        <f t="shared" si="3127"/>
        <v>6709.4400000000005</v>
      </c>
      <c r="AD582" s="7">
        <f t="shared" si="3128"/>
        <v>16214.497142857153</v>
      </c>
      <c r="AE582" s="7">
        <f t="shared" si="3076"/>
        <v>15655.377142857153</v>
      </c>
      <c r="AF582" s="7">
        <f t="shared" si="3076"/>
        <v>15096.257142857152</v>
      </c>
      <c r="AG582" s="7">
        <f t="shared" si="3076"/>
        <v>14537.137142857151</v>
      </c>
      <c r="AH582" s="7">
        <f t="shared" si="3076"/>
        <v>13978.01714285715</v>
      </c>
      <c r="AI582" s="7">
        <f t="shared" si="3076"/>
        <v>13418.897142857149</v>
      </c>
      <c r="AJ582" s="7">
        <f t="shared" si="3076"/>
        <v>12859.777142857149</v>
      </c>
      <c r="AK582" s="7">
        <f t="shared" si="3076"/>
        <v>12300.657142857148</v>
      </c>
      <c r="AL582" s="7">
        <f t="shared" si="3076"/>
        <v>11741.537142857147</v>
      </c>
      <c r="AM582" s="7">
        <f t="shared" si="3076"/>
        <v>11182.417142857146</v>
      </c>
      <c r="AN582" s="7">
        <f t="shared" si="3076"/>
        <v>10623.297142857145</v>
      </c>
      <c r="AO582" s="7">
        <f t="shared" si="3076"/>
        <v>10064.177142857145</v>
      </c>
      <c r="AP582" s="222"/>
      <c r="AQ582" s="7">
        <v>559.12</v>
      </c>
      <c r="AR582" s="7">
        <f t="shared" si="3133"/>
        <v>559.1200000000008</v>
      </c>
      <c r="AS582" s="7">
        <f t="shared" si="3134"/>
        <v>0</v>
      </c>
      <c r="AT582" s="7">
        <f t="shared" si="3135"/>
        <v>6709.4400000000005</v>
      </c>
      <c r="AU582" s="39">
        <f t="shared" si="3081"/>
        <v>9505.0571428571438</v>
      </c>
      <c r="AV582" s="39">
        <f t="shared" ref="AV582:BF582" si="3137">AU582-$AQ582</f>
        <v>8945.937142857143</v>
      </c>
      <c r="AW582" s="39">
        <f t="shared" si="3137"/>
        <v>8386.8171428571422</v>
      </c>
      <c r="AX582" s="39">
        <f t="shared" si="3137"/>
        <v>7827.6971428571424</v>
      </c>
      <c r="AY582" s="39">
        <f t="shared" si="3137"/>
        <v>7268.5771428571425</v>
      </c>
      <c r="AZ582" s="39">
        <f t="shared" si="3137"/>
        <v>6709.4571428571426</v>
      </c>
      <c r="BA582" s="39">
        <f t="shared" si="3137"/>
        <v>6150.3371428571427</v>
      </c>
      <c r="BB582" s="39">
        <f t="shared" si="3137"/>
        <v>5591.2171428571428</v>
      </c>
      <c r="BC582" s="39">
        <f t="shared" si="3137"/>
        <v>5032.0971428571429</v>
      </c>
      <c r="BD582" s="39">
        <f t="shared" si="3137"/>
        <v>4472.977142857143</v>
      </c>
      <c r="BE582" s="39">
        <f t="shared" si="3137"/>
        <v>3913.8571428571431</v>
      </c>
      <c r="BF582" s="39">
        <f t="shared" si="3137"/>
        <v>3354.7371428571432</v>
      </c>
      <c r="BG582" s="236">
        <f t="shared" si="3071"/>
        <v>0</v>
      </c>
      <c r="BH582" s="7">
        <v>559.12</v>
      </c>
      <c r="BI582" s="39">
        <v>3354.74</v>
      </c>
      <c r="BJ582" s="7">
        <f t="shared" si="3084"/>
        <v>2795.6171428571433</v>
      </c>
      <c r="BK582" s="39">
        <f t="shared" si="3085"/>
        <v>2236.4971428571434</v>
      </c>
      <c r="BL582" s="39">
        <f t="shared" si="3086"/>
        <v>1677.3771428571436</v>
      </c>
      <c r="BM582" s="39">
        <f t="shared" si="3087"/>
        <v>1118.2571428571437</v>
      </c>
      <c r="BN582" s="39">
        <f t="shared" si="3088"/>
        <v>559.13714285714366</v>
      </c>
      <c r="BO582" s="39">
        <f t="shared" si="3089"/>
        <v>1.71428571436536E-2</v>
      </c>
      <c r="BP582" s="39"/>
      <c r="BQ582" s="39"/>
      <c r="BR582" s="39"/>
      <c r="BS582" s="39"/>
      <c r="BT582" s="39"/>
      <c r="BU582" s="39"/>
      <c r="BV582" s="236">
        <v>0</v>
      </c>
      <c r="BW582" s="7">
        <v>559.12</v>
      </c>
      <c r="BX582" s="39"/>
      <c r="BY582" s="7"/>
      <c r="BZ582" s="39"/>
      <c r="CA582" s="39"/>
      <c r="CB582" s="39"/>
      <c r="CC582" s="39"/>
      <c r="CD582" s="39"/>
      <c r="CE582" s="39"/>
      <c r="CF582" s="39"/>
      <c r="CG582" s="39"/>
      <c r="CH582" s="39"/>
      <c r="CI582" s="39"/>
      <c r="CJ582" s="39"/>
      <c r="CK582" s="236">
        <f>IF(AO582&lt;1,0,SUM(BY582:CJ582,BU582)/13*$BG$1)</f>
        <v>0</v>
      </c>
      <c r="CL582" s="7">
        <v>559.12</v>
      </c>
      <c r="CM582" s="39"/>
      <c r="CN582" s="7"/>
      <c r="CO582" s="39"/>
      <c r="CP582" s="39"/>
      <c r="CQ582" s="39"/>
      <c r="CR582" s="39"/>
      <c r="CS582" s="39"/>
      <c r="CT582" s="39"/>
      <c r="CU582" s="39"/>
      <c r="CV582" s="39"/>
      <c r="CW582" s="39"/>
      <c r="CX582" s="39"/>
      <c r="CY582" s="39"/>
      <c r="CZ582" s="236">
        <f>IF(BF582&lt;1,0,SUM(CN582:CY582,CJ582)/13*$BG$1)</f>
        <v>0</v>
      </c>
    </row>
    <row r="583" spans="1:104" ht="33.75" x14ac:dyDescent="0.2">
      <c r="A583" s="6" t="str">
        <f>'[1]2021 УГРЦТ'!A587</f>
        <v>Система охранно-пожарной сигнализации в помещениях здания бухгалтерии и абонентского отдела ГУП НАО "Нарьян-Марская электростанция"</v>
      </c>
      <c r="B583" t="str">
        <f>'[1]2021 УГРЦТ'!B587</f>
        <v>000001730</v>
      </c>
      <c r="C583" t="str">
        <f>'[1]2021 УГРЦТ'!C587</f>
        <v>ОБЩЕХОЗЯЙСТВЕННЫЕ РАСХОДЫ</v>
      </c>
      <c r="D583" t="str">
        <f>'[1]2021 УГРЦТ'!D587</f>
        <v>Машины и оборудование (кроме офисного)</v>
      </c>
      <c r="E583" t="str">
        <f>'[1]2021 УГРЦТ'!E587</f>
        <v>31.05.2018</v>
      </c>
      <c r="F583" t="str">
        <f>'[1]2021 УГРЦТ'!F587</f>
        <v>Общехозяйственные расходы</v>
      </c>
      <c r="G583">
        <f>'[1]2021 УГРЦТ'!AC587</f>
        <v>180</v>
      </c>
      <c r="H583" s="7">
        <f>'[1]2021 УГРЦТ'!X587</f>
        <v>44969.32</v>
      </c>
      <c r="I583" s="7">
        <f>'[1]2021 УГРЦТ'!Y587</f>
        <v>10742.684666666666</v>
      </c>
      <c r="J583" s="7">
        <f>'[1]2021 УГРЦТ'!Z587</f>
        <v>34226.635333333332</v>
      </c>
      <c r="K583" s="8">
        <v>0</v>
      </c>
      <c r="L583" s="7">
        <v>249.82999999999996</v>
      </c>
      <c r="M583" s="7"/>
      <c r="N583" s="7">
        <f t="shared" si="3035"/>
        <v>2997.9599999999996</v>
      </c>
      <c r="O583" s="7">
        <f t="shared" si="3126"/>
        <v>33976.80533333333</v>
      </c>
      <c r="P583" s="7">
        <f t="shared" si="3075"/>
        <v>33726.975333333328</v>
      </c>
      <c r="Q583" s="7">
        <f t="shared" si="3075"/>
        <v>33477.145333333327</v>
      </c>
      <c r="R583" s="7">
        <f t="shared" si="3075"/>
        <v>33227.315333333325</v>
      </c>
      <c r="S583" s="7">
        <f t="shared" si="3075"/>
        <v>32977.485333333323</v>
      </c>
      <c r="T583" s="7">
        <f t="shared" si="3075"/>
        <v>32727.655333333321</v>
      </c>
      <c r="U583" s="7">
        <f t="shared" si="3075"/>
        <v>32477.82533333332</v>
      </c>
      <c r="V583" s="7">
        <f t="shared" si="3075"/>
        <v>32227.995333333318</v>
      </c>
      <c r="W583" s="7">
        <f t="shared" si="3075"/>
        <v>31978.165333333316</v>
      </c>
      <c r="X583" s="7">
        <f t="shared" si="3075"/>
        <v>31728.335333333314</v>
      </c>
      <c r="Y583" s="7">
        <f t="shared" si="3075"/>
        <v>31478.505333333313</v>
      </c>
      <c r="Z583" s="7">
        <f>Y583-$L583</f>
        <v>31228.675333333311</v>
      </c>
      <c r="AA583" s="7"/>
      <c r="AB583" s="7"/>
      <c r="AC583" s="7">
        <f t="shared" si="3127"/>
        <v>2997.9599999999996</v>
      </c>
      <c r="AD583" s="7">
        <f t="shared" si="3128"/>
        <v>30978.845333333309</v>
      </c>
      <c r="AE583" s="7">
        <f t="shared" si="3076"/>
        <v>30729.015333333307</v>
      </c>
      <c r="AF583" s="7">
        <f t="shared" si="3076"/>
        <v>30479.185333333306</v>
      </c>
      <c r="AG583" s="7">
        <f t="shared" si="3076"/>
        <v>30229.355333333304</v>
      </c>
      <c r="AH583" s="7">
        <f t="shared" si="3076"/>
        <v>29979.525333333302</v>
      </c>
      <c r="AI583" s="7">
        <f t="shared" si="3076"/>
        <v>29729.6953333333</v>
      </c>
      <c r="AJ583" s="7">
        <f t="shared" si="3076"/>
        <v>29479.865333333299</v>
      </c>
      <c r="AK583" s="7">
        <f t="shared" si="3076"/>
        <v>29230.035333333297</v>
      </c>
      <c r="AL583" s="7">
        <f t="shared" si="3076"/>
        <v>28980.205333333295</v>
      </c>
      <c r="AM583" s="7">
        <f t="shared" si="3076"/>
        <v>28730.375333333293</v>
      </c>
      <c r="AN583" s="7">
        <f t="shared" si="3076"/>
        <v>28480.545333333292</v>
      </c>
      <c r="AO583" s="7">
        <f t="shared" si="3076"/>
        <v>28230.71533333329</v>
      </c>
      <c r="AP583" s="222"/>
      <c r="AQ583" s="7">
        <v>249.82999999999996</v>
      </c>
      <c r="AR583" s="7">
        <f t="shared" si="3133"/>
        <v>249.83000000000175</v>
      </c>
      <c r="AS583" s="7">
        <f t="shared" si="3134"/>
        <v>1.7905676941154525E-12</v>
      </c>
      <c r="AT583" s="7">
        <f t="shared" si="3135"/>
        <v>2997.9599999999996</v>
      </c>
      <c r="AU583" s="39">
        <f t="shared" si="3081"/>
        <v>27980.885333333288</v>
      </c>
      <c r="AV583" s="39">
        <f t="shared" ref="AV583:BF583" si="3138">AU583-$AQ583</f>
        <v>27731.055333333286</v>
      </c>
      <c r="AW583" s="39">
        <f t="shared" si="3138"/>
        <v>27481.225333333285</v>
      </c>
      <c r="AX583" s="39">
        <f t="shared" si="3138"/>
        <v>27231.395333333283</v>
      </c>
      <c r="AY583" s="39">
        <f t="shared" si="3138"/>
        <v>26981.565333333281</v>
      </c>
      <c r="AZ583" s="39">
        <f t="shared" si="3138"/>
        <v>26731.735333333279</v>
      </c>
      <c r="BA583" s="39">
        <f t="shared" si="3138"/>
        <v>26481.905333333278</v>
      </c>
      <c r="BB583" s="39">
        <f t="shared" si="3138"/>
        <v>26232.075333333276</v>
      </c>
      <c r="BC583" s="39">
        <f t="shared" si="3138"/>
        <v>25982.245333333274</v>
      </c>
      <c r="BD583" s="39">
        <f t="shared" si="3138"/>
        <v>25732.415333333272</v>
      </c>
      <c r="BE583" s="39">
        <f t="shared" si="3138"/>
        <v>25482.585333333271</v>
      </c>
      <c r="BF583" s="39">
        <f t="shared" si="3138"/>
        <v>25232.755333333269</v>
      </c>
      <c r="BG583" s="236">
        <f t="shared" si="3071"/>
        <v>0</v>
      </c>
      <c r="BH583" s="7">
        <v>249.82999999999996</v>
      </c>
      <c r="BI583" s="39">
        <f>BH583*12</f>
        <v>2997.9599999999996</v>
      </c>
      <c r="BJ583" s="7">
        <f t="shared" si="3084"/>
        <v>24982.925333333267</v>
      </c>
      <c r="BK583" s="39">
        <f t="shared" si="3085"/>
        <v>24733.095333333265</v>
      </c>
      <c r="BL583" s="39">
        <f t="shared" si="3086"/>
        <v>24483.265333333264</v>
      </c>
      <c r="BM583" s="39">
        <f t="shared" si="3087"/>
        <v>24233.435333333262</v>
      </c>
      <c r="BN583" s="39">
        <f t="shared" si="3088"/>
        <v>23983.60533333326</v>
      </c>
      <c r="BO583" s="39">
        <f t="shared" si="3089"/>
        <v>23733.775333333258</v>
      </c>
      <c r="BP583" s="39">
        <f t="shared" si="3090"/>
        <v>23483.945333333257</v>
      </c>
      <c r="BQ583" s="39">
        <f t="shared" si="3091"/>
        <v>23234.115333333255</v>
      </c>
      <c r="BR583" s="39">
        <f t="shared" si="3130"/>
        <v>22984.285333333253</v>
      </c>
      <c r="BS583" s="39">
        <f t="shared" si="3093"/>
        <v>22734.455333333251</v>
      </c>
      <c r="BT583" s="39">
        <f t="shared" si="3094"/>
        <v>22484.62533333325</v>
      </c>
      <c r="BU583" s="39">
        <f t="shared" si="3095"/>
        <v>22234.795333333248</v>
      </c>
      <c r="BV583" s="236">
        <v>0</v>
      </c>
      <c r="BW583" s="7">
        <v>249.82999999999996</v>
      </c>
      <c r="BX583" s="39">
        <f>BW583*12</f>
        <v>2997.9599999999996</v>
      </c>
      <c r="BY583" s="7">
        <f>BU583-BW583</f>
        <v>21984.965333333246</v>
      </c>
      <c r="BZ583" s="39">
        <f t="shared" si="3098"/>
        <v>21735.135333333244</v>
      </c>
      <c r="CA583" s="39">
        <f t="shared" si="3099"/>
        <v>21485.305333333243</v>
      </c>
      <c r="CB583" s="39">
        <f t="shared" si="3100"/>
        <v>21235.475333333241</v>
      </c>
      <c r="CC583" s="39">
        <f t="shared" si="3101"/>
        <v>20985.645333333239</v>
      </c>
      <c r="CD583" s="39">
        <f t="shared" si="3102"/>
        <v>20735.815333333238</v>
      </c>
      <c r="CE583" s="39">
        <f t="shared" si="3103"/>
        <v>20485.985333333236</v>
      </c>
      <c r="CF583" s="39">
        <f t="shared" si="3104"/>
        <v>20236.155333333234</v>
      </c>
      <c r="CG583" s="39">
        <f t="shared" si="3131"/>
        <v>19986.325333333232</v>
      </c>
      <c r="CH583" s="39">
        <f t="shared" si="3106"/>
        <v>19736.495333333231</v>
      </c>
      <c r="CI583" s="39">
        <f t="shared" si="3107"/>
        <v>19486.665333333229</v>
      </c>
      <c r="CJ583" s="39">
        <f t="shared" si="3108"/>
        <v>19236.835333333227</v>
      </c>
      <c r="CK583" s="236">
        <v>0</v>
      </c>
      <c r="CL583" s="7">
        <v>249.82999999999996</v>
      </c>
      <c r="CM583" s="39">
        <f>CL583*12</f>
        <v>2997.9599999999996</v>
      </c>
      <c r="CN583" s="7">
        <f>CJ583-CL583</f>
        <v>18987.005333333225</v>
      </c>
      <c r="CO583" s="39">
        <f t="shared" ref="CO583" si="3139">CN583-$AQ583</f>
        <v>18737.175333333224</v>
      </c>
      <c r="CP583" s="39">
        <f t="shared" ref="CP583" si="3140">CO583-$AQ583</f>
        <v>18487.345333333222</v>
      </c>
      <c r="CQ583" s="39">
        <f t="shared" ref="CQ583" si="3141">CP583-$AQ583</f>
        <v>18237.51533333322</v>
      </c>
      <c r="CR583" s="39">
        <f t="shared" ref="CR583" si="3142">CQ583-$AQ583</f>
        <v>17987.685333333218</v>
      </c>
      <c r="CS583" s="39">
        <f t="shared" ref="CS583" si="3143">CR583-$AQ583</f>
        <v>17737.855333333217</v>
      </c>
      <c r="CT583" s="39">
        <f t="shared" ref="CT583" si="3144">CS583-$AQ583</f>
        <v>17488.025333333215</v>
      </c>
      <c r="CU583" s="39">
        <f t="shared" ref="CU583" si="3145">CT583-$AQ583</f>
        <v>17238.195333333213</v>
      </c>
      <c r="CV583" s="39">
        <f t="shared" ref="CV583" si="3146">CU583-$AQ583</f>
        <v>16988.365333333211</v>
      </c>
      <c r="CW583" s="39">
        <f t="shared" ref="CW583" si="3147">CV583-$AQ583</f>
        <v>16738.53533333321</v>
      </c>
      <c r="CX583" s="39">
        <f t="shared" ref="CX583" si="3148">CW583-$AQ583</f>
        <v>16488.705333333208</v>
      </c>
      <c r="CY583" s="39">
        <f t="shared" ref="CY583" si="3149">CX583-$AQ583</f>
        <v>16238.875333333208</v>
      </c>
      <c r="CZ583" s="236">
        <v>0</v>
      </c>
    </row>
    <row r="584" spans="1:104" x14ac:dyDescent="0.2">
      <c r="A584" s="6" t="str">
        <f>'[1]2021 УГРЦТ'!A588</f>
        <v>Кофемашина Krups EA810770 1450Вт</v>
      </c>
      <c r="B584" t="str">
        <f>'[1]2021 УГРЦТ'!B588</f>
        <v>000001768</v>
      </c>
      <c r="C584" t="str">
        <f>'[1]2021 УГРЦТ'!C588</f>
        <v>ОБЩЕХОЗЯЙСТВЕННЫЕ РАСХОДЫ</v>
      </c>
      <c r="D584" t="str">
        <f>'[1]2021 УГРЦТ'!D588</f>
        <v>Машины и оборудование (кроме офисного)</v>
      </c>
      <c r="E584" t="str">
        <f>'[1]2021 УГРЦТ'!E588</f>
        <v>27.05.2019</v>
      </c>
      <c r="F584" t="str">
        <f>'[1]2021 УГРЦТ'!F588</f>
        <v>Общехозяйственные расходы</v>
      </c>
      <c r="G584">
        <f>'[1]2021 УГРЦТ'!AC588</f>
        <v>36</v>
      </c>
      <c r="H584" s="7">
        <f>'[1]2021 УГРЦТ'!X588</f>
        <v>48590</v>
      </c>
      <c r="I584" s="7">
        <f>'[1]2021 УГРЦТ'!Y588</f>
        <v>41841.346666666672</v>
      </c>
      <c r="J584" s="7">
        <f>'[1]2021 УГРЦТ'!Z588</f>
        <v>6748.6533333333282</v>
      </c>
      <c r="K584" s="8">
        <v>0</v>
      </c>
      <c r="L584" s="7">
        <v>1349.7199999999998</v>
      </c>
      <c r="M584" s="7"/>
      <c r="N584" s="7">
        <f>L584*5+0.05</f>
        <v>6748.6499999999987</v>
      </c>
      <c r="O584" s="7">
        <f t="shared" si="3126"/>
        <v>5398.9333333333288</v>
      </c>
      <c r="P584" s="7">
        <f t="shared" si="3075"/>
        <v>4049.213333333329</v>
      </c>
      <c r="Q584" s="7">
        <f t="shared" si="3075"/>
        <v>2699.4933333333292</v>
      </c>
      <c r="R584" s="7">
        <f t="shared" si="3075"/>
        <v>1349.7733333333294</v>
      </c>
      <c r="S584" s="7">
        <f t="shared" si="3075"/>
        <v>5.3333333329646848E-2</v>
      </c>
      <c r="T584" s="7">
        <f>S584-0.05</f>
        <v>3.3333333296468454E-3</v>
      </c>
      <c r="U584" s="7">
        <f t="shared" ref="U584:Z584" si="3150">T584-$L584*0</f>
        <v>3.3333333296468454E-3</v>
      </c>
      <c r="V584" s="7">
        <f t="shared" si="3150"/>
        <v>3.3333333296468454E-3</v>
      </c>
      <c r="W584" s="7">
        <f t="shared" si="3150"/>
        <v>3.3333333296468454E-3</v>
      </c>
      <c r="X584" s="7">
        <f t="shared" si="3150"/>
        <v>3.3333333296468454E-3</v>
      </c>
      <c r="Y584" s="7">
        <f t="shared" si="3150"/>
        <v>3.3333333296468454E-3</v>
      </c>
      <c r="Z584" s="7">
        <f t="shared" si="3150"/>
        <v>3.3333333296468454E-3</v>
      </c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222"/>
      <c r="AQ584" s="7">
        <v>1349.7199999999998</v>
      </c>
      <c r="AR584" s="7"/>
      <c r="AS584" s="7"/>
      <c r="AT584" s="7">
        <f t="shared" si="3135"/>
        <v>16196.639999999998</v>
      </c>
      <c r="BG584" s="236">
        <f t="shared" si="3071"/>
        <v>0</v>
      </c>
      <c r="BH584" s="7">
        <v>1349.7199999999998</v>
      </c>
      <c r="BI584" s="39"/>
      <c r="BV584" s="236">
        <f>IF(Z584&lt;1,0,SUM(BJ584:BU584,BF584)/13*$BG$1)</f>
        <v>0</v>
      </c>
      <c r="BW584" s="7">
        <v>1349.7199999999998</v>
      </c>
      <c r="BX584" s="39"/>
      <c r="CK584" s="236">
        <f>IF(AO584&lt;1,0,SUM(BY584:CJ584,BU584)/13*$BG$1)</f>
        <v>0</v>
      </c>
      <c r="CL584" s="7">
        <v>1349.7199999999998</v>
      </c>
      <c r="CM584" s="39"/>
      <c r="CZ584" s="236">
        <f>IF(BF584&lt;1,0,SUM(CN584:CY584,CJ584)/13*$BG$1)</f>
        <v>0</v>
      </c>
    </row>
    <row r="585" spans="1:104" s="26" customFormat="1" ht="22.5" x14ac:dyDescent="0.2">
      <c r="A585" s="104" t="str">
        <f>'[1]2021 УГРЦТ'!A589</f>
        <v>Противотаранное устройство при въезде на территорию предприятия</v>
      </c>
      <c r="B585" s="26" t="str">
        <f>'[1]2021 УГРЦТ'!B589</f>
        <v>000001860</v>
      </c>
      <c r="C585" s="26" t="str">
        <f>'[1]2021 УГРЦТ'!C589</f>
        <v>ОБЩЕХОЗЯЙСТВЕННЫЕ РАСХОДЫ</v>
      </c>
      <c r="D585" s="26" t="str">
        <f>'[1]2021 УГРЦТ'!D589</f>
        <v>Машины и оборудование (кроме офисного)</v>
      </c>
      <c r="E585" s="26" t="str">
        <f>'[1]2021 УГРЦТ'!E589</f>
        <v>13.09.2021</v>
      </c>
      <c r="F585" s="26" t="str">
        <f>'[1]2021 УГРЦТ'!F589</f>
        <v>Общехозяйственные расходы</v>
      </c>
      <c r="G585" s="26">
        <f>'[1]2021 УГРЦТ'!AC589</f>
        <v>120</v>
      </c>
      <c r="H585" s="39">
        <v>0</v>
      </c>
      <c r="I585" s="39">
        <f>'[1]2021 УГРЦТ'!Y589</f>
        <v>39329.950666666664</v>
      </c>
      <c r="J585" s="39">
        <v>0</v>
      </c>
      <c r="K585" s="40">
        <v>0</v>
      </c>
      <c r="L585" s="14">
        <v>0</v>
      </c>
      <c r="M585" s="14"/>
      <c r="N585" s="39">
        <f>L585*12</f>
        <v>0</v>
      </c>
      <c r="O585" s="39">
        <f t="shared" si="3126"/>
        <v>0</v>
      </c>
      <c r="P585" s="39">
        <f t="shared" si="3075"/>
        <v>0</v>
      </c>
      <c r="Q585" s="39">
        <f t="shared" si="3075"/>
        <v>0</v>
      </c>
      <c r="R585" s="39">
        <f t="shared" si="3075"/>
        <v>0</v>
      </c>
      <c r="S585" s="39">
        <f t="shared" si="3075"/>
        <v>0</v>
      </c>
      <c r="T585" s="39">
        <f t="shared" si="3075"/>
        <v>0</v>
      </c>
      <c r="U585" s="39">
        <f t="shared" si="3075"/>
        <v>0</v>
      </c>
      <c r="V585" s="39">
        <f t="shared" si="3075"/>
        <v>0</v>
      </c>
      <c r="W585" s="39">
        <f t="shared" si="3075"/>
        <v>0</v>
      </c>
      <c r="X585" s="39">
        <f t="shared" si="3075"/>
        <v>0</v>
      </c>
      <c r="Y585" s="39">
        <f t="shared" si="3075"/>
        <v>0</v>
      </c>
      <c r="Z585" s="39">
        <f t="shared" si="3075"/>
        <v>0</v>
      </c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236"/>
      <c r="AQ585" s="39">
        <v>0</v>
      </c>
      <c r="AR585" s="7">
        <f t="shared" si="3133"/>
        <v>0</v>
      </c>
      <c r="AS585" s="7">
        <f t="shared" si="3134"/>
        <v>0</v>
      </c>
      <c r="AT585" s="39">
        <f t="shared" si="3135"/>
        <v>0</v>
      </c>
      <c r="BG585" s="236">
        <f t="shared" si="3071"/>
        <v>0</v>
      </c>
      <c r="BH585" s="39">
        <v>0</v>
      </c>
      <c r="BI585" s="39">
        <f>BH585*12</f>
        <v>0</v>
      </c>
      <c r="BV585" s="236">
        <v>0</v>
      </c>
      <c r="BW585" s="39">
        <v>0</v>
      </c>
      <c r="BX585" s="39">
        <f>BW585*12</f>
        <v>0</v>
      </c>
      <c r="CK585" s="236">
        <v>0</v>
      </c>
      <c r="CL585" s="39">
        <v>0</v>
      </c>
      <c r="CM585" s="39">
        <f>CL585*12</f>
        <v>0</v>
      </c>
      <c r="CZ585" s="236">
        <f>IF(BF585&lt;1,0,SUM(CN585:CY585,CJ585)/13*$BG$1)</f>
        <v>0</v>
      </c>
    </row>
    <row r="586" spans="1:104" ht="30" customHeight="1" x14ac:dyDescent="0.2">
      <c r="A586" s="6" t="s">
        <v>20</v>
      </c>
      <c r="B586" t="s">
        <v>21</v>
      </c>
      <c r="C586" t="s">
        <v>22</v>
      </c>
      <c r="D586" t="s">
        <v>23</v>
      </c>
      <c r="E586" t="s">
        <v>24</v>
      </c>
      <c r="F586" t="s">
        <v>25</v>
      </c>
      <c r="G586" s="186">
        <v>36</v>
      </c>
      <c r="H586" s="7">
        <v>89916.67</v>
      </c>
      <c r="K586" s="8">
        <v>0</v>
      </c>
      <c r="L586" s="7">
        <v>2497.69</v>
      </c>
      <c r="M586" s="7"/>
      <c r="N586" s="7">
        <f>L586*6</f>
        <v>14986.14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f>H586</f>
        <v>89916.67</v>
      </c>
      <c r="U586" s="7">
        <f t="shared" si="3075"/>
        <v>87418.98</v>
      </c>
      <c r="V586" s="7">
        <f t="shared" si="3075"/>
        <v>84921.29</v>
      </c>
      <c r="W586" s="7">
        <f t="shared" si="3075"/>
        <v>82423.599999999991</v>
      </c>
      <c r="X586" s="7">
        <f t="shared" si="3075"/>
        <v>79925.909999999989</v>
      </c>
      <c r="Y586" s="7">
        <f t="shared" si="3075"/>
        <v>77428.219999999987</v>
      </c>
      <c r="Z586" s="7">
        <f t="shared" si="3075"/>
        <v>74930.529999999984</v>
      </c>
      <c r="AA586" s="7"/>
      <c r="AC586" s="7">
        <f t="shared" si="3127"/>
        <v>29972.28</v>
      </c>
      <c r="AD586" s="7">
        <f>Z586-$L586</f>
        <v>72432.839999999982</v>
      </c>
      <c r="AE586" s="7">
        <f t="shared" ref="AE586:AO600" si="3151">AD586-$L586</f>
        <v>69935.14999999998</v>
      </c>
      <c r="AF586" s="7">
        <f t="shared" si="3151"/>
        <v>67437.459999999977</v>
      </c>
      <c r="AG586" s="7">
        <f t="shared" si="3151"/>
        <v>64939.769999999975</v>
      </c>
      <c r="AH586" s="7">
        <f t="shared" si="3151"/>
        <v>62442.079999999973</v>
      </c>
      <c r="AI586" s="7">
        <f t="shared" si="3151"/>
        <v>59944.38999999997</v>
      </c>
      <c r="AJ586" s="7">
        <f t="shared" si="3151"/>
        <v>57446.699999999968</v>
      </c>
      <c r="AK586" s="7">
        <f t="shared" si="3151"/>
        <v>54949.009999999966</v>
      </c>
      <c r="AL586" s="7">
        <f t="shared" si="3151"/>
        <v>52451.319999999963</v>
      </c>
      <c r="AM586" s="7">
        <f t="shared" si="3151"/>
        <v>49953.629999999961</v>
      </c>
      <c r="AN586" s="7">
        <f t="shared" si="3151"/>
        <v>47455.939999999959</v>
      </c>
      <c r="AO586" s="7">
        <f t="shared" si="3151"/>
        <v>44958.249999999956</v>
      </c>
      <c r="AP586" s="222"/>
      <c r="AQ586" s="7">
        <v>2497.69</v>
      </c>
      <c r="AR586" s="7">
        <f t="shared" si="3133"/>
        <v>2497.6900000000023</v>
      </c>
      <c r="AS586" s="7">
        <f t="shared" si="3134"/>
        <v>0</v>
      </c>
      <c r="AT586" s="7">
        <f t="shared" si="3135"/>
        <v>29972.28</v>
      </c>
      <c r="AU586" s="39">
        <f t="shared" ref="AU586:AU617" si="3152">AO586-$AQ586</f>
        <v>42460.559999999954</v>
      </c>
      <c r="AV586" s="39">
        <f t="shared" ref="AV586:BF586" si="3153">AU586-$AQ586</f>
        <v>39962.869999999952</v>
      </c>
      <c r="AW586" s="39">
        <f t="shared" si="3153"/>
        <v>37465.179999999949</v>
      </c>
      <c r="AX586" s="39">
        <f t="shared" si="3153"/>
        <v>34967.489999999947</v>
      </c>
      <c r="AY586" s="39">
        <f t="shared" si="3153"/>
        <v>32469.799999999948</v>
      </c>
      <c r="AZ586" s="39">
        <f t="shared" si="3153"/>
        <v>29972.10999999995</v>
      </c>
      <c r="BA586" s="39">
        <f t="shared" si="3153"/>
        <v>27474.419999999951</v>
      </c>
      <c r="BB586" s="39">
        <f t="shared" si="3153"/>
        <v>24976.729999999952</v>
      </c>
      <c r="BC586" s="39">
        <f t="shared" si="3153"/>
        <v>22479.039999999954</v>
      </c>
      <c r="BD586" s="39">
        <f t="shared" si="3153"/>
        <v>19981.349999999955</v>
      </c>
      <c r="BE586" s="39">
        <f t="shared" si="3153"/>
        <v>17483.659999999956</v>
      </c>
      <c r="BF586" s="39">
        <f t="shared" si="3153"/>
        <v>14985.969999999956</v>
      </c>
      <c r="BG586" s="236">
        <f t="shared" si="3071"/>
        <v>0</v>
      </c>
      <c r="BH586" s="7">
        <v>2497.69</v>
      </c>
      <c r="BI586" s="39">
        <v>14985.97</v>
      </c>
      <c r="BJ586" s="7">
        <f t="shared" ref="BJ586:BJ617" si="3154">BF586-BH586</f>
        <v>12488.279999999955</v>
      </c>
      <c r="BK586" s="39">
        <f t="shared" ref="BK586:BK633" si="3155">BJ586-$AQ586</f>
        <v>9990.5899999999547</v>
      </c>
      <c r="BL586" s="39">
        <f t="shared" ref="BL586:BL624" si="3156">BK586-$AQ586</f>
        <v>7492.8999999999542</v>
      </c>
      <c r="BM586" s="39">
        <f t="shared" ref="BM586:BM649" si="3157">BL586-$AQ586</f>
        <v>4995.2099999999537</v>
      </c>
      <c r="BN586" s="39">
        <f t="shared" ref="BN586:BN649" si="3158">BM586-$AQ586</f>
        <v>2497.5199999999536</v>
      </c>
      <c r="BO586" s="39"/>
      <c r="BP586" s="39"/>
      <c r="BQ586" s="39"/>
      <c r="BR586" s="39"/>
      <c r="BS586" s="39"/>
      <c r="BT586" s="39"/>
      <c r="BU586" s="39"/>
      <c r="BV586" s="236">
        <v>0</v>
      </c>
      <c r="BW586" s="7">
        <v>2497.69</v>
      </c>
      <c r="BX586" s="39"/>
      <c r="BY586" s="7"/>
      <c r="BZ586" s="39"/>
      <c r="CA586" s="39"/>
      <c r="CB586" s="39"/>
      <c r="CC586" s="39"/>
      <c r="CD586" s="39"/>
      <c r="CE586" s="39"/>
      <c r="CF586" s="39"/>
      <c r="CG586" s="39"/>
      <c r="CH586" s="39"/>
      <c r="CI586" s="39"/>
      <c r="CJ586" s="39"/>
      <c r="CK586" s="236">
        <v>0</v>
      </c>
      <c r="CL586" s="7">
        <v>2497.69</v>
      </c>
      <c r="CM586" s="39"/>
      <c r="CN586" s="7"/>
      <c r="CO586" s="39"/>
      <c r="CP586" s="39"/>
      <c r="CQ586" s="39"/>
      <c r="CR586" s="39"/>
      <c r="CS586" s="39"/>
      <c r="CT586" s="39"/>
      <c r="CU586" s="39"/>
      <c r="CV586" s="39"/>
      <c r="CW586" s="39"/>
      <c r="CX586" s="39"/>
      <c r="CY586" s="39"/>
      <c r="CZ586" s="236">
        <v>0</v>
      </c>
    </row>
    <row r="587" spans="1:104" ht="22.5" x14ac:dyDescent="0.2">
      <c r="A587" s="6" t="s">
        <v>26</v>
      </c>
      <c r="B587" t="s">
        <v>27</v>
      </c>
      <c r="C587" t="s">
        <v>22</v>
      </c>
      <c r="D587" t="s">
        <v>23</v>
      </c>
      <c r="E587" t="s">
        <v>24</v>
      </c>
      <c r="F587" t="s">
        <v>25</v>
      </c>
      <c r="G587" s="186">
        <v>36</v>
      </c>
      <c r="H587" s="7">
        <v>64391.66</v>
      </c>
      <c r="K587" s="8">
        <v>0</v>
      </c>
      <c r="L587" s="7">
        <v>1788.66</v>
      </c>
      <c r="M587" s="7"/>
      <c r="N587" s="7">
        <f t="shared" ref="N587:N588" si="3159">L587*6</f>
        <v>10731.960000000001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f t="shared" ref="T587:T588" si="3160">H587</f>
        <v>64391.66</v>
      </c>
      <c r="U587" s="7">
        <f t="shared" si="3075"/>
        <v>62603</v>
      </c>
      <c r="V587" s="7">
        <f t="shared" si="3075"/>
        <v>60814.34</v>
      </c>
      <c r="W587" s="7">
        <f t="shared" si="3075"/>
        <v>59025.679999999993</v>
      </c>
      <c r="X587" s="7">
        <f t="shared" si="3075"/>
        <v>57237.01999999999</v>
      </c>
      <c r="Y587" s="7">
        <f t="shared" si="3075"/>
        <v>55448.359999999986</v>
      </c>
      <c r="Z587" s="7">
        <f t="shared" si="3075"/>
        <v>53659.699999999983</v>
      </c>
      <c r="AA587" s="7"/>
      <c r="AC587" s="7">
        <f t="shared" si="3127"/>
        <v>21463.920000000002</v>
      </c>
      <c r="AD587" s="7">
        <f t="shared" ref="AD587:AD602" si="3161">Z587-$L587</f>
        <v>51871.039999999979</v>
      </c>
      <c r="AE587" s="7">
        <f t="shared" si="3151"/>
        <v>50082.379999999976</v>
      </c>
      <c r="AF587" s="7">
        <f t="shared" si="3151"/>
        <v>48293.719999999972</v>
      </c>
      <c r="AG587" s="7">
        <f t="shared" si="3151"/>
        <v>46505.059999999969</v>
      </c>
      <c r="AH587" s="7">
        <f t="shared" si="3151"/>
        <v>44716.399999999965</v>
      </c>
      <c r="AI587" s="7">
        <f t="shared" si="3151"/>
        <v>42927.739999999962</v>
      </c>
      <c r="AJ587" s="7">
        <f t="shared" si="3151"/>
        <v>41139.079999999958</v>
      </c>
      <c r="AK587" s="7">
        <f t="shared" si="3151"/>
        <v>39350.419999999955</v>
      </c>
      <c r="AL587" s="7">
        <f t="shared" si="3151"/>
        <v>37561.759999999951</v>
      </c>
      <c r="AM587" s="7">
        <f t="shared" si="3151"/>
        <v>35773.099999999948</v>
      </c>
      <c r="AN587" s="7">
        <f t="shared" si="3151"/>
        <v>33984.439999999944</v>
      </c>
      <c r="AO587" s="7">
        <f t="shared" si="3151"/>
        <v>32195.779999999944</v>
      </c>
      <c r="AP587" s="222"/>
      <c r="AQ587" s="7">
        <v>1788.66</v>
      </c>
      <c r="AR587" s="7">
        <f t="shared" si="3133"/>
        <v>1788.6599999999999</v>
      </c>
      <c r="AS587" s="7">
        <f t="shared" si="3134"/>
        <v>0</v>
      </c>
      <c r="AT587" s="7">
        <f t="shared" si="3135"/>
        <v>21463.920000000002</v>
      </c>
      <c r="AU587" s="39">
        <f t="shared" si="3152"/>
        <v>30407.119999999944</v>
      </c>
      <c r="AV587" s="39">
        <f t="shared" ref="AV587:BF587" si="3162">AU587-$AQ587</f>
        <v>28618.459999999945</v>
      </c>
      <c r="AW587" s="39">
        <f t="shared" si="3162"/>
        <v>26829.799999999945</v>
      </c>
      <c r="AX587" s="39">
        <f t="shared" si="3162"/>
        <v>25041.139999999945</v>
      </c>
      <c r="AY587" s="39">
        <f t="shared" si="3162"/>
        <v>23252.479999999945</v>
      </c>
      <c r="AZ587" s="39">
        <f t="shared" si="3162"/>
        <v>21463.819999999945</v>
      </c>
      <c r="BA587" s="39">
        <f t="shared" si="3162"/>
        <v>19675.159999999945</v>
      </c>
      <c r="BB587" s="39">
        <f t="shared" si="3162"/>
        <v>17886.499999999945</v>
      </c>
      <c r="BC587" s="39">
        <f t="shared" si="3162"/>
        <v>16097.839999999946</v>
      </c>
      <c r="BD587" s="39">
        <f t="shared" si="3162"/>
        <v>14309.179999999946</v>
      </c>
      <c r="BE587" s="39">
        <f t="shared" si="3162"/>
        <v>12520.519999999946</v>
      </c>
      <c r="BF587" s="39">
        <f t="shared" si="3162"/>
        <v>10731.859999999946</v>
      </c>
      <c r="BG587" s="236">
        <f t="shared" si="3071"/>
        <v>0</v>
      </c>
      <c r="BH587" s="7">
        <v>1788.66</v>
      </c>
      <c r="BI587" s="39">
        <v>10731.86</v>
      </c>
      <c r="BJ587" s="7">
        <f t="shared" si="3154"/>
        <v>8943.1999999999462</v>
      </c>
      <c r="BK587" s="39">
        <f t="shared" si="3155"/>
        <v>7154.5399999999463</v>
      </c>
      <c r="BL587" s="39">
        <f t="shared" si="3156"/>
        <v>5365.8799999999464</v>
      </c>
      <c r="BM587" s="39">
        <f t="shared" si="3157"/>
        <v>3577.2199999999466</v>
      </c>
      <c r="BN587" s="39">
        <f t="shared" si="3158"/>
        <v>1788.5599999999465</v>
      </c>
      <c r="BO587" s="39"/>
      <c r="BP587" s="39"/>
      <c r="BQ587" s="39"/>
      <c r="BR587" s="39"/>
      <c r="BS587" s="39"/>
      <c r="BT587" s="39"/>
      <c r="BU587" s="39"/>
      <c r="BV587" s="236">
        <v>0</v>
      </c>
      <c r="BW587" s="7">
        <v>1788.66</v>
      </c>
      <c r="BX587" s="39"/>
      <c r="BY587" s="7"/>
      <c r="BZ587" s="39"/>
      <c r="CA587" s="39"/>
      <c r="CB587" s="39"/>
      <c r="CC587" s="39"/>
      <c r="CD587" s="39"/>
      <c r="CE587" s="39"/>
      <c r="CF587" s="39"/>
      <c r="CG587" s="39"/>
      <c r="CH587" s="39"/>
      <c r="CI587" s="39"/>
      <c r="CJ587" s="39"/>
      <c r="CK587" s="236">
        <v>0</v>
      </c>
      <c r="CL587" s="7">
        <v>1788.66</v>
      </c>
      <c r="CM587" s="39"/>
      <c r="CN587" s="7"/>
      <c r="CO587" s="39"/>
      <c r="CP587" s="39"/>
      <c r="CQ587" s="39"/>
      <c r="CR587" s="39"/>
      <c r="CS587" s="39"/>
      <c r="CT587" s="39"/>
      <c r="CU587" s="39"/>
      <c r="CV587" s="39"/>
      <c r="CW587" s="39"/>
      <c r="CX587" s="39"/>
      <c r="CY587" s="39"/>
      <c r="CZ587" s="236">
        <v>0</v>
      </c>
    </row>
    <row r="588" spans="1:104" ht="22.5" x14ac:dyDescent="0.2">
      <c r="A588" s="6" t="s">
        <v>28</v>
      </c>
      <c r="B588" t="s">
        <v>29</v>
      </c>
      <c r="C588" t="s">
        <v>30</v>
      </c>
      <c r="D588" t="s">
        <v>23</v>
      </c>
      <c r="E588" t="s">
        <v>24</v>
      </c>
      <c r="F588" t="s">
        <v>31</v>
      </c>
      <c r="G588">
        <v>84</v>
      </c>
      <c r="H588" s="7">
        <v>63934.8</v>
      </c>
      <c r="K588" s="8">
        <v>0</v>
      </c>
      <c r="L588" s="7">
        <v>761.13</v>
      </c>
      <c r="M588" s="7"/>
      <c r="N588" s="7">
        <f t="shared" si="3159"/>
        <v>4566.78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f t="shared" si="3160"/>
        <v>63934.8</v>
      </c>
      <c r="U588" s="7">
        <f t="shared" si="3075"/>
        <v>63173.670000000006</v>
      </c>
      <c r="V588" s="7">
        <f t="shared" si="3075"/>
        <v>62412.540000000008</v>
      </c>
      <c r="W588" s="7">
        <f t="shared" si="3075"/>
        <v>61651.410000000011</v>
      </c>
      <c r="X588" s="7">
        <f t="shared" si="3075"/>
        <v>60890.280000000013</v>
      </c>
      <c r="Y588" s="7">
        <f t="shared" si="3075"/>
        <v>60129.150000000016</v>
      </c>
      <c r="Z588" s="7">
        <f t="shared" si="3075"/>
        <v>59368.020000000019</v>
      </c>
      <c r="AA588" s="7"/>
      <c r="AC588" s="7">
        <f t="shared" si="3127"/>
        <v>9133.56</v>
      </c>
      <c r="AD588" s="7">
        <f t="shared" si="3161"/>
        <v>58606.890000000021</v>
      </c>
      <c r="AE588" s="7">
        <f t="shared" si="3151"/>
        <v>57845.760000000024</v>
      </c>
      <c r="AF588" s="7">
        <f t="shared" si="3151"/>
        <v>57084.630000000026</v>
      </c>
      <c r="AG588" s="7">
        <f t="shared" si="3151"/>
        <v>56323.500000000029</v>
      </c>
      <c r="AH588" s="7">
        <f t="shared" si="3151"/>
        <v>55562.370000000032</v>
      </c>
      <c r="AI588" s="7">
        <f t="shared" si="3151"/>
        <v>54801.240000000034</v>
      </c>
      <c r="AJ588" s="7">
        <f t="shared" si="3151"/>
        <v>54040.110000000037</v>
      </c>
      <c r="AK588" s="7">
        <f t="shared" si="3151"/>
        <v>53278.98000000004</v>
      </c>
      <c r="AL588" s="7">
        <f t="shared" si="3151"/>
        <v>52517.850000000042</v>
      </c>
      <c r="AM588" s="7">
        <f t="shared" si="3151"/>
        <v>51756.720000000045</v>
      </c>
      <c r="AN588" s="7">
        <f t="shared" si="3151"/>
        <v>50995.590000000047</v>
      </c>
      <c r="AO588" s="7">
        <f t="shared" si="3151"/>
        <v>50234.46000000005</v>
      </c>
      <c r="AP588" s="222"/>
      <c r="AQ588" s="7">
        <v>761.13</v>
      </c>
      <c r="AR588" s="7">
        <f t="shared" si="3133"/>
        <v>761.12999999999738</v>
      </c>
      <c r="AS588" s="7">
        <f t="shared" si="3134"/>
        <v>-2.6147972675971687E-12</v>
      </c>
      <c r="AT588" s="7">
        <f t="shared" si="3135"/>
        <v>9133.56</v>
      </c>
      <c r="AU588" s="39">
        <f t="shared" si="3152"/>
        <v>49473.330000000053</v>
      </c>
      <c r="AV588" s="39">
        <f t="shared" ref="AV588:BF588" si="3163">AU588-$AQ588</f>
        <v>48712.200000000055</v>
      </c>
      <c r="AW588" s="39">
        <f t="shared" si="3163"/>
        <v>47951.070000000058</v>
      </c>
      <c r="AX588" s="39">
        <f t="shared" si="3163"/>
        <v>47189.940000000061</v>
      </c>
      <c r="AY588" s="39">
        <f t="shared" si="3163"/>
        <v>46428.810000000063</v>
      </c>
      <c r="AZ588" s="39">
        <f t="shared" si="3163"/>
        <v>45667.680000000066</v>
      </c>
      <c r="BA588" s="39">
        <f t="shared" si="3163"/>
        <v>44906.550000000068</v>
      </c>
      <c r="BB588" s="39">
        <f t="shared" si="3163"/>
        <v>44145.420000000071</v>
      </c>
      <c r="BC588" s="39">
        <f t="shared" si="3163"/>
        <v>43384.290000000074</v>
      </c>
      <c r="BD588" s="39">
        <f t="shared" si="3163"/>
        <v>42623.160000000076</v>
      </c>
      <c r="BE588" s="39">
        <f t="shared" si="3163"/>
        <v>41862.030000000079</v>
      </c>
      <c r="BF588" s="39">
        <f t="shared" si="3163"/>
        <v>41100.900000000081</v>
      </c>
      <c r="BG588" s="236">
        <f t="shared" si="3071"/>
        <v>0</v>
      </c>
      <c r="BH588" s="7">
        <v>761.13</v>
      </c>
      <c r="BI588" s="39">
        <f>BH588*12</f>
        <v>9133.56</v>
      </c>
      <c r="BJ588" s="7">
        <f t="shared" si="3154"/>
        <v>40339.770000000084</v>
      </c>
      <c r="BK588" s="39">
        <f t="shared" si="3155"/>
        <v>39578.640000000087</v>
      </c>
      <c r="BL588" s="39">
        <f t="shared" si="3156"/>
        <v>38817.510000000089</v>
      </c>
      <c r="BM588" s="39">
        <f t="shared" si="3157"/>
        <v>38056.380000000092</v>
      </c>
      <c r="BN588" s="39">
        <f t="shared" si="3158"/>
        <v>37295.250000000095</v>
      </c>
      <c r="BO588" s="39">
        <f t="shared" ref="BO588:BO649" si="3164">BN588-$AQ588</f>
        <v>36534.120000000097</v>
      </c>
      <c r="BP588" s="39">
        <f t="shared" ref="BP588:BP649" si="3165">BO588-$AQ588</f>
        <v>35772.9900000001</v>
      </c>
      <c r="BQ588" s="39">
        <f t="shared" ref="BQ588:BQ649" si="3166">BP588-$AQ588</f>
        <v>35011.860000000102</v>
      </c>
      <c r="BR588" s="39">
        <f t="shared" ref="BR588:BR649" si="3167">BQ588-$AQ588</f>
        <v>34250.730000000105</v>
      </c>
      <c r="BS588" s="39">
        <f t="shared" ref="BS588:BS649" si="3168">BR588-$AQ588</f>
        <v>33489.600000000108</v>
      </c>
      <c r="BT588" s="39">
        <f t="shared" ref="BT588:BT649" si="3169">BS588-$AQ588</f>
        <v>32728.470000000107</v>
      </c>
      <c r="BU588" s="39">
        <f t="shared" ref="BU588:BU649" si="3170">BT588-$AQ588</f>
        <v>31967.340000000106</v>
      </c>
      <c r="BV588" s="236">
        <v>0</v>
      </c>
      <c r="BW588" s="7">
        <v>761.13</v>
      </c>
      <c r="BX588" s="39">
        <f>BW588*12</f>
        <v>9133.56</v>
      </c>
      <c r="BY588" s="7">
        <f>BU588-BW588</f>
        <v>31206.210000000105</v>
      </c>
      <c r="BZ588" s="39">
        <f t="shared" ref="BZ588:BZ633" si="3171">BY588-$AQ588</f>
        <v>30445.080000000104</v>
      </c>
      <c r="CA588" s="39">
        <f t="shared" ref="CA588:CA624" si="3172">BZ588-$AQ588</f>
        <v>29683.950000000103</v>
      </c>
      <c r="CB588" s="39">
        <f t="shared" ref="CB588:CB649" si="3173">CA588-$AQ588</f>
        <v>28922.820000000102</v>
      </c>
      <c r="CC588" s="39">
        <f t="shared" ref="CC588:CC629" si="3174">CB588-$AQ588</f>
        <v>28161.690000000101</v>
      </c>
      <c r="CD588" s="39">
        <f t="shared" ref="CD588:CD629" si="3175">CC588-$AQ588</f>
        <v>27400.5600000001</v>
      </c>
      <c r="CE588" s="39">
        <f t="shared" ref="CE588:CE629" si="3176">CD588-$AQ588</f>
        <v>26639.430000000099</v>
      </c>
      <c r="CF588" s="39">
        <f t="shared" ref="CF588:CF629" si="3177">CE588-$AQ588</f>
        <v>25878.300000000097</v>
      </c>
      <c r="CG588" s="39">
        <f t="shared" ref="CG588:CG629" si="3178">CF588-$AQ588</f>
        <v>25117.170000000096</v>
      </c>
      <c r="CH588" s="39">
        <f t="shared" ref="CH588:CH629" si="3179">CG588-$AQ588</f>
        <v>24356.040000000095</v>
      </c>
      <c r="CI588" s="39">
        <f t="shared" ref="CI588:CI629" si="3180">CH588-$AQ588</f>
        <v>23594.910000000094</v>
      </c>
      <c r="CJ588" s="39">
        <f t="shared" ref="CJ588:CJ589" si="3181">CI588-$AQ588</f>
        <v>22833.780000000093</v>
      </c>
      <c r="CK588" s="236">
        <v>0</v>
      </c>
      <c r="CL588" s="7">
        <v>761.13</v>
      </c>
      <c r="CM588" s="39">
        <f>CL588*12</f>
        <v>9133.56</v>
      </c>
      <c r="CN588" s="7">
        <f>CJ588-CL588</f>
        <v>22072.650000000092</v>
      </c>
      <c r="CO588" s="39">
        <f t="shared" ref="CO588:CO589" si="3182">CN588-$AQ588</f>
        <v>21311.520000000091</v>
      </c>
      <c r="CP588" s="39">
        <f t="shared" ref="CP588:CP589" si="3183">CO588-$AQ588</f>
        <v>20550.39000000009</v>
      </c>
      <c r="CQ588" s="39">
        <f t="shared" ref="CQ588:CQ589" si="3184">CP588-$AQ588</f>
        <v>19789.260000000089</v>
      </c>
      <c r="CR588" s="39">
        <f t="shared" ref="CR588:CR589" si="3185">CQ588-$AQ588</f>
        <v>19028.130000000088</v>
      </c>
      <c r="CS588" s="39">
        <f t="shared" ref="CS588:CS589" si="3186">CR588-$AQ588</f>
        <v>18267.000000000087</v>
      </c>
      <c r="CT588" s="39">
        <f t="shared" ref="CT588:CT589" si="3187">CS588-$AQ588</f>
        <v>17505.870000000086</v>
      </c>
      <c r="CU588" s="39">
        <f t="shared" ref="CU588:CU589" si="3188">CT588-$AQ588</f>
        <v>16744.740000000085</v>
      </c>
      <c r="CV588" s="39">
        <f t="shared" ref="CV588:CV589" si="3189">CU588-$AQ588</f>
        <v>15983.610000000086</v>
      </c>
      <c r="CW588" s="39">
        <f t="shared" ref="CW588:CW589" si="3190">CV588-$AQ588</f>
        <v>15222.480000000087</v>
      </c>
      <c r="CX588" s="39">
        <f t="shared" ref="CX588:CX589" si="3191">CW588-$AQ588</f>
        <v>14461.350000000088</v>
      </c>
      <c r="CY588" s="39">
        <f t="shared" ref="CY588:CY589" si="3192">CX588-$AQ588</f>
        <v>13700.220000000088</v>
      </c>
      <c r="CZ588" s="236">
        <v>0</v>
      </c>
    </row>
    <row r="589" spans="1:104" ht="22.5" x14ac:dyDescent="0.2">
      <c r="A589" s="6" t="s">
        <v>32</v>
      </c>
      <c r="B589" t="s">
        <v>33</v>
      </c>
      <c r="C589" t="s">
        <v>30</v>
      </c>
      <c r="D589" t="s">
        <v>23</v>
      </c>
      <c r="E589" t="s">
        <v>34</v>
      </c>
      <c r="F589" t="s">
        <v>31</v>
      </c>
      <c r="G589">
        <v>84</v>
      </c>
      <c r="H589" s="7">
        <v>125516.66</v>
      </c>
      <c r="K589" s="8">
        <v>0</v>
      </c>
      <c r="L589" s="7">
        <v>1494.25</v>
      </c>
      <c r="M589" s="7"/>
      <c r="N589" s="7">
        <f>L589*5</f>
        <v>7471.25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f>H589</f>
        <v>125516.66</v>
      </c>
      <c r="V589" s="7">
        <f t="shared" si="3075"/>
        <v>124022.41</v>
      </c>
      <c r="W589" s="7">
        <f t="shared" si="3075"/>
        <v>122528.16</v>
      </c>
      <c r="X589" s="7">
        <f t="shared" si="3075"/>
        <v>121033.91</v>
      </c>
      <c r="Y589" s="7">
        <f t="shared" si="3075"/>
        <v>119539.66</v>
      </c>
      <c r="Z589" s="7">
        <f t="shared" si="3075"/>
        <v>118045.41</v>
      </c>
      <c r="AA589" s="7"/>
      <c r="AC589" s="7">
        <f t="shared" si="3127"/>
        <v>17931</v>
      </c>
      <c r="AD589" s="7">
        <f t="shared" si="3161"/>
        <v>116551.16</v>
      </c>
      <c r="AE589" s="7">
        <f t="shared" si="3151"/>
        <v>115056.91</v>
      </c>
      <c r="AF589" s="7">
        <f t="shared" si="3151"/>
        <v>113562.66</v>
      </c>
      <c r="AG589" s="7">
        <f t="shared" si="3151"/>
        <v>112068.41</v>
      </c>
      <c r="AH589" s="7">
        <f t="shared" si="3151"/>
        <v>110574.16</v>
      </c>
      <c r="AI589" s="7">
        <f t="shared" si="3151"/>
        <v>109079.91</v>
      </c>
      <c r="AJ589" s="7">
        <f t="shared" si="3151"/>
        <v>107585.66</v>
      </c>
      <c r="AK589" s="7">
        <f t="shared" si="3151"/>
        <v>106091.41</v>
      </c>
      <c r="AL589" s="7">
        <f t="shared" si="3151"/>
        <v>104597.16</v>
      </c>
      <c r="AM589" s="7">
        <f t="shared" si="3151"/>
        <v>103102.91</v>
      </c>
      <c r="AN589" s="7">
        <f t="shared" si="3151"/>
        <v>101608.66</v>
      </c>
      <c r="AO589" s="7">
        <f t="shared" si="3151"/>
        <v>100114.41</v>
      </c>
      <c r="AP589" s="222"/>
      <c r="AQ589" s="7">
        <v>1494.25</v>
      </c>
      <c r="AR589" s="7">
        <f t="shared" si="3133"/>
        <v>1494.25</v>
      </c>
      <c r="AS589" s="7">
        <f t="shared" si="3134"/>
        <v>0</v>
      </c>
      <c r="AT589" s="7">
        <f t="shared" si="3135"/>
        <v>17931</v>
      </c>
      <c r="AU589" s="39">
        <f t="shared" si="3152"/>
        <v>98620.160000000003</v>
      </c>
      <c r="AV589" s="39">
        <f t="shared" ref="AV589:BF589" si="3193">AU589-$AQ589</f>
        <v>97125.91</v>
      </c>
      <c r="AW589" s="39">
        <f t="shared" si="3193"/>
        <v>95631.66</v>
      </c>
      <c r="AX589" s="39">
        <f t="shared" si="3193"/>
        <v>94137.41</v>
      </c>
      <c r="AY589" s="39">
        <f t="shared" si="3193"/>
        <v>92643.16</v>
      </c>
      <c r="AZ589" s="39">
        <f t="shared" si="3193"/>
        <v>91148.91</v>
      </c>
      <c r="BA589" s="39">
        <f t="shared" si="3193"/>
        <v>89654.66</v>
      </c>
      <c r="BB589" s="39">
        <f t="shared" si="3193"/>
        <v>88160.41</v>
      </c>
      <c r="BC589" s="39">
        <f t="shared" si="3193"/>
        <v>86666.16</v>
      </c>
      <c r="BD589" s="39">
        <f t="shared" si="3193"/>
        <v>85171.91</v>
      </c>
      <c r="BE589" s="39">
        <f t="shared" si="3193"/>
        <v>83677.66</v>
      </c>
      <c r="BF589" s="39">
        <f t="shared" si="3193"/>
        <v>82183.41</v>
      </c>
      <c r="BG589" s="236">
        <f t="shared" si="3071"/>
        <v>0</v>
      </c>
      <c r="BH589" s="7">
        <v>1494.25</v>
      </c>
      <c r="BI589" s="39">
        <f>BH589*12</f>
        <v>17931</v>
      </c>
      <c r="BJ589" s="7">
        <f t="shared" si="3154"/>
        <v>80689.16</v>
      </c>
      <c r="BK589" s="39">
        <f t="shared" si="3155"/>
        <v>79194.91</v>
      </c>
      <c r="BL589" s="39">
        <f t="shared" si="3156"/>
        <v>77700.66</v>
      </c>
      <c r="BM589" s="39">
        <f t="shared" si="3157"/>
        <v>76206.41</v>
      </c>
      <c r="BN589" s="39">
        <f t="shared" si="3158"/>
        <v>74712.160000000003</v>
      </c>
      <c r="BO589" s="39">
        <f t="shared" si="3164"/>
        <v>73217.91</v>
      </c>
      <c r="BP589" s="39">
        <f t="shared" si="3165"/>
        <v>71723.66</v>
      </c>
      <c r="BQ589" s="39">
        <f t="shared" si="3166"/>
        <v>70229.41</v>
      </c>
      <c r="BR589" s="39">
        <f t="shared" si="3167"/>
        <v>68735.16</v>
      </c>
      <c r="BS589" s="39">
        <f t="shared" si="3168"/>
        <v>67240.91</v>
      </c>
      <c r="BT589" s="39">
        <f t="shared" si="3169"/>
        <v>65746.66</v>
      </c>
      <c r="BU589" s="39">
        <f t="shared" si="3170"/>
        <v>64252.41</v>
      </c>
      <c r="BV589" s="236">
        <v>0</v>
      </c>
      <c r="BW589" s="7">
        <v>1494.25</v>
      </c>
      <c r="BX589" s="39">
        <f>BW589*12</f>
        <v>17931</v>
      </c>
      <c r="BY589" s="7">
        <f>BU589-BW589</f>
        <v>62758.16</v>
      </c>
      <c r="BZ589" s="39">
        <f t="shared" si="3171"/>
        <v>61263.91</v>
      </c>
      <c r="CA589" s="39">
        <f t="shared" si="3172"/>
        <v>59769.66</v>
      </c>
      <c r="CB589" s="39">
        <f t="shared" si="3173"/>
        <v>58275.41</v>
      </c>
      <c r="CC589" s="39">
        <f t="shared" si="3174"/>
        <v>56781.16</v>
      </c>
      <c r="CD589" s="39">
        <f t="shared" si="3175"/>
        <v>55286.91</v>
      </c>
      <c r="CE589" s="39">
        <f t="shared" si="3176"/>
        <v>53792.66</v>
      </c>
      <c r="CF589" s="39">
        <f t="shared" si="3177"/>
        <v>52298.41</v>
      </c>
      <c r="CG589" s="39">
        <f t="shared" si="3178"/>
        <v>50804.160000000003</v>
      </c>
      <c r="CH589" s="39">
        <f t="shared" si="3179"/>
        <v>49309.91</v>
      </c>
      <c r="CI589" s="39">
        <f t="shared" si="3180"/>
        <v>47815.66</v>
      </c>
      <c r="CJ589" s="39">
        <f t="shared" si="3181"/>
        <v>46321.41</v>
      </c>
      <c r="CK589" s="236">
        <v>0</v>
      </c>
      <c r="CL589" s="7">
        <v>1494.25</v>
      </c>
      <c r="CM589" s="39">
        <f>CL589*12</f>
        <v>17931</v>
      </c>
      <c r="CN589" s="7">
        <f>CJ589-CL589</f>
        <v>44827.16</v>
      </c>
      <c r="CO589" s="39">
        <f t="shared" si="3182"/>
        <v>43332.91</v>
      </c>
      <c r="CP589" s="39">
        <f t="shared" si="3183"/>
        <v>41838.660000000003</v>
      </c>
      <c r="CQ589" s="39">
        <f t="shared" si="3184"/>
        <v>40344.410000000003</v>
      </c>
      <c r="CR589" s="39">
        <f t="shared" si="3185"/>
        <v>38850.160000000003</v>
      </c>
      <c r="CS589" s="39">
        <f t="shared" si="3186"/>
        <v>37355.910000000003</v>
      </c>
      <c r="CT589" s="39">
        <f t="shared" si="3187"/>
        <v>35861.660000000003</v>
      </c>
      <c r="CU589" s="39">
        <f t="shared" si="3188"/>
        <v>34367.410000000003</v>
      </c>
      <c r="CV589" s="39">
        <f t="shared" si="3189"/>
        <v>32873.160000000003</v>
      </c>
      <c r="CW589" s="39">
        <f t="shared" si="3190"/>
        <v>31378.910000000003</v>
      </c>
      <c r="CX589" s="39">
        <f t="shared" si="3191"/>
        <v>29884.660000000003</v>
      </c>
      <c r="CY589" s="39">
        <f t="shared" si="3192"/>
        <v>28390.410000000003</v>
      </c>
      <c r="CZ589" s="236">
        <v>0</v>
      </c>
    </row>
    <row r="590" spans="1:104" ht="22.5" x14ac:dyDescent="0.2">
      <c r="A590" s="6" t="s">
        <v>35</v>
      </c>
      <c r="B590" t="s">
        <v>36</v>
      </c>
      <c r="C590" t="s">
        <v>67</v>
      </c>
      <c r="D590" t="s">
        <v>23</v>
      </c>
      <c r="E590" t="s">
        <v>37</v>
      </c>
      <c r="F590" t="s">
        <v>38</v>
      </c>
      <c r="G590" s="186">
        <v>36</v>
      </c>
      <c r="H590" s="7">
        <v>184791.67</v>
      </c>
      <c r="K590" s="8">
        <v>0</v>
      </c>
      <c r="L590" s="7">
        <v>5133.1000000000004</v>
      </c>
      <c r="M590" s="7"/>
      <c r="N590" s="7">
        <f>L590*8</f>
        <v>41064.800000000003</v>
      </c>
      <c r="O590" s="7">
        <v>0</v>
      </c>
      <c r="P590" s="7">
        <v>0</v>
      </c>
      <c r="Q590" s="7">
        <v>0</v>
      </c>
      <c r="R590" s="7">
        <f>H590</f>
        <v>184791.67</v>
      </c>
      <c r="S590" s="7">
        <f t="shared" ref="S590:Z602" si="3194">R590-$L590</f>
        <v>179658.57</v>
      </c>
      <c r="T590" s="7">
        <f t="shared" si="3194"/>
        <v>174525.47</v>
      </c>
      <c r="U590" s="7">
        <f t="shared" si="3194"/>
        <v>169392.37</v>
      </c>
      <c r="V590" s="7">
        <f t="shared" si="3194"/>
        <v>164259.26999999999</v>
      </c>
      <c r="W590" s="7">
        <f t="shared" si="3194"/>
        <v>159126.16999999998</v>
      </c>
      <c r="X590" s="7">
        <f t="shared" si="3194"/>
        <v>153993.06999999998</v>
      </c>
      <c r="Y590" s="7">
        <f t="shared" si="3194"/>
        <v>148859.96999999997</v>
      </c>
      <c r="Z590" s="7">
        <f t="shared" si="3194"/>
        <v>143726.86999999997</v>
      </c>
      <c r="AA590" s="7"/>
      <c r="AC590" s="7">
        <f t="shared" si="3127"/>
        <v>61597.200000000004</v>
      </c>
      <c r="AD590" s="7">
        <f t="shared" si="3161"/>
        <v>138593.76999999996</v>
      </c>
      <c r="AE590" s="7">
        <f t="shared" si="3151"/>
        <v>133460.66999999995</v>
      </c>
      <c r="AF590" s="7">
        <f t="shared" si="3151"/>
        <v>128327.56999999995</v>
      </c>
      <c r="AG590" s="7">
        <f t="shared" si="3151"/>
        <v>123194.46999999994</v>
      </c>
      <c r="AH590" s="7">
        <f t="shared" si="3151"/>
        <v>118061.36999999994</v>
      </c>
      <c r="AI590" s="7">
        <f t="shared" si="3151"/>
        <v>112928.26999999993</v>
      </c>
      <c r="AJ590" s="7">
        <f t="shared" si="3151"/>
        <v>107795.16999999993</v>
      </c>
      <c r="AK590" s="7">
        <f t="shared" si="3151"/>
        <v>102662.06999999992</v>
      </c>
      <c r="AL590" s="7">
        <f t="shared" si="3151"/>
        <v>97528.969999999914</v>
      </c>
      <c r="AM590" s="7">
        <f t="shared" si="3151"/>
        <v>92395.869999999908</v>
      </c>
      <c r="AN590" s="7">
        <f t="shared" si="3151"/>
        <v>87262.769999999902</v>
      </c>
      <c r="AO590" s="7">
        <f t="shared" si="3151"/>
        <v>82129.669999999896</v>
      </c>
      <c r="AP590" s="222"/>
      <c r="AQ590" s="7">
        <v>5133.1000000000004</v>
      </c>
      <c r="AR590" s="7">
        <f t="shared" si="3133"/>
        <v>5133.1000000000058</v>
      </c>
      <c r="AS590" s="7">
        <f t="shared" si="3134"/>
        <v>0</v>
      </c>
      <c r="AT590" s="7">
        <f t="shared" si="3135"/>
        <v>61597.200000000004</v>
      </c>
      <c r="AU590" s="39">
        <f t="shared" si="3152"/>
        <v>76996.569999999891</v>
      </c>
      <c r="AV590" s="39">
        <f t="shared" ref="AV590:BF590" si="3195">AU590-$AQ590</f>
        <v>71863.469999999885</v>
      </c>
      <c r="AW590" s="39">
        <f t="shared" si="3195"/>
        <v>66730.369999999879</v>
      </c>
      <c r="AX590" s="39">
        <f t="shared" si="3195"/>
        <v>61597.26999999988</v>
      </c>
      <c r="AY590" s="39">
        <f t="shared" si="3195"/>
        <v>56464.169999999882</v>
      </c>
      <c r="AZ590" s="39">
        <f t="shared" si="3195"/>
        <v>51331.069999999883</v>
      </c>
      <c r="BA590" s="39">
        <f t="shared" si="3195"/>
        <v>46197.969999999885</v>
      </c>
      <c r="BB590" s="39">
        <f t="shared" si="3195"/>
        <v>41064.869999999886</v>
      </c>
      <c r="BC590" s="39">
        <f t="shared" si="3195"/>
        <v>35931.769999999888</v>
      </c>
      <c r="BD590" s="39">
        <f t="shared" si="3195"/>
        <v>30798.669999999889</v>
      </c>
      <c r="BE590" s="39">
        <f t="shared" si="3195"/>
        <v>25665.569999999891</v>
      </c>
      <c r="BF590" s="39">
        <f t="shared" si="3195"/>
        <v>20532.469999999892</v>
      </c>
      <c r="BG590" s="236">
        <f t="shared" si="3071"/>
        <v>0</v>
      </c>
      <c r="BH590" s="7">
        <v>5133.1000000000004</v>
      </c>
      <c r="BI590" s="39">
        <v>20532.47</v>
      </c>
      <c r="BJ590" s="7">
        <f t="shared" si="3154"/>
        <v>15399.369999999892</v>
      </c>
      <c r="BK590" s="39">
        <f t="shared" si="3155"/>
        <v>10266.269999999891</v>
      </c>
      <c r="BL590" s="39">
        <f t="shared" si="3156"/>
        <v>5133.1699999998909</v>
      </c>
      <c r="BM590" s="39">
        <f t="shared" si="3157"/>
        <v>6.9999999890569597E-2</v>
      </c>
      <c r="BN590" s="39"/>
      <c r="BO590" s="39"/>
      <c r="BP590" s="39"/>
      <c r="BQ590" s="39"/>
      <c r="BR590" s="39"/>
      <c r="BS590" s="39"/>
      <c r="BT590" s="39"/>
      <c r="BU590" s="39"/>
      <c r="BV590" s="236">
        <v>0</v>
      </c>
      <c r="BW590" s="7">
        <v>5133.1000000000004</v>
      </c>
      <c r="BX590" s="39"/>
      <c r="BY590" s="7"/>
      <c r="BZ590" s="39"/>
      <c r="CA590" s="39"/>
      <c r="CB590" s="39"/>
      <c r="CC590" s="39"/>
      <c r="CD590" s="39"/>
      <c r="CE590" s="39"/>
      <c r="CF590" s="39"/>
      <c r="CG590" s="39"/>
      <c r="CH590" s="39"/>
      <c r="CI590" s="39"/>
      <c r="CJ590" s="39"/>
      <c r="CK590" s="236">
        <v>0</v>
      </c>
      <c r="CL590" s="7">
        <v>5133.1000000000004</v>
      </c>
      <c r="CM590" s="39"/>
      <c r="CN590" s="7"/>
      <c r="CO590" s="39"/>
      <c r="CP590" s="39"/>
      <c r="CQ590" s="39"/>
      <c r="CR590" s="39"/>
      <c r="CS590" s="39"/>
      <c r="CT590" s="39"/>
      <c r="CU590" s="39"/>
      <c r="CV590" s="39"/>
      <c r="CW590" s="39"/>
      <c r="CX590" s="39"/>
      <c r="CY590" s="39"/>
      <c r="CZ590" s="236">
        <v>0</v>
      </c>
    </row>
    <row r="591" spans="1:104" ht="22.5" x14ac:dyDescent="0.2">
      <c r="A591" s="6" t="s">
        <v>39</v>
      </c>
      <c r="B591" t="s">
        <v>40</v>
      </c>
      <c r="C591" t="s">
        <v>41</v>
      </c>
      <c r="D591" t="s">
        <v>42</v>
      </c>
      <c r="E591" t="s">
        <v>43</v>
      </c>
      <c r="F591" t="s">
        <v>44</v>
      </c>
      <c r="G591" s="186">
        <v>180</v>
      </c>
      <c r="H591" s="7">
        <v>128661.61</v>
      </c>
      <c r="K591" s="8">
        <v>1</v>
      </c>
      <c r="L591" s="7">
        <v>714.79</v>
      </c>
      <c r="M591" s="7"/>
      <c r="N591" s="7">
        <f t="shared" ref="N591:N594" si="3196">L591*5</f>
        <v>3573.95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f>H591</f>
        <v>128661.61</v>
      </c>
      <c r="V591" s="7">
        <f t="shared" si="3194"/>
        <v>127946.82</v>
      </c>
      <c r="W591" s="7">
        <f t="shared" si="3194"/>
        <v>127232.03000000001</v>
      </c>
      <c r="X591" s="7">
        <f t="shared" si="3194"/>
        <v>126517.24000000002</v>
      </c>
      <c r="Y591" s="7">
        <f t="shared" si="3194"/>
        <v>125802.45000000003</v>
      </c>
      <c r="Z591" s="7">
        <f t="shared" si="3194"/>
        <v>125087.66000000003</v>
      </c>
      <c r="AA591" s="7">
        <f t="shared" ref="AA591:AA597" si="3197">SUM(O591:Z591,J591)/13*$AA$1</f>
        <v>1288.2655246153849</v>
      </c>
      <c r="AC591" s="7">
        <f t="shared" si="3127"/>
        <v>8577.48</v>
      </c>
      <c r="AD591" s="7">
        <f t="shared" si="3161"/>
        <v>124372.87000000004</v>
      </c>
      <c r="AE591" s="7">
        <f t="shared" si="3151"/>
        <v>123658.08000000005</v>
      </c>
      <c r="AF591" s="7">
        <f t="shared" si="3151"/>
        <v>122943.29000000005</v>
      </c>
      <c r="AG591" s="7">
        <f t="shared" si="3151"/>
        <v>122228.50000000006</v>
      </c>
      <c r="AH591" s="7">
        <f t="shared" si="3151"/>
        <v>121513.71000000006</v>
      </c>
      <c r="AI591" s="7">
        <f t="shared" si="3151"/>
        <v>120798.92000000007</v>
      </c>
      <c r="AJ591" s="7">
        <f t="shared" si="3151"/>
        <v>120084.13000000008</v>
      </c>
      <c r="AK591" s="7">
        <f t="shared" si="3151"/>
        <v>119369.34000000008</v>
      </c>
      <c r="AL591" s="7">
        <f t="shared" si="3151"/>
        <v>118654.55000000009</v>
      </c>
      <c r="AM591" s="7">
        <f t="shared" si="3151"/>
        <v>117939.7600000001</v>
      </c>
      <c r="AN591" s="7">
        <f t="shared" si="3151"/>
        <v>117224.9700000001</v>
      </c>
      <c r="AO591" s="7">
        <f t="shared" si="3151"/>
        <v>116510.18000000011</v>
      </c>
      <c r="AP591" s="222">
        <f t="shared" ref="AP591:AP599" si="3198">IF(K591&lt;1,0,SUM(AD591:AO591,Z591)/13*$BG$1)</f>
        <v>2657.5762400000012</v>
      </c>
      <c r="AQ591" s="7">
        <v>714.79</v>
      </c>
      <c r="AR591" s="7">
        <f t="shared" si="3133"/>
        <v>714.7899999999936</v>
      </c>
      <c r="AS591" s="7">
        <f t="shared" si="3134"/>
        <v>-6.3664629124104977E-12</v>
      </c>
      <c r="AT591" s="7">
        <f t="shared" si="3135"/>
        <v>8577.48</v>
      </c>
      <c r="AU591" s="39">
        <f t="shared" si="3152"/>
        <v>115795.39000000012</v>
      </c>
      <c r="AV591" s="39">
        <f t="shared" ref="AV591:BF591" si="3199">AU591-$AQ591</f>
        <v>115080.60000000012</v>
      </c>
      <c r="AW591" s="39">
        <f t="shared" si="3199"/>
        <v>114365.81000000013</v>
      </c>
      <c r="AX591" s="39">
        <f t="shared" si="3199"/>
        <v>113651.02000000014</v>
      </c>
      <c r="AY591" s="39">
        <f t="shared" si="3199"/>
        <v>112936.23000000014</v>
      </c>
      <c r="AZ591" s="39">
        <f t="shared" si="3199"/>
        <v>112221.44000000015</v>
      </c>
      <c r="BA591" s="39">
        <f t="shared" si="3199"/>
        <v>111506.65000000015</v>
      </c>
      <c r="BB591" s="39">
        <f t="shared" si="3199"/>
        <v>110791.86000000016</v>
      </c>
      <c r="BC591" s="39">
        <f t="shared" si="3199"/>
        <v>110077.07000000017</v>
      </c>
      <c r="BD591" s="39">
        <f t="shared" si="3199"/>
        <v>109362.28000000017</v>
      </c>
      <c r="BE591" s="39">
        <f t="shared" si="3199"/>
        <v>108647.49000000018</v>
      </c>
      <c r="BF591" s="39">
        <f t="shared" si="3199"/>
        <v>107932.70000000019</v>
      </c>
      <c r="BG591" s="236">
        <f t="shared" si="3071"/>
        <v>2468.8716800000034</v>
      </c>
      <c r="BH591" s="7">
        <v>714.79</v>
      </c>
      <c r="BI591" s="39">
        <f t="shared" ref="BI591:BI629" si="3200">BH591*12</f>
        <v>8577.48</v>
      </c>
      <c r="BJ591" s="7">
        <f t="shared" si="3154"/>
        <v>107217.91000000019</v>
      </c>
      <c r="BK591" s="39">
        <f t="shared" si="3155"/>
        <v>106503.1200000002</v>
      </c>
      <c r="BL591" s="39">
        <f t="shared" si="3156"/>
        <v>105788.33000000021</v>
      </c>
      <c r="BM591" s="39">
        <f t="shared" si="3157"/>
        <v>105073.54000000021</v>
      </c>
      <c r="BN591" s="39">
        <f t="shared" si="3158"/>
        <v>104358.75000000022</v>
      </c>
      <c r="BO591" s="39">
        <f t="shared" si="3164"/>
        <v>103643.96000000022</v>
      </c>
      <c r="BP591" s="39">
        <f t="shared" si="3165"/>
        <v>102929.17000000023</v>
      </c>
      <c r="BQ591" s="39">
        <f t="shared" si="3166"/>
        <v>102214.38000000024</v>
      </c>
      <c r="BR591" s="39">
        <f t="shared" si="3167"/>
        <v>101499.59000000024</v>
      </c>
      <c r="BS591" s="39">
        <f t="shared" si="3168"/>
        <v>100784.80000000025</v>
      </c>
      <c r="BT591" s="39">
        <f t="shared" si="3169"/>
        <v>100070.01000000026</v>
      </c>
      <c r="BU591" s="39">
        <f t="shared" si="3170"/>
        <v>99355.220000000263</v>
      </c>
      <c r="BV591" s="236">
        <f t="shared" ref="BV591:BV599" si="3201">IF(Z591&lt;1,0,SUM(BJ591:BU591,BF591)/13*$BG$1)</f>
        <v>2280.1671200000046</v>
      </c>
      <c r="BW591" s="7">
        <v>714.79</v>
      </c>
      <c r="BX591" s="39">
        <f t="shared" ref="BX591:BX629" si="3202">BW591*12</f>
        <v>8577.48</v>
      </c>
      <c r="BY591" s="7">
        <f t="shared" ref="BY591:BY629" si="3203">BU591-BW591</f>
        <v>98640.43000000027</v>
      </c>
      <c r="BZ591" s="39">
        <f t="shared" si="3171"/>
        <v>97925.640000000276</v>
      </c>
      <c r="CA591" s="39">
        <f t="shared" si="3172"/>
        <v>97210.850000000282</v>
      </c>
      <c r="CB591" s="39">
        <f t="shared" si="3173"/>
        <v>96496.060000000289</v>
      </c>
      <c r="CC591" s="39">
        <f t="shared" si="3174"/>
        <v>95781.270000000295</v>
      </c>
      <c r="CD591" s="39">
        <f t="shared" si="3175"/>
        <v>95066.480000000302</v>
      </c>
      <c r="CE591" s="39">
        <f t="shared" si="3176"/>
        <v>94351.690000000308</v>
      </c>
      <c r="CF591" s="39">
        <f t="shared" si="3177"/>
        <v>93636.900000000314</v>
      </c>
      <c r="CG591" s="39">
        <f t="shared" si="3178"/>
        <v>92922.110000000321</v>
      </c>
      <c r="CH591" s="39">
        <f t="shared" si="3179"/>
        <v>92207.320000000327</v>
      </c>
      <c r="CI591" s="39">
        <f t="shared" si="3180"/>
        <v>91492.530000000334</v>
      </c>
      <c r="CJ591" s="39">
        <f t="shared" ref="CJ591:CJ629" si="3204">CI591-$AQ591</f>
        <v>90777.74000000034</v>
      </c>
      <c r="CK591" s="236">
        <f t="shared" ref="CK591:CK599" si="3205">IF(AO591&lt;1,0,SUM(BY591:CJ591,BU591)/13*$BG$1)</f>
        <v>2091.4625600000063</v>
      </c>
      <c r="CL591" s="7">
        <v>714.79</v>
      </c>
      <c r="CM591" s="39">
        <f t="shared" ref="CM591:CM599" si="3206">CL591*12</f>
        <v>8577.48</v>
      </c>
      <c r="CN591" s="7">
        <f t="shared" ref="CN591:CN629" si="3207">CJ591-CL591</f>
        <v>90062.950000000346</v>
      </c>
      <c r="CO591" s="39">
        <f t="shared" ref="CO591:CO629" si="3208">CN591-$AQ591</f>
        <v>89348.160000000353</v>
      </c>
      <c r="CP591" s="39">
        <f t="shared" ref="CP591:CP624" si="3209">CO591-$AQ591</f>
        <v>88633.370000000359</v>
      </c>
      <c r="CQ591" s="39">
        <f t="shared" ref="CQ591:CQ629" si="3210">CP591-$AQ591</f>
        <v>87918.580000000366</v>
      </c>
      <c r="CR591" s="39">
        <f t="shared" ref="CR591:CR629" si="3211">CQ591-$AQ591</f>
        <v>87203.790000000372</v>
      </c>
      <c r="CS591" s="39">
        <f t="shared" ref="CS591:CS629" si="3212">CR591-$AQ591</f>
        <v>86489.000000000378</v>
      </c>
      <c r="CT591" s="39">
        <f t="shared" ref="CT591:CT629" si="3213">CS591-$AQ591</f>
        <v>85774.210000000385</v>
      </c>
      <c r="CU591" s="39">
        <f t="shared" ref="CU591:CU629" si="3214">CT591-$AQ591</f>
        <v>85059.420000000391</v>
      </c>
      <c r="CV591" s="39">
        <f t="shared" ref="CV591:CV629" si="3215">CU591-$AQ591</f>
        <v>84344.630000000398</v>
      </c>
      <c r="CW591" s="39">
        <f t="shared" ref="CW591:CW629" si="3216">CV591-$AQ591</f>
        <v>83629.840000000404</v>
      </c>
      <c r="CX591" s="39">
        <f t="shared" ref="CX591:CX629" si="3217">CW591-$AQ591</f>
        <v>82915.05000000041</v>
      </c>
      <c r="CY591" s="39">
        <f t="shared" ref="CY591:CY629" si="3218">CX591-$AQ591</f>
        <v>82200.260000000417</v>
      </c>
      <c r="CZ591" s="236">
        <f t="shared" ref="CZ591:CZ599" si="3219">IF(BF591&lt;1,0,SUM(CN591:CY591,CJ591)/13*$BG$1)</f>
        <v>1902.7580000000085</v>
      </c>
    </row>
    <row r="592" spans="1:104" ht="22.5" x14ac:dyDescent="0.2">
      <c r="A592" s="6" t="s">
        <v>45</v>
      </c>
      <c r="B592" t="s">
        <v>46</v>
      </c>
      <c r="C592" t="s">
        <v>41</v>
      </c>
      <c r="D592" t="s">
        <v>42</v>
      </c>
      <c r="E592" t="s">
        <v>43</v>
      </c>
      <c r="F592" t="s">
        <v>44</v>
      </c>
      <c r="G592" s="186">
        <v>180</v>
      </c>
      <c r="H592" s="7">
        <v>115404.79</v>
      </c>
      <c r="K592" s="8">
        <v>1</v>
      </c>
      <c r="L592" s="7">
        <v>641.14</v>
      </c>
      <c r="M592" s="7"/>
      <c r="N592" s="7">
        <f t="shared" si="3196"/>
        <v>3205.7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f t="shared" ref="U592:U594" si="3220">H592</f>
        <v>115404.79</v>
      </c>
      <c r="V592" s="7">
        <f t="shared" si="3194"/>
        <v>114763.65</v>
      </c>
      <c r="W592" s="7">
        <f t="shared" si="3194"/>
        <v>114122.51</v>
      </c>
      <c r="X592" s="7">
        <f t="shared" si="3194"/>
        <v>113481.37</v>
      </c>
      <c r="Y592" s="7">
        <f t="shared" si="3194"/>
        <v>112840.23</v>
      </c>
      <c r="Z592" s="7">
        <f t="shared" si="3194"/>
        <v>112199.09</v>
      </c>
      <c r="AA592" s="7">
        <f t="shared" si="3197"/>
        <v>1155.5273907692308</v>
      </c>
      <c r="AC592" s="7">
        <f t="shared" si="3127"/>
        <v>7693.68</v>
      </c>
      <c r="AD592" s="7">
        <f t="shared" si="3161"/>
        <v>111557.95</v>
      </c>
      <c r="AE592" s="7">
        <f t="shared" si="3151"/>
        <v>110916.81</v>
      </c>
      <c r="AF592" s="7">
        <f t="shared" si="3151"/>
        <v>110275.67</v>
      </c>
      <c r="AG592" s="7">
        <f t="shared" si="3151"/>
        <v>109634.53</v>
      </c>
      <c r="AH592" s="7">
        <f t="shared" si="3151"/>
        <v>108993.39</v>
      </c>
      <c r="AI592" s="7">
        <f t="shared" si="3151"/>
        <v>108352.25</v>
      </c>
      <c r="AJ592" s="7">
        <f t="shared" si="3151"/>
        <v>107711.11</v>
      </c>
      <c r="AK592" s="7">
        <f t="shared" si="3151"/>
        <v>107069.97</v>
      </c>
      <c r="AL592" s="7">
        <f t="shared" si="3151"/>
        <v>106428.83</v>
      </c>
      <c r="AM592" s="7">
        <f t="shared" si="3151"/>
        <v>105787.69</v>
      </c>
      <c r="AN592" s="7">
        <f t="shared" si="3151"/>
        <v>105146.55</v>
      </c>
      <c r="AO592" s="7">
        <f t="shared" si="3151"/>
        <v>104505.41</v>
      </c>
      <c r="AP592" s="222">
        <f t="shared" si="3198"/>
        <v>2383.7494999999999</v>
      </c>
      <c r="AQ592" s="7">
        <v>641.14</v>
      </c>
      <c r="AR592" s="7">
        <f t="shared" si="3133"/>
        <v>641.13999999999942</v>
      </c>
      <c r="AS592" s="7">
        <f t="shared" si="3134"/>
        <v>0</v>
      </c>
      <c r="AT592" s="7">
        <f t="shared" si="3135"/>
        <v>7693.68</v>
      </c>
      <c r="AU592" s="39">
        <f t="shared" si="3152"/>
        <v>103864.27</v>
      </c>
      <c r="AV592" s="39">
        <f t="shared" ref="AV592:BF592" si="3221">AU592-$AQ592</f>
        <v>103223.13</v>
      </c>
      <c r="AW592" s="39">
        <f t="shared" si="3221"/>
        <v>102581.99</v>
      </c>
      <c r="AX592" s="39">
        <f t="shared" si="3221"/>
        <v>101940.85</v>
      </c>
      <c r="AY592" s="39">
        <f t="shared" si="3221"/>
        <v>101299.71</v>
      </c>
      <c r="AZ592" s="39">
        <f t="shared" si="3221"/>
        <v>100658.57</v>
      </c>
      <c r="BA592" s="39">
        <f t="shared" si="3221"/>
        <v>100017.43000000001</v>
      </c>
      <c r="BB592" s="39">
        <f t="shared" si="3221"/>
        <v>99376.290000000008</v>
      </c>
      <c r="BC592" s="39">
        <f t="shared" si="3221"/>
        <v>98735.150000000009</v>
      </c>
      <c r="BD592" s="39">
        <f t="shared" si="3221"/>
        <v>98094.010000000009</v>
      </c>
      <c r="BE592" s="39">
        <f t="shared" si="3221"/>
        <v>97452.87000000001</v>
      </c>
      <c r="BF592" s="39">
        <f t="shared" si="3221"/>
        <v>96811.73000000001</v>
      </c>
      <c r="BG592" s="236">
        <f t="shared" si="3071"/>
        <v>2214.4885399999998</v>
      </c>
      <c r="BH592" s="7">
        <v>641.14</v>
      </c>
      <c r="BI592" s="39">
        <f t="shared" si="3200"/>
        <v>7693.68</v>
      </c>
      <c r="BJ592" s="7">
        <f t="shared" si="3154"/>
        <v>96170.590000000011</v>
      </c>
      <c r="BK592" s="39">
        <f t="shared" si="3155"/>
        <v>95529.450000000012</v>
      </c>
      <c r="BL592" s="39">
        <f t="shared" si="3156"/>
        <v>94888.310000000012</v>
      </c>
      <c r="BM592" s="39">
        <f t="shared" si="3157"/>
        <v>94247.170000000013</v>
      </c>
      <c r="BN592" s="39">
        <f t="shared" si="3158"/>
        <v>93606.030000000013</v>
      </c>
      <c r="BO592" s="39">
        <f t="shared" si="3164"/>
        <v>92964.890000000014</v>
      </c>
      <c r="BP592" s="39">
        <f t="shared" si="3165"/>
        <v>92323.750000000015</v>
      </c>
      <c r="BQ592" s="39">
        <f t="shared" si="3166"/>
        <v>91682.610000000015</v>
      </c>
      <c r="BR592" s="39">
        <f t="shared" si="3167"/>
        <v>91041.470000000016</v>
      </c>
      <c r="BS592" s="39">
        <f t="shared" si="3168"/>
        <v>90400.330000000016</v>
      </c>
      <c r="BT592" s="39">
        <f t="shared" si="3169"/>
        <v>89759.190000000017</v>
      </c>
      <c r="BU592" s="39">
        <f t="shared" si="3170"/>
        <v>89118.050000000017</v>
      </c>
      <c r="BV592" s="236">
        <f t="shared" si="3201"/>
        <v>2045.2275799999998</v>
      </c>
      <c r="BW592" s="7">
        <v>641.14</v>
      </c>
      <c r="BX592" s="39">
        <f t="shared" si="3202"/>
        <v>7693.68</v>
      </c>
      <c r="BY592" s="7">
        <f t="shared" si="3203"/>
        <v>88476.910000000018</v>
      </c>
      <c r="BZ592" s="39">
        <f t="shared" si="3171"/>
        <v>87835.770000000019</v>
      </c>
      <c r="CA592" s="39">
        <f t="shared" si="3172"/>
        <v>87194.630000000019</v>
      </c>
      <c r="CB592" s="39">
        <f t="shared" si="3173"/>
        <v>86553.49000000002</v>
      </c>
      <c r="CC592" s="39">
        <f t="shared" si="3174"/>
        <v>85912.35000000002</v>
      </c>
      <c r="CD592" s="39">
        <f t="shared" si="3175"/>
        <v>85271.210000000021</v>
      </c>
      <c r="CE592" s="39">
        <f t="shared" si="3176"/>
        <v>84630.070000000022</v>
      </c>
      <c r="CF592" s="39">
        <f t="shared" si="3177"/>
        <v>83988.930000000022</v>
      </c>
      <c r="CG592" s="39">
        <f t="shared" si="3178"/>
        <v>83347.790000000023</v>
      </c>
      <c r="CH592" s="39">
        <f t="shared" si="3179"/>
        <v>82706.650000000023</v>
      </c>
      <c r="CI592" s="39">
        <f t="shared" si="3180"/>
        <v>82065.510000000024</v>
      </c>
      <c r="CJ592" s="39">
        <f t="shared" si="3204"/>
        <v>81424.370000000024</v>
      </c>
      <c r="CK592" s="236">
        <f t="shared" si="3205"/>
        <v>1875.9666200000004</v>
      </c>
      <c r="CL592" s="7">
        <v>641.14</v>
      </c>
      <c r="CM592" s="39">
        <f t="shared" si="3206"/>
        <v>7693.68</v>
      </c>
      <c r="CN592" s="7">
        <f t="shared" si="3207"/>
        <v>80783.230000000025</v>
      </c>
      <c r="CO592" s="39">
        <f t="shared" si="3208"/>
        <v>80142.090000000026</v>
      </c>
      <c r="CP592" s="39">
        <f t="shared" si="3209"/>
        <v>79500.950000000026</v>
      </c>
      <c r="CQ592" s="39">
        <f t="shared" si="3210"/>
        <v>78859.810000000027</v>
      </c>
      <c r="CR592" s="39">
        <f t="shared" si="3211"/>
        <v>78218.670000000027</v>
      </c>
      <c r="CS592" s="39">
        <f t="shared" si="3212"/>
        <v>77577.530000000028</v>
      </c>
      <c r="CT592" s="39">
        <f t="shared" si="3213"/>
        <v>76936.390000000029</v>
      </c>
      <c r="CU592" s="39">
        <f t="shared" si="3214"/>
        <v>76295.250000000029</v>
      </c>
      <c r="CV592" s="39">
        <f t="shared" si="3215"/>
        <v>75654.11000000003</v>
      </c>
      <c r="CW592" s="39">
        <f t="shared" si="3216"/>
        <v>75012.97000000003</v>
      </c>
      <c r="CX592" s="39">
        <f t="shared" si="3217"/>
        <v>74371.830000000031</v>
      </c>
      <c r="CY592" s="39">
        <f t="shared" si="3218"/>
        <v>73730.690000000031</v>
      </c>
      <c r="CZ592" s="236">
        <f t="shared" si="3219"/>
        <v>1706.7056600000005</v>
      </c>
    </row>
    <row r="593" spans="1:104" ht="22.5" x14ac:dyDescent="0.2">
      <c r="A593" s="6" t="s">
        <v>47</v>
      </c>
      <c r="B593" t="s">
        <v>48</v>
      </c>
      <c r="C593" t="s">
        <v>41</v>
      </c>
      <c r="D593" t="s">
        <v>42</v>
      </c>
      <c r="E593" t="s">
        <v>43</v>
      </c>
      <c r="F593" t="s">
        <v>44</v>
      </c>
      <c r="G593" s="186">
        <v>180</v>
      </c>
      <c r="H593" s="7">
        <v>213105.53</v>
      </c>
      <c r="K593" s="8">
        <v>1</v>
      </c>
      <c r="L593" s="7">
        <v>1183.92</v>
      </c>
      <c r="M593" s="7"/>
      <c r="N593" s="7">
        <f t="shared" si="3196"/>
        <v>5919.6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f t="shared" si="3220"/>
        <v>213105.53</v>
      </c>
      <c r="V593" s="7">
        <f t="shared" si="3194"/>
        <v>211921.61</v>
      </c>
      <c r="W593" s="7">
        <f t="shared" si="3194"/>
        <v>210737.68999999997</v>
      </c>
      <c r="X593" s="7">
        <f t="shared" si="3194"/>
        <v>209553.76999999996</v>
      </c>
      <c r="Y593" s="7">
        <f t="shared" si="3194"/>
        <v>208369.84999999995</v>
      </c>
      <c r="Z593" s="7">
        <f t="shared" si="3194"/>
        <v>207185.92999999993</v>
      </c>
      <c r="AA593" s="7">
        <f t="shared" si="3197"/>
        <v>2133.7874123076917</v>
      </c>
      <c r="AC593" s="7">
        <f t="shared" si="3127"/>
        <v>14207.04</v>
      </c>
      <c r="AD593" s="7">
        <f t="shared" si="3161"/>
        <v>206002.00999999992</v>
      </c>
      <c r="AE593" s="7">
        <f t="shared" si="3151"/>
        <v>204818.08999999991</v>
      </c>
      <c r="AF593" s="7">
        <f t="shared" si="3151"/>
        <v>203634.1699999999</v>
      </c>
      <c r="AG593" s="7">
        <f t="shared" si="3151"/>
        <v>202450.24999999988</v>
      </c>
      <c r="AH593" s="7">
        <f t="shared" si="3151"/>
        <v>201266.32999999987</v>
      </c>
      <c r="AI593" s="7">
        <f t="shared" si="3151"/>
        <v>200082.40999999986</v>
      </c>
      <c r="AJ593" s="7">
        <f t="shared" si="3151"/>
        <v>198898.48999999985</v>
      </c>
      <c r="AK593" s="7">
        <f t="shared" si="3151"/>
        <v>197714.56999999983</v>
      </c>
      <c r="AL593" s="7">
        <f t="shared" si="3151"/>
        <v>196530.64999999982</v>
      </c>
      <c r="AM593" s="7">
        <f t="shared" si="3151"/>
        <v>195346.72999999981</v>
      </c>
      <c r="AN593" s="7">
        <f t="shared" si="3151"/>
        <v>194162.80999999979</v>
      </c>
      <c r="AO593" s="7">
        <f t="shared" si="3151"/>
        <v>192978.88999999978</v>
      </c>
      <c r="AP593" s="222">
        <f t="shared" si="3198"/>
        <v>4401.8130199999969</v>
      </c>
      <c r="AQ593" s="7">
        <v>1183.92</v>
      </c>
      <c r="AR593" s="7">
        <f t="shared" si="3133"/>
        <v>1183.9200000000128</v>
      </c>
      <c r="AS593" s="7">
        <f t="shared" si="3134"/>
        <v>1.2732925824820995E-11</v>
      </c>
      <c r="AT593" s="7">
        <f t="shared" si="3135"/>
        <v>14207.04</v>
      </c>
      <c r="AU593" s="39">
        <f t="shared" si="3152"/>
        <v>191794.96999999977</v>
      </c>
      <c r="AV593" s="39">
        <f t="shared" ref="AV593:BF593" si="3222">AU593-$AQ593</f>
        <v>190611.04999999976</v>
      </c>
      <c r="AW593" s="39">
        <f t="shared" si="3222"/>
        <v>189427.12999999974</v>
      </c>
      <c r="AX593" s="39">
        <f t="shared" si="3222"/>
        <v>188243.20999999973</v>
      </c>
      <c r="AY593" s="39">
        <f t="shared" si="3222"/>
        <v>187059.28999999972</v>
      </c>
      <c r="AZ593" s="39">
        <f t="shared" si="3222"/>
        <v>185875.3699999997</v>
      </c>
      <c r="BA593" s="39">
        <f t="shared" si="3222"/>
        <v>184691.44999999969</v>
      </c>
      <c r="BB593" s="39">
        <f t="shared" si="3222"/>
        <v>183507.52999999968</v>
      </c>
      <c r="BC593" s="39">
        <f t="shared" si="3222"/>
        <v>182323.60999999967</v>
      </c>
      <c r="BD593" s="39">
        <f t="shared" si="3222"/>
        <v>181139.68999999965</v>
      </c>
      <c r="BE593" s="39">
        <f t="shared" si="3222"/>
        <v>179955.76999999964</v>
      </c>
      <c r="BF593" s="39">
        <f t="shared" si="3222"/>
        <v>178771.84999999963</v>
      </c>
      <c r="BG593" s="236">
        <f t="shared" si="3071"/>
        <v>4089.2581399999926</v>
      </c>
      <c r="BH593" s="7">
        <v>1183.92</v>
      </c>
      <c r="BI593" s="39">
        <f t="shared" si="3200"/>
        <v>14207.04</v>
      </c>
      <c r="BJ593" s="7">
        <f t="shared" si="3154"/>
        <v>177587.92999999961</v>
      </c>
      <c r="BK593" s="39">
        <f t="shared" si="3155"/>
        <v>176404.0099999996</v>
      </c>
      <c r="BL593" s="39">
        <f t="shared" si="3156"/>
        <v>175220.08999999959</v>
      </c>
      <c r="BM593" s="39">
        <f t="shared" si="3157"/>
        <v>174036.16999999958</v>
      </c>
      <c r="BN593" s="39">
        <f t="shared" si="3158"/>
        <v>172852.24999999956</v>
      </c>
      <c r="BO593" s="39">
        <f t="shared" si="3164"/>
        <v>171668.32999999955</v>
      </c>
      <c r="BP593" s="39">
        <f t="shared" si="3165"/>
        <v>170484.40999999954</v>
      </c>
      <c r="BQ593" s="39">
        <f t="shared" si="3166"/>
        <v>169300.48999999953</v>
      </c>
      <c r="BR593" s="39">
        <f t="shared" si="3167"/>
        <v>168116.56999999951</v>
      </c>
      <c r="BS593" s="39">
        <f t="shared" si="3168"/>
        <v>166932.6499999995</v>
      </c>
      <c r="BT593" s="39">
        <f t="shared" si="3169"/>
        <v>165748.72999999949</v>
      </c>
      <c r="BU593" s="39">
        <f t="shared" si="3170"/>
        <v>164564.80999999947</v>
      </c>
      <c r="BV593" s="236">
        <f t="shared" si="3201"/>
        <v>3776.7032599999898</v>
      </c>
      <c r="BW593" s="7">
        <v>1183.92</v>
      </c>
      <c r="BX593" s="39">
        <f t="shared" si="3202"/>
        <v>14207.04</v>
      </c>
      <c r="BY593" s="7">
        <f t="shared" si="3203"/>
        <v>163380.88999999946</v>
      </c>
      <c r="BZ593" s="39">
        <f t="shared" si="3171"/>
        <v>162196.96999999945</v>
      </c>
      <c r="CA593" s="39">
        <f t="shared" si="3172"/>
        <v>161013.04999999944</v>
      </c>
      <c r="CB593" s="39">
        <f t="shared" si="3173"/>
        <v>159829.12999999942</v>
      </c>
      <c r="CC593" s="39">
        <f t="shared" si="3174"/>
        <v>158645.20999999941</v>
      </c>
      <c r="CD593" s="39">
        <f t="shared" si="3175"/>
        <v>157461.2899999994</v>
      </c>
      <c r="CE593" s="39">
        <f t="shared" si="3176"/>
        <v>156277.36999999938</v>
      </c>
      <c r="CF593" s="39">
        <f t="shared" si="3177"/>
        <v>155093.44999999937</v>
      </c>
      <c r="CG593" s="39">
        <f t="shared" si="3178"/>
        <v>153909.52999999936</v>
      </c>
      <c r="CH593" s="39">
        <f t="shared" si="3179"/>
        <v>152725.60999999935</v>
      </c>
      <c r="CI593" s="39">
        <f t="shared" si="3180"/>
        <v>151541.68999999933</v>
      </c>
      <c r="CJ593" s="39">
        <f t="shared" si="3204"/>
        <v>150357.76999999932</v>
      </c>
      <c r="CK593" s="236">
        <f t="shared" si="3205"/>
        <v>3464.1483799999864</v>
      </c>
      <c r="CL593" s="7">
        <v>1183.92</v>
      </c>
      <c r="CM593" s="39">
        <f t="shared" si="3206"/>
        <v>14207.04</v>
      </c>
      <c r="CN593" s="7">
        <f t="shared" si="3207"/>
        <v>149173.84999999931</v>
      </c>
      <c r="CO593" s="39">
        <f t="shared" si="3208"/>
        <v>147989.92999999929</v>
      </c>
      <c r="CP593" s="39">
        <f t="shared" si="3209"/>
        <v>146806.00999999928</v>
      </c>
      <c r="CQ593" s="39">
        <f t="shared" si="3210"/>
        <v>145622.08999999927</v>
      </c>
      <c r="CR593" s="39">
        <f t="shared" si="3211"/>
        <v>144438.16999999926</v>
      </c>
      <c r="CS593" s="39">
        <f t="shared" si="3212"/>
        <v>143254.24999999924</v>
      </c>
      <c r="CT593" s="39">
        <f t="shared" si="3213"/>
        <v>142070.32999999923</v>
      </c>
      <c r="CU593" s="39">
        <f t="shared" si="3214"/>
        <v>140886.40999999922</v>
      </c>
      <c r="CV593" s="39">
        <f t="shared" si="3215"/>
        <v>139702.4899999992</v>
      </c>
      <c r="CW593" s="39">
        <f t="shared" si="3216"/>
        <v>138518.56999999919</v>
      </c>
      <c r="CX593" s="39">
        <f t="shared" si="3217"/>
        <v>137334.64999999918</v>
      </c>
      <c r="CY593" s="39">
        <f t="shared" si="3218"/>
        <v>136150.72999999917</v>
      </c>
      <c r="CZ593" s="236">
        <f t="shared" si="3219"/>
        <v>3151.5934999999831</v>
      </c>
    </row>
    <row r="594" spans="1:104" ht="22.5" x14ac:dyDescent="0.2">
      <c r="A594" s="6" t="s">
        <v>49</v>
      </c>
      <c r="B594" t="s">
        <v>50</v>
      </c>
      <c r="C594" t="s">
        <v>41</v>
      </c>
      <c r="D594" t="s">
        <v>42</v>
      </c>
      <c r="E594" t="s">
        <v>51</v>
      </c>
      <c r="F594" t="s">
        <v>44</v>
      </c>
      <c r="G594" s="186">
        <v>180</v>
      </c>
      <c r="H594" s="7">
        <v>216209.26</v>
      </c>
      <c r="K594" s="8">
        <v>1</v>
      </c>
      <c r="L594" s="7">
        <v>1201.1600000000001</v>
      </c>
      <c r="M594" s="7"/>
      <c r="N594" s="7">
        <f t="shared" si="3196"/>
        <v>6005.8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f t="shared" si="3220"/>
        <v>216209.26</v>
      </c>
      <c r="V594" s="7">
        <f t="shared" si="3194"/>
        <v>215008.1</v>
      </c>
      <c r="W594" s="7">
        <f t="shared" si="3194"/>
        <v>213806.94</v>
      </c>
      <c r="X594" s="7">
        <f t="shared" si="3194"/>
        <v>212605.78</v>
      </c>
      <c r="Y594" s="7">
        <f t="shared" si="3194"/>
        <v>211404.62</v>
      </c>
      <c r="Z594" s="7">
        <f t="shared" si="3194"/>
        <v>210203.46</v>
      </c>
      <c r="AA594" s="7">
        <f t="shared" si="3197"/>
        <v>2164.8645784615387</v>
      </c>
      <c r="AC594" s="7">
        <f t="shared" si="3127"/>
        <v>14413.920000000002</v>
      </c>
      <c r="AD594" s="7">
        <f t="shared" si="3161"/>
        <v>209002.3</v>
      </c>
      <c r="AE594" s="7">
        <f t="shared" si="3151"/>
        <v>207801.13999999998</v>
      </c>
      <c r="AF594" s="7">
        <f t="shared" si="3151"/>
        <v>206599.97999999998</v>
      </c>
      <c r="AG594" s="7">
        <f t="shared" si="3151"/>
        <v>205398.81999999998</v>
      </c>
      <c r="AH594" s="7">
        <f t="shared" si="3151"/>
        <v>204197.65999999997</v>
      </c>
      <c r="AI594" s="7">
        <f t="shared" si="3151"/>
        <v>202996.49999999997</v>
      </c>
      <c r="AJ594" s="7">
        <f t="shared" si="3151"/>
        <v>201795.33999999997</v>
      </c>
      <c r="AK594" s="7">
        <f t="shared" si="3151"/>
        <v>200594.17999999996</v>
      </c>
      <c r="AL594" s="7">
        <f t="shared" si="3151"/>
        <v>199393.01999999996</v>
      </c>
      <c r="AM594" s="7">
        <f t="shared" si="3151"/>
        <v>198191.85999999996</v>
      </c>
      <c r="AN594" s="7">
        <f t="shared" si="3151"/>
        <v>196990.69999999995</v>
      </c>
      <c r="AO594" s="7">
        <f t="shared" si="3151"/>
        <v>195789.53999999995</v>
      </c>
      <c r="AP594" s="222">
        <f t="shared" si="3198"/>
        <v>4465.9229999999989</v>
      </c>
      <c r="AQ594" s="7">
        <v>1201.1600000000001</v>
      </c>
      <c r="AR594" s="7">
        <f t="shared" si="3133"/>
        <v>1201.1600000000035</v>
      </c>
      <c r="AS594" s="7">
        <f t="shared" si="3134"/>
        <v>3.4106051316484809E-12</v>
      </c>
      <c r="AT594" s="7">
        <f t="shared" si="3135"/>
        <v>14413.920000000002</v>
      </c>
      <c r="AU594" s="39">
        <f t="shared" si="3152"/>
        <v>194588.37999999995</v>
      </c>
      <c r="AV594" s="39">
        <f t="shared" ref="AV594:BF594" si="3223">AU594-$AQ594</f>
        <v>193387.21999999994</v>
      </c>
      <c r="AW594" s="39">
        <f t="shared" si="3223"/>
        <v>192186.05999999994</v>
      </c>
      <c r="AX594" s="39">
        <f t="shared" si="3223"/>
        <v>190984.89999999994</v>
      </c>
      <c r="AY594" s="39">
        <f t="shared" si="3223"/>
        <v>189783.73999999993</v>
      </c>
      <c r="AZ594" s="39">
        <f t="shared" si="3223"/>
        <v>188582.57999999993</v>
      </c>
      <c r="BA594" s="39">
        <f t="shared" si="3223"/>
        <v>187381.41999999993</v>
      </c>
      <c r="BB594" s="39">
        <f t="shared" si="3223"/>
        <v>186180.25999999992</v>
      </c>
      <c r="BC594" s="39">
        <f t="shared" si="3223"/>
        <v>184979.09999999992</v>
      </c>
      <c r="BD594" s="39">
        <f t="shared" si="3223"/>
        <v>183777.93999999992</v>
      </c>
      <c r="BE594" s="39">
        <f t="shared" si="3223"/>
        <v>182576.77999999991</v>
      </c>
      <c r="BF594" s="39">
        <f t="shared" si="3223"/>
        <v>181375.61999999991</v>
      </c>
      <c r="BG594" s="236">
        <f t="shared" si="3071"/>
        <v>4148.8167599999979</v>
      </c>
      <c r="BH594" s="7">
        <v>1201.1600000000001</v>
      </c>
      <c r="BI594" s="39">
        <f t="shared" si="3200"/>
        <v>14413.920000000002</v>
      </c>
      <c r="BJ594" s="7">
        <f t="shared" si="3154"/>
        <v>180174.4599999999</v>
      </c>
      <c r="BK594" s="39">
        <f t="shared" si="3155"/>
        <v>178973.2999999999</v>
      </c>
      <c r="BL594" s="39">
        <f t="shared" si="3156"/>
        <v>177772.1399999999</v>
      </c>
      <c r="BM594" s="39">
        <f t="shared" si="3157"/>
        <v>176570.97999999989</v>
      </c>
      <c r="BN594" s="39">
        <f t="shared" si="3158"/>
        <v>175369.81999999989</v>
      </c>
      <c r="BO594" s="39">
        <f t="shared" si="3164"/>
        <v>174168.65999999989</v>
      </c>
      <c r="BP594" s="39">
        <f t="shared" si="3165"/>
        <v>172967.49999999988</v>
      </c>
      <c r="BQ594" s="39">
        <f t="shared" si="3166"/>
        <v>171766.33999999988</v>
      </c>
      <c r="BR594" s="39">
        <f t="shared" si="3167"/>
        <v>170565.17999999988</v>
      </c>
      <c r="BS594" s="39">
        <f t="shared" si="3168"/>
        <v>169364.01999999987</v>
      </c>
      <c r="BT594" s="39">
        <f t="shared" si="3169"/>
        <v>168162.85999999987</v>
      </c>
      <c r="BU594" s="39">
        <f t="shared" si="3170"/>
        <v>166961.69999999987</v>
      </c>
      <c r="BV594" s="236">
        <f t="shared" si="3201"/>
        <v>3831.7105199999974</v>
      </c>
      <c r="BW594" s="7">
        <v>1201.1600000000001</v>
      </c>
      <c r="BX594" s="39">
        <f t="shared" si="3202"/>
        <v>14413.920000000002</v>
      </c>
      <c r="BY594" s="7">
        <f t="shared" si="3203"/>
        <v>165760.53999999986</v>
      </c>
      <c r="BZ594" s="39">
        <f t="shared" si="3171"/>
        <v>164559.37999999986</v>
      </c>
      <c r="CA594" s="39">
        <f t="shared" si="3172"/>
        <v>163358.21999999986</v>
      </c>
      <c r="CB594" s="39">
        <f t="shared" si="3173"/>
        <v>162157.05999999985</v>
      </c>
      <c r="CC594" s="39">
        <f t="shared" si="3174"/>
        <v>160955.89999999985</v>
      </c>
      <c r="CD594" s="39">
        <f t="shared" si="3175"/>
        <v>159754.73999999985</v>
      </c>
      <c r="CE594" s="39">
        <f t="shared" si="3176"/>
        <v>158553.57999999984</v>
      </c>
      <c r="CF594" s="39">
        <f t="shared" si="3177"/>
        <v>157352.41999999984</v>
      </c>
      <c r="CG594" s="39">
        <f t="shared" si="3178"/>
        <v>156151.25999999983</v>
      </c>
      <c r="CH594" s="39">
        <f t="shared" si="3179"/>
        <v>154950.09999999983</v>
      </c>
      <c r="CI594" s="39">
        <f t="shared" si="3180"/>
        <v>153748.93999999983</v>
      </c>
      <c r="CJ594" s="39">
        <f t="shared" si="3204"/>
        <v>152547.77999999982</v>
      </c>
      <c r="CK594" s="236">
        <f t="shared" si="3205"/>
        <v>3514.6042799999964</v>
      </c>
      <c r="CL594" s="7">
        <v>1201.1600000000001</v>
      </c>
      <c r="CM594" s="39">
        <f t="shared" si="3206"/>
        <v>14413.920000000002</v>
      </c>
      <c r="CN594" s="7">
        <f t="shared" si="3207"/>
        <v>151346.61999999982</v>
      </c>
      <c r="CO594" s="39">
        <f t="shared" si="3208"/>
        <v>150145.45999999982</v>
      </c>
      <c r="CP594" s="39">
        <f t="shared" si="3209"/>
        <v>148944.29999999981</v>
      </c>
      <c r="CQ594" s="39">
        <f t="shared" si="3210"/>
        <v>147743.13999999981</v>
      </c>
      <c r="CR594" s="39">
        <f t="shared" si="3211"/>
        <v>146541.97999999981</v>
      </c>
      <c r="CS594" s="39">
        <f t="shared" si="3212"/>
        <v>145340.8199999998</v>
      </c>
      <c r="CT594" s="39">
        <f t="shared" si="3213"/>
        <v>144139.6599999998</v>
      </c>
      <c r="CU594" s="39">
        <f t="shared" si="3214"/>
        <v>142938.4999999998</v>
      </c>
      <c r="CV594" s="39">
        <f t="shared" si="3215"/>
        <v>141737.33999999979</v>
      </c>
      <c r="CW594" s="39">
        <f t="shared" si="3216"/>
        <v>140536.17999999979</v>
      </c>
      <c r="CX594" s="39">
        <f t="shared" si="3217"/>
        <v>139335.01999999979</v>
      </c>
      <c r="CY594" s="39">
        <f t="shared" si="3218"/>
        <v>138133.85999999978</v>
      </c>
      <c r="CZ594" s="236">
        <f t="shared" si="3219"/>
        <v>3197.4980399999954</v>
      </c>
    </row>
    <row r="595" spans="1:104" x14ac:dyDescent="0.2">
      <c r="A595" s="6" t="s">
        <v>52</v>
      </c>
      <c r="B595" t="s">
        <v>53</v>
      </c>
      <c r="C595" t="s">
        <v>41</v>
      </c>
      <c r="D595" t="s">
        <v>42</v>
      </c>
      <c r="E595" t="s">
        <v>54</v>
      </c>
      <c r="F595" t="s">
        <v>44</v>
      </c>
      <c r="G595" s="186">
        <v>180</v>
      </c>
      <c r="H595" s="7">
        <v>811385.66</v>
      </c>
      <c r="K595" s="8">
        <v>1</v>
      </c>
      <c r="L595" s="7">
        <v>4507.7</v>
      </c>
      <c r="M595" s="7"/>
      <c r="N595" s="7">
        <f>L595*4</f>
        <v>18030.8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f>H595</f>
        <v>811385.66</v>
      </c>
      <c r="W595" s="7">
        <f t="shared" si="3194"/>
        <v>806877.96000000008</v>
      </c>
      <c r="X595" s="7">
        <f t="shared" si="3194"/>
        <v>802370.26000000013</v>
      </c>
      <c r="Y595" s="7">
        <f t="shared" si="3194"/>
        <v>797862.56000000017</v>
      </c>
      <c r="Z595" s="7">
        <f t="shared" si="3194"/>
        <v>793354.86000000022</v>
      </c>
      <c r="AA595" s="7">
        <f t="shared" si="3197"/>
        <v>6789.2868153846166</v>
      </c>
      <c r="AC595" s="7">
        <f t="shared" si="3127"/>
        <v>54092.399999999994</v>
      </c>
      <c r="AD595" s="7">
        <f t="shared" si="3161"/>
        <v>788847.16000000027</v>
      </c>
      <c r="AE595" s="7">
        <f t="shared" si="3151"/>
        <v>784339.46000000031</v>
      </c>
      <c r="AF595" s="7">
        <f t="shared" si="3151"/>
        <v>779831.76000000036</v>
      </c>
      <c r="AG595" s="7">
        <f t="shared" si="3151"/>
        <v>775324.06000000041</v>
      </c>
      <c r="AH595" s="7">
        <f t="shared" si="3151"/>
        <v>770816.36000000045</v>
      </c>
      <c r="AI595" s="7">
        <f t="shared" si="3151"/>
        <v>766308.6600000005</v>
      </c>
      <c r="AJ595" s="7">
        <f t="shared" si="3151"/>
        <v>761800.96000000054</v>
      </c>
      <c r="AK595" s="7">
        <f t="shared" si="3151"/>
        <v>757293.26000000059</v>
      </c>
      <c r="AL595" s="7">
        <f t="shared" si="3151"/>
        <v>752785.56000000064</v>
      </c>
      <c r="AM595" s="7">
        <f t="shared" si="3151"/>
        <v>748277.86000000068</v>
      </c>
      <c r="AN595" s="7">
        <f t="shared" si="3151"/>
        <v>743770.16000000073</v>
      </c>
      <c r="AO595" s="7">
        <f t="shared" si="3151"/>
        <v>739262.46000000078</v>
      </c>
      <c r="AP595" s="222">
        <f t="shared" si="3198"/>
        <v>16858.790520000006</v>
      </c>
      <c r="AQ595" s="7">
        <v>4507.7</v>
      </c>
      <c r="AR595" s="7">
        <f t="shared" si="3133"/>
        <v>4507.6999999999534</v>
      </c>
      <c r="AS595" s="7">
        <f t="shared" si="3134"/>
        <v>-4.638422979041934E-11</v>
      </c>
      <c r="AT595" s="7">
        <f t="shared" si="3135"/>
        <v>54092.399999999994</v>
      </c>
      <c r="AU595" s="39">
        <f t="shared" si="3152"/>
        <v>734754.76000000082</v>
      </c>
      <c r="AV595" s="39">
        <f t="shared" ref="AV595:BF595" si="3224">AU595-$AQ595</f>
        <v>730247.06000000087</v>
      </c>
      <c r="AW595" s="39">
        <f t="shared" si="3224"/>
        <v>725739.36000000092</v>
      </c>
      <c r="AX595" s="39">
        <f t="shared" si="3224"/>
        <v>721231.66000000096</v>
      </c>
      <c r="AY595" s="39">
        <f t="shared" si="3224"/>
        <v>716723.96000000101</v>
      </c>
      <c r="AZ595" s="39">
        <f t="shared" si="3224"/>
        <v>712216.26000000106</v>
      </c>
      <c r="BA595" s="39">
        <f t="shared" si="3224"/>
        <v>707708.5600000011</v>
      </c>
      <c r="BB595" s="39">
        <f t="shared" si="3224"/>
        <v>703200.86000000115</v>
      </c>
      <c r="BC595" s="39">
        <f t="shared" si="3224"/>
        <v>698693.1600000012</v>
      </c>
      <c r="BD595" s="39">
        <f t="shared" si="3224"/>
        <v>694185.46000000124</v>
      </c>
      <c r="BE595" s="39">
        <f t="shared" si="3224"/>
        <v>689677.76000000129</v>
      </c>
      <c r="BF595" s="39">
        <f t="shared" si="3224"/>
        <v>685170.06000000134</v>
      </c>
      <c r="BG595" s="236">
        <f t="shared" si="3071"/>
        <v>15668.757720000023</v>
      </c>
      <c r="BH595" s="7">
        <v>4507.7</v>
      </c>
      <c r="BI595" s="39">
        <f t="shared" si="3200"/>
        <v>54092.399999999994</v>
      </c>
      <c r="BJ595" s="7">
        <f t="shared" si="3154"/>
        <v>680662.36000000138</v>
      </c>
      <c r="BK595" s="39">
        <f t="shared" si="3155"/>
        <v>676154.66000000143</v>
      </c>
      <c r="BL595" s="39">
        <f t="shared" si="3156"/>
        <v>671646.96000000148</v>
      </c>
      <c r="BM595" s="39">
        <f t="shared" si="3157"/>
        <v>667139.26000000152</v>
      </c>
      <c r="BN595" s="39">
        <f t="shared" si="3158"/>
        <v>662631.56000000157</v>
      </c>
      <c r="BO595" s="39">
        <f t="shared" si="3164"/>
        <v>658123.86000000162</v>
      </c>
      <c r="BP595" s="39">
        <f t="shared" si="3165"/>
        <v>653616.16000000166</v>
      </c>
      <c r="BQ595" s="39">
        <f t="shared" si="3166"/>
        <v>649108.46000000171</v>
      </c>
      <c r="BR595" s="39">
        <f t="shared" si="3167"/>
        <v>644600.76000000176</v>
      </c>
      <c r="BS595" s="39">
        <f t="shared" si="3168"/>
        <v>640093.0600000018</v>
      </c>
      <c r="BT595" s="39">
        <f t="shared" si="3169"/>
        <v>635585.36000000185</v>
      </c>
      <c r="BU595" s="39">
        <f t="shared" si="3170"/>
        <v>631077.6600000019</v>
      </c>
      <c r="BV595" s="236">
        <f t="shared" si="3201"/>
        <v>14478.724920000031</v>
      </c>
      <c r="BW595" s="7">
        <v>4507.7</v>
      </c>
      <c r="BX595" s="39">
        <f t="shared" si="3202"/>
        <v>54092.399999999994</v>
      </c>
      <c r="BY595" s="7">
        <f t="shared" si="3203"/>
        <v>626569.96000000194</v>
      </c>
      <c r="BZ595" s="39">
        <f t="shared" si="3171"/>
        <v>622062.26000000199</v>
      </c>
      <c r="CA595" s="39">
        <f t="shared" si="3172"/>
        <v>617554.56000000203</v>
      </c>
      <c r="CB595" s="39">
        <f t="shared" si="3173"/>
        <v>613046.86000000208</v>
      </c>
      <c r="CC595" s="39">
        <f t="shared" si="3174"/>
        <v>608539.16000000213</v>
      </c>
      <c r="CD595" s="39">
        <f t="shared" si="3175"/>
        <v>604031.46000000217</v>
      </c>
      <c r="CE595" s="39">
        <f t="shared" si="3176"/>
        <v>599523.76000000222</v>
      </c>
      <c r="CF595" s="39">
        <f t="shared" si="3177"/>
        <v>595016.06000000227</v>
      </c>
      <c r="CG595" s="39">
        <f t="shared" si="3178"/>
        <v>590508.36000000231</v>
      </c>
      <c r="CH595" s="39">
        <f t="shared" si="3179"/>
        <v>586000.66000000236</v>
      </c>
      <c r="CI595" s="39">
        <f t="shared" si="3180"/>
        <v>581492.96000000241</v>
      </c>
      <c r="CJ595" s="39">
        <f t="shared" si="3204"/>
        <v>576985.26000000245</v>
      </c>
      <c r="CK595" s="236">
        <f t="shared" si="3205"/>
        <v>13288.692120000047</v>
      </c>
      <c r="CL595" s="7">
        <v>4507.7</v>
      </c>
      <c r="CM595" s="39">
        <f t="shared" si="3206"/>
        <v>54092.399999999994</v>
      </c>
      <c r="CN595" s="7">
        <f t="shared" si="3207"/>
        <v>572477.5600000025</v>
      </c>
      <c r="CO595" s="39">
        <f t="shared" si="3208"/>
        <v>567969.86000000255</v>
      </c>
      <c r="CP595" s="39">
        <f t="shared" si="3209"/>
        <v>563462.16000000259</v>
      </c>
      <c r="CQ595" s="39">
        <f t="shared" si="3210"/>
        <v>558954.46000000264</v>
      </c>
      <c r="CR595" s="39">
        <f t="shared" si="3211"/>
        <v>554446.76000000269</v>
      </c>
      <c r="CS595" s="39">
        <f t="shared" si="3212"/>
        <v>549939.06000000273</v>
      </c>
      <c r="CT595" s="39">
        <f t="shared" si="3213"/>
        <v>545431.36000000278</v>
      </c>
      <c r="CU595" s="39">
        <f t="shared" si="3214"/>
        <v>540923.66000000283</v>
      </c>
      <c r="CV595" s="39">
        <f t="shared" si="3215"/>
        <v>536415.96000000287</v>
      </c>
      <c r="CW595" s="39">
        <f t="shared" si="3216"/>
        <v>531908.26000000292</v>
      </c>
      <c r="CX595" s="39">
        <f t="shared" si="3217"/>
        <v>527400.56000000297</v>
      </c>
      <c r="CY595" s="39">
        <f t="shared" si="3218"/>
        <v>522892.86000000295</v>
      </c>
      <c r="CZ595" s="236">
        <f t="shared" si="3219"/>
        <v>12098.659320000059</v>
      </c>
    </row>
    <row r="596" spans="1:104" ht="22.5" x14ac:dyDescent="0.2">
      <c r="A596" s="104" t="s">
        <v>55</v>
      </c>
      <c r="B596" t="s">
        <v>56</v>
      </c>
      <c r="C596" t="s">
        <v>41</v>
      </c>
      <c r="D596" t="s">
        <v>42</v>
      </c>
      <c r="E596" t="s">
        <v>54</v>
      </c>
      <c r="F596" t="s">
        <v>44</v>
      </c>
      <c r="G596" s="186">
        <v>180</v>
      </c>
      <c r="H596" s="7">
        <v>104411.66</v>
      </c>
      <c r="K596" s="8">
        <v>1</v>
      </c>
      <c r="L596" s="7">
        <v>580.06000000000006</v>
      </c>
      <c r="M596" s="7"/>
      <c r="N596" s="7">
        <f t="shared" ref="N596:N599" si="3225">L596*4</f>
        <v>2320.2400000000002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f>H596</f>
        <v>104411.66</v>
      </c>
      <c r="W596" s="7">
        <f t="shared" si="3194"/>
        <v>103831.6</v>
      </c>
      <c r="X596" s="7">
        <f t="shared" si="3194"/>
        <v>103251.54000000001</v>
      </c>
      <c r="Y596" s="7">
        <f t="shared" si="3194"/>
        <v>102671.48000000001</v>
      </c>
      <c r="Z596" s="7">
        <f t="shared" si="3194"/>
        <v>102091.42000000001</v>
      </c>
      <c r="AA596" s="7">
        <f t="shared" si="3197"/>
        <v>873.66687692307698</v>
      </c>
      <c r="AC596" s="7">
        <f t="shared" si="3127"/>
        <v>6960.7200000000012</v>
      </c>
      <c r="AD596" s="7">
        <f t="shared" si="3161"/>
        <v>101511.36000000002</v>
      </c>
      <c r="AE596" s="7">
        <f t="shared" si="3151"/>
        <v>100931.30000000002</v>
      </c>
      <c r="AF596" s="7">
        <f t="shared" si="3151"/>
        <v>100351.24000000002</v>
      </c>
      <c r="AG596" s="7">
        <f t="shared" si="3151"/>
        <v>99771.180000000022</v>
      </c>
      <c r="AH596" s="7">
        <f t="shared" si="3151"/>
        <v>99191.120000000024</v>
      </c>
      <c r="AI596" s="7">
        <f t="shared" si="3151"/>
        <v>98611.060000000027</v>
      </c>
      <c r="AJ596" s="7">
        <f t="shared" si="3151"/>
        <v>98031.000000000029</v>
      </c>
      <c r="AK596" s="7">
        <f t="shared" si="3151"/>
        <v>97450.940000000031</v>
      </c>
      <c r="AL596" s="7">
        <f t="shared" si="3151"/>
        <v>96870.880000000034</v>
      </c>
      <c r="AM596" s="7">
        <f t="shared" si="3151"/>
        <v>96290.820000000036</v>
      </c>
      <c r="AN596" s="7">
        <f t="shared" si="3151"/>
        <v>95710.760000000038</v>
      </c>
      <c r="AO596" s="7">
        <f t="shared" si="3151"/>
        <v>95130.700000000041</v>
      </c>
      <c r="AP596" s="222">
        <f t="shared" si="3198"/>
        <v>2169.4433200000003</v>
      </c>
      <c r="AQ596" s="7">
        <v>580.06000000000006</v>
      </c>
      <c r="AR596" s="7">
        <f t="shared" si="3133"/>
        <v>580.05999999999767</v>
      </c>
      <c r="AS596" s="7">
        <f t="shared" si="3134"/>
        <v>-2.3874235921539366E-12</v>
      </c>
      <c r="AT596" s="7">
        <f t="shared" si="3135"/>
        <v>6960.7200000000012</v>
      </c>
      <c r="AU596" s="39">
        <f t="shared" si="3152"/>
        <v>94550.640000000043</v>
      </c>
      <c r="AV596" s="39">
        <f t="shared" ref="AV596:BF596" si="3226">AU596-$AQ596</f>
        <v>93970.580000000045</v>
      </c>
      <c r="AW596" s="39">
        <f t="shared" si="3226"/>
        <v>93390.520000000048</v>
      </c>
      <c r="AX596" s="39">
        <f t="shared" si="3226"/>
        <v>92810.46000000005</v>
      </c>
      <c r="AY596" s="39">
        <f t="shared" si="3226"/>
        <v>92230.400000000052</v>
      </c>
      <c r="AZ596" s="39">
        <f t="shared" si="3226"/>
        <v>91650.340000000055</v>
      </c>
      <c r="BA596" s="39">
        <f t="shared" si="3226"/>
        <v>91070.280000000057</v>
      </c>
      <c r="BB596" s="39">
        <f t="shared" si="3226"/>
        <v>90490.220000000059</v>
      </c>
      <c r="BC596" s="39">
        <f t="shared" si="3226"/>
        <v>89910.160000000062</v>
      </c>
      <c r="BD596" s="39">
        <f t="shared" si="3226"/>
        <v>89330.100000000064</v>
      </c>
      <c r="BE596" s="39">
        <f t="shared" si="3226"/>
        <v>88750.040000000066</v>
      </c>
      <c r="BF596" s="39">
        <f t="shared" si="3226"/>
        <v>88169.980000000069</v>
      </c>
      <c r="BG596" s="236">
        <f t="shared" si="3071"/>
        <v>2016.3074800000011</v>
      </c>
      <c r="BH596" s="7">
        <v>580.06000000000006</v>
      </c>
      <c r="BI596" s="39">
        <f t="shared" si="3200"/>
        <v>6960.7200000000012</v>
      </c>
      <c r="BJ596" s="7">
        <f t="shared" si="3154"/>
        <v>87589.920000000071</v>
      </c>
      <c r="BK596" s="39">
        <f t="shared" si="3155"/>
        <v>87009.860000000073</v>
      </c>
      <c r="BL596" s="39">
        <f t="shared" si="3156"/>
        <v>86429.800000000076</v>
      </c>
      <c r="BM596" s="39">
        <f t="shared" si="3157"/>
        <v>85849.740000000078</v>
      </c>
      <c r="BN596" s="39">
        <f t="shared" si="3158"/>
        <v>85269.68000000008</v>
      </c>
      <c r="BO596" s="39">
        <f t="shared" si="3164"/>
        <v>84689.620000000083</v>
      </c>
      <c r="BP596" s="39">
        <f t="shared" si="3165"/>
        <v>84109.560000000085</v>
      </c>
      <c r="BQ596" s="39">
        <f t="shared" si="3166"/>
        <v>83529.500000000087</v>
      </c>
      <c r="BR596" s="39">
        <f t="shared" si="3167"/>
        <v>82949.44000000009</v>
      </c>
      <c r="BS596" s="39">
        <f t="shared" si="3168"/>
        <v>82369.380000000092</v>
      </c>
      <c r="BT596" s="39">
        <f t="shared" si="3169"/>
        <v>81789.320000000094</v>
      </c>
      <c r="BU596" s="39">
        <f t="shared" si="3170"/>
        <v>81209.260000000097</v>
      </c>
      <c r="BV596" s="236">
        <f t="shared" si="3201"/>
        <v>1863.1716400000016</v>
      </c>
      <c r="BW596" s="7">
        <v>580.06000000000006</v>
      </c>
      <c r="BX596" s="39">
        <f t="shared" si="3202"/>
        <v>6960.7200000000012</v>
      </c>
      <c r="BY596" s="7">
        <f t="shared" si="3203"/>
        <v>80629.200000000099</v>
      </c>
      <c r="BZ596" s="39">
        <f t="shared" si="3171"/>
        <v>80049.140000000101</v>
      </c>
      <c r="CA596" s="39">
        <f t="shared" si="3172"/>
        <v>79469.080000000104</v>
      </c>
      <c r="CB596" s="39">
        <f t="shared" si="3173"/>
        <v>78889.020000000106</v>
      </c>
      <c r="CC596" s="39">
        <f t="shared" si="3174"/>
        <v>78308.960000000108</v>
      </c>
      <c r="CD596" s="39">
        <f t="shared" si="3175"/>
        <v>77728.900000000111</v>
      </c>
      <c r="CE596" s="39">
        <f t="shared" si="3176"/>
        <v>77148.840000000113</v>
      </c>
      <c r="CF596" s="39">
        <f t="shared" si="3177"/>
        <v>76568.780000000115</v>
      </c>
      <c r="CG596" s="39">
        <f t="shared" si="3178"/>
        <v>75988.720000000118</v>
      </c>
      <c r="CH596" s="39">
        <f t="shared" si="3179"/>
        <v>75408.66000000012</v>
      </c>
      <c r="CI596" s="39">
        <f t="shared" si="3180"/>
        <v>74828.600000000122</v>
      </c>
      <c r="CJ596" s="39">
        <f t="shared" si="3204"/>
        <v>74248.540000000125</v>
      </c>
      <c r="CK596" s="236">
        <f t="shared" si="3205"/>
        <v>1710.0358000000024</v>
      </c>
      <c r="CL596" s="7">
        <v>580.06000000000006</v>
      </c>
      <c r="CM596" s="39">
        <f t="shared" si="3206"/>
        <v>6960.7200000000012</v>
      </c>
      <c r="CN596" s="7">
        <f t="shared" si="3207"/>
        <v>73668.480000000127</v>
      </c>
      <c r="CO596" s="39">
        <f t="shared" si="3208"/>
        <v>73088.420000000129</v>
      </c>
      <c r="CP596" s="39">
        <f t="shared" si="3209"/>
        <v>72508.360000000132</v>
      </c>
      <c r="CQ596" s="39">
        <f t="shared" si="3210"/>
        <v>71928.300000000134</v>
      </c>
      <c r="CR596" s="39">
        <f t="shared" si="3211"/>
        <v>71348.240000000136</v>
      </c>
      <c r="CS596" s="39">
        <f t="shared" si="3212"/>
        <v>70768.180000000139</v>
      </c>
      <c r="CT596" s="39">
        <f t="shared" si="3213"/>
        <v>70188.120000000141</v>
      </c>
      <c r="CU596" s="39">
        <f t="shared" si="3214"/>
        <v>69608.060000000143</v>
      </c>
      <c r="CV596" s="39">
        <f t="shared" si="3215"/>
        <v>69028.000000000146</v>
      </c>
      <c r="CW596" s="39">
        <f t="shared" si="3216"/>
        <v>68447.940000000148</v>
      </c>
      <c r="CX596" s="39">
        <f t="shared" si="3217"/>
        <v>67867.88000000015</v>
      </c>
      <c r="CY596" s="39">
        <f t="shared" si="3218"/>
        <v>67287.820000000153</v>
      </c>
      <c r="CZ596" s="236">
        <f t="shared" si="3219"/>
        <v>1556.8999600000029</v>
      </c>
    </row>
    <row r="597" spans="1:104" ht="22.5" x14ac:dyDescent="0.2">
      <c r="A597" s="6" t="s">
        <v>57</v>
      </c>
      <c r="B597" t="s">
        <v>58</v>
      </c>
      <c r="C597" t="s">
        <v>41</v>
      </c>
      <c r="D597" t="s">
        <v>42</v>
      </c>
      <c r="E597" t="s">
        <v>54</v>
      </c>
      <c r="F597" t="s">
        <v>44</v>
      </c>
      <c r="G597" s="186">
        <v>180</v>
      </c>
      <c r="H597" s="7">
        <v>112122.39</v>
      </c>
      <c r="K597" s="8">
        <v>1</v>
      </c>
      <c r="L597" s="7">
        <v>622.9</v>
      </c>
      <c r="M597" s="7"/>
      <c r="N597" s="7">
        <f t="shared" si="3225"/>
        <v>2491.6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f t="shared" ref="V597" si="3227">H597</f>
        <v>112122.39</v>
      </c>
      <c r="W597" s="7">
        <f t="shared" si="3194"/>
        <v>111499.49</v>
      </c>
      <c r="X597" s="7">
        <f t="shared" si="3194"/>
        <v>110876.59000000001</v>
      </c>
      <c r="Y597" s="7">
        <f t="shared" si="3194"/>
        <v>110253.69000000002</v>
      </c>
      <c r="Z597" s="7">
        <f t="shared" si="3194"/>
        <v>109630.79000000002</v>
      </c>
      <c r="AA597" s="7">
        <f t="shared" si="3197"/>
        <v>938.1865307692309</v>
      </c>
      <c r="AC597" s="7">
        <f t="shared" si="3127"/>
        <v>7474.7999999999993</v>
      </c>
      <c r="AD597" s="7">
        <f t="shared" si="3161"/>
        <v>109007.89000000003</v>
      </c>
      <c r="AE597" s="7">
        <f t="shared" si="3151"/>
        <v>108384.99000000003</v>
      </c>
      <c r="AF597" s="7">
        <f t="shared" si="3151"/>
        <v>107762.09000000004</v>
      </c>
      <c r="AG597" s="7">
        <f t="shared" si="3151"/>
        <v>107139.19000000005</v>
      </c>
      <c r="AH597" s="7">
        <f t="shared" si="3151"/>
        <v>106516.29000000005</v>
      </c>
      <c r="AI597" s="7">
        <f t="shared" si="3151"/>
        <v>105893.39000000006</v>
      </c>
      <c r="AJ597" s="7">
        <f t="shared" si="3151"/>
        <v>105270.49000000006</v>
      </c>
      <c r="AK597" s="7">
        <f t="shared" si="3151"/>
        <v>104647.59000000007</v>
      </c>
      <c r="AL597" s="7">
        <f t="shared" si="3151"/>
        <v>104024.69000000008</v>
      </c>
      <c r="AM597" s="7">
        <f t="shared" si="3151"/>
        <v>103401.79000000008</v>
      </c>
      <c r="AN597" s="7">
        <f t="shared" si="3151"/>
        <v>102778.89000000009</v>
      </c>
      <c r="AO597" s="7">
        <f t="shared" si="3151"/>
        <v>102155.99000000009</v>
      </c>
      <c r="AP597" s="222">
        <f t="shared" si="3198"/>
        <v>2329.6545800000013</v>
      </c>
      <c r="AQ597" s="7">
        <v>622.9</v>
      </c>
      <c r="AR597" s="7">
        <f t="shared" si="3133"/>
        <v>622.89999999999418</v>
      </c>
      <c r="AS597" s="7">
        <f t="shared" si="3134"/>
        <v>-5.7980287238024175E-12</v>
      </c>
      <c r="AT597" s="7">
        <f>AQ597*12</f>
        <v>7474.7999999999993</v>
      </c>
      <c r="AU597" s="39">
        <f t="shared" si="3152"/>
        <v>101533.0900000001</v>
      </c>
      <c r="AV597" s="39">
        <f t="shared" ref="AV597:BF597" si="3228">AU597-$AQ597</f>
        <v>100910.1900000001</v>
      </c>
      <c r="AW597" s="39">
        <f t="shared" si="3228"/>
        <v>100287.29000000011</v>
      </c>
      <c r="AX597" s="39">
        <f t="shared" si="3228"/>
        <v>99664.390000000116</v>
      </c>
      <c r="AY597" s="39">
        <f t="shared" si="3228"/>
        <v>99041.490000000122</v>
      </c>
      <c r="AZ597" s="39">
        <f t="shared" si="3228"/>
        <v>98418.590000000127</v>
      </c>
      <c r="BA597" s="39">
        <f t="shared" si="3228"/>
        <v>97795.690000000133</v>
      </c>
      <c r="BB597" s="39">
        <f t="shared" si="3228"/>
        <v>97172.790000000139</v>
      </c>
      <c r="BC597" s="39">
        <f t="shared" si="3228"/>
        <v>96549.890000000145</v>
      </c>
      <c r="BD597" s="39">
        <f t="shared" si="3228"/>
        <v>95926.990000000151</v>
      </c>
      <c r="BE597" s="39">
        <f t="shared" si="3228"/>
        <v>95304.090000000157</v>
      </c>
      <c r="BF597" s="39">
        <f t="shared" si="3228"/>
        <v>94681.190000000162</v>
      </c>
      <c r="BG597" s="236">
        <f t="shared" si="3071"/>
        <v>2165.2089800000022</v>
      </c>
      <c r="BH597" s="7">
        <v>622.9</v>
      </c>
      <c r="BI597" s="39">
        <f t="shared" si="3200"/>
        <v>7474.7999999999993</v>
      </c>
      <c r="BJ597" s="7">
        <f t="shared" si="3154"/>
        <v>94058.290000000168</v>
      </c>
      <c r="BK597" s="39">
        <f t="shared" si="3155"/>
        <v>93435.390000000174</v>
      </c>
      <c r="BL597" s="39">
        <f t="shared" si="3156"/>
        <v>92812.49000000018</v>
      </c>
      <c r="BM597" s="39">
        <f t="shared" si="3157"/>
        <v>92189.590000000186</v>
      </c>
      <c r="BN597" s="39">
        <f t="shared" si="3158"/>
        <v>91566.690000000192</v>
      </c>
      <c r="BO597" s="39">
        <f t="shared" si="3164"/>
        <v>90943.790000000197</v>
      </c>
      <c r="BP597" s="39">
        <f t="shared" si="3165"/>
        <v>90320.890000000203</v>
      </c>
      <c r="BQ597" s="39">
        <f t="shared" si="3166"/>
        <v>89697.990000000209</v>
      </c>
      <c r="BR597" s="39">
        <f t="shared" si="3167"/>
        <v>89075.090000000215</v>
      </c>
      <c r="BS597" s="39">
        <f t="shared" si="3168"/>
        <v>88452.190000000221</v>
      </c>
      <c r="BT597" s="39">
        <f t="shared" si="3169"/>
        <v>87829.290000000226</v>
      </c>
      <c r="BU597" s="39">
        <f t="shared" si="3170"/>
        <v>87206.390000000232</v>
      </c>
      <c r="BV597" s="236">
        <f t="shared" si="3201"/>
        <v>2000.7633800000042</v>
      </c>
      <c r="BW597" s="7">
        <v>622.9</v>
      </c>
      <c r="BX597" s="39">
        <f t="shared" si="3202"/>
        <v>7474.7999999999993</v>
      </c>
      <c r="BY597" s="7">
        <f t="shared" si="3203"/>
        <v>86583.490000000238</v>
      </c>
      <c r="BZ597" s="39">
        <f t="shared" si="3171"/>
        <v>85960.590000000244</v>
      </c>
      <c r="CA597" s="39">
        <f t="shared" si="3172"/>
        <v>85337.69000000025</v>
      </c>
      <c r="CB597" s="39">
        <f t="shared" si="3173"/>
        <v>84714.790000000256</v>
      </c>
      <c r="CC597" s="39">
        <f t="shared" si="3174"/>
        <v>84091.890000000261</v>
      </c>
      <c r="CD597" s="39">
        <f t="shared" si="3175"/>
        <v>83468.990000000267</v>
      </c>
      <c r="CE597" s="39">
        <f t="shared" si="3176"/>
        <v>82846.090000000273</v>
      </c>
      <c r="CF597" s="39">
        <f t="shared" si="3177"/>
        <v>82223.190000000279</v>
      </c>
      <c r="CG597" s="39">
        <f t="shared" si="3178"/>
        <v>81600.290000000285</v>
      </c>
      <c r="CH597" s="39">
        <f t="shared" si="3179"/>
        <v>80977.39000000029</v>
      </c>
      <c r="CI597" s="39">
        <f t="shared" si="3180"/>
        <v>80354.490000000296</v>
      </c>
      <c r="CJ597" s="39">
        <f t="shared" si="3204"/>
        <v>79731.590000000302</v>
      </c>
      <c r="CK597" s="236">
        <f t="shared" si="3205"/>
        <v>1836.3177800000055</v>
      </c>
      <c r="CL597" s="7">
        <v>622.9</v>
      </c>
      <c r="CM597" s="39">
        <f t="shared" si="3206"/>
        <v>7474.7999999999993</v>
      </c>
      <c r="CN597" s="7">
        <f t="shared" si="3207"/>
        <v>79108.690000000308</v>
      </c>
      <c r="CO597" s="39">
        <f t="shared" si="3208"/>
        <v>78485.790000000314</v>
      </c>
      <c r="CP597" s="39">
        <f t="shared" si="3209"/>
        <v>77862.89000000032</v>
      </c>
      <c r="CQ597" s="39">
        <f t="shared" si="3210"/>
        <v>77239.990000000325</v>
      </c>
      <c r="CR597" s="39">
        <f t="shared" si="3211"/>
        <v>76617.090000000331</v>
      </c>
      <c r="CS597" s="39">
        <f t="shared" si="3212"/>
        <v>75994.190000000337</v>
      </c>
      <c r="CT597" s="39">
        <f t="shared" si="3213"/>
        <v>75371.290000000343</v>
      </c>
      <c r="CU597" s="39">
        <f t="shared" si="3214"/>
        <v>74748.390000000349</v>
      </c>
      <c r="CV597" s="39">
        <f t="shared" si="3215"/>
        <v>74125.490000000354</v>
      </c>
      <c r="CW597" s="39">
        <f t="shared" si="3216"/>
        <v>73502.59000000036</v>
      </c>
      <c r="CX597" s="39">
        <f t="shared" si="3217"/>
        <v>72879.690000000366</v>
      </c>
      <c r="CY597" s="39">
        <f t="shared" si="3218"/>
        <v>72256.790000000372</v>
      </c>
      <c r="CZ597" s="236">
        <f t="shared" si="3219"/>
        <v>1671.8721800000073</v>
      </c>
    </row>
    <row r="598" spans="1:104" ht="22.5" x14ac:dyDescent="0.2">
      <c r="A598" s="6" t="s">
        <v>59</v>
      </c>
      <c r="B598" t="s">
        <v>60</v>
      </c>
      <c r="C598" t="s">
        <v>41</v>
      </c>
      <c r="D598" t="s">
        <v>42</v>
      </c>
      <c r="E598" t="s">
        <v>61</v>
      </c>
      <c r="F598" t="s">
        <v>44</v>
      </c>
      <c r="G598" s="186">
        <v>180</v>
      </c>
      <c r="H598" s="7">
        <v>137331.09</v>
      </c>
      <c r="K598" s="8">
        <v>1</v>
      </c>
      <c r="L598" s="7">
        <v>762.95</v>
      </c>
      <c r="M598" s="7"/>
      <c r="N598" s="7">
        <f>L598*7</f>
        <v>5340.6500000000005</v>
      </c>
      <c r="O598" s="7">
        <v>0</v>
      </c>
      <c r="P598" s="7">
        <v>0</v>
      </c>
      <c r="Q598" s="7">
        <v>0</v>
      </c>
      <c r="R598" s="7">
        <v>0</v>
      </c>
      <c r="S598" s="7">
        <f>H598</f>
        <v>137331.09</v>
      </c>
      <c r="T598" s="7">
        <f t="shared" ref="T598:V598" si="3229">S598-$L598</f>
        <v>136568.13999999998</v>
      </c>
      <c r="U598" s="7">
        <f t="shared" si="3229"/>
        <v>135805.18999999997</v>
      </c>
      <c r="V598" s="7">
        <f t="shared" si="3229"/>
        <v>135042.23999999996</v>
      </c>
      <c r="W598" s="7">
        <f t="shared" si="3194"/>
        <v>134279.28999999995</v>
      </c>
      <c r="X598" s="7">
        <f t="shared" si="3194"/>
        <v>133516.33999999994</v>
      </c>
      <c r="Y598" s="7">
        <f t="shared" si="3194"/>
        <v>132753.38999999993</v>
      </c>
      <c r="Z598" s="7">
        <f t="shared" si="3194"/>
        <v>131990.43999999992</v>
      </c>
      <c r="AA598" s="7">
        <f>SUM(O598:Z598,J598)/13*$AA$1</f>
        <v>1823.0995876923071</v>
      </c>
      <c r="AC598" s="7">
        <f t="shared" si="3127"/>
        <v>9155.4000000000015</v>
      </c>
      <c r="AD598" s="7">
        <f t="shared" si="3161"/>
        <v>131227.4899999999</v>
      </c>
      <c r="AE598" s="7">
        <f t="shared" si="3151"/>
        <v>130464.53999999991</v>
      </c>
      <c r="AF598" s="7">
        <f t="shared" si="3151"/>
        <v>129701.58999999991</v>
      </c>
      <c r="AG598" s="7">
        <f t="shared" si="3151"/>
        <v>128938.63999999991</v>
      </c>
      <c r="AH598" s="7">
        <f t="shared" si="3151"/>
        <v>128175.68999999992</v>
      </c>
      <c r="AI598" s="7">
        <f t="shared" si="3151"/>
        <v>127412.73999999992</v>
      </c>
      <c r="AJ598" s="7">
        <f t="shared" si="3151"/>
        <v>126649.78999999992</v>
      </c>
      <c r="AK598" s="7">
        <f t="shared" si="3151"/>
        <v>125886.83999999992</v>
      </c>
      <c r="AL598" s="7">
        <f t="shared" si="3151"/>
        <v>125123.88999999993</v>
      </c>
      <c r="AM598" s="7">
        <f t="shared" si="3151"/>
        <v>124360.93999999993</v>
      </c>
      <c r="AN598" s="7">
        <f t="shared" si="3151"/>
        <v>123597.98999999993</v>
      </c>
      <c r="AO598" s="7">
        <f t="shared" si="3151"/>
        <v>122835.03999999994</v>
      </c>
      <c r="AP598" s="222">
        <f t="shared" si="3198"/>
        <v>2803.0802799999983</v>
      </c>
      <c r="AQ598" s="7">
        <v>762.95</v>
      </c>
      <c r="AR598" s="7">
        <f t="shared" si="3133"/>
        <v>762.94999999999709</v>
      </c>
      <c r="AS598" s="7">
        <f t="shared" si="3134"/>
        <v>-2.9558577807620168E-12</v>
      </c>
      <c r="AT598" s="7">
        <f t="shared" ref="AT598:AT608" si="3230">AQ598*12</f>
        <v>9155.4000000000015</v>
      </c>
      <c r="AU598" s="39">
        <f t="shared" si="3152"/>
        <v>122072.08999999994</v>
      </c>
      <c r="AV598" s="39">
        <f t="shared" ref="AV598:BF598" si="3231">AU598-$AQ598</f>
        <v>121309.13999999994</v>
      </c>
      <c r="AW598" s="39">
        <f t="shared" si="3231"/>
        <v>120546.18999999994</v>
      </c>
      <c r="AX598" s="39">
        <f t="shared" si="3231"/>
        <v>119783.23999999995</v>
      </c>
      <c r="AY598" s="39">
        <f t="shared" si="3231"/>
        <v>119020.28999999995</v>
      </c>
      <c r="AZ598" s="39">
        <f t="shared" si="3231"/>
        <v>118257.33999999995</v>
      </c>
      <c r="BA598" s="39">
        <f t="shared" si="3231"/>
        <v>117494.38999999996</v>
      </c>
      <c r="BB598" s="39">
        <f t="shared" si="3231"/>
        <v>116731.43999999996</v>
      </c>
      <c r="BC598" s="39">
        <f t="shared" si="3231"/>
        <v>115968.48999999996</v>
      </c>
      <c r="BD598" s="39">
        <f t="shared" si="3231"/>
        <v>115205.53999999996</v>
      </c>
      <c r="BE598" s="39">
        <f t="shared" si="3231"/>
        <v>114442.58999999997</v>
      </c>
      <c r="BF598" s="39">
        <f t="shared" si="3231"/>
        <v>113679.63999999997</v>
      </c>
      <c r="BG598" s="236">
        <f t="shared" si="3071"/>
        <v>2601.6614799999993</v>
      </c>
      <c r="BH598" s="7">
        <v>762.95</v>
      </c>
      <c r="BI598" s="7">
        <f t="shared" si="3200"/>
        <v>9155.4000000000015</v>
      </c>
      <c r="BJ598" s="7">
        <f t="shared" si="3154"/>
        <v>112916.68999999997</v>
      </c>
      <c r="BK598" s="39">
        <f t="shared" si="3155"/>
        <v>112153.73999999998</v>
      </c>
      <c r="BL598" s="39">
        <f t="shared" si="3156"/>
        <v>111390.78999999998</v>
      </c>
      <c r="BM598" s="39">
        <f t="shared" si="3157"/>
        <v>110627.83999999998</v>
      </c>
      <c r="BN598" s="39">
        <f t="shared" si="3158"/>
        <v>109864.88999999998</v>
      </c>
      <c r="BO598" s="39">
        <f t="shared" si="3164"/>
        <v>109101.93999999999</v>
      </c>
      <c r="BP598" s="39">
        <f t="shared" si="3165"/>
        <v>108338.98999999999</v>
      </c>
      <c r="BQ598" s="39">
        <f t="shared" si="3166"/>
        <v>107576.04</v>
      </c>
      <c r="BR598" s="39">
        <f t="shared" si="3167"/>
        <v>106813.09</v>
      </c>
      <c r="BS598" s="39">
        <f t="shared" si="3168"/>
        <v>106050.14</v>
      </c>
      <c r="BT598" s="39">
        <f t="shared" si="3169"/>
        <v>105287.19</v>
      </c>
      <c r="BU598" s="39">
        <f t="shared" si="3170"/>
        <v>104524.24</v>
      </c>
      <c r="BV598" s="236">
        <f t="shared" si="3201"/>
        <v>2400.2426799999989</v>
      </c>
      <c r="BW598" s="7">
        <v>762.95</v>
      </c>
      <c r="BX598" s="7">
        <f t="shared" si="3202"/>
        <v>9155.4000000000015</v>
      </c>
      <c r="BY598" s="7">
        <f t="shared" si="3203"/>
        <v>103761.29000000001</v>
      </c>
      <c r="BZ598" s="39">
        <f t="shared" si="3171"/>
        <v>102998.34000000001</v>
      </c>
      <c r="CA598" s="39">
        <f t="shared" si="3172"/>
        <v>102235.39000000001</v>
      </c>
      <c r="CB598" s="39">
        <f t="shared" si="3173"/>
        <v>101472.44000000002</v>
      </c>
      <c r="CC598" s="39">
        <f t="shared" si="3174"/>
        <v>100709.49000000002</v>
      </c>
      <c r="CD598" s="39">
        <f t="shared" si="3175"/>
        <v>99946.540000000023</v>
      </c>
      <c r="CE598" s="39">
        <f t="shared" si="3176"/>
        <v>99183.590000000026</v>
      </c>
      <c r="CF598" s="39">
        <f t="shared" si="3177"/>
        <v>98420.640000000029</v>
      </c>
      <c r="CG598" s="39">
        <f t="shared" si="3178"/>
        <v>97657.690000000031</v>
      </c>
      <c r="CH598" s="39">
        <f t="shared" si="3179"/>
        <v>96894.740000000034</v>
      </c>
      <c r="CI598" s="39">
        <f t="shared" si="3180"/>
        <v>96131.790000000037</v>
      </c>
      <c r="CJ598" s="39">
        <f t="shared" si="3204"/>
        <v>95368.84000000004</v>
      </c>
      <c r="CK598" s="236">
        <f t="shared" si="3205"/>
        <v>2198.8238800000004</v>
      </c>
      <c r="CL598" s="7">
        <v>762.95</v>
      </c>
      <c r="CM598" s="7">
        <f t="shared" si="3206"/>
        <v>9155.4000000000015</v>
      </c>
      <c r="CN598" s="7">
        <f t="shared" si="3207"/>
        <v>94605.890000000043</v>
      </c>
      <c r="CO598" s="39">
        <f t="shared" si="3208"/>
        <v>93842.940000000046</v>
      </c>
      <c r="CP598" s="39">
        <f t="shared" si="3209"/>
        <v>93079.990000000049</v>
      </c>
      <c r="CQ598" s="39">
        <f t="shared" si="3210"/>
        <v>92317.040000000052</v>
      </c>
      <c r="CR598" s="39">
        <f t="shared" si="3211"/>
        <v>91554.090000000055</v>
      </c>
      <c r="CS598" s="39">
        <f t="shared" si="3212"/>
        <v>90791.140000000058</v>
      </c>
      <c r="CT598" s="39">
        <f t="shared" si="3213"/>
        <v>90028.190000000061</v>
      </c>
      <c r="CU598" s="39">
        <f t="shared" si="3214"/>
        <v>89265.240000000063</v>
      </c>
      <c r="CV598" s="39">
        <f t="shared" si="3215"/>
        <v>88502.290000000066</v>
      </c>
      <c r="CW598" s="39">
        <f t="shared" si="3216"/>
        <v>87739.340000000069</v>
      </c>
      <c r="CX598" s="39">
        <f t="shared" si="3217"/>
        <v>86976.390000000072</v>
      </c>
      <c r="CY598" s="39">
        <f t="shared" si="3218"/>
        <v>86213.440000000075</v>
      </c>
      <c r="CZ598" s="236">
        <f t="shared" si="3219"/>
        <v>1997.4050800000011</v>
      </c>
    </row>
    <row r="599" spans="1:104" x14ac:dyDescent="0.2">
      <c r="A599" s="6" t="s">
        <v>62</v>
      </c>
      <c r="B599" t="s">
        <v>63</v>
      </c>
      <c r="C599" t="s">
        <v>41</v>
      </c>
      <c r="D599" t="s">
        <v>42</v>
      </c>
      <c r="E599" t="s">
        <v>64</v>
      </c>
      <c r="F599" t="s">
        <v>44</v>
      </c>
      <c r="G599" s="186">
        <v>180</v>
      </c>
      <c r="H599" s="7">
        <v>286878.40999999997</v>
      </c>
      <c r="K599" s="8">
        <v>1</v>
      </c>
      <c r="L599" s="7">
        <v>1593.77</v>
      </c>
      <c r="M599" s="7"/>
      <c r="N599" s="7">
        <f t="shared" si="3225"/>
        <v>6375.08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f t="shared" ref="V599" si="3232">H599</f>
        <v>286878.40999999997</v>
      </c>
      <c r="W599" s="7">
        <f t="shared" si="3194"/>
        <v>285284.63999999996</v>
      </c>
      <c r="X599" s="7">
        <f t="shared" si="3194"/>
        <v>283690.86999999994</v>
      </c>
      <c r="Y599" s="7">
        <f t="shared" si="3194"/>
        <v>282097.09999999992</v>
      </c>
      <c r="Z599" s="7">
        <f t="shared" si="3194"/>
        <v>280503.3299999999</v>
      </c>
      <c r="AA599" s="7">
        <f>SUM(O599:Z599,J599)/13*$AA$1</f>
        <v>2400.4612076923067</v>
      </c>
      <c r="AC599" s="7">
        <f t="shared" si="3127"/>
        <v>19125.239999999998</v>
      </c>
      <c r="AD599" s="7">
        <f t="shared" si="3161"/>
        <v>278909.55999999988</v>
      </c>
      <c r="AE599" s="7">
        <f t="shared" si="3151"/>
        <v>277315.78999999986</v>
      </c>
      <c r="AF599" s="7">
        <f t="shared" si="3151"/>
        <v>275722.01999999984</v>
      </c>
      <c r="AG599" s="7">
        <f t="shared" si="3151"/>
        <v>274128.24999999983</v>
      </c>
      <c r="AH599" s="7">
        <f t="shared" si="3151"/>
        <v>272534.47999999981</v>
      </c>
      <c r="AI599" s="7">
        <f t="shared" si="3151"/>
        <v>270940.70999999979</v>
      </c>
      <c r="AJ599" s="7">
        <f t="shared" si="3151"/>
        <v>269346.93999999977</v>
      </c>
      <c r="AK599" s="7">
        <f t="shared" si="3151"/>
        <v>267753.16999999975</v>
      </c>
      <c r="AL599" s="7">
        <f t="shared" si="3151"/>
        <v>266159.39999999973</v>
      </c>
      <c r="AM599" s="7">
        <f t="shared" si="3151"/>
        <v>264565.62999999971</v>
      </c>
      <c r="AN599" s="7">
        <f t="shared" si="3151"/>
        <v>262971.85999999969</v>
      </c>
      <c r="AO599" s="7">
        <f t="shared" si="3151"/>
        <v>261378.08999999971</v>
      </c>
      <c r="AP599" s="222">
        <f t="shared" si="3198"/>
        <v>5960.6956199999959</v>
      </c>
      <c r="AQ599" s="7">
        <v>1593.77</v>
      </c>
      <c r="AR599" s="7">
        <f t="shared" si="3133"/>
        <v>1593.7699999999895</v>
      </c>
      <c r="AS599" s="7">
        <f t="shared" si="3134"/>
        <v>-1.0459189070388675E-11</v>
      </c>
      <c r="AT599" s="7">
        <f t="shared" si="3230"/>
        <v>19125.239999999998</v>
      </c>
      <c r="AU599" s="39">
        <f t="shared" si="3152"/>
        <v>259784.31999999972</v>
      </c>
      <c r="AV599" s="39">
        <f t="shared" ref="AV599:BF599" si="3233">AU599-$AQ599</f>
        <v>258190.54999999973</v>
      </c>
      <c r="AW599" s="39">
        <f t="shared" si="3233"/>
        <v>256596.77999999974</v>
      </c>
      <c r="AX599" s="39">
        <f t="shared" si="3233"/>
        <v>255003.00999999975</v>
      </c>
      <c r="AY599" s="39">
        <f t="shared" si="3233"/>
        <v>253409.23999999976</v>
      </c>
      <c r="AZ599" s="39">
        <f t="shared" si="3233"/>
        <v>251815.46999999977</v>
      </c>
      <c r="BA599" s="39">
        <f t="shared" si="3233"/>
        <v>250221.69999999978</v>
      </c>
      <c r="BB599" s="39">
        <f t="shared" si="3233"/>
        <v>248627.92999999979</v>
      </c>
      <c r="BC599" s="39">
        <f t="shared" si="3233"/>
        <v>247034.1599999998</v>
      </c>
      <c r="BD599" s="39">
        <f t="shared" si="3233"/>
        <v>245440.38999999981</v>
      </c>
      <c r="BE599" s="39">
        <f t="shared" si="3233"/>
        <v>243846.61999999982</v>
      </c>
      <c r="BF599" s="39">
        <f t="shared" si="3233"/>
        <v>242252.84999999983</v>
      </c>
      <c r="BG599" s="236">
        <f t="shared" si="3071"/>
        <v>5539.9403399999937</v>
      </c>
      <c r="BH599" s="7">
        <v>1593.77</v>
      </c>
      <c r="BI599" s="7">
        <f t="shared" si="3200"/>
        <v>19125.239999999998</v>
      </c>
      <c r="BJ599" s="7">
        <f t="shared" si="3154"/>
        <v>240659.07999999984</v>
      </c>
      <c r="BK599" s="39">
        <f t="shared" si="3155"/>
        <v>239065.30999999985</v>
      </c>
      <c r="BL599" s="39">
        <f t="shared" si="3156"/>
        <v>237471.53999999986</v>
      </c>
      <c r="BM599" s="39">
        <f t="shared" si="3157"/>
        <v>235877.76999999987</v>
      </c>
      <c r="BN599" s="39">
        <f t="shared" si="3158"/>
        <v>234283.99999999988</v>
      </c>
      <c r="BO599" s="39">
        <f t="shared" si="3164"/>
        <v>232690.22999999989</v>
      </c>
      <c r="BP599" s="39">
        <f t="shared" si="3165"/>
        <v>231096.4599999999</v>
      </c>
      <c r="BQ599" s="39">
        <f t="shared" si="3166"/>
        <v>229502.68999999992</v>
      </c>
      <c r="BR599" s="39">
        <f t="shared" si="3167"/>
        <v>227908.91999999993</v>
      </c>
      <c r="BS599" s="39">
        <f t="shared" si="3168"/>
        <v>226315.14999999994</v>
      </c>
      <c r="BT599" s="39">
        <f t="shared" si="3169"/>
        <v>224721.37999999995</v>
      </c>
      <c r="BU599" s="39">
        <f t="shared" si="3170"/>
        <v>223127.60999999996</v>
      </c>
      <c r="BV599" s="236">
        <f t="shared" si="3201"/>
        <v>5119.1850599999971</v>
      </c>
      <c r="BW599" s="7">
        <v>1593.77</v>
      </c>
      <c r="BX599" s="7">
        <f t="shared" si="3202"/>
        <v>19125.239999999998</v>
      </c>
      <c r="BY599" s="7">
        <f t="shared" si="3203"/>
        <v>221533.83999999997</v>
      </c>
      <c r="BZ599" s="39">
        <f t="shared" si="3171"/>
        <v>219940.06999999998</v>
      </c>
      <c r="CA599" s="39">
        <f t="shared" si="3172"/>
        <v>218346.3</v>
      </c>
      <c r="CB599" s="39">
        <f t="shared" si="3173"/>
        <v>216752.53</v>
      </c>
      <c r="CC599" s="39">
        <f t="shared" si="3174"/>
        <v>215158.76</v>
      </c>
      <c r="CD599" s="39">
        <f t="shared" si="3175"/>
        <v>213564.99000000002</v>
      </c>
      <c r="CE599" s="39">
        <f t="shared" si="3176"/>
        <v>211971.22000000003</v>
      </c>
      <c r="CF599" s="39">
        <f t="shared" si="3177"/>
        <v>210377.45000000004</v>
      </c>
      <c r="CG599" s="39">
        <f t="shared" si="3178"/>
        <v>208783.68000000005</v>
      </c>
      <c r="CH599" s="39">
        <f t="shared" si="3179"/>
        <v>207189.91000000006</v>
      </c>
      <c r="CI599" s="39">
        <f t="shared" si="3180"/>
        <v>205596.14000000007</v>
      </c>
      <c r="CJ599" s="39">
        <f t="shared" si="3204"/>
        <v>204002.37000000008</v>
      </c>
      <c r="CK599" s="236">
        <f t="shared" si="3205"/>
        <v>4698.4297800000004</v>
      </c>
      <c r="CL599" s="7">
        <v>1593.77</v>
      </c>
      <c r="CM599" s="7">
        <f t="shared" si="3206"/>
        <v>19125.239999999998</v>
      </c>
      <c r="CN599" s="7">
        <f t="shared" si="3207"/>
        <v>202408.60000000009</v>
      </c>
      <c r="CO599" s="39">
        <f t="shared" si="3208"/>
        <v>200814.8300000001</v>
      </c>
      <c r="CP599" s="39">
        <f t="shared" si="3209"/>
        <v>199221.06000000011</v>
      </c>
      <c r="CQ599" s="39">
        <f t="shared" si="3210"/>
        <v>197627.29000000012</v>
      </c>
      <c r="CR599" s="39">
        <f t="shared" si="3211"/>
        <v>196033.52000000014</v>
      </c>
      <c r="CS599" s="39">
        <f t="shared" si="3212"/>
        <v>194439.75000000015</v>
      </c>
      <c r="CT599" s="39">
        <f t="shared" si="3213"/>
        <v>192845.98000000016</v>
      </c>
      <c r="CU599" s="39">
        <f t="shared" si="3214"/>
        <v>191252.21000000017</v>
      </c>
      <c r="CV599" s="39">
        <f t="shared" si="3215"/>
        <v>189658.44000000018</v>
      </c>
      <c r="CW599" s="39">
        <f t="shared" si="3216"/>
        <v>188064.67000000019</v>
      </c>
      <c r="CX599" s="39">
        <f t="shared" si="3217"/>
        <v>186470.9000000002</v>
      </c>
      <c r="CY599" s="39">
        <f t="shared" si="3218"/>
        <v>184877.13000000021</v>
      </c>
      <c r="CZ599" s="236">
        <f t="shared" si="3219"/>
        <v>4277.6745000000037</v>
      </c>
    </row>
    <row r="600" spans="1:104" ht="22.5" x14ac:dyDescent="0.2">
      <c r="A600" s="6" t="s">
        <v>65</v>
      </c>
      <c r="B600" t="s">
        <v>66</v>
      </c>
      <c r="C600" t="s">
        <v>67</v>
      </c>
      <c r="D600" t="s">
        <v>23</v>
      </c>
      <c r="E600" t="s">
        <v>68</v>
      </c>
      <c r="F600" t="s">
        <v>69</v>
      </c>
      <c r="G600">
        <v>60</v>
      </c>
      <c r="H600" s="7">
        <v>46500</v>
      </c>
      <c r="K600" s="8">
        <v>0</v>
      </c>
      <c r="L600" s="7">
        <v>775</v>
      </c>
      <c r="M600" s="7"/>
      <c r="N600" s="7">
        <f>L600*10</f>
        <v>7750</v>
      </c>
      <c r="O600" s="7">
        <v>0</v>
      </c>
      <c r="P600" s="7">
        <f>H600</f>
        <v>46500</v>
      </c>
      <c r="Q600" s="7">
        <f t="shared" ref="Q600:V602" si="3234">P600-$L600</f>
        <v>45725</v>
      </c>
      <c r="R600" s="7">
        <f t="shared" si="3234"/>
        <v>44950</v>
      </c>
      <c r="S600" s="7">
        <f t="shared" si="3234"/>
        <v>44175</v>
      </c>
      <c r="T600" s="7">
        <f t="shared" si="3234"/>
        <v>43400</v>
      </c>
      <c r="U600" s="7">
        <f t="shared" si="3234"/>
        <v>42625</v>
      </c>
      <c r="V600" s="7">
        <f t="shared" si="3234"/>
        <v>41850</v>
      </c>
      <c r="W600" s="7">
        <f t="shared" si="3194"/>
        <v>41075</v>
      </c>
      <c r="X600" s="7">
        <f t="shared" si="3194"/>
        <v>40300</v>
      </c>
      <c r="Y600" s="7">
        <f t="shared" si="3194"/>
        <v>39525</v>
      </c>
      <c r="Z600" s="7">
        <f t="shared" si="3194"/>
        <v>38750</v>
      </c>
      <c r="AA600" s="7"/>
      <c r="AC600" s="7">
        <f t="shared" si="3127"/>
        <v>9300</v>
      </c>
      <c r="AD600" s="7">
        <f t="shared" si="3161"/>
        <v>37975</v>
      </c>
      <c r="AE600" s="7">
        <f t="shared" si="3151"/>
        <v>37200</v>
      </c>
      <c r="AF600" s="7">
        <f t="shared" si="3151"/>
        <v>36425</v>
      </c>
      <c r="AG600" s="7">
        <f t="shared" si="3151"/>
        <v>35650</v>
      </c>
      <c r="AH600" s="7">
        <f t="shared" si="3151"/>
        <v>34875</v>
      </c>
      <c r="AI600" s="7">
        <f t="shared" si="3151"/>
        <v>34100</v>
      </c>
      <c r="AJ600" s="7">
        <f t="shared" si="3151"/>
        <v>33325</v>
      </c>
      <c r="AK600" s="7">
        <f t="shared" si="3151"/>
        <v>32550</v>
      </c>
      <c r="AL600" s="7">
        <f t="shared" si="3151"/>
        <v>31775</v>
      </c>
      <c r="AM600" s="7">
        <f t="shared" si="3151"/>
        <v>31000</v>
      </c>
      <c r="AN600" s="7">
        <f t="shared" si="3151"/>
        <v>30225</v>
      </c>
      <c r="AO600" s="7">
        <f t="shared" si="3151"/>
        <v>29450</v>
      </c>
      <c r="AP600" s="222"/>
      <c r="AQ600" s="7">
        <v>775</v>
      </c>
      <c r="AR600" s="7">
        <f t="shared" si="3133"/>
        <v>775</v>
      </c>
      <c r="AS600" s="7">
        <f t="shared" si="3134"/>
        <v>0</v>
      </c>
      <c r="AT600" s="7">
        <f t="shared" si="3230"/>
        <v>9300</v>
      </c>
      <c r="AU600" s="39">
        <f t="shared" si="3152"/>
        <v>28675</v>
      </c>
      <c r="AV600" s="39">
        <f t="shared" ref="AV600:BF600" si="3235">AU600-$AQ600</f>
        <v>27900</v>
      </c>
      <c r="AW600" s="39">
        <f t="shared" si="3235"/>
        <v>27125</v>
      </c>
      <c r="AX600" s="39">
        <f t="shared" si="3235"/>
        <v>26350</v>
      </c>
      <c r="AY600" s="39">
        <f t="shared" si="3235"/>
        <v>25575</v>
      </c>
      <c r="AZ600" s="39">
        <f t="shared" si="3235"/>
        <v>24800</v>
      </c>
      <c r="BA600" s="39">
        <f t="shared" si="3235"/>
        <v>24025</v>
      </c>
      <c r="BB600" s="39">
        <f t="shared" si="3235"/>
        <v>23250</v>
      </c>
      <c r="BC600" s="39">
        <f t="shared" si="3235"/>
        <v>22475</v>
      </c>
      <c r="BD600" s="39">
        <f t="shared" si="3235"/>
        <v>21700</v>
      </c>
      <c r="BE600" s="39">
        <f t="shared" si="3235"/>
        <v>20925</v>
      </c>
      <c r="BF600" s="39">
        <f t="shared" si="3235"/>
        <v>20150</v>
      </c>
      <c r="BG600" s="236">
        <f t="shared" ref="BG600:BG631" si="3236">IF(K600&lt;1,0,SUM(AU600:BF600,AO600)/13*$BG$1)</f>
        <v>0</v>
      </c>
      <c r="BH600" s="7">
        <v>775</v>
      </c>
      <c r="BI600" s="7">
        <f t="shared" si="3200"/>
        <v>9300</v>
      </c>
      <c r="BJ600" s="7">
        <f t="shared" si="3154"/>
        <v>19375</v>
      </c>
      <c r="BK600" s="39">
        <f t="shared" si="3155"/>
        <v>18600</v>
      </c>
      <c r="BL600" s="39">
        <f t="shared" si="3156"/>
        <v>17825</v>
      </c>
      <c r="BM600" s="39">
        <f t="shared" si="3157"/>
        <v>17050</v>
      </c>
      <c r="BN600" s="39">
        <f t="shared" si="3158"/>
        <v>16275</v>
      </c>
      <c r="BO600" s="39">
        <f t="shared" si="3164"/>
        <v>15500</v>
      </c>
      <c r="BP600" s="39">
        <f t="shared" si="3165"/>
        <v>14725</v>
      </c>
      <c r="BQ600" s="39">
        <f t="shared" si="3166"/>
        <v>13950</v>
      </c>
      <c r="BR600" s="39">
        <f t="shared" si="3167"/>
        <v>13175</v>
      </c>
      <c r="BS600" s="39">
        <f t="shared" si="3168"/>
        <v>12400</v>
      </c>
      <c r="BT600" s="39">
        <f t="shared" si="3169"/>
        <v>11625</v>
      </c>
      <c r="BU600" s="39">
        <f t="shared" si="3170"/>
        <v>10850</v>
      </c>
      <c r="BV600" s="236">
        <v>0</v>
      </c>
      <c r="BW600" s="7">
        <v>775</v>
      </c>
      <c r="BX600" s="7">
        <f t="shared" si="3202"/>
        <v>9300</v>
      </c>
      <c r="BY600" s="7">
        <f t="shared" si="3203"/>
        <v>10075</v>
      </c>
      <c r="BZ600" s="39">
        <f t="shared" si="3171"/>
        <v>9300</v>
      </c>
      <c r="CA600" s="39">
        <f t="shared" si="3172"/>
        <v>8525</v>
      </c>
      <c r="CB600" s="39">
        <f t="shared" si="3173"/>
        <v>7750</v>
      </c>
      <c r="CC600" s="39">
        <f t="shared" si="3174"/>
        <v>6975</v>
      </c>
      <c r="CD600" s="39">
        <f t="shared" si="3175"/>
        <v>6200</v>
      </c>
      <c r="CE600" s="39">
        <f t="shared" si="3176"/>
        <v>5425</v>
      </c>
      <c r="CF600" s="39">
        <f t="shared" si="3177"/>
        <v>4650</v>
      </c>
      <c r="CG600" s="39">
        <f t="shared" si="3178"/>
        <v>3875</v>
      </c>
      <c r="CH600" s="39">
        <f t="shared" si="3179"/>
        <v>3100</v>
      </c>
      <c r="CI600" s="39">
        <f t="shared" si="3180"/>
        <v>2325</v>
      </c>
      <c r="CJ600" s="39">
        <f t="shared" si="3204"/>
        <v>1550</v>
      </c>
      <c r="CK600" s="236">
        <v>0</v>
      </c>
      <c r="CL600" s="7">
        <v>775</v>
      </c>
      <c r="CM600" s="7">
        <v>1550</v>
      </c>
      <c r="CN600" s="7">
        <f t="shared" si="3207"/>
        <v>775</v>
      </c>
      <c r="CO600" s="39"/>
      <c r="CP600" s="39"/>
      <c r="CQ600" s="39"/>
      <c r="CR600" s="39"/>
      <c r="CS600" s="39"/>
      <c r="CT600" s="39"/>
      <c r="CU600" s="39"/>
      <c r="CV600" s="39"/>
      <c r="CW600" s="39"/>
      <c r="CX600" s="39"/>
      <c r="CY600" s="39"/>
      <c r="CZ600" s="236">
        <v>0</v>
      </c>
    </row>
    <row r="601" spans="1:104" ht="22.5" x14ac:dyDescent="0.2">
      <c r="A601" s="6" t="s">
        <v>70</v>
      </c>
      <c r="B601" t="s">
        <v>71</v>
      </c>
      <c r="C601" t="s">
        <v>67</v>
      </c>
      <c r="D601" t="s">
        <v>23</v>
      </c>
      <c r="E601" t="s">
        <v>72</v>
      </c>
      <c r="F601" t="s">
        <v>69</v>
      </c>
      <c r="G601" s="186">
        <v>60</v>
      </c>
      <c r="H601" s="7">
        <v>61000</v>
      </c>
      <c r="K601" s="8">
        <v>0</v>
      </c>
      <c r="L601" s="7">
        <v>1016.6700000000001</v>
      </c>
      <c r="M601" s="7"/>
      <c r="N601" s="7">
        <f>L601*9</f>
        <v>9150.0300000000007</v>
      </c>
      <c r="O601" s="7">
        <v>0</v>
      </c>
      <c r="P601" s="7">
        <v>0</v>
      </c>
      <c r="Q601" s="7">
        <f>H601</f>
        <v>61000</v>
      </c>
      <c r="R601" s="7">
        <f t="shared" si="3234"/>
        <v>59983.33</v>
      </c>
      <c r="S601" s="7">
        <f t="shared" si="3234"/>
        <v>58966.66</v>
      </c>
      <c r="T601" s="7">
        <f t="shared" si="3234"/>
        <v>57949.990000000005</v>
      </c>
      <c r="U601" s="7">
        <f t="shared" si="3234"/>
        <v>56933.320000000007</v>
      </c>
      <c r="V601" s="7">
        <f t="shared" si="3234"/>
        <v>55916.650000000009</v>
      </c>
      <c r="W601" s="7">
        <f t="shared" si="3194"/>
        <v>54899.98000000001</v>
      </c>
      <c r="X601" s="7">
        <f t="shared" si="3194"/>
        <v>53883.310000000012</v>
      </c>
      <c r="Y601" s="7">
        <f t="shared" si="3194"/>
        <v>52866.640000000014</v>
      </c>
      <c r="Z601" s="7">
        <f t="shared" si="3194"/>
        <v>51849.970000000016</v>
      </c>
      <c r="AA601" s="7"/>
      <c r="AC601" s="7">
        <f t="shared" si="3127"/>
        <v>12200.04</v>
      </c>
      <c r="AD601" s="7">
        <f t="shared" si="3161"/>
        <v>50833.300000000017</v>
      </c>
      <c r="AE601" s="7">
        <f t="shared" ref="AE601:AO603" si="3237">AD601-$L601</f>
        <v>49816.630000000019</v>
      </c>
      <c r="AF601" s="7">
        <f t="shared" si="3237"/>
        <v>48799.960000000021</v>
      </c>
      <c r="AG601" s="7">
        <f t="shared" si="3237"/>
        <v>47783.290000000023</v>
      </c>
      <c r="AH601" s="7">
        <f t="shared" si="3237"/>
        <v>46766.620000000024</v>
      </c>
      <c r="AI601" s="7">
        <f t="shared" si="3237"/>
        <v>45749.950000000026</v>
      </c>
      <c r="AJ601" s="7">
        <f t="shared" si="3237"/>
        <v>44733.280000000028</v>
      </c>
      <c r="AK601" s="7">
        <f t="shared" si="3237"/>
        <v>43716.61000000003</v>
      </c>
      <c r="AL601" s="7">
        <f t="shared" si="3237"/>
        <v>42699.940000000031</v>
      </c>
      <c r="AM601" s="7">
        <f t="shared" si="3237"/>
        <v>41683.270000000033</v>
      </c>
      <c r="AN601" s="7">
        <f t="shared" si="3237"/>
        <v>40666.600000000035</v>
      </c>
      <c r="AO601" s="7">
        <f t="shared" si="3237"/>
        <v>39649.930000000037</v>
      </c>
      <c r="AP601" s="222"/>
      <c r="AQ601" s="7">
        <v>1016.6700000000001</v>
      </c>
      <c r="AR601" s="7">
        <f t="shared" si="3133"/>
        <v>1016.6699999999983</v>
      </c>
      <c r="AS601" s="7">
        <f t="shared" si="3134"/>
        <v>-1.8189894035458565E-12</v>
      </c>
      <c r="AT601" s="7">
        <f t="shared" si="3230"/>
        <v>12200.04</v>
      </c>
      <c r="AU601" s="39">
        <f t="shared" si="3152"/>
        <v>38633.260000000038</v>
      </c>
      <c r="AV601" s="39">
        <f t="shared" ref="AV601:BF601" si="3238">AU601-$AQ601</f>
        <v>37616.59000000004</v>
      </c>
      <c r="AW601" s="39">
        <f t="shared" si="3238"/>
        <v>36599.920000000042</v>
      </c>
      <c r="AX601" s="39">
        <f t="shared" si="3238"/>
        <v>35583.250000000044</v>
      </c>
      <c r="AY601" s="39">
        <f t="shared" si="3238"/>
        <v>34566.580000000045</v>
      </c>
      <c r="AZ601" s="39">
        <f t="shared" si="3238"/>
        <v>33549.910000000047</v>
      </c>
      <c r="BA601" s="39">
        <f t="shared" si="3238"/>
        <v>32533.240000000049</v>
      </c>
      <c r="BB601" s="39">
        <f t="shared" si="3238"/>
        <v>31516.570000000051</v>
      </c>
      <c r="BC601" s="39">
        <f t="shared" si="3238"/>
        <v>30499.900000000052</v>
      </c>
      <c r="BD601" s="39">
        <f t="shared" si="3238"/>
        <v>29483.230000000054</v>
      </c>
      <c r="BE601" s="39">
        <f t="shared" si="3238"/>
        <v>28466.560000000056</v>
      </c>
      <c r="BF601" s="39">
        <f t="shared" si="3238"/>
        <v>27449.890000000058</v>
      </c>
      <c r="BG601" s="236">
        <f t="shared" si="3236"/>
        <v>0</v>
      </c>
      <c r="BH601" s="7">
        <v>1016.6700000000001</v>
      </c>
      <c r="BI601" s="7">
        <f t="shared" si="3200"/>
        <v>12200.04</v>
      </c>
      <c r="BJ601" s="7">
        <f t="shared" si="3154"/>
        <v>26433.220000000059</v>
      </c>
      <c r="BK601" s="39">
        <f t="shared" si="3155"/>
        <v>25416.550000000061</v>
      </c>
      <c r="BL601" s="39">
        <f t="shared" si="3156"/>
        <v>24399.880000000063</v>
      </c>
      <c r="BM601" s="39">
        <f t="shared" si="3157"/>
        <v>23383.210000000065</v>
      </c>
      <c r="BN601" s="39">
        <f t="shared" si="3158"/>
        <v>22366.540000000066</v>
      </c>
      <c r="BO601" s="39">
        <f t="shared" si="3164"/>
        <v>21349.870000000068</v>
      </c>
      <c r="BP601" s="39">
        <f t="shared" si="3165"/>
        <v>20333.20000000007</v>
      </c>
      <c r="BQ601" s="39">
        <f t="shared" si="3166"/>
        <v>19316.530000000072</v>
      </c>
      <c r="BR601" s="39">
        <f t="shared" si="3167"/>
        <v>18299.860000000073</v>
      </c>
      <c r="BS601" s="39">
        <f t="shared" si="3168"/>
        <v>17283.190000000075</v>
      </c>
      <c r="BT601" s="39">
        <f t="shared" si="3169"/>
        <v>16266.520000000075</v>
      </c>
      <c r="BU601" s="39">
        <f t="shared" si="3170"/>
        <v>15249.850000000075</v>
      </c>
      <c r="BV601" s="236">
        <v>0</v>
      </c>
      <c r="BW601" s="7">
        <v>1016.6700000000001</v>
      </c>
      <c r="BX601" s="7">
        <f t="shared" si="3202"/>
        <v>12200.04</v>
      </c>
      <c r="BY601" s="7">
        <f t="shared" si="3203"/>
        <v>14233.180000000075</v>
      </c>
      <c r="BZ601" s="39">
        <f t="shared" si="3171"/>
        <v>13216.510000000075</v>
      </c>
      <c r="CA601" s="39">
        <f t="shared" si="3172"/>
        <v>12199.840000000075</v>
      </c>
      <c r="CB601" s="39">
        <f t="shared" si="3173"/>
        <v>11183.170000000075</v>
      </c>
      <c r="CC601" s="39">
        <f t="shared" si="3174"/>
        <v>10166.500000000075</v>
      </c>
      <c r="CD601" s="39">
        <f t="shared" si="3175"/>
        <v>9149.8300000000745</v>
      </c>
      <c r="CE601" s="39">
        <f t="shared" si="3176"/>
        <v>8133.1600000000744</v>
      </c>
      <c r="CF601" s="39">
        <f t="shared" si="3177"/>
        <v>7116.4900000000744</v>
      </c>
      <c r="CG601" s="39">
        <f t="shared" si="3178"/>
        <v>6099.8200000000743</v>
      </c>
      <c r="CH601" s="39">
        <f t="shared" si="3179"/>
        <v>5083.1500000000742</v>
      </c>
      <c r="CI601" s="39">
        <f t="shared" si="3180"/>
        <v>4066.4800000000741</v>
      </c>
      <c r="CJ601" s="39">
        <f t="shared" si="3204"/>
        <v>3049.8100000000741</v>
      </c>
      <c r="CK601" s="236">
        <v>0</v>
      </c>
      <c r="CL601" s="7">
        <v>1016.6700000000001</v>
      </c>
      <c r="CM601" s="7">
        <v>3049.81</v>
      </c>
      <c r="CN601" s="7">
        <f t="shared" si="3207"/>
        <v>2033.140000000074</v>
      </c>
      <c r="CO601" s="39">
        <f t="shared" si="3208"/>
        <v>1016.4700000000739</v>
      </c>
      <c r="CP601" s="39"/>
      <c r="CQ601" s="39"/>
      <c r="CR601" s="39"/>
      <c r="CS601" s="39"/>
      <c r="CT601" s="39"/>
      <c r="CU601" s="39"/>
      <c r="CV601" s="39"/>
      <c r="CW601" s="39"/>
      <c r="CX601" s="39"/>
      <c r="CY601" s="39"/>
      <c r="CZ601" s="236">
        <v>0</v>
      </c>
    </row>
    <row r="602" spans="1:104" ht="24" customHeight="1" x14ac:dyDescent="0.2">
      <c r="A602" s="6" t="s">
        <v>73</v>
      </c>
      <c r="B602" t="s">
        <v>74</v>
      </c>
      <c r="C602" t="s">
        <v>41</v>
      </c>
      <c r="E602" t="s">
        <v>75</v>
      </c>
      <c r="F602" t="s">
        <v>76</v>
      </c>
      <c r="G602">
        <v>84</v>
      </c>
      <c r="H602" s="7">
        <v>83250</v>
      </c>
      <c r="K602" s="8">
        <v>0</v>
      </c>
      <c r="L602">
        <v>991.07</v>
      </c>
      <c r="N602" s="7">
        <f>L602*6</f>
        <v>5946.42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f>H602</f>
        <v>83250</v>
      </c>
      <c r="U602" s="7">
        <f t="shared" si="3234"/>
        <v>82258.929999999993</v>
      </c>
      <c r="V602" s="7">
        <f t="shared" si="3234"/>
        <v>81267.859999999986</v>
      </c>
      <c r="W602" s="7">
        <f t="shared" si="3194"/>
        <v>80276.789999999979</v>
      </c>
      <c r="X602" s="7">
        <f>W602-$L602</f>
        <v>79285.719999999972</v>
      </c>
      <c r="Y602" s="7">
        <f t="shared" si="3194"/>
        <v>78294.649999999965</v>
      </c>
      <c r="Z602" s="7">
        <f t="shared" si="3194"/>
        <v>77303.579999999958</v>
      </c>
      <c r="AC602" s="7">
        <f t="shared" si="3127"/>
        <v>11892.84</v>
      </c>
      <c r="AD602" s="7">
        <f t="shared" si="3161"/>
        <v>76312.509999999951</v>
      </c>
      <c r="AE602" s="7">
        <f t="shared" si="3237"/>
        <v>75321.439999999944</v>
      </c>
      <c r="AF602" s="7">
        <f t="shared" si="3237"/>
        <v>74330.369999999937</v>
      </c>
      <c r="AG602" s="7">
        <f t="shared" si="3237"/>
        <v>73339.29999999993</v>
      </c>
      <c r="AH602" s="7">
        <f t="shared" si="3237"/>
        <v>72348.229999999923</v>
      </c>
      <c r="AI602" s="7">
        <f t="shared" si="3237"/>
        <v>71357.159999999916</v>
      </c>
      <c r="AJ602" s="7">
        <f t="shared" si="3237"/>
        <v>70366.089999999909</v>
      </c>
      <c r="AK602" s="7">
        <f t="shared" si="3237"/>
        <v>69375.019999999902</v>
      </c>
      <c r="AL602" s="7">
        <f t="shared" si="3237"/>
        <v>68383.949999999895</v>
      </c>
      <c r="AM602" s="7">
        <f t="shared" si="3237"/>
        <v>67392.879999999888</v>
      </c>
      <c r="AN602" s="7">
        <f t="shared" si="3237"/>
        <v>66401.809999999881</v>
      </c>
      <c r="AO602" s="7">
        <f t="shared" si="3237"/>
        <v>65410.739999999882</v>
      </c>
      <c r="AP602" s="222"/>
      <c r="AQ602" s="7">
        <v>991.07</v>
      </c>
      <c r="AR602" s="7">
        <f t="shared" si="3133"/>
        <v>991.06999999999971</v>
      </c>
      <c r="AS602" s="7">
        <f t="shared" si="3134"/>
        <v>0</v>
      </c>
      <c r="AT602" s="7">
        <f t="shared" si="3230"/>
        <v>11892.84</v>
      </c>
      <c r="AU602" s="39">
        <f t="shared" si="3152"/>
        <v>64419.669999999882</v>
      </c>
      <c r="AV602" s="39">
        <f t="shared" ref="AV602:BF602" si="3239">AU602-$AQ602</f>
        <v>63428.599999999882</v>
      </c>
      <c r="AW602" s="39">
        <f t="shared" si="3239"/>
        <v>62437.529999999882</v>
      </c>
      <c r="AX602" s="39">
        <f t="shared" si="3239"/>
        <v>61446.459999999883</v>
      </c>
      <c r="AY602" s="39">
        <f t="shared" si="3239"/>
        <v>60455.389999999883</v>
      </c>
      <c r="AZ602" s="39">
        <f t="shared" si="3239"/>
        <v>59464.319999999883</v>
      </c>
      <c r="BA602" s="39">
        <f t="shared" si="3239"/>
        <v>58473.249999999884</v>
      </c>
      <c r="BB602" s="39">
        <f t="shared" si="3239"/>
        <v>57482.179999999884</v>
      </c>
      <c r="BC602" s="39">
        <f t="shared" si="3239"/>
        <v>56491.109999999884</v>
      </c>
      <c r="BD602" s="39">
        <f t="shared" si="3239"/>
        <v>55500.039999999884</v>
      </c>
      <c r="BE602" s="39">
        <f t="shared" si="3239"/>
        <v>54508.969999999885</v>
      </c>
      <c r="BF602" s="39">
        <f t="shared" si="3239"/>
        <v>53517.899999999885</v>
      </c>
      <c r="BG602" s="236">
        <f t="shared" si="3236"/>
        <v>0</v>
      </c>
      <c r="BH602" s="7">
        <v>991.07</v>
      </c>
      <c r="BI602" s="7">
        <f t="shared" si="3200"/>
        <v>11892.84</v>
      </c>
      <c r="BJ602" s="7">
        <f t="shared" si="3154"/>
        <v>52526.829999999885</v>
      </c>
      <c r="BK602" s="39">
        <f t="shared" si="3155"/>
        <v>51535.759999999886</v>
      </c>
      <c r="BL602" s="39">
        <f t="shared" si="3156"/>
        <v>50544.689999999886</v>
      </c>
      <c r="BM602" s="39">
        <f t="shared" si="3157"/>
        <v>49553.619999999886</v>
      </c>
      <c r="BN602" s="39">
        <f t="shared" si="3158"/>
        <v>48562.549999999886</v>
      </c>
      <c r="BO602" s="39">
        <f t="shared" si="3164"/>
        <v>47571.479999999887</v>
      </c>
      <c r="BP602" s="39">
        <f t="shared" si="3165"/>
        <v>46580.409999999887</v>
      </c>
      <c r="BQ602" s="39">
        <f t="shared" si="3166"/>
        <v>45589.339999999887</v>
      </c>
      <c r="BR602" s="39">
        <f t="shared" si="3167"/>
        <v>44598.269999999888</v>
      </c>
      <c r="BS602" s="39">
        <f t="shared" si="3168"/>
        <v>43607.199999999888</v>
      </c>
      <c r="BT602" s="39">
        <f t="shared" si="3169"/>
        <v>42616.129999999888</v>
      </c>
      <c r="BU602" s="39">
        <f t="shared" si="3170"/>
        <v>41625.059999999889</v>
      </c>
      <c r="BV602" s="236">
        <v>0</v>
      </c>
      <c r="BW602" s="7">
        <v>991.07</v>
      </c>
      <c r="BX602" s="7">
        <f t="shared" si="3202"/>
        <v>11892.84</v>
      </c>
      <c r="BY602" s="7">
        <f t="shared" si="3203"/>
        <v>40633.989999999889</v>
      </c>
      <c r="BZ602" s="39">
        <f t="shared" si="3171"/>
        <v>39642.919999999889</v>
      </c>
      <c r="CA602" s="39">
        <f t="shared" si="3172"/>
        <v>38651.849999999889</v>
      </c>
      <c r="CB602" s="39">
        <f t="shared" si="3173"/>
        <v>37660.77999999989</v>
      </c>
      <c r="CC602" s="39">
        <f t="shared" si="3174"/>
        <v>36669.70999999989</v>
      </c>
      <c r="CD602" s="39">
        <f t="shared" si="3175"/>
        <v>35678.63999999989</v>
      </c>
      <c r="CE602" s="39">
        <f t="shared" si="3176"/>
        <v>34687.569999999891</v>
      </c>
      <c r="CF602" s="39">
        <f t="shared" si="3177"/>
        <v>33696.499999999891</v>
      </c>
      <c r="CG602" s="39">
        <f t="shared" si="3178"/>
        <v>32705.429999999891</v>
      </c>
      <c r="CH602" s="39">
        <f t="shared" si="3179"/>
        <v>31714.359999999891</v>
      </c>
      <c r="CI602" s="39">
        <f t="shared" si="3180"/>
        <v>30723.289999999892</v>
      </c>
      <c r="CJ602" s="39">
        <f t="shared" si="3204"/>
        <v>29732.219999999892</v>
      </c>
      <c r="CK602" s="236">
        <v>0</v>
      </c>
      <c r="CL602" s="7">
        <v>991.07</v>
      </c>
      <c r="CM602" s="7">
        <f t="shared" ref="CM602:CM629" si="3240">CL602*12</f>
        <v>11892.84</v>
      </c>
      <c r="CN602" s="7">
        <f t="shared" si="3207"/>
        <v>28741.149999999892</v>
      </c>
      <c r="CO602" s="39">
        <f t="shared" si="3208"/>
        <v>27750.079999999893</v>
      </c>
      <c r="CP602" s="39">
        <f t="shared" si="3209"/>
        <v>26759.009999999893</v>
      </c>
      <c r="CQ602" s="39">
        <f t="shared" si="3210"/>
        <v>25767.939999999893</v>
      </c>
      <c r="CR602" s="39">
        <f t="shared" si="3211"/>
        <v>24776.869999999893</v>
      </c>
      <c r="CS602" s="39">
        <f t="shared" si="3212"/>
        <v>23785.799999999894</v>
      </c>
      <c r="CT602" s="39">
        <f t="shared" si="3213"/>
        <v>22794.729999999894</v>
      </c>
      <c r="CU602" s="39">
        <f t="shared" si="3214"/>
        <v>21803.659999999894</v>
      </c>
      <c r="CV602" s="39">
        <f t="shared" si="3215"/>
        <v>20812.589999999895</v>
      </c>
      <c r="CW602" s="39">
        <f t="shared" si="3216"/>
        <v>19821.519999999895</v>
      </c>
      <c r="CX602" s="39">
        <f t="shared" si="3217"/>
        <v>18830.449999999895</v>
      </c>
      <c r="CY602" s="39">
        <f t="shared" si="3218"/>
        <v>17839.379999999896</v>
      </c>
      <c r="CZ602" s="236">
        <v>0</v>
      </c>
    </row>
    <row r="603" spans="1:104" ht="24" customHeight="1" x14ac:dyDescent="0.2">
      <c r="A603" s="187" t="s">
        <v>87</v>
      </c>
      <c r="B603" t="s">
        <v>1532</v>
      </c>
      <c r="C603" t="s">
        <v>41</v>
      </c>
      <c r="D603" t="s">
        <v>42</v>
      </c>
      <c r="E603" s="36">
        <v>44865</v>
      </c>
      <c r="F603" t="s">
        <v>44</v>
      </c>
      <c r="G603" s="186">
        <v>180</v>
      </c>
      <c r="H603" s="7">
        <v>272636.92</v>
      </c>
      <c r="K603" s="8">
        <v>1</v>
      </c>
      <c r="L603" s="7">
        <v>1514.65</v>
      </c>
      <c r="M603" s="7"/>
      <c r="N603" s="7">
        <f>L603*2</f>
        <v>3029.3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f>H603</f>
        <v>272636.92</v>
      </c>
      <c r="Y603" s="7">
        <f t="shared" ref="Y603:Z605" si="3241">X603-$L603</f>
        <v>271122.26999999996</v>
      </c>
      <c r="Z603" s="7">
        <f t="shared" si="3241"/>
        <v>269607.61999999994</v>
      </c>
      <c r="AA603" s="7">
        <f>SUM(O603:Z603,J603)/13*$AA$1</f>
        <v>1376.4669092307688</v>
      </c>
      <c r="AC603" s="7">
        <f>L603*12</f>
        <v>18175.800000000003</v>
      </c>
      <c r="AD603" s="7">
        <f>Z603-$L603</f>
        <v>268092.96999999991</v>
      </c>
      <c r="AE603" s="7">
        <f>AD603-$L603</f>
        <v>266578.31999999989</v>
      </c>
      <c r="AF603" s="7">
        <f t="shared" si="3237"/>
        <v>265063.66999999987</v>
      </c>
      <c r="AG603" s="7">
        <f t="shared" si="3237"/>
        <v>263549.01999999984</v>
      </c>
      <c r="AH603" s="7">
        <f t="shared" si="3237"/>
        <v>262034.36999999985</v>
      </c>
      <c r="AI603" s="7">
        <f t="shared" si="3237"/>
        <v>260519.71999999986</v>
      </c>
      <c r="AJ603" s="7">
        <f t="shared" si="3237"/>
        <v>259005.06999999986</v>
      </c>
      <c r="AK603" s="7">
        <f t="shared" si="3237"/>
        <v>257490.41999999987</v>
      </c>
      <c r="AL603" s="7">
        <f t="shared" si="3237"/>
        <v>255975.76999999987</v>
      </c>
      <c r="AM603" s="7">
        <f t="shared" si="3237"/>
        <v>254461.11999999988</v>
      </c>
      <c r="AN603" s="7">
        <f t="shared" si="3237"/>
        <v>252946.46999999988</v>
      </c>
      <c r="AO603" s="7">
        <f>AN603-$L603</f>
        <v>251431.81999999989</v>
      </c>
      <c r="AP603" s="222">
        <f>IF(K603&lt;1,0,SUM(AD603:AO603,Z603)/13*$BG$1)</f>
        <v>5731.4338399999979</v>
      </c>
      <c r="AQ603" s="7">
        <v>1514.65</v>
      </c>
      <c r="AR603" s="7">
        <f t="shared" si="3133"/>
        <v>1514.6499999999942</v>
      </c>
      <c r="AS603" s="7">
        <f t="shared" si="3134"/>
        <v>-5.9117155615240335E-12</v>
      </c>
      <c r="AT603" s="7">
        <f t="shared" si="3230"/>
        <v>18175.800000000003</v>
      </c>
      <c r="AU603" s="39">
        <f t="shared" si="3152"/>
        <v>249917.1699999999</v>
      </c>
      <c r="AV603" s="39">
        <f t="shared" ref="AV603:BF603" si="3242">AU603-$AQ603</f>
        <v>248402.5199999999</v>
      </c>
      <c r="AW603" s="39">
        <f t="shared" si="3242"/>
        <v>246887.86999999991</v>
      </c>
      <c r="AX603" s="39">
        <f t="shared" si="3242"/>
        <v>245373.21999999991</v>
      </c>
      <c r="AY603" s="39">
        <f t="shared" si="3242"/>
        <v>243858.56999999992</v>
      </c>
      <c r="AZ603" s="39">
        <f t="shared" si="3242"/>
        <v>242343.91999999993</v>
      </c>
      <c r="BA603" s="39">
        <f t="shared" si="3242"/>
        <v>240829.26999999993</v>
      </c>
      <c r="BB603" s="39">
        <f t="shared" si="3242"/>
        <v>239314.61999999994</v>
      </c>
      <c r="BC603" s="39">
        <f t="shared" si="3242"/>
        <v>237799.96999999994</v>
      </c>
      <c r="BD603" s="39">
        <f t="shared" si="3242"/>
        <v>236285.31999999995</v>
      </c>
      <c r="BE603" s="39">
        <f t="shared" si="3242"/>
        <v>234770.66999999995</v>
      </c>
      <c r="BF603" s="39">
        <f t="shared" si="3242"/>
        <v>233256.01999999996</v>
      </c>
      <c r="BG603" s="236">
        <f t="shared" si="3236"/>
        <v>5331.5662399999974</v>
      </c>
      <c r="BH603" s="7">
        <v>1514.65</v>
      </c>
      <c r="BI603" s="7">
        <f t="shared" si="3200"/>
        <v>18175.800000000003</v>
      </c>
      <c r="BJ603" s="7">
        <f t="shared" si="3154"/>
        <v>231741.36999999997</v>
      </c>
      <c r="BK603" s="39">
        <f t="shared" si="3155"/>
        <v>230226.71999999997</v>
      </c>
      <c r="BL603" s="39">
        <f t="shared" si="3156"/>
        <v>228712.06999999998</v>
      </c>
      <c r="BM603" s="39">
        <f t="shared" si="3157"/>
        <v>227197.41999999998</v>
      </c>
      <c r="BN603" s="39">
        <f t="shared" si="3158"/>
        <v>225682.77</v>
      </c>
      <c r="BO603" s="39">
        <f t="shared" si="3164"/>
        <v>224168.12</v>
      </c>
      <c r="BP603" s="39">
        <f t="shared" si="3165"/>
        <v>222653.47</v>
      </c>
      <c r="BQ603" s="39">
        <f t="shared" si="3166"/>
        <v>221138.82</v>
      </c>
      <c r="BR603" s="39">
        <f t="shared" si="3167"/>
        <v>219624.17</v>
      </c>
      <c r="BS603" s="39">
        <f t="shared" si="3168"/>
        <v>218109.52000000002</v>
      </c>
      <c r="BT603" s="39">
        <f t="shared" si="3169"/>
        <v>216594.87000000002</v>
      </c>
      <c r="BU603" s="39">
        <f t="shared" si="3170"/>
        <v>215080.22000000003</v>
      </c>
      <c r="BV603" s="236">
        <f>IF(Z603&lt;1,0,SUM(BJ603:BU603,BF603)/13*$BG$1)</f>
        <v>4931.6986399999996</v>
      </c>
      <c r="BW603" s="7">
        <v>1514.65</v>
      </c>
      <c r="BX603" s="7">
        <f t="shared" si="3202"/>
        <v>18175.800000000003</v>
      </c>
      <c r="BY603" s="7">
        <f t="shared" si="3203"/>
        <v>213565.57000000004</v>
      </c>
      <c r="BZ603" s="39">
        <f t="shared" si="3171"/>
        <v>212050.92000000004</v>
      </c>
      <c r="CA603" s="39">
        <f t="shared" si="3172"/>
        <v>210536.27000000005</v>
      </c>
      <c r="CB603" s="39">
        <f t="shared" si="3173"/>
        <v>209021.62000000005</v>
      </c>
      <c r="CC603" s="39">
        <f t="shared" si="3174"/>
        <v>207506.97000000006</v>
      </c>
      <c r="CD603" s="39">
        <f t="shared" si="3175"/>
        <v>205992.32000000007</v>
      </c>
      <c r="CE603" s="39">
        <f t="shared" si="3176"/>
        <v>204477.67000000007</v>
      </c>
      <c r="CF603" s="39">
        <f t="shared" si="3177"/>
        <v>202963.02000000008</v>
      </c>
      <c r="CG603" s="39">
        <f t="shared" si="3178"/>
        <v>201448.37000000008</v>
      </c>
      <c r="CH603" s="39">
        <f t="shared" si="3179"/>
        <v>199933.72000000009</v>
      </c>
      <c r="CI603" s="39">
        <f t="shared" si="3180"/>
        <v>198419.07000000009</v>
      </c>
      <c r="CJ603" s="39">
        <f t="shared" si="3204"/>
        <v>196904.4200000001</v>
      </c>
      <c r="CK603" s="236">
        <f>IF(AO603&lt;1,0,SUM(BY603:CJ603,BU603)/13*$BG$1)</f>
        <v>4531.8310400000018</v>
      </c>
      <c r="CL603" s="7">
        <v>1514.65</v>
      </c>
      <c r="CM603" s="7">
        <f t="shared" si="3240"/>
        <v>18175.800000000003</v>
      </c>
      <c r="CN603" s="7">
        <f t="shared" si="3207"/>
        <v>195389.77000000011</v>
      </c>
      <c r="CO603" s="39">
        <f t="shared" si="3208"/>
        <v>193875.12000000011</v>
      </c>
      <c r="CP603" s="39">
        <f t="shared" si="3209"/>
        <v>192360.47000000012</v>
      </c>
      <c r="CQ603" s="39">
        <f t="shared" si="3210"/>
        <v>190845.82000000012</v>
      </c>
      <c r="CR603" s="39">
        <f t="shared" si="3211"/>
        <v>189331.17000000013</v>
      </c>
      <c r="CS603" s="39">
        <f t="shared" si="3212"/>
        <v>187816.52000000014</v>
      </c>
      <c r="CT603" s="39">
        <f t="shared" si="3213"/>
        <v>186301.87000000014</v>
      </c>
      <c r="CU603" s="39">
        <f t="shared" si="3214"/>
        <v>184787.22000000015</v>
      </c>
      <c r="CV603" s="39">
        <f t="shared" si="3215"/>
        <v>183272.57000000015</v>
      </c>
      <c r="CW603" s="39">
        <f t="shared" si="3216"/>
        <v>181757.92000000016</v>
      </c>
      <c r="CX603" s="39">
        <f t="shared" si="3217"/>
        <v>180243.27000000016</v>
      </c>
      <c r="CY603" s="39">
        <f t="shared" si="3218"/>
        <v>178728.62000000017</v>
      </c>
      <c r="CZ603" s="236">
        <f>IF(BF603&lt;1,0,SUM(CN603:CY603,CJ603)/13*$BG$1)</f>
        <v>4131.9634400000032</v>
      </c>
    </row>
    <row r="604" spans="1:104" ht="24" customHeight="1" x14ac:dyDescent="0.2">
      <c r="A604" s="187" t="s">
        <v>88</v>
      </c>
      <c r="B604">
        <v>1913</v>
      </c>
      <c r="C604" t="s">
        <v>41</v>
      </c>
      <c r="D604" t="s">
        <v>42</v>
      </c>
      <c r="E604" s="36">
        <v>44865</v>
      </c>
      <c r="F604" t="s">
        <v>44</v>
      </c>
      <c r="G604" s="186">
        <v>180</v>
      </c>
      <c r="H604" s="7">
        <v>89235.08</v>
      </c>
      <c r="K604" s="8">
        <v>1</v>
      </c>
      <c r="L604" s="7">
        <v>495.75</v>
      </c>
      <c r="M604" s="7"/>
      <c r="N604" s="7">
        <f>L604*2</f>
        <v>991.5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f>H604</f>
        <v>89235.08</v>
      </c>
      <c r="Y604" s="7">
        <f t="shared" si="3241"/>
        <v>88739.33</v>
      </c>
      <c r="Z604" s="7">
        <f t="shared" si="3241"/>
        <v>88243.58</v>
      </c>
      <c r="AA604" s="7">
        <f>SUM(O604:Z604,J604)/13*$AA$1</f>
        <v>450.52275230769226</v>
      </c>
      <c r="AC604" s="7">
        <f>L604*12</f>
        <v>5949</v>
      </c>
      <c r="AD604" s="7">
        <f>Z604-$L604</f>
        <v>87747.83</v>
      </c>
      <c r="AE604" s="7">
        <f>AD604-$L604</f>
        <v>87252.08</v>
      </c>
      <c r="AF604" s="7">
        <f t="shared" ref="AF604" si="3243">AE604-$L604</f>
        <v>86756.33</v>
      </c>
      <c r="AG604" s="7">
        <f t="shared" ref="AG604" si="3244">AF604-$L604</f>
        <v>86260.58</v>
      </c>
      <c r="AH604" s="7">
        <f t="shared" ref="AH604" si="3245">AG604-$L604</f>
        <v>85764.83</v>
      </c>
      <c r="AI604" s="7">
        <f t="shared" ref="AI604" si="3246">AH604-$L604</f>
        <v>85269.08</v>
      </c>
      <c r="AJ604" s="7">
        <f t="shared" ref="AJ604" si="3247">AI604-$L604</f>
        <v>84773.33</v>
      </c>
      <c r="AK604" s="7">
        <f t="shared" ref="AK604" si="3248">AJ604-$L604</f>
        <v>84277.58</v>
      </c>
      <c r="AL604" s="7">
        <f t="shared" ref="AL604" si="3249">AK604-$L604</f>
        <v>83781.83</v>
      </c>
      <c r="AM604" s="7">
        <f t="shared" ref="AM604" si="3250">AL604-$L604</f>
        <v>83286.080000000002</v>
      </c>
      <c r="AN604" s="7">
        <f t="shared" ref="AN604" si="3251">AM604-$L604</f>
        <v>82790.33</v>
      </c>
      <c r="AO604" s="7">
        <f>AN604-$L604</f>
        <v>82294.58</v>
      </c>
      <c r="AP604" s="222">
        <f>IF(K604&lt;1,0,SUM(AD604:AO604,Z604)/13*$BG$1)</f>
        <v>1875.9197599999995</v>
      </c>
      <c r="AQ604" s="7">
        <v>495.75</v>
      </c>
      <c r="AR604" s="7">
        <f t="shared" si="3133"/>
        <v>495.75</v>
      </c>
      <c r="AS604" s="7">
        <f t="shared" si="3134"/>
        <v>0</v>
      </c>
      <c r="AT604" s="7">
        <f t="shared" si="3230"/>
        <v>5949</v>
      </c>
      <c r="AU604" s="39">
        <f t="shared" si="3152"/>
        <v>81798.83</v>
      </c>
      <c r="AV604" s="39">
        <f t="shared" ref="AV604:BF604" si="3252">AU604-$AQ604</f>
        <v>81303.08</v>
      </c>
      <c r="AW604" s="39">
        <f t="shared" si="3252"/>
        <v>80807.33</v>
      </c>
      <c r="AX604" s="39">
        <f t="shared" si="3252"/>
        <v>80311.58</v>
      </c>
      <c r="AY604" s="39">
        <f t="shared" si="3252"/>
        <v>79815.83</v>
      </c>
      <c r="AZ604" s="39">
        <f t="shared" si="3252"/>
        <v>79320.08</v>
      </c>
      <c r="BA604" s="39">
        <f t="shared" si="3252"/>
        <v>78824.33</v>
      </c>
      <c r="BB604" s="39">
        <f t="shared" si="3252"/>
        <v>78328.58</v>
      </c>
      <c r="BC604" s="39">
        <f t="shared" si="3252"/>
        <v>77832.83</v>
      </c>
      <c r="BD604" s="39">
        <f t="shared" si="3252"/>
        <v>77337.08</v>
      </c>
      <c r="BE604" s="39">
        <f t="shared" si="3252"/>
        <v>76841.33</v>
      </c>
      <c r="BF604" s="39">
        <f t="shared" si="3252"/>
        <v>76345.58</v>
      </c>
      <c r="BG604" s="236">
        <f t="shared" si="3236"/>
        <v>1745.0417599999996</v>
      </c>
      <c r="BH604" s="7">
        <v>495.75</v>
      </c>
      <c r="BI604" s="7">
        <f t="shared" si="3200"/>
        <v>5949</v>
      </c>
      <c r="BJ604" s="7">
        <f t="shared" si="3154"/>
        <v>75849.83</v>
      </c>
      <c r="BK604" s="39">
        <f t="shared" si="3155"/>
        <v>75354.080000000002</v>
      </c>
      <c r="BL604" s="39">
        <f t="shared" si="3156"/>
        <v>74858.33</v>
      </c>
      <c r="BM604" s="39">
        <f t="shared" si="3157"/>
        <v>74362.58</v>
      </c>
      <c r="BN604" s="39">
        <f t="shared" si="3158"/>
        <v>73866.83</v>
      </c>
      <c r="BO604" s="39">
        <f t="shared" si="3164"/>
        <v>73371.08</v>
      </c>
      <c r="BP604" s="39">
        <f t="shared" si="3165"/>
        <v>72875.33</v>
      </c>
      <c r="BQ604" s="39">
        <f t="shared" si="3166"/>
        <v>72379.58</v>
      </c>
      <c r="BR604" s="39">
        <f t="shared" si="3167"/>
        <v>71883.83</v>
      </c>
      <c r="BS604" s="39">
        <f t="shared" si="3168"/>
        <v>71388.08</v>
      </c>
      <c r="BT604" s="39">
        <f t="shared" si="3169"/>
        <v>70892.33</v>
      </c>
      <c r="BU604" s="39">
        <f t="shared" si="3170"/>
        <v>70396.58</v>
      </c>
      <c r="BV604" s="236">
        <f>IF(Z604&lt;1,0,SUM(BJ604:BU604,BF604)/13*$BG$1)</f>
        <v>1614.1637599999997</v>
      </c>
      <c r="BW604" s="7">
        <v>495.75</v>
      </c>
      <c r="BX604" s="7">
        <f t="shared" si="3202"/>
        <v>5949</v>
      </c>
      <c r="BY604" s="7">
        <f t="shared" si="3203"/>
        <v>69900.83</v>
      </c>
      <c r="BZ604" s="39">
        <f t="shared" si="3171"/>
        <v>69405.08</v>
      </c>
      <c r="CA604" s="39">
        <f t="shared" si="3172"/>
        <v>68909.33</v>
      </c>
      <c r="CB604" s="39">
        <f t="shared" si="3173"/>
        <v>68413.58</v>
      </c>
      <c r="CC604" s="39">
        <f t="shared" si="3174"/>
        <v>67917.83</v>
      </c>
      <c r="CD604" s="39">
        <f t="shared" si="3175"/>
        <v>67422.080000000002</v>
      </c>
      <c r="CE604" s="39">
        <f t="shared" si="3176"/>
        <v>66926.33</v>
      </c>
      <c r="CF604" s="39">
        <f t="shared" si="3177"/>
        <v>66430.58</v>
      </c>
      <c r="CG604" s="39">
        <f t="shared" si="3178"/>
        <v>65934.83</v>
      </c>
      <c r="CH604" s="39">
        <f t="shared" si="3179"/>
        <v>65439.08</v>
      </c>
      <c r="CI604" s="39">
        <f t="shared" si="3180"/>
        <v>64943.33</v>
      </c>
      <c r="CJ604" s="39">
        <f t="shared" si="3204"/>
        <v>64447.58</v>
      </c>
      <c r="CK604" s="236">
        <f>IF(AO604&lt;1,0,SUM(BY604:CJ604,BU604)/13*$BG$1)</f>
        <v>1483.2857599999995</v>
      </c>
      <c r="CL604" s="7">
        <v>495.75</v>
      </c>
      <c r="CM604" s="7">
        <f t="shared" si="3240"/>
        <v>5949</v>
      </c>
      <c r="CN604" s="7">
        <f t="shared" si="3207"/>
        <v>63951.83</v>
      </c>
      <c r="CO604" s="39">
        <f t="shared" si="3208"/>
        <v>63456.08</v>
      </c>
      <c r="CP604" s="39">
        <f t="shared" si="3209"/>
        <v>62960.33</v>
      </c>
      <c r="CQ604" s="39">
        <f t="shared" si="3210"/>
        <v>62464.58</v>
      </c>
      <c r="CR604" s="39">
        <f t="shared" si="3211"/>
        <v>61968.83</v>
      </c>
      <c r="CS604" s="39">
        <f t="shared" si="3212"/>
        <v>61473.08</v>
      </c>
      <c r="CT604" s="39">
        <f t="shared" si="3213"/>
        <v>60977.33</v>
      </c>
      <c r="CU604" s="39">
        <f t="shared" si="3214"/>
        <v>60481.58</v>
      </c>
      <c r="CV604" s="39">
        <f t="shared" si="3215"/>
        <v>59985.83</v>
      </c>
      <c r="CW604" s="39">
        <f t="shared" si="3216"/>
        <v>59490.080000000002</v>
      </c>
      <c r="CX604" s="39">
        <f t="shared" si="3217"/>
        <v>58994.33</v>
      </c>
      <c r="CY604" s="39">
        <f t="shared" si="3218"/>
        <v>58498.58</v>
      </c>
      <c r="CZ604" s="236">
        <f>IF(BF604&lt;1,0,SUM(CN604:CY604,CJ604)/13*$BG$1)</f>
        <v>1352.4077599999998</v>
      </c>
    </row>
    <row r="605" spans="1:104" ht="24" customHeight="1" x14ac:dyDescent="0.2">
      <c r="A605" s="187" t="s">
        <v>89</v>
      </c>
      <c r="B605" t="s">
        <v>1462</v>
      </c>
      <c r="C605" t="s">
        <v>41</v>
      </c>
      <c r="D605" t="s">
        <v>42</v>
      </c>
      <c r="E605" s="36">
        <v>44865</v>
      </c>
      <c r="F605" t="s">
        <v>44</v>
      </c>
      <c r="G605" s="186">
        <v>180</v>
      </c>
      <c r="H605" s="7">
        <v>369519.29</v>
      </c>
      <c r="K605" s="8">
        <v>1</v>
      </c>
      <c r="L605" s="7">
        <v>2052.88</v>
      </c>
      <c r="M605" s="7"/>
      <c r="N605" s="7">
        <f>L605*2</f>
        <v>4105.76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f>H605</f>
        <v>369519.29</v>
      </c>
      <c r="Y605" s="7">
        <f t="shared" si="3241"/>
        <v>367466.41</v>
      </c>
      <c r="Z605" s="7">
        <f t="shared" si="3241"/>
        <v>365413.52999999997</v>
      </c>
      <c r="AA605" s="7">
        <f>SUM(O605:Z605,J605)/13*$AA$1</f>
        <v>1865.5986969230769</v>
      </c>
      <c r="AC605" s="7">
        <f>L605*12</f>
        <v>24634.560000000001</v>
      </c>
      <c r="AD605" s="7">
        <f>Z605-$L605</f>
        <v>363360.64999999997</v>
      </c>
      <c r="AE605" s="7">
        <f>AD605-$L605</f>
        <v>361307.76999999996</v>
      </c>
      <c r="AF605" s="7">
        <f t="shared" ref="AF605:AF607" si="3253">AE605-$L605</f>
        <v>359254.88999999996</v>
      </c>
      <c r="AG605" s="7">
        <f t="shared" ref="AG605:AG607" si="3254">AF605-$L605</f>
        <v>357202.00999999995</v>
      </c>
      <c r="AH605" s="7">
        <f t="shared" ref="AH605:AH607" si="3255">AG605-$L605</f>
        <v>355149.12999999995</v>
      </c>
      <c r="AI605" s="7">
        <f t="shared" ref="AI605:AI607" si="3256">AH605-$L605</f>
        <v>353096.24999999994</v>
      </c>
      <c r="AJ605" s="7">
        <f t="shared" ref="AJ605:AJ607" si="3257">AI605-$L605</f>
        <v>351043.36999999994</v>
      </c>
      <c r="AK605" s="7">
        <f t="shared" ref="AK605:AK607" si="3258">AJ605-$L605</f>
        <v>348990.48999999993</v>
      </c>
      <c r="AL605" s="7">
        <f t="shared" ref="AL605:AL607" si="3259">AK605-$L605</f>
        <v>346937.60999999993</v>
      </c>
      <c r="AM605" s="7">
        <f t="shared" ref="AM605:AM607" si="3260">AL605-$L605</f>
        <v>344884.72999999992</v>
      </c>
      <c r="AN605" s="7">
        <f t="shared" ref="AN605:AN607" si="3261">AM605-$L605</f>
        <v>342831.84999999992</v>
      </c>
      <c r="AO605" s="7">
        <f>AN605-$L605</f>
        <v>340778.96999999991</v>
      </c>
      <c r="AP605" s="222">
        <f>IF(K605&lt;1,0,SUM(AD605:AO605,Z605)/13*$BG$1)</f>
        <v>7768.1174999999994</v>
      </c>
      <c r="AQ605" s="7">
        <v>2052.88</v>
      </c>
      <c r="AR605" s="7">
        <f t="shared" si="3133"/>
        <v>2052.8800000000047</v>
      </c>
      <c r="AS605" s="7">
        <f t="shared" si="3134"/>
        <v>4.5474735088646412E-12</v>
      </c>
      <c r="AT605" s="7">
        <f t="shared" si="3230"/>
        <v>24634.560000000001</v>
      </c>
      <c r="AU605" s="39">
        <f t="shared" si="3152"/>
        <v>338726.08999999991</v>
      </c>
      <c r="AV605" s="39">
        <f t="shared" ref="AV605:BF605" si="3262">AU605-$AQ605</f>
        <v>336673.2099999999</v>
      </c>
      <c r="AW605" s="39">
        <f t="shared" si="3262"/>
        <v>334620.3299999999</v>
      </c>
      <c r="AX605" s="39">
        <f t="shared" si="3262"/>
        <v>332567.4499999999</v>
      </c>
      <c r="AY605" s="39">
        <f t="shared" si="3262"/>
        <v>330514.56999999989</v>
      </c>
      <c r="AZ605" s="39">
        <f t="shared" si="3262"/>
        <v>328461.68999999989</v>
      </c>
      <c r="BA605" s="39">
        <f t="shared" si="3262"/>
        <v>326408.80999999988</v>
      </c>
      <c r="BB605" s="39">
        <f t="shared" si="3262"/>
        <v>324355.92999999988</v>
      </c>
      <c r="BC605" s="39">
        <f t="shared" si="3262"/>
        <v>322303.04999999987</v>
      </c>
      <c r="BD605" s="39">
        <f t="shared" si="3262"/>
        <v>320250.16999999987</v>
      </c>
      <c r="BE605" s="39">
        <f t="shared" si="3262"/>
        <v>318197.28999999986</v>
      </c>
      <c r="BF605" s="39">
        <f t="shared" si="3262"/>
        <v>316144.40999999986</v>
      </c>
      <c r="BG605" s="236">
        <f t="shared" si="3236"/>
        <v>7226.1571799999974</v>
      </c>
      <c r="BH605" s="7">
        <v>2052.88</v>
      </c>
      <c r="BI605" s="7">
        <f t="shared" si="3200"/>
        <v>24634.560000000001</v>
      </c>
      <c r="BJ605" s="7">
        <f t="shared" si="3154"/>
        <v>314091.52999999985</v>
      </c>
      <c r="BK605" s="39">
        <f t="shared" si="3155"/>
        <v>312038.64999999985</v>
      </c>
      <c r="BL605" s="39">
        <f t="shared" si="3156"/>
        <v>309985.76999999984</v>
      </c>
      <c r="BM605" s="39">
        <f t="shared" si="3157"/>
        <v>307932.88999999984</v>
      </c>
      <c r="BN605" s="39">
        <f t="shared" si="3158"/>
        <v>305880.00999999983</v>
      </c>
      <c r="BO605" s="39">
        <f t="shared" si="3164"/>
        <v>303827.12999999983</v>
      </c>
      <c r="BP605" s="39">
        <f t="shared" si="3165"/>
        <v>301774.24999999983</v>
      </c>
      <c r="BQ605" s="39">
        <f t="shared" si="3166"/>
        <v>299721.36999999982</v>
      </c>
      <c r="BR605" s="39">
        <f t="shared" si="3167"/>
        <v>297668.48999999982</v>
      </c>
      <c r="BS605" s="39">
        <f t="shared" si="3168"/>
        <v>295615.60999999981</v>
      </c>
      <c r="BT605" s="39">
        <f t="shared" si="3169"/>
        <v>293562.72999999981</v>
      </c>
      <c r="BU605" s="39">
        <f t="shared" si="3170"/>
        <v>291509.8499999998</v>
      </c>
      <c r="BV605" s="236">
        <f>IF(Z605&lt;1,0,SUM(BJ605:BU605,BF605)/13*$BG$1)</f>
        <v>6684.1968599999955</v>
      </c>
      <c r="BW605" s="7">
        <v>2052.88</v>
      </c>
      <c r="BX605" s="7">
        <f t="shared" si="3202"/>
        <v>24634.560000000001</v>
      </c>
      <c r="BY605" s="7">
        <f t="shared" si="3203"/>
        <v>289456.9699999998</v>
      </c>
      <c r="BZ605" s="39">
        <f t="shared" si="3171"/>
        <v>287404.08999999979</v>
      </c>
      <c r="CA605" s="39">
        <f t="shared" si="3172"/>
        <v>285351.20999999979</v>
      </c>
      <c r="CB605" s="39">
        <f t="shared" si="3173"/>
        <v>283298.32999999978</v>
      </c>
      <c r="CC605" s="39">
        <f t="shared" si="3174"/>
        <v>281245.44999999978</v>
      </c>
      <c r="CD605" s="39">
        <f t="shared" si="3175"/>
        <v>279192.56999999977</v>
      </c>
      <c r="CE605" s="39">
        <f t="shared" si="3176"/>
        <v>277139.68999999977</v>
      </c>
      <c r="CF605" s="39">
        <f t="shared" si="3177"/>
        <v>275086.80999999976</v>
      </c>
      <c r="CG605" s="39">
        <f t="shared" si="3178"/>
        <v>273033.92999999976</v>
      </c>
      <c r="CH605" s="39">
        <f t="shared" si="3179"/>
        <v>270981.04999999976</v>
      </c>
      <c r="CI605" s="39">
        <f t="shared" si="3180"/>
        <v>268928.16999999975</v>
      </c>
      <c r="CJ605" s="39">
        <f t="shared" si="3204"/>
        <v>266875.28999999975</v>
      </c>
      <c r="CK605" s="236">
        <f>IF(AO605&lt;1,0,SUM(BY605:CJ605,BU605)/13*$BG$1)</f>
        <v>6142.2365399999944</v>
      </c>
      <c r="CL605" s="7">
        <v>2052.88</v>
      </c>
      <c r="CM605" s="7">
        <f t="shared" si="3240"/>
        <v>24634.560000000001</v>
      </c>
      <c r="CN605" s="7">
        <f t="shared" si="3207"/>
        <v>264822.40999999974</v>
      </c>
      <c r="CO605" s="39">
        <f t="shared" si="3208"/>
        <v>262769.52999999974</v>
      </c>
      <c r="CP605" s="39">
        <f t="shared" si="3209"/>
        <v>260716.64999999973</v>
      </c>
      <c r="CQ605" s="39">
        <f t="shared" si="3210"/>
        <v>258663.76999999973</v>
      </c>
      <c r="CR605" s="39">
        <f t="shared" si="3211"/>
        <v>256610.88999999972</v>
      </c>
      <c r="CS605" s="39">
        <f t="shared" si="3212"/>
        <v>254558.00999999972</v>
      </c>
      <c r="CT605" s="39">
        <f t="shared" si="3213"/>
        <v>252505.12999999971</v>
      </c>
      <c r="CU605" s="39">
        <f t="shared" si="3214"/>
        <v>250452.24999999971</v>
      </c>
      <c r="CV605" s="39">
        <f t="shared" si="3215"/>
        <v>248399.3699999997</v>
      </c>
      <c r="CW605" s="39">
        <f t="shared" si="3216"/>
        <v>246346.4899999997</v>
      </c>
      <c r="CX605" s="39">
        <f t="shared" si="3217"/>
        <v>244293.60999999969</v>
      </c>
      <c r="CY605" s="39">
        <f t="shared" si="3218"/>
        <v>242240.72999999969</v>
      </c>
      <c r="CZ605" s="236">
        <f>IF(BF605&lt;1,0,SUM(CN605:CY605,CJ605)/13*$BG$1)</f>
        <v>5600.2762199999934</v>
      </c>
    </row>
    <row r="606" spans="1:104" ht="24" customHeight="1" x14ac:dyDescent="0.2">
      <c r="A606" s="187" t="s">
        <v>90</v>
      </c>
      <c r="B606" t="s">
        <v>1476</v>
      </c>
      <c r="C606" t="s">
        <v>41</v>
      </c>
      <c r="D606" t="s">
        <v>42</v>
      </c>
      <c r="E606" s="36">
        <v>44873</v>
      </c>
      <c r="F606" t="s">
        <v>44</v>
      </c>
      <c r="G606" s="186">
        <v>180</v>
      </c>
      <c r="H606" s="7">
        <v>358311.11</v>
      </c>
      <c r="K606" s="8">
        <v>1</v>
      </c>
      <c r="L606" s="7">
        <v>1990.62</v>
      </c>
      <c r="M606" s="7"/>
      <c r="N606" s="7">
        <f t="shared" ref="N606:N610" si="3263">L606</f>
        <v>1990.62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f>H606</f>
        <v>358311.11</v>
      </c>
      <c r="Z606" s="7">
        <f>Y606-$L606</f>
        <v>356320.49</v>
      </c>
      <c r="AA606" s="7">
        <f>SUM(O606:Z606,J606)/13*$AA$1</f>
        <v>1209.3765538461537</v>
      </c>
      <c r="AC606" s="7"/>
      <c r="AD606" s="7">
        <f>Z606-$L606</f>
        <v>354329.87</v>
      </c>
      <c r="AE606" s="7">
        <f>AD606-$L606</f>
        <v>352339.25</v>
      </c>
      <c r="AF606" s="7">
        <f t="shared" si="3253"/>
        <v>350348.63</v>
      </c>
      <c r="AG606" s="7">
        <f t="shared" si="3254"/>
        <v>348358.01</v>
      </c>
      <c r="AH606" s="7">
        <f t="shared" si="3255"/>
        <v>346367.39</v>
      </c>
      <c r="AI606" s="7">
        <f t="shared" si="3256"/>
        <v>344376.77</v>
      </c>
      <c r="AJ606" s="7">
        <f t="shared" si="3257"/>
        <v>342386.15</v>
      </c>
      <c r="AK606" s="7">
        <f t="shared" si="3258"/>
        <v>340395.53</v>
      </c>
      <c r="AL606" s="7">
        <f t="shared" si="3259"/>
        <v>338404.91000000003</v>
      </c>
      <c r="AM606" s="7">
        <f t="shared" si="3260"/>
        <v>336414.29000000004</v>
      </c>
      <c r="AN606" s="7">
        <f t="shared" si="3261"/>
        <v>334423.67000000004</v>
      </c>
      <c r="AO606" s="7">
        <f>AN606-$L606</f>
        <v>332433.05000000005</v>
      </c>
      <c r="AP606" s="222">
        <f>IF(K606&lt;1,0,SUM(AD606:AO606,Z606)/13*$BG$1)</f>
        <v>7576.2889399999985</v>
      </c>
      <c r="AQ606" s="7">
        <v>1990.62</v>
      </c>
      <c r="AR606" s="7">
        <f t="shared" si="3133"/>
        <v>1990.6199999999953</v>
      </c>
      <c r="AS606" s="7">
        <f t="shared" si="3134"/>
        <v>-4.5474735088646412E-12</v>
      </c>
      <c r="AT606" s="7">
        <f t="shared" si="3230"/>
        <v>23887.439999999999</v>
      </c>
      <c r="AU606" s="39">
        <f t="shared" si="3152"/>
        <v>330442.43000000005</v>
      </c>
      <c r="AV606" s="39">
        <f t="shared" ref="AV606:BF606" si="3264">AU606-$AQ606</f>
        <v>328451.81000000006</v>
      </c>
      <c r="AW606" s="39">
        <f t="shared" si="3264"/>
        <v>326461.19000000006</v>
      </c>
      <c r="AX606" s="39">
        <f t="shared" si="3264"/>
        <v>324470.57000000007</v>
      </c>
      <c r="AY606" s="39">
        <f t="shared" si="3264"/>
        <v>322479.95000000007</v>
      </c>
      <c r="AZ606" s="39">
        <f t="shared" si="3264"/>
        <v>320489.33000000007</v>
      </c>
      <c r="BA606" s="39">
        <f t="shared" si="3264"/>
        <v>318498.71000000008</v>
      </c>
      <c r="BB606" s="39">
        <f t="shared" si="3264"/>
        <v>316508.09000000008</v>
      </c>
      <c r="BC606" s="39">
        <f t="shared" si="3264"/>
        <v>314517.47000000009</v>
      </c>
      <c r="BD606" s="39">
        <f t="shared" si="3264"/>
        <v>312526.85000000009</v>
      </c>
      <c r="BE606" s="39">
        <f t="shared" si="3264"/>
        <v>310536.2300000001</v>
      </c>
      <c r="BF606" s="39">
        <f t="shared" si="3264"/>
        <v>308545.6100000001</v>
      </c>
      <c r="BG606" s="236">
        <f t="shared" si="3236"/>
        <v>7050.7652600000001</v>
      </c>
      <c r="BH606" s="7">
        <v>1990.62</v>
      </c>
      <c r="BI606" s="7">
        <f t="shared" si="3200"/>
        <v>23887.439999999999</v>
      </c>
      <c r="BJ606" s="7">
        <f t="shared" si="3154"/>
        <v>306554.99000000011</v>
      </c>
      <c r="BK606" s="39">
        <f t="shared" si="3155"/>
        <v>304564.37000000011</v>
      </c>
      <c r="BL606" s="39">
        <f t="shared" si="3156"/>
        <v>302573.75000000012</v>
      </c>
      <c r="BM606" s="39">
        <f t="shared" si="3157"/>
        <v>300583.13000000012</v>
      </c>
      <c r="BN606" s="39">
        <f t="shared" si="3158"/>
        <v>298592.51000000013</v>
      </c>
      <c r="BO606" s="39">
        <f t="shared" si="3164"/>
        <v>296601.89000000013</v>
      </c>
      <c r="BP606" s="39">
        <f t="shared" si="3165"/>
        <v>294611.27000000014</v>
      </c>
      <c r="BQ606" s="39">
        <f t="shared" si="3166"/>
        <v>292620.65000000014</v>
      </c>
      <c r="BR606" s="39">
        <f t="shared" si="3167"/>
        <v>290630.03000000014</v>
      </c>
      <c r="BS606" s="39">
        <f t="shared" si="3168"/>
        <v>288639.41000000015</v>
      </c>
      <c r="BT606" s="39">
        <f t="shared" si="3169"/>
        <v>286648.79000000015</v>
      </c>
      <c r="BU606" s="39">
        <f t="shared" si="3170"/>
        <v>284658.17000000016</v>
      </c>
      <c r="BV606" s="236">
        <f>IF(Z606&lt;1,0,SUM(BJ606:BU606,BF606)/13*$BG$1)</f>
        <v>6525.2415800000008</v>
      </c>
      <c r="BW606" s="7">
        <v>1990.62</v>
      </c>
      <c r="BX606" s="7">
        <f t="shared" si="3202"/>
        <v>23887.439999999999</v>
      </c>
      <c r="BY606" s="7">
        <f t="shared" si="3203"/>
        <v>282667.55000000016</v>
      </c>
      <c r="BZ606" s="39">
        <f t="shared" si="3171"/>
        <v>280676.93000000017</v>
      </c>
      <c r="CA606" s="39">
        <f t="shared" si="3172"/>
        <v>278686.31000000017</v>
      </c>
      <c r="CB606" s="39">
        <f t="shared" si="3173"/>
        <v>276695.69000000018</v>
      </c>
      <c r="CC606" s="39">
        <f t="shared" si="3174"/>
        <v>274705.07000000018</v>
      </c>
      <c r="CD606" s="39">
        <f t="shared" si="3175"/>
        <v>272714.45000000019</v>
      </c>
      <c r="CE606" s="39">
        <f t="shared" si="3176"/>
        <v>270723.83000000019</v>
      </c>
      <c r="CF606" s="39">
        <f t="shared" si="3177"/>
        <v>268733.2100000002</v>
      </c>
      <c r="CG606" s="39">
        <f t="shared" si="3178"/>
        <v>266742.5900000002</v>
      </c>
      <c r="CH606" s="39">
        <f t="shared" si="3179"/>
        <v>264751.9700000002</v>
      </c>
      <c r="CI606" s="39">
        <f t="shared" si="3180"/>
        <v>262761.35000000021</v>
      </c>
      <c r="CJ606" s="39">
        <f t="shared" si="3204"/>
        <v>260770.73000000021</v>
      </c>
      <c r="CK606" s="236">
        <f>IF(AO606&lt;1,0,SUM(BY606:CJ606,BU606)/13*$BG$1)</f>
        <v>5999.7179000000024</v>
      </c>
      <c r="CL606" s="7">
        <v>1990.62</v>
      </c>
      <c r="CM606" s="7">
        <f t="shared" si="3240"/>
        <v>23887.439999999999</v>
      </c>
      <c r="CN606" s="7">
        <f t="shared" si="3207"/>
        <v>258780.11000000022</v>
      </c>
      <c r="CO606" s="39">
        <f t="shared" si="3208"/>
        <v>256789.49000000022</v>
      </c>
      <c r="CP606" s="39">
        <f t="shared" si="3209"/>
        <v>254798.87000000023</v>
      </c>
      <c r="CQ606" s="39">
        <f t="shared" si="3210"/>
        <v>252808.25000000023</v>
      </c>
      <c r="CR606" s="39">
        <f t="shared" si="3211"/>
        <v>250817.63000000024</v>
      </c>
      <c r="CS606" s="39">
        <f t="shared" si="3212"/>
        <v>248827.01000000024</v>
      </c>
      <c r="CT606" s="39">
        <f t="shared" si="3213"/>
        <v>246836.39000000025</v>
      </c>
      <c r="CU606" s="39">
        <f t="shared" si="3214"/>
        <v>244845.77000000025</v>
      </c>
      <c r="CV606" s="39">
        <f t="shared" si="3215"/>
        <v>242855.15000000026</v>
      </c>
      <c r="CW606" s="39">
        <f t="shared" si="3216"/>
        <v>240864.53000000026</v>
      </c>
      <c r="CX606" s="39">
        <f t="shared" si="3217"/>
        <v>238873.91000000027</v>
      </c>
      <c r="CY606" s="39">
        <f t="shared" si="3218"/>
        <v>236883.29000000027</v>
      </c>
      <c r="CZ606" s="236">
        <f>IF(BF606&lt;1,0,SUM(CN606:CY606,CJ606)/13*$BG$1)</f>
        <v>5474.194220000004</v>
      </c>
    </row>
    <row r="607" spans="1:104" ht="24" customHeight="1" x14ac:dyDescent="0.2">
      <c r="A607" s="187" t="s">
        <v>91</v>
      </c>
      <c r="B607" t="s">
        <v>1540</v>
      </c>
      <c r="C607" t="s">
        <v>41</v>
      </c>
      <c r="D607" t="s">
        <v>42</v>
      </c>
      <c r="E607" s="36">
        <v>44873</v>
      </c>
      <c r="F607" t="s">
        <v>44</v>
      </c>
      <c r="G607" s="186">
        <v>180</v>
      </c>
      <c r="H607" s="7">
        <v>215565.45</v>
      </c>
      <c r="K607" s="8">
        <v>1</v>
      </c>
      <c r="L607" s="7">
        <v>1197.5899999999999</v>
      </c>
      <c r="M607" s="7"/>
      <c r="N607" s="7">
        <f t="shared" si="3263"/>
        <v>1197.5899999999999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f>H607</f>
        <v>215565.45</v>
      </c>
      <c r="Z607" s="7">
        <f>Y607-$L607</f>
        <v>214367.86000000002</v>
      </c>
      <c r="AA607" s="7">
        <f>SUM(O607:Z607,J607)/13*$AA$1</f>
        <v>727.57944769230778</v>
      </c>
      <c r="AC607" s="7"/>
      <c r="AD607" s="7">
        <f>Z607-$L607</f>
        <v>213170.27000000002</v>
      </c>
      <c r="AE607" s="7">
        <f>AD607-$L607</f>
        <v>211972.68000000002</v>
      </c>
      <c r="AF607" s="7">
        <f t="shared" si="3253"/>
        <v>210775.09000000003</v>
      </c>
      <c r="AG607" s="7">
        <f t="shared" si="3254"/>
        <v>209577.50000000003</v>
      </c>
      <c r="AH607" s="7">
        <f t="shared" si="3255"/>
        <v>208379.91000000003</v>
      </c>
      <c r="AI607" s="7">
        <f t="shared" si="3256"/>
        <v>207182.32000000004</v>
      </c>
      <c r="AJ607" s="7">
        <f t="shared" si="3257"/>
        <v>205984.73000000004</v>
      </c>
      <c r="AK607" s="7">
        <f t="shared" si="3258"/>
        <v>204787.14000000004</v>
      </c>
      <c r="AL607" s="7">
        <f t="shared" si="3259"/>
        <v>203589.55000000005</v>
      </c>
      <c r="AM607" s="7">
        <f t="shared" si="3260"/>
        <v>202391.96000000005</v>
      </c>
      <c r="AN607" s="7">
        <f t="shared" si="3261"/>
        <v>201194.37000000005</v>
      </c>
      <c r="AO607" s="7">
        <f>AN607-$L607</f>
        <v>199996.78000000006</v>
      </c>
      <c r="AP607" s="222">
        <f>IF(K607&lt;1,0,SUM(AD607:AO607,Z607)/13*$BG$1)</f>
        <v>4558.0110400000003</v>
      </c>
      <c r="AQ607" s="7">
        <v>1197.5899999999999</v>
      </c>
      <c r="AR607" s="7">
        <f t="shared" si="3133"/>
        <v>1197.5899999999965</v>
      </c>
      <c r="AS607" s="7">
        <f t="shared" si="3134"/>
        <v>-3.4106051316484809E-12</v>
      </c>
      <c r="AT607" s="7">
        <f t="shared" si="3230"/>
        <v>14371.079999999998</v>
      </c>
      <c r="AU607" s="39">
        <f t="shared" si="3152"/>
        <v>198799.19000000006</v>
      </c>
      <c r="AV607" s="39">
        <f t="shared" ref="AV607:BF607" si="3265">AU607-$AQ607</f>
        <v>197601.60000000006</v>
      </c>
      <c r="AW607" s="39">
        <f t="shared" si="3265"/>
        <v>196404.01000000007</v>
      </c>
      <c r="AX607" s="39">
        <f t="shared" si="3265"/>
        <v>195206.42000000007</v>
      </c>
      <c r="AY607" s="39">
        <f t="shared" si="3265"/>
        <v>194008.83000000007</v>
      </c>
      <c r="AZ607" s="39">
        <f t="shared" si="3265"/>
        <v>192811.24000000008</v>
      </c>
      <c r="BA607" s="39">
        <f t="shared" si="3265"/>
        <v>191613.65000000008</v>
      </c>
      <c r="BB607" s="39">
        <f t="shared" si="3265"/>
        <v>190416.06000000008</v>
      </c>
      <c r="BC607" s="39">
        <f t="shared" si="3265"/>
        <v>189218.47000000009</v>
      </c>
      <c r="BD607" s="39">
        <f t="shared" si="3265"/>
        <v>188020.88000000009</v>
      </c>
      <c r="BE607" s="39">
        <f t="shared" si="3265"/>
        <v>186823.2900000001</v>
      </c>
      <c r="BF607" s="39">
        <f t="shared" si="3265"/>
        <v>185625.7000000001</v>
      </c>
      <c r="BG607" s="236">
        <f t="shared" si="3236"/>
        <v>4241.8472800000018</v>
      </c>
      <c r="BH607" s="7">
        <v>1197.5899999999999</v>
      </c>
      <c r="BI607" s="7">
        <f t="shared" si="3200"/>
        <v>14371.079999999998</v>
      </c>
      <c r="BJ607" s="7">
        <f t="shared" si="3154"/>
        <v>184428.1100000001</v>
      </c>
      <c r="BK607" s="39">
        <f t="shared" si="3155"/>
        <v>183230.52000000011</v>
      </c>
      <c r="BL607" s="39">
        <f t="shared" si="3156"/>
        <v>182032.93000000011</v>
      </c>
      <c r="BM607" s="39">
        <f t="shared" si="3157"/>
        <v>180835.34000000011</v>
      </c>
      <c r="BN607" s="39">
        <f t="shared" si="3158"/>
        <v>179637.75000000012</v>
      </c>
      <c r="BO607" s="39">
        <f t="shared" si="3164"/>
        <v>178440.16000000012</v>
      </c>
      <c r="BP607" s="39">
        <f t="shared" si="3165"/>
        <v>177242.57000000012</v>
      </c>
      <c r="BQ607" s="39">
        <f t="shared" si="3166"/>
        <v>176044.98000000013</v>
      </c>
      <c r="BR607" s="39">
        <f t="shared" si="3167"/>
        <v>174847.39000000013</v>
      </c>
      <c r="BS607" s="39">
        <f t="shared" si="3168"/>
        <v>173649.80000000013</v>
      </c>
      <c r="BT607" s="39">
        <f t="shared" si="3169"/>
        <v>172452.21000000014</v>
      </c>
      <c r="BU607" s="39">
        <f t="shared" si="3170"/>
        <v>171254.62000000014</v>
      </c>
      <c r="BV607" s="236">
        <f>IF(Z607&lt;1,0,SUM(BJ607:BU607,BF607)/13*$BG$1)</f>
        <v>3925.6835200000023</v>
      </c>
      <c r="BW607" s="7">
        <v>1197.5899999999999</v>
      </c>
      <c r="BX607" s="7">
        <f t="shared" si="3202"/>
        <v>14371.079999999998</v>
      </c>
      <c r="BY607" s="7">
        <f t="shared" si="3203"/>
        <v>170057.03000000014</v>
      </c>
      <c r="BZ607" s="39">
        <f t="shared" si="3171"/>
        <v>168859.44000000015</v>
      </c>
      <c r="CA607" s="39">
        <f t="shared" si="3172"/>
        <v>167661.85000000015</v>
      </c>
      <c r="CB607" s="39">
        <f t="shared" si="3173"/>
        <v>166464.26000000015</v>
      </c>
      <c r="CC607" s="39">
        <f t="shared" si="3174"/>
        <v>165266.67000000016</v>
      </c>
      <c r="CD607" s="39">
        <f t="shared" si="3175"/>
        <v>164069.08000000016</v>
      </c>
      <c r="CE607" s="39">
        <f t="shared" si="3176"/>
        <v>162871.49000000017</v>
      </c>
      <c r="CF607" s="39">
        <f t="shared" si="3177"/>
        <v>161673.90000000017</v>
      </c>
      <c r="CG607" s="39">
        <f t="shared" si="3178"/>
        <v>160476.31000000017</v>
      </c>
      <c r="CH607" s="39">
        <f t="shared" si="3179"/>
        <v>159278.72000000018</v>
      </c>
      <c r="CI607" s="39">
        <f t="shared" si="3180"/>
        <v>158081.13000000018</v>
      </c>
      <c r="CJ607" s="39">
        <f t="shared" si="3204"/>
        <v>156883.54000000018</v>
      </c>
      <c r="CK607" s="236">
        <f>IF(AO607&lt;1,0,SUM(BY607:CJ607,BU607)/13*$BG$1)</f>
        <v>3609.5197600000038</v>
      </c>
      <c r="CL607" s="7">
        <v>1197.5899999999999</v>
      </c>
      <c r="CM607" s="7">
        <f t="shared" si="3240"/>
        <v>14371.079999999998</v>
      </c>
      <c r="CN607" s="7">
        <f t="shared" si="3207"/>
        <v>155685.95000000019</v>
      </c>
      <c r="CO607" s="39">
        <f t="shared" si="3208"/>
        <v>154488.36000000019</v>
      </c>
      <c r="CP607" s="39">
        <f t="shared" si="3209"/>
        <v>153290.77000000019</v>
      </c>
      <c r="CQ607" s="39">
        <f t="shared" si="3210"/>
        <v>152093.1800000002</v>
      </c>
      <c r="CR607" s="39">
        <f t="shared" si="3211"/>
        <v>150895.5900000002</v>
      </c>
      <c r="CS607" s="39">
        <f t="shared" si="3212"/>
        <v>149698.0000000002</v>
      </c>
      <c r="CT607" s="39">
        <f t="shared" si="3213"/>
        <v>148500.41000000021</v>
      </c>
      <c r="CU607" s="39">
        <f t="shared" si="3214"/>
        <v>147302.82000000021</v>
      </c>
      <c r="CV607" s="39">
        <f t="shared" si="3215"/>
        <v>146105.23000000021</v>
      </c>
      <c r="CW607" s="39">
        <f t="shared" si="3216"/>
        <v>144907.64000000022</v>
      </c>
      <c r="CX607" s="39">
        <f t="shared" si="3217"/>
        <v>143710.05000000022</v>
      </c>
      <c r="CY607" s="39">
        <f t="shared" si="3218"/>
        <v>142512.46000000022</v>
      </c>
      <c r="CZ607" s="236">
        <f>IF(BF607&lt;1,0,SUM(CN607:CY607,CJ607)/13*$BG$1)</f>
        <v>3293.3560000000043</v>
      </c>
    </row>
    <row r="608" spans="1:104" s="26" customFormat="1" ht="24" customHeight="1" x14ac:dyDescent="0.2">
      <c r="A608" s="187" t="s">
        <v>92</v>
      </c>
      <c r="B608" s="26">
        <v>1917</v>
      </c>
      <c r="C608" s="26" t="s">
        <v>22</v>
      </c>
      <c r="D608" s="26" t="s">
        <v>23</v>
      </c>
      <c r="E608" s="38">
        <v>44875</v>
      </c>
      <c r="F608" s="26" t="s">
        <v>25</v>
      </c>
      <c r="G608" s="26">
        <f>5*12</f>
        <v>60</v>
      </c>
      <c r="H608" s="39">
        <v>453458.33</v>
      </c>
      <c r="K608" s="40">
        <v>0</v>
      </c>
      <c r="L608" s="39">
        <v>7557.64</v>
      </c>
      <c r="M608" s="39"/>
      <c r="N608" s="39">
        <f t="shared" si="3263"/>
        <v>7557.64</v>
      </c>
      <c r="O608" s="39">
        <v>0</v>
      </c>
      <c r="P608" s="39">
        <v>0</v>
      </c>
      <c r="Q608" s="39">
        <v>0</v>
      </c>
      <c r="R608" s="39">
        <v>0</v>
      </c>
      <c r="S608" s="39">
        <v>0</v>
      </c>
      <c r="T608" s="39">
        <v>0</v>
      </c>
      <c r="U608" s="39">
        <v>0</v>
      </c>
      <c r="V608" s="39">
        <v>0</v>
      </c>
      <c r="W608" s="39">
        <v>0</v>
      </c>
      <c r="X608" s="39">
        <v>0</v>
      </c>
      <c r="Y608" s="39">
        <f>H608</f>
        <v>453458.33</v>
      </c>
      <c r="Z608" s="39">
        <f t="shared" ref="Z608:Z611" si="3266">Y608-$L608</f>
        <v>445900.69</v>
      </c>
      <c r="AC608" s="39"/>
      <c r="AD608" s="39">
        <f t="shared" ref="AD608:AD610" si="3267">Z608-$L608</f>
        <v>438343.05</v>
      </c>
      <c r="AE608" s="39">
        <f t="shared" ref="AE608:AE611" si="3268">AD608-$L608</f>
        <v>430785.41</v>
      </c>
      <c r="AF608" s="39">
        <f t="shared" ref="AF608:AF613" si="3269">AE608-$L608</f>
        <v>423227.76999999996</v>
      </c>
      <c r="AG608" s="39">
        <f t="shared" ref="AG608:AG613" si="3270">AF608-$L608</f>
        <v>415670.12999999995</v>
      </c>
      <c r="AH608" s="39">
        <f t="shared" ref="AH608:AH613" si="3271">AG608-$L608</f>
        <v>408112.48999999993</v>
      </c>
      <c r="AI608" s="39">
        <f t="shared" ref="AI608:AI613" si="3272">AH608-$L608</f>
        <v>400554.84999999992</v>
      </c>
      <c r="AJ608" s="39">
        <f t="shared" ref="AJ608:AJ613" si="3273">AI608-$L608</f>
        <v>392997.2099999999</v>
      </c>
      <c r="AK608" s="39">
        <f t="shared" ref="AK608:AK613" si="3274">AJ608-$L608</f>
        <v>385439.56999999989</v>
      </c>
      <c r="AL608" s="39">
        <f t="shared" ref="AL608:AL613" si="3275">AK608-$L608</f>
        <v>377881.92999999988</v>
      </c>
      <c r="AM608" s="39">
        <f t="shared" ref="AM608:AM613" si="3276">AL608-$L608</f>
        <v>370324.28999999986</v>
      </c>
      <c r="AN608" s="39">
        <f t="shared" ref="AN608:AN613" si="3277">AM608-$L608</f>
        <v>362766.64999999985</v>
      </c>
      <c r="AO608" s="39">
        <f t="shared" ref="AO608:AO613" si="3278">AN608-$L608</f>
        <v>355209.00999999983</v>
      </c>
      <c r="AP608" s="222"/>
      <c r="AQ608" s="7">
        <v>7557.64</v>
      </c>
      <c r="AR608" s="7">
        <f t="shared" si="3133"/>
        <v>7557.640000000014</v>
      </c>
      <c r="AS608" s="7">
        <f t="shared" si="3134"/>
        <v>1.3642420526593924E-11</v>
      </c>
      <c r="AT608" s="7">
        <f t="shared" si="3230"/>
        <v>90691.680000000008</v>
      </c>
      <c r="AU608" s="39">
        <f t="shared" si="3152"/>
        <v>347651.36999999982</v>
      </c>
      <c r="AV608" s="39">
        <f t="shared" ref="AV608:BF608" si="3279">AU608-$AQ608</f>
        <v>340093.72999999981</v>
      </c>
      <c r="AW608" s="39">
        <f t="shared" si="3279"/>
        <v>332536.08999999979</v>
      </c>
      <c r="AX608" s="39">
        <f t="shared" si="3279"/>
        <v>324978.44999999978</v>
      </c>
      <c r="AY608" s="39">
        <f t="shared" si="3279"/>
        <v>317420.80999999976</v>
      </c>
      <c r="AZ608" s="39">
        <f t="shared" si="3279"/>
        <v>309863.16999999975</v>
      </c>
      <c r="BA608" s="39">
        <f t="shared" si="3279"/>
        <v>302305.52999999974</v>
      </c>
      <c r="BB608" s="39">
        <f t="shared" si="3279"/>
        <v>294747.88999999972</v>
      </c>
      <c r="BC608" s="39">
        <f t="shared" si="3279"/>
        <v>287190.24999999971</v>
      </c>
      <c r="BD608" s="39">
        <f t="shared" si="3279"/>
        <v>279632.60999999969</v>
      </c>
      <c r="BE608" s="39">
        <f t="shared" si="3279"/>
        <v>272074.96999999968</v>
      </c>
      <c r="BF608" s="39">
        <f t="shared" si="3279"/>
        <v>264517.32999999967</v>
      </c>
      <c r="BG608" s="236">
        <f t="shared" si="3236"/>
        <v>0</v>
      </c>
      <c r="BH608" s="7">
        <v>7557.64</v>
      </c>
      <c r="BI608" s="7">
        <f t="shared" si="3200"/>
        <v>90691.680000000008</v>
      </c>
      <c r="BJ608" s="7">
        <f t="shared" si="3154"/>
        <v>256959.68999999965</v>
      </c>
      <c r="BK608" s="39">
        <f t="shared" si="3155"/>
        <v>249402.04999999964</v>
      </c>
      <c r="BL608" s="39">
        <f t="shared" si="3156"/>
        <v>241844.40999999963</v>
      </c>
      <c r="BM608" s="39">
        <f t="shared" si="3157"/>
        <v>234286.76999999961</v>
      </c>
      <c r="BN608" s="39">
        <f t="shared" si="3158"/>
        <v>226729.1299999996</v>
      </c>
      <c r="BO608" s="39">
        <f t="shared" si="3164"/>
        <v>219171.48999999958</v>
      </c>
      <c r="BP608" s="39">
        <f t="shared" si="3165"/>
        <v>211613.84999999957</v>
      </c>
      <c r="BQ608" s="39">
        <f t="shared" si="3166"/>
        <v>204056.20999999956</v>
      </c>
      <c r="BR608" s="39">
        <f t="shared" si="3167"/>
        <v>196498.56999999954</v>
      </c>
      <c r="BS608" s="39">
        <f t="shared" si="3168"/>
        <v>188940.92999999953</v>
      </c>
      <c r="BT608" s="39">
        <f t="shared" si="3169"/>
        <v>181383.28999999951</v>
      </c>
      <c r="BU608" s="39">
        <f t="shared" si="3170"/>
        <v>173825.6499999995</v>
      </c>
      <c r="BV608" s="236">
        <v>0</v>
      </c>
      <c r="BW608" s="7">
        <v>7557.64</v>
      </c>
      <c r="BX608" s="7">
        <f t="shared" si="3202"/>
        <v>90691.680000000008</v>
      </c>
      <c r="BY608" s="7">
        <f t="shared" si="3203"/>
        <v>166268.00999999949</v>
      </c>
      <c r="BZ608" s="39">
        <f t="shared" si="3171"/>
        <v>158710.36999999947</v>
      </c>
      <c r="CA608" s="39">
        <f t="shared" si="3172"/>
        <v>151152.72999999946</v>
      </c>
      <c r="CB608" s="39">
        <f t="shared" si="3173"/>
        <v>143595.08999999944</v>
      </c>
      <c r="CC608" s="39">
        <f t="shared" si="3174"/>
        <v>136037.44999999943</v>
      </c>
      <c r="CD608" s="39">
        <f t="shared" si="3175"/>
        <v>128479.80999999943</v>
      </c>
      <c r="CE608" s="39">
        <f t="shared" si="3176"/>
        <v>120922.16999999943</v>
      </c>
      <c r="CF608" s="39">
        <f t="shared" si="3177"/>
        <v>113364.52999999943</v>
      </c>
      <c r="CG608" s="39">
        <f t="shared" si="3178"/>
        <v>105806.88999999943</v>
      </c>
      <c r="CH608" s="39">
        <f t="shared" si="3179"/>
        <v>98249.249999999432</v>
      </c>
      <c r="CI608" s="39">
        <f t="shared" si="3180"/>
        <v>90691.609999999433</v>
      </c>
      <c r="CJ608" s="39">
        <f t="shared" si="3204"/>
        <v>83133.969999999434</v>
      </c>
      <c r="CK608" s="236">
        <v>0</v>
      </c>
      <c r="CL608" s="7">
        <v>7557.64</v>
      </c>
      <c r="CM608" s="7">
        <f t="shared" si="3240"/>
        <v>90691.680000000008</v>
      </c>
      <c r="CN608" s="7">
        <f t="shared" si="3207"/>
        <v>75576.329999999434</v>
      </c>
      <c r="CO608" s="39">
        <f t="shared" si="3208"/>
        <v>68018.689999999435</v>
      </c>
      <c r="CP608" s="39">
        <f t="shared" si="3209"/>
        <v>60461.049999999435</v>
      </c>
      <c r="CQ608" s="39">
        <f t="shared" si="3210"/>
        <v>52903.409999999436</v>
      </c>
      <c r="CR608" s="39">
        <f t="shared" si="3211"/>
        <v>45345.769999999437</v>
      </c>
      <c r="CS608" s="39">
        <f t="shared" si="3212"/>
        <v>37788.129999999437</v>
      </c>
      <c r="CT608" s="39">
        <f t="shared" si="3213"/>
        <v>30230.489999999438</v>
      </c>
      <c r="CU608" s="39">
        <f t="shared" si="3214"/>
        <v>22672.849999999438</v>
      </c>
      <c r="CV608" s="39">
        <f t="shared" si="3215"/>
        <v>15115.209999999439</v>
      </c>
      <c r="CW608" s="39">
        <f t="shared" si="3216"/>
        <v>7557.5699999994386</v>
      </c>
      <c r="CX608" s="39"/>
      <c r="CY608" s="39"/>
      <c r="CZ608" s="236">
        <v>0</v>
      </c>
    </row>
    <row r="609" spans="1:104" ht="24" customHeight="1" x14ac:dyDescent="0.2">
      <c r="A609" s="187" t="s">
        <v>93</v>
      </c>
      <c r="B609" t="s">
        <v>1478</v>
      </c>
      <c r="C609" t="s">
        <v>41</v>
      </c>
      <c r="D609" t="s">
        <v>42</v>
      </c>
      <c r="E609" s="36">
        <v>44880</v>
      </c>
      <c r="F609" t="s">
        <v>44</v>
      </c>
      <c r="G609" s="186">
        <v>180</v>
      </c>
      <c r="H609" s="7">
        <v>285751.78000000003</v>
      </c>
      <c r="K609" s="8">
        <v>1</v>
      </c>
      <c r="L609" s="7">
        <v>1587.51</v>
      </c>
      <c r="M609" s="7"/>
      <c r="N609" s="7">
        <f t="shared" si="3263"/>
        <v>1587.51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f t="shared" ref="Y609:Y611" si="3280">H609</f>
        <v>285751.78000000003</v>
      </c>
      <c r="Z609" s="7">
        <f t="shared" si="3266"/>
        <v>284164.27</v>
      </c>
      <c r="AA609" s="7">
        <f>SUM(O609:Z609,J609)/13*$AA$1</f>
        <v>964.47331538461538</v>
      </c>
      <c r="AC609" s="7"/>
      <c r="AD609" s="7">
        <f t="shared" si="3267"/>
        <v>282576.76</v>
      </c>
      <c r="AE609" s="7">
        <f t="shared" si="3268"/>
        <v>280989.25</v>
      </c>
      <c r="AF609" s="7">
        <f t="shared" si="3269"/>
        <v>279401.74</v>
      </c>
      <c r="AG609" s="7">
        <f t="shared" si="3270"/>
        <v>277814.23</v>
      </c>
      <c r="AH609" s="7">
        <f t="shared" si="3271"/>
        <v>276226.71999999997</v>
      </c>
      <c r="AI609" s="7">
        <f t="shared" si="3272"/>
        <v>274639.20999999996</v>
      </c>
      <c r="AJ609" s="7">
        <f t="shared" si="3273"/>
        <v>273051.69999999995</v>
      </c>
      <c r="AK609" s="7">
        <f t="shared" si="3274"/>
        <v>271464.18999999994</v>
      </c>
      <c r="AL609" s="7">
        <f t="shared" si="3275"/>
        <v>269876.67999999993</v>
      </c>
      <c r="AM609" s="7">
        <f t="shared" si="3276"/>
        <v>268289.16999999993</v>
      </c>
      <c r="AN609" s="7">
        <f t="shared" si="3277"/>
        <v>266701.65999999992</v>
      </c>
      <c r="AO609" s="7">
        <f t="shared" si="3278"/>
        <v>265114.14999999991</v>
      </c>
      <c r="AP609" s="222">
        <f>IF(K609&lt;1,0,SUM(AD609:AO609,Z609)/13*$BG$1)</f>
        <v>6042.0626199999988</v>
      </c>
      <c r="AQ609" s="7">
        <v>1587.51</v>
      </c>
      <c r="AR609" s="7">
        <f t="shared" si="3133"/>
        <v>1587.5100000000093</v>
      </c>
      <c r="AS609" s="7">
        <f t="shared" si="3134"/>
        <v>9.3223206931725144E-12</v>
      </c>
      <c r="AT609" s="7">
        <f t="shared" ref="AT609:AT619" si="3281">AQ609*12</f>
        <v>19050.12</v>
      </c>
      <c r="AU609" s="39">
        <f t="shared" si="3152"/>
        <v>263526.6399999999</v>
      </c>
      <c r="AV609" s="39">
        <f t="shared" ref="AV609:BF609" si="3282">AU609-$AQ609</f>
        <v>261939.12999999989</v>
      </c>
      <c r="AW609" s="39">
        <f t="shared" si="3282"/>
        <v>260351.61999999988</v>
      </c>
      <c r="AX609" s="39">
        <f t="shared" si="3282"/>
        <v>258764.10999999987</v>
      </c>
      <c r="AY609" s="39">
        <f t="shared" si="3282"/>
        <v>257176.59999999986</v>
      </c>
      <c r="AZ609" s="39">
        <f t="shared" si="3282"/>
        <v>255589.08999999985</v>
      </c>
      <c r="BA609" s="39">
        <f t="shared" si="3282"/>
        <v>254001.57999999984</v>
      </c>
      <c r="BB609" s="39">
        <f t="shared" si="3282"/>
        <v>252414.06999999983</v>
      </c>
      <c r="BC609" s="39">
        <f t="shared" si="3282"/>
        <v>250826.55999999982</v>
      </c>
      <c r="BD609" s="39">
        <f t="shared" si="3282"/>
        <v>249239.04999999981</v>
      </c>
      <c r="BE609" s="39">
        <f t="shared" si="3282"/>
        <v>247651.5399999998</v>
      </c>
      <c r="BF609" s="39">
        <f t="shared" si="3282"/>
        <v>246064.0299999998</v>
      </c>
      <c r="BG609" s="236">
        <f t="shared" si="3236"/>
        <v>5622.959979999996</v>
      </c>
      <c r="BH609" s="7">
        <v>1587.51</v>
      </c>
      <c r="BI609" s="7">
        <f t="shared" si="3200"/>
        <v>19050.12</v>
      </c>
      <c r="BJ609" s="7">
        <f t="shared" si="3154"/>
        <v>244476.51999999979</v>
      </c>
      <c r="BK609" s="39">
        <f t="shared" si="3155"/>
        <v>242889.00999999978</v>
      </c>
      <c r="BL609" s="39">
        <f t="shared" si="3156"/>
        <v>241301.49999999977</v>
      </c>
      <c r="BM609" s="39">
        <f t="shared" si="3157"/>
        <v>239713.98999999976</v>
      </c>
      <c r="BN609" s="39">
        <f t="shared" si="3158"/>
        <v>238126.47999999975</v>
      </c>
      <c r="BO609" s="39">
        <f t="shared" si="3164"/>
        <v>236538.96999999974</v>
      </c>
      <c r="BP609" s="39">
        <f t="shared" si="3165"/>
        <v>234951.45999999973</v>
      </c>
      <c r="BQ609" s="39">
        <f t="shared" si="3166"/>
        <v>233363.94999999972</v>
      </c>
      <c r="BR609" s="39">
        <f t="shared" si="3167"/>
        <v>231776.43999999971</v>
      </c>
      <c r="BS609" s="39">
        <f t="shared" si="3168"/>
        <v>230188.9299999997</v>
      </c>
      <c r="BT609" s="39">
        <f t="shared" si="3169"/>
        <v>228601.41999999969</v>
      </c>
      <c r="BU609" s="39">
        <f t="shared" si="3170"/>
        <v>227013.90999999968</v>
      </c>
      <c r="BV609" s="236">
        <f>IF(Z609&lt;1,0,SUM(BJ609:BU609,BF609)/13*$BG$1)</f>
        <v>5203.8573399999941</v>
      </c>
      <c r="BW609" s="7">
        <v>1587.51</v>
      </c>
      <c r="BX609" s="7">
        <f t="shared" si="3202"/>
        <v>19050.12</v>
      </c>
      <c r="BY609" s="7">
        <f t="shared" si="3203"/>
        <v>225426.39999999967</v>
      </c>
      <c r="BZ609" s="39">
        <f t="shared" si="3171"/>
        <v>223838.88999999966</v>
      </c>
      <c r="CA609" s="39">
        <f t="shared" si="3172"/>
        <v>222251.37999999966</v>
      </c>
      <c r="CB609" s="39">
        <f t="shared" si="3173"/>
        <v>220663.86999999965</v>
      </c>
      <c r="CC609" s="39">
        <f t="shared" si="3174"/>
        <v>219076.35999999964</v>
      </c>
      <c r="CD609" s="39">
        <f t="shared" si="3175"/>
        <v>217488.84999999963</v>
      </c>
      <c r="CE609" s="39">
        <f t="shared" si="3176"/>
        <v>215901.33999999962</v>
      </c>
      <c r="CF609" s="39">
        <f t="shared" si="3177"/>
        <v>214313.82999999961</v>
      </c>
      <c r="CG609" s="39">
        <f t="shared" si="3178"/>
        <v>212726.3199999996</v>
      </c>
      <c r="CH609" s="39">
        <f t="shared" si="3179"/>
        <v>211138.80999999959</v>
      </c>
      <c r="CI609" s="39">
        <f t="shared" si="3180"/>
        <v>209551.29999999958</v>
      </c>
      <c r="CJ609" s="39">
        <f t="shared" si="3204"/>
        <v>207963.78999999957</v>
      </c>
      <c r="CK609" s="236">
        <f>IF(AO609&lt;1,0,SUM(BY609:CJ609,BU609)/13*$BG$1)</f>
        <v>4784.7546999999913</v>
      </c>
      <c r="CL609" s="7">
        <v>1587.51</v>
      </c>
      <c r="CM609" s="7">
        <f t="shared" si="3240"/>
        <v>19050.12</v>
      </c>
      <c r="CN609" s="7">
        <f t="shared" si="3207"/>
        <v>206376.27999999956</v>
      </c>
      <c r="CO609" s="39">
        <f t="shared" si="3208"/>
        <v>204788.76999999955</v>
      </c>
      <c r="CP609" s="39">
        <f t="shared" si="3209"/>
        <v>203201.25999999954</v>
      </c>
      <c r="CQ609" s="39">
        <f t="shared" si="3210"/>
        <v>201613.74999999953</v>
      </c>
      <c r="CR609" s="39">
        <f t="shared" si="3211"/>
        <v>200026.23999999953</v>
      </c>
      <c r="CS609" s="39">
        <f t="shared" si="3212"/>
        <v>198438.72999999952</v>
      </c>
      <c r="CT609" s="39">
        <f t="shared" si="3213"/>
        <v>196851.21999999951</v>
      </c>
      <c r="CU609" s="39">
        <f t="shared" si="3214"/>
        <v>195263.7099999995</v>
      </c>
      <c r="CV609" s="39">
        <f t="shared" si="3215"/>
        <v>193676.19999999949</v>
      </c>
      <c r="CW609" s="39">
        <f t="shared" si="3216"/>
        <v>192088.68999999948</v>
      </c>
      <c r="CX609" s="39">
        <f t="shared" si="3217"/>
        <v>190501.17999999947</v>
      </c>
      <c r="CY609" s="39">
        <f t="shared" si="3218"/>
        <v>188913.66999999946</v>
      </c>
      <c r="CZ609" s="236">
        <f>IF(BF609&lt;1,0,SUM(CN609:CY609,CJ609)/13*$BG$1)</f>
        <v>4365.6520599999894</v>
      </c>
    </row>
    <row r="610" spans="1:104" ht="24" customHeight="1" x14ac:dyDescent="0.2">
      <c r="A610" s="187" t="s">
        <v>94</v>
      </c>
      <c r="B610" t="s">
        <v>1423</v>
      </c>
      <c r="C610" t="s">
        <v>41</v>
      </c>
      <c r="D610" t="s">
        <v>42</v>
      </c>
      <c r="E610" s="36">
        <v>44887</v>
      </c>
      <c r="F610" t="s">
        <v>44</v>
      </c>
      <c r="G610" s="186">
        <v>180</v>
      </c>
      <c r="H610" s="7">
        <v>4640759.96</v>
      </c>
      <c r="K610" s="8">
        <v>1</v>
      </c>
      <c r="L610" s="7">
        <v>25782</v>
      </c>
      <c r="M610" s="7"/>
      <c r="N610" s="7">
        <f t="shared" si="3263"/>
        <v>25782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f t="shared" si="3280"/>
        <v>4640759.96</v>
      </c>
      <c r="Z610" s="7">
        <f t="shared" si="3266"/>
        <v>4614977.96</v>
      </c>
      <c r="AA610" s="7">
        <f>SUM(O610:Z610,J610)/13*$AA$1</f>
        <v>15663.556479999999</v>
      </c>
      <c r="AC610" s="7"/>
      <c r="AD610" s="7">
        <f t="shared" si="3267"/>
        <v>4589195.96</v>
      </c>
      <c r="AE610" s="7">
        <f t="shared" si="3268"/>
        <v>4563413.96</v>
      </c>
      <c r="AF610" s="7">
        <f t="shared" si="3269"/>
        <v>4537631.96</v>
      </c>
      <c r="AG610" s="7">
        <f t="shared" si="3270"/>
        <v>4511849.96</v>
      </c>
      <c r="AH610" s="7">
        <f t="shared" si="3271"/>
        <v>4486067.96</v>
      </c>
      <c r="AI610" s="7">
        <f t="shared" si="3272"/>
        <v>4460285.96</v>
      </c>
      <c r="AJ610" s="7">
        <f t="shared" si="3273"/>
        <v>4434503.96</v>
      </c>
      <c r="AK610" s="7">
        <f t="shared" si="3274"/>
        <v>4408721.96</v>
      </c>
      <c r="AL610" s="7">
        <f t="shared" si="3275"/>
        <v>4382939.96</v>
      </c>
      <c r="AM610" s="7">
        <f t="shared" si="3276"/>
        <v>4357157.96</v>
      </c>
      <c r="AN610" s="7">
        <f t="shared" si="3277"/>
        <v>4331375.96</v>
      </c>
      <c r="AO610" s="7">
        <f t="shared" si="3278"/>
        <v>4305593.96</v>
      </c>
      <c r="AP610" s="222">
        <f>IF(K610&lt;1,0,SUM(AD610:AO610,Z610)/13*$BG$1)</f>
        <v>98126.291119999994</v>
      </c>
      <c r="AQ610" s="7">
        <v>25782</v>
      </c>
      <c r="AR610" s="7">
        <f t="shared" si="3133"/>
        <v>25782</v>
      </c>
      <c r="AS610" s="7">
        <f t="shared" si="3134"/>
        <v>0</v>
      </c>
      <c r="AT610" s="7">
        <f t="shared" si="3281"/>
        <v>309384</v>
      </c>
      <c r="AU610" s="39">
        <f t="shared" si="3152"/>
        <v>4279811.96</v>
      </c>
      <c r="AV610" s="39">
        <f t="shared" ref="AV610:BF610" si="3283">AU610-$AQ610</f>
        <v>4254029.96</v>
      </c>
      <c r="AW610" s="39">
        <f t="shared" si="3283"/>
        <v>4228247.96</v>
      </c>
      <c r="AX610" s="39">
        <f t="shared" si="3283"/>
        <v>4202465.96</v>
      </c>
      <c r="AY610" s="39">
        <f t="shared" si="3283"/>
        <v>4176683.96</v>
      </c>
      <c r="AZ610" s="39">
        <f t="shared" si="3283"/>
        <v>4150901.96</v>
      </c>
      <c r="BA610" s="39">
        <f t="shared" si="3283"/>
        <v>4125119.96</v>
      </c>
      <c r="BB610" s="39">
        <f t="shared" si="3283"/>
        <v>4099337.96</v>
      </c>
      <c r="BC610" s="39">
        <f t="shared" si="3283"/>
        <v>4073555.96</v>
      </c>
      <c r="BD610" s="39">
        <f t="shared" si="3283"/>
        <v>4047773.96</v>
      </c>
      <c r="BE610" s="39">
        <f t="shared" si="3283"/>
        <v>4021991.96</v>
      </c>
      <c r="BF610" s="39">
        <f t="shared" si="3283"/>
        <v>3996209.96</v>
      </c>
      <c r="BG610" s="236">
        <f t="shared" si="3236"/>
        <v>91319.843120000005</v>
      </c>
      <c r="BH610" s="7">
        <v>25782</v>
      </c>
      <c r="BI610" s="7">
        <f t="shared" si="3200"/>
        <v>309384</v>
      </c>
      <c r="BJ610" s="7">
        <f t="shared" si="3154"/>
        <v>3970427.96</v>
      </c>
      <c r="BK610" s="39">
        <f t="shared" si="3155"/>
        <v>3944645.96</v>
      </c>
      <c r="BL610" s="39">
        <f t="shared" si="3156"/>
        <v>3918863.96</v>
      </c>
      <c r="BM610" s="39">
        <f t="shared" si="3157"/>
        <v>3893081.96</v>
      </c>
      <c r="BN610" s="39">
        <f t="shared" si="3158"/>
        <v>3867299.96</v>
      </c>
      <c r="BO610" s="39">
        <f t="shared" si="3164"/>
        <v>3841517.96</v>
      </c>
      <c r="BP610" s="39">
        <f t="shared" si="3165"/>
        <v>3815735.96</v>
      </c>
      <c r="BQ610" s="39">
        <f t="shared" si="3166"/>
        <v>3789953.96</v>
      </c>
      <c r="BR610" s="39">
        <f t="shared" si="3167"/>
        <v>3764171.96</v>
      </c>
      <c r="BS610" s="39">
        <f t="shared" si="3168"/>
        <v>3738389.96</v>
      </c>
      <c r="BT610" s="39">
        <f t="shared" si="3169"/>
        <v>3712607.96</v>
      </c>
      <c r="BU610" s="39">
        <f t="shared" si="3170"/>
        <v>3686825.96</v>
      </c>
      <c r="BV610" s="236">
        <f>IF(Z610&lt;1,0,SUM(BJ610:BU610,BF610)/13*$BG$1)</f>
        <v>84513.395120000001</v>
      </c>
      <c r="BW610" s="7">
        <v>25782</v>
      </c>
      <c r="BX610" s="7">
        <f t="shared" si="3202"/>
        <v>309384</v>
      </c>
      <c r="BY610" s="7">
        <f t="shared" si="3203"/>
        <v>3661043.96</v>
      </c>
      <c r="BZ610" s="39">
        <f t="shared" si="3171"/>
        <v>3635261.96</v>
      </c>
      <c r="CA610" s="39">
        <f t="shared" si="3172"/>
        <v>3609479.96</v>
      </c>
      <c r="CB610" s="39">
        <f t="shared" si="3173"/>
        <v>3583697.96</v>
      </c>
      <c r="CC610" s="39">
        <f t="shared" si="3174"/>
        <v>3557915.96</v>
      </c>
      <c r="CD610" s="39">
        <f t="shared" si="3175"/>
        <v>3532133.96</v>
      </c>
      <c r="CE610" s="39">
        <f t="shared" si="3176"/>
        <v>3506351.96</v>
      </c>
      <c r="CF610" s="39">
        <f t="shared" si="3177"/>
        <v>3480569.96</v>
      </c>
      <c r="CG610" s="39">
        <f t="shared" si="3178"/>
        <v>3454787.96</v>
      </c>
      <c r="CH610" s="39">
        <f t="shared" si="3179"/>
        <v>3429005.96</v>
      </c>
      <c r="CI610" s="39">
        <f t="shared" si="3180"/>
        <v>3403223.96</v>
      </c>
      <c r="CJ610" s="39">
        <f t="shared" si="3204"/>
        <v>3377441.96</v>
      </c>
      <c r="CK610" s="236">
        <f>IF(AO610&lt;1,0,SUM(BY610:CJ610,BU610)/13*$BG$1)</f>
        <v>77706.947120000012</v>
      </c>
      <c r="CL610" s="7">
        <v>25782</v>
      </c>
      <c r="CM610" s="7">
        <f t="shared" si="3240"/>
        <v>309384</v>
      </c>
      <c r="CN610" s="7">
        <f t="shared" si="3207"/>
        <v>3351659.96</v>
      </c>
      <c r="CO610" s="39">
        <f t="shared" si="3208"/>
        <v>3325877.96</v>
      </c>
      <c r="CP610" s="39">
        <f t="shared" si="3209"/>
        <v>3300095.96</v>
      </c>
      <c r="CQ610" s="39">
        <f t="shared" si="3210"/>
        <v>3274313.96</v>
      </c>
      <c r="CR610" s="39">
        <f t="shared" si="3211"/>
        <v>3248531.96</v>
      </c>
      <c r="CS610" s="39">
        <f t="shared" si="3212"/>
        <v>3222749.96</v>
      </c>
      <c r="CT610" s="39">
        <f t="shared" si="3213"/>
        <v>3196967.96</v>
      </c>
      <c r="CU610" s="39">
        <f t="shared" si="3214"/>
        <v>3171185.96</v>
      </c>
      <c r="CV610" s="39">
        <f t="shared" si="3215"/>
        <v>3145403.96</v>
      </c>
      <c r="CW610" s="39">
        <f t="shared" si="3216"/>
        <v>3119621.96</v>
      </c>
      <c r="CX610" s="39">
        <f t="shared" si="3217"/>
        <v>3093839.96</v>
      </c>
      <c r="CY610" s="39">
        <f t="shared" si="3218"/>
        <v>3068057.96</v>
      </c>
      <c r="CZ610" s="236">
        <f>IF(BF610&lt;1,0,SUM(CN610:CY610,CJ610)/13*$BG$1)</f>
        <v>70900.499120000008</v>
      </c>
    </row>
    <row r="611" spans="1:104" ht="24" customHeight="1" x14ac:dyDescent="0.2">
      <c r="A611" s="187" t="s">
        <v>95</v>
      </c>
      <c r="B611" t="s">
        <v>1730</v>
      </c>
      <c r="C611" t="s">
        <v>41</v>
      </c>
      <c r="D611" t="s">
        <v>42</v>
      </c>
      <c r="E611" s="36">
        <v>44895</v>
      </c>
      <c r="F611" t="s">
        <v>44</v>
      </c>
      <c r="G611" s="186">
        <v>180</v>
      </c>
      <c r="H611" s="7">
        <v>493105.6</v>
      </c>
      <c r="K611" s="8">
        <v>1</v>
      </c>
      <c r="L611" s="7">
        <v>2739.48</v>
      </c>
      <c r="M611" s="7"/>
      <c r="N611" s="7">
        <f>L611</f>
        <v>2739.48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f t="shared" si="3280"/>
        <v>493105.6</v>
      </c>
      <c r="Z611" s="7">
        <f t="shared" si="3266"/>
        <v>490366.12</v>
      </c>
      <c r="AA611" s="7">
        <f>SUM(O611:Z611,J611)/13*$AA$1</f>
        <v>1664.3367569230768</v>
      </c>
      <c r="AC611" s="7"/>
      <c r="AD611" s="7">
        <f>Z611-$L611</f>
        <v>487626.64</v>
      </c>
      <c r="AE611" s="7">
        <f t="shared" si="3268"/>
        <v>484887.16000000003</v>
      </c>
      <c r="AF611" s="7">
        <f t="shared" si="3269"/>
        <v>482147.68000000005</v>
      </c>
      <c r="AG611" s="7">
        <f t="shared" si="3270"/>
        <v>479408.20000000007</v>
      </c>
      <c r="AH611" s="7">
        <f t="shared" si="3271"/>
        <v>476668.72000000009</v>
      </c>
      <c r="AI611" s="7">
        <f t="shared" si="3272"/>
        <v>473929.24000000011</v>
      </c>
      <c r="AJ611" s="7">
        <f t="shared" si="3273"/>
        <v>471189.76000000013</v>
      </c>
      <c r="AK611" s="7">
        <f t="shared" si="3274"/>
        <v>468450.28000000014</v>
      </c>
      <c r="AL611" s="7">
        <f t="shared" si="3275"/>
        <v>465710.80000000016</v>
      </c>
      <c r="AM611" s="7">
        <f t="shared" si="3276"/>
        <v>462971.32000000018</v>
      </c>
      <c r="AN611" s="7">
        <f t="shared" si="3277"/>
        <v>460231.8400000002</v>
      </c>
      <c r="AO611" s="7">
        <f t="shared" si="3278"/>
        <v>457492.36000000022</v>
      </c>
      <c r="AP611" s="222">
        <f>IF(K611&lt;1,0,SUM(AD611:AO611,Z611)/13*$BG$1)</f>
        <v>10426.443280000003</v>
      </c>
      <c r="AQ611" s="7">
        <v>2739.48</v>
      </c>
      <c r="AR611" s="7">
        <f t="shared" si="3133"/>
        <v>2739.4799999999814</v>
      </c>
      <c r="AS611" s="7">
        <f t="shared" si="3134"/>
        <v>-1.8644641386345029E-11</v>
      </c>
      <c r="AT611" s="7">
        <f t="shared" si="3281"/>
        <v>32873.760000000002</v>
      </c>
      <c r="AU611" s="39">
        <f t="shared" si="3152"/>
        <v>454752.88000000024</v>
      </c>
      <c r="AV611" s="39">
        <f t="shared" ref="AV611:BF611" si="3284">AU611-$AQ611</f>
        <v>452013.40000000026</v>
      </c>
      <c r="AW611" s="39">
        <f t="shared" si="3284"/>
        <v>449273.92000000027</v>
      </c>
      <c r="AX611" s="39">
        <f t="shared" si="3284"/>
        <v>446534.44000000029</v>
      </c>
      <c r="AY611" s="39">
        <f t="shared" si="3284"/>
        <v>443794.96000000031</v>
      </c>
      <c r="AZ611" s="39">
        <f t="shared" si="3284"/>
        <v>441055.48000000033</v>
      </c>
      <c r="BA611" s="39">
        <f t="shared" si="3284"/>
        <v>438316.00000000035</v>
      </c>
      <c r="BB611" s="39">
        <f t="shared" si="3284"/>
        <v>435576.52000000037</v>
      </c>
      <c r="BC611" s="39">
        <f t="shared" si="3284"/>
        <v>432837.04000000039</v>
      </c>
      <c r="BD611" s="39">
        <f t="shared" si="3284"/>
        <v>430097.56000000041</v>
      </c>
      <c r="BE611" s="39">
        <f t="shared" si="3284"/>
        <v>427358.08000000042</v>
      </c>
      <c r="BF611" s="39">
        <f t="shared" si="3284"/>
        <v>424618.60000000044</v>
      </c>
      <c r="BG611" s="236">
        <f t="shared" si="3236"/>
        <v>9703.2205600000088</v>
      </c>
      <c r="BH611" s="7">
        <v>2739.48</v>
      </c>
      <c r="BI611" s="7">
        <f t="shared" si="3200"/>
        <v>32873.760000000002</v>
      </c>
      <c r="BJ611" s="7">
        <f t="shared" si="3154"/>
        <v>421879.12000000046</v>
      </c>
      <c r="BK611" s="39">
        <f t="shared" si="3155"/>
        <v>419139.64000000048</v>
      </c>
      <c r="BL611" s="39">
        <f t="shared" si="3156"/>
        <v>416400.1600000005</v>
      </c>
      <c r="BM611" s="39">
        <f t="shared" si="3157"/>
        <v>413660.68000000052</v>
      </c>
      <c r="BN611" s="39">
        <f t="shared" si="3158"/>
        <v>410921.20000000054</v>
      </c>
      <c r="BO611" s="39">
        <f t="shared" si="3164"/>
        <v>408181.72000000055</v>
      </c>
      <c r="BP611" s="39">
        <f t="shared" si="3165"/>
        <v>405442.24000000057</v>
      </c>
      <c r="BQ611" s="39">
        <f t="shared" si="3166"/>
        <v>402702.76000000059</v>
      </c>
      <c r="BR611" s="39">
        <f t="shared" si="3167"/>
        <v>399963.28000000061</v>
      </c>
      <c r="BS611" s="39">
        <f t="shared" si="3168"/>
        <v>397223.80000000063</v>
      </c>
      <c r="BT611" s="39">
        <f t="shared" si="3169"/>
        <v>394484.32000000065</v>
      </c>
      <c r="BU611" s="39">
        <f t="shared" si="3170"/>
        <v>391744.84000000067</v>
      </c>
      <c r="BV611" s="236">
        <f>IF(Z611&lt;1,0,SUM(BJ611:BU611,BF611)/13*$BG$1)</f>
        <v>8979.9978400000127</v>
      </c>
      <c r="BW611" s="7">
        <v>2739.48</v>
      </c>
      <c r="BX611" s="7">
        <f t="shared" si="3202"/>
        <v>32873.760000000002</v>
      </c>
      <c r="BY611" s="7">
        <f t="shared" si="3203"/>
        <v>389005.36000000068</v>
      </c>
      <c r="BZ611" s="39">
        <f t="shared" si="3171"/>
        <v>386265.8800000007</v>
      </c>
      <c r="CA611" s="39">
        <f t="shared" si="3172"/>
        <v>383526.40000000072</v>
      </c>
      <c r="CB611" s="39">
        <f t="shared" si="3173"/>
        <v>380786.92000000074</v>
      </c>
      <c r="CC611" s="39">
        <f t="shared" si="3174"/>
        <v>378047.44000000076</v>
      </c>
      <c r="CD611" s="39">
        <f t="shared" si="3175"/>
        <v>375307.96000000078</v>
      </c>
      <c r="CE611" s="39">
        <f t="shared" si="3176"/>
        <v>372568.4800000008</v>
      </c>
      <c r="CF611" s="39">
        <f t="shared" si="3177"/>
        <v>369829.00000000081</v>
      </c>
      <c r="CG611" s="39">
        <f t="shared" si="3178"/>
        <v>367089.52000000083</v>
      </c>
      <c r="CH611" s="39">
        <f t="shared" si="3179"/>
        <v>364350.04000000085</v>
      </c>
      <c r="CI611" s="39">
        <f t="shared" si="3180"/>
        <v>361610.56000000087</v>
      </c>
      <c r="CJ611" s="39">
        <f t="shared" si="3204"/>
        <v>358871.08000000089</v>
      </c>
      <c r="CK611" s="236">
        <f>IF(AO611&lt;1,0,SUM(BY611:CJ611,BU611)/13*$BG$1)</f>
        <v>8256.7751200000184</v>
      </c>
      <c r="CL611" s="7">
        <v>2739.48</v>
      </c>
      <c r="CM611" s="7">
        <f t="shared" si="3240"/>
        <v>32873.760000000002</v>
      </c>
      <c r="CN611" s="7">
        <f t="shared" si="3207"/>
        <v>356131.60000000091</v>
      </c>
      <c r="CO611" s="39">
        <f t="shared" si="3208"/>
        <v>353392.12000000093</v>
      </c>
      <c r="CP611" s="39">
        <f t="shared" si="3209"/>
        <v>350652.64000000095</v>
      </c>
      <c r="CQ611" s="39">
        <f t="shared" si="3210"/>
        <v>347913.16000000096</v>
      </c>
      <c r="CR611" s="39">
        <f t="shared" si="3211"/>
        <v>345173.68000000098</v>
      </c>
      <c r="CS611" s="39">
        <f t="shared" si="3212"/>
        <v>342434.200000001</v>
      </c>
      <c r="CT611" s="39">
        <f t="shared" si="3213"/>
        <v>339694.72000000102</v>
      </c>
      <c r="CU611" s="39">
        <f t="shared" si="3214"/>
        <v>336955.24000000104</v>
      </c>
      <c r="CV611" s="39">
        <f t="shared" si="3215"/>
        <v>334215.76000000106</v>
      </c>
      <c r="CW611" s="39">
        <f t="shared" si="3216"/>
        <v>331476.28000000108</v>
      </c>
      <c r="CX611" s="39">
        <f t="shared" si="3217"/>
        <v>328736.80000000109</v>
      </c>
      <c r="CY611" s="39">
        <f t="shared" si="3218"/>
        <v>325997.32000000111</v>
      </c>
      <c r="CZ611" s="236">
        <f>IF(BF611&lt;1,0,SUM(CN611:CY611,CJ611)/13*$BG$1)</f>
        <v>7533.5524000000232</v>
      </c>
    </row>
    <row r="612" spans="1:104" ht="24" customHeight="1" x14ac:dyDescent="0.2">
      <c r="A612" s="187" t="s">
        <v>96</v>
      </c>
      <c r="B612" t="s">
        <v>1522</v>
      </c>
      <c r="C612" t="s">
        <v>41</v>
      </c>
      <c r="D612" t="s">
        <v>42</v>
      </c>
      <c r="E612" s="36">
        <v>44901</v>
      </c>
      <c r="F612" t="s">
        <v>44</v>
      </c>
      <c r="G612" s="186">
        <v>180</v>
      </c>
      <c r="H612" s="7">
        <v>508870.5</v>
      </c>
      <c r="K612" s="8">
        <v>1</v>
      </c>
      <c r="L612" s="7">
        <v>2827.0583333333334</v>
      </c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>
        <f>H612</f>
        <v>508870.5</v>
      </c>
      <c r="AA612" s="7">
        <f>SUM(O612:Z612,J612)/13*$AA$1</f>
        <v>861.1654615384615</v>
      </c>
      <c r="AC612" s="7">
        <f>L612*12</f>
        <v>33924.699999999997</v>
      </c>
      <c r="AD612" s="7">
        <f>Z612-$L612</f>
        <v>506043.44166666665</v>
      </c>
      <c r="AE612" s="7">
        <f>AD612-$L612</f>
        <v>503216.3833333333</v>
      </c>
      <c r="AF612" s="7">
        <f t="shared" si="3269"/>
        <v>500389.32499999995</v>
      </c>
      <c r="AG612" s="7">
        <f t="shared" si="3270"/>
        <v>497562.2666666666</v>
      </c>
      <c r="AH612" s="7">
        <f t="shared" si="3271"/>
        <v>494735.20833333326</v>
      </c>
      <c r="AI612" s="7">
        <f t="shared" si="3272"/>
        <v>491908.14999999991</v>
      </c>
      <c r="AJ612" s="7">
        <f t="shared" si="3273"/>
        <v>489081.09166666656</v>
      </c>
      <c r="AK612" s="7">
        <f t="shared" si="3274"/>
        <v>486254.03333333321</v>
      </c>
      <c r="AL612" s="7">
        <f t="shared" si="3275"/>
        <v>483426.97499999986</v>
      </c>
      <c r="AM612" s="7">
        <f t="shared" si="3276"/>
        <v>480599.91666666651</v>
      </c>
      <c r="AN612" s="7">
        <f t="shared" si="3277"/>
        <v>477772.85833333316</v>
      </c>
      <c r="AO612" s="7">
        <f t="shared" si="3278"/>
        <v>474945.79999999981</v>
      </c>
      <c r="AP612" s="222">
        <f>IF(K612&lt;1,0,SUM(AD612:AO612,Z612)/13*$BG$1)</f>
        <v>10821.979299999999</v>
      </c>
      <c r="AQ612" s="7">
        <v>2827.0583333333334</v>
      </c>
      <c r="AR612" s="7">
        <f t="shared" si="3133"/>
        <v>2827.0583333333489</v>
      </c>
      <c r="AS612" s="7">
        <f t="shared" si="3134"/>
        <v>1.546140993013978E-11</v>
      </c>
      <c r="AT612" s="7">
        <f t="shared" si="3281"/>
        <v>33924.699999999997</v>
      </c>
      <c r="AU612" s="39">
        <f t="shared" si="3152"/>
        <v>472118.74166666646</v>
      </c>
      <c r="AV612" s="39">
        <f t="shared" ref="AV612:BF612" si="3285">AU612-$AQ612</f>
        <v>469291.68333333312</v>
      </c>
      <c r="AW612" s="39">
        <f t="shared" si="3285"/>
        <v>466464.62499999977</v>
      </c>
      <c r="AX612" s="39">
        <f t="shared" si="3285"/>
        <v>463637.56666666642</v>
      </c>
      <c r="AY612" s="39">
        <f t="shared" si="3285"/>
        <v>460810.50833333307</v>
      </c>
      <c r="AZ612" s="39">
        <f t="shared" si="3285"/>
        <v>457983.44999999972</v>
      </c>
      <c r="BA612" s="39">
        <f t="shared" si="3285"/>
        <v>455156.39166666637</v>
      </c>
      <c r="BB612" s="39">
        <f t="shared" si="3285"/>
        <v>452329.33333333302</v>
      </c>
      <c r="BC612" s="39">
        <f t="shared" si="3285"/>
        <v>449502.27499999967</v>
      </c>
      <c r="BD612" s="39">
        <f t="shared" si="3285"/>
        <v>446675.21666666633</v>
      </c>
      <c r="BE612" s="39">
        <f t="shared" si="3285"/>
        <v>443848.15833333298</v>
      </c>
      <c r="BF612" s="39">
        <f t="shared" si="3285"/>
        <v>441021.09999999963</v>
      </c>
      <c r="BG612" s="236">
        <f t="shared" si="3236"/>
        <v>10075.635899999994</v>
      </c>
      <c r="BH612" s="7">
        <v>2827.0583333333334</v>
      </c>
      <c r="BI612" s="7">
        <f t="shared" si="3200"/>
        <v>33924.699999999997</v>
      </c>
      <c r="BJ612" s="7">
        <f t="shared" si="3154"/>
        <v>438194.04166666628</v>
      </c>
      <c r="BK612" s="39">
        <f t="shared" si="3155"/>
        <v>435366.98333333293</v>
      </c>
      <c r="BL612" s="39">
        <f t="shared" si="3156"/>
        <v>432539.92499999958</v>
      </c>
      <c r="BM612" s="39">
        <f t="shared" si="3157"/>
        <v>429712.86666666623</v>
      </c>
      <c r="BN612" s="39">
        <f t="shared" si="3158"/>
        <v>426885.80833333288</v>
      </c>
      <c r="BO612" s="39">
        <f t="shared" si="3164"/>
        <v>424058.74999999953</v>
      </c>
      <c r="BP612" s="39">
        <f t="shared" si="3165"/>
        <v>421231.69166666619</v>
      </c>
      <c r="BQ612" s="39">
        <f t="shared" si="3166"/>
        <v>418404.63333333284</v>
      </c>
      <c r="BR612" s="39">
        <f t="shared" si="3167"/>
        <v>415577.57499999949</v>
      </c>
      <c r="BS612" s="39">
        <f t="shared" si="3168"/>
        <v>412750.51666666614</v>
      </c>
      <c r="BT612" s="39">
        <f t="shared" si="3169"/>
        <v>409923.45833333279</v>
      </c>
      <c r="BU612" s="39">
        <f t="shared" si="3170"/>
        <v>407096.39999999944</v>
      </c>
      <c r="BV612" s="236">
        <f>IF(Z612&lt;1,0,SUM(BJ612:BU612,BF612)/13*$BG$1)</f>
        <v>9329.2924999999905</v>
      </c>
      <c r="BW612" s="7">
        <v>2827.0583333333334</v>
      </c>
      <c r="BX612" s="7">
        <f t="shared" si="3202"/>
        <v>33924.699999999997</v>
      </c>
      <c r="BY612" s="7">
        <f t="shared" si="3203"/>
        <v>404269.34166666609</v>
      </c>
      <c r="BZ612" s="39">
        <f t="shared" si="3171"/>
        <v>401442.28333333274</v>
      </c>
      <c r="CA612" s="39">
        <f t="shared" si="3172"/>
        <v>398615.22499999939</v>
      </c>
      <c r="CB612" s="39">
        <f t="shared" si="3173"/>
        <v>395788.16666666605</v>
      </c>
      <c r="CC612" s="39">
        <f t="shared" si="3174"/>
        <v>392961.1083333327</v>
      </c>
      <c r="CD612" s="39">
        <f t="shared" si="3175"/>
        <v>390134.04999999935</v>
      </c>
      <c r="CE612" s="39">
        <f t="shared" si="3176"/>
        <v>387306.991666666</v>
      </c>
      <c r="CF612" s="39">
        <f t="shared" si="3177"/>
        <v>384479.93333333265</v>
      </c>
      <c r="CG612" s="39">
        <f t="shared" si="3178"/>
        <v>381652.8749999993</v>
      </c>
      <c r="CH612" s="39">
        <f t="shared" si="3179"/>
        <v>378825.81666666595</v>
      </c>
      <c r="CI612" s="39">
        <f t="shared" si="3180"/>
        <v>375998.7583333326</v>
      </c>
      <c r="CJ612" s="39">
        <f t="shared" si="3204"/>
        <v>373171.69999999925</v>
      </c>
      <c r="CK612" s="236">
        <f>IF(AO612&lt;1,0,SUM(BY612:CJ612,BU612)/13*$BG$1)</f>
        <v>8582.9490999999834</v>
      </c>
      <c r="CL612" s="7">
        <v>2827.0583333333334</v>
      </c>
      <c r="CM612" s="7">
        <f t="shared" si="3240"/>
        <v>33924.699999999997</v>
      </c>
      <c r="CN612" s="7">
        <f t="shared" si="3207"/>
        <v>370344.64166666591</v>
      </c>
      <c r="CO612" s="39">
        <f t="shared" si="3208"/>
        <v>367517.58333333256</v>
      </c>
      <c r="CP612" s="39">
        <f t="shared" si="3209"/>
        <v>364690.52499999921</v>
      </c>
      <c r="CQ612" s="39">
        <f t="shared" si="3210"/>
        <v>361863.46666666586</v>
      </c>
      <c r="CR612" s="39">
        <f t="shared" si="3211"/>
        <v>359036.40833333251</v>
      </c>
      <c r="CS612" s="39">
        <f t="shared" si="3212"/>
        <v>356209.34999999916</v>
      </c>
      <c r="CT612" s="39">
        <f t="shared" si="3213"/>
        <v>353382.29166666581</v>
      </c>
      <c r="CU612" s="39">
        <f t="shared" si="3214"/>
        <v>350555.23333333246</v>
      </c>
      <c r="CV612" s="39">
        <f t="shared" si="3215"/>
        <v>347728.17499999912</v>
      </c>
      <c r="CW612" s="39">
        <f t="shared" si="3216"/>
        <v>344901.11666666577</v>
      </c>
      <c r="CX612" s="39">
        <f t="shared" si="3217"/>
        <v>342074.05833333242</v>
      </c>
      <c r="CY612" s="39">
        <f t="shared" si="3218"/>
        <v>339246.99999999907</v>
      </c>
      <c r="CZ612" s="236">
        <f>IF(BF612&lt;1,0,SUM(CN612:CY612,CJ612)/13*$BG$1)</f>
        <v>7836.6056999999801</v>
      </c>
    </row>
    <row r="613" spans="1:104" s="26" customFormat="1" ht="24" customHeight="1" x14ac:dyDescent="0.2">
      <c r="A613" s="187" t="s">
        <v>97</v>
      </c>
      <c r="B613" s="26">
        <v>1922</v>
      </c>
      <c r="C613" s="26" t="s">
        <v>67</v>
      </c>
      <c r="D613" s="26" t="s">
        <v>23</v>
      </c>
      <c r="E613" s="38">
        <v>44917</v>
      </c>
      <c r="F613" s="26" t="s">
        <v>69</v>
      </c>
      <c r="G613">
        <v>84</v>
      </c>
      <c r="H613" s="39">
        <v>179000</v>
      </c>
      <c r="K613" s="40">
        <v>0</v>
      </c>
      <c r="L613" s="7">
        <v>2130.9523809523807</v>
      </c>
      <c r="M613" s="7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>
        <f>H613</f>
        <v>179000</v>
      </c>
      <c r="AC613" s="7">
        <f t="shared" ref="AC613:AC619" si="3286">L613*12</f>
        <v>25571.428571428569</v>
      </c>
      <c r="AD613" s="39">
        <f>Z613-$L613</f>
        <v>176869.04761904763</v>
      </c>
      <c r="AE613" s="39">
        <f>AD613-$L613</f>
        <v>174738.09523809527</v>
      </c>
      <c r="AF613" s="39">
        <f t="shared" si="3269"/>
        <v>172607.1428571429</v>
      </c>
      <c r="AG613" s="39">
        <f t="shared" si="3270"/>
        <v>170476.19047619053</v>
      </c>
      <c r="AH613" s="39">
        <f t="shared" si="3271"/>
        <v>168345.23809523816</v>
      </c>
      <c r="AI613" s="39">
        <f t="shared" si="3272"/>
        <v>166214.2857142858</v>
      </c>
      <c r="AJ613" s="39">
        <f t="shared" si="3273"/>
        <v>164083.33333333343</v>
      </c>
      <c r="AK613" s="39">
        <f t="shared" si="3274"/>
        <v>161952.38095238106</v>
      </c>
      <c r="AL613" s="39">
        <f t="shared" si="3275"/>
        <v>159821.4285714287</v>
      </c>
      <c r="AM613" s="39">
        <f t="shared" si="3276"/>
        <v>157690.47619047633</v>
      </c>
      <c r="AN613" s="39">
        <f t="shared" si="3277"/>
        <v>155559.52380952396</v>
      </c>
      <c r="AO613" s="39">
        <f t="shared" si="3278"/>
        <v>153428.57142857159</v>
      </c>
      <c r="AP613" s="222"/>
      <c r="AQ613" s="7">
        <v>2130.9523809523807</v>
      </c>
      <c r="AR613" s="7">
        <f t="shared" si="3133"/>
        <v>2130.9523809523671</v>
      </c>
      <c r="AS613" s="7">
        <f t="shared" si="3134"/>
        <v>-1.3642420526593924E-11</v>
      </c>
      <c r="AT613" s="7">
        <f t="shared" si="3281"/>
        <v>25571.428571428569</v>
      </c>
      <c r="AU613" s="39">
        <f t="shared" si="3152"/>
        <v>151297.61904761923</v>
      </c>
      <c r="AV613" s="39">
        <f t="shared" ref="AV613:BF613" si="3287">AU613-$AQ613</f>
        <v>149166.66666666686</v>
      </c>
      <c r="AW613" s="39">
        <f t="shared" si="3287"/>
        <v>147035.71428571449</v>
      </c>
      <c r="AX613" s="39">
        <f t="shared" si="3287"/>
        <v>144904.76190476213</v>
      </c>
      <c r="AY613" s="39">
        <f t="shared" si="3287"/>
        <v>142773.80952380976</v>
      </c>
      <c r="AZ613" s="39">
        <f t="shared" si="3287"/>
        <v>140642.85714285739</v>
      </c>
      <c r="BA613" s="39">
        <f t="shared" si="3287"/>
        <v>138511.90476190503</v>
      </c>
      <c r="BB613" s="39">
        <f t="shared" si="3287"/>
        <v>136380.95238095266</v>
      </c>
      <c r="BC613" s="39">
        <f t="shared" si="3287"/>
        <v>134250.00000000029</v>
      </c>
      <c r="BD613" s="39">
        <f t="shared" si="3287"/>
        <v>132119.04761904792</v>
      </c>
      <c r="BE613" s="39">
        <f t="shared" si="3287"/>
        <v>129988.09523809554</v>
      </c>
      <c r="BF613" s="39">
        <f t="shared" si="3287"/>
        <v>127857.14285714316</v>
      </c>
      <c r="BG613" s="236">
        <f t="shared" si="3236"/>
        <v>0</v>
      </c>
      <c r="BH613" s="7">
        <v>2130.9523809523807</v>
      </c>
      <c r="BI613" s="7">
        <f t="shared" si="3200"/>
        <v>25571.428571428569</v>
      </c>
      <c r="BJ613" s="7">
        <f t="shared" si="3154"/>
        <v>125726.19047619078</v>
      </c>
      <c r="BK613" s="39">
        <f t="shared" si="3155"/>
        <v>123595.2380952384</v>
      </c>
      <c r="BL613" s="39">
        <f t="shared" si="3156"/>
        <v>121464.28571428602</v>
      </c>
      <c r="BM613" s="39">
        <f t="shared" si="3157"/>
        <v>119333.33333333363</v>
      </c>
      <c r="BN613" s="39">
        <f t="shared" si="3158"/>
        <v>117202.38095238125</v>
      </c>
      <c r="BO613" s="39">
        <f t="shared" si="3164"/>
        <v>115071.42857142887</v>
      </c>
      <c r="BP613" s="39">
        <f t="shared" si="3165"/>
        <v>112940.47619047649</v>
      </c>
      <c r="BQ613" s="39">
        <f t="shared" si="3166"/>
        <v>110809.52380952411</v>
      </c>
      <c r="BR613" s="39">
        <f t="shared" si="3167"/>
        <v>108678.57142857173</v>
      </c>
      <c r="BS613" s="39">
        <f t="shared" si="3168"/>
        <v>106547.61904761934</v>
      </c>
      <c r="BT613" s="39">
        <f t="shared" si="3169"/>
        <v>104416.66666666696</v>
      </c>
      <c r="BU613" s="39">
        <f t="shared" si="3170"/>
        <v>102285.71428571458</v>
      </c>
      <c r="BV613" s="236">
        <v>0</v>
      </c>
      <c r="BW613" s="7">
        <v>2130.9523809523807</v>
      </c>
      <c r="BX613" s="7">
        <f t="shared" si="3202"/>
        <v>25571.428571428569</v>
      </c>
      <c r="BY613" s="7">
        <f t="shared" si="3203"/>
        <v>100154.7619047622</v>
      </c>
      <c r="BZ613" s="39">
        <f t="shared" si="3171"/>
        <v>98023.809523809818</v>
      </c>
      <c r="CA613" s="39">
        <f t="shared" si="3172"/>
        <v>95892.857142857436</v>
      </c>
      <c r="CB613" s="39">
        <f t="shared" si="3173"/>
        <v>93761.904761905054</v>
      </c>
      <c r="CC613" s="39">
        <f t="shared" si="3174"/>
        <v>91630.952380952673</v>
      </c>
      <c r="CD613" s="39">
        <f t="shared" si="3175"/>
        <v>89500.000000000291</v>
      </c>
      <c r="CE613" s="39">
        <f t="shared" si="3176"/>
        <v>87369.047619047909</v>
      </c>
      <c r="CF613" s="39">
        <f t="shared" si="3177"/>
        <v>85238.095238095528</v>
      </c>
      <c r="CG613" s="39">
        <f t="shared" si="3178"/>
        <v>83107.142857143146</v>
      </c>
      <c r="CH613" s="39">
        <f t="shared" si="3179"/>
        <v>80976.190476190764</v>
      </c>
      <c r="CI613" s="39">
        <f t="shared" si="3180"/>
        <v>78845.238095238383</v>
      </c>
      <c r="CJ613" s="39">
        <f t="shared" si="3204"/>
        <v>76714.285714286001</v>
      </c>
      <c r="CK613" s="236">
        <v>0</v>
      </c>
      <c r="CL613" s="7">
        <v>2130.9523809523807</v>
      </c>
      <c r="CM613" s="7">
        <f t="shared" si="3240"/>
        <v>25571.428571428569</v>
      </c>
      <c r="CN613" s="7">
        <f t="shared" si="3207"/>
        <v>74583.33333333362</v>
      </c>
      <c r="CO613" s="39">
        <f t="shared" si="3208"/>
        <v>72452.380952381238</v>
      </c>
      <c r="CP613" s="39">
        <f t="shared" si="3209"/>
        <v>70321.428571428856</v>
      </c>
      <c r="CQ613" s="39">
        <f t="shared" si="3210"/>
        <v>68190.476190476475</v>
      </c>
      <c r="CR613" s="39">
        <f t="shared" si="3211"/>
        <v>66059.523809524093</v>
      </c>
      <c r="CS613" s="39">
        <f t="shared" si="3212"/>
        <v>63928.571428571711</v>
      </c>
      <c r="CT613" s="39">
        <f t="shared" si="3213"/>
        <v>61797.61904761933</v>
      </c>
      <c r="CU613" s="39">
        <f t="shared" si="3214"/>
        <v>59666.666666666948</v>
      </c>
      <c r="CV613" s="39">
        <f t="shared" si="3215"/>
        <v>57535.714285714566</v>
      </c>
      <c r="CW613" s="39">
        <f t="shared" si="3216"/>
        <v>55404.761904762185</v>
      </c>
      <c r="CX613" s="39">
        <f t="shared" si="3217"/>
        <v>53273.809523809803</v>
      </c>
      <c r="CY613" s="39">
        <f t="shared" si="3218"/>
        <v>51142.857142857421</v>
      </c>
      <c r="CZ613" s="236">
        <v>0</v>
      </c>
    </row>
    <row r="614" spans="1:104" ht="24" customHeight="1" x14ac:dyDescent="0.2">
      <c r="A614" s="187" t="s">
        <v>98</v>
      </c>
      <c r="B614" t="s">
        <v>1728</v>
      </c>
      <c r="C614" t="s">
        <v>41</v>
      </c>
      <c r="D614" t="s">
        <v>42</v>
      </c>
      <c r="E614" s="36">
        <v>44924</v>
      </c>
      <c r="F614" t="s">
        <v>44</v>
      </c>
      <c r="G614" s="186">
        <v>180</v>
      </c>
      <c r="H614" s="7">
        <v>1075330.03</v>
      </c>
      <c r="K614" s="8">
        <v>1</v>
      </c>
      <c r="L614" s="7">
        <v>5974.0557222222224</v>
      </c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39">
        <f t="shared" ref="Z614:Z618" si="3288">H614</f>
        <v>1075330.03</v>
      </c>
      <c r="AA614" s="7">
        <f>SUM(O614:Z614,J614)/13*$AA$1</f>
        <v>1819.7892815384616</v>
      </c>
      <c r="AC614" s="7">
        <f t="shared" si="3286"/>
        <v>71688.668666666665</v>
      </c>
      <c r="AD614" s="39">
        <f t="shared" ref="AD614:AD619" si="3289">Z614-$L614</f>
        <v>1069355.9742777778</v>
      </c>
      <c r="AE614" s="39">
        <f t="shared" ref="AE614:AE619" si="3290">AD614-$L614</f>
        <v>1063381.9185555556</v>
      </c>
      <c r="AF614" s="39">
        <f t="shared" ref="AF614:AF619" si="3291">AE614-$L614</f>
        <v>1057407.8628333334</v>
      </c>
      <c r="AG614" s="39">
        <f t="shared" ref="AG614:AG619" si="3292">AF614-$L614</f>
        <v>1051433.8071111112</v>
      </c>
      <c r="AH614" s="39">
        <f t="shared" ref="AH614:AH619" si="3293">AG614-$L614</f>
        <v>1045459.751388889</v>
      </c>
      <c r="AI614" s="39">
        <f t="shared" ref="AI614:AI619" si="3294">AH614-$L614</f>
        <v>1039485.6956666668</v>
      </c>
      <c r="AJ614" s="39">
        <f t="shared" ref="AJ614:AJ619" si="3295">AI614-$L614</f>
        <v>1033511.6399444446</v>
      </c>
      <c r="AK614" s="39">
        <f t="shared" ref="AK614:AK619" si="3296">AJ614-$L614</f>
        <v>1027537.5842222224</v>
      </c>
      <c r="AL614" s="39">
        <f t="shared" ref="AL614:AL619" si="3297">AK614-$L614</f>
        <v>1021563.5285000002</v>
      </c>
      <c r="AM614" s="39">
        <f t="shared" ref="AM614:AM619" si="3298">AL614-$L614</f>
        <v>1015589.472777778</v>
      </c>
      <c r="AN614" s="39">
        <f t="shared" ref="AN614:AN619" si="3299">AM614-$L614</f>
        <v>1009615.4170555559</v>
      </c>
      <c r="AO614" s="39">
        <f t="shared" ref="AO614:AO619" si="3300">AN614-$L614</f>
        <v>1003641.3613333337</v>
      </c>
      <c r="AP614" s="222">
        <f>IF(K614&lt;1,0,SUM(AD614:AO614,Z614)/13*$BG$1)</f>
        <v>22868.685304666669</v>
      </c>
      <c r="AQ614" s="7">
        <v>5974.0557222222224</v>
      </c>
      <c r="AR614" s="7">
        <f t="shared" si="3133"/>
        <v>5974.0557222221978</v>
      </c>
      <c r="AS614" s="7">
        <f t="shared" si="3134"/>
        <v>-2.4556356947869062E-11</v>
      </c>
      <c r="AT614" s="7">
        <f t="shared" si="3281"/>
        <v>71688.668666666665</v>
      </c>
      <c r="AU614" s="39">
        <f t="shared" si="3152"/>
        <v>997667.30561111146</v>
      </c>
      <c r="AV614" s="39">
        <f t="shared" ref="AV614:BF614" si="3301">AU614-$AQ614</f>
        <v>991693.24988888926</v>
      </c>
      <c r="AW614" s="39">
        <f t="shared" si="3301"/>
        <v>985719.19416666706</v>
      </c>
      <c r="AX614" s="39">
        <f t="shared" si="3301"/>
        <v>979745.13844444486</v>
      </c>
      <c r="AY614" s="39">
        <f t="shared" si="3301"/>
        <v>973771.08272222267</v>
      </c>
      <c r="AZ614" s="39">
        <f t="shared" si="3301"/>
        <v>967797.02700000047</v>
      </c>
      <c r="BA614" s="39">
        <f t="shared" si="3301"/>
        <v>961822.97127777827</v>
      </c>
      <c r="BB614" s="39">
        <f t="shared" si="3301"/>
        <v>955848.91555555607</v>
      </c>
      <c r="BC614" s="39">
        <f t="shared" si="3301"/>
        <v>949874.85983333387</v>
      </c>
      <c r="BD614" s="39">
        <f t="shared" si="3301"/>
        <v>943900.80411111168</v>
      </c>
      <c r="BE614" s="39">
        <f t="shared" si="3301"/>
        <v>937926.74838888948</v>
      </c>
      <c r="BF614" s="39">
        <f t="shared" si="3301"/>
        <v>931952.69266666728</v>
      </c>
      <c r="BG614" s="236">
        <f t="shared" si="3236"/>
        <v>21291.534594000008</v>
      </c>
      <c r="BH614" s="7">
        <v>5974.0557222222224</v>
      </c>
      <c r="BI614" s="7">
        <f t="shared" si="3200"/>
        <v>71688.668666666665</v>
      </c>
      <c r="BJ614" s="7">
        <f t="shared" si="3154"/>
        <v>925978.63694444508</v>
      </c>
      <c r="BK614" s="39">
        <f t="shared" si="3155"/>
        <v>920004.58122222289</v>
      </c>
      <c r="BL614" s="39">
        <f t="shared" si="3156"/>
        <v>914030.52550000069</v>
      </c>
      <c r="BM614" s="39">
        <f t="shared" si="3157"/>
        <v>908056.46977777849</v>
      </c>
      <c r="BN614" s="39">
        <f t="shared" si="3158"/>
        <v>902082.41405555629</v>
      </c>
      <c r="BO614" s="39">
        <f t="shared" si="3164"/>
        <v>896108.35833333409</v>
      </c>
      <c r="BP614" s="39">
        <f t="shared" si="3165"/>
        <v>890134.3026111119</v>
      </c>
      <c r="BQ614" s="39">
        <f t="shared" si="3166"/>
        <v>884160.2468888897</v>
      </c>
      <c r="BR614" s="39">
        <f t="shared" si="3167"/>
        <v>878186.1911666675</v>
      </c>
      <c r="BS614" s="39">
        <f t="shared" si="3168"/>
        <v>872212.1354444453</v>
      </c>
      <c r="BT614" s="39">
        <f t="shared" si="3169"/>
        <v>866238.0797222231</v>
      </c>
      <c r="BU614" s="39">
        <f t="shared" si="3170"/>
        <v>860264.02400000091</v>
      </c>
      <c r="BV614" s="236">
        <f>IF(Z614&lt;1,0,SUM(BJ614:BU614,BF614)/13*$BG$1)</f>
        <v>19714.38388333335</v>
      </c>
      <c r="BW614" s="7">
        <v>5974.0557222222224</v>
      </c>
      <c r="BX614" s="7">
        <f t="shared" si="3202"/>
        <v>71688.668666666665</v>
      </c>
      <c r="BY614" s="7">
        <f t="shared" si="3203"/>
        <v>854289.96827777871</v>
      </c>
      <c r="BZ614" s="39">
        <f t="shared" si="3171"/>
        <v>848315.91255555651</v>
      </c>
      <c r="CA614" s="39">
        <f t="shared" si="3172"/>
        <v>842341.85683333431</v>
      </c>
      <c r="CB614" s="39">
        <f t="shared" si="3173"/>
        <v>836367.80111111212</v>
      </c>
      <c r="CC614" s="39">
        <f t="shared" si="3174"/>
        <v>830393.74538888992</v>
      </c>
      <c r="CD614" s="39">
        <f t="shared" si="3175"/>
        <v>824419.68966666772</v>
      </c>
      <c r="CE614" s="39">
        <f t="shared" si="3176"/>
        <v>818445.63394444552</v>
      </c>
      <c r="CF614" s="39">
        <f t="shared" si="3177"/>
        <v>812471.57822222332</v>
      </c>
      <c r="CG614" s="39">
        <f t="shared" si="3178"/>
        <v>806497.52250000113</v>
      </c>
      <c r="CH614" s="39">
        <f t="shared" si="3179"/>
        <v>800523.46677777893</v>
      </c>
      <c r="CI614" s="39">
        <f t="shared" si="3180"/>
        <v>794549.41105555673</v>
      </c>
      <c r="CJ614" s="39">
        <f t="shared" si="3204"/>
        <v>788575.35533333453</v>
      </c>
      <c r="CK614" s="236">
        <f>IF(AO614&lt;1,0,SUM(BY614:CJ614,BU614)/13*$BG$1)</f>
        <v>18137.233172666689</v>
      </c>
      <c r="CL614" s="7">
        <v>5974.0557222222224</v>
      </c>
      <c r="CM614" s="7">
        <f t="shared" si="3240"/>
        <v>71688.668666666665</v>
      </c>
      <c r="CN614" s="7">
        <f t="shared" si="3207"/>
        <v>782601.29961111234</v>
      </c>
      <c r="CO614" s="39">
        <f t="shared" si="3208"/>
        <v>776627.24388889014</v>
      </c>
      <c r="CP614" s="39">
        <f t="shared" si="3209"/>
        <v>770653.18816666794</v>
      </c>
      <c r="CQ614" s="39">
        <f t="shared" si="3210"/>
        <v>764679.13244444574</v>
      </c>
      <c r="CR614" s="39">
        <f t="shared" si="3211"/>
        <v>758705.07672222354</v>
      </c>
      <c r="CS614" s="39">
        <f t="shared" si="3212"/>
        <v>752731.02100000135</v>
      </c>
      <c r="CT614" s="39">
        <f t="shared" si="3213"/>
        <v>746756.96527777915</v>
      </c>
      <c r="CU614" s="39">
        <f t="shared" si="3214"/>
        <v>740782.90955555695</v>
      </c>
      <c r="CV614" s="39">
        <f t="shared" si="3215"/>
        <v>734808.85383333475</v>
      </c>
      <c r="CW614" s="39">
        <f t="shared" si="3216"/>
        <v>728834.79811111256</v>
      </c>
      <c r="CX614" s="39">
        <f t="shared" si="3217"/>
        <v>722860.74238889036</v>
      </c>
      <c r="CY614" s="39">
        <f t="shared" si="3218"/>
        <v>716886.68666666816</v>
      </c>
      <c r="CZ614" s="236">
        <f>IF(BF614&lt;1,0,SUM(CN614:CY614,CJ614)/13*$BG$1)</f>
        <v>16560.082462000028</v>
      </c>
    </row>
    <row r="615" spans="1:104" ht="29.25" customHeight="1" x14ac:dyDescent="0.2">
      <c r="A615" s="37" t="s">
        <v>99</v>
      </c>
      <c r="B615" s="26" t="s">
        <v>1455</v>
      </c>
      <c r="C615" t="s">
        <v>41</v>
      </c>
      <c r="D615" t="s">
        <v>42</v>
      </c>
      <c r="E615" s="36">
        <v>44925</v>
      </c>
      <c r="F615" t="s">
        <v>44</v>
      </c>
      <c r="G615" s="186">
        <v>180</v>
      </c>
      <c r="H615" s="7">
        <v>1751712.82</v>
      </c>
      <c r="K615" s="8">
        <v>1</v>
      </c>
      <c r="L615" s="7">
        <v>9731.7378888888888</v>
      </c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39">
        <f t="shared" si="3288"/>
        <v>1751712.82</v>
      </c>
      <c r="AA615" s="7">
        <f t="shared" ref="AA615:AA617" si="3302">SUM(O615:Z615,J615)/13*$AA$1</f>
        <v>2964.4370800000002</v>
      </c>
      <c r="AC615" s="7">
        <f t="shared" si="3286"/>
        <v>116780.85466666667</v>
      </c>
      <c r="AD615" s="39">
        <f t="shared" si="3289"/>
        <v>1741981.0821111111</v>
      </c>
      <c r="AE615" s="39">
        <f t="shared" si="3290"/>
        <v>1732249.3442222222</v>
      </c>
      <c r="AF615" s="39">
        <f t="shared" si="3291"/>
        <v>1722517.6063333333</v>
      </c>
      <c r="AG615" s="39">
        <f t="shared" si="3292"/>
        <v>1712785.8684444444</v>
      </c>
      <c r="AH615" s="39">
        <f t="shared" si="3293"/>
        <v>1703054.1305555555</v>
      </c>
      <c r="AI615" s="39">
        <f t="shared" si="3294"/>
        <v>1693322.3926666665</v>
      </c>
      <c r="AJ615" s="39">
        <f t="shared" si="3295"/>
        <v>1683590.6547777776</v>
      </c>
      <c r="AK615" s="39">
        <f t="shared" si="3296"/>
        <v>1673858.9168888887</v>
      </c>
      <c r="AL615" s="39">
        <f t="shared" si="3297"/>
        <v>1664127.1789999998</v>
      </c>
      <c r="AM615" s="39">
        <f t="shared" si="3298"/>
        <v>1654395.4411111108</v>
      </c>
      <c r="AN615" s="39">
        <f t="shared" si="3299"/>
        <v>1644663.7032222219</v>
      </c>
      <c r="AO615" s="39">
        <f t="shared" si="3300"/>
        <v>1634931.965333333</v>
      </c>
      <c r="AP615" s="222">
        <f>IF(K615&lt;1,0,SUM(AD615:AO615,Z615)/13*$BG$1)</f>
        <v>37253.092638666662</v>
      </c>
      <c r="AQ615" s="7">
        <v>9731.7378888888888</v>
      </c>
      <c r="AR615" s="7">
        <f t="shared" si="3133"/>
        <v>9731.7378888889216</v>
      </c>
      <c r="AS615" s="7">
        <f t="shared" si="3134"/>
        <v>3.2741809263825417E-11</v>
      </c>
      <c r="AT615" s="7">
        <f t="shared" si="3281"/>
        <v>116780.85466666667</v>
      </c>
      <c r="AU615" s="39">
        <f t="shared" si="3152"/>
        <v>1625200.2274444441</v>
      </c>
      <c r="AV615" s="39">
        <f t="shared" ref="AV615:BF615" si="3303">AU615-$AQ615</f>
        <v>1615468.4895555552</v>
      </c>
      <c r="AW615" s="39">
        <f t="shared" si="3303"/>
        <v>1605736.7516666662</v>
      </c>
      <c r="AX615" s="39">
        <f t="shared" si="3303"/>
        <v>1596005.0137777773</v>
      </c>
      <c r="AY615" s="39">
        <f t="shared" si="3303"/>
        <v>1586273.2758888884</v>
      </c>
      <c r="AZ615" s="39">
        <f t="shared" si="3303"/>
        <v>1576541.5379999995</v>
      </c>
      <c r="BA615" s="39">
        <f t="shared" si="3303"/>
        <v>1566809.8001111106</v>
      </c>
      <c r="BB615" s="39">
        <f t="shared" si="3303"/>
        <v>1557078.0622222216</v>
      </c>
      <c r="BC615" s="39">
        <f t="shared" si="3303"/>
        <v>1547346.3243333327</v>
      </c>
      <c r="BD615" s="39">
        <f t="shared" si="3303"/>
        <v>1537614.5864444438</v>
      </c>
      <c r="BE615" s="39">
        <f t="shared" si="3303"/>
        <v>1527882.8485555549</v>
      </c>
      <c r="BF615" s="39">
        <f t="shared" si="3303"/>
        <v>1518151.1106666659</v>
      </c>
      <c r="BG615" s="236">
        <f t="shared" si="3236"/>
        <v>34683.913835999978</v>
      </c>
      <c r="BH615" s="7">
        <v>9731.7378888888888</v>
      </c>
      <c r="BI615" s="7">
        <f t="shared" si="3200"/>
        <v>116780.85466666667</v>
      </c>
      <c r="BJ615" s="7">
        <f t="shared" si="3154"/>
        <v>1508419.372777777</v>
      </c>
      <c r="BK615" s="39">
        <f t="shared" si="3155"/>
        <v>1498687.6348888881</v>
      </c>
      <c r="BL615" s="39">
        <f t="shared" si="3156"/>
        <v>1488955.8969999992</v>
      </c>
      <c r="BM615" s="39">
        <f t="shared" si="3157"/>
        <v>1479224.1591111103</v>
      </c>
      <c r="BN615" s="39">
        <f t="shared" si="3158"/>
        <v>1469492.4212222213</v>
      </c>
      <c r="BO615" s="39">
        <f t="shared" si="3164"/>
        <v>1459760.6833333324</v>
      </c>
      <c r="BP615" s="39">
        <f t="shared" si="3165"/>
        <v>1450028.9454444435</v>
      </c>
      <c r="BQ615" s="39">
        <f t="shared" si="3166"/>
        <v>1440297.2075555546</v>
      </c>
      <c r="BR615" s="39">
        <f t="shared" si="3167"/>
        <v>1430565.4696666657</v>
      </c>
      <c r="BS615" s="39">
        <f t="shared" si="3168"/>
        <v>1420833.7317777767</v>
      </c>
      <c r="BT615" s="39">
        <f t="shared" si="3169"/>
        <v>1411101.9938888878</v>
      </c>
      <c r="BU615" s="39">
        <f t="shared" si="3170"/>
        <v>1401370.2559999989</v>
      </c>
      <c r="BV615" s="236">
        <f>IF(Z615&lt;1,0,SUM(BJ615:BU615,BF615)/13*$BG$1)</f>
        <v>32114.735033333312</v>
      </c>
      <c r="BW615" s="7">
        <v>9731.7378888888888</v>
      </c>
      <c r="BX615" s="7">
        <f t="shared" si="3202"/>
        <v>116780.85466666667</v>
      </c>
      <c r="BY615" s="7">
        <f t="shared" si="3203"/>
        <v>1391638.51811111</v>
      </c>
      <c r="BZ615" s="39">
        <f t="shared" si="3171"/>
        <v>1381906.780222221</v>
      </c>
      <c r="CA615" s="39">
        <f t="shared" si="3172"/>
        <v>1372175.0423333321</v>
      </c>
      <c r="CB615" s="39">
        <f t="shared" si="3173"/>
        <v>1362443.3044444432</v>
      </c>
      <c r="CC615" s="39">
        <f t="shared" si="3174"/>
        <v>1352711.5665555543</v>
      </c>
      <c r="CD615" s="39">
        <f t="shared" si="3175"/>
        <v>1342979.8286666654</v>
      </c>
      <c r="CE615" s="39">
        <f t="shared" si="3176"/>
        <v>1333248.0907777764</v>
      </c>
      <c r="CF615" s="39">
        <f t="shared" si="3177"/>
        <v>1323516.3528888875</v>
      </c>
      <c r="CG615" s="39">
        <f t="shared" si="3178"/>
        <v>1313784.6149999986</v>
      </c>
      <c r="CH615" s="39">
        <f t="shared" si="3179"/>
        <v>1304052.8771111097</v>
      </c>
      <c r="CI615" s="39">
        <f t="shared" si="3180"/>
        <v>1294321.1392222208</v>
      </c>
      <c r="CJ615" s="39">
        <f t="shared" si="3204"/>
        <v>1284589.4013333318</v>
      </c>
      <c r="CK615" s="236">
        <f>IF(AO615&lt;1,0,SUM(BY615:CJ615,BU615)/13*$BG$1)</f>
        <v>29545.556230666632</v>
      </c>
      <c r="CL615" s="7">
        <v>9731.7378888888888</v>
      </c>
      <c r="CM615" s="7">
        <f t="shared" si="3240"/>
        <v>116780.85466666667</v>
      </c>
      <c r="CN615" s="7">
        <f t="shared" si="3207"/>
        <v>1274857.6634444429</v>
      </c>
      <c r="CO615" s="39">
        <f t="shared" si="3208"/>
        <v>1265125.925555554</v>
      </c>
      <c r="CP615" s="39">
        <f t="shared" si="3209"/>
        <v>1255394.1876666651</v>
      </c>
      <c r="CQ615" s="39">
        <f t="shared" si="3210"/>
        <v>1245662.4497777761</v>
      </c>
      <c r="CR615" s="39">
        <f t="shared" si="3211"/>
        <v>1235930.7118888872</v>
      </c>
      <c r="CS615" s="39">
        <f t="shared" si="3212"/>
        <v>1226198.9739999983</v>
      </c>
      <c r="CT615" s="39">
        <f t="shared" si="3213"/>
        <v>1216467.2361111094</v>
      </c>
      <c r="CU615" s="39">
        <f t="shared" si="3214"/>
        <v>1206735.4982222205</v>
      </c>
      <c r="CV615" s="39">
        <f t="shared" si="3215"/>
        <v>1197003.7603333315</v>
      </c>
      <c r="CW615" s="39">
        <f t="shared" si="3216"/>
        <v>1187272.0224444426</v>
      </c>
      <c r="CX615" s="39">
        <f t="shared" si="3217"/>
        <v>1177540.2845555537</v>
      </c>
      <c r="CY615" s="39">
        <f t="shared" si="3218"/>
        <v>1167808.5466666648</v>
      </c>
      <c r="CZ615" s="236">
        <f>IF(BF615&lt;1,0,SUM(CN615:CY615,CJ615)/13*$BG$1)</f>
        <v>26976.37742799996</v>
      </c>
    </row>
    <row r="616" spans="1:104" ht="24" customHeight="1" x14ac:dyDescent="0.2">
      <c r="A616" s="37" t="s">
        <v>100</v>
      </c>
      <c r="B616" s="26" t="s">
        <v>1663</v>
      </c>
      <c r="C616" t="s">
        <v>41</v>
      </c>
      <c r="D616" t="s">
        <v>42</v>
      </c>
      <c r="E616" s="36">
        <v>44925</v>
      </c>
      <c r="F616" t="s">
        <v>44</v>
      </c>
      <c r="G616" s="186">
        <v>180</v>
      </c>
      <c r="H616" s="7">
        <v>4014230.74</v>
      </c>
      <c r="K616" s="8">
        <v>1</v>
      </c>
      <c r="L616" s="7">
        <v>22301.281888888891</v>
      </c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39">
        <f t="shared" si="3288"/>
        <v>4014230.74</v>
      </c>
      <c r="AA616" s="7">
        <f t="shared" si="3302"/>
        <v>6793.3135600000005</v>
      </c>
      <c r="AC616" s="7">
        <f t="shared" si="3286"/>
        <v>267615.3826666667</v>
      </c>
      <c r="AD616" s="39">
        <f t="shared" si="3289"/>
        <v>3991929.4581111115</v>
      </c>
      <c r="AE616" s="39">
        <f t="shared" si="3290"/>
        <v>3969628.1762222229</v>
      </c>
      <c r="AF616" s="39">
        <f t="shared" si="3291"/>
        <v>3947326.8943333342</v>
      </c>
      <c r="AG616" s="39">
        <f t="shared" si="3292"/>
        <v>3925025.6124444455</v>
      </c>
      <c r="AH616" s="39">
        <f t="shared" si="3293"/>
        <v>3902724.3305555568</v>
      </c>
      <c r="AI616" s="39">
        <f t="shared" si="3294"/>
        <v>3880423.0486666681</v>
      </c>
      <c r="AJ616" s="39">
        <f t="shared" si="3295"/>
        <v>3858121.7667777794</v>
      </c>
      <c r="AK616" s="39">
        <f t="shared" si="3296"/>
        <v>3835820.4848888908</v>
      </c>
      <c r="AL616" s="39">
        <f t="shared" si="3297"/>
        <v>3813519.2030000021</v>
      </c>
      <c r="AM616" s="39">
        <f t="shared" si="3298"/>
        <v>3791217.9211111134</v>
      </c>
      <c r="AN616" s="39">
        <f t="shared" si="3299"/>
        <v>3768916.6392222247</v>
      </c>
      <c r="AO616" s="39">
        <f t="shared" si="3300"/>
        <v>3746615.357333336</v>
      </c>
      <c r="AP616" s="222">
        <f>IF(K616&lt;1,0,SUM(AD616:AO616,Z616)/13*$BG$1)</f>
        <v>85369.307070666691</v>
      </c>
      <c r="AQ616" s="7">
        <v>22301.281888888891</v>
      </c>
      <c r="AR616" s="7">
        <f t="shared" si="3133"/>
        <v>22301.281888888683</v>
      </c>
      <c r="AS616" s="7">
        <f t="shared" si="3134"/>
        <v>-2.0736479200422764E-10</v>
      </c>
      <c r="AT616" s="7">
        <f t="shared" si="3281"/>
        <v>267615.3826666667</v>
      </c>
      <c r="AU616" s="39">
        <f t="shared" si="3152"/>
        <v>3724314.0754444473</v>
      </c>
      <c r="AV616" s="39">
        <f t="shared" ref="AV616:BF616" si="3304">AU616-$AQ616</f>
        <v>3702012.7935555587</v>
      </c>
      <c r="AW616" s="39">
        <f t="shared" si="3304"/>
        <v>3679711.51166667</v>
      </c>
      <c r="AX616" s="39">
        <f t="shared" si="3304"/>
        <v>3657410.2297777813</v>
      </c>
      <c r="AY616" s="39">
        <f t="shared" si="3304"/>
        <v>3635108.9478888926</v>
      </c>
      <c r="AZ616" s="39">
        <f t="shared" si="3304"/>
        <v>3612807.6660000039</v>
      </c>
      <c r="BA616" s="39">
        <f t="shared" si="3304"/>
        <v>3590506.3841111152</v>
      </c>
      <c r="BB616" s="39">
        <f t="shared" si="3304"/>
        <v>3568205.1022222266</v>
      </c>
      <c r="BC616" s="39">
        <f t="shared" si="3304"/>
        <v>3545903.8203333379</v>
      </c>
      <c r="BD616" s="39">
        <f t="shared" si="3304"/>
        <v>3523602.5384444492</v>
      </c>
      <c r="BE616" s="39">
        <f t="shared" si="3304"/>
        <v>3501301.2565555605</v>
      </c>
      <c r="BF616" s="39">
        <f t="shared" si="3304"/>
        <v>3478999.9746666718</v>
      </c>
      <c r="BG616" s="236">
        <f t="shared" si="3236"/>
        <v>79481.768652000086</v>
      </c>
      <c r="BH616" s="7">
        <v>22301.281888888891</v>
      </c>
      <c r="BI616" s="7">
        <f t="shared" si="3200"/>
        <v>267615.3826666667</v>
      </c>
      <c r="BJ616" s="7">
        <f t="shared" si="3154"/>
        <v>3456698.6927777831</v>
      </c>
      <c r="BK616" s="39">
        <f t="shared" si="3155"/>
        <v>3434397.4108888945</v>
      </c>
      <c r="BL616" s="39">
        <f t="shared" si="3156"/>
        <v>3412096.1290000058</v>
      </c>
      <c r="BM616" s="39">
        <f t="shared" si="3157"/>
        <v>3389794.8471111171</v>
      </c>
      <c r="BN616" s="39">
        <f t="shared" si="3158"/>
        <v>3367493.5652222284</v>
      </c>
      <c r="BO616" s="39">
        <f t="shared" si="3164"/>
        <v>3345192.2833333397</v>
      </c>
      <c r="BP616" s="39">
        <f t="shared" si="3165"/>
        <v>3322891.001444451</v>
      </c>
      <c r="BQ616" s="39">
        <f t="shared" si="3166"/>
        <v>3300589.7195555624</v>
      </c>
      <c r="BR616" s="39">
        <f t="shared" si="3167"/>
        <v>3278288.4376666737</v>
      </c>
      <c r="BS616" s="39">
        <f t="shared" si="3168"/>
        <v>3255987.155777785</v>
      </c>
      <c r="BT616" s="39">
        <f t="shared" si="3169"/>
        <v>3233685.8738888963</v>
      </c>
      <c r="BU616" s="39">
        <f t="shared" si="3170"/>
        <v>3211384.5920000076</v>
      </c>
      <c r="BV616" s="236">
        <f>IF(Z616&lt;1,0,SUM(BJ616:BU616,BF616)/13*$BG$1)</f>
        <v>73594.230233333466</v>
      </c>
      <c r="BW616" s="7">
        <v>22301.281888888891</v>
      </c>
      <c r="BX616" s="7">
        <f t="shared" si="3202"/>
        <v>267615.3826666667</v>
      </c>
      <c r="BY616" s="7">
        <f t="shared" si="3203"/>
        <v>3189083.3101111189</v>
      </c>
      <c r="BZ616" s="39">
        <f t="shared" si="3171"/>
        <v>3166782.0282222303</v>
      </c>
      <c r="CA616" s="39">
        <f t="shared" si="3172"/>
        <v>3144480.7463333416</v>
      </c>
      <c r="CB616" s="39">
        <f t="shared" si="3173"/>
        <v>3122179.4644444529</v>
      </c>
      <c r="CC616" s="39">
        <f t="shared" si="3174"/>
        <v>3099878.1825555642</v>
      </c>
      <c r="CD616" s="39">
        <f t="shared" si="3175"/>
        <v>3077576.9006666755</v>
      </c>
      <c r="CE616" s="39">
        <f t="shared" si="3176"/>
        <v>3055275.6187777868</v>
      </c>
      <c r="CF616" s="39">
        <f t="shared" si="3177"/>
        <v>3032974.3368888982</v>
      </c>
      <c r="CG616" s="39">
        <f t="shared" si="3178"/>
        <v>3010673.0550000095</v>
      </c>
      <c r="CH616" s="39">
        <f t="shared" si="3179"/>
        <v>2988371.7731111208</v>
      </c>
      <c r="CI616" s="39">
        <f t="shared" si="3180"/>
        <v>2966070.4912222321</v>
      </c>
      <c r="CJ616" s="39">
        <f t="shared" si="3204"/>
        <v>2943769.2093333434</v>
      </c>
      <c r="CK616" s="236">
        <f>IF(AO616&lt;1,0,SUM(BY616:CJ616,BU616)/13*$BG$1)</f>
        <v>67706.691814666861</v>
      </c>
      <c r="CL616" s="7">
        <v>22301.281888888891</v>
      </c>
      <c r="CM616" s="7">
        <f t="shared" si="3240"/>
        <v>267615.3826666667</v>
      </c>
      <c r="CN616" s="7">
        <f t="shared" si="3207"/>
        <v>2921467.9274444547</v>
      </c>
      <c r="CO616" s="39">
        <f t="shared" si="3208"/>
        <v>2899166.6455555661</v>
      </c>
      <c r="CP616" s="39">
        <f t="shared" si="3209"/>
        <v>2876865.3636666774</v>
      </c>
      <c r="CQ616" s="39">
        <f t="shared" si="3210"/>
        <v>2854564.0817777887</v>
      </c>
      <c r="CR616" s="39">
        <f t="shared" si="3211"/>
        <v>2832262.7998889</v>
      </c>
      <c r="CS616" s="39">
        <f t="shared" si="3212"/>
        <v>2809961.5180000113</v>
      </c>
      <c r="CT616" s="39">
        <f t="shared" si="3213"/>
        <v>2787660.2361111226</v>
      </c>
      <c r="CU616" s="39">
        <f t="shared" si="3214"/>
        <v>2765358.954222234</v>
      </c>
      <c r="CV616" s="39">
        <f t="shared" si="3215"/>
        <v>2743057.6723333453</v>
      </c>
      <c r="CW616" s="39">
        <f t="shared" si="3216"/>
        <v>2720756.3904444566</v>
      </c>
      <c r="CX616" s="39">
        <f t="shared" si="3217"/>
        <v>2698455.1085555679</v>
      </c>
      <c r="CY616" s="39">
        <f t="shared" si="3218"/>
        <v>2676153.8266666792</v>
      </c>
      <c r="CZ616" s="236">
        <f>IF(BF616&lt;1,0,SUM(CN616:CY616,CJ616)/13*$BG$1)</f>
        <v>61819.153396000249</v>
      </c>
    </row>
    <row r="617" spans="1:104" ht="24" customHeight="1" x14ac:dyDescent="0.2">
      <c r="A617" s="37" t="s">
        <v>101</v>
      </c>
      <c r="B617" s="26" t="s">
        <v>1457</v>
      </c>
      <c r="C617" t="s">
        <v>41</v>
      </c>
      <c r="D617" t="s">
        <v>42</v>
      </c>
      <c r="E617" s="36">
        <v>44925</v>
      </c>
      <c r="F617" t="s">
        <v>44</v>
      </c>
      <c r="G617" s="186">
        <v>180</v>
      </c>
      <c r="H617" s="7">
        <v>686511.38</v>
      </c>
      <c r="K617" s="8">
        <v>1</v>
      </c>
      <c r="L617" s="7">
        <v>3813.9521111111112</v>
      </c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39">
        <f t="shared" si="3288"/>
        <v>686511.38</v>
      </c>
      <c r="AA617" s="7">
        <f t="shared" si="3302"/>
        <v>1161.7884892307691</v>
      </c>
      <c r="AC617" s="7">
        <f t="shared" si="3286"/>
        <v>45767.425333333333</v>
      </c>
      <c r="AD617" s="39">
        <f t="shared" si="3289"/>
        <v>682697.42788888887</v>
      </c>
      <c r="AE617" s="39">
        <f t="shared" si="3290"/>
        <v>678883.47577777773</v>
      </c>
      <c r="AF617" s="39">
        <f t="shared" si="3291"/>
        <v>675069.52366666659</v>
      </c>
      <c r="AG617" s="39">
        <f t="shared" si="3292"/>
        <v>671255.57155555545</v>
      </c>
      <c r="AH617" s="39">
        <f t="shared" si="3293"/>
        <v>667441.61944444431</v>
      </c>
      <c r="AI617" s="39">
        <f t="shared" si="3294"/>
        <v>663627.66733333317</v>
      </c>
      <c r="AJ617" s="39">
        <f t="shared" si="3295"/>
        <v>659813.71522222203</v>
      </c>
      <c r="AK617" s="39">
        <f t="shared" si="3296"/>
        <v>655999.76311111089</v>
      </c>
      <c r="AL617" s="39">
        <f t="shared" si="3297"/>
        <v>652185.81099999975</v>
      </c>
      <c r="AM617" s="39">
        <f t="shared" si="3298"/>
        <v>648371.85888888862</v>
      </c>
      <c r="AN617" s="39">
        <f t="shared" si="3299"/>
        <v>644557.90677777748</v>
      </c>
      <c r="AO617" s="39">
        <f t="shared" si="3300"/>
        <v>640743.95466666634</v>
      </c>
      <c r="AP617" s="222">
        <f>IF(K617&lt;1,0,SUM(AD617:AO617,Z617)/13*$BG$1)</f>
        <v>14599.808681333332</v>
      </c>
      <c r="AQ617" s="7">
        <v>3813.9521111111112</v>
      </c>
      <c r="AR617" s="7">
        <f t="shared" si="3133"/>
        <v>3813.9521111111389</v>
      </c>
      <c r="AS617" s="7">
        <f t="shared" si="3134"/>
        <v>2.7739588404074311E-11</v>
      </c>
      <c r="AT617" s="7">
        <f t="shared" si="3281"/>
        <v>45767.425333333333</v>
      </c>
      <c r="AU617" s="39">
        <f t="shared" si="3152"/>
        <v>636930.0025555552</v>
      </c>
      <c r="AV617" s="39">
        <f t="shared" ref="AV617:BF617" si="3305">AU617-$AQ617</f>
        <v>633116.05044444406</v>
      </c>
      <c r="AW617" s="39">
        <f t="shared" si="3305"/>
        <v>629302.09833333292</v>
      </c>
      <c r="AX617" s="39">
        <f t="shared" si="3305"/>
        <v>625488.14622222178</v>
      </c>
      <c r="AY617" s="39">
        <f t="shared" si="3305"/>
        <v>621674.19411111064</v>
      </c>
      <c r="AZ617" s="39">
        <f t="shared" si="3305"/>
        <v>617860.2419999995</v>
      </c>
      <c r="BA617" s="39">
        <f t="shared" si="3305"/>
        <v>614046.28988888836</v>
      </c>
      <c r="BB617" s="39">
        <f t="shared" si="3305"/>
        <v>610232.33777777723</v>
      </c>
      <c r="BC617" s="39">
        <f t="shared" si="3305"/>
        <v>606418.38566666609</v>
      </c>
      <c r="BD617" s="39">
        <f t="shared" si="3305"/>
        <v>602604.43355555495</v>
      </c>
      <c r="BE617" s="39">
        <f t="shared" si="3305"/>
        <v>598790.48144444381</v>
      </c>
      <c r="BF617" s="39">
        <f t="shared" si="3305"/>
        <v>594976.52933333267</v>
      </c>
      <c r="BG617" s="236">
        <f t="shared" si="3236"/>
        <v>13592.925323999989</v>
      </c>
      <c r="BH617" s="7">
        <v>3813.9521111111112</v>
      </c>
      <c r="BI617" s="7">
        <f t="shared" si="3200"/>
        <v>45767.425333333333</v>
      </c>
      <c r="BJ617" s="7">
        <f t="shared" si="3154"/>
        <v>591162.57722222153</v>
      </c>
      <c r="BK617" s="39">
        <f t="shared" si="3155"/>
        <v>587348.62511111039</v>
      </c>
      <c r="BL617" s="39">
        <f t="shared" si="3156"/>
        <v>583534.67299999925</v>
      </c>
      <c r="BM617" s="39">
        <f t="shared" si="3157"/>
        <v>579720.72088888811</v>
      </c>
      <c r="BN617" s="39">
        <f t="shared" si="3158"/>
        <v>575906.76877777698</v>
      </c>
      <c r="BO617" s="39">
        <f t="shared" si="3164"/>
        <v>572092.81666666584</v>
      </c>
      <c r="BP617" s="39">
        <f t="shared" si="3165"/>
        <v>568278.8645555547</v>
      </c>
      <c r="BQ617" s="39">
        <f t="shared" si="3166"/>
        <v>564464.91244444356</v>
      </c>
      <c r="BR617" s="39">
        <f t="shared" si="3167"/>
        <v>560650.96033333242</v>
      </c>
      <c r="BS617" s="39">
        <f t="shared" si="3168"/>
        <v>556837.00822222128</v>
      </c>
      <c r="BT617" s="39">
        <f t="shared" si="3169"/>
        <v>553023.05611111014</v>
      </c>
      <c r="BU617" s="39">
        <f t="shared" si="3170"/>
        <v>549209.103999999</v>
      </c>
      <c r="BV617" s="236">
        <f>IF(Z617&lt;1,0,SUM(BJ617:BU617,BF617)/13*$BG$1)</f>
        <v>12586.041966666649</v>
      </c>
      <c r="BW617" s="7">
        <v>3813.9521111111112</v>
      </c>
      <c r="BX617" s="7">
        <f t="shared" si="3202"/>
        <v>45767.425333333333</v>
      </c>
      <c r="BY617" s="7">
        <f t="shared" si="3203"/>
        <v>545395.15188888786</v>
      </c>
      <c r="BZ617" s="39">
        <f t="shared" si="3171"/>
        <v>541581.19977777672</v>
      </c>
      <c r="CA617" s="39">
        <f t="shared" si="3172"/>
        <v>537767.24766666559</v>
      </c>
      <c r="CB617" s="39">
        <f t="shared" si="3173"/>
        <v>533953.29555555445</v>
      </c>
      <c r="CC617" s="39">
        <f t="shared" si="3174"/>
        <v>530139.34344444331</v>
      </c>
      <c r="CD617" s="39">
        <f t="shared" si="3175"/>
        <v>526325.39133333217</v>
      </c>
      <c r="CE617" s="39">
        <f t="shared" si="3176"/>
        <v>522511.43922222103</v>
      </c>
      <c r="CF617" s="39">
        <f t="shared" si="3177"/>
        <v>518697.48711110989</v>
      </c>
      <c r="CG617" s="39">
        <f t="shared" si="3178"/>
        <v>514883.53499999875</v>
      </c>
      <c r="CH617" s="39">
        <f t="shared" si="3179"/>
        <v>511069.58288888761</v>
      </c>
      <c r="CI617" s="39">
        <f t="shared" si="3180"/>
        <v>507255.63077777647</v>
      </c>
      <c r="CJ617" s="39">
        <f t="shared" si="3204"/>
        <v>503441.67866666534</v>
      </c>
      <c r="CK617" s="236">
        <f>IF(AO617&lt;1,0,SUM(BY617:CJ617,BU617)/13*$BG$1)</f>
        <v>11579.158609333306</v>
      </c>
      <c r="CL617" s="7">
        <v>3813.9521111111112</v>
      </c>
      <c r="CM617" s="7">
        <f t="shared" si="3240"/>
        <v>45767.425333333333</v>
      </c>
      <c r="CN617" s="7">
        <f t="shared" si="3207"/>
        <v>499627.7265555542</v>
      </c>
      <c r="CO617" s="39">
        <f t="shared" si="3208"/>
        <v>495813.77444444306</v>
      </c>
      <c r="CP617" s="39">
        <f t="shared" si="3209"/>
        <v>491999.82233333192</v>
      </c>
      <c r="CQ617" s="39">
        <f t="shared" si="3210"/>
        <v>488185.87022222078</v>
      </c>
      <c r="CR617" s="39">
        <f t="shared" si="3211"/>
        <v>484371.91811110964</v>
      </c>
      <c r="CS617" s="39">
        <f t="shared" si="3212"/>
        <v>480557.9659999985</v>
      </c>
      <c r="CT617" s="39">
        <f t="shared" si="3213"/>
        <v>476744.01388888736</v>
      </c>
      <c r="CU617" s="39">
        <f t="shared" si="3214"/>
        <v>472930.06177777622</v>
      </c>
      <c r="CV617" s="39">
        <f t="shared" si="3215"/>
        <v>469116.10966666508</v>
      </c>
      <c r="CW617" s="39">
        <f t="shared" si="3216"/>
        <v>465302.15755555395</v>
      </c>
      <c r="CX617" s="39">
        <f t="shared" si="3217"/>
        <v>461488.20544444281</v>
      </c>
      <c r="CY617" s="39">
        <f t="shared" si="3218"/>
        <v>457674.25333333167</v>
      </c>
      <c r="CZ617" s="236">
        <f>IF(BF617&lt;1,0,SUM(CN617:CY617,CJ617)/13*$BG$1)</f>
        <v>10572.275251999967</v>
      </c>
    </row>
    <row r="618" spans="1:104" ht="24" customHeight="1" x14ac:dyDescent="0.2">
      <c r="A618" s="37" t="s">
        <v>102</v>
      </c>
      <c r="B618" s="26" t="s">
        <v>2209</v>
      </c>
      <c r="C618" t="s">
        <v>41</v>
      </c>
      <c r="D618" t="s">
        <v>2624</v>
      </c>
      <c r="E618" s="36">
        <v>44925</v>
      </c>
      <c r="F618" t="s">
        <v>44</v>
      </c>
      <c r="G618" s="186">
        <v>300</v>
      </c>
      <c r="H618" s="7">
        <v>5457462.4800000004</v>
      </c>
      <c r="K618" s="8">
        <v>1</v>
      </c>
      <c r="L618" s="7">
        <v>18191.5416</v>
      </c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39">
        <f t="shared" si="3288"/>
        <v>5457462.4800000004</v>
      </c>
      <c r="AA618" s="7">
        <f>SUM(O618:Z618,J618)/13*$AA$1</f>
        <v>9235.7057353846158</v>
      </c>
      <c r="AC618" s="7">
        <f t="shared" si="3286"/>
        <v>218298.49920000002</v>
      </c>
      <c r="AD618" s="39">
        <f t="shared" si="3289"/>
        <v>5439270.9384000003</v>
      </c>
      <c r="AE618" s="39">
        <f t="shared" si="3290"/>
        <v>5421079.3968000002</v>
      </c>
      <c r="AF618" s="39">
        <f t="shared" si="3291"/>
        <v>5402887.8552000001</v>
      </c>
      <c r="AG618" s="39">
        <f t="shared" si="3292"/>
        <v>5384696.3136</v>
      </c>
      <c r="AH618" s="39">
        <f t="shared" si="3293"/>
        <v>5366504.7719999999</v>
      </c>
      <c r="AI618" s="39">
        <f t="shared" si="3294"/>
        <v>5348313.2303999998</v>
      </c>
      <c r="AJ618" s="39">
        <f t="shared" si="3295"/>
        <v>5330121.6887999997</v>
      </c>
      <c r="AK618" s="39">
        <f t="shared" si="3296"/>
        <v>5311930.1471999995</v>
      </c>
      <c r="AL618" s="39">
        <f t="shared" si="3297"/>
        <v>5293738.6055999994</v>
      </c>
      <c r="AM618" s="39">
        <f t="shared" si="3298"/>
        <v>5275547.0639999993</v>
      </c>
      <c r="AN618" s="39">
        <f t="shared" si="3299"/>
        <v>5257355.5223999992</v>
      </c>
      <c r="AO618" s="39">
        <f t="shared" si="3300"/>
        <v>5239163.9807999991</v>
      </c>
      <c r="AP618" s="222">
        <f>IF(K618&lt;1,0,SUM(AD618:AO618,Z618)/13*$BG$1)</f>
        <v>117662.89106879999</v>
      </c>
      <c r="AQ618" s="7">
        <v>18191.5416</v>
      </c>
      <c r="AR618" s="7">
        <f t="shared" si="3133"/>
        <v>18191.541600000113</v>
      </c>
      <c r="AS618" s="7">
        <f t="shared" si="3134"/>
        <v>1.127773430198431E-10</v>
      </c>
      <c r="AT618" s="7">
        <f t="shared" si="3281"/>
        <v>218298.49920000002</v>
      </c>
      <c r="AU618" s="39">
        <f t="shared" ref="AU618:AU649" si="3306">AO618-$AQ618</f>
        <v>5220972.439199999</v>
      </c>
      <c r="AV618" s="39">
        <f t="shared" ref="AV618:BF618" si="3307">AU618-$AQ618</f>
        <v>5202780.8975999989</v>
      </c>
      <c r="AW618" s="39">
        <f t="shared" si="3307"/>
        <v>5184589.3559999987</v>
      </c>
      <c r="AX618" s="39">
        <f t="shared" si="3307"/>
        <v>5166397.8143999986</v>
      </c>
      <c r="AY618" s="39">
        <f t="shared" si="3307"/>
        <v>5148206.2727999985</v>
      </c>
      <c r="AZ618" s="39">
        <f t="shared" si="3307"/>
        <v>5130014.7311999984</v>
      </c>
      <c r="BA618" s="39">
        <f t="shared" si="3307"/>
        <v>5111823.1895999983</v>
      </c>
      <c r="BB618" s="39">
        <f t="shared" si="3307"/>
        <v>5093631.6479999982</v>
      </c>
      <c r="BC618" s="39">
        <f t="shared" si="3307"/>
        <v>5075440.1063999981</v>
      </c>
      <c r="BD618" s="39">
        <f t="shared" si="3307"/>
        <v>5057248.564799998</v>
      </c>
      <c r="BE618" s="39">
        <f t="shared" si="3307"/>
        <v>5039057.0231999978</v>
      </c>
      <c r="BF618" s="39">
        <f t="shared" si="3307"/>
        <v>5020865.4815999977</v>
      </c>
      <c r="BG618" s="236">
        <f t="shared" si="3236"/>
        <v>112860.32408639995</v>
      </c>
      <c r="BH618" s="7">
        <v>18191.5416</v>
      </c>
      <c r="BI618" s="7">
        <f t="shared" si="3200"/>
        <v>218298.49920000002</v>
      </c>
      <c r="BJ618" s="7">
        <f t="shared" ref="BJ618:BJ649" si="3308">BF618-BH618</f>
        <v>5002673.9399999976</v>
      </c>
      <c r="BK618" s="39">
        <f t="shared" si="3155"/>
        <v>4984482.3983999975</v>
      </c>
      <c r="BL618" s="39">
        <f t="shared" si="3156"/>
        <v>4966290.8567999974</v>
      </c>
      <c r="BM618" s="39">
        <f t="shared" si="3157"/>
        <v>4948099.3151999973</v>
      </c>
      <c r="BN618" s="39">
        <f t="shared" si="3158"/>
        <v>4929907.7735999972</v>
      </c>
      <c r="BO618" s="39">
        <f t="shared" si="3164"/>
        <v>4911716.231999997</v>
      </c>
      <c r="BP618" s="39">
        <f t="shared" si="3165"/>
        <v>4893524.6903999969</v>
      </c>
      <c r="BQ618" s="39">
        <f t="shared" si="3166"/>
        <v>4875333.1487999968</v>
      </c>
      <c r="BR618" s="39">
        <f t="shared" si="3167"/>
        <v>4857141.6071999967</v>
      </c>
      <c r="BS618" s="39">
        <f t="shared" si="3168"/>
        <v>4838950.0655999966</v>
      </c>
      <c r="BT618" s="39">
        <f t="shared" si="3169"/>
        <v>4820758.5239999965</v>
      </c>
      <c r="BU618" s="39">
        <f t="shared" si="3170"/>
        <v>4802566.9823999964</v>
      </c>
      <c r="BV618" s="236">
        <f>IF(Z618&lt;1,0,SUM(BJ618:BU618,BF618)/13*$BG$1)</f>
        <v>108057.75710399993</v>
      </c>
      <c r="BW618" s="7">
        <v>18191.5416</v>
      </c>
      <c r="BX618" s="7">
        <f t="shared" si="3202"/>
        <v>218298.49920000002</v>
      </c>
      <c r="BY618" s="7">
        <f t="shared" si="3203"/>
        <v>4784375.4407999963</v>
      </c>
      <c r="BZ618" s="39">
        <f t="shared" si="3171"/>
        <v>4766183.8991999961</v>
      </c>
      <c r="CA618" s="39">
        <f t="shared" si="3172"/>
        <v>4747992.357599996</v>
      </c>
      <c r="CB618" s="39">
        <f t="shared" si="3173"/>
        <v>4729800.8159999959</v>
      </c>
      <c r="CC618" s="39">
        <f t="shared" si="3174"/>
        <v>4711609.2743999958</v>
      </c>
      <c r="CD618" s="39">
        <f t="shared" si="3175"/>
        <v>4693417.7327999957</v>
      </c>
      <c r="CE618" s="39">
        <f t="shared" si="3176"/>
        <v>4675226.1911999956</v>
      </c>
      <c r="CF618" s="39">
        <f t="shared" si="3177"/>
        <v>4657034.6495999955</v>
      </c>
      <c r="CG618" s="39">
        <f t="shared" si="3178"/>
        <v>4638843.1079999954</v>
      </c>
      <c r="CH618" s="39">
        <f t="shared" si="3179"/>
        <v>4620651.5663999952</v>
      </c>
      <c r="CI618" s="39">
        <f t="shared" si="3180"/>
        <v>4602460.0247999951</v>
      </c>
      <c r="CJ618" s="39">
        <f t="shared" si="3204"/>
        <v>4584268.483199995</v>
      </c>
      <c r="CK618" s="236">
        <f>IF(AO618&lt;1,0,SUM(BY618:CJ618,BU618)/13*$BG$1)</f>
        <v>103255.1901215999</v>
      </c>
      <c r="CL618" s="7">
        <v>18191.5416</v>
      </c>
      <c r="CM618" s="7">
        <f t="shared" si="3240"/>
        <v>218298.49920000002</v>
      </c>
      <c r="CN618" s="7">
        <f t="shared" si="3207"/>
        <v>4566076.9415999949</v>
      </c>
      <c r="CO618" s="39">
        <f t="shared" si="3208"/>
        <v>4547885.3999999948</v>
      </c>
      <c r="CP618" s="39">
        <f t="shared" si="3209"/>
        <v>4529693.8583999947</v>
      </c>
      <c r="CQ618" s="39">
        <f t="shared" si="3210"/>
        <v>4511502.3167999946</v>
      </c>
      <c r="CR618" s="39">
        <f t="shared" si="3211"/>
        <v>4493310.7751999944</v>
      </c>
      <c r="CS618" s="39">
        <f t="shared" si="3212"/>
        <v>4475119.2335999943</v>
      </c>
      <c r="CT618" s="39">
        <f t="shared" si="3213"/>
        <v>4456927.6919999942</v>
      </c>
      <c r="CU618" s="39">
        <f t="shared" si="3214"/>
        <v>4438736.1503999941</v>
      </c>
      <c r="CV618" s="39">
        <f t="shared" si="3215"/>
        <v>4420544.608799994</v>
      </c>
      <c r="CW618" s="39">
        <f t="shared" si="3216"/>
        <v>4402353.0671999939</v>
      </c>
      <c r="CX618" s="39">
        <f t="shared" si="3217"/>
        <v>4384161.5255999938</v>
      </c>
      <c r="CY618" s="39">
        <f t="shared" si="3218"/>
        <v>4365969.9839999937</v>
      </c>
      <c r="CZ618" s="236">
        <f>IF(BF618&lt;1,0,SUM(CN618:CY618,CJ618)/13*$BG$1)</f>
        <v>98452.623139199874</v>
      </c>
    </row>
    <row r="619" spans="1:104" ht="24" customHeight="1" x14ac:dyDescent="0.2">
      <c r="A619" s="37" t="s">
        <v>103</v>
      </c>
      <c r="B619" t="s">
        <v>1816</v>
      </c>
      <c r="C619" t="s">
        <v>41</v>
      </c>
      <c r="D619" t="s">
        <v>2624</v>
      </c>
      <c r="E619" s="36">
        <v>44925</v>
      </c>
      <c r="F619" t="s">
        <v>44</v>
      </c>
      <c r="G619" s="186">
        <v>240</v>
      </c>
      <c r="H619" s="7">
        <v>3974449.89</v>
      </c>
      <c r="K619" s="8">
        <v>0</v>
      </c>
      <c r="L619" s="7">
        <v>16560.207875</v>
      </c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39">
        <f>H619</f>
        <v>3974449.89</v>
      </c>
      <c r="AA619" s="7"/>
      <c r="AC619" s="7">
        <f t="shared" si="3286"/>
        <v>198722.4945</v>
      </c>
      <c r="AD619" s="39">
        <f t="shared" si="3289"/>
        <v>3957889.6821250003</v>
      </c>
      <c r="AE619" s="39">
        <f t="shared" si="3290"/>
        <v>3941329.4742500004</v>
      </c>
      <c r="AF619" s="39">
        <f t="shared" si="3291"/>
        <v>3924769.2663750006</v>
      </c>
      <c r="AG619" s="39">
        <f t="shared" si="3292"/>
        <v>3908209.0585000007</v>
      </c>
      <c r="AH619" s="39">
        <f t="shared" si="3293"/>
        <v>3891648.8506250009</v>
      </c>
      <c r="AI619" s="39">
        <f t="shared" si="3294"/>
        <v>3875088.642750001</v>
      </c>
      <c r="AJ619" s="39">
        <f t="shared" si="3295"/>
        <v>3858528.4348750012</v>
      </c>
      <c r="AK619" s="39">
        <f t="shared" si="3296"/>
        <v>3841968.2270000014</v>
      </c>
      <c r="AL619" s="39">
        <f t="shared" si="3297"/>
        <v>3825408.0191250015</v>
      </c>
      <c r="AM619" s="39">
        <f t="shared" si="3298"/>
        <v>3808847.8112500017</v>
      </c>
      <c r="AN619" s="39">
        <f t="shared" si="3299"/>
        <v>3792287.6033750018</v>
      </c>
      <c r="AO619" s="39">
        <f t="shared" si="3300"/>
        <v>3775727.395500002</v>
      </c>
      <c r="AP619" s="222"/>
      <c r="AQ619" s="7">
        <v>16560.207875</v>
      </c>
      <c r="AR619" s="7">
        <f t="shared" si="3133"/>
        <v>16560.207874999847</v>
      </c>
      <c r="AS619" s="7">
        <f t="shared" si="3134"/>
        <v>-1.5279510989785194E-10</v>
      </c>
      <c r="AT619" s="7">
        <f t="shared" si="3281"/>
        <v>198722.4945</v>
      </c>
      <c r="AU619" s="39">
        <f t="shared" si="3306"/>
        <v>3759167.1876250021</v>
      </c>
      <c r="AV619" s="39">
        <f t="shared" ref="AV619:BF620" si="3309">AU619-$AQ619</f>
        <v>3742606.9797500023</v>
      </c>
      <c r="AW619" s="39">
        <f t="shared" si="3309"/>
        <v>3726046.7718750024</v>
      </c>
      <c r="AX619" s="39">
        <f t="shared" si="3309"/>
        <v>3709486.5640000026</v>
      </c>
      <c r="AY619" s="39">
        <f t="shared" si="3309"/>
        <v>3692926.3561250027</v>
      </c>
      <c r="AZ619" s="39">
        <f t="shared" si="3309"/>
        <v>3676366.1482500029</v>
      </c>
      <c r="BA619" s="39">
        <f t="shared" si="3309"/>
        <v>3659805.940375003</v>
      </c>
      <c r="BB619" s="39">
        <f t="shared" si="3309"/>
        <v>3643245.7325000032</v>
      </c>
      <c r="BC619" s="39">
        <f t="shared" si="3309"/>
        <v>3626685.5246250033</v>
      </c>
      <c r="BD619" s="39">
        <f t="shared" si="3309"/>
        <v>3610125.3167500035</v>
      </c>
      <c r="BE619" s="39">
        <f t="shared" si="3309"/>
        <v>3593565.1088750036</v>
      </c>
      <c r="BF619" s="39">
        <f t="shared" si="3309"/>
        <v>3577004.9010000038</v>
      </c>
      <c r="BG619" s="236">
        <f t="shared" si="3236"/>
        <v>0</v>
      </c>
      <c r="BH619" s="7">
        <v>16560.207875</v>
      </c>
      <c r="BI619" s="7">
        <f t="shared" si="3200"/>
        <v>198722.4945</v>
      </c>
      <c r="BJ619" s="7">
        <f t="shared" si="3308"/>
        <v>3560444.6931250039</v>
      </c>
      <c r="BK619" s="39">
        <f t="shared" si="3155"/>
        <v>3543884.4852500041</v>
      </c>
      <c r="BL619" s="39">
        <f t="shared" si="3156"/>
        <v>3527324.2773750043</v>
      </c>
      <c r="BM619" s="39">
        <f t="shared" si="3157"/>
        <v>3510764.0695000044</v>
      </c>
      <c r="BN619" s="39">
        <f t="shared" si="3158"/>
        <v>3494203.8616250046</v>
      </c>
      <c r="BO619" s="39">
        <f t="shared" si="3164"/>
        <v>3477643.6537500047</v>
      </c>
      <c r="BP619" s="39">
        <f t="shared" si="3165"/>
        <v>3461083.4458750049</v>
      </c>
      <c r="BQ619" s="39">
        <f t="shared" si="3166"/>
        <v>3444523.238000005</v>
      </c>
      <c r="BR619" s="39">
        <f t="shared" si="3167"/>
        <v>3427963.0301250052</v>
      </c>
      <c r="BS619" s="39">
        <f t="shared" si="3168"/>
        <v>3411402.8222500053</v>
      </c>
      <c r="BT619" s="39">
        <f t="shared" si="3169"/>
        <v>3394842.6143750055</v>
      </c>
      <c r="BU619" s="39">
        <f t="shared" si="3170"/>
        <v>3378282.4065000056</v>
      </c>
      <c r="BV619" s="236">
        <v>0</v>
      </c>
      <c r="BW619" s="7">
        <v>16560.207875</v>
      </c>
      <c r="BX619" s="7">
        <f t="shared" si="3202"/>
        <v>198722.4945</v>
      </c>
      <c r="BY619" s="7">
        <f t="shared" si="3203"/>
        <v>3361722.1986250058</v>
      </c>
      <c r="BZ619" s="39">
        <f t="shared" si="3171"/>
        <v>3345161.9907500059</v>
      </c>
      <c r="CA619" s="39">
        <f t="shared" si="3172"/>
        <v>3328601.7828750061</v>
      </c>
      <c r="CB619" s="39">
        <f t="shared" si="3173"/>
        <v>3312041.5750000062</v>
      </c>
      <c r="CC619" s="39">
        <f t="shared" si="3174"/>
        <v>3295481.3671250064</v>
      </c>
      <c r="CD619" s="39">
        <f t="shared" si="3175"/>
        <v>3278921.1592500065</v>
      </c>
      <c r="CE619" s="39">
        <f t="shared" si="3176"/>
        <v>3262360.9513750067</v>
      </c>
      <c r="CF619" s="39">
        <f t="shared" si="3177"/>
        <v>3245800.7435000069</v>
      </c>
      <c r="CG619" s="39">
        <f t="shared" si="3178"/>
        <v>3229240.535625007</v>
      </c>
      <c r="CH619" s="39">
        <f t="shared" si="3179"/>
        <v>3212680.3277500072</v>
      </c>
      <c r="CI619" s="39">
        <f t="shared" si="3180"/>
        <v>3196120.1198750073</v>
      </c>
      <c r="CJ619" s="39">
        <f t="shared" si="3204"/>
        <v>3179559.9120000075</v>
      </c>
      <c r="CK619" s="236">
        <v>0</v>
      </c>
      <c r="CL619" s="7">
        <v>16560.207875</v>
      </c>
      <c r="CM619" s="7">
        <f t="shared" si="3240"/>
        <v>198722.4945</v>
      </c>
      <c r="CN619" s="7">
        <f t="shared" si="3207"/>
        <v>3162999.7041250076</v>
      </c>
      <c r="CO619" s="39">
        <f t="shared" si="3208"/>
        <v>3146439.4962500078</v>
      </c>
      <c r="CP619" s="39">
        <f t="shared" si="3209"/>
        <v>3129879.2883750079</v>
      </c>
      <c r="CQ619" s="39">
        <f t="shared" si="3210"/>
        <v>3113319.0805000081</v>
      </c>
      <c r="CR619" s="39">
        <f t="shared" si="3211"/>
        <v>3096758.8726250082</v>
      </c>
      <c r="CS619" s="39">
        <f t="shared" si="3212"/>
        <v>3080198.6647500084</v>
      </c>
      <c r="CT619" s="39">
        <f t="shared" si="3213"/>
        <v>3063638.4568750085</v>
      </c>
      <c r="CU619" s="39">
        <f t="shared" si="3214"/>
        <v>3047078.2490000087</v>
      </c>
      <c r="CV619" s="39">
        <f t="shared" si="3215"/>
        <v>3030518.0411250088</v>
      </c>
      <c r="CW619" s="39">
        <f t="shared" si="3216"/>
        <v>3013957.833250009</v>
      </c>
      <c r="CX619" s="39">
        <f t="shared" si="3217"/>
        <v>2997397.6253750091</v>
      </c>
      <c r="CY619" s="39">
        <f t="shared" si="3218"/>
        <v>2980837.4175000093</v>
      </c>
      <c r="CZ619" s="236">
        <v>0</v>
      </c>
    </row>
    <row r="620" spans="1:104" s="26" customFormat="1" ht="24" customHeight="1" x14ac:dyDescent="0.2">
      <c r="A620" s="104" t="s">
        <v>2040</v>
      </c>
      <c r="B620" s="229" t="s">
        <v>2566</v>
      </c>
      <c r="C620" s="26" t="s">
        <v>41</v>
      </c>
      <c r="D620" s="26" t="s">
        <v>2624</v>
      </c>
      <c r="E620" s="38">
        <v>32904</v>
      </c>
      <c r="F620" s="26" t="s">
        <v>44</v>
      </c>
      <c r="G620" s="26">
        <v>120</v>
      </c>
      <c r="H620" s="39">
        <v>38224</v>
      </c>
      <c r="I620" s="39">
        <f>Лист1!H28+Лист1!J28*12</f>
        <v>24813.206779661017</v>
      </c>
      <c r="J620" s="39">
        <f>Лист1!K28</f>
        <v>13410.793220338983</v>
      </c>
      <c r="K620" s="40">
        <v>1</v>
      </c>
      <c r="L620" s="39">
        <v>344.62787193973634</v>
      </c>
      <c r="M620" s="39"/>
      <c r="N620" s="39">
        <f>L620*12</f>
        <v>4135.5344632768356</v>
      </c>
      <c r="O620" s="39">
        <f>J620-$L620</f>
        <v>13066.165348399247</v>
      </c>
      <c r="P620" s="39">
        <f>O620-$L620</f>
        <v>12721.537476459511</v>
      </c>
      <c r="Q620" s="39">
        <f t="shared" ref="Q620:Y620" si="3310">P620-$L620</f>
        <v>12376.909604519775</v>
      </c>
      <c r="R620" s="39">
        <f t="shared" si="3310"/>
        <v>12032.281732580039</v>
      </c>
      <c r="S620" s="39">
        <f t="shared" si="3310"/>
        <v>11687.653860640303</v>
      </c>
      <c r="T620" s="39">
        <f t="shared" si="3310"/>
        <v>11343.025988700567</v>
      </c>
      <c r="U620" s="39">
        <f t="shared" si="3310"/>
        <v>10998.398116760831</v>
      </c>
      <c r="V620" s="39">
        <f t="shared" si="3310"/>
        <v>10653.770244821095</v>
      </c>
      <c r="W620" s="39">
        <f t="shared" si="3310"/>
        <v>10309.142372881359</v>
      </c>
      <c r="X620" s="39">
        <f t="shared" si="3310"/>
        <v>9964.5145009416228</v>
      </c>
      <c r="Y620" s="39">
        <f t="shared" si="3310"/>
        <v>9619.8866290018868</v>
      </c>
      <c r="Z620" s="39">
        <f>Y620-$L620+Лист1!L28</f>
        <v>1408789.4687570622</v>
      </c>
      <c r="AA620" s="39">
        <f t="shared" ref="AA620" si="3311">SUM(O620:Z620,J620)/13*$AA$1</f>
        <v>2617.9552348283355</v>
      </c>
      <c r="AB620" s="39">
        <f>Лист1!N28</f>
        <v>11774.375026836156</v>
      </c>
      <c r="AC620" s="39">
        <f>AB620*12</f>
        <v>141292.50032203388</v>
      </c>
      <c r="AD620" s="39">
        <f>Z620-$AB620</f>
        <v>1397015.0937302262</v>
      </c>
      <c r="AE620" s="39">
        <f>AD620-$AB620</f>
        <v>1385240.7187033901</v>
      </c>
      <c r="AF620" s="39">
        <f t="shared" ref="AF620:AO620" si="3312">AE620-$AB620</f>
        <v>1373466.343676554</v>
      </c>
      <c r="AG620" s="39">
        <f t="shared" si="3312"/>
        <v>1361691.968649718</v>
      </c>
      <c r="AH620" s="39">
        <f t="shared" si="3312"/>
        <v>1349917.5936228819</v>
      </c>
      <c r="AI620" s="39">
        <f t="shared" si="3312"/>
        <v>1338143.2185960459</v>
      </c>
      <c r="AJ620" s="39">
        <f t="shared" si="3312"/>
        <v>1326368.8435692098</v>
      </c>
      <c r="AK620" s="39">
        <f t="shared" si="3312"/>
        <v>1314594.4685423737</v>
      </c>
      <c r="AL620" s="39">
        <f t="shared" si="3312"/>
        <v>1302820.0935155377</v>
      </c>
      <c r="AM620" s="39">
        <f t="shared" si="3312"/>
        <v>1291045.7184887016</v>
      </c>
      <c r="AN620" s="39">
        <f t="shared" si="3312"/>
        <v>1279271.3434618656</v>
      </c>
      <c r="AO620" s="39">
        <f t="shared" si="3312"/>
        <v>1267496.9684350295</v>
      </c>
      <c r="AP620" s="222">
        <f>IF(K620&lt;1,0,SUM(AD620:AO620,Z620)/13*$BG$1)</f>
        <v>29439.150809113005</v>
      </c>
      <c r="AQ620" s="39">
        <v>11774.375026836156</v>
      </c>
      <c r="AR620" s="7">
        <f t="shared" si="3133"/>
        <v>11774.37502683606</v>
      </c>
      <c r="AS620" s="7">
        <f t="shared" si="3134"/>
        <v>-9.6406438387930393E-11</v>
      </c>
      <c r="AT620" s="39">
        <f>AQ620*12</f>
        <v>141292.50032203388</v>
      </c>
      <c r="AU620" s="39">
        <f t="shared" si="3306"/>
        <v>1255722.5934081934</v>
      </c>
      <c r="AV620" s="39">
        <f t="shared" ref="AV620:AW622" si="3313">AU620-$AQ620</f>
        <v>1243948.2183813574</v>
      </c>
      <c r="AW620" s="39">
        <f t="shared" si="3313"/>
        <v>1232173.8433545213</v>
      </c>
      <c r="AX620" s="39">
        <f t="shared" si="3309"/>
        <v>1220399.4683276853</v>
      </c>
      <c r="AY620" s="39">
        <f t="shared" si="3309"/>
        <v>1208625.0933008492</v>
      </c>
      <c r="AZ620" s="39">
        <f t="shared" si="3309"/>
        <v>1196850.7182740131</v>
      </c>
      <c r="BA620" s="39">
        <f t="shared" si="3309"/>
        <v>1185076.3432471771</v>
      </c>
      <c r="BB620" s="39">
        <f t="shared" si="3309"/>
        <v>1173301.968220341</v>
      </c>
      <c r="BC620" s="39">
        <f t="shared" si="3309"/>
        <v>1161527.593193505</v>
      </c>
      <c r="BD620" s="39">
        <f t="shared" si="3309"/>
        <v>1149753.2181666689</v>
      </c>
      <c r="BE620" s="39">
        <f t="shared" si="3309"/>
        <v>1137978.8431398328</v>
      </c>
      <c r="BF620" s="39">
        <f t="shared" si="3309"/>
        <v>1126204.4681129968</v>
      </c>
      <c r="BG620" s="236">
        <f t="shared" si="3236"/>
        <v>26330.715802028288</v>
      </c>
      <c r="BH620" s="39">
        <v>11774.375026836156</v>
      </c>
      <c r="BI620" s="39">
        <f t="shared" si="3200"/>
        <v>141292.50032203388</v>
      </c>
      <c r="BJ620" s="7">
        <f t="shared" si="3308"/>
        <v>1114430.0930861607</v>
      </c>
      <c r="BK620" s="39">
        <f t="shared" si="3155"/>
        <v>1102655.7180593247</v>
      </c>
      <c r="BL620" s="39">
        <f t="shared" si="3156"/>
        <v>1090881.3430324886</v>
      </c>
      <c r="BM620" s="39">
        <f t="shared" si="3157"/>
        <v>1079106.9680056525</v>
      </c>
      <c r="BN620" s="39">
        <f t="shared" si="3158"/>
        <v>1067332.5929788165</v>
      </c>
      <c r="BO620" s="39">
        <f t="shared" si="3164"/>
        <v>1055558.2179519804</v>
      </c>
      <c r="BP620" s="39">
        <f t="shared" si="3165"/>
        <v>1043783.8429251442</v>
      </c>
      <c r="BQ620" s="39">
        <f t="shared" si="3166"/>
        <v>1032009.4678983081</v>
      </c>
      <c r="BR620" s="39">
        <f t="shared" si="3167"/>
        <v>1020235.0928714719</v>
      </c>
      <c r="BS620" s="39">
        <f t="shared" si="3168"/>
        <v>1008460.7178446357</v>
      </c>
      <c r="BT620" s="39">
        <f t="shared" si="3169"/>
        <v>996686.34281779954</v>
      </c>
      <c r="BU620" s="39">
        <f t="shared" si="3170"/>
        <v>984911.96779096336</v>
      </c>
      <c r="BV620" s="236">
        <f>IF(Z620&lt;1,0,SUM(BJ620:BU620,BF620)/13*$BG$1)</f>
        <v>23222.280794943566</v>
      </c>
      <c r="BW620" s="39">
        <v>11774.375026836156</v>
      </c>
      <c r="BX620" s="39">
        <f t="shared" si="3202"/>
        <v>141292.50032203388</v>
      </c>
      <c r="BY620" s="7">
        <f t="shared" si="3203"/>
        <v>973137.59276412718</v>
      </c>
      <c r="BZ620" s="39">
        <f t="shared" si="3171"/>
        <v>961363.21773729101</v>
      </c>
      <c r="CA620" s="39">
        <f t="shared" si="3172"/>
        <v>949588.84271045483</v>
      </c>
      <c r="CB620" s="39">
        <f t="shared" si="3173"/>
        <v>937814.46768361866</v>
      </c>
      <c r="CC620" s="39">
        <f t="shared" si="3174"/>
        <v>926040.09265678248</v>
      </c>
      <c r="CD620" s="39">
        <f t="shared" si="3175"/>
        <v>914265.7176299463</v>
      </c>
      <c r="CE620" s="39">
        <f t="shared" si="3176"/>
        <v>902491.34260311013</v>
      </c>
      <c r="CF620" s="39">
        <f t="shared" si="3177"/>
        <v>890716.96757627395</v>
      </c>
      <c r="CG620" s="39">
        <f t="shared" si="3178"/>
        <v>878942.59254943777</v>
      </c>
      <c r="CH620" s="39">
        <f t="shared" si="3179"/>
        <v>867168.2175226016</v>
      </c>
      <c r="CI620" s="39">
        <f t="shared" si="3180"/>
        <v>855393.84249576542</v>
      </c>
      <c r="CJ620" s="39">
        <f t="shared" si="3204"/>
        <v>843619.46746892924</v>
      </c>
      <c r="CK620" s="236">
        <f>IF(AO620&lt;1,0,SUM(BY620:CJ620,BU620)/13*$BG$1)</f>
        <v>20113.845787858816</v>
      </c>
      <c r="CL620" s="39">
        <v>11774.375026836156</v>
      </c>
      <c r="CM620" s="39">
        <f t="shared" si="3240"/>
        <v>141292.50032203388</v>
      </c>
      <c r="CN620" s="7">
        <f t="shared" si="3207"/>
        <v>831845.09244209307</v>
      </c>
      <c r="CO620" s="39">
        <f t="shared" si="3208"/>
        <v>820070.71741525689</v>
      </c>
      <c r="CP620" s="39">
        <f t="shared" si="3209"/>
        <v>808296.34238842071</v>
      </c>
      <c r="CQ620" s="39">
        <f t="shared" si="3210"/>
        <v>796521.96736158454</v>
      </c>
      <c r="CR620" s="39">
        <f t="shared" si="3211"/>
        <v>784747.59233474836</v>
      </c>
      <c r="CS620" s="39">
        <f t="shared" si="3212"/>
        <v>772973.21730791219</v>
      </c>
      <c r="CT620" s="39">
        <f t="shared" si="3213"/>
        <v>761198.84228107601</v>
      </c>
      <c r="CU620" s="39">
        <f t="shared" si="3214"/>
        <v>749424.46725423983</v>
      </c>
      <c r="CV620" s="39">
        <f t="shared" si="3215"/>
        <v>737650.09222740366</v>
      </c>
      <c r="CW620" s="39">
        <f t="shared" si="3216"/>
        <v>725875.71720056748</v>
      </c>
      <c r="CX620" s="39">
        <f t="shared" si="3217"/>
        <v>714101.3421737313</v>
      </c>
      <c r="CY620" s="39">
        <f t="shared" si="3218"/>
        <v>702326.96714689513</v>
      </c>
      <c r="CZ620" s="236">
        <f>IF(BF620&lt;1,0,SUM(CN620:CY620,CJ620)/13*$BG$1)</f>
        <v>17005.410780774066</v>
      </c>
    </row>
    <row r="621" spans="1:104" ht="24" customHeight="1" x14ac:dyDescent="0.2">
      <c r="A621" s="37" t="s">
        <v>104</v>
      </c>
      <c r="B621">
        <v>1929</v>
      </c>
      <c r="C621" t="s">
        <v>67</v>
      </c>
      <c r="D621" t="s">
        <v>2624</v>
      </c>
      <c r="E621" s="36">
        <v>44944</v>
      </c>
      <c r="F621" t="s">
        <v>69</v>
      </c>
      <c r="G621" s="26">
        <v>60</v>
      </c>
      <c r="H621" s="11"/>
      <c r="K621" s="8">
        <v>0</v>
      </c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B621" s="218">
        <f>47483.33/G621</f>
        <v>791.38883333333331</v>
      </c>
      <c r="AC621" s="44">
        <f>AB621*11</f>
        <v>8705.2771666666667</v>
      </c>
      <c r="AD621" s="7">
        <f>47483.33</f>
        <v>47483.33</v>
      </c>
      <c r="AE621" s="39">
        <f>AD621-$AB621</f>
        <v>46691.941166666671</v>
      </c>
      <c r="AF621" s="39">
        <f>AE621-$AB621</f>
        <v>45900.55233333334</v>
      </c>
      <c r="AG621" s="39">
        <f>AF621-$AB621</f>
        <v>45109.16350000001</v>
      </c>
      <c r="AH621" s="39">
        <f t="shared" ref="AH621:AO621" si="3314">AG621-$AB621</f>
        <v>44317.774666666679</v>
      </c>
      <c r="AI621" s="39">
        <f t="shared" si="3314"/>
        <v>43526.385833333348</v>
      </c>
      <c r="AJ621" s="39">
        <f t="shared" si="3314"/>
        <v>42734.997000000018</v>
      </c>
      <c r="AK621" s="39">
        <f t="shared" si="3314"/>
        <v>41943.608166666687</v>
      </c>
      <c r="AL621" s="39">
        <f t="shared" si="3314"/>
        <v>41152.219333333356</v>
      </c>
      <c r="AM621" s="39">
        <f t="shared" si="3314"/>
        <v>40360.830500000025</v>
      </c>
      <c r="AN621" s="39">
        <f t="shared" si="3314"/>
        <v>39569.441666666695</v>
      </c>
      <c r="AO621" s="39">
        <f t="shared" si="3314"/>
        <v>38778.052833333364</v>
      </c>
      <c r="AP621" s="222"/>
      <c r="AQ621" s="7">
        <v>791.38883333333331</v>
      </c>
      <c r="AR621" s="7">
        <f t="shared" si="3133"/>
        <v>791.38883333333069</v>
      </c>
      <c r="AS621" s="7">
        <f t="shared" si="3134"/>
        <v>-2.6147972675971687E-12</v>
      </c>
      <c r="AT621" s="7">
        <f>AQ621*12</f>
        <v>9496.6659999999993</v>
      </c>
      <c r="AU621" s="39">
        <f t="shared" si="3306"/>
        <v>37986.664000000033</v>
      </c>
      <c r="AV621" s="39">
        <f t="shared" si="3313"/>
        <v>37195.275166666703</v>
      </c>
      <c r="AW621" s="39">
        <f t="shared" si="3313"/>
        <v>36403.886333333372</v>
      </c>
      <c r="AX621" s="39">
        <f t="shared" ref="AX621:BF621" si="3315">AW621-$AQ621</f>
        <v>35612.497500000041</v>
      </c>
      <c r="AY621" s="39">
        <f t="shared" si="3315"/>
        <v>34821.108666666711</v>
      </c>
      <c r="AZ621" s="39">
        <f t="shared" si="3315"/>
        <v>34029.71983333338</v>
      </c>
      <c r="BA621" s="39">
        <f t="shared" si="3315"/>
        <v>33238.331000000049</v>
      </c>
      <c r="BB621" s="39">
        <f t="shared" si="3315"/>
        <v>32446.942166666715</v>
      </c>
      <c r="BC621" s="39">
        <f t="shared" si="3315"/>
        <v>31655.553333333381</v>
      </c>
      <c r="BD621" s="39">
        <f t="shared" si="3315"/>
        <v>30864.164500000046</v>
      </c>
      <c r="BE621" s="39">
        <f t="shared" si="3315"/>
        <v>30072.775666666712</v>
      </c>
      <c r="BF621" s="39">
        <f t="shared" si="3315"/>
        <v>29281.386833333378</v>
      </c>
      <c r="BG621" s="236">
        <f t="shared" si="3236"/>
        <v>0</v>
      </c>
      <c r="BH621" s="7">
        <v>791.38883333333331</v>
      </c>
      <c r="BI621" s="7">
        <f t="shared" si="3200"/>
        <v>9496.6659999999993</v>
      </c>
      <c r="BJ621" s="7">
        <f t="shared" si="3308"/>
        <v>28489.998000000043</v>
      </c>
      <c r="BK621" s="39">
        <f t="shared" si="3155"/>
        <v>27698.609166666709</v>
      </c>
      <c r="BL621" s="39">
        <f t="shared" si="3156"/>
        <v>26907.220333333375</v>
      </c>
      <c r="BM621" s="39">
        <f t="shared" si="3157"/>
        <v>26115.83150000004</v>
      </c>
      <c r="BN621" s="39">
        <f t="shared" si="3158"/>
        <v>25324.442666666706</v>
      </c>
      <c r="BO621" s="39">
        <f t="shared" si="3164"/>
        <v>24533.053833333372</v>
      </c>
      <c r="BP621" s="39">
        <f t="shared" si="3165"/>
        <v>23741.665000000037</v>
      </c>
      <c r="BQ621" s="39">
        <f t="shared" si="3166"/>
        <v>22950.276166666703</v>
      </c>
      <c r="BR621" s="39">
        <f t="shared" si="3167"/>
        <v>22158.887333333369</v>
      </c>
      <c r="BS621" s="39">
        <f t="shared" si="3168"/>
        <v>21367.498500000034</v>
      </c>
      <c r="BT621" s="39">
        <f t="shared" si="3169"/>
        <v>20576.1096666667</v>
      </c>
      <c r="BU621" s="39">
        <f t="shared" si="3170"/>
        <v>19784.720833333366</v>
      </c>
      <c r="BV621" s="236">
        <f>IF(Z621&lt;1,0,SUM(BJ621:BU621,BF621)/13*$BG$1)</f>
        <v>0</v>
      </c>
      <c r="BW621" s="7">
        <v>791.38883333333331</v>
      </c>
      <c r="BX621" s="7">
        <f t="shared" si="3202"/>
        <v>9496.6659999999993</v>
      </c>
      <c r="BY621" s="7">
        <f t="shared" si="3203"/>
        <v>18993.332000000031</v>
      </c>
      <c r="BZ621" s="39">
        <f t="shared" si="3171"/>
        <v>18201.943166666697</v>
      </c>
      <c r="CA621" s="39">
        <f t="shared" si="3172"/>
        <v>17410.554333333363</v>
      </c>
      <c r="CB621" s="39">
        <f t="shared" si="3173"/>
        <v>16619.165500000028</v>
      </c>
      <c r="CC621" s="39">
        <f t="shared" si="3174"/>
        <v>15827.776666666696</v>
      </c>
      <c r="CD621" s="39">
        <f t="shared" si="3175"/>
        <v>15036.387833333363</v>
      </c>
      <c r="CE621" s="39">
        <f t="shared" si="3176"/>
        <v>14244.999000000031</v>
      </c>
      <c r="CF621" s="39">
        <f t="shared" si="3177"/>
        <v>13453.610166666698</v>
      </c>
      <c r="CG621" s="39">
        <f t="shared" si="3178"/>
        <v>12662.221333333366</v>
      </c>
      <c r="CH621" s="39">
        <f t="shared" si="3179"/>
        <v>11870.832500000033</v>
      </c>
      <c r="CI621" s="39">
        <f t="shared" si="3180"/>
        <v>11079.443666666701</v>
      </c>
      <c r="CJ621" s="39">
        <f t="shared" si="3204"/>
        <v>10288.054833333368</v>
      </c>
      <c r="CK621" s="236">
        <v>0</v>
      </c>
      <c r="CL621" s="7">
        <v>791.38883333333331</v>
      </c>
      <c r="CM621" s="7">
        <f t="shared" si="3240"/>
        <v>9496.6659999999993</v>
      </c>
      <c r="CN621" s="7">
        <f t="shared" si="3207"/>
        <v>9496.6660000000356</v>
      </c>
      <c r="CO621" s="39">
        <f t="shared" si="3208"/>
        <v>8705.2771666667031</v>
      </c>
      <c r="CP621" s="39">
        <f t="shared" si="3209"/>
        <v>7913.8883333333697</v>
      </c>
      <c r="CQ621" s="39">
        <f t="shared" si="3210"/>
        <v>7122.4995000000363</v>
      </c>
      <c r="CR621" s="39">
        <f t="shared" si="3211"/>
        <v>6331.1106666667029</v>
      </c>
      <c r="CS621" s="39">
        <f t="shared" si="3212"/>
        <v>5539.7218333333694</v>
      </c>
      <c r="CT621" s="39">
        <f t="shared" si="3213"/>
        <v>4748.333000000036</v>
      </c>
      <c r="CU621" s="39">
        <f t="shared" si="3214"/>
        <v>3956.9441666667026</v>
      </c>
      <c r="CV621" s="39">
        <f t="shared" si="3215"/>
        <v>3165.5553333333692</v>
      </c>
      <c r="CW621" s="39">
        <f t="shared" si="3216"/>
        <v>2374.1665000000357</v>
      </c>
      <c r="CX621" s="39">
        <f t="shared" si="3217"/>
        <v>1582.7776666667023</v>
      </c>
      <c r="CY621" s="39">
        <f t="shared" si="3218"/>
        <v>791.38883333336901</v>
      </c>
      <c r="CZ621" s="236">
        <v>0</v>
      </c>
    </row>
    <row r="622" spans="1:104" ht="24" customHeight="1" x14ac:dyDescent="0.2">
      <c r="A622" s="37" t="s">
        <v>105</v>
      </c>
      <c r="B622">
        <v>1930</v>
      </c>
      <c r="C622" t="s">
        <v>41</v>
      </c>
      <c r="D622" t="s">
        <v>2624</v>
      </c>
      <c r="E622" s="36">
        <v>44970</v>
      </c>
      <c r="F622" t="s">
        <v>44</v>
      </c>
      <c r="G622" s="186">
        <v>180</v>
      </c>
      <c r="H622" s="11"/>
      <c r="K622" s="8">
        <v>1</v>
      </c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218">
        <f>AE622/G622</f>
        <v>1021.8759444444445</v>
      </c>
      <c r="AC622" s="44">
        <f>AB622*10</f>
        <v>10218.759444444444</v>
      </c>
      <c r="AD622" s="7"/>
      <c r="AE622" s="7">
        <v>183937.67</v>
      </c>
      <c r="AF622" s="39">
        <f>AE622-$AB622</f>
        <v>182915.79405555557</v>
      </c>
      <c r="AG622" s="39">
        <f t="shared" ref="AG622:AO622" si="3316">AF622-$AB622</f>
        <v>181893.91811111112</v>
      </c>
      <c r="AH622" s="39">
        <f t="shared" si="3316"/>
        <v>180872.04216666668</v>
      </c>
      <c r="AI622" s="39">
        <f t="shared" si="3316"/>
        <v>179850.16622222224</v>
      </c>
      <c r="AJ622" s="39">
        <f t="shared" si="3316"/>
        <v>178828.29027777779</v>
      </c>
      <c r="AK622" s="39">
        <f t="shared" si="3316"/>
        <v>177806.41433333335</v>
      </c>
      <c r="AL622" s="39">
        <f t="shared" si="3316"/>
        <v>176784.5383888889</v>
      </c>
      <c r="AM622" s="39">
        <f t="shared" si="3316"/>
        <v>175762.66244444446</v>
      </c>
      <c r="AN622" s="39">
        <f t="shared" si="3316"/>
        <v>174740.78650000002</v>
      </c>
      <c r="AO622" s="39">
        <f t="shared" si="3316"/>
        <v>173718.91055555557</v>
      </c>
      <c r="AP622" s="222">
        <f t="shared" ref="AP622:AP629" si="3317">IF(K622&lt;1,0,SUM(AD622:AO622,Z622)/13*$BG$1)</f>
        <v>3328.957403632478</v>
      </c>
      <c r="AQ622" s="7">
        <v>1021.8759444444445</v>
      </c>
      <c r="AR622" s="7">
        <f t="shared" si="3133"/>
        <v>1021.875944444444</v>
      </c>
      <c r="AS622" s="7">
        <f t="shared" si="3134"/>
        <v>0</v>
      </c>
      <c r="AT622" s="7">
        <f>AQ622*12</f>
        <v>12262.511333333334</v>
      </c>
      <c r="AU622" s="39">
        <f t="shared" si="3306"/>
        <v>172697.03461111113</v>
      </c>
      <c r="AV622" s="39">
        <f t="shared" si="3313"/>
        <v>171675.15866666668</v>
      </c>
      <c r="AW622" s="39">
        <f t="shared" si="3313"/>
        <v>170653.28272222224</v>
      </c>
      <c r="AX622" s="39">
        <f t="shared" ref="AX622:BF622" si="3318">AW622-$AQ622</f>
        <v>169631.4067777778</v>
      </c>
      <c r="AY622" s="39">
        <f t="shared" si="3318"/>
        <v>168609.53083333335</v>
      </c>
      <c r="AZ622" s="39">
        <f t="shared" si="3318"/>
        <v>167587.65488888891</v>
      </c>
      <c r="BA622" s="39">
        <f t="shared" si="3318"/>
        <v>166565.77894444446</v>
      </c>
      <c r="BB622" s="39">
        <f t="shared" si="3318"/>
        <v>165543.90300000002</v>
      </c>
      <c r="BC622" s="39">
        <f t="shared" si="3318"/>
        <v>164522.02705555558</v>
      </c>
      <c r="BD622" s="39">
        <f t="shared" si="3318"/>
        <v>163500.15111111113</v>
      </c>
      <c r="BE622" s="39">
        <f t="shared" si="3318"/>
        <v>162478.27516666669</v>
      </c>
      <c r="BF622" s="39">
        <f t="shared" si="3318"/>
        <v>161456.39922222224</v>
      </c>
      <c r="BG622" s="236">
        <f t="shared" si="3236"/>
        <v>3686.9284075555552</v>
      </c>
      <c r="BH622" s="7">
        <v>1021.8759444444445</v>
      </c>
      <c r="BI622" s="7">
        <f t="shared" si="3200"/>
        <v>12262.511333333334</v>
      </c>
      <c r="BJ622" s="7">
        <f t="shared" si="3308"/>
        <v>160434.5232777778</v>
      </c>
      <c r="BK622" s="39">
        <f t="shared" si="3155"/>
        <v>159412.64733333336</v>
      </c>
      <c r="BL622" s="39">
        <f t="shared" si="3156"/>
        <v>158390.77138888891</v>
      </c>
      <c r="BM622" s="39">
        <f t="shared" si="3157"/>
        <v>157368.89544444447</v>
      </c>
      <c r="BN622" s="39">
        <f t="shared" si="3158"/>
        <v>156347.01950000002</v>
      </c>
      <c r="BO622" s="39">
        <f t="shared" si="3164"/>
        <v>155325.14355555558</v>
      </c>
      <c r="BP622" s="39">
        <f t="shared" si="3165"/>
        <v>154303.26761111114</v>
      </c>
      <c r="BQ622" s="39">
        <f t="shared" si="3166"/>
        <v>153281.39166666669</v>
      </c>
      <c r="BR622" s="39">
        <f t="shared" si="3167"/>
        <v>152259.51572222225</v>
      </c>
      <c r="BS622" s="39">
        <f t="shared" si="3168"/>
        <v>151237.6397777778</v>
      </c>
      <c r="BT622" s="39">
        <f t="shared" si="3169"/>
        <v>150215.76383333336</v>
      </c>
      <c r="BU622" s="39">
        <f t="shared" si="3170"/>
        <v>149193.88788888892</v>
      </c>
      <c r="BV622" s="236">
        <f>IF(AE622&lt;1,0,SUM(BJ622:BU622,BF622)/13*$BG$1)</f>
        <v>3417.1531582222219</v>
      </c>
      <c r="BW622" s="7">
        <v>1021.8759444444445</v>
      </c>
      <c r="BX622" s="7">
        <f t="shared" si="3202"/>
        <v>12262.511333333334</v>
      </c>
      <c r="BY622" s="7">
        <f t="shared" si="3203"/>
        <v>148172.01194444447</v>
      </c>
      <c r="BZ622" s="39">
        <f t="shared" si="3171"/>
        <v>147150.13600000003</v>
      </c>
      <c r="CA622" s="39">
        <f t="shared" si="3172"/>
        <v>146128.26005555558</v>
      </c>
      <c r="CB622" s="39">
        <f t="shared" si="3173"/>
        <v>145106.38411111114</v>
      </c>
      <c r="CC622" s="39">
        <f t="shared" si="3174"/>
        <v>144084.5081666667</v>
      </c>
      <c r="CD622" s="39">
        <f t="shared" si="3175"/>
        <v>143062.63222222225</v>
      </c>
      <c r="CE622" s="39">
        <f t="shared" si="3176"/>
        <v>142040.75627777781</v>
      </c>
      <c r="CF622" s="39">
        <f t="shared" si="3177"/>
        <v>141018.88033333336</v>
      </c>
      <c r="CG622" s="39">
        <f t="shared" si="3178"/>
        <v>139997.00438888892</v>
      </c>
      <c r="CH622" s="39">
        <f t="shared" si="3179"/>
        <v>138975.12844444448</v>
      </c>
      <c r="CI622" s="39">
        <f t="shared" si="3180"/>
        <v>137953.25250000003</v>
      </c>
      <c r="CJ622" s="39">
        <f t="shared" si="3204"/>
        <v>136931.37655555559</v>
      </c>
      <c r="CK622" s="236">
        <f>IF(AV622&lt;1,0,SUM(BY622:CJ622,BU622)/13*$BG$1)</f>
        <v>3147.3779088888887</v>
      </c>
      <c r="CL622" s="7">
        <v>1021.8759444444445</v>
      </c>
      <c r="CM622" s="7">
        <f t="shared" si="3240"/>
        <v>12262.511333333334</v>
      </c>
      <c r="CN622" s="7">
        <f t="shared" si="3207"/>
        <v>135909.50061111114</v>
      </c>
      <c r="CO622" s="39">
        <f t="shared" si="3208"/>
        <v>134887.6246666667</v>
      </c>
      <c r="CP622" s="39">
        <f t="shared" si="3209"/>
        <v>133865.74872222226</v>
      </c>
      <c r="CQ622" s="39">
        <f t="shared" si="3210"/>
        <v>132843.87277777781</v>
      </c>
      <c r="CR622" s="39">
        <f t="shared" si="3211"/>
        <v>131821.99683333337</v>
      </c>
      <c r="CS622" s="39">
        <f t="shared" si="3212"/>
        <v>130800.12088888892</v>
      </c>
      <c r="CT622" s="39">
        <f t="shared" si="3213"/>
        <v>129778.24494444448</v>
      </c>
      <c r="CU622" s="39">
        <f t="shared" si="3214"/>
        <v>128756.36900000004</v>
      </c>
      <c r="CV622" s="39">
        <f t="shared" si="3215"/>
        <v>127734.49305555559</v>
      </c>
      <c r="CW622" s="39">
        <f t="shared" si="3216"/>
        <v>126712.61711111115</v>
      </c>
      <c r="CX622" s="39">
        <f t="shared" si="3217"/>
        <v>125690.7411666667</v>
      </c>
      <c r="CY622" s="39">
        <f t="shared" si="3218"/>
        <v>124668.86522222226</v>
      </c>
      <c r="CZ622" s="236">
        <f>IF(BK622&lt;1,0,SUM(CN622:CY622,CJ622)/13*$BG$1)</f>
        <v>2877.6026595555554</v>
      </c>
    </row>
    <row r="623" spans="1:104" ht="24" customHeight="1" x14ac:dyDescent="0.2">
      <c r="A623" s="34" t="s">
        <v>84</v>
      </c>
      <c r="B623">
        <v>1931</v>
      </c>
      <c r="C623" t="s">
        <v>41</v>
      </c>
      <c r="D623" t="s">
        <v>2624</v>
      </c>
      <c r="E623" s="36">
        <v>44985</v>
      </c>
      <c r="F623" t="s">
        <v>44</v>
      </c>
      <c r="G623" s="186">
        <v>300</v>
      </c>
      <c r="H623" s="11"/>
      <c r="K623" s="8">
        <v>1</v>
      </c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218">
        <f>AE623/G623</f>
        <v>2088.9710666666665</v>
      </c>
      <c r="AC623" s="44">
        <f>AB623*10</f>
        <v>20889.710666666666</v>
      </c>
      <c r="AD623" s="7"/>
      <c r="AE623" s="7">
        <v>626691.31999999995</v>
      </c>
      <c r="AF623" s="39">
        <f>AE623-$AB623</f>
        <v>624602.3489333333</v>
      </c>
      <c r="AG623" s="39">
        <f t="shared" ref="AG623:AN623" si="3319">AF623-$AB623</f>
        <v>622513.37786666665</v>
      </c>
      <c r="AH623" s="39">
        <f t="shared" si="3319"/>
        <v>620424.4068</v>
      </c>
      <c r="AI623" s="39">
        <f t="shared" si="3319"/>
        <v>618335.43573333335</v>
      </c>
      <c r="AJ623" s="39">
        <f t="shared" si="3319"/>
        <v>616246.4646666667</v>
      </c>
      <c r="AK623" s="39">
        <f t="shared" si="3319"/>
        <v>614157.49360000005</v>
      </c>
      <c r="AL623" s="39">
        <f t="shared" si="3319"/>
        <v>612068.52253333339</v>
      </c>
      <c r="AM623" s="39">
        <f t="shared" si="3319"/>
        <v>609979.55146666674</v>
      </c>
      <c r="AN623" s="39">
        <f t="shared" si="3319"/>
        <v>607890.58040000009</v>
      </c>
      <c r="AO623" s="39">
        <f>AN623-$AB623</f>
        <v>605801.60933333344</v>
      </c>
      <c r="AP623" s="222">
        <f t="shared" si="3317"/>
        <v>11471.664957641027</v>
      </c>
      <c r="AQ623" s="7">
        <v>2088.9710666666665</v>
      </c>
      <c r="AR623" s="7">
        <f t="shared" si="3133"/>
        <v>2088.9710666666506</v>
      </c>
      <c r="AS623" s="7">
        <f t="shared" si="3134"/>
        <v>-1.5916157281026244E-11</v>
      </c>
      <c r="AT623" s="7">
        <f t="shared" ref="AT623:AT643" si="3320">AQ623*12</f>
        <v>25067.652799999996</v>
      </c>
      <c r="AU623" s="39">
        <f t="shared" si="3306"/>
        <v>603712.63826666679</v>
      </c>
      <c r="AV623" s="39">
        <f t="shared" ref="AV623:BF623" si="3321">AU623-$AQ623</f>
        <v>601623.66720000014</v>
      </c>
      <c r="AW623" s="39">
        <f t="shared" si="3321"/>
        <v>599534.69613333349</v>
      </c>
      <c r="AX623" s="39">
        <f t="shared" si="3321"/>
        <v>597445.72506666684</v>
      </c>
      <c r="AY623" s="39">
        <f t="shared" si="3321"/>
        <v>595356.75400000019</v>
      </c>
      <c r="AZ623" s="39">
        <f t="shared" si="3321"/>
        <v>593267.78293333354</v>
      </c>
      <c r="BA623" s="39">
        <f t="shared" si="3321"/>
        <v>591178.81186666689</v>
      </c>
      <c r="BB623" s="39">
        <f t="shared" si="3321"/>
        <v>589089.84080000024</v>
      </c>
      <c r="BC623" s="39">
        <f t="shared" si="3321"/>
        <v>587000.86973333359</v>
      </c>
      <c r="BD623" s="39">
        <f t="shared" si="3321"/>
        <v>584911.89866666694</v>
      </c>
      <c r="BE623" s="39">
        <f t="shared" si="3321"/>
        <v>582822.92760000029</v>
      </c>
      <c r="BF623" s="39">
        <f t="shared" si="3321"/>
        <v>580733.95653333364</v>
      </c>
      <c r="BG623" s="236">
        <f t="shared" si="3236"/>
        <v>13051.891224533334</v>
      </c>
      <c r="BH623" s="7">
        <v>2088.9710666666665</v>
      </c>
      <c r="BI623" s="7">
        <f t="shared" si="3200"/>
        <v>25067.652799999996</v>
      </c>
      <c r="BJ623" s="7">
        <f t="shared" si="3308"/>
        <v>578644.98546666699</v>
      </c>
      <c r="BK623" s="39">
        <f t="shared" si="3155"/>
        <v>576556.01440000033</v>
      </c>
      <c r="BL623" s="39">
        <f t="shared" si="3156"/>
        <v>574467.04333333368</v>
      </c>
      <c r="BM623" s="39">
        <f t="shared" si="3157"/>
        <v>572378.07226666703</v>
      </c>
      <c r="BN623" s="39">
        <f t="shared" si="3158"/>
        <v>570289.10120000038</v>
      </c>
      <c r="BO623" s="39">
        <f t="shared" si="3164"/>
        <v>568200.13013333373</v>
      </c>
      <c r="BP623" s="39">
        <f t="shared" si="3165"/>
        <v>566111.15906666708</v>
      </c>
      <c r="BQ623" s="39">
        <f t="shared" si="3166"/>
        <v>564022.18800000043</v>
      </c>
      <c r="BR623" s="39">
        <f t="shared" si="3167"/>
        <v>561933.21693333378</v>
      </c>
      <c r="BS623" s="39">
        <f t="shared" si="3168"/>
        <v>559844.24586666713</v>
      </c>
      <c r="BT623" s="39">
        <f t="shared" si="3169"/>
        <v>557755.27480000048</v>
      </c>
      <c r="BU623" s="39">
        <f t="shared" si="3170"/>
        <v>555666.30373333383</v>
      </c>
      <c r="BV623" s="236">
        <f>IF(AE623&lt;1,0,SUM(BJ623:BU623,BF623)/13*$BG$1)</f>
        <v>12500.402862933341</v>
      </c>
      <c r="BW623" s="7">
        <v>2088.9710666666665</v>
      </c>
      <c r="BX623" s="7">
        <f t="shared" si="3202"/>
        <v>25067.652799999996</v>
      </c>
      <c r="BY623" s="7">
        <f t="shared" si="3203"/>
        <v>553577.33266666718</v>
      </c>
      <c r="BZ623" s="39">
        <f t="shared" si="3171"/>
        <v>551488.36160000053</v>
      </c>
      <c r="CA623" s="39">
        <f t="shared" si="3172"/>
        <v>549399.39053333388</v>
      </c>
      <c r="CB623" s="39">
        <f t="shared" si="3173"/>
        <v>547310.41946666723</v>
      </c>
      <c r="CC623" s="39">
        <f t="shared" si="3174"/>
        <v>545221.44840000058</v>
      </c>
      <c r="CD623" s="39">
        <f t="shared" si="3175"/>
        <v>543132.47733333393</v>
      </c>
      <c r="CE623" s="39">
        <f t="shared" si="3176"/>
        <v>541043.50626666727</v>
      </c>
      <c r="CF623" s="39">
        <f t="shared" si="3177"/>
        <v>538954.53520000062</v>
      </c>
      <c r="CG623" s="39">
        <f t="shared" si="3178"/>
        <v>536865.56413333397</v>
      </c>
      <c r="CH623" s="39">
        <f t="shared" si="3179"/>
        <v>534776.59306666732</v>
      </c>
      <c r="CI623" s="39">
        <f t="shared" si="3180"/>
        <v>532687.62200000067</v>
      </c>
      <c r="CJ623" s="39">
        <f t="shared" si="3204"/>
        <v>530598.65093333402</v>
      </c>
      <c r="CK623" s="236">
        <f>IF(AV623&lt;1,0,SUM(BY623:CJ623,BU623)/13*$BG$1)</f>
        <v>11948.914501333344</v>
      </c>
      <c r="CL623" s="7">
        <v>2088.9710666666665</v>
      </c>
      <c r="CM623" s="7">
        <f t="shared" si="3240"/>
        <v>25067.652799999996</v>
      </c>
      <c r="CN623" s="7">
        <f t="shared" si="3207"/>
        <v>528509.67986666737</v>
      </c>
      <c r="CO623" s="39">
        <f t="shared" si="3208"/>
        <v>526420.70880000072</v>
      </c>
      <c r="CP623" s="39">
        <f t="shared" si="3209"/>
        <v>524331.73773333407</v>
      </c>
      <c r="CQ623" s="39">
        <f t="shared" si="3210"/>
        <v>522242.76666666742</v>
      </c>
      <c r="CR623" s="39">
        <f t="shared" si="3211"/>
        <v>520153.79560000077</v>
      </c>
      <c r="CS623" s="39">
        <f t="shared" si="3212"/>
        <v>518064.82453333412</v>
      </c>
      <c r="CT623" s="39">
        <f t="shared" si="3213"/>
        <v>515975.85346666747</v>
      </c>
      <c r="CU623" s="39">
        <f t="shared" si="3214"/>
        <v>513886.88240000082</v>
      </c>
      <c r="CV623" s="39">
        <f t="shared" si="3215"/>
        <v>511797.91133333417</v>
      </c>
      <c r="CW623" s="39">
        <f t="shared" si="3216"/>
        <v>509708.94026666752</v>
      </c>
      <c r="CX623" s="39">
        <f t="shared" si="3217"/>
        <v>507619.96920000087</v>
      </c>
      <c r="CY623" s="39">
        <f t="shared" si="3218"/>
        <v>505530.99813333421</v>
      </c>
      <c r="CZ623" s="236">
        <f>IF(BK623&lt;1,0,SUM(CN623:CY623,CJ623)/13*$BG$1)</f>
        <v>11397.42613973335</v>
      </c>
    </row>
    <row r="624" spans="1:104" ht="24" customHeight="1" x14ac:dyDescent="0.2">
      <c r="A624" s="37" t="s">
        <v>107</v>
      </c>
      <c r="B624">
        <v>1932</v>
      </c>
      <c r="C624" t="s">
        <v>41</v>
      </c>
      <c r="D624" t="s">
        <v>42</v>
      </c>
      <c r="E624" s="36">
        <v>44985</v>
      </c>
      <c r="F624" t="s">
        <v>44</v>
      </c>
      <c r="G624" s="186">
        <v>180</v>
      </c>
      <c r="H624" s="11"/>
      <c r="K624" s="8">
        <v>1</v>
      </c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219">
        <f>AE624/G624</f>
        <v>3680.5503888888884</v>
      </c>
      <c r="AC624" s="44">
        <f>AB624*10</f>
        <v>36805.503888888881</v>
      </c>
      <c r="AD624" s="7"/>
      <c r="AE624" s="39">
        <v>662499.06999999995</v>
      </c>
      <c r="AF624" s="39">
        <f>AE624-$AB624</f>
        <v>658818.51961111103</v>
      </c>
      <c r="AG624" s="39">
        <f t="shared" ref="AG624:AN624" si="3322">AF624-$AB624</f>
        <v>655137.96922222211</v>
      </c>
      <c r="AH624" s="39">
        <f t="shared" si="3322"/>
        <v>651457.41883333318</v>
      </c>
      <c r="AI624" s="39">
        <f t="shared" si="3322"/>
        <v>647776.86844444426</v>
      </c>
      <c r="AJ624" s="39">
        <f t="shared" si="3322"/>
        <v>644096.31805555534</v>
      </c>
      <c r="AK624" s="39">
        <f t="shared" si="3322"/>
        <v>640415.76766666642</v>
      </c>
      <c r="AL624" s="39">
        <f t="shared" si="3322"/>
        <v>636735.2172777775</v>
      </c>
      <c r="AM624" s="39">
        <f t="shared" si="3322"/>
        <v>633054.66688888858</v>
      </c>
      <c r="AN624" s="39">
        <f t="shared" si="3322"/>
        <v>629374.11649999965</v>
      </c>
      <c r="AO624" s="39">
        <f>AN624-$AB624</f>
        <v>625693.56611111073</v>
      </c>
      <c r="AP624" s="222">
        <f t="shared" si="3317"/>
        <v>11990.10068995726</v>
      </c>
      <c r="AQ624" s="7">
        <v>3680.5503888888884</v>
      </c>
      <c r="AR624" s="7">
        <f t="shared" si="3133"/>
        <v>3680.5503888889216</v>
      </c>
      <c r="AS624" s="7">
        <f t="shared" si="3134"/>
        <v>3.3196556614711881E-11</v>
      </c>
      <c r="AT624" s="7">
        <f>AQ624*12</f>
        <v>44166.604666666659</v>
      </c>
      <c r="AU624" s="39">
        <f t="shared" si="3306"/>
        <v>622013.01572222181</v>
      </c>
      <c r="AV624" s="39">
        <f t="shared" ref="AV624:BF624" si="3323">AU624-$AQ624</f>
        <v>618332.46533333289</v>
      </c>
      <c r="AW624" s="39">
        <f t="shared" si="3323"/>
        <v>614651.91494444397</v>
      </c>
      <c r="AX624" s="39">
        <f t="shared" si="3323"/>
        <v>610971.36455555505</v>
      </c>
      <c r="AY624" s="39">
        <f t="shared" si="3323"/>
        <v>607290.81416666612</v>
      </c>
      <c r="AZ624" s="39">
        <f t="shared" si="3323"/>
        <v>603610.2637777772</v>
      </c>
      <c r="BA624" s="39">
        <f t="shared" si="3323"/>
        <v>599929.71338888828</v>
      </c>
      <c r="BB624" s="39">
        <f t="shared" si="3323"/>
        <v>596249.16299999936</v>
      </c>
      <c r="BC624" s="39">
        <f t="shared" si="3323"/>
        <v>592568.61261111044</v>
      </c>
      <c r="BD624" s="39">
        <f t="shared" si="3323"/>
        <v>588888.06222222152</v>
      </c>
      <c r="BE624" s="39">
        <f t="shared" si="3323"/>
        <v>585207.5118333326</v>
      </c>
      <c r="BF624" s="39">
        <f t="shared" si="3323"/>
        <v>581526.96144444367</v>
      </c>
      <c r="BG624" s="236">
        <f t="shared" si="3236"/>
        <v>13279.4258031111</v>
      </c>
      <c r="BH624" s="7">
        <v>3680.5503888888884</v>
      </c>
      <c r="BI624" s="7">
        <f t="shared" si="3200"/>
        <v>44166.604666666659</v>
      </c>
      <c r="BJ624" s="7">
        <f t="shared" si="3308"/>
        <v>577846.41105555475</v>
      </c>
      <c r="BK624" s="39">
        <f t="shared" si="3155"/>
        <v>574165.86066666583</v>
      </c>
      <c r="BL624" s="39">
        <f t="shared" si="3156"/>
        <v>570485.31027777691</v>
      </c>
      <c r="BM624" s="39">
        <f t="shared" si="3157"/>
        <v>566804.75988888799</v>
      </c>
      <c r="BN624" s="39">
        <f t="shared" si="3158"/>
        <v>563124.20949999907</v>
      </c>
      <c r="BO624" s="39">
        <f t="shared" si="3164"/>
        <v>559443.65911111014</v>
      </c>
      <c r="BP624" s="39">
        <f t="shared" si="3165"/>
        <v>555763.10872222122</v>
      </c>
      <c r="BQ624" s="39">
        <f t="shared" si="3166"/>
        <v>552082.5583333323</v>
      </c>
      <c r="BR624" s="39">
        <f t="shared" si="3167"/>
        <v>548402.00794444338</v>
      </c>
      <c r="BS624" s="39">
        <f t="shared" si="3168"/>
        <v>544721.45755555446</v>
      </c>
      <c r="BT624" s="39">
        <f t="shared" si="3169"/>
        <v>541040.90716666554</v>
      </c>
      <c r="BU624" s="39">
        <f t="shared" si="3170"/>
        <v>537360.35677777661</v>
      </c>
      <c r="BV624" s="236">
        <f>IF(AE624&lt;1,0,SUM(BJ624:BU624,BF624)/13*$BG$1)</f>
        <v>12307.760500444425</v>
      </c>
      <c r="BW624" s="7">
        <v>3680.5503888888884</v>
      </c>
      <c r="BX624" s="7">
        <f t="shared" si="3202"/>
        <v>44166.604666666659</v>
      </c>
      <c r="BY624" s="7">
        <f t="shared" si="3203"/>
        <v>533679.80638888769</v>
      </c>
      <c r="BZ624" s="39">
        <f t="shared" si="3171"/>
        <v>529999.25599999877</v>
      </c>
      <c r="CA624" s="39">
        <f t="shared" si="3172"/>
        <v>526318.70561110985</v>
      </c>
      <c r="CB624" s="39">
        <f t="shared" si="3173"/>
        <v>522638.15522222099</v>
      </c>
      <c r="CC624" s="39">
        <f t="shared" si="3174"/>
        <v>518957.60483333212</v>
      </c>
      <c r="CD624" s="39">
        <f t="shared" si="3175"/>
        <v>515277.05444444326</v>
      </c>
      <c r="CE624" s="39">
        <f t="shared" si="3176"/>
        <v>511596.5040555544</v>
      </c>
      <c r="CF624" s="39">
        <f t="shared" si="3177"/>
        <v>507915.95366666553</v>
      </c>
      <c r="CG624" s="39">
        <f t="shared" si="3178"/>
        <v>504235.40327777667</v>
      </c>
      <c r="CH624" s="39">
        <f t="shared" si="3179"/>
        <v>500554.85288888781</v>
      </c>
      <c r="CI624" s="39">
        <f t="shared" si="3180"/>
        <v>496874.30249999894</v>
      </c>
      <c r="CJ624" s="39">
        <f t="shared" si="3204"/>
        <v>493193.75211111008</v>
      </c>
      <c r="CK624" s="236">
        <f>IF(AV624&lt;1,0,SUM(BY624:CJ624,BU624)/13*$BG$1)</f>
        <v>11336.095197777753</v>
      </c>
      <c r="CL624" s="7">
        <v>3680.5503888888884</v>
      </c>
      <c r="CM624" s="7">
        <f t="shared" si="3240"/>
        <v>44166.604666666659</v>
      </c>
      <c r="CN624" s="7">
        <f t="shared" si="3207"/>
        <v>489513.20172222122</v>
      </c>
      <c r="CO624" s="39">
        <f t="shared" si="3208"/>
        <v>485832.65133333235</v>
      </c>
      <c r="CP624" s="39">
        <f t="shared" si="3209"/>
        <v>482152.10094444349</v>
      </c>
      <c r="CQ624" s="39">
        <f t="shared" si="3210"/>
        <v>478471.55055555463</v>
      </c>
      <c r="CR624" s="39">
        <f t="shared" si="3211"/>
        <v>474791.00016666576</v>
      </c>
      <c r="CS624" s="39">
        <f t="shared" si="3212"/>
        <v>471110.4497777769</v>
      </c>
      <c r="CT624" s="39">
        <f t="shared" si="3213"/>
        <v>467429.89938888804</v>
      </c>
      <c r="CU624" s="39">
        <f t="shared" si="3214"/>
        <v>463749.34899999917</v>
      </c>
      <c r="CV624" s="39">
        <f t="shared" si="3215"/>
        <v>460068.79861111031</v>
      </c>
      <c r="CW624" s="39">
        <f t="shared" si="3216"/>
        <v>456388.24822222145</v>
      </c>
      <c r="CX624" s="39">
        <f t="shared" si="3217"/>
        <v>452707.69783333258</v>
      </c>
      <c r="CY624" s="39">
        <f t="shared" si="3218"/>
        <v>449027.14744444372</v>
      </c>
      <c r="CZ624" s="236">
        <f>IF(BK624&lt;1,0,SUM(CN624:CY624,CJ624)/13*$BG$1)</f>
        <v>10364.42989511109</v>
      </c>
    </row>
    <row r="625" spans="1:104" ht="24" customHeight="1" x14ac:dyDescent="0.2">
      <c r="A625" s="37" t="s">
        <v>108</v>
      </c>
      <c r="B625">
        <v>1933</v>
      </c>
      <c r="C625" t="s">
        <v>41</v>
      </c>
      <c r="D625" t="s">
        <v>42</v>
      </c>
      <c r="E625" s="36">
        <v>44985</v>
      </c>
      <c r="F625" t="s">
        <v>44</v>
      </c>
      <c r="G625" s="186">
        <v>180</v>
      </c>
      <c r="H625" s="11"/>
      <c r="K625" s="8">
        <v>1</v>
      </c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219">
        <f>AE625/G625</f>
        <v>872.42716666666672</v>
      </c>
      <c r="AC625" s="44">
        <f>AB625*10</f>
        <v>8724.2716666666674</v>
      </c>
      <c r="AD625" s="7"/>
      <c r="AE625" s="7">
        <v>157036.89000000001</v>
      </c>
      <c r="AF625" s="39">
        <f>AE625-$AB625</f>
        <v>156164.46283333335</v>
      </c>
      <c r="AG625" s="39">
        <f>AF625-$AB625</f>
        <v>155292.03566666669</v>
      </c>
      <c r="AH625" s="39">
        <f t="shared" ref="AH625:AO625" si="3324">AG625-$AB625</f>
        <v>154419.60850000003</v>
      </c>
      <c r="AI625" s="39">
        <f t="shared" si="3324"/>
        <v>153547.18133333337</v>
      </c>
      <c r="AJ625" s="39">
        <f t="shared" si="3324"/>
        <v>152674.75416666671</v>
      </c>
      <c r="AK625" s="39">
        <f t="shared" si="3324"/>
        <v>151802.32700000005</v>
      </c>
      <c r="AL625" s="39">
        <f t="shared" si="3324"/>
        <v>150929.89983333339</v>
      </c>
      <c r="AM625" s="39">
        <f t="shared" si="3324"/>
        <v>150057.47266666673</v>
      </c>
      <c r="AN625" s="39">
        <f t="shared" si="3324"/>
        <v>149185.04550000007</v>
      </c>
      <c r="AO625" s="39">
        <f t="shared" si="3324"/>
        <v>148312.6183333334</v>
      </c>
      <c r="AP625" s="222">
        <f t="shared" si="3317"/>
        <v>2842.0992698717951</v>
      </c>
      <c r="AQ625" s="7">
        <v>872.42716666666672</v>
      </c>
      <c r="AR625" s="7">
        <f t="shared" si="3133"/>
        <v>872.42716666666092</v>
      </c>
      <c r="AS625" s="7">
        <f t="shared" si="3134"/>
        <v>-5.7980287238024175E-12</v>
      </c>
      <c r="AT625" s="7">
        <f>AQ625*12</f>
        <v>10469.126</v>
      </c>
      <c r="AU625" s="39">
        <f t="shared" si="3306"/>
        <v>147440.19116666674</v>
      </c>
      <c r="AV625" s="39">
        <f t="shared" ref="AV625:BF625" si="3325">AU625-$AQ625</f>
        <v>146567.76400000008</v>
      </c>
      <c r="AW625" s="39">
        <f>AV625-$AQ625</f>
        <v>145695.33683333342</v>
      </c>
      <c r="AX625" s="39">
        <f t="shared" si="3325"/>
        <v>144822.90966666676</v>
      </c>
      <c r="AY625" s="39">
        <f t="shared" si="3325"/>
        <v>143950.4825000001</v>
      </c>
      <c r="AZ625" s="39">
        <f t="shared" si="3325"/>
        <v>143078.05533333344</v>
      </c>
      <c r="BA625" s="39">
        <f t="shared" si="3325"/>
        <v>142205.62816666678</v>
      </c>
      <c r="BB625" s="39">
        <f t="shared" si="3325"/>
        <v>141333.20100000012</v>
      </c>
      <c r="BC625" s="39">
        <f t="shared" si="3325"/>
        <v>140460.77383333346</v>
      </c>
      <c r="BD625" s="39">
        <f t="shared" si="3325"/>
        <v>139588.3466666668</v>
      </c>
      <c r="BE625" s="39">
        <f t="shared" si="3325"/>
        <v>138715.91950000013</v>
      </c>
      <c r="BF625" s="39">
        <f t="shared" si="3325"/>
        <v>137843.49233333347</v>
      </c>
      <c r="BG625" s="236">
        <f t="shared" si="3236"/>
        <v>3147.7172173333356</v>
      </c>
      <c r="BH625" s="7">
        <v>872.42716666666672</v>
      </c>
      <c r="BI625" s="7">
        <f t="shared" si="3200"/>
        <v>10469.126</v>
      </c>
      <c r="BJ625" s="7">
        <f t="shared" si="3308"/>
        <v>136971.06516666681</v>
      </c>
      <c r="BK625" s="39">
        <f t="shared" si="3155"/>
        <v>136098.63800000015</v>
      </c>
      <c r="BL625" s="39">
        <f>BK625-$AQ625</f>
        <v>135226.21083333349</v>
      </c>
      <c r="BM625" s="39">
        <f t="shared" si="3157"/>
        <v>134353.78366666683</v>
      </c>
      <c r="BN625" s="39">
        <f t="shared" si="3158"/>
        <v>133481.35650000017</v>
      </c>
      <c r="BO625" s="39">
        <f t="shared" si="3164"/>
        <v>132608.92933333351</v>
      </c>
      <c r="BP625" s="39">
        <f t="shared" si="3165"/>
        <v>131736.50216666685</v>
      </c>
      <c r="BQ625" s="39">
        <f t="shared" si="3166"/>
        <v>130864.07500000019</v>
      </c>
      <c r="BR625" s="39">
        <f t="shared" si="3167"/>
        <v>129991.64783333353</v>
      </c>
      <c r="BS625" s="39">
        <f t="shared" si="3168"/>
        <v>129119.22066666686</v>
      </c>
      <c r="BT625" s="39">
        <f t="shared" si="3169"/>
        <v>128246.7935000002</v>
      </c>
      <c r="BU625" s="39">
        <f t="shared" si="3170"/>
        <v>127374.36633333354</v>
      </c>
      <c r="BV625" s="236">
        <f>IF(AE625&lt;1,0,SUM(BJ625:BU625,BF625)/13*$BG$1)</f>
        <v>2917.3964453333369</v>
      </c>
      <c r="BW625" s="7">
        <v>872.42716666666672</v>
      </c>
      <c r="BX625" s="7">
        <f t="shared" si="3202"/>
        <v>10469.126</v>
      </c>
      <c r="BY625" s="7">
        <f t="shared" si="3203"/>
        <v>126501.93916666688</v>
      </c>
      <c r="BZ625" s="39">
        <f t="shared" si="3171"/>
        <v>125629.51200000022</v>
      </c>
      <c r="CA625" s="39">
        <f>BZ625-$AQ625</f>
        <v>124757.08483333356</v>
      </c>
      <c r="CB625" s="39">
        <f t="shared" si="3173"/>
        <v>123884.6576666669</v>
      </c>
      <c r="CC625" s="39">
        <f t="shared" si="3174"/>
        <v>123012.23050000024</v>
      </c>
      <c r="CD625" s="39">
        <f t="shared" si="3175"/>
        <v>122139.80333333358</v>
      </c>
      <c r="CE625" s="39">
        <f t="shared" si="3176"/>
        <v>121267.37616666692</v>
      </c>
      <c r="CF625" s="39">
        <f t="shared" si="3177"/>
        <v>120394.94900000026</v>
      </c>
      <c r="CG625" s="39">
        <f t="shared" si="3178"/>
        <v>119522.52183333359</v>
      </c>
      <c r="CH625" s="39">
        <f t="shared" si="3179"/>
        <v>118650.09466666693</v>
      </c>
      <c r="CI625" s="39">
        <f t="shared" si="3180"/>
        <v>117777.66750000027</v>
      </c>
      <c r="CJ625" s="39">
        <f t="shared" si="3204"/>
        <v>116905.24033333361</v>
      </c>
      <c r="CK625" s="236">
        <f>IF(AV625&lt;1,0,SUM(BY625:CJ625,BU625)/13*$BG$1)</f>
        <v>2687.0756733333387</v>
      </c>
      <c r="CL625" s="7">
        <v>872.42716666666672</v>
      </c>
      <c r="CM625" s="7">
        <f t="shared" si="3240"/>
        <v>10469.126</v>
      </c>
      <c r="CN625" s="7">
        <f t="shared" si="3207"/>
        <v>116032.81316666695</v>
      </c>
      <c r="CO625" s="39">
        <f t="shared" si="3208"/>
        <v>115160.38600000029</v>
      </c>
      <c r="CP625" s="39">
        <f>CO625-$AQ625</f>
        <v>114287.95883333363</v>
      </c>
      <c r="CQ625" s="39">
        <f t="shared" si="3210"/>
        <v>113415.53166666697</v>
      </c>
      <c r="CR625" s="39">
        <f t="shared" si="3211"/>
        <v>112543.10450000031</v>
      </c>
      <c r="CS625" s="39">
        <f t="shared" si="3212"/>
        <v>111670.67733333365</v>
      </c>
      <c r="CT625" s="39">
        <f t="shared" si="3213"/>
        <v>110798.25016666699</v>
      </c>
      <c r="CU625" s="39">
        <f t="shared" si="3214"/>
        <v>109925.82300000032</v>
      </c>
      <c r="CV625" s="39">
        <f t="shared" si="3215"/>
        <v>109053.39583333366</v>
      </c>
      <c r="CW625" s="39">
        <f t="shared" si="3216"/>
        <v>108180.968666667</v>
      </c>
      <c r="CX625" s="39">
        <f t="shared" si="3217"/>
        <v>107308.54150000034</v>
      </c>
      <c r="CY625" s="39">
        <f t="shared" si="3218"/>
        <v>106436.11433333368</v>
      </c>
      <c r="CZ625" s="236">
        <f>IF(BK625&lt;1,0,SUM(CN625:CY625,CJ625)/13*$BG$1)</f>
        <v>2456.7549013333405</v>
      </c>
    </row>
    <row r="626" spans="1:104" ht="24" customHeight="1" x14ac:dyDescent="0.2">
      <c r="A626" s="37" t="s">
        <v>109</v>
      </c>
      <c r="B626">
        <v>1934</v>
      </c>
      <c r="C626" t="s">
        <v>41</v>
      </c>
      <c r="D626" t="s">
        <v>42</v>
      </c>
      <c r="E626" s="36">
        <v>44998</v>
      </c>
      <c r="F626" t="s">
        <v>44</v>
      </c>
      <c r="G626" s="186">
        <v>180</v>
      </c>
      <c r="H626" s="11"/>
      <c r="K626" s="8">
        <v>1</v>
      </c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219">
        <f>AF626/G626</f>
        <v>937.21538888888881</v>
      </c>
      <c r="AC626" s="44">
        <f>AB626*9</f>
        <v>8434.9385000000002</v>
      </c>
      <c r="AD626" s="7"/>
      <c r="AE626" s="7"/>
      <c r="AF626" s="7">
        <v>168698.77</v>
      </c>
      <c r="AG626" s="39">
        <f>AF626-$AB626</f>
        <v>167761.55461111109</v>
      </c>
      <c r="AH626" s="39">
        <f t="shared" ref="AH626:AO626" si="3326">AG626-$AB626</f>
        <v>166824.33922222219</v>
      </c>
      <c r="AI626" s="39">
        <f t="shared" si="3326"/>
        <v>165887.12383333329</v>
      </c>
      <c r="AJ626" s="39">
        <f t="shared" si="3326"/>
        <v>164949.90844444439</v>
      </c>
      <c r="AK626" s="39">
        <f t="shared" si="3326"/>
        <v>164012.69305555549</v>
      </c>
      <c r="AL626" s="39">
        <f t="shared" si="3326"/>
        <v>163075.47766666659</v>
      </c>
      <c r="AM626" s="39">
        <f t="shared" si="3326"/>
        <v>162138.26227777769</v>
      </c>
      <c r="AN626" s="39">
        <f t="shared" si="3326"/>
        <v>161201.04688888878</v>
      </c>
      <c r="AO626" s="39">
        <f t="shared" si="3326"/>
        <v>160263.83149999988</v>
      </c>
      <c r="AP626" s="222">
        <f t="shared" si="3317"/>
        <v>2783.529704999999</v>
      </c>
      <c r="AQ626" s="7">
        <v>937.21538888888881</v>
      </c>
      <c r="AR626" s="7">
        <f t="shared" si="3133"/>
        <v>937.21538888890063</v>
      </c>
      <c r="AS626" s="7">
        <f t="shared" si="3134"/>
        <v>1.1823431123048067E-11</v>
      </c>
      <c r="AT626" s="7">
        <f>AQ626*12</f>
        <v>11246.584666666666</v>
      </c>
      <c r="AU626" s="39">
        <f t="shared" si="3306"/>
        <v>159326.61611111098</v>
      </c>
      <c r="AV626" s="39">
        <f t="shared" ref="AV626:BF626" si="3327">AU626-$AQ626</f>
        <v>158389.40072222208</v>
      </c>
      <c r="AW626" s="39">
        <f t="shared" si="3327"/>
        <v>157452.18533333318</v>
      </c>
      <c r="AX626" s="39">
        <f t="shared" si="3327"/>
        <v>156514.96994444428</v>
      </c>
      <c r="AY626" s="39">
        <f t="shared" si="3327"/>
        <v>155577.75455555538</v>
      </c>
      <c r="AZ626" s="39">
        <f t="shared" si="3327"/>
        <v>154640.53916666648</v>
      </c>
      <c r="BA626" s="39">
        <f t="shared" si="3327"/>
        <v>153703.32377777758</v>
      </c>
      <c r="BB626" s="39">
        <f t="shared" si="3327"/>
        <v>152766.10838888868</v>
      </c>
      <c r="BC626" s="39">
        <f t="shared" si="3327"/>
        <v>151828.89299999978</v>
      </c>
      <c r="BD626" s="39">
        <f t="shared" si="3327"/>
        <v>150891.67761111088</v>
      </c>
      <c r="BE626" s="39">
        <f t="shared" si="3327"/>
        <v>149954.46222222198</v>
      </c>
      <c r="BF626" s="39">
        <f t="shared" si="3327"/>
        <v>149017.24683333308</v>
      </c>
      <c r="BG626" s="236">
        <f t="shared" si="3236"/>
        <v>3402.0918616666622</v>
      </c>
      <c r="BH626" s="7">
        <v>937.21538888888881</v>
      </c>
      <c r="BI626" s="7">
        <f t="shared" si="3200"/>
        <v>11246.584666666666</v>
      </c>
      <c r="BJ626" s="7">
        <f t="shared" si="3308"/>
        <v>148080.03144444418</v>
      </c>
      <c r="BK626" s="39">
        <f t="shared" si="3155"/>
        <v>147142.81605555527</v>
      </c>
      <c r="BL626" s="39">
        <f t="shared" ref="BL626:BL659" si="3328">BK626-$AQ626</f>
        <v>146205.60066666637</v>
      </c>
      <c r="BM626" s="39">
        <f t="shared" si="3157"/>
        <v>145268.38527777747</v>
      </c>
      <c r="BN626" s="39">
        <f t="shared" si="3158"/>
        <v>144331.16988888857</v>
      </c>
      <c r="BO626" s="39">
        <f t="shared" si="3164"/>
        <v>143393.95449999967</v>
      </c>
      <c r="BP626" s="39">
        <f t="shared" si="3165"/>
        <v>142456.73911111077</v>
      </c>
      <c r="BQ626" s="39">
        <f t="shared" si="3166"/>
        <v>141519.52372222187</v>
      </c>
      <c r="BR626" s="39">
        <f t="shared" si="3167"/>
        <v>140582.30833333297</v>
      </c>
      <c r="BS626" s="39">
        <f t="shared" si="3168"/>
        <v>139645.09294444407</v>
      </c>
      <c r="BT626" s="39">
        <f t="shared" si="3169"/>
        <v>138707.87755555517</v>
      </c>
      <c r="BU626" s="39">
        <f t="shared" si="3170"/>
        <v>137770.66216666627</v>
      </c>
      <c r="BV626" s="236">
        <f t="shared" ref="BV626:BV633" si="3329">IF(AF626&lt;1,0,SUM(BJ626:BU626,BF626)/13*$BG$1)</f>
        <v>3154.6669989999928</v>
      </c>
      <c r="BW626" s="7">
        <v>937.21538888888881</v>
      </c>
      <c r="BX626" s="7">
        <f t="shared" si="3202"/>
        <v>11246.584666666666</v>
      </c>
      <c r="BY626" s="7">
        <f t="shared" si="3203"/>
        <v>136833.44677777737</v>
      </c>
      <c r="BZ626" s="39">
        <f t="shared" si="3171"/>
        <v>135896.23138888847</v>
      </c>
      <c r="CA626" s="39">
        <f t="shared" ref="CA626:CA659" si="3330">BZ626-$AQ626</f>
        <v>134959.01599999957</v>
      </c>
      <c r="CB626" s="39">
        <f t="shared" si="3173"/>
        <v>134021.80061111067</v>
      </c>
      <c r="CC626" s="39">
        <f t="shared" si="3174"/>
        <v>133084.58522222177</v>
      </c>
      <c r="CD626" s="39">
        <f t="shared" si="3175"/>
        <v>132147.36983333286</v>
      </c>
      <c r="CE626" s="39">
        <f t="shared" si="3176"/>
        <v>131210.15444444396</v>
      </c>
      <c r="CF626" s="39">
        <f t="shared" si="3177"/>
        <v>130272.93905555508</v>
      </c>
      <c r="CG626" s="39">
        <f t="shared" si="3178"/>
        <v>129335.72366666619</v>
      </c>
      <c r="CH626" s="39">
        <f t="shared" si="3179"/>
        <v>128398.50827777731</v>
      </c>
      <c r="CI626" s="39">
        <f t="shared" si="3180"/>
        <v>127461.29288888842</v>
      </c>
      <c r="CJ626" s="39">
        <f t="shared" si="3204"/>
        <v>126524.07749999953</v>
      </c>
      <c r="CK626" s="236">
        <f>IF(AW626&lt;1,0,SUM(BY626:CJ626,BU626)/13*$BG$1)</f>
        <v>2907.2421363333228</v>
      </c>
      <c r="CL626" s="7">
        <v>937.21538888888881</v>
      </c>
      <c r="CM626" s="7">
        <f t="shared" si="3240"/>
        <v>11246.584666666666</v>
      </c>
      <c r="CN626" s="7">
        <f t="shared" si="3207"/>
        <v>125586.86211111065</v>
      </c>
      <c r="CO626" s="39">
        <f t="shared" si="3208"/>
        <v>124649.64672222176</v>
      </c>
      <c r="CP626" s="39">
        <f t="shared" ref="CP626:CP629" si="3331">CO626-$AQ626</f>
        <v>123712.43133333288</v>
      </c>
      <c r="CQ626" s="39">
        <f t="shared" si="3210"/>
        <v>122775.21594444399</v>
      </c>
      <c r="CR626" s="39">
        <f t="shared" si="3211"/>
        <v>121838.0005555551</v>
      </c>
      <c r="CS626" s="39">
        <f t="shared" si="3212"/>
        <v>120900.78516666622</v>
      </c>
      <c r="CT626" s="39">
        <f t="shared" si="3213"/>
        <v>119963.56977777733</v>
      </c>
      <c r="CU626" s="39">
        <f t="shared" si="3214"/>
        <v>119026.35438888845</v>
      </c>
      <c r="CV626" s="39">
        <f t="shared" si="3215"/>
        <v>118089.13899999956</v>
      </c>
      <c r="CW626" s="39">
        <f t="shared" si="3216"/>
        <v>117151.92361111067</v>
      </c>
      <c r="CX626" s="39">
        <f t="shared" si="3217"/>
        <v>116214.70822222179</v>
      </c>
      <c r="CY626" s="39">
        <f t="shared" si="3218"/>
        <v>115277.4928333329</v>
      </c>
      <c r="CZ626" s="236">
        <f>IF(BL626&lt;1,0,SUM(CN626:CY626,CJ626)/13*$BG$1)</f>
        <v>2659.8172736666565</v>
      </c>
    </row>
    <row r="627" spans="1:104" ht="24" customHeight="1" x14ac:dyDescent="0.2">
      <c r="A627" s="37" t="s">
        <v>110</v>
      </c>
      <c r="B627">
        <v>1935</v>
      </c>
      <c r="C627" t="s">
        <v>41</v>
      </c>
      <c r="D627" t="s">
        <v>42</v>
      </c>
      <c r="E627" s="36">
        <v>44998</v>
      </c>
      <c r="F627" t="s">
        <v>44</v>
      </c>
      <c r="G627" s="186">
        <v>180</v>
      </c>
      <c r="H627" s="11"/>
      <c r="K627" s="8">
        <v>1</v>
      </c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219">
        <f>AF627/G627</f>
        <v>2103.3228888888889</v>
      </c>
      <c r="AC627" s="44">
        <f>AB627*9</f>
        <v>18929.905999999999</v>
      </c>
      <c r="AD627" s="7"/>
      <c r="AE627" s="7"/>
      <c r="AF627" s="7">
        <v>378598.12</v>
      </c>
      <c r="AG627" s="39">
        <f>AF627-$AB627</f>
        <v>376494.79711111111</v>
      </c>
      <c r="AH627" s="39">
        <f t="shared" ref="AH627:AO627" si="3332">AG627-$AB627</f>
        <v>374391.47422222223</v>
      </c>
      <c r="AI627" s="39">
        <f t="shared" si="3332"/>
        <v>372288.15133333334</v>
      </c>
      <c r="AJ627" s="39">
        <f t="shared" si="3332"/>
        <v>370184.82844444446</v>
      </c>
      <c r="AK627" s="39">
        <f t="shared" si="3332"/>
        <v>368081.50555555557</v>
      </c>
      <c r="AL627" s="39">
        <f t="shared" si="3332"/>
        <v>365978.18266666669</v>
      </c>
      <c r="AM627" s="39">
        <f t="shared" si="3332"/>
        <v>363874.8597777778</v>
      </c>
      <c r="AN627" s="39">
        <f t="shared" si="3332"/>
        <v>361771.53688888892</v>
      </c>
      <c r="AO627" s="39">
        <f t="shared" si="3332"/>
        <v>359668.21400000004</v>
      </c>
      <c r="AP627" s="222">
        <f t="shared" si="3317"/>
        <v>6246.8689800000011</v>
      </c>
      <c r="AQ627" s="7">
        <v>2103.3228888888889</v>
      </c>
      <c r="AR627" s="7">
        <f t="shared" si="3133"/>
        <v>2103.3228888888843</v>
      </c>
      <c r="AS627" s="7">
        <f t="shared" si="3134"/>
        <v>-4.5474735088646412E-12</v>
      </c>
      <c r="AT627" s="7">
        <f t="shared" si="3320"/>
        <v>25239.874666666667</v>
      </c>
      <c r="AU627" s="39">
        <f t="shared" si="3306"/>
        <v>357564.89111111115</v>
      </c>
      <c r="AV627" s="39">
        <f t="shared" ref="AV627:BF627" si="3333">AU627-$AQ627</f>
        <v>355461.56822222227</v>
      </c>
      <c r="AW627" s="39">
        <f t="shared" si="3333"/>
        <v>353358.24533333338</v>
      </c>
      <c r="AX627" s="39">
        <f t="shared" si="3333"/>
        <v>351254.9224444445</v>
      </c>
      <c r="AY627" s="39">
        <f t="shared" si="3333"/>
        <v>349151.59955555561</v>
      </c>
      <c r="AZ627" s="39">
        <f t="shared" si="3333"/>
        <v>347048.27666666673</v>
      </c>
      <c r="BA627" s="39">
        <f t="shared" si="3333"/>
        <v>344944.95377777785</v>
      </c>
      <c r="BB627" s="39">
        <f t="shared" si="3333"/>
        <v>342841.63088888896</v>
      </c>
      <c r="BC627" s="39">
        <f t="shared" si="3333"/>
        <v>340738.30800000008</v>
      </c>
      <c r="BD627" s="39">
        <f t="shared" si="3333"/>
        <v>338634.98511111119</v>
      </c>
      <c r="BE627" s="39">
        <f t="shared" si="3333"/>
        <v>336531.66222222231</v>
      </c>
      <c r="BF627" s="39">
        <f t="shared" si="3333"/>
        <v>334428.33933333342</v>
      </c>
      <c r="BG627" s="236">
        <f t="shared" si="3236"/>
        <v>7635.0620866666686</v>
      </c>
      <c r="BH627" s="7">
        <v>2103.3228888888889</v>
      </c>
      <c r="BI627" s="7">
        <f t="shared" si="3200"/>
        <v>25239.874666666667</v>
      </c>
      <c r="BJ627" s="7">
        <f t="shared" si="3308"/>
        <v>332325.01644444454</v>
      </c>
      <c r="BK627" s="39">
        <f t="shared" si="3155"/>
        <v>330221.69355555566</v>
      </c>
      <c r="BL627" s="39">
        <f t="shared" si="3328"/>
        <v>328118.37066666677</v>
      </c>
      <c r="BM627" s="39">
        <f t="shared" si="3157"/>
        <v>326015.04777777789</v>
      </c>
      <c r="BN627" s="39">
        <f t="shared" si="3158"/>
        <v>323911.724888889</v>
      </c>
      <c r="BO627" s="39">
        <f t="shared" si="3164"/>
        <v>321808.40200000012</v>
      </c>
      <c r="BP627" s="39">
        <f t="shared" si="3165"/>
        <v>319705.07911111123</v>
      </c>
      <c r="BQ627" s="39">
        <f t="shared" si="3166"/>
        <v>317601.75622222235</v>
      </c>
      <c r="BR627" s="39">
        <f t="shared" si="3167"/>
        <v>315498.43333333347</v>
      </c>
      <c r="BS627" s="39">
        <f t="shared" si="3168"/>
        <v>313395.11044444458</v>
      </c>
      <c r="BT627" s="39">
        <f t="shared" si="3169"/>
        <v>311291.7875555557</v>
      </c>
      <c r="BU627" s="39">
        <f t="shared" si="3170"/>
        <v>309188.46466666681</v>
      </c>
      <c r="BV627" s="236">
        <f t="shared" si="3329"/>
        <v>7079.7848440000034</v>
      </c>
      <c r="BW627" s="7">
        <v>2103.3228888888889</v>
      </c>
      <c r="BX627" s="7">
        <f t="shared" si="3202"/>
        <v>25239.874666666667</v>
      </c>
      <c r="BY627" s="7">
        <f t="shared" si="3203"/>
        <v>307085.14177777793</v>
      </c>
      <c r="BZ627" s="39">
        <f t="shared" si="3171"/>
        <v>304981.81888888904</v>
      </c>
      <c r="CA627" s="39">
        <f t="shared" si="3330"/>
        <v>302878.49600000016</v>
      </c>
      <c r="CB627" s="39">
        <f t="shared" si="3173"/>
        <v>300775.17311111127</v>
      </c>
      <c r="CC627" s="39">
        <f t="shared" si="3174"/>
        <v>298671.85022222239</v>
      </c>
      <c r="CD627" s="39">
        <f t="shared" si="3175"/>
        <v>296568.52733333351</v>
      </c>
      <c r="CE627" s="39">
        <f t="shared" si="3176"/>
        <v>294465.20444444462</v>
      </c>
      <c r="CF627" s="39">
        <f t="shared" si="3177"/>
        <v>292361.88155555574</v>
      </c>
      <c r="CG627" s="39">
        <f t="shared" si="3178"/>
        <v>290258.55866666685</v>
      </c>
      <c r="CH627" s="39">
        <f t="shared" si="3179"/>
        <v>288155.23577777797</v>
      </c>
      <c r="CI627" s="39">
        <f t="shared" si="3180"/>
        <v>286051.91288888908</v>
      </c>
      <c r="CJ627" s="39">
        <f t="shared" si="3204"/>
        <v>283948.5900000002</v>
      </c>
      <c r="CK627" s="236">
        <f>IF(AW627&lt;1,0,SUM(BY627:CJ627,BU627)/13*$BG$1)</f>
        <v>6524.5076013333382</v>
      </c>
      <c r="CL627" s="7">
        <v>2103.3228888888889</v>
      </c>
      <c r="CM627" s="7">
        <f t="shared" si="3240"/>
        <v>25239.874666666667</v>
      </c>
      <c r="CN627" s="7">
        <f t="shared" si="3207"/>
        <v>281845.26711111132</v>
      </c>
      <c r="CO627" s="39">
        <f t="shared" si="3208"/>
        <v>279741.94422222243</v>
      </c>
      <c r="CP627" s="39">
        <f t="shared" si="3331"/>
        <v>277638.62133333355</v>
      </c>
      <c r="CQ627" s="39">
        <f t="shared" si="3210"/>
        <v>275535.29844444466</v>
      </c>
      <c r="CR627" s="39">
        <f t="shared" si="3211"/>
        <v>273431.97555555578</v>
      </c>
      <c r="CS627" s="39">
        <f t="shared" si="3212"/>
        <v>271328.65266666689</v>
      </c>
      <c r="CT627" s="39">
        <f t="shared" si="3213"/>
        <v>269225.32977777801</v>
      </c>
      <c r="CU627" s="39">
        <f t="shared" si="3214"/>
        <v>267122.00688888913</v>
      </c>
      <c r="CV627" s="39">
        <f t="shared" si="3215"/>
        <v>265018.68400000024</v>
      </c>
      <c r="CW627" s="39">
        <f t="shared" si="3216"/>
        <v>262915.36111111136</v>
      </c>
      <c r="CX627" s="39">
        <f t="shared" si="3217"/>
        <v>260812.03822222247</v>
      </c>
      <c r="CY627" s="39">
        <f t="shared" si="3218"/>
        <v>258708.71533333359</v>
      </c>
      <c r="CZ627" s="236">
        <f>IF(BL627&lt;1,0,SUM(CN627:CY627,CJ627)/13*$BG$1)</f>
        <v>5969.2303586666731</v>
      </c>
    </row>
    <row r="628" spans="1:104" ht="24" customHeight="1" x14ac:dyDescent="0.2">
      <c r="A628" s="37" t="s">
        <v>111</v>
      </c>
      <c r="B628">
        <v>1936</v>
      </c>
      <c r="C628" t="s">
        <v>41</v>
      </c>
      <c r="D628" t="s">
        <v>42</v>
      </c>
      <c r="E628" s="36">
        <v>44998</v>
      </c>
      <c r="F628" t="s">
        <v>44</v>
      </c>
      <c r="G628" s="186">
        <v>180</v>
      </c>
      <c r="H628" s="11"/>
      <c r="K628" s="8">
        <v>1</v>
      </c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219">
        <f>AF628/G628</f>
        <v>3332.8789444444442</v>
      </c>
      <c r="AC628" s="44">
        <f>AB628*9</f>
        <v>29995.910499999998</v>
      </c>
      <c r="AD628" s="7"/>
      <c r="AE628" s="7"/>
      <c r="AF628" s="7">
        <v>599918.21</v>
      </c>
      <c r="AG628" s="39">
        <f>AF628-$AB628</f>
        <v>596585.33105555549</v>
      </c>
      <c r="AH628" s="39">
        <f t="shared" ref="AH628:AO628" si="3334">AG628-$AB628</f>
        <v>593252.45211111102</v>
      </c>
      <c r="AI628" s="39">
        <f t="shared" si="3334"/>
        <v>589919.57316666655</v>
      </c>
      <c r="AJ628" s="39">
        <f t="shared" si="3334"/>
        <v>586586.69422222208</v>
      </c>
      <c r="AK628" s="39">
        <f t="shared" si="3334"/>
        <v>583253.81527777761</v>
      </c>
      <c r="AL628" s="39">
        <f t="shared" si="3334"/>
        <v>579920.93633333314</v>
      </c>
      <c r="AM628" s="39">
        <f t="shared" si="3334"/>
        <v>576588.05738888867</v>
      </c>
      <c r="AN628" s="39">
        <f t="shared" si="3334"/>
        <v>573255.1784444442</v>
      </c>
      <c r="AO628" s="39">
        <f t="shared" si="3334"/>
        <v>569922.29949999973</v>
      </c>
      <c r="AP628" s="222">
        <f t="shared" si="3317"/>
        <v>9898.650464999997</v>
      </c>
      <c r="AQ628" s="7">
        <v>3332.8789444444442</v>
      </c>
      <c r="AR628" s="7">
        <f t="shared" si="3133"/>
        <v>3332.8789444444701</v>
      </c>
      <c r="AS628" s="7">
        <f t="shared" si="3134"/>
        <v>2.5920599000528455E-11</v>
      </c>
      <c r="AT628" s="7">
        <f t="shared" si="3320"/>
        <v>39994.547333333328</v>
      </c>
      <c r="AU628" s="39">
        <f t="shared" si="3306"/>
        <v>566589.42055555526</v>
      </c>
      <c r="AV628" s="39">
        <f t="shared" ref="AV628:BF628" si="3335">AU628-$AQ628</f>
        <v>563256.54161111079</v>
      </c>
      <c r="AW628" s="39">
        <f t="shared" si="3335"/>
        <v>559923.66266666632</v>
      </c>
      <c r="AX628" s="39">
        <f t="shared" si="3335"/>
        <v>556590.78372222185</v>
      </c>
      <c r="AY628" s="39">
        <f t="shared" si="3335"/>
        <v>553257.90477777738</v>
      </c>
      <c r="AZ628" s="39">
        <f t="shared" si="3335"/>
        <v>549925.02583333291</v>
      </c>
      <c r="BA628" s="39">
        <f t="shared" si="3335"/>
        <v>546592.14688888844</v>
      </c>
      <c r="BB628" s="39">
        <f t="shared" si="3335"/>
        <v>543259.26794444397</v>
      </c>
      <c r="BC628" s="39">
        <f t="shared" si="3335"/>
        <v>539926.3889999995</v>
      </c>
      <c r="BD628" s="39">
        <f t="shared" si="3335"/>
        <v>536593.51005555503</v>
      </c>
      <c r="BE628" s="39">
        <f t="shared" si="3335"/>
        <v>533260.63111111056</v>
      </c>
      <c r="BF628" s="39">
        <f t="shared" si="3335"/>
        <v>529927.75216666609</v>
      </c>
      <c r="BG628" s="236">
        <f t="shared" si="3236"/>
        <v>12098.350568333324</v>
      </c>
      <c r="BH628" s="7">
        <v>3332.8789444444442</v>
      </c>
      <c r="BI628" s="7">
        <f t="shared" si="3200"/>
        <v>39994.547333333328</v>
      </c>
      <c r="BJ628" s="7">
        <f t="shared" si="3308"/>
        <v>526594.87322222162</v>
      </c>
      <c r="BK628" s="39">
        <f t="shared" si="3155"/>
        <v>523261.99427777715</v>
      </c>
      <c r="BL628" s="39">
        <f t="shared" si="3328"/>
        <v>519929.11533333268</v>
      </c>
      <c r="BM628" s="39">
        <f t="shared" si="3157"/>
        <v>516596.23638888821</v>
      </c>
      <c r="BN628" s="39">
        <f t="shared" si="3158"/>
        <v>513263.35744444374</v>
      </c>
      <c r="BO628" s="39">
        <f t="shared" si="3164"/>
        <v>509930.47849999927</v>
      </c>
      <c r="BP628" s="39">
        <f t="shared" si="3165"/>
        <v>506597.5995555548</v>
      </c>
      <c r="BQ628" s="39">
        <f t="shared" si="3166"/>
        <v>503264.72061111033</v>
      </c>
      <c r="BR628" s="39">
        <f t="shared" si="3167"/>
        <v>499931.84166666586</v>
      </c>
      <c r="BS628" s="39">
        <f t="shared" si="3168"/>
        <v>496598.96272222139</v>
      </c>
      <c r="BT628" s="39">
        <f t="shared" si="3169"/>
        <v>493266.08377777692</v>
      </c>
      <c r="BU628" s="39">
        <f t="shared" si="3170"/>
        <v>489933.20483333245</v>
      </c>
      <c r="BV628" s="236">
        <f t="shared" si="3329"/>
        <v>11218.470526999983</v>
      </c>
      <c r="BW628" s="7">
        <v>3332.8789444444442</v>
      </c>
      <c r="BX628" s="7">
        <f t="shared" si="3202"/>
        <v>39994.547333333328</v>
      </c>
      <c r="BY628" s="7">
        <f t="shared" si="3203"/>
        <v>486600.32588888798</v>
      </c>
      <c r="BZ628" s="39">
        <f t="shared" si="3171"/>
        <v>483267.44694444351</v>
      </c>
      <c r="CA628" s="39">
        <f t="shared" si="3330"/>
        <v>479934.56799999904</v>
      </c>
      <c r="CB628" s="39">
        <f t="shared" si="3173"/>
        <v>476601.68905555457</v>
      </c>
      <c r="CC628" s="39">
        <f t="shared" si="3174"/>
        <v>473268.8101111101</v>
      </c>
      <c r="CD628" s="39">
        <f t="shared" si="3175"/>
        <v>469935.93116666563</v>
      </c>
      <c r="CE628" s="39">
        <f t="shared" si="3176"/>
        <v>466603.05222222116</v>
      </c>
      <c r="CF628" s="39">
        <f t="shared" si="3177"/>
        <v>463270.17327777669</v>
      </c>
      <c r="CG628" s="39">
        <f t="shared" si="3178"/>
        <v>459937.29433333222</v>
      </c>
      <c r="CH628" s="39">
        <f t="shared" si="3179"/>
        <v>456604.41538888775</v>
      </c>
      <c r="CI628" s="39">
        <f t="shared" si="3180"/>
        <v>453271.53644444328</v>
      </c>
      <c r="CJ628" s="39">
        <f t="shared" si="3204"/>
        <v>449938.65749999881</v>
      </c>
      <c r="CK628" s="236">
        <f>IF(AW628&lt;1,0,SUM(BY628:CJ628,BU628)/13*$BG$1)</f>
        <v>10338.590485666644</v>
      </c>
      <c r="CL628" s="7">
        <v>3332.8789444444442</v>
      </c>
      <c r="CM628" s="7">
        <f t="shared" si="3240"/>
        <v>39994.547333333328</v>
      </c>
      <c r="CN628" s="7">
        <f t="shared" si="3207"/>
        <v>446605.77855555434</v>
      </c>
      <c r="CO628" s="39">
        <f t="shared" si="3208"/>
        <v>443272.89961110987</v>
      </c>
      <c r="CP628" s="39">
        <f t="shared" si="3331"/>
        <v>439940.0206666654</v>
      </c>
      <c r="CQ628" s="39">
        <f t="shared" si="3210"/>
        <v>436607.14172222093</v>
      </c>
      <c r="CR628" s="39">
        <f t="shared" si="3211"/>
        <v>433274.26277777646</v>
      </c>
      <c r="CS628" s="39">
        <f t="shared" si="3212"/>
        <v>429941.38383333199</v>
      </c>
      <c r="CT628" s="39">
        <f t="shared" si="3213"/>
        <v>426608.50488888752</v>
      </c>
      <c r="CU628" s="39">
        <f t="shared" si="3214"/>
        <v>423275.62594444305</v>
      </c>
      <c r="CV628" s="39">
        <f t="shared" si="3215"/>
        <v>419942.74699999858</v>
      </c>
      <c r="CW628" s="39">
        <f t="shared" si="3216"/>
        <v>416609.86805555411</v>
      </c>
      <c r="CX628" s="39">
        <f t="shared" si="3217"/>
        <v>413276.98911110964</v>
      </c>
      <c r="CY628" s="39">
        <f t="shared" si="3218"/>
        <v>409944.11016666517</v>
      </c>
      <c r="CZ628" s="236">
        <f>IF(BL628&lt;1,0,SUM(CN628:CY628,CJ628)/13*$BG$1)</f>
        <v>9458.7104443333028</v>
      </c>
    </row>
    <row r="629" spans="1:104" ht="24" customHeight="1" x14ac:dyDescent="0.2">
      <c r="A629" s="37" t="s">
        <v>112</v>
      </c>
      <c r="B629">
        <v>1937</v>
      </c>
      <c r="C629" t="s">
        <v>41</v>
      </c>
      <c r="D629" t="s">
        <v>42</v>
      </c>
      <c r="E629" s="36">
        <v>45016</v>
      </c>
      <c r="F629" t="s">
        <v>44</v>
      </c>
      <c r="G629" s="186">
        <v>180</v>
      </c>
      <c r="H629" s="11"/>
      <c r="K629" s="8">
        <v>1</v>
      </c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219">
        <f>AF629/G629</f>
        <v>1440.8608333333334</v>
      </c>
      <c r="AC629" s="44">
        <f>AB629*9</f>
        <v>12967.747500000001</v>
      </c>
      <c r="AD629" s="7"/>
      <c r="AE629" s="7"/>
      <c r="AF629" s="39">
        <v>259354.95</v>
      </c>
      <c r="AG629" s="39">
        <f>AF629-$AB629</f>
        <v>257914.08916666667</v>
      </c>
      <c r="AH629" s="39">
        <f t="shared" ref="AH629:AO629" si="3336">AG629-$AB629</f>
        <v>256473.22833333333</v>
      </c>
      <c r="AI629" s="39">
        <f t="shared" si="3336"/>
        <v>255032.36749999999</v>
      </c>
      <c r="AJ629" s="39">
        <f t="shared" si="3336"/>
        <v>253591.50666666665</v>
      </c>
      <c r="AK629" s="39">
        <f t="shared" si="3336"/>
        <v>252150.64583333331</v>
      </c>
      <c r="AL629" s="39">
        <f t="shared" si="3336"/>
        <v>250709.78499999997</v>
      </c>
      <c r="AM629" s="39">
        <f t="shared" si="3336"/>
        <v>249268.92416666663</v>
      </c>
      <c r="AN629" s="39">
        <f t="shared" si="3336"/>
        <v>247828.0633333333</v>
      </c>
      <c r="AO629" s="39">
        <f t="shared" si="3336"/>
        <v>246387.20249999996</v>
      </c>
      <c r="AP629" s="222">
        <f t="shared" si="3317"/>
        <v>4279.3566749999991</v>
      </c>
      <c r="AQ629" s="7">
        <v>1440.8608333333334</v>
      </c>
      <c r="AR629" s="7">
        <f t="shared" si="3133"/>
        <v>1440.8608333333395</v>
      </c>
      <c r="AS629" s="7">
        <f t="shared" si="3134"/>
        <v>6.1390892369672656E-12</v>
      </c>
      <c r="AT629" s="7">
        <f t="shared" si="3320"/>
        <v>17290.330000000002</v>
      </c>
      <c r="AU629" s="39">
        <f t="shared" si="3306"/>
        <v>244946.34166666662</v>
      </c>
      <c r="AV629" s="39">
        <f t="shared" ref="AV629:BF629" si="3337">AU629-$AQ629</f>
        <v>243505.48083333328</v>
      </c>
      <c r="AW629" s="39">
        <f t="shared" si="3337"/>
        <v>242064.61999999994</v>
      </c>
      <c r="AX629" s="39">
        <f t="shared" si="3337"/>
        <v>240623.7591666666</v>
      </c>
      <c r="AY629" s="39">
        <f t="shared" si="3337"/>
        <v>239182.89833333326</v>
      </c>
      <c r="AZ629" s="39">
        <f t="shared" si="3337"/>
        <v>237742.03749999992</v>
      </c>
      <c r="BA629" s="39">
        <f t="shared" si="3337"/>
        <v>236301.17666666658</v>
      </c>
      <c r="BB629" s="39">
        <f t="shared" si="3337"/>
        <v>234860.31583333324</v>
      </c>
      <c r="BC629" s="39">
        <f t="shared" si="3337"/>
        <v>233419.4549999999</v>
      </c>
      <c r="BD629" s="39">
        <f t="shared" si="3337"/>
        <v>231978.59416666656</v>
      </c>
      <c r="BE629" s="39">
        <f t="shared" si="3337"/>
        <v>230537.73333333322</v>
      </c>
      <c r="BF629" s="39">
        <f t="shared" si="3337"/>
        <v>229096.87249999988</v>
      </c>
      <c r="BG629" s="236">
        <f t="shared" si="3236"/>
        <v>5230.3248249999988</v>
      </c>
      <c r="BH629" s="7">
        <v>1440.8608333333334</v>
      </c>
      <c r="BI629" s="7">
        <f t="shared" si="3200"/>
        <v>17290.330000000002</v>
      </c>
      <c r="BJ629" s="7">
        <f t="shared" si="3308"/>
        <v>227656.01166666654</v>
      </c>
      <c r="BK629" s="39">
        <f t="shared" si="3155"/>
        <v>226215.1508333332</v>
      </c>
      <c r="BL629" s="39">
        <f t="shared" si="3328"/>
        <v>224774.28999999986</v>
      </c>
      <c r="BM629" s="39">
        <f t="shared" si="3157"/>
        <v>223333.42916666652</v>
      </c>
      <c r="BN629" s="39">
        <f t="shared" si="3158"/>
        <v>221892.56833333318</v>
      </c>
      <c r="BO629" s="39">
        <f t="shared" si="3164"/>
        <v>220451.70749999984</v>
      </c>
      <c r="BP629" s="39">
        <f t="shared" si="3165"/>
        <v>219010.8466666665</v>
      </c>
      <c r="BQ629" s="39">
        <f t="shared" si="3166"/>
        <v>217569.98583333316</v>
      </c>
      <c r="BR629" s="39">
        <f t="shared" si="3167"/>
        <v>216129.12499999983</v>
      </c>
      <c r="BS629" s="39">
        <f t="shared" si="3168"/>
        <v>214688.26416666649</v>
      </c>
      <c r="BT629" s="39">
        <f t="shared" si="3169"/>
        <v>213247.40333333315</v>
      </c>
      <c r="BU629" s="39">
        <f t="shared" si="3170"/>
        <v>211806.54249999981</v>
      </c>
      <c r="BV629" s="236">
        <f t="shared" si="3329"/>
        <v>4849.9375649999965</v>
      </c>
      <c r="BW629" s="7">
        <v>1440.8608333333334</v>
      </c>
      <c r="BX629" s="7">
        <f t="shared" si="3202"/>
        <v>17290.330000000002</v>
      </c>
      <c r="BY629" s="7">
        <f t="shared" si="3203"/>
        <v>210365.68166666647</v>
      </c>
      <c r="BZ629" s="39">
        <f t="shared" si="3171"/>
        <v>208924.82083333313</v>
      </c>
      <c r="CA629" s="39">
        <f t="shared" si="3330"/>
        <v>207483.95999999979</v>
      </c>
      <c r="CB629" s="39">
        <f t="shared" si="3173"/>
        <v>206043.09916666645</v>
      </c>
      <c r="CC629" s="39">
        <f t="shared" si="3174"/>
        <v>204602.23833333311</v>
      </c>
      <c r="CD629" s="39">
        <f t="shared" si="3175"/>
        <v>203161.37749999977</v>
      </c>
      <c r="CE629" s="39">
        <f t="shared" si="3176"/>
        <v>201720.51666666643</v>
      </c>
      <c r="CF629" s="39">
        <f t="shared" si="3177"/>
        <v>200279.65583333309</v>
      </c>
      <c r="CG629" s="39">
        <f t="shared" si="3178"/>
        <v>198838.79499999975</v>
      </c>
      <c r="CH629" s="39">
        <f t="shared" si="3179"/>
        <v>197397.93416666641</v>
      </c>
      <c r="CI629" s="39">
        <f t="shared" si="3180"/>
        <v>195957.07333333307</v>
      </c>
      <c r="CJ629" s="39">
        <f t="shared" si="3204"/>
        <v>194516.21249999973</v>
      </c>
      <c r="CK629" s="236">
        <f>IF(AW629&lt;1,0,SUM(BY629:CJ629,BU629)/13*$BG$1)</f>
        <v>4469.5503049999943</v>
      </c>
      <c r="CL629" s="7">
        <v>1440.8608333333334</v>
      </c>
      <c r="CM629" s="7">
        <f t="shared" si="3240"/>
        <v>17290.330000000002</v>
      </c>
      <c r="CN629" s="7">
        <f t="shared" si="3207"/>
        <v>193075.35166666639</v>
      </c>
      <c r="CO629" s="39">
        <f t="shared" si="3208"/>
        <v>191634.49083333305</v>
      </c>
      <c r="CP629" s="39">
        <f t="shared" si="3331"/>
        <v>190193.62999999971</v>
      </c>
      <c r="CQ629" s="39">
        <f t="shared" si="3210"/>
        <v>188752.76916666637</v>
      </c>
      <c r="CR629" s="39">
        <f t="shared" si="3211"/>
        <v>187311.90833333303</v>
      </c>
      <c r="CS629" s="39">
        <f t="shared" si="3212"/>
        <v>185871.04749999969</v>
      </c>
      <c r="CT629" s="39">
        <f t="shared" si="3213"/>
        <v>184430.18666666636</v>
      </c>
      <c r="CU629" s="39">
        <f t="shared" si="3214"/>
        <v>182989.32583333302</v>
      </c>
      <c r="CV629" s="39">
        <f t="shared" si="3215"/>
        <v>181548.46499999968</v>
      </c>
      <c r="CW629" s="39">
        <f t="shared" si="3216"/>
        <v>180107.60416666634</v>
      </c>
      <c r="CX629" s="39">
        <f t="shared" si="3217"/>
        <v>178666.743333333</v>
      </c>
      <c r="CY629" s="39">
        <f t="shared" si="3218"/>
        <v>177225.88249999966</v>
      </c>
      <c r="CZ629" s="236">
        <f>IF(BL629&lt;1,0,SUM(CN629:CY629,CJ629)/13*$BG$1)</f>
        <v>4089.163044999993</v>
      </c>
    </row>
    <row r="630" spans="1:104" ht="24" customHeight="1" x14ac:dyDescent="0.2">
      <c r="A630" s="37" t="s">
        <v>113</v>
      </c>
      <c r="B630">
        <v>1938</v>
      </c>
      <c r="C630" t="s">
        <v>67</v>
      </c>
      <c r="D630" t="s">
        <v>23</v>
      </c>
      <c r="E630" s="36">
        <v>45028</v>
      </c>
      <c r="F630" t="s">
        <v>38</v>
      </c>
      <c r="G630" s="186">
        <v>24</v>
      </c>
      <c r="H630" s="11"/>
      <c r="K630" s="8">
        <v>0</v>
      </c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B630" s="219">
        <f>AG630/G630</f>
        <v>1882.9862499999999</v>
      </c>
      <c r="AC630" s="44">
        <f>AB630*8</f>
        <v>15063.89</v>
      </c>
      <c r="AD630" s="7"/>
      <c r="AE630" s="7"/>
      <c r="AF630" s="7"/>
      <c r="AG630">
        <v>45191.67</v>
      </c>
      <c r="AH630" s="39">
        <f>AG630-$AB630</f>
        <v>43308.683749999997</v>
      </c>
      <c r="AI630" s="39">
        <f t="shared" ref="AI630:AO630" si="3338">AH630-$AB630</f>
        <v>41425.697499999995</v>
      </c>
      <c r="AJ630" s="39">
        <f t="shared" si="3338"/>
        <v>39542.711249999993</v>
      </c>
      <c r="AK630" s="39">
        <f t="shared" si="3338"/>
        <v>37659.724999999991</v>
      </c>
      <c r="AL630" s="39">
        <f t="shared" si="3338"/>
        <v>35776.73874999999</v>
      </c>
      <c r="AM630" s="39">
        <f t="shared" si="3338"/>
        <v>33893.752499999988</v>
      </c>
      <c r="AN630" s="39">
        <f t="shared" si="3338"/>
        <v>32010.766249999986</v>
      </c>
      <c r="AO630" s="39">
        <f t="shared" si="3338"/>
        <v>30127.779999999984</v>
      </c>
      <c r="AP630" s="222"/>
      <c r="AQ630" s="7">
        <v>1882.9862499999999</v>
      </c>
      <c r="AR630" s="7">
        <f t="shared" si="3133"/>
        <v>1882.9862500000017</v>
      </c>
      <c r="AS630" s="7">
        <f t="shared" si="3134"/>
        <v>1.8189894035458565E-12</v>
      </c>
      <c r="AT630" s="7">
        <f t="shared" si="3320"/>
        <v>22595.834999999999</v>
      </c>
      <c r="AU630" s="39">
        <f t="shared" si="3306"/>
        <v>28244.793749999983</v>
      </c>
      <c r="AV630" s="39">
        <f t="shared" ref="AV630:BF630" si="3339">AU630-$AQ630</f>
        <v>26361.807499999981</v>
      </c>
      <c r="AW630" s="39">
        <f t="shared" si="3339"/>
        <v>24478.821249999979</v>
      </c>
      <c r="AX630" s="39">
        <f t="shared" si="3339"/>
        <v>22595.834999999977</v>
      </c>
      <c r="AY630" s="39">
        <f t="shared" si="3339"/>
        <v>20712.848749999976</v>
      </c>
      <c r="AZ630" s="39">
        <f t="shared" si="3339"/>
        <v>18829.862499999974</v>
      </c>
      <c r="BA630" s="39">
        <f t="shared" si="3339"/>
        <v>16946.876249999972</v>
      </c>
      <c r="BB630" s="39">
        <f t="shared" si="3339"/>
        <v>15063.889999999972</v>
      </c>
      <c r="BC630" s="39">
        <f t="shared" si="3339"/>
        <v>13180.903749999972</v>
      </c>
      <c r="BD630" s="39">
        <f t="shared" si="3339"/>
        <v>11297.917499999972</v>
      </c>
      <c r="BE630" s="39">
        <f t="shared" si="3339"/>
        <v>9414.9312499999724</v>
      </c>
      <c r="BF630" s="39">
        <f t="shared" si="3339"/>
        <v>7531.9449999999724</v>
      </c>
      <c r="BG630" s="236">
        <f t="shared" si="3236"/>
        <v>0</v>
      </c>
      <c r="BH630" s="7">
        <v>1882.9862499999999</v>
      </c>
      <c r="BI630" s="7">
        <v>7531.94</v>
      </c>
      <c r="BJ630" s="7">
        <f t="shared" si="3308"/>
        <v>5648.9587499999725</v>
      </c>
      <c r="BK630" s="39">
        <f t="shared" si="3155"/>
        <v>3765.9724999999726</v>
      </c>
      <c r="BL630" s="39">
        <f t="shared" si="3328"/>
        <v>1882.9862499999726</v>
      </c>
      <c r="BM630" s="39"/>
      <c r="BN630" s="39"/>
      <c r="BO630" s="39"/>
      <c r="BP630" s="39"/>
      <c r="BQ630" s="39"/>
      <c r="BR630" s="39"/>
      <c r="BS630" s="39"/>
      <c r="BT630" s="39"/>
      <c r="BU630" s="39"/>
      <c r="BV630" s="236">
        <f t="shared" si="3329"/>
        <v>0</v>
      </c>
      <c r="BW630" s="7">
        <v>1882.9862499999999</v>
      </c>
      <c r="BX630" s="7"/>
      <c r="BY630" s="7"/>
      <c r="BZ630" s="39"/>
      <c r="CA630" s="39"/>
      <c r="CB630" s="39"/>
      <c r="CC630" s="39"/>
      <c r="CD630" s="39"/>
      <c r="CE630" s="39"/>
      <c r="CF630" s="39"/>
      <c r="CG630" s="39"/>
      <c r="CH630" s="39"/>
      <c r="CI630" s="39"/>
      <c r="CJ630" s="39"/>
      <c r="CK630" s="236">
        <f>IF(AW630&lt;1,0,SUM(BY630:CJ630,BU630)/13*$BG$1)</f>
        <v>0</v>
      </c>
      <c r="CL630" s="7">
        <v>1882.9862499999999</v>
      </c>
      <c r="CM630" s="7"/>
      <c r="CN630" s="7"/>
      <c r="CO630" s="39"/>
      <c r="CP630" s="39"/>
      <c r="CQ630" s="39"/>
      <c r="CR630" s="39"/>
      <c r="CS630" s="39"/>
      <c r="CT630" s="39"/>
      <c r="CU630" s="39"/>
      <c r="CV630" s="39"/>
      <c r="CW630" s="39"/>
      <c r="CX630" s="39"/>
      <c r="CY630" s="39"/>
      <c r="CZ630" s="236">
        <f>IF(BL630&lt;1,0,SUM(CN630:CY630,CJ630)/13*$BG$1)</f>
        <v>0</v>
      </c>
    </row>
    <row r="631" spans="1:104" ht="24" customHeight="1" x14ac:dyDescent="0.2">
      <c r="A631" s="41" t="s">
        <v>86</v>
      </c>
      <c r="B631">
        <v>1939</v>
      </c>
      <c r="C631" s="42" t="s">
        <v>22</v>
      </c>
      <c r="D631" s="42" t="s">
        <v>23</v>
      </c>
      <c r="E631" s="43">
        <v>45029</v>
      </c>
      <c r="F631" s="42" t="s">
        <v>25</v>
      </c>
      <c r="G631" s="186">
        <v>36</v>
      </c>
      <c r="H631" s="11"/>
      <c r="K631" s="8">
        <v>0</v>
      </c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B631" s="219">
        <f>AG631/G631</f>
        <v>1262.4269444444444</v>
      </c>
      <c r="AC631" s="44">
        <f>AB631*8</f>
        <v>10099.415555555555</v>
      </c>
      <c r="AD631" s="7"/>
      <c r="AE631" s="7"/>
      <c r="AF631" s="7"/>
      <c r="AG631" s="7">
        <v>45447.37</v>
      </c>
      <c r="AH631" s="39">
        <f>AG631-$AB631</f>
        <v>44184.943055555559</v>
      </c>
      <c r="AI631" s="39">
        <f t="shared" ref="AI631:AO631" si="3340">AH631-$AB631</f>
        <v>42922.516111111116</v>
      </c>
      <c r="AJ631" s="39">
        <f t="shared" si="3340"/>
        <v>41660.089166666672</v>
      </c>
      <c r="AK631" s="39">
        <f t="shared" si="3340"/>
        <v>40397.662222222229</v>
      </c>
      <c r="AL631" s="39">
        <f t="shared" si="3340"/>
        <v>39135.235277777785</v>
      </c>
      <c r="AM631" s="39">
        <f t="shared" si="3340"/>
        <v>37872.808333333342</v>
      </c>
      <c r="AN631" s="39">
        <f t="shared" si="3340"/>
        <v>36610.381388888898</v>
      </c>
      <c r="AO631" s="39">
        <f t="shared" si="3340"/>
        <v>35347.954444444455</v>
      </c>
      <c r="AP631" s="222"/>
      <c r="AQ631" s="7">
        <v>1262.4269444444444</v>
      </c>
      <c r="AR631" s="7">
        <f t="shared" si="3133"/>
        <v>1262.4269444444435</v>
      </c>
      <c r="AS631" s="7">
        <f t="shared" si="3134"/>
        <v>0</v>
      </c>
      <c r="AT631" s="7">
        <f t="shared" si="3320"/>
        <v>15149.123333333333</v>
      </c>
      <c r="AU631" s="39">
        <f t="shared" si="3306"/>
        <v>34085.527500000011</v>
      </c>
      <c r="AV631" s="39">
        <f t="shared" ref="AV631:BF631" si="3341">AU631-$AQ631</f>
        <v>32823.100555555568</v>
      </c>
      <c r="AW631" s="39">
        <f t="shared" si="3341"/>
        <v>31560.673611111124</v>
      </c>
      <c r="AX631" s="39">
        <f t="shared" si="3341"/>
        <v>30298.246666666681</v>
      </c>
      <c r="AY631" s="39">
        <f t="shared" si="3341"/>
        <v>29035.819722222237</v>
      </c>
      <c r="AZ631" s="39">
        <f t="shared" si="3341"/>
        <v>27773.392777777794</v>
      </c>
      <c r="BA631" s="39">
        <f t="shared" si="3341"/>
        <v>26510.96583333335</v>
      </c>
      <c r="BB631" s="39">
        <f t="shared" si="3341"/>
        <v>25248.538888888907</v>
      </c>
      <c r="BC631" s="39">
        <f t="shared" si="3341"/>
        <v>23986.111944444463</v>
      </c>
      <c r="BD631" s="39">
        <f t="shared" si="3341"/>
        <v>22723.685000000019</v>
      </c>
      <c r="BE631" s="39">
        <f t="shared" si="3341"/>
        <v>21461.258055555576</v>
      </c>
      <c r="BF631" s="39">
        <f t="shared" si="3341"/>
        <v>20198.831111111132</v>
      </c>
      <c r="BG631" s="236">
        <f t="shared" si="3236"/>
        <v>0</v>
      </c>
      <c r="BH631" s="7">
        <v>1262.4269444444444</v>
      </c>
      <c r="BI631" s="7">
        <f t="shared" ref="BI631:BI662" si="3342">BH631*12</f>
        <v>15149.123333333333</v>
      </c>
      <c r="BJ631" s="7">
        <f t="shared" si="3308"/>
        <v>18936.404166666689</v>
      </c>
      <c r="BK631" s="39">
        <f t="shared" si="3155"/>
        <v>17673.977222222245</v>
      </c>
      <c r="BL631" s="39">
        <f t="shared" si="3328"/>
        <v>16411.550277777802</v>
      </c>
      <c r="BM631" s="39">
        <f t="shared" si="3157"/>
        <v>15149.123333333358</v>
      </c>
      <c r="BN631" s="39">
        <f t="shared" si="3158"/>
        <v>13886.696388888915</v>
      </c>
      <c r="BO631" s="39">
        <f t="shared" si="3164"/>
        <v>12624.269444444471</v>
      </c>
      <c r="BP631" s="39">
        <f t="shared" si="3165"/>
        <v>11361.842500000028</v>
      </c>
      <c r="BQ631" s="39">
        <f t="shared" si="3166"/>
        <v>10099.415555555584</v>
      </c>
      <c r="BR631" s="39">
        <f t="shared" si="3167"/>
        <v>8836.9886111111409</v>
      </c>
      <c r="BS631" s="39">
        <f t="shared" si="3168"/>
        <v>7574.5616666666965</v>
      </c>
      <c r="BT631" s="39">
        <f t="shared" si="3169"/>
        <v>6312.1347222222521</v>
      </c>
      <c r="BU631" s="39">
        <f t="shared" si="3170"/>
        <v>5049.7077777778077</v>
      </c>
      <c r="BV631" s="236">
        <f t="shared" si="3329"/>
        <v>0</v>
      </c>
      <c r="BW631" s="7">
        <v>1262.4269444444444</v>
      </c>
      <c r="BX631" s="7">
        <v>5049.71</v>
      </c>
      <c r="BY631" s="7">
        <f t="shared" ref="BY631:BY662" si="3343">BU631-BW631</f>
        <v>3787.2808333333633</v>
      </c>
      <c r="BZ631" s="39">
        <f t="shared" si="3171"/>
        <v>2524.8538888889188</v>
      </c>
      <c r="CA631" s="39">
        <f t="shared" si="3330"/>
        <v>1262.4269444444744</v>
      </c>
      <c r="CB631" s="39"/>
      <c r="CC631" s="39"/>
      <c r="CD631" s="39"/>
      <c r="CE631" s="39"/>
      <c r="CF631" s="39"/>
      <c r="CG631" s="39"/>
      <c r="CH631" s="39"/>
      <c r="CI631" s="39"/>
      <c r="CJ631" s="39"/>
      <c r="CK631" s="236">
        <v>0</v>
      </c>
      <c r="CL631" s="7">
        <v>1262.4269444444444</v>
      </c>
      <c r="CM631" s="7"/>
      <c r="CN631" s="7"/>
      <c r="CO631" s="39"/>
      <c r="CP631" s="39"/>
      <c r="CQ631" s="39"/>
      <c r="CR631" s="39"/>
      <c r="CS631" s="39"/>
      <c r="CT631" s="39"/>
      <c r="CU631" s="39"/>
      <c r="CV631" s="39"/>
      <c r="CW631" s="39"/>
      <c r="CX631" s="39"/>
      <c r="CY631" s="39"/>
      <c r="CZ631" s="236">
        <v>0</v>
      </c>
    </row>
    <row r="632" spans="1:104" ht="24" customHeight="1" x14ac:dyDescent="0.2">
      <c r="A632" s="41" t="s">
        <v>86</v>
      </c>
      <c r="B632">
        <v>1940</v>
      </c>
      <c r="C632" s="42" t="s">
        <v>22</v>
      </c>
      <c r="D632" s="42" t="s">
        <v>23</v>
      </c>
      <c r="E632" s="43">
        <v>45029</v>
      </c>
      <c r="F632" s="42" t="s">
        <v>25</v>
      </c>
      <c r="G632" s="186">
        <v>36</v>
      </c>
      <c r="H632" s="11"/>
      <c r="K632" s="8">
        <v>0</v>
      </c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B632" s="219">
        <f>AG632/G632</f>
        <v>1262.4269444444444</v>
      </c>
      <c r="AC632" s="44">
        <f>AB632*8</f>
        <v>10099.415555555555</v>
      </c>
      <c r="AD632" s="7"/>
      <c r="AE632" s="7"/>
      <c r="AF632" s="7"/>
      <c r="AG632" s="7">
        <v>45447.37</v>
      </c>
      <c r="AH632" s="39">
        <f>AG632-$AB632</f>
        <v>44184.943055555559</v>
      </c>
      <c r="AI632" s="39">
        <f t="shared" ref="AI632:AO632" si="3344">AH632-$AB632</f>
        <v>42922.516111111116</v>
      </c>
      <c r="AJ632" s="39">
        <f t="shared" si="3344"/>
        <v>41660.089166666672</v>
      </c>
      <c r="AK632" s="39">
        <f t="shared" si="3344"/>
        <v>40397.662222222229</v>
      </c>
      <c r="AL632" s="39">
        <f t="shared" si="3344"/>
        <v>39135.235277777785</v>
      </c>
      <c r="AM632" s="39">
        <f t="shared" si="3344"/>
        <v>37872.808333333342</v>
      </c>
      <c r="AN632" s="39">
        <f t="shared" si="3344"/>
        <v>36610.381388888898</v>
      </c>
      <c r="AO632" s="39">
        <f t="shared" si="3344"/>
        <v>35347.954444444455</v>
      </c>
      <c r="AP632" s="222"/>
      <c r="AQ632" s="7">
        <v>1262.4269444444444</v>
      </c>
      <c r="AR632" s="7">
        <f t="shared" si="3133"/>
        <v>1262.4269444444435</v>
      </c>
      <c r="AS632" s="7">
        <f t="shared" si="3134"/>
        <v>0</v>
      </c>
      <c r="AT632" s="7">
        <f t="shared" si="3320"/>
        <v>15149.123333333333</v>
      </c>
      <c r="AU632" s="39">
        <f t="shared" si="3306"/>
        <v>34085.527500000011</v>
      </c>
      <c r="AV632" s="39">
        <f t="shared" ref="AV632:BF632" si="3345">AU632-$AQ632</f>
        <v>32823.100555555568</v>
      </c>
      <c r="AW632" s="39">
        <f t="shared" si="3345"/>
        <v>31560.673611111124</v>
      </c>
      <c r="AX632" s="39">
        <f t="shared" si="3345"/>
        <v>30298.246666666681</v>
      </c>
      <c r="AY632" s="39">
        <f t="shared" si="3345"/>
        <v>29035.819722222237</v>
      </c>
      <c r="AZ632" s="39">
        <f t="shared" si="3345"/>
        <v>27773.392777777794</v>
      </c>
      <c r="BA632" s="39">
        <f t="shared" si="3345"/>
        <v>26510.96583333335</v>
      </c>
      <c r="BB632" s="39">
        <f t="shared" si="3345"/>
        <v>25248.538888888907</v>
      </c>
      <c r="BC632" s="39">
        <f t="shared" si="3345"/>
        <v>23986.111944444463</v>
      </c>
      <c r="BD632" s="39">
        <f t="shared" si="3345"/>
        <v>22723.685000000019</v>
      </c>
      <c r="BE632" s="39">
        <f t="shared" si="3345"/>
        <v>21461.258055555576</v>
      </c>
      <c r="BF632" s="39">
        <f t="shared" si="3345"/>
        <v>20198.831111111132</v>
      </c>
      <c r="BG632" s="236">
        <f t="shared" ref="BG632:BG663" si="3346">IF(K632&lt;1,0,SUM(AU632:BF632,AO632)/13*$BG$1)</f>
        <v>0</v>
      </c>
      <c r="BH632" s="7">
        <v>1262.4269444444444</v>
      </c>
      <c r="BI632" s="7">
        <f t="shared" si="3342"/>
        <v>15149.123333333333</v>
      </c>
      <c r="BJ632" s="7">
        <f t="shared" si="3308"/>
        <v>18936.404166666689</v>
      </c>
      <c r="BK632" s="39">
        <f t="shared" si="3155"/>
        <v>17673.977222222245</v>
      </c>
      <c r="BL632" s="39">
        <f t="shared" si="3328"/>
        <v>16411.550277777802</v>
      </c>
      <c r="BM632" s="39">
        <f t="shared" si="3157"/>
        <v>15149.123333333358</v>
      </c>
      <c r="BN632" s="39">
        <f t="shared" si="3158"/>
        <v>13886.696388888915</v>
      </c>
      <c r="BO632" s="39">
        <f t="shared" si="3164"/>
        <v>12624.269444444471</v>
      </c>
      <c r="BP632" s="39">
        <f t="shared" si="3165"/>
        <v>11361.842500000028</v>
      </c>
      <c r="BQ632" s="39">
        <f t="shared" si="3166"/>
        <v>10099.415555555584</v>
      </c>
      <c r="BR632" s="39">
        <f t="shared" si="3167"/>
        <v>8836.9886111111409</v>
      </c>
      <c r="BS632" s="39">
        <f t="shared" si="3168"/>
        <v>7574.5616666666965</v>
      </c>
      <c r="BT632" s="39">
        <f t="shared" si="3169"/>
        <v>6312.1347222222521</v>
      </c>
      <c r="BU632" s="39">
        <f t="shared" si="3170"/>
        <v>5049.7077777778077</v>
      </c>
      <c r="BV632" s="236">
        <f t="shared" si="3329"/>
        <v>0</v>
      </c>
      <c r="BW632" s="7">
        <v>1262.4269444444444</v>
      </c>
      <c r="BX632" s="7">
        <v>5049.71</v>
      </c>
      <c r="BY632" s="7">
        <f t="shared" si="3343"/>
        <v>3787.2808333333633</v>
      </c>
      <c r="BZ632" s="39">
        <f t="shared" si="3171"/>
        <v>2524.8538888889188</v>
      </c>
      <c r="CA632" s="39">
        <f t="shared" si="3330"/>
        <v>1262.4269444444744</v>
      </c>
      <c r="CB632" s="39"/>
      <c r="CC632" s="39"/>
      <c r="CD632" s="39"/>
      <c r="CE632" s="39"/>
      <c r="CF632" s="39"/>
      <c r="CG632" s="39"/>
      <c r="CH632" s="39"/>
      <c r="CI632" s="39"/>
      <c r="CJ632" s="39"/>
      <c r="CK632" s="236">
        <v>0</v>
      </c>
      <c r="CL632" s="7">
        <v>1262.4269444444444</v>
      </c>
      <c r="CM632" s="7"/>
      <c r="CN632" s="7"/>
      <c r="CO632" s="39"/>
      <c r="CP632" s="39"/>
      <c r="CQ632" s="39"/>
      <c r="CR632" s="39"/>
      <c r="CS632" s="39"/>
      <c r="CT632" s="39"/>
      <c r="CU632" s="39"/>
      <c r="CV632" s="39"/>
      <c r="CW632" s="39"/>
      <c r="CX632" s="39"/>
      <c r="CY632" s="39"/>
      <c r="CZ632" s="236">
        <v>0</v>
      </c>
    </row>
    <row r="633" spans="1:104" ht="24" customHeight="1" x14ac:dyDescent="0.2">
      <c r="A633" s="41" t="s">
        <v>86</v>
      </c>
      <c r="B633">
        <v>1941</v>
      </c>
      <c r="C633" s="42" t="s">
        <v>22</v>
      </c>
      <c r="D633" s="42" t="s">
        <v>23</v>
      </c>
      <c r="E633" s="43">
        <v>45029</v>
      </c>
      <c r="F633" s="42" t="s">
        <v>25</v>
      </c>
      <c r="G633" s="186">
        <v>36</v>
      </c>
      <c r="H633" s="11"/>
      <c r="K633" s="8">
        <v>0</v>
      </c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B633" s="219">
        <f>AG633/G633</f>
        <v>1262.4269444444444</v>
      </c>
      <c r="AC633" s="44">
        <f>AB633*8</f>
        <v>10099.415555555555</v>
      </c>
      <c r="AD633" s="7"/>
      <c r="AE633" s="7"/>
      <c r="AF633" s="7"/>
      <c r="AG633" s="7">
        <v>45447.37</v>
      </c>
      <c r="AH633" s="39">
        <f>AG633-$AB633</f>
        <v>44184.943055555559</v>
      </c>
      <c r="AI633" s="39">
        <f t="shared" ref="AI633:AO633" si="3347">AH633-$AB633</f>
        <v>42922.516111111116</v>
      </c>
      <c r="AJ633" s="39">
        <f t="shared" si="3347"/>
        <v>41660.089166666672</v>
      </c>
      <c r="AK633" s="39">
        <f t="shared" si="3347"/>
        <v>40397.662222222229</v>
      </c>
      <c r="AL633" s="39">
        <f t="shared" si="3347"/>
        <v>39135.235277777785</v>
      </c>
      <c r="AM633" s="39">
        <f t="shared" si="3347"/>
        <v>37872.808333333342</v>
      </c>
      <c r="AN633" s="39">
        <f t="shared" si="3347"/>
        <v>36610.381388888898</v>
      </c>
      <c r="AO633" s="39">
        <f t="shared" si="3347"/>
        <v>35347.954444444455</v>
      </c>
      <c r="AP633" s="222"/>
      <c r="AQ633" s="7">
        <v>1262.4269444444444</v>
      </c>
      <c r="AR633" s="7">
        <f t="shared" si="3133"/>
        <v>1262.4269444444435</v>
      </c>
      <c r="AS633" s="7">
        <f t="shared" si="3134"/>
        <v>0</v>
      </c>
      <c r="AT633" s="7">
        <f t="shared" si="3320"/>
        <v>15149.123333333333</v>
      </c>
      <c r="AU633" s="39">
        <f t="shared" si="3306"/>
        <v>34085.527500000011</v>
      </c>
      <c r="AV633" s="39">
        <f t="shared" ref="AV633:BF633" si="3348">AU633-$AQ633</f>
        <v>32823.100555555568</v>
      </c>
      <c r="AW633" s="39">
        <f t="shared" si="3348"/>
        <v>31560.673611111124</v>
      </c>
      <c r="AX633" s="39">
        <f t="shared" si="3348"/>
        <v>30298.246666666681</v>
      </c>
      <c r="AY633" s="39">
        <f t="shared" si="3348"/>
        <v>29035.819722222237</v>
      </c>
      <c r="AZ633" s="39">
        <f t="shared" si="3348"/>
        <v>27773.392777777794</v>
      </c>
      <c r="BA633" s="39">
        <f t="shared" si="3348"/>
        <v>26510.96583333335</v>
      </c>
      <c r="BB633" s="39">
        <f t="shared" si="3348"/>
        <v>25248.538888888907</v>
      </c>
      <c r="BC633" s="39">
        <f t="shared" si="3348"/>
        <v>23986.111944444463</v>
      </c>
      <c r="BD633" s="39">
        <f t="shared" si="3348"/>
        <v>22723.685000000019</v>
      </c>
      <c r="BE633" s="39">
        <f t="shared" si="3348"/>
        <v>21461.258055555576</v>
      </c>
      <c r="BF633" s="39">
        <f t="shared" si="3348"/>
        <v>20198.831111111132</v>
      </c>
      <c r="BG633" s="236">
        <f t="shared" si="3346"/>
        <v>0</v>
      </c>
      <c r="BH633" s="7">
        <v>1262.4269444444444</v>
      </c>
      <c r="BI633" s="7">
        <f t="shared" si="3342"/>
        <v>15149.123333333333</v>
      </c>
      <c r="BJ633" s="7">
        <f t="shared" si="3308"/>
        <v>18936.404166666689</v>
      </c>
      <c r="BK633" s="39">
        <f t="shared" si="3155"/>
        <v>17673.977222222245</v>
      </c>
      <c r="BL633" s="39">
        <f t="shared" si="3328"/>
        <v>16411.550277777802</v>
      </c>
      <c r="BM633" s="39">
        <f t="shared" si="3157"/>
        <v>15149.123333333358</v>
      </c>
      <c r="BN633" s="39">
        <f t="shared" si="3158"/>
        <v>13886.696388888915</v>
      </c>
      <c r="BO633" s="39">
        <f t="shared" si="3164"/>
        <v>12624.269444444471</v>
      </c>
      <c r="BP633" s="39">
        <f t="shared" si="3165"/>
        <v>11361.842500000028</v>
      </c>
      <c r="BQ633" s="39">
        <f t="shared" si="3166"/>
        <v>10099.415555555584</v>
      </c>
      <c r="BR633" s="39">
        <f t="shared" si="3167"/>
        <v>8836.9886111111409</v>
      </c>
      <c r="BS633" s="39">
        <f t="shared" si="3168"/>
        <v>7574.5616666666965</v>
      </c>
      <c r="BT633" s="39">
        <f t="shared" si="3169"/>
        <v>6312.1347222222521</v>
      </c>
      <c r="BU633" s="39">
        <f t="shared" si="3170"/>
        <v>5049.7077777778077</v>
      </c>
      <c r="BV633" s="236">
        <f t="shared" si="3329"/>
        <v>0</v>
      </c>
      <c r="BW633" s="7">
        <v>1262.4269444444444</v>
      </c>
      <c r="BX633" s="7">
        <v>5049.71</v>
      </c>
      <c r="BY633" s="7">
        <f t="shared" si="3343"/>
        <v>3787.2808333333633</v>
      </c>
      <c r="BZ633" s="39">
        <f t="shared" si="3171"/>
        <v>2524.8538888889188</v>
      </c>
      <c r="CA633" s="39">
        <f t="shared" si="3330"/>
        <v>1262.4269444444744</v>
      </c>
      <c r="CB633" s="39"/>
      <c r="CC633" s="39"/>
      <c r="CD633" s="39"/>
      <c r="CE633" s="39"/>
      <c r="CF633" s="39"/>
      <c r="CG633" s="39"/>
      <c r="CH633" s="39"/>
      <c r="CI633" s="39"/>
      <c r="CJ633" s="39"/>
      <c r="CK633" s="236">
        <v>0</v>
      </c>
      <c r="CL633" s="7">
        <v>1262.4269444444444</v>
      </c>
      <c r="CM633" s="7"/>
      <c r="CN633" s="7"/>
      <c r="CO633" s="39"/>
      <c r="CP633" s="39"/>
      <c r="CQ633" s="39"/>
      <c r="CR633" s="39"/>
      <c r="CS633" s="39"/>
      <c r="CT633" s="39"/>
      <c r="CU633" s="39"/>
      <c r="CV633" s="39"/>
      <c r="CW633" s="39"/>
      <c r="CX633" s="39"/>
      <c r="CY633" s="39"/>
      <c r="CZ633" s="236">
        <v>0</v>
      </c>
    </row>
    <row r="634" spans="1:104" ht="24" customHeight="1" x14ac:dyDescent="0.2">
      <c r="A634" s="37" t="s">
        <v>117</v>
      </c>
      <c r="B634">
        <v>1942</v>
      </c>
      <c r="C634" t="s">
        <v>41</v>
      </c>
      <c r="D634" t="s">
        <v>42</v>
      </c>
      <c r="E634" s="36">
        <v>45033</v>
      </c>
      <c r="F634" t="s">
        <v>44</v>
      </c>
      <c r="G634" s="186">
        <v>180</v>
      </c>
      <c r="H634" s="11"/>
      <c r="K634" s="8">
        <v>1</v>
      </c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219">
        <f>AG634/G634</f>
        <v>774.21905555555554</v>
      </c>
      <c r="AC634" s="44">
        <f t="shared" ref="AC634:AC636" si="3349">AB634*8</f>
        <v>6193.7524444444443</v>
      </c>
      <c r="AD634" s="7"/>
      <c r="AE634" s="7"/>
      <c r="AF634" s="7"/>
      <c r="AG634" s="7">
        <v>139359.43</v>
      </c>
      <c r="AH634" s="39">
        <f t="shared" ref="AH634:AO635" si="3350">AG634-$AB634</f>
        <v>138585.21094444444</v>
      </c>
      <c r="AI634" s="39">
        <f t="shared" si="3350"/>
        <v>137810.99188888888</v>
      </c>
      <c r="AJ634" s="39">
        <f t="shared" si="3350"/>
        <v>137036.77283333332</v>
      </c>
      <c r="AK634" s="39">
        <f t="shared" si="3350"/>
        <v>136262.55377777776</v>
      </c>
      <c r="AL634" s="39">
        <f t="shared" si="3350"/>
        <v>135488.33472222221</v>
      </c>
      <c r="AM634" s="39">
        <f t="shared" si="3350"/>
        <v>134714.11566666665</v>
      </c>
      <c r="AN634" s="39">
        <f t="shared" si="3350"/>
        <v>133939.89661111109</v>
      </c>
      <c r="AO634" s="39">
        <f>AN634-$AB634</f>
        <v>133165.67755555554</v>
      </c>
      <c r="AP634" s="222">
        <f>IF(K634&lt;1,0,SUM(AD634:AO634,Z634)/13*$BG$1)</f>
        <v>2075.3835113846148</v>
      </c>
      <c r="AQ634" s="7">
        <v>774.21905555555554</v>
      </c>
      <c r="AR634" s="7">
        <f t="shared" si="3133"/>
        <v>774.21905555555713</v>
      </c>
      <c r="AS634" s="7">
        <f t="shared" si="3134"/>
        <v>1.5916157281026244E-12</v>
      </c>
      <c r="AT634" s="7">
        <f>AQ634*12</f>
        <v>9290.6286666666674</v>
      </c>
      <c r="AU634" s="39">
        <f t="shared" si="3306"/>
        <v>132391.45849999998</v>
      </c>
      <c r="AV634" s="39">
        <f>AU634-$AQ634</f>
        <v>131617.23944444442</v>
      </c>
      <c r="AW634" s="39">
        <f t="shared" ref="AW634:BF634" si="3351">AV634-$AQ634</f>
        <v>130843.02038888886</v>
      </c>
      <c r="AX634" s="39">
        <f t="shared" si="3351"/>
        <v>130068.80133333331</v>
      </c>
      <c r="AY634" s="39">
        <f t="shared" si="3351"/>
        <v>129294.58227777775</v>
      </c>
      <c r="AZ634" s="39">
        <f t="shared" si="3351"/>
        <v>128520.36322222219</v>
      </c>
      <c r="BA634" s="39">
        <f t="shared" si="3351"/>
        <v>127746.14416666664</v>
      </c>
      <c r="BB634" s="39">
        <f t="shared" si="3351"/>
        <v>126971.92511111108</v>
      </c>
      <c r="BC634" s="39">
        <f t="shared" si="3351"/>
        <v>126197.70605555552</v>
      </c>
      <c r="BD634" s="39">
        <f t="shared" si="3351"/>
        <v>125423.48699999996</v>
      </c>
      <c r="BE634" s="39">
        <f t="shared" si="3351"/>
        <v>124649.26794444441</v>
      </c>
      <c r="BF634" s="39">
        <f t="shared" si="3351"/>
        <v>123875.04888888885</v>
      </c>
      <c r="BG634" s="236">
        <f t="shared" si="3346"/>
        <v>2827.4479908888884</v>
      </c>
      <c r="BH634" s="7">
        <v>774.21905555555554</v>
      </c>
      <c r="BI634" s="7">
        <f t="shared" si="3342"/>
        <v>9290.6286666666674</v>
      </c>
      <c r="BJ634" s="7">
        <f t="shared" si="3308"/>
        <v>123100.82983333329</v>
      </c>
      <c r="BK634" s="39">
        <f>BJ634-$AQ634</f>
        <v>122326.61077777774</v>
      </c>
      <c r="BL634" s="39">
        <f t="shared" si="3328"/>
        <v>121552.39172222218</v>
      </c>
      <c r="BM634" s="39">
        <f t="shared" si="3157"/>
        <v>120778.17266666662</v>
      </c>
      <c r="BN634" s="39">
        <f t="shared" si="3158"/>
        <v>120003.95361111106</v>
      </c>
      <c r="BO634" s="39">
        <f t="shared" si="3164"/>
        <v>119229.73455555551</v>
      </c>
      <c r="BP634" s="39">
        <f t="shared" si="3165"/>
        <v>118455.51549999995</v>
      </c>
      <c r="BQ634" s="39">
        <f t="shared" si="3166"/>
        <v>117681.29644444439</v>
      </c>
      <c r="BR634" s="39">
        <f t="shared" si="3167"/>
        <v>116907.07738888884</v>
      </c>
      <c r="BS634" s="39">
        <f t="shared" si="3168"/>
        <v>116132.85833333328</v>
      </c>
      <c r="BT634" s="39">
        <f t="shared" si="3169"/>
        <v>115358.63927777772</v>
      </c>
      <c r="BU634" s="39">
        <f t="shared" si="3170"/>
        <v>114584.42022222216</v>
      </c>
      <c r="BV634" s="236">
        <f>IF(AG634&lt;1,0,SUM(BJ634:BU634,BF634)/13*$BG$1)</f>
        <v>2623.0541602222211</v>
      </c>
      <c r="BW634" s="7">
        <v>774.21905555555554</v>
      </c>
      <c r="BX634" s="7">
        <f>BW634*12</f>
        <v>9290.6286666666674</v>
      </c>
      <c r="BY634" s="7">
        <f t="shared" si="3343"/>
        <v>113810.20116666661</v>
      </c>
      <c r="BZ634" s="39">
        <f>BY634-$AQ634</f>
        <v>113035.98211111105</v>
      </c>
      <c r="CA634" s="39">
        <f t="shared" si="3330"/>
        <v>112261.76305555549</v>
      </c>
      <c r="CB634" s="39">
        <f t="shared" si="3173"/>
        <v>111487.54399999994</v>
      </c>
      <c r="CC634" s="39">
        <f t="shared" ref="CC634:CC673" si="3352">CB634-$AQ634</f>
        <v>110713.32494444438</v>
      </c>
      <c r="CD634" s="39">
        <f t="shared" ref="CD634:CD673" si="3353">CC634-$AQ634</f>
        <v>109939.10588888882</v>
      </c>
      <c r="CE634" s="39">
        <f t="shared" ref="CE634:CE673" si="3354">CD634-$AQ634</f>
        <v>109164.88683333326</v>
      </c>
      <c r="CF634" s="39">
        <f t="shared" ref="CF634:CF673" si="3355">CE634-$AQ634</f>
        <v>108390.66777777771</v>
      </c>
      <c r="CG634" s="39">
        <f t="shared" ref="CG634:CG673" si="3356">CF634-$AQ634</f>
        <v>107616.44872222215</v>
      </c>
      <c r="CH634" s="39">
        <f t="shared" ref="CH634:CH673" si="3357">CG634-$AQ634</f>
        <v>106842.22966666659</v>
      </c>
      <c r="CI634" s="39">
        <f t="shared" ref="CI634:CI673" si="3358">CH634-$AQ634</f>
        <v>106068.01061111104</v>
      </c>
      <c r="CJ634" s="39">
        <f t="shared" ref="CJ634:CJ673" si="3359">CI634-$AQ634</f>
        <v>105293.79155555548</v>
      </c>
      <c r="CK634" s="236">
        <f>IF(AX634&lt;1,0,SUM(BY634:CJ634,BU634)/13*$BG$1)</f>
        <v>2418.6603295555542</v>
      </c>
      <c r="CL634" s="7">
        <v>774.21905555555554</v>
      </c>
      <c r="CM634" s="7">
        <f>CL634*12</f>
        <v>9290.6286666666674</v>
      </c>
      <c r="CN634" s="7">
        <f>CJ634-CL634</f>
        <v>104519.57249999992</v>
      </c>
      <c r="CO634" s="39">
        <f>CN634-$AQ634</f>
        <v>103745.35344444436</v>
      </c>
      <c r="CP634" s="39">
        <f t="shared" ref="CP634:CP659" si="3360">CO634-$AQ634</f>
        <v>102971.13438888881</v>
      </c>
      <c r="CQ634" s="39">
        <f t="shared" ref="CQ634:CQ649" si="3361">CP634-$AQ634</f>
        <v>102196.91533333325</v>
      </c>
      <c r="CR634" s="39">
        <f t="shared" ref="CR634:CR673" si="3362">CQ634-$AQ634</f>
        <v>101422.69627777769</v>
      </c>
      <c r="CS634" s="39">
        <f t="shared" ref="CS634:CS637" si="3363">CR634-$AQ634</f>
        <v>100648.47722222214</v>
      </c>
      <c r="CT634" s="39">
        <f t="shared" ref="CT634:CT637" si="3364">CS634-$AQ634</f>
        <v>99874.258166666579</v>
      </c>
      <c r="CU634" s="39">
        <f t="shared" ref="CU634:CU637" si="3365">CT634-$AQ634</f>
        <v>99100.039111111022</v>
      </c>
      <c r="CV634" s="39">
        <f t="shared" ref="CV634:CV637" si="3366">CU634-$AQ634</f>
        <v>98325.820055555465</v>
      </c>
      <c r="CW634" s="39">
        <f t="shared" ref="CW634:CW637" si="3367">CV634-$AQ634</f>
        <v>97551.600999999908</v>
      </c>
      <c r="CX634" s="39">
        <f t="shared" ref="CX634:CX637" si="3368">CW634-$AQ634</f>
        <v>96777.381944444351</v>
      </c>
      <c r="CY634" s="39">
        <f t="shared" ref="CY634:CY637" si="3369">CX634-$AQ634</f>
        <v>96003.162888888794</v>
      </c>
      <c r="CZ634" s="236">
        <f>IF(BM634&lt;1,0,SUM(CN634:CY634,CJ634)/13*$BG$1)</f>
        <v>2214.2664988888869</v>
      </c>
    </row>
    <row r="635" spans="1:104" ht="24" customHeight="1" x14ac:dyDescent="0.2">
      <c r="A635" s="37" t="s">
        <v>118</v>
      </c>
      <c r="B635">
        <v>1943</v>
      </c>
      <c r="C635" t="s">
        <v>41</v>
      </c>
      <c r="D635" t="s">
        <v>42</v>
      </c>
      <c r="E635" s="36">
        <v>45035</v>
      </c>
      <c r="F635" t="s">
        <v>44</v>
      </c>
      <c r="G635" s="186">
        <v>180</v>
      </c>
      <c r="H635" s="11"/>
      <c r="K635" s="8">
        <v>1</v>
      </c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219">
        <f t="shared" ref="AB635" si="3370">AG635/G635</f>
        <v>1907.6443888888889</v>
      </c>
      <c r="AC635" s="44">
        <f t="shared" si="3349"/>
        <v>15261.155111111111</v>
      </c>
      <c r="AD635" s="7"/>
      <c r="AE635" s="7"/>
      <c r="AF635" s="7"/>
      <c r="AG635" s="7">
        <v>343375.99</v>
      </c>
      <c r="AH635" s="39">
        <f t="shared" si="3350"/>
        <v>341468.34561111109</v>
      </c>
      <c r="AI635" s="39">
        <f t="shared" si="3350"/>
        <v>339560.70122222218</v>
      </c>
      <c r="AJ635" s="39">
        <f t="shared" si="3350"/>
        <v>337653.05683333328</v>
      </c>
      <c r="AK635" s="39">
        <f t="shared" si="3350"/>
        <v>335745.41244444437</v>
      </c>
      <c r="AL635" s="39">
        <f t="shared" si="3350"/>
        <v>333837.76805555547</v>
      </c>
      <c r="AM635" s="39">
        <f t="shared" si="3350"/>
        <v>331930.12366666656</v>
      </c>
      <c r="AN635" s="39">
        <f t="shared" si="3350"/>
        <v>330022.47927777766</v>
      </c>
      <c r="AO635" s="39">
        <f t="shared" si="3350"/>
        <v>328114.83488888876</v>
      </c>
      <c r="AP635" s="222">
        <f>IF(K635&lt;1,0,SUM(AD635:AO635,Z635)/13*$BG$1)</f>
        <v>5113.6608972307677</v>
      </c>
      <c r="AQ635" s="7">
        <v>1907.6443888888889</v>
      </c>
      <c r="AR635" s="7">
        <f t="shared" si="3133"/>
        <v>1907.6443888889044</v>
      </c>
      <c r="AS635" s="7">
        <f t="shared" si="3134"/>
        <v>1.546140993013978E-11</v>
      </c>
      <c r="AT635" s="7">
        <f t="shared" si="3320"/>
        <v>22891.732666666667</v>
      </c>
      <c r="AU635" s="39">
        <f t="shared" si="3306"/>
        <v>326207.19049999985</v>
      </c>
      <c r="AV635" s="39">
        <f t="shared" ref="AV635:BF635" si="3371">AU635-$AQ635</f>
        <v>324299.54611111095</v>
      </c>
      <c r="AW635" s="39">
        <f t="shared" si="3371"/>
        <v>322391.90172222204</v>
      </c>
      <c r="AX635" s="39">
        <f t="shared" si="3371"/>
        <v>320484.25733333314</v>
      </c>
      <c r="AY635" s="39">
        <f t="shared" si="3371"/>
        <v>318576.61294444423</v>
      </c>
      <c r="AZ635" s="39">
        <f t="shared" si="3371"/>
        <v>316668.96855555533</v>
      </c>
      <c r="BA635" s="39">
        <f t="shared" si="3371"/>
        <v>314761.32416666643</v>
      </c>
      <c r="BB635" s="39">
        <f t="shared" si="3371"/>
        <v>312853.67977777752</v>
      </c>
      <c r="BC635" s="39">
        <f t="shared" si="3371"/>
        <v>310946.03538888862</v>
      </c>
      <c r="BD635" s="39">
        <f t="shared" si="3371"/>
        <v>309038.39099999971</v>
      </c>
      <c r="BE635" s="39">
        <f t="shared" si="3371"/>
        <v>307130.74661111081</v>
      </c>
      <c r="BF635" s="39">
        <f t="shared" si="3371"/>
        <v>305223.1022222219</v>
      </c>
      <c r="BG635" s="236">
        <f t="shared" si="3346"/>
        <v>6966.7173082222171</v>
      </c>
      <c r="BH635" s="7">
        <v>1907.6443888888889</v>
      </c>
      <c r="BI635" s="7">
        <f t="shared" si="3342"/>
        <v>22891.732666666667</v>
      </c>
      <c r="BJ635" s="7">
        <f t="shared" si="3308"/>
        <v>303315.457833333</v>
      </c>
      <c r="BK635" s="39">
        <f t="shared" ref="BK635:BK646" si="3372">BJ635-$AQ635</f>
        <v>301407.81344444409</v>
      </c>
      <c r="BL635" s="39">
        <f t="shared" si="3328"/>
        <v>299500.16905555519</v>
      </c>
      <c r="BM635" s="39">
        <f t="shared" si="3157"/>
        <v>297592.52466666629</v>
      </c>
      <c r="BN635" s="39">
        <f t="shared" si="3158"/>
        <v>295684.88027777738</v>
      </c>
      <c r="BO635" s="39">
        <f t="shared" si="3164"/>
        <v>293777.23588888848</v>
      </c>
      <c r="BP635" s="39">
        <f t="shared" si="3165"/>
        <v>291869.59149999957</v>
      </c>
      <c r="BQ635" s="39">
        <f t="shared" si="3166"/>
        <v>289961.94711111067</v>
      </c>
      <c r="BR635" s="39">
        <f t="shared" si="3167"/>
        <v>288054.30272222176</v>
      </c>
      <c r="BS635" s="39">
        <f t="shared" si="3168"/>
        <v>286146.65833333286</v>
      </c>
      <c r="BT635" s="39">
        <f t="shared" si="3169"/>
        <v>284239.01394444396</v>
      </c>
      <c r="BU635" s="39">
        <f t="shared" si="3170"/>
        <v>282331.36955555505</v>
      </c>
      <c r="BV635" s="236">
        <f>IF(AG635&lt;1,0,SUM(BJ635:BU635,BF635)/13*$BG$1)</f>
        <v>6463.0991895555462</v>
      </c>
      <c r="BW635" s="7">
        <v>1907.6443888888889</v>
      </c>
      <c r="BX635" s="7">
        <f>BW635*12</f>
        <v>22891.732666666667</v>
      </c>
      <c r="BY635" s="7">
        <f t="shared" si="3343"/>
        <v>280423.72516666615</v>
      </c>
      <c r="BZ635" s="39">
        <f t="shared" ref="BZ635:BZ646" si="3373">BY635-$AQ635</f>
        <v>278516.08077777724</v>
      </c>
      <c r="CA635" s="39">
        <f t="shared" si="3330"/>
        <v>276608.43638888834</v>
      </c>
      <c r="CB635" s="39">
        <f t="shared" si="3173"/>
        <v>274700.79199999943</v>
      </c>
      <c r="CC635" s="39">
        <f t="shared" si="3352"/>
        <v>272793.14761111053</v>
      </c>
      <c r="CD635" s="39">
        <f t="shared" si="3353"/>
        <v>270885.50322222163</v>
      </c>
      <c r="CE635" s="39">
        <f t="shared" si="3354"/>
        <v>268977.85883333272</v>
      </c>
      <c r="CF635" s="39">
        <f t="shared" si="3355"/>
        <v>267070.21444444382</v>
      </c>
      <c r="CG635" s="39">
        <f t="shared" si="3356"/>
        <v>265162.57005555491</v>
      </c>
      <c r="CH635" s="39">
        <f t="shared" si="3357"/>
        <v>263254.92566666601</v>
      </c>
      <c r="CI635" s="39">
        <f t="shared" si="3358"/>
        <v>261347.28127777713</v>
      </c>
      <c r="CJ635" s="39">
        <f t="shared" si="3359"/>
        <v>259439.63688888826</v>
      </c>
      <c r="CK635" s="236">
        <f>IF(AX635&lt;1,0,SUM(BY635:CJ635,BU635)/13*$BG$1)</f>
        <v>5959.4810708888754</v>
      </c>
      <c r="CL635" s="7">
        <v>1907.6443888888889</v>
      </c>
      <c r="CM635" s="7">
        <f>CL635*12</f>
        <v>22891.732666666667</v>
      </c>
      <c r="CN635" s="7">
        <f>CJ635-CL635</f>
        <v>257531.99249999938</v>
      </c>
      <c r="CO635" s="39">
        <f t="shared" ref="CO635:CO646" si="3374">CN635-$AQ635</f>
        <v>255624.34811111051</v>
      </c>
      <c r="CP635" s="39">
        <f t="shared" si="3360"/>
        <v>253716.70372222163</v>
      </c>
      <c r="CQ635" s="39">
        <f t="shared" si="3361"/>
        <v>251809.05933333276</v>
      </c>
      <c r="CR635" s="39">
        <f t="shared" si="3362"/>
        <v>249901.41494444388</v>
      </c>
      <c r="CS635" s="39">
        <f t="shared" si="3363"/>
        <v>247993.77055555501</v>
      </c>
      <c r="CT635" s="39">
        <f t="shared" si="3364"/>
        <v>246086.12616666613</v>
      </c>
      <c r="CU635" s="39">
        <f t="shared" si="3365"/>
        <v>244178.48177777726</v>
      </c>
      <c r="CV635" s="39">
        <f t="shared" si="3366"/>
        <v>242270.83738888838</v>
      </c>
      <c r="CW635" s="39">
        <f t="shared" si="3367"/>
        <v>240363.1929999995</v>
      </c>
      <c r="CX635" s="39">
        <f t="shared" si="3368"/>
        <v>238455.54861111063</v>
      </c>
      <c r="CY635" s="39">
        <f t="shared" si="3369"/>
        <v>236547.90422222175</v>
      </c>
      <c r="CZ635" s="236">
        <f>IF(BM635&lt;1,0,SUM(CN635:CY635,CJ635)/13*$BG$1)</f>
        <v>5455.86295222221</v>
      </c>
    </row>
    <row r="636" spans="1:104" ht="24" customHeight="1" x14ac:dyDescent="0.2">
      <c r="A636" s="37" t="s">
        <v>119</v>
      </c>
      <c r="B636">
        <v>1944</v>
      </c>
      <c r="C636" t="s">
        <v>41</v>
      </c>
      <c r="D636" t="s">
        <v>42</v>
      </c>
      <c r="E636" s="36">
        <v>45042</v>
      </c>
      <c r="F636" t="s">
        <v>44</v>
      </c>
      <c r="G636" s="186">
        <v>180</v>
      </c>
      <c r="H636" s="11"/>
      <c r="K636" s="8">
        <v>1</v>
      </c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219">
        <f>AG636/G636</f>
        <v>1156.4163333333333</v>
      </c>
      <c r="AC636" s="44">
        <f t="shared" si="3349"/>
        <v>9251.3306666666667</v>
      </c>
      <c r="AD636" s="7"/>
      <c r="AE636" s="7"/>
      <c r="AF636" s="7"/>
      <c r="AG636" s="7">
        <v>208154.94</v>
      </c>
      <c r="AH636" s="39">
        <f>AG636-$AB636</f>
        <v>206998.52366666668</v>
      </c>
      <c r="AI636" s="39">
        <f t="shared" ref="AI636:AO637" si="3375">AH636-$AB636</f>
        <v>205842.10733333335</v>
      </c>
      <c r="AJ636" s="39">
        <f t="shared" si="3375"/>
        <v>204685.69100000002</v>
      </c>
      <c r="AK636" s="39">
        <f t="shared" si="3375"/>
        <v>203529.27466666669</v>
      </c>
      <c r="AL636" s="39">
        <f t="shared" si="3375"/>
        <v>202372.85833333337</v>
      </c>
      <c r="AM636" s="39">
        <f t="shared" si="3375"/>
        <v>201216.44200000004</v>
      </c>
      <c r="AN636" s="39">
        <f t="shared" si="3375"/>
        <v>200060.02566666671</v>
      </c>
      <c r="AO636" s="39">
        <f t="shared" si="3375"/>
        <v>198903.60933333338</v>
      </c>
      <c r="AP636" s="222">
        <f>IF(K636&lt;1,0,SUM(AD636:AO636,Z636)/13*$BG$1)</f>
        <v>3099.9074141538463</v>
      </c>
      <c r="AQ636" s="7">
        <v>1156.4163333333333</v>
      </c>
      <c r="AR636" s="7">
        <f t="shared" si="3133"/>
        <v>1156.4163333333272</v>
      </c>
      <c r="AS636" s="7">
        <f t="shared" si="3134"/>
        <v>-6.1390892369672656E-12</v>
      </c>
      <c r="AT636" s="7">
        <f t="shared" si="3320"/>
        <v>13876.995999999999</v>
      </c>
      <c r="AU636" s="39">
        <f t="shared" si="3306"/>
        <v>197747.19300000006</v>
      </c>
      <c r="AV636" s="39">
        <f t="shared" ref="AV636:BF636" si="3376">AU636-$AQ636</f>
        <v>196590.77666666673</v>
      </c>
      <c r="AW636" s="39">
        <f t="shared" si="3376"/>
        <v>195434.3603333334</v>
      </c>
      <c r="AX636" s="39">
        <f t="shared" si="3376"/>
        <v>194277.94400000008</v>
      </c>
      <c r="AY636" s="39">
        <f t="shared" si="3376"/>
        <v>193121.52766666675</v>
      </c>
      <c r="AZ636" s="39">
        <f t="shared" si="3376"/>
        <v>191965.11133333342</v>
      </c>
      <c r="BA636" s="39">
        <f t="shared" si="3376"/>
        <v>190808.69500000009</v>
      </c>
      <c r="BB636" s="39">
        <f t="shared" si="3376"/>
        <v>189652.27866666677</v>
      </c>
      <c r="BC636" s="39">
        <f t="shared" si="3376"/>
        <v>188495.86233333344</v>
      </c>
      <c r="BD636" s="39">
        <f t="shared" si="3376"/>
        <v>187339.44600000011</v>
      </c>
      <c r="BE636" s="39">
        <f t="shared" si="3376"/>
        <v>186183.02966666679</v>
      </c>
      <c r="BF636" s="39">
        <f t="shared" si="3376"/>
        <v>185026.61333333346</v>
      </c>
      <c r="BG636" s="236">
        <f t="shared" si="3346"/>
        <v>4223.2324493333354</v>
      </c>
      <c r="BH636" s="7">
        <v>1156.4163333333333</v>
      </c>
      <c r="BI636" s="7">
        <f t="shared" si="3342"/>
        <v>13876.995999999999</v>
      </c>
      <c r="BJ636" s="7">
        <f t="shared" si="3308"/>
        <v>183870.19700000013</v>
      </c>
      <c r="BK636" s="39">
        <f t="shared" si="3372"/>
        <v>182713.7806666668</v>
      </c>
      <c r="BL636" s="39">
        <f t="shared" si="3328"/>
        <v>181557.36433333348</v>
      </c>
      <c r="BM636" s="39">
        <f t="shared" si="3157"/>
        <v>180400.94800000015</v>
      </c>
      <c r="BN636" s="39">
        <f t="shared" si="3158"/>
        <v>179244.53166666682</v>
      </c>
      <c r="BO636" s="39">
        <f t="shared" si="3164"/>
        <v>178088.1153333335</v>
      </c>
      <c r="BP636" s="39">
        <f t="shared" si="3165"/>
        <v>176931.69900000017</v>
      </c>
      <c r="BQ636" s="39">
        <f t="shared" si="3166"/>
        <v>175775.28266666684</v>
      </c>
      <c r="BR636" s="39">
        <f t="shared" si="3167"/>
        <v>174618.86633333351</v>
      </c>
      <c r="BS636" s="39">
        <f t="shared" si="3168"/>
        <v>173462.45000000019</v>
      </c>
      <c r="BT636" s="39">
        <f t="shared" si="3169"/>
        <v>172306.03366666686</v>
      </c>
      <c r="BU636" s="39">
        <f t="shared" si="3170"/>
        <v>171149.61733333353</v>
      </c>
      <c r="BV636" s="236">
        <f>IF(AG636&lt;1,0,SUM(BJ636:BU636,BF636)/13*$BG$1)</f>
        <v>3917.9385373333366</v>
      </c>
      <c r="BW636" s="7">
        <v>1156.4163333333333</v>
      </c>
      <c r="BX636" s="7">
        <f>BW636*12</f>
        <v>13876.995999999999</v>
      </c>
      <c r="BY636" s="7">
        <f t="shared" si="3343"/>
        <v>169993.2010000002</v>
      </c>
      <c r="BZ636" s="39">
        <f t="shared" si="3373"/>
        <v>168836.78466666688</v>
      </c>
      <c r="CA636" s="39">
        <f t="shared" si="3330"/>
        <v>167680.36833333355</v>
      </c>
      <c r="CB636" s="39">
        <f t="shared" si="3173"/>
        <v>166523.95200000022</v>
      </c>
      <c r="CC636" s="39">
        <f t="shared" si="3352"/>
        <v>165367.5356666669</v>
      </c>
      <c r="CD636" s="39">
        <f t="shared" si="3353"/>
        <v>164211.11933333357</v>
      </c>
      <c r="CE636" s="39">
        <f t="shared" si="3354"/>
        <v>163054.70300000024</v>
      </c>
      <c r="CF636" s="39">
        <f t="shared" si="3355"/>
        <v>161898.28666666691</v>
      </c>
      <c r="CG636" s="39">
        <f t="shared" si="3356"/>
        <v>160741.87033333359</v>
      </c>
      <c r="CH636" s="39">
        <f t="shared" si="3357"/>
        <v>159585.45400000026</v>
      </c>
      <c r="CI636" s="39">
        <f t="shared" si="3358"/>
        <v>158429.03766666693</v>
      </c>
      <c r="CJ636" s="39">
        <f t="shared" si="3359"/>
        <v>157272.62133333361</v>
      </c>
      <c r="CK636" s="236">
        <f>IF(AX636&lt;1,0,SUM(BY636:CJ636,BU636)/13*$BG$1)</f>
        <v>3612.6446253333388</v>
      </c>
      <c r="CL636" s="7">
        <v>1156.4163333333333</v>
      </c>
      <c r="CM636" s="7">
        <f>CL636*12</f>
        <v>13876.995999999999</v>
      </c>
      <c r="CN636" s="7">
        <f>CJ636-CL636</f>
        <v>156116.20500000028</v>
      </c>
      <c r="CO636" s="39">
        <f t="shared" si="3374"/>
        <v>154959.78866666695</v>
      </c>
      <c r="CP636" s="39">
        <f t="shared" si="3360"/>
        <v>153803.37233333362</v>
      </c>
      <c r="CQ636" s="39">
        <f t="shared" si="3361"/>
        <v>152646.9560000003</v>
      </c>
      <c r="CR636" s="39">
        <f t="shared" si="3362"/>
        <v>151490.53966666697</v>
      </c>
      <c r="CS636" s="39">
        <f t="shared" si="3363"/>
        <v>150334.12333333364</v>
      </c>
      <c r="CT636" s="39">
        <f t="shared" si="3364"/>
        <v>149177.70700000032</v>
      </c>
      <c r="CU636" s="39">
        <f t="shared" si="3365"/>
        <v>148021.29066666699</v>
      </c>
      <c r="CV636" s="39">
        <f t="shared" si="3366"/>
        <v>146864.87433333366</v>
      </c>
      <c r="CW636" s="39">
        <f t="shared" si="3367"/>
        <v>145708.45800000033</v>
      </c>
      <c r="CX636" s="39">
        <f t="shared" si="3368"/>
        <v>144552.04166666701</v>
      </c>
      <c r="CY636" s="39">
        <f t="shared" si="3369"/>
        <v>143395.62533333368</v>
      </c>
      <c r="CZ636" s="236">
        <f>IF(BM636&lt;1,0,SUM(CN636:CY636,CJ636)/13*$BG$1)</f>
        <v>3307.3507133333401</v>
      </c>
    </row>
    <row r="637" spans="1:104" ht="24" customHeight="1" x14ac:dyDescent="0.2">
      <c r="A637" s="37" t="s">
        <v>120</v>
      </c>
      <c r="B637">
        <v>1946</v>
      </c>
      <c r="C637" t="s">
        <v>41</v>
      </c>
      <c r="D637" t="s">
        <v>42</v>
      </c>
      <c r="E637" s="36">
        <v>45049</v>
      </c>
      <c r="F637" t="s">
        <v>44</v>
      </c>
      <c r="G637" s="186">
        <v>180</v>
      </c>
      <c r="H637" s="11"/>
      <c r="K637" s="8">
        <v>1</v>
      </c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219">
        <f>AH637/G637</f>
        <v>1323.8125</v>
      </c>
      <c r="AC637" s="44">
        <f>AB637*7</f>
        <v>9266.6875</v>
      </c>
      <c r="AD637" s="7"/>
      <c r="AE637" s="7"/>
      <c r="AF637" s="7"/>
      <c r="AG637" s="7"/>
      <c r="AH637" s="7">
        <v>238286.25</v>
      </c>
      <c r="AI637" s="39">
        <f>AH637-$AB637</f>
        <v>236962.4375</v>
      </c>
      <c r="AJ637" s="39">
        <f>AI637-$AB637</f>
        <v>235638.625</v>
      </c>
      <c r="AK637" s="39">
        <f t="shared" si="3375"/>
        <v>234314.8125</v>
      </c>
      <c r="AL637" s="39">
        <f t="shared" si="3375"/>
        <v>232991</v>
      </c>
      <c r="AM637" s="39">
        <f t="shared" si="3375"/>
        <v>231667.1875</v>
      </c>
      <c r="AN637" s="39">
        <f t="shared" si="3375"/>
        <v>230343.375</v>
      </c>
      <c r="AO637" s="39">
        <f t="shared" si="3375"/>
        <v>229019.5625</v>
      </c>
      <c r="AP637" s="222">
        <f>IF(K637&lt;1,0,SUM(AD637:AO637,Z637)/13*$BG$1)</f>
        <v>3163.3008846153843</v>
      </c>
      <c r="AQ637" s="7">
        <v>1323.8125</v>
      </c>
      <c r="AR637" s="7">
        <f t="shared" si="3133"/>
        <v>1323.8125</v>
      </c>
      <c r="AS637" s="7">
        <f t="shared" si="3134"/>
        <v>0</v>
      </c>
      <c r="AT637" s="7">
        <f t="shared" si="3320"/>
        <v>15885.75</v>
      </c>
      <c r="AU637" s="39">
        <f t="shared" si="3306"/>
        <v>227695.75</v>
      </c>
      <c r="AV637" s="39">
        <f t="shared" ref="AV637:BF637" si="3377">AU637-$AQ637</f>
        <v>226371.9375</v>
      </c>
      <c r="AW637" s="39">
        <f t="shared" si="3377"/>
        <v>225048.125</v>
      </c>
      <c r="AX637" s="39">
        <f t="shared" si="3377"/>
        <v>223724.3125</v>
      </c>
      <c r="AY637" s="39">
        <f t="shared" si="3377"/>
        <v>222400.5</v>
      </c>
      <c r="AZ637" s="39">
        <f t="shared" si="3377"/>
        <v>221076.6875</v>
      </c>
      <c r="BA637" s="39">
        <f t="shared" si="3377"/>
        <v>219752.875</v>
      </c>
      <c r="BB637" s="39">
        <f t="shared" si="3377"/>
        <v>218429.0625</v>
      </c>
      <c r="BC637" s="39">
        <f t="shared" si="3377"/>
        <v>217105.25</v>
      </c>
      <c r="BD637" s="39">
        <f t="shared" si="3377"/>
        <v>215781.4375</v>
      </c>
      <c r="BE637" s="39">
        <f t="shared" si="3377"/>
        <v>214457.625</v>
      </c>
      <c r="BF637" s="39">
        <f t="shared" si="3377"/>
        <v>213133.8125</v>
      </c>
      <c r="BG637" s="236">
        <f t="shared" si="3346"/>
        <v>4863.6871249999995</v>
      </c>
      <c r="BH637" s="7">
        <v>1323.8125</v>
      </c>
      <c r="BI637" s="7">
        <f t="shared" si="3342"/>
        <v>15885.75</v>
      </c>
      <c r="BJ637" s="7">
        <f t="shared" si="3308"/>
        <v>211810</v>
      </c>
      <c r="BK637" s="39">
        <f t="shared" si="3372"/>
        <v>210486.1875</v>
      </c>
      <c r="BL637" s="39">
        <f t="shared" si="3328"/>
        <v>209162.375</v>
      </c>
      <c r="BM637" s="39">
        <f t="shared" si="3157"/>
        <v>207838.5625</v>
      </c>
      <c r="BN637" s="39">
        <f t="shared" si="3158"/>
        <v>206514.75</v>
      </c>
      <c r="BO637" s="39">
        <f t="shared" si="3164"/>
        <v>205190.9375</v>
      </c>
      <c r="BP637" s="39">
        <f t="shared" si="3165"/>
        <v>203867.125</v>
      </c>
      <c r="BQ637" s="39">
        <f t="shared" si="3166"/>
        <v>202543.3125</v>
      </c>
      <c r="BR637" s="39">
        <f t="shared" si="3167"/>
        <v>201219.5</v>
      </c>
      <c r="BS637" s="39">
        <f t="shared" si="3168"/>
        <v>199895.6875</v>
      </c>
      <c r="BT637" s="39">
        <f t="shared" si="3169"/>
        <v>198571.875</v>
      </c>
      <c r="BU637" s="39">
        <f t="shared" si="3170"/>
        <v>197248.0625</v>
      </c>
      <c r="BV637" s="236">
        <f>IF(AH637&lt;1,0,SUM(BJ637:BU637,BF637)/13*$BG$1)</f>
        <v>4514.2006249999995</v>
      </c>
      <c r="BW637" s="7">
        <v>1323.8125</v>
      </c>
      <c r="BX637" s="7">
        <f>BW637*12</f>
        <v>15885.75</v>
      </c>
      <c r="BY637" s="7">
        <f t="shared" si="3343"/>
        <v>195924.25</v>
      </c>
      <c r="BZ637" s="39">
        <f t="shared" si="3373"/>
        <v>194600.4375</v>
      </c>
      <c r="CA637" s="39">
        <f t="shared" si="3330"/>
        <v>193276.625</v>
      </c>
      <c r="CB637" s="39">
        <f t="shared" si="3173"/>
        <v>191952.8125</v>
      </c>
      <c r="CC637" s="39">
        <f t="shared" si="3352"/>
        <v>190629</v>
      </c>
      <c r="CD637" s="39">
        <f t="shared" si="3353"/>
        <v>189305.1875</v>
      </c>
      <c r="CE637" s="39">
        <f t="shared" si="3354"/>
        <v>187981.375</v>
      </c>
      <c r="CF637" s="39">
        <f t="shared" si="3355"/>
        <v>186657.5625</v>
      </c>
      <c r="CG637" s="39">
        <f t="shared" si="3356"/>
        <v>185333.75</v>
      </c>
      <c r="CH637" s="39">
        <f t="shared" si="3357"/>
        <v>184009.9375</v>
      </c>
      <c r="CI637" s="39">
        <f t="shared" si="3358"/>
        <v>182686.125</v>
      </c>
      <c r="CJ637" s="39">
        <f t="shared" si="3359"/>
        <v>181362.3125</v>
      </c>
      <c r="CK637" s="236">
        <f>IF(AY637&lt;1,0,SUM(BY637:CJ637,BU637)/13*$BG$1)</f>
        <v>4164.7141249999995</v>
      </c>
      <c r="CL637" s="7">
        <v>1323.8125</v>
      </c>
      <c r="CM637" s="7">
        <f>CL637*12</f>
        <v>15885.75</v>
      </c>
      <c r="CN637" s="7">
        <f>CJ637-CL637</f>
        <v>180038.5</v>
      </c>
      <c r="CO637" s="39">
        <f t="shared" si="3374"/>
        <v>178714.6875</v>
      </c>
      <c r="CP637" s="39">
        <f t="shared" si="3360"/>
        <v>177390.875</v>
      </c>
      <c r="CQ637" s="39">
        <f t="shared" si="3361"/>
        <v>176067.0625</v>
      </c>
      <c r="CR637" s="39">
        <f t="shared" si="3362"/>
        <v>174743.25</v>
      </c>
      <c r="CS637" s="39">
        <f t="shared" si="3363"/>
        <v>173419.4375</v>
      </c>
      <c r="CT637" s="39">
        <f t="shared" si="3364"/>
        <v>172095.625</v>
      </c>
      <c r="CU637" s="39">
        <f t="shared" si="3365"/>
        <v>170771.8125</v>
      </c>
      <c r="CV637" s="39">
        <f t="shared" si="3366"/>
        <v>169448</v>
      </c>
      <c r="CW637" s="39">
        <f t="shared" si="3367"/>
        <v>168124.1875</v>
      </c>
      <c r="CX637" s="39">
        <f t="shared" si="3368"/>
        <v>166800.375</v>
      </c>
      <c r="CY637" s="39">
        <f t="shared" si="3369"/>
        <v>165476.5625</v>
      </c>
      <c r="CZ637" s="236">
        <f>IF(BN637&lt;1,0,SUM(CN637:CY637,CJ637)/13*$BG$1)</f>
        <v>3815.227625</v>
      </c>
    </row>
    <row r="638" spans="1:104" ht="24" customHeight="1" x14ac:dyDescent="0.2">
      <c r="A638" s="231" t="s">
        <v>86</v>
      </c>
      <c r="B638" s="185" t="s">
        <v>2564</v>
      </c>
      <c r="C638" s="42" t="s">
        <v>22</v>
      </c>
      <c r="D638" s="42" t="s">
        <v>23</v>
      </c>
      <c r="E638" s="184">
        <v>45076</v>
      </c>
      <c r="F638" s="42" t="s">
        <v>25</v>
      </c>
      <c r="G638" s="186">
        <v>36</v>
      </c>
      <c r="H638" s="11"/>
      <c r="K638" s="8">
        <v>0</v>
      </c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219">
        <f>AH638/G638</f>
        <v>1256.8711111111111</v>
      </c>
      <c r="AC638" s="44">
        <f>AB638*7</f>
        <v>8798.0977777777771</v>
      </c>
      <c r="AD638" s="7"/>
      <c r="AE638" s="7"/>
      <c r="AF638" s="7"/>
      <c r="AG638" s="7"/>
      <c r="AH638" s="7">
        <v>45247.360000000001</v>
      </c>
      <c r="AI638" s="39">
        <f>AH638-$AB638</f>
        <v>43990.488888888889</v>
      </c>
      <c r="AJ638" s="39">
        <f t="shared" ref="AJ638:AO638" si="3378">AI638-$AB638</f>
        <v>42733.617777777778</v>
      </c>
      <c r="AK638" s="39">
        <f t="shared" si="3378"/>
        <v>41476.746666666666</v>
      </c>
      <c r="AL638" s="39">
        <f t="shared" si="3378"/>
        <v>40219.875555555554</v>
      </c>
      <c r="AM638" s="39">
        <f t="shared" si="3378"/>
        <v>38963.004444444443</v>
      </c>
      <c r="AN638" s="39">
        <f t="shared" si="3378"/>
        <v>37706.133333333331</v>
      </c>
      <c r="AO638" s="39">
        <f t="shared" si="3378"/>
        <v>36449.26222222222</v>
      </c>
      <c r="AP638" s="222"/>
      <c r="AQ638" s="7">
        <v>1256.8711111111111</v>
      </c>
      <c r="AR638" s="7">
        <f t="shared" si="3133"/>
        <v>1256.8711111111115</v>
      </c>
      <c r="AS638" s="7">
        <f t="shared" si="3134"/>
        <v>0</v>
      </c>
      <c r="AT638" s="7">
        <f t="shared" si="3320"/>
        <v>15082.453333333333</v>
      </c>
      <c r="AU638" s="39">
        <f t="shared" si="3306"/>
        <v>35192.391111111108</v>
      </c>
      <c r="AV638" s="39">
        <f t="shared" ref="AV638:BF638" si="3379">AU638-$AQ638</f>
        <v>33935.519999999997</v>
      </c>
      <c r="AW638" s="39">
        <f t="shared" si="3379"/>
        <v>32678.648888888885</v>
      </c>
      <c r="AX638" s="39">
        <f t="shared" si="3379"/>
        <v>31421.777777777774</v>
      </c>
      <c r="AY638" s="39">
        <f t="shared" si="3379"/>
        <v>30164.906666666662</v>
      </c>
      <c r="AZ638" s="39">
        <f t="shared" si="3379"/>
        <v>28908.035555555551</v>
      </c>
      <c r="BA638" s="39">
        <f t="shared" si="3379"/>
        <v>27651.164444444439</v>
      </c>
      <c r="BB638" s="39">
        <f t="shared" si="3379"/>
        <v>26394.293333333328</v>
      </c>
      <c r="BC638" s="39">
        <f t="shared" si="3379"/>
        <v>25137.422222222216</v>
      </c>
      <c r="BD638" s="39">
        <f t="shared" si="3379"/>
        <v>23880.551111111105</v>
      </c>
      <c r="BE638" s="39">
        <f t="shared" si="3379"/>
        <v>22623.679999999993</v>
      </c>
      <c r="BF638" s="39">
        <f t="shared" si="3379"/>
        <v>21366.808888888881</v>
      </c>
      <c r="BG638" s="236">
        <f t="shared" si="3346"/>
        <v>0</v>
      </c>
      <c r="BH638" s="7">
        <v>1256.8711111111111</v>
      </c>
      <c r="BI638" s="7">
        <f t="shared" si="3342"/>
        <v>15082.453333333333</v>
      </c>
      <c r="BJ638" s="7">
        <f t="shared" si="3308"/>
        <v>20109.93777777777</v>
      </c>
      <c r="BK638" s="39">
        <f t="shared" si="3372"/>
        <v>18853.066666666658</v>
      </c>
      <c r="BL638" s="39">
        <f t="shared" si="3328"/>
        <v>17596.195555555547</v>
      </c>
      <c r="BM638" s="39">
        <f t="shared" si="3157"/>
        <v>16339.324444444435</v>
      </c>
      <c r="BN638" s="39">
        <f t="shared" si="3158"/>
        <v>15082.453333333324</v>
      </c>
      <c r="BO638" s="39">
        <f t="shared" si="3164"/>
        <v>13825.582222222212</v>
      </c>
      <c r="BP638" s="39">
        <f t="shared" si="3165"/>
        <v>12568.711111111101</v>
      </c>
      <c r="BQ638" s="39">
        <f t="shared" si="3166"/>
        <v>11311.839999999989</v>
      </c>
      <c r="BR638" s="39">
        <f t="shared" si="3167"/>
        <v>10054.968888888878</v>
      </c>
      <c r="BS638" s="39">
        <f t="shared" si="3168"/>
        <v>8798.0977777777662</v>
      </c>
      <c r="BT638" s="39">
        <f t="shared" si="3169"/>
        <v>7541.2266666666546</v>
      </c>
      <c r="BU638" s="39">
        <f t="shared" si="3170"/>
        <v>6284.3555555555431</v>
      </c>
      <c r="BV638" s="236">
        <f>IF(AG638&lt;1,0,SUM(BJ638:BU638,BF638)/13*$BG$1)</f>
        <v>0</v>
      </c>
      <c r="BW638" s="7">
        <v>1256.8711111111111</v>
      </c>
      <c r="BX638" s="7">
        <v>6284.36</v>
      </c>
      <c r="BY638" s="7">
        <f t="shared" si="3343"/>
        <v>5027.4844444444316</v>
      </c>
      <c r="BZ638" s="39">
        <f t="shared" si="3373"/>
        <v>3770.6133333333205</v>
      </c>
      <c r="CA638" s="39">
        <f t="shared" si="3330"/>
        <v>2513.7422222222094</v>
      </c>
      <c r="CB638" s="39">
        <f t="shared" si="3173"/>
        <v>1256.8711111110983</v>
      </c>
      <c r="CC638" s="39"/>
      <c r="CD638" s="39"/>
      <c r="CE638" s="39"/>
      <c r="CF638" s="39"/>
      <c r="CG638" s="39"/>
      <c r="CH638" s="39"/>
      <c r="CI638" s="39"/>
      <c r="CJ638" s="39"/>
      <c r="CK638" s="236">
        <v>0</v>
      </c>
      <c r="CL638" s="7">
        <v>1256.8711111111111</v>
      </c>
      <c r="CM638" s="7"/>
      <c r="CN638" s="7"/>
      <c r="CO638" s="39"/>
      <c r="CP638" s="39"/>
      <c r="CQ638" s="39"/>
      <c r="CR638" s="39"/>
      <c r="CS638" s="39"/>
      <c r="CT638" s="39"/>
      <c r="CU638" s="39"/>
      <c r="CV638" s="39"/>
      <c r="CW638" s="39"/>
      <c r="CX638" s="39"/>
      <c r="CY638" s="39"/>
      <c r="CZ638" s="236">
        <v>0</v>
      </c>
    </row>
    <row r="639" spans="1:104" ht="24" customHeight="1" x14ac:dyDescent="0.2">
      <c r="A639" s="231" t="s">
        <v>86</v>
      </c>
      <c r="B639" s="185" t="s">
        <v>2563</v>
      </c>
      <c r="C639" s="42" t="s">
        <v>22</v>
      </c>
      <c r="D639" s="42" t="s">
        <v>23</v>
      </c>
      <c r="E639" s="184">
        <v>45076</v>
      </c>
      <c r="F639" s="42" t="s">
        <v>25</v>
      </c>
      <c r="G639" s="186">
        <v>36</v>
      </c>
      <c r="H639" s="11"/>
      <c r="K639" s="8">
        <v>0</v>
      </c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219">
        <f>AH639/G639</f>
        <v>1809.8338888888889</v>
      </c>
      <c r="AC639" s="44">
        <f>AB639*7</f>
        <v>12668.837222222222</v>
      </c>
      <c r="AD639" s="7"/>
      <c r="AE639" s="7"/>
      <c r="AF639" s="7"/>
      <c r="AG639" s="7"/>
      <c r="AH639" s="7">
        <v>65154.02</v>
      </c>
      <c r="AI639" s="39">
        <f>AH639-$AB639</f>
        <v>63344.186111111107</v>
      </c>
      <c r="AJ639" s="39">
        <f t="shared" ref="AJ639:AO639" si="3380">AI639-$AB639</f>
        <v>61534.352222222216</v>
      </c>
      <c r="AK639" s="39">
        <f>AJ639-$AB639</f>
        <v>59724.518333333326</v>
      </c>
      <c r="AL639" s="39">
        <f t="shared" si="3380"/>
        <v>57914.684444444436</v>
      </c>
      <c r="AM639" s="39">
        <f t="shared" si="3380"/>
        <v>56104.850555555546</v>
      </c>
      <c r="AN639" s="39">
        <f t="shared" si="3380"/>
        <v>54295.016666666656</v>
      </c>
      <c r="AO639" s="39">
        <f t="shared" si="3380"/>
        <v>52485.182777777765</v>
      </c>
      <c r="AP639" s="222"/>
      <c r="AQ639" s="7">
        <v>1809.8338888888889</v>
      </c>
      <c r="AR639" s="7">
        <f t="shared" si="3133"/>
        <v>1809.8338888888902</v>
      </c>
      <c r="AS639" s="7">
        <f t="shared" si="3134"/>
        <v>0</v>
      </c>
      <c r="AT639" s="7">
        <f>AQ639*12</f>
        <v>21718.006666666668</v>
      </c>
      <c r="AU639" s="39">
        <f t="shared" si="3306"/>
        <v>50675.348888888875</v>
      </c>
      <c r="AV639" s="39">
        <f t="shared" ref="AV639:BF639" si="3381">AU639-$AQ639</f>
        <v>48865.514999999985</v>
      </c>
      <c r="AW639" s="39">
        <f t="shared" si="3381"/>
        <v>47055.681111111095</v>
      </c>
      <c r="AX639" s="39">
        <f t="shared" si="3381"/>
        <v>45245.847222222204</v>
      </c>
      <c r="AY639" s="39">
        <f t="shared" si="3381"/>
        <v>43436.013333333314</v>
      </c>
      <c r="AZ639" s="39">
        <f t="shared" si="3381"/>
        <v>41626.179444444424</v>
      </c>
      <c r="BA639" s="39">
        <f t="shared" si="3381"/>
        <v>39816.345555555534</v>
      </c>
      <c r="BB639" s="39">
        <f t="shared" si="3381"/>
        <v>38006.511666666644</v>
      </c>
      <c r="BC639" s="39">
        <f t="shared" si="3381"/>
        <v>36196.677777777753</v>
      </c>
      <c r="BD639" s="39">
        <f t="shared" si="3381"/>
        <v>34386.843888888863</v>
      </c>
      <c r="BE639" s="39">
        <f t="shared" si="3381"/>
        <v>32577.009999999973</v>
      </c>
      <c r="BF639" s="39">
        <f t="shared" si="3381"/>
        <v>30767.176111111083</v>
      </c>
      <c r="BG639" s="236">
        <f t="shared" si="3346"/>
        <v>0</v>
      </c>
      <c r="BH639" s="7">
        <v>1809.8338888888889</v>
      </c>
      <c r="BI639" s="7">
        <f t="shared" si="3342"/>
        <v>21718.006666666668</v>
      </c>
      <c r="BJ639" s="7">
        <f t="shared" si="3308"/>
        <v>28957.342222222193</v>
      </c>
      <c r="BK639" s="39">
        <f t="shared" si="3372"/>
        <v>27147.508333333302</v>
      </c>
      <c r="BL639" s="39">
        <f t="shared" si="3328"/>
        <v>25337.674444444412</v>
      </c>
      <c r="BM639" s="39">
        <f t="shared" si="3157"/>
        <v>23527.840555555522</v>
      </c>
      <c r="BN639" s="39">
        <f t="shared" si="3158"/>
        <v>21718.006666666632</v>
      </c>
      <c r="BO639" s="39">
        <f t="shared" si="3164"/>
        <v>19908.172777777741</v>
      </c>
      <c r="BP639" s="39">
        <f t="shared" si="3165"/>
        <v>18098.338888888851</v>
      </c>
      <c r="BQ639" s="39">
        <f t="shared" si="3166"/>
        <v>16288.504999999963</v>
      </c>
      <c r="BR639" s="39">
        <f t="shared" si="3167"/>
        <v>14478.671111111074</v>
      </c>
      <c r="BS639" s="39">
        <f t="shared" si="3168"/>
        <v>12668.837222222186</v>
      </c>
      <c r="BT639" s="39">
        <f t="shared" si="3169"/>
        <v>10859.003333333298</v>
      </c>
      <c r="BU639" s="39">
        <f t="shared" si="3170"/>
        <v>9049.1694444444092</v>
      </c>
      <c r="BV639" s="236">
        <f>IF(AG639&lt;1,0,SUM(BJ639:BU639,BF639)/13*$BG$1)</f>
        <v>0</v>
      </c>
      <c r="BW639" s="7">
        <v>1809.8338888888889</v>
      </c>
      <c r="BX639" s="7">
        <v>9049.17</v>
      </c>
      <c r="BY639" s="7">
        <f t="shared" si="3343"/>
        <v>7239.3355555555208</v>
      </c>
      <c r="BZ639" s="39">
        <f t="shared" si="3373"/>
        <v>5429.5016666666324</v>
      </c>
      <c r="CA639" s="39">
        <f t="shared" si="3330"/>
        <v>3619.6677777777436</v>
      </c>
      <c r="CB639" s="39">
        <f t="shared" si="3173"/>
        <v>1809.8338888888547</v>
      </c>
      <c r="CC639" s="39"/>
      <c r="CD639" s="39"/>
      <c r="CE639" s="39"/>
      <c r="CF639" s="39"/>
      <c r="CG639" s="39"/>
      <c r="CH639" s="39"/>
      <c r="CI639" s="39"/>
      <c r="CJ639" s="39"/>
      <c r="CK639" s="236">
        <v>0</v>
      </c>
      <c r="CL639" s="7">
        <v>1809.8338888888889</v>
      </c>
      <c r="CM639" s="7"/>
      <c r="CN639" s="7"/>
      <c r="CO639" s="39"/>
      <c r="CP639" s="39"/>
      <c r="CQ639" s="39"/>
      <c r="CR639" s="39"/>
      <c r="CS639" s="39"/>
      <c r="CT639" s="39"/>
      <c r="CU639" s="39"/>
      <c r="CV639" s="39"/>
      <c r="CW639" s="39"/>
      <c r="CX639" s="39"/>
      <c r="CY639" s="39"/>
      <c r="CZ639" s="236">
        <v>0</v>
      </c>
    </row>
    <row r="640" spans="1:104" ht="24" customHeight="1" x14ac:dyDescent="0.2">
      <c r="A640" s="231" t="s">
        <v>2537</v>
      </c>
      <c r="B640" s="185" t="s">
        <v>2562</v>
      </c>
      <c r="C640" t="s">
        <v>41</v>
      </c>
      <c r="D640" s="42" t="s">
        <v>42</v>
      </c>
      <c r="E640" s="184">
        <v>45076</v>
      </c>
      <c r="F640" s="42" t="s">
        <v>44</v>
      </c>
      <c r="G640" s="186">
        <v>180</v>
      </c>
      <c r="H640" s="11"/>
      <c r="K640" s="8">
        <v>1</v>
      </c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219">
        <f>AH640/G640</f>
        <v>937.12727777777775</v>
      </c>
      <c r="AC640" s="44">
        <f>AB640*7</f>
        <v>6559.8909444444444</v>
      </c>
      <c r="AD640" s="7"/>
      <c r="AE640" s="7"/>
      <c r="AF640" s="7"/>
      <c r="AG640" s="7"/>
      <c r="AH640" s="7">
        <v>168682.91</v>
      </c>
      <c r="AI640" s="39">
        <f>AH640-$AB640</f>
        <v>167745.78272222221</v>
      </c>
      <c r="AJ640" s="39">
        <f t="shared" ref="AJ640:AO640" si="3382">AI640-$AB640</f>
        <v>166808.65544444442</v>
      </c>
      <c r="AK640" s="39">
        <f t="shared" si="3382"/>
        <v>165871.52816666663</v>
      </c>
      <c r="AL640" s="39">
        <f t="shared" si="3382"/>
        <v>164934.40088888883</v>
      </c>
      <c r="AM640" s="39">
        <f t="shared" si="3382"/>
        <v>163997.27361111104</v>
      </c>
      <c r="AN640" s="39">
        <f t="shared" si="3382"/>
        <v>163060.14633333325</v>
      </c>
      <c r="AO640" s="39">
        <f t="shared" si="3382"/>
        <v>162123.01905555546</v>
      </c>
      <c r="AP640" s="222">
        <f t="shared" ref="AP640:AP655" si="3383">IF(K640&lt;1,0,SUM(AD640:AO640,Z640)/13*$BG$1)</f>
        <v>2239.3016736068371</v>
      </c>
      <c r="AQ640" s="7">
        <v>937.12727777777775</v>
      </c>
      <c r="AR640" s="7">
        <f t="shared" si="3133"/>
        <v>937.12727777779219</v>
      </c>
      <c r="AS640" s="7">
        <f t="shared" si="3134"/>
        <v>1.4438228390645236E-11</v>
      </c>
      <c r="AT640" s="7">
        <f t="shared" si="3320"/>
        <v>11245.527333333333</v>
      </c>
      <c r="AU640" s="39">
        <f t="shared" si="3306"/>
        <v>161185.89177777767</v>
      </c>
      <c r="AV640" s="39">
        <f t="shared" ref="AV640:BF640" si="3384">AU640-$AQ640</f>
        <v>160248.76449999987</v>
      </c>
      <c r="AW640" s="39">
        <f t="shared" si="3384"/>
        <v>159311.63722222208</v>
      </c>
      <c r="AX640" s="39">
        <f t="shared" si="3384"/>
        <v>158374.50994444429</v>
      </c>
      <c r="AY640" s="39">
        <f t="shared" si="3384"/>
        <v>157437.3826666665</v>
      </c>
      <c r="AZ640" s="39">
        <f t="shared" si="3384"/>
        <v>156500.25538888871</v>
      </c>
      <c r="BA640" s="39">
        <f t="shared" si="3384"/>
        <v>155563.12811111091</v>
      </c>
      <c r="BB640" s="39">
        <f t="shared" si="3384"/>
        <v>154626.00083333312</v>
      </c>
      <c r="BC640" s="39">
        <f t="shared" si="3384"/>
        <v>153688.87355555533</v>
      </c>
      <c r="BD640" s="39">
        <f t="shared" si="3384"/>
        <v>152751.74627777754</v>
      </c>
      <c r="BE640" s="39">
        <f t="shared" si="3384"/>
        <v>151814.61899999974</v>
      </c>
      <c r="BF640" s="39">
        <f t="shared" si="3384"/>
        <v>150877.49172222195</v>
      </c>
      <c r="BG640" s="236">
        <f t="shared" si="3346"/>
        <v>3443.0056185555513</v>
      </c>
      <c r="BH640" s="7">
        <v>937.12727777777775</v>
      </c>
      <c r="BI640" s="7">
        <f t="shared" si="3342"/>
        <v>11245.527333333333</v>
      </c>
      <c r="BJ640" s="7">
        <f t="shared" si="3308"/>
        <v>149940.36444444416</v>
      </c>
      <c r="BK640" s="39">
        <f t="shared" si="3372"/>
        <v>149003.23716666637</v>
      </c>
      <c r="BL640" s="39">
        <f t="shared" si="3328"/>
        <v>148066.10988888858</v>
      </c>
      <c r="BM640" s="39">
        <f t="shared" si="3157"/>
        <v>147128.98261111078</v>
      </c>
      <c r="BN640" s="39">
        <f t="shared" si="3158"/>
        <v>146191.85533333299</v>
      </c>
      <c r="BO640" s="39">
        <f t="shared" si="3164"/>
        <v>145254.7280555552</v>
      </c>
      <c r="BP640" s="39">
        <f t="shared" si="3165"/>
        <v>144317.60077777741</v>
      </c>
      <c r="BQ640" s="39">
        <f t="shared" si="3166"/>
        <v>143380.47349999961</v>
      </c>
      <c r="BR640" s="39">
        <f t="shared" si="3167"/>
        <v>142443.34622222182</v>
      </c>
      <c r="BS640" s="39">
        <f t="shared" si="3168"/>
        <v>141506.21894444403</v>
      </c>
      <c r="BT640" s="39">
        <f t="shared" si="3169"/>
        <v>140569.09166666624</v>
      </c>
      <c r="BU640" s="39">
        <f t="shared" si="3170"/>
        <v>139631.96438888845</v>
      </c>
      <c r="BV640" s="236">
        <f>IF(AH640&lt;1,0,SUM(BJ640:BU640,BF640)/13*$BG$1)</f>
        <v>3195.6040172222142</v>
      </c>
      <c r="BW640" s="7">
        <v>937.12727777777775</v>
      </c>
      <c r="BX640" s="7">
        <f t="shared" ref="BX640:BX671" si="3385">BW640*12</f>
        <v>11245.527333333333</v>
      </c>
      <c r="BY640" s="7">
        <f t="shared" si="3343"/>
        <v>138694.83711111065</v>
      </c>
      <c r="BZ640" s="39">
        <f t="shared" si="3373"/>
        <v>137757.70983333286</v>
      </c>
      <c r="CA640" s="39">
        <f t="shared" si="3330"/>
        <v>136820.58255555507</v>
      </c>
      <c r="CB640" s="39">
        <f t="shared" si="3173"/>
        <v>135883.45527777728</v>
      </c>
      <c r="CC640" s="39">
        <f t="shared" si="3352"/>
        <v>134946.32799999948</v>
      </c>
      <c r="CD640" s="39">
        <f t="shared" si="3353"/>
        <v>134009.20072222169</v>
      </c>
      <c r="CE640" s="39">
        <f t="shared" si="3354"/>
        <v>133072.0734444439</v>
      </c>
      <c r="CF640" s="39">
        <f t="shared" si="3355"/>
        <v>132134.94616666611</v>
      </c>
      <c r="CG640" s="39">
        <f t="shared" si="3356"/>
        <v>131197.81888888832</v>
      </c>
      <c r="CH640" s="39">
        <f t="shared" si="3357"/>
        <v>130260.69161111054</v>
      </c>
      <c r="CI640" s="39">
        <f t="shared" si="3358"/>
        <v>129323.56433333276</v>
      </c>
      <c r="CJ640" s="39">
        <f t="shared" si="3359"/>
        <v>128386.43705555498</v>
      </c>
      <c r="CK640" s="236">
        <f>IF(AY640&lt;1,0,SUM(BY640:CJ640,BU640)/13*$BG$1)</f>
        <v>2948.2024158888771</v>
      </c>
      <c r="CL640" s="7">
        <v>937.12727777777775</v>
      </c>
      <c r="CM640" s="7">
        <f t="shared" ref="CM640:CM671" si="3386">CL640*12</f>
        <v>11245.527333333333</v>
      </c>
      <c r="CN640" s="7">
        <f t="shared" ref="CN640:CN671" si="3387">CJ640-CL640</f>
        <v>127449.30977777721</v>
      </c>
      <c r="CO640" s="39">
        <f t="shared" si="3374"/>
        <v>126512.18249999943</v>
      </c>
      <c r="CP640" s="39">
        <f t="shared" si="3360"/>
        <v>125575.05522222165</v>
      </c>
      <c r="CQ640" s="39">
        <f t="shared" si="3361"/>
        <v>124637.92794444387</v>
      </c>
      <c r="CR640" s="39">
        <f t="shared" si="3362"/>
        <v>123700.80066666609</v>
      </c>
      <c r="CS640" s="39">
        <f t="shared" ref="CS640:CS673" si="3388">CR640-$AQ640</f>
        <v>122763.67338888832</v>
      </c>
      <c r="CT640" s="39">
        <f t="shared" ref="CT640:CT673" si="3389">CS640-$AQ640</f>
        <v>121826.54611111054</v>
      </c>
      <c r="CU640" s="39">
        <f t="shared" ref="CU640:CU673" si="3390">CT640-$AQ640</f>
        <v>120889.41883333276</v>
      </c>
      <c r="CV640" s="39">
        <f t="shared" ref="CV640:CV673" si="3391">CU640-$AQ640</f>
        <v>119952.29155555498</v>
      </c>
      <c r="CW640" s="39">
        <f t="shared" ref="CW640:CW673" si="3392">CV640-$AQ640</f>
        <v>119015.16427777721</v>
      </c>
      <c r="CX640" s="39">
        <f t="shared" ref="CX640:CX673" si="3393">CW640-$AQ640</f>
        <v>118078.03699999943</v>
      </c>
      <c r="CY640" s="39">
        <f t="shared" ref="CY640:CY673" si="3394">CX640-$AQ640</f>
        <v>117140.90972222165</v>
      </c>
      <c r="CZ640" s="236">
        <f>IF(BN640&lt;1,0,SUM(CN640:CY640,CJ640)/13*$BG$1)</f>
        <v>2700.8008145555432</v>
      </c>
    </row>
    <row r="641" spans="1:104" ht="24" customHeight="1" x14ac:dyDescent="0.2">
      <c r="A641" s="231" t="s">
        <v>2539</v>
      </c>
      <c r="B641" s="185" t="s">
        <v>2561</v>
      </c>
      <c r="C641" t="s">
        <v>41</v>
      </c>
      <c r="D641" s="42" t="s">
        <v>42</v>
      </c>
      <c r="E641" s="184">
        <v>45076</v>
      </c>
      <c r="F641" s="42" t="s">
        <v>44</v>
      </c>
      <c r="G641" s="186">
        <v>180</v>
      </c>
      <c r="H641" s="11"/>
      <c r="K641" s="8">
        <v>1</v>
      </c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219">
        <f>AH641/G641</f>
        <v>1606.982777777778</v>
      </c>
      <c r="AC641" s="44">
        <f>AB641*7</f>
        <v>11248.879444444447</v>
      </c>
      <c r="AD641" s="7"/>
      <c r="AE641" s="7"/>
      <c r="AF641" s="7"/>
      <c r="AG641" s="7"/>
      <c r="AH641" s="7">
        <v>289256.90000000002</v>
      </c>
      <c r="AI641" s="39">
        <f>AH641-$AB641</f>
        <v>287649.91722222226</v>
      </c>
      <c r="AJ641" s="39">
        <f t="shared" ref="AJ641:AO641" si="3395">AI641-$AB641</f>
        <v>286042.93444444449</v>
      </c>
      <c r="AK641" s="39">
        <f t="shared" si="3395"/>
        <v>284435.95166666672</v>
      </c>
      <c r="AL641" s="39">
        <f t="shared" si="3395"/>
        <v>282828.96888888895</v>
      </c>
      <c r="AM641" s="39">
        <f t="shared" si="3395"/>
        <v>281221.98611111118</v>
      </c>
      <c r="AN641" s="39">
        <f t="shared" si="3395"/>
        <v>279615.00333333341</v>
      </c>
      <c r="AO641" s="39">
        <f t="shared" si="3395"/>
        <v>278008.02055555565</v>
      </c>
      <c r="AP641" s="222">
        <f t="shared" si="3383"/>
        <v>3839.9471545299143</v>
      </c>
      <c r="AQ641" s="7">
        <v>1606.982777777778</v>
      </c>
      <c r="AR641" s="7">
        <f t="shared" si="3133"/>
        <v>1606.9827777777682</v>
      </c>
      <c r="AS641" s="7">
        <f t="shared" si="3134"/>
        <v>-9.7770680440589786E-12</v>
      </c>
      <c r="AT641" s="7">
        <f t="shared" si="3320"/>
        <v>19283.793333333335</v>
      </c>
      <c r="AU641" s="39">
        <f t="shared" si="3306"/>
        <v>276401.03777777788</v>
      </c>
      <c r="AV641" s="39">
        <f t="shared" ref="AV641:BF641" si="3396">AU641-$AQ641</f>
        <v>274794.05500000011</v>
      </c>
      <c r="AW641" s="39">
        <f t="shared" si="3396"/>
        <v>273187.07222222234</v>
      </c>
      <c r="AX641" s="39">
        <f t="shared" si="3396"/>
        <v>271580.08944444457</v>
      </c>
      <c r="AY641" s="39">
        <f t="shared" si="3396"/>
        <v>269973.1066666668</v>
      </c>
      <c r="AZ641" s="39">
        <f t="shared" si="3396"/>
        <v>268366.12388888904</v>
      </c>
      <c r="BA641" s="39">
        <f t="shared" si="3396"/>
        <v>266759.14111111127</v>
      </c>
      <c r="BB641" s="39">
        <f t="shared" si="3396"/>
        <v>265152.1583333335</v>
      </c>
      <c r="BC641" s="39">
        <f t="shared" si="3396"/>
        <v>263545.17555555573</v>
      </c>
      <c r="BD641" s="39">
        <f t="shared" si="3396"/>
        <v>261938.19277777796</v>
      </c>
      <c r="BE641" s="39">
        <f t="shared" si="3396"/>
        <v>260331.2100000002</v>
      </c>
      <c r="BF641" s="39">
        <f t="shared" si="3396"/>
        <v>258724.22722222243</v>
      </c>
      <c r="BG641" s="236">
        <f t="shared" si="3346"/>
        <v>5904.0547255555575</v>
      </c>
      <c r="BH641" s="7">
        <v>1606.982777777778</v>
      </c>
      <c r="BI641" s="7">
        <f t="shared" si="3342"/>
        <v>19283.793333333335</v>
      </c>
      <c r="BJ641" s="7">
        <f t="shared" si="3308"/>
        <v>257117.24444444466</v>
      </c>
      <c r="BK641" s="39">
        <f t="shared" si="3372"/>
        <v>255510.26166666689</v>
      </c>
      <c r="BL641" s="39">
        <f t="shared" si="3328"/>
        <v>253903.27888888912</v>
      </c>
      <c r="BM641" s="39">
        <f t="shared" si="3157"/>
        <v>252296.29611111135</v>
      </c>
      <c r="BN641" s="39">
        <f t="shared" si="3158"/>
        <v>250689.31333333359</v>
      </c>
      <c r="BO641" s="39">
        <f t="shared" si="3164"/>
        <v>249082.33055555582</v>
      </c>
      <c r="BP641" s="39">
        <f t="shared" si="3165"/>
        <v>247475.34777777805</v>
      </c>
      <c r="BQ641" s="39">
        <f t="shared" si="3166"/>
        <v>245868.36500000028</v>
      </c>
      <c r="BR641" s="39">
        <f t="shared" si="3167"/>
        <v>244261.38222222251</v>
      </c>
      <c r="BS641" s="39">
        <f t="shared" si="3168"/>
        <v>242654.39944444475</v>
      </c>
      <c r="BT641" s="39">
        <f t="shared" si="3169"/>
        <v>241047.41666666698</v>
      </c>
      <c r="BU641" s="39">
        <f t="shared" si="3170"/>
        <v>239440.43388888921</v>
      </c>
      <c r="BV641" s="236">
        <f>IF(AH641&lt;1,0,SUM(BJ641:BU641,BF641)/13*$BG$1)</f>
        <v>5479.8112722222277</v>
      </c>
      <c r="BW641" s="7">
        <v>1606.982777777778</v>
      </c>
      <c r="BX641" s="7">
        <f t="shared" si="3385"/>
        <v>19283.793333333335</v>
      </c>
      <c r="BY641" s="7">
        <f t="shared" si="3343"/>
        <v>237833.45111111144</v>
      </c>
      <c r="BZ641" s="39">
        <f t="shared" si="3373"/>
        <v>236226.46833333367</v>
      </c>
      <c r="CA641" s="39">
        <f t="shared" si="3330"/>
        <v>234619.4855555559</v>
      </c>
      <c r="CB641" s="39">
        <f t="shared" si="3173"/>
        <v>233012.50277777814</v>
      </c>
      <c r="CC641" s="39">
        <f t="shared" si="3352"/>
        <v>231405.52000000037</v>
      </c>
      <c r="CD641" s="39">
        <f t="shared" si="3353"/>
        <v>229798.5372222226</v>
      </c>
      <c r="CE641" s="39">
        <f t="shared" si="3354"/>
        <v>228191.55444444483</v>
      </c>
      <c r="CF641" s="39">
        <f t="shared" si="3355"/>
        <v>226584.57166666706</v>
      </c>
      <c r="CG641" s="39">
        <f t="shared" si="3356"/>
        <v>224977.5888888893</v>
      </c>
      <c r="CH641" s="39">
        <f t="shared" si="3357"/>
        <v>223370.60611111153</v>
      </c>
      <c r="CI641" s="39">
        <f t="shared" si="3358"/>
        <v>221763.62333333376</v>
      </c>
      <c r="CJ641" s="39">
        <f t="shared" si="3359"/>
        <v>220156.64055555599</v>
      </c>
      <c r="CK641" s="236">
        <f>IF(AY641&lt;1,0,SUM(BY641:CJ641,BU641)/13*$BG$1)</f>
        <v>5055.5678188888969</v>
      </c>
      <c r="CL641" s="7">
        <v>1606.982777777778</v>
      </c>
      <c r="CM641" s="7">
        <f t="shared" si="3386"/>
        <v>19283.793333333335</v>
      </c>
      <c r="CN641" s="7">
        <f t="shared" si="3387"/>
        <v>218549.65777777822</v>
      </c>
      <c r="CO641" s="39">
        <f t="shared" si="3374"/>
        <v>216942.67500000045</v>
      </c>
      <c r="CP641" s="39">
        <f t="shared" si="3360"/>
        <v>215335.69222222269</v>
      </c>
      <c r="CQ641" s="39">
        <f t="shared" si="3361"/>
        <v>213728.70944444492</v>
      </c>
      <c r="CR641" s="39">
        <f t="shared" si="3362"/>
        <v>212121.72666666715</v>
      </c>
      <c r="CS641" s="39">
        <f t="shared" si="3388"/>
        <v>210514.74388888938</v>
      </c>
      <c r="CT641" s="39">
        <f t="shared" si="3389"/>
        <v>208907.76111111161</v>
      </c>
      <c r="CU641" s="39">
        <f t="shared" si="3390"/>
        <v>207300.77833333384</v>
      </c>
      <c r="CV641" s="39">
        <f t="shared" si="3391"/>
        <v>205693.79555555608</v>
      </c>
      <c r="CW641" s="39">
        <f t="shared" si="3392"/>
        <v>204086.81277777831</v>
      </c>
      <c r="CX641" s="39">
        <f t="shared" si="3393"/>
        <v>202479.83000000054</v>
      </c>
      <c r="CY641" s="39">
        <f t="shared" si="3394"/>
        <v>200872.84722222277</v>
      </c>
      <c r="CZ641" s="236">
        <f>IF(BN641&lt;1,0,SUM(CN641:CY641,CJ641)/13*$BG$1)</f>
        <v>4631.3243655555661</v>
      </c>
    </row>
    <row r="642" spans="1:104" ht="24" customHeight="1" x14ac:dyDescent="0.2">
      <c r="A642" s="231" t="s">
        <v>2541</v>
      </c>
      <c r="B642" s="185" t="s">
        <v>2560</v>
      </c>
      <c r="C642" t="s">
        <v>41</v>
      </c>
      <c r="D642" s="42" t="s">
        <v>42</v>
      </c>
      <c r="E642" s="184">
        <v>45082</v>
      </c>
      <c r="F642" s="42" t="s">
        <v>44</v>
      </c>
      <c r="G642" s="186">
        <v>180</v>
      </c>
      <c r="H642" s="11"/>
      <c r="K642" s="8">
        <v>1</v>
      </c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219">
        <f>AI642/G642</f>
        <v>666.9807222222222</v>
      </c>
      <c r="AC642" s="44">
        <f>AB642*6</f>
        <v>4001.8843333333334</v>
      </c>
      <c r="AD642" s="7"/>
      <c r="AE642" s="7"/>
      <c r="AF642" s="7"/>
      <c r="AG642" s="7"/>
      <c r="AH642" s="7"/>
      <c r="AI642" s="7">
        <v>120056.53</v>
      </c>
      <c r="AJ642" s="39">
        <f t="shared" ref="AJ642:AO642" si="3397">AI642-$AB642</f>
        <v>119389.54927777778</v>
      </c>
      <c r="AK642" s="39">
        <f t="shared" si="3397"/>
        <v>118722.56855555557</v>
      </c>
      <c r="AL642" s="39">
        <f t="shared" si="3397"/>
        <v>118055.58783333335</v>
      </c>
      <c r="AM642" s="39">
        <f t="shared" si="3397"/>
        <v>117388.60711111114</v>
      </c>
      <c r="AN642" s="39">
        <f t="shared" si="3397"/>
        <v>116721.62638888892</v>
      </c>
      <c r="AO642" s="39">
        <f t="shared" si="3397"/>
        <v>116054.64566666671</v>
      </c>
      <c r="AP642" s="222">
        <f t="shared" si="3383"/>
        <v>1398.504655871795</v>
      </c>
      <c r="AQ642" s="7">
        <v>666.9807222222222</v>
      </c>
      <c r="AR642" s="7">
        <f t="shared" si="3133"/>
        <v>666.98072222221526</v>
      </c>
      <c r="AS642" s="7">
        <f t="shared" si="3134"/>
        <v>-6.9348971010185778E-12</v>
      </c>
      <c r="AT642" s="7">
        <f t="shared" si="3320"/>
        <v>8003.7686666666668</v>
      </c>
      <c r="AU642" s="39">
        <f t="shared" si="3306"/>
        <v>115387.66494444449</v>
      </c>
      <c r="AV642" s="39">
        <f t="shared" ref="AV642:BF642" si="3398">AU642-$AQ642</f>
        <v>114720.68422222228</v>
      </c>
      <c r="AW642" s="39">
        <f t="shared" si="3398"/>
        <v>114053.70350000006</v>
      </c>
      <c r="AX642" s="39">
        <f t="shared" si="3398"/>
        <v>113386.72277777785</v>
      </c>
      <c r="AY642" s="39">
        <f t="shared" si="3398"/>
        <v>112719.74205555563</v>
      </c>
      <c r="AZ642" s="39">
        <f t="shared" si="3398"/>
        <v>112052.76133333342</v>
      </c>
      <c r="BA642" s="39">
        <f t="shared" si="3398"/>
        <v>111385.7806111112</v>
      </c>
      <c r="BB642" s="39">
        <f t="shared" si="3398"/>
        <v>110718.79988888899</v>
      </c>
      <c r="BC642" s="39">
        <f t="shared" si="3398"/>
        <v>110051.81916666677</v>
      </c>
      <c r="BD642" s="39">
        <f t="shared" si="3398"/>
        <v>109384.83844444455</v>
      </c>
      <c r="BE642" s="39">
        <f t="shared" si="3398"/>
        <v>108717.85772222234</v>
      </c>
      <c r="BF642" s="39">
        <f t="shared" si="3398"/>
        <v>108050.87700000012</v>
      </c>
      <c r="BG642" s="236">
        <f t="shared" si="3346"/>
        <v>2465.1607493333349</v>
      </c>
      <c r="BH642" s="7">
        <v>666.9807222222222</v>
      </c>
      <c r="BI642" s="7">
        <f t="shared" si="3342"/>
        <v>8003.7686666666668</v>
      </c>
      <c r="BJ642" s="7">
        <f t="shared" si="3308"/>
        <v>107383.89627777791</v>
      </c>
      <c r="BK642" s="39">
        <f t="shared" si="3372"/>
        <v>106716.91555555569</v>
      </c>
      <c r="BL642" s="39">
        <f t="shared" si="3328"/>
        <v>106049.93483333348</v>
      </c>
      <c r="BM642" s="39">
        <f t="shared" si="3157"/>
        <v>105382.95411111126</v>
      </c>
      <c r="BN642" s="39">
        <f t="shared" si="3158"/>
        <v>104715.97338888905</v>
      </c>
      <c r="BO642" s="39">
        <f t="shared" si="3164"/>
        <v>104048.99266666683</v>
      </c>
      <c r="BP642" s="39">
        <f t="shared" si="3165"/>
        <v>103382.01194444462</v>
      </c>
      <c r="BQ642" s="39">
        <f t="shared" si="3166"/>
        <v>102715.0312222224</v>
      </c>
      <c r="BR642" s="39">
        <f t="shared" si="3167"/>
        <v>102048.05050000019</v>
      </c>
      <c r="BS642" s="39">
        <f t="shared" si="3168"/>
        <v>101381.06977777797</v>
      </c>
      <c r="BT642" s="39">
        <f t="shared" si="3169"/>
        <v>100714.08905555576</v>
      </c>
      <c r="BU642" s="39">
        <f t="shared" si="3170"/>
        <v>100047.10833333354</v>
      </c>
      <c r="BV642" s="236">
        <f>IF(AI642&lt;1,0,SUM(BJ642:BU642,BF642)/13*$BG$1)</f>
        <v>2289.0778386666702</v>
      </c>
      <c r="BW642" s="7">
        <v>666.9807222222222</v>
      </c>
      <c r="BX642" s="7">
        <f t="shared" si="3385"/>
        <v>8003.7686666666668</v>
      </c>
      <c r="BY642" s="7">
        <f t="shared" si="3343"/>
        <v>99380.127611111326</v>
      </c>
      <c r="BZ642" s="39">
        <f t="shared" si="3373"/>
        <v>98713.14688888911</v>
      </c>
      <c r="CA642" s="39">
        <f t="shared" si="3330"/>
        <v>98046.166166666895</v>
      </c>
      <c r="CB642" s="39">
        <f t="shared" si="3173"/>
        <v>97379.18544444468</v>
      </c>
      <c r="CC642" s="39">
        <f t="shared" si="3352"/>
        <v>96712.204722222465</v>
      </c>
      <c r="CD642" s="39">
        <f t="shared" si="3353"/>
        <v>96045.224000000249</v>
      </c>
      <c r="CE642" s="39">
        <f t="shared" si="3354"/>
        <v>95378.243277778034</v>
      </c>
      <c r="CF642" s="39">
        <f t="shared" si="3355"/>
        <v>94711.262555555819</v>
      </c>
      <c r="CG642" s="39">
        <f t="shared" si="3356"/>
        <v>94044.281833333604</v>
      </c>
      <c r="CH642" s="39">
        <f t="shared" si="3357"/>
        <v>93377.301111111388</v>
      </c>
      <c r="CI642" s="39">
        <f t="shared" si="3358"/>
        <v>92710.320388889173</v>
      </c>
      <c r="CJ642" s="39">
        <f t="shared" si="3359"/>
        <v>92043.339666666958</v>
      </c>
      <c r="CK642" s="236">
        <f>IF(AZ642&lt;1,0,SUM(BY642:CJ642,BU642)/13*$BG$1)</f>
        <v>2112.9949280000055</v>
      </c>
      <c r="CL642" s="7">
        <v>666.9807222222222</v>
      </c>
      <c r="CM642" s="7">
        <f t="shared" si="3386"/>
        <v>8003.7686666666668</v>
      </c>
      <c r="CN642" s="7">
        <f t="shared" si="3387"/>
        <v>91376.358944444743</v>
      </c>
      <c r="CO642" s="39">
        <f t="shared" si="3374"/>
        <v>90709.378222222527</v>
      </c>
      <c r="CP642" s="39">
        <f t="shared" si="3360"/>
        <v>90042.397500000312</v>
      </c>
      <c r="CQ642" s="39">
        <f t="shared" si="3361"/>
        <v>89375.416777778097</v>
      </c>
      <c r="CR642" s="39">
        <f t="shared" si="3362"/>
        <v>88708.436055555881</v>
      </c>
      <c r="CS642" s="39">
        <f t="shared" si="3388"/>
        <v>88041.455333333666</v>
      </c>
      <c r="CT642" s="39">
        <f t="shared" si="3389"/>
        <v>87374.474611111451</v>
      </c>
      <c r="CU642" s="39">
        <f t="shared" si="3390"/>
        <v>86707.493888889236</v>
      </c>
      <c r="CV642" s="39">
        <f t="shared" si="3391"/>
        <v>86040.51316666702</v>
      </c>
      <c r="CW642" s="39">
        <f t="shared" si="3392"/>
        <v>85373.532444444805</v>
      </c>
      <c r="CX642" s="39">
        <f t="shared" si="3393"/>
        <v>84706.55172222259</v>
      </c>
      <c r="CY642" s="39">
        <f t="shared" si="3394"/>
        <v>84039.571000000375</v>
      </c>
      <c r="CZ642" s="236">
        <f>IF(BO642&lt;1,0,SUM(CN642:CY642,CJ642)/13*$BG$1)</f>
        <v>1936.9120173333406</v>
      </c>
    </row>
    <row r="643" spans="1:104" ht="24" customHeight="1" x14ac:dyDescent="0.2">
      <c r="A643" s="231" t="s">
        <v>2543</v>
      </c>
      <c r="B643" s="185" t="s">
        <v>2559</v>
      </c>
      <c r="C643" t="s">
        <v>41</v>
      </c>
      <c r="D643" s="42" t="s">
        <v>42</v>
      </c>
      <c r="E643" s="184">
        <v>45097</v>
      </c>
      <c r="F643" s="42" t="s">
        <v>44</v>
      </c>
      <c r="G643" s="186">
        <v>180</v>
      </c>
      <c r="H643" s="11"/>
      <c r="K643" s="8">
        <v>1</v>
      </c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219">
        <f>AI643/G643</f>
        <v>3028.8576111111111</v>
      </c>
      <c r="AC643" s="44">
        <f>AB643*6</f>
        <v>18173.145666666667</v>
      </c>
      <c r="AD643" s="7"/>
      <c r="AE643" s="7"/>
      <c r="AF643" s="7"/>
      <c r="AG643" s="7"/>
      <c r="AH643" s="7"/>
      <c r="AI643" s="7">
        <v>545194.37</v>
      </c>
      <c r="AJ643" s="39">
        <f t="shared" ref="AJ643:AO643" si="3399">AI643-$AB643</f>
        <v>542165.51238888886</v>
      </c>
      <c r="AK643" s="39">
        <f>AJ643-$AB643</f>
        <v>539136.65477777773</v>
      </c>
      <c r="AL643" s="39">
        <f t="shared" si="3399"/>
        <v>536107.7971666666</v>
      </c>
      <c r="AM643" s="39">
        <f t="shared" si="3399"/>
        <v>533078.93955555547</v>
      </c>
      <c r="AN643" s="39">
        <f t="shared" si="3399"/>
        <v>530050.08194444433</v>
      </c>
      <c r="AO643" s="39">
        <f t="shared" si="3399"/>
        <v>527021.2243333332</v>
      </c>
      <c r="AP643" s="222">
        <f t="shared" si="3383"/>
        <v>6350.8154433589725</v>
      </c>
      <c r="AQ643" s="7">
        <v>3028.8576111111111</v>
      </c>
      <c r="AR643" s="7">
        <f t="shared" si="3133"/>
        <v>3028.8576111111324</v>
      </c>
      <c r="AS643" s="7">
        <f t="shared" si="3134"/>
        <v>2.1373125491663814E-11</v>
      </c>
      <c r="AT643" s="7">
        <f t="shared" si="3320"/>
        <v>36346.291333333334</v>
      </c>
      <c r="AU643" s="39">
        <f t="shared" si="3306"/>
        <v>523992.36672222207</v>
      </c>
      <c r="AV643" s="39">
        <f t="shared" ref="AV643:BF643" si="3400">AU643-$AQ643</f>
        <v>520963.50911111094</v>
      </c>
      <c r="AW643" s="39">
        <f t="shared" si="3400"/>
        <v>517934.6514999998</v>
      </c>
      <c r="AX643" s="39">
        <f t="shared" si="3400"/>
        <v>514905.79388888867</v>
      </c>
      <c r="AY643" s="39">
        <f t="shared" si="3400"/>
        <v>511876.93627777754</v>
      </c>
      <c r="AZ643" s="39">
        <f t="shared" si="3400"/>
        <v>508848.07866666641</v>
      </c>
      <c r="BA643" s="39">
        <f t="shared" si="3400"/>
        <v>505819.22105555527</v>
      </c>
      <c r="BB643" s="39">
        <f t="shared" si="3400"/>
        <v>502790.36344444414</v>
      </c>
      <c r="BC643" s="39">
        <f t="shared" si="3400"/>
        <v>499761.50583333301</v>
      </c>
      <c r="BD643" s="39">
        <f t="shared" si="3400"/>
        <v>496732.64822222188</v>
      </c>
      <c r="BE643" s="39">
        <f t="shared" si="3400"/>
        <v>493703.79061111074</v>
      </c>
      <c r="BF643" s="39">
        <f t="shared" si="3400"/>
        <v>490674.93299999961</v>
      </c>
      <c r="BG643" s="236">
        <f t="shared" si="3346"/>
        <v>11194.65773066666</v>
      </c>
      <c r="BH643" s="7">
        <v>3028.8576111111111</v>
      </c>
      <c r="BI643" s="7">
        <f t="shared" si="3342"/>
        <v>36346.291333333334</v>
      </c>
      <c r="BJ643" s="7">
        <f t="shared" si="3308"/>
        <v>487646.07538888848</v>
      </c>
      <c r="BK643" s="39">
        <f t="shared" si="3372"/>
        <v>484617.21777777735</v>
      </c>
      <c r="BL643" s="39">
        <f t="shared" si="3328"/>
        <v>481588.36016666621</v>
      </c>
      <c r="BM643" s="39">
        <f t="shared" si="3157"/>
        <v>478559.50255555508</v>
      </c>
      <c r="BN643" s="39">
        <f t="shared" si="3158"/>
        <v>475530.64494444395</v>
      </c>
      <c r="BO643" s="39">
        <f t="shared" si="3164"/>
        <v>472501.78733333282</v>
      </c>
      <c r="BP643" s="39">
        <f t="shared" si="3165"/>
        <v>469472.92972222168</v>
      </c>
      <c r="BQ643" s="39">
        <f t="shared" si="3166"/>
        <v>466444.07211111055</v>
      </c>
      <c r="BR643" s="39">
        <f t="shared" si="3167"/>
        <v>463415.21449999942</v>
      </c>
      <c r="BS643" s="39">
        <f t="shared" si="3168"/>
        <v>460386.35688888829</v>
      </c>
      <c r="BT643" s="39">
        <f t="shared" si="3169"/>
        <v>457357.49927777715</v>
      </c>
      <c r="BU643" s="39">
        <f t="shared" si="3170"/>
        <v>454328.64166666602</v>
      </c>
      <c r="BV643" s="236">
        <f>IF(AI643&lt;1,0,SUM(BJ643:BU643,BF643)/13*$BG$1)</f>
        <v>10395.039321333321</v>
      </c>
      <c r="BW643" s="7">
        <v>3028.8576111111111</v>
      </c>
      <c r="BX643" s="7">
        <f t="shared" si="3385"/>
        <v>36346.291333333334</v>
      </c>
      <c r="BY643" s="7">
        <f t="shared" si="3343"/>
        <v>451299.78405555489</v>
      </c>
      <c r="BZ643" s="39">
        <f t="shared" si="3373"/>
        <v>448270.92644444376</v>
      </c>
      <c r="CA643" s="39">
        <f t="shared" si="3330"/>
        <v>445242.06883333263</v>
      </c>
      <c r="CB643" s="39">
        <f t="shared" si="3173"/>
        <v>442213.21122222149</v>
      </c>
      <c r="CC643" s="39">
        <f t="shared" si="3352"/>
        <v>439184.35361111036</v>
      </c>
      <c r="CD643" s="39">
        <f t="shared" si="3353"/>
        <v>436155.49599999923</v>
      </c>
      <c r="CE643" s="39">
        <f t="shared" si="3354"/>
        <v>433126.6383888881</v>
      </c>
      <c r="CF643" s="39">
        <f t="shared" si="3355"/>
        <v>430097.78077777696</v>
      </c>
      <c r="CG643" s="39">
        <f t="shared" si="3356"/>
        <v>427068.92316666583</v>
      </c>
      <c r="CH643" s="39">
        <f t="shared" si="3357"/>
        <v>424040.0655555547</v>
      </c>
      <c r="CI643" s="39">
        <f t="shared" si="3358"/>
        <v>421011.20794444357</v>
      </c>
      <c r="CJ643" s="39">
        <f t="shared" si="3359"/>
        <v>417982.35033333243</v>
      </c>
      <c r="CK643" s="236">
        <f>IF(AZ643&lt;1,0,SUM(BY643:CJ643,BU643)/13*$BG$1)</f>
        <v>9595.4209119999796</v>
      </c>
      <c r="CL643" s="7">
        <v>3028.8576111111111</v>
      </c>
      <c r="CM643" s="7">
        <f t="shared" si="3386"/>
        <v>36346.291333333334</v>
      </c>
      <c r="CN643" s="7">
        <f t="shared" si="3387"/>
        <v>414953.4927222213</v>
      </c>
      <c r="CO643" s="39">
        <f t="shared" si="3374"/>
        <v>411924.63511111017</v>
      </c>
      <c r="CP643" s="39">
        <f t="shared" si="3360"/>
        <v>408895.77749999904</v>
      </c>
      <c r="CQ643" s="39">
        <f t="shared" si="3361"/>
        <v>405866.9198888879</v>
      </c>
      <c r="CR643" s="39">
        <f t="shared" si="3362"/>
        <v>402838.06227777677</v>
      </c>
      <c r="CS643" s="39">
        <f t="shared" si="3388"/>
        <v>399809.20466666564</v>
      </c>
      <c r="CT643" s="39">
        <f t="shared" si="3389"/>
        <v>396780.34705555451</v>
      </c>
      <c r="CU643" s="39">
        <f t="shared" si="3390"/>
        <v>393751.48944444337</v>
      </c>
      <c r="CV643" s="39">
        <f t="shared" si="3391"/>
        <v>390722.63183333224</v>
      </c>
      <c r="CW643" s="39">
        <f t="shared" si="3392"/>
        <v>387693.77422222111</v>
      </c>
      <c r="CX643" s="39">
        <f t="shared" si="3393"/>
        <v>384664.91661110998</v>
      </c>
      <c r="CY643" s="39">
        <f t="shared" si="3394"/>
        <v>381636.05899999884</v>
      </c>
      <c r="CZ643" s="236">
        <f>IF(BO643&lt;1,0,SUM(CN643:CY643,CJ643)/13*$BG$1)</f>
        <v>8795.8025026666437</v>
      </c>
    </row>
    <row r="644" spans="1:104" ht="24" customHeight="1" x14ac:dyDescent="0.2">
      <c r="A644" s="154" t="s">
        <v>2606</v>
      </c>
      <c r="B644" s="185" t="s">
        <v>2607</v>
      </c>
      <c r="C644" t="s">
        <v>41</v>
      </c>
      <c r="D644" s="42" t="s">
        <v>23</v>
      </c>
      <c r="E644" s="233">
        <v>45111</v>
      </c>
      <c r="F644" s="42" t="s">
        <v>44</v>
      </c>
      <c r="G644" s="186">
        <v>84</v>
      </c>
      <c r="H644" s="11"/>
      <c r="K644" s="8">
        <v>0</v>
      </c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219">
        <f>AJ644/G644</f>
        <v>1204.7619047619048</v>
      </c>
      <c r="AC644" s="44">
        <f>AB644*5</f>
        <v>6023.8095238095239</v>
      </c>
      <c r="AD644" s="7"/>
      <c r="AE644" s="7"/>
      <c r="AF644" s="7"/>
      <c r="AG644" s="7"/>
      <c r="AH644" s="7"/>
      <c r="AI644" s="7"/>
      <c r="AJ644" s="39">
        <v>101200</v>
      </c>
      <c r="AK644" s="39">
        <f>AJ644-$AB644</f>
        <v>99995.238095238092</v>
      </c>
      <c r="AL644" s="39">
        <f t="shared" ref="AL644" si="3401">AK644-$AB644</f>
        <v>98790.476190476184</v>
      </c>
      <c r="AM644" s="39">
        <f t="shared" ref="AM644" si="3402">AL644-$AB644</f>
        <v>97585.714285714275</v>
      </c>
      <c r="AN644" s="39">
        <f t="shared" ref="AN644" si="3403">AM644-$AB644</f>
        <v>96380.952380952367</v>
      </c>
      <c r="AO644" s="39">
        <f t="shared" ref="AO644" si="3404">AN644-$AB644</f>
        <v>95176.190476190459</v>
      </c>
      <c r="AP644" s="7">
        <f t="shared" si="3383"/>
        <v>0</v>
      </c>
      <c r="AQ644" s="7">
        <v>1204.7619047619048</v>
      </c>
      <c r="AR644" s="7">
        <f t="shared" si="3133"/>
        <v>1204.7619047619082</v>
      </c>
      <c r="AS644" s="7">
        <f t="shared" si="3134"/>
        <v>3.4106051316484809E-12</v>
      </c>
      <c r="AT644" s="7">
        <f t="shared" ref="AT644" si="3405">AQ644*12</f>
        <v>14457.142857142859</v>
      </c>
      <c r="AU644" s="39">
        <f t="shared" si="3306"/>
        <v>93971.428571428551</v>
      </c>
      <c r="AV644" s="39">
        <f t="shared" ref="AV644" si="3406">AU644-$AQ644</f>
        <v>92766.666666666642</v>
      </c>
      <c r="AW644" s="39">
        <f t="shared" ref="AW644" si="3407">AV644-$AQ644</f>
        <v>91561.904761904734</v>
      </c>
      <c r="AX644" s="39">
        <f t="shared" ref="AX644" si="3408">AW644-$AQ644</f>
        <v>90357.142857142826</v>
      </c>
      <c r="AY644" s="39">
        <f t="shared" ref="AY644" si="3409">AX644-$AQ644</f>
        <v>89152.380952380918</v>
      </c>
      <c r="AZ644" s="39">
        <f t="shared" ref="AZ644" si="3410">AY644-$AQ644</f>
        <v>87947.61904761901</v>
      </c>
      <c r="BA644" s="39">
        <f t="shared" ref="BA644" si="3411">AZ644-$AQ644</f>
        <v>86742.857142857101</v>
      </c>
      <c r="BB644" s="39">
        <f t="shared" ref="BB644" si="3412">BA644-$AQ644</f>
        <v>85538.095238095193</v>
      </c>
      <c r="BC644" s="39">
        <f t="shared" ref="BC644" si="3413">BB644-$AQ644</f>
        <v>84333.333333333285</v>
      </c>
      <c r="BD644" s="39">
        <f t="shared" ref="BD644" si="3414">BC644-$AQ644</f>
        <v>83128.571428571377</v>
      </c>
      <c r="BE644" s="39">
        <f t="shared" ref="BE644" si="3415">BD644-$AQ644</f>
        <v>81923.809523809468</v>
      </c>
      <c r="BF644" s="39">
        <f t="shared" ref="BF644" si="3416">BE644-$AQ644</f>
        <v>80719.04761904756</v>
      </c>
      <c r="BG644" s="236">
        <f t="shared" si="3346"/>
        <v>0</v>
      </c>
      <c r="BH644" s="7">
        <v>1204.7619047619048</v>
      </c>
      <c r="BI644" s="7">
        <f t="shared" si="3342"/>
        <v>14457.142857142859</v>
      </c>
      <c r="BJ644" s="7">
        <f t="shared" si="3308"/>
        <v>79514.285714285652</v>
      </c>
      <c r="BK644" s="39">
        <f t="shared" si="3372"/>
        <v>78309.523809523744</v>
      </c>
      <c r="BL644" s="39">
        <f t="shared" si="3328"/>
        <v>77104.761904761835</v>
      </c>
      <c r="BM644" s="39">
        <f t="shared" si="3157"/>
        <v>75899.999999999927</v>
      </c>
      <c r="BN644" s="39">
        <f t="shared" si="3158"/>
        <v>74695.238095238019</v>
      </c>
      <c r="BO644" s="39">
        <f t="shared" si="3164"/>
        <v>73490.476190476111</v>
      </c>
      <c r="BP644" s="39">
        <f t="shared" si="3165"/>
        <v>72285.714285714203</v>
      </c>
      <c r="BQ644" s="39">
        <f t="shared" si="3166"/>
        <v>71080.952380952294</v>
      </c>
      <c r="BR644" s="39">
        <f t="shared" si="3167"/>
        <v>69876.190476190386</v>
      </c>
      <c r="BS644" s="39">
        <f t="shared" si="3168"/>
        <v>68671.428571428478</v>
      </c>
      <c r="BT644" s="39">
        <f t="shared" si="3169"/>
        <v>67466.66666666657</v>
      </c>
      <c r="BU644" s="39">
        <f t="shared" si="3170"/>
        <v>66261.904761904661</v>
      </c>
      <c r="BV644" s="236">
        <f>IF(AI644&lt;1,0,SUM(BJ644:BU644,BF644)/13*$BG$1)</f>
        <v>0</v>
      </c>
      <c r="BW644" s="7">
        <v>1204.7619047619048</v>
      </c>
      <c r="BX644" s="7">
        <f t="shared" si="3385"/>
        <v>14457.142857142859</v>
      </c>
      <c r="BY644" s="7">
        <f t="shared" si="3343"/>
        <v>65057.142857142753</v>
      </c>
      <c r="BZ644" s="39">
        <f t="shared" si="3373"/>
        <v>63852.380952380845</v>
      </c>
      <c r="CA644" s="39">
        <f t="shared" si="3330"/>
        <v>62647.619047618937</v>
      </c>
      <c r="CB644" s="39">
        <f t="shared" si="3173"/>
        <v>61442.857142857029</v>
      </c>
      <c r="CC644" s="39">
        <f t="shared" si="3352"/>
        <v>60238.09523809512</v>
      </c>
      <c r="CD644" s="39">
        <f t="shared" si="3353"/>
        <v>59033.333333333212</v>
      </c>
      <c r="CE644" s="39">
        <f t="shared" si="3354"/>
        <v>57828.571428571304</v>
      </c>
      <c r="CF644" s="39">
        <f t="shared" si="3355"/>
        <v>56623.809523809396</v>
      </c>
      <c r="CG644" s="39">
        <f t="shared" si="3356"/>
        <v>55419.047619047487</v>
      </c>
      <c r="CH644" s="39">
        <f t="shared" si="3357"/>
        <v>54214.285714285579</v>
      </c>
      <c r="CI644" s="39">
        <f t="shared" si="3358"/>
        <v>53009.523809523671</v>
      </c>
      <c r="CJ644" s="39">
        <f t="shared" si="3359"/>
        <v>51804.761904761763</v>
      </c>
      <c r="CK644" s="236">
        <v>0</v>
      </c>
      <c r="CL644" s="7">
        <v>1204.7619047619048</v>
      </c>
      <c r="CM644" s="7">
        <f t="shared" si="3386"/>
        <v>14457.142857142859</v>
      </c>
      <c r="CN644" s="7">
        <f t="shared" si="3387"/>
        <v>50599.999999999854</v>
      </c>
      <c r="CO644" s="39">
        <f t="shared" si="3374"/>
        <v>49395.238095237946</v>
      </c>
      <c r="CP644" s="39">
        <f t="shared" si="3360"/>
        <v>48190.476190476038</v>
      </c>
      <c r="CQ644" s="39">
        <f t="shared" si="3361"/>
        <v>46985.71428571413</v>
      </c>
      <c r="CR644" s="39">
        <f t="shared" si="3362"/>
        <v>45780.952380952222</v>
      </c>
      <c r="CS644" s="39">
        <f t="shared" si="3388"/>
        <v>44576.190476190313</v>
      </c>
      <c r="CT644" s="39">
        <f t="shared" si="3389"/>
        <v>43371.428571428405</v>
      </c>
      <c r="CU644" s="39">
        <f t="shared" si="3390"/>
        <v>42166.666666666497</v>
      </c>
      <c r="CV644" s="39">
        <f t="shared" si="3391"/>
        <v>40961.904761904589</v>
      </c>
      <c r="CW644" s="39">
        <f t="shared" si="3392"/>
        <v>39757.14285714268</v>
      </c>
      <c r="CX644" s="39">
        <f t="shared" si="3393"/>
        <v>38552.380952380772</v>
      </c>
      <c r="CY644" s="39">
        <f t="shared" si="3394"/>
        <v>37347.619047618864</v>
      </c>
      <c r="CZ644" s="236">
        <v>0</v>
      </c>
    </row>
    <row r="645" spans="1:104" ht="24" customHeight="1" x14ac:dyDescent="0.2">
      <c r="A645" s="154" t="s">
        <v>2608</v>
      </c>
      <c r="B645" s="185" t="s">
        <v>2609</v>
      </c>
      <c r="C645" t="s">
        <v>41</v>
      </c>
      <c r="D645" s="42" t="s">
        <v>42</v>
      </c>
      <c r="E645" s="233">
        <v>45138</v>
      </c>
      <c r="F645" s="42" t="s">
        <v>44</v>
      </c>
      <c r="G645" s="186">
        <v>300</v>
      </c>
      <c r="H645" s="11"/>
      <c r="K645" s="40">
        <v>1</v>
      </c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219">
        <f>AJ645/G645</f>
        <v>15466.667833333333</v>
      </c>
      <c r="AC645" s="44">
        <f>AB645*5</f>
        <v>77333.339166666672</v>
      </c>
      <c r="AD645" s="7"/>
      <c r="AE645" s="7"/>
      <c r="AF645" s="7"/>
      <c r="AG645" s="7"/>
      <c r="AH645" s="7"/>
      <c r="AI645" s="7"/>
      <c r="AJ645" s="39">
        <v>4640000.3499999996</v>
      </c>
      <c r="AK645" s="39">
        <f>AJ645-$AB645</f>
        <v>4624533.6821666667</v>
      </c>
      <c r="AL645" s="39">
        <f>AK645-$AB645</f>
        <v>4609067.0143333338</v>
      </c>
      <c r="AM645" s="39">
        <f t="shared" ref="AM645:AO645" si="3417">AL645-$AB645</f>
        <v>4593600.3465000009</v>
      </c>
      <c r="AN645" s="39">
        <f t="shared" si="3417"/>
        <v>4578133.678666668</v>
      </c>
      <c r="AO645" s="39">
        <f t="shared" si="3417"/>
        <v>4562667.0108333351</v>
      </c>
      <c r="AP645" s="222">
        <f t="shared" si="3383"/>
        <v>46721.234293461552</v>
      </c>
      <c r="AQ645" s="7">
        <v>15466.667833333333</v>
      </c>
      <c r="AR645" s="7">
        <f t="shared" ref="AR645:AR679" si="3418">AN645-AO645</f>
        <v>15466.667833332904</v>
      </c>
      <c r="AS645" s="7">
        <f t="shared" ref="AS645:AS679" si="3419">AR645-AQ645</f>
        <v>-4.2928149923682213E-10</v>
      </c>
      <c r="AT645" s="7">
        <f>AQ645*12</f>
        <v>185600.014</v>
      </c>
      <c r="AU645" s="39">
        <f t="shared" si="3306"/>
        <v>4547200.3430000022</v>
      </c>
      <c r="AV645" s="39">
        <f t="shared" ref="AV645" si="3420">AU645-$AQ645</f>
        <v>4531733.6751666693</v>
      </c>
      <c r="AW645" s="39">
        <f t="shared" ref="AW645" si="3421">AV645-$AQ645</f>
        <v>4516267.0073333364</v>
      </c>
      <c r="AX645" s="39">
        <f t="shared" ref="AX645" si="3422">AW645-$AQ645</f>
        <v>4500800.3395000035</v>
      </c>
      <c r="AY645" s="39">
        <f t="shared" ref="AY645" si="3423">AX645-$AQ645</f>
        <v>4485333.6716666706</v>
      </c>
      <c r="AZ645" s="39">
        <f t="shared" ref="AZ645" si="3424">AY645-$AQ645</f>
        <v>4469867.0038333377</v>
      </c>
      <c r="BA645" s="39">
        <f t="shared" ref="BA645" si="3425">AZ645-$AQ645</f>
        <v>4454400.3360000048</v>
      </c>
      <c r="BB645" s="39">
        <f t="shared" ref="BB645" si="3426">BA645-$AQ645</f>
        <v>4438933.6681666719</v>
      </c>
      <c r="BC645" s="39">
        <f t="shared" ref="BC645" si="3427">BB645-$AQ645</f>
        <v>4423467.000333339</v>
      </c>
      <c r="BD645" s="39">
        <f t="shared" ref="BD645" si="3428">BC645-$AQ645</f>
        <v>4408000.3325000061</v>
      </c>
      <c r="BE645" s="39">
        <f t="shared" ref="BE645" si="3429">BD645-$AQ645</f>
        <v>4392533.6646666732</v>
      </c>
      <c r="BF645" s="39">
        <f t="shared" ref="BF645" si="3430">BE645-$AQ645</f>
        <v>4377066.9968333403</v>
      </c>
      <c r="BG645" s="236">
        <f t="shared" si="3346"/>
        <v>98337.074084333421</v>
      </c>
      <c r="BH645" s="7">
        <v>15466.667833333333</v>
      </c>
      <c r="BI645" s="7">
        <f t="shared" si="3342"/>
        <v>185600.014</v>
      </c>
      <c r="BJ645" s="7">
        <f t="shared" si="3308"/>
        <v>4361600.3290000074</v>
      </c>
      <c r="BK645" s="39">
        <f t="shared" si="3372"/>
        <v>4346133.6611666745</v>
      </c>
      <c r="BL645" s="39">
        <f t="shared" si="3328"/>
        <v>4330666.9933333416</v>
      </c>
      <c r="BM645" s="39">
        <f t="shared" si="3157"/>
        <v>4315200.3255000087</v>
      </c>
      <c r="BN645" s="39">
        <f t="shared" si="3158"/>
        <v>4299733.6576666757</v>
      </c>
      <c r="BO645" s="39">
        <f t="shared" si="3164"/>
        <v>4284266.9898333428</v>
      </c>
      <c r="BP645" s="39">
        <f t="shared" si="3165"/>
        <v>4268800.3220000099</v>
      </c>
      <c r="BQ645" s="39">
        <f t="shared" si="3166"/>
        <v>4253333.654166677</v>
      </c>
      <c r="BR645" s="39">
        <f t="shared" si="3167"/>
        <v>4237866.9863333441</v>
      </c>
      <c r="BS645" s="39">
        <f t="shared" si="3168"/>
        <v>4222400.3185000112</v>
      </c>
      <c r="BT645" s="39">
        <f t="shared" si="3169"/>
        <v>4206933.6506666783</v>
      </c>
      <c r="BU645" s="39">
        <f t="shared" si="3170"/>
        <v>4191466.982833345</v>
      </c>
      <c r="BV645" s="236">
        <f t="shared" ref="BV645:BV652" si="3431">IF(AJ645&lt;1,0,SUM(BJ645:BU645,BF645)/13*$BG$1)</f>
        <v>94253.873776333552</v>
      </c>
      <c r="BW645" s="7">
        <v>15466.667833333333</v>
      </c>
      <c r="BX645" s="7">
        <f t="shared" si="3385"/>
        <v>185600.014</v>
      </c>
      <c r="BY645" s="7">
        <f t="shared" si="3343"/>
        <v>4176000.3150000116</v>
      </c>
      <c r="BZ645" s="39">
        <f t="shared" si="3373"/>
        <v>4160533.6471666782</v>
      </c>
      <c r="CA645" s="39">
        <f t="shared" si="3330"/>
        <v>4145066.9793333448</v>
      </c>
      <c r="CB645" s="39">
        <f t="shared" si="3173"/>
        <v>4129600.3115000115</v>
      </c>
      <c r="CC645" s="39">
        <f t="shared" si="3352"/>
        <v>4114133.6436666781</v>
      </c>
      <c r="CD645" s="39">
        <f t="shared" si="3353"/>
        <v>4098666.9758333447</v>
      </c>
      <c r="CE645" s="39">
        <f t="shared" si="3354"/>
        <v>4083200.3080000114</v>
      </c>
      <c r="CF645" s="39">
        <f t="shared" si="3355"/>
        <v>4067733.640166678</v>
      </c>
      <c r="CG645" s="39">
        <f t="shared" si="3356"/>
        <v>4052266.9723333446</v>
      </c>
      <c r="CH645" s="39">
        <f t="shared" si="3357"/>
        <v>4036800.3045000113</v>
      </c>
      <c r="CI645" s="39">
        <f t="shared" si="3358"/>
        <v>4021333.6366666779</v>
      </c>
      <c r="CJ645" s="39">
        <f t="shared" si="3359"/>
        <v>4005866.9688333445</v>
      </c>
      <c r="CK645" s="236">
        <f t="shared" ref="CK645:CK652" si="3432">IF(BA645&lt;1,0,SUM(BY645:CJ645,BU645)/13*$BG$1)</f>
        <v>90170.673468333582</v>
      </c>
      <c r="CL645" s="7">
        <v>15466.667833333333</v>
      </c>
      <c r="CM645" s="7">
        <f t="shared" si="3386"/>
        <v>185600.014</v>
      </c>
      <c r="CN645" s="7">
        <f t="shared" si="3387"/>
        <v>3990400.3010000112</v>
      </c>
      <c r="CO645" s="39">
        <f t="shared" si="3374"/>
        <v>3974933.6331666778</v>
      </c>
      <c r="CP645" s="39">
        <f t="shared" si="3360"/>
        <v>3959466.9653333444</v>
      </c>
      <c r="CQ645" s="39">
        <f t="shared" si="3361"/>
        <v>3944000.297500011</v>
      </c>
      <c r="CR645" s="39">
        <f t="shared" si="3362"/>
        <v>3928533.6296666777</v>
      </c>
      <c r="CS645" s="39">
        <f t="shared" si="3388"/>
        <v>3913066.9618333443</v>
      </c>
      <c r="CT645" s="39">
        <f t="shared" si="3389"/>
        <v>3897600.2940000109</v>
      </c>
      <c r="CU645" s="39">
        <f t="shared" si="3390"/>
        <v>3882133.6261666776</v>
      </c>
      <c r="CV645" s="39">
        <f t="shared" si="3391"/>
        <v>3866666.9583333442</v>
      </c>
      <c r="CW645" s="39">
        <f t="shared" si="3392"/>
        <v>3851200.2905000108</v>
      </c>
      <c r="CX645" s="39">
        <f t="shared" si="3393"/>
        <v>3835733.6226666775</v>
      </c>
      <c r="CY645" s="39">
        <f t="shared" si="3394"/>
        <v>3820266.9548333441</v>
      </c>
      <c r="CZ645" s="236">
        <f t="shared" ref="CZ645:CZ652" si="3433">IF(BP645&lt;1,0,SUM(CN645:CY645,CJ645)/13*$BG$1)</f>
        <v>86087.473160333553</v>
      </c>
    </row>
    <row r="646" spans="1:104" ht="24" customHeight="1" x14ac:dyDescent="0.2">
      <c r="A646" s="230" t="s">
        <v>2610</v>
      </c>
      <c r="B646" s="185" t="s">
        <v>2611</v>
      </c>
      <c r="C646" t="s">
        <v>41</v>
      </c>
      <c r="D646" s="42" t="s">
        <v>42</v>
      </c>
      <c r="E646" s="233">
        <v>45138</v>
      </c>
      <c r="F646" s="42" t="s">
        <v>44</v>
      </c>
      <c r="G646" s="186">
        <v>180</v>
      </c>
      <c r="H646" s="11"/>
      <c r="K646" s="40">
        <v>1</v>
      </c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219">
        <f t="shared" ref="AB646:AB652" si="3434">AJ646/G646</f>
        <v>8871.1064999999999</v>
      </c>
      <c r="AC646" s="44">
        <f t="shared" ref="AC646:AC651" si="3435">AB646*5</f>
        <v>44355.532500000001</v>
      </c>
      <c r="AD646" s="7"/>
      <c r="AE646" s="7"/>
      <c r="AF646" s="7"/>
      <c r="AG646" s="7"/>
      <c r="AH646" s="7"/>
      <c r="AI646" s="7"/>
      <c r="AJ646" s="39">
        <v>1596799.17</v>
      </c>
      <c r="AK646" s="39">
        <f t="shared" ref="AK646:AO646" si="3436">AJ646-$AB646</f>
        <v>1587928.0634999999</v>
      </c>
      <c r="AL646" s="39">
        <f t="shared" si="3436"/>
        <v>1579056.9569999999</v>
      </c>
      <c r="AM646" s="39">
        <f t="shared" si="3436"/>
        <v>1570185.8504999999</v>
      </c>
      <c r="AN646" s="39">
        <f t="shared" si="3436"/>
        <v>1561314.7439999999</v>
      </c>
      <c r="AO646" s="39">
        <f t="shared" si="3436"/>
        <v>1552443.6375</v>
      </c>
      <c r="AP646" s="222">
        <f t="shared" si="3383"/>
        <v>15988.463484230766</v>
      </c>
      <c r="AQ646" s="7">
        <v>8871.1064999999999</v>
      </c>
      <c r="AR646" s="7">
        <f t="shared" si="3418"/>
        <v>8871.1064999999944</v>
      </c>
      <c r="AS646" s="7">
        <f t="shared" si="3419"/>
        <v>0</v>
      </c>
      <c r="AT646" s="7">
        <f t="shared" ref="AT646:AT652" si="3437">AQ646*12</f>
        <v>106453.27799999999</v>
      </c>
      <c r="AU646" s="39">
        <f t="shared" si="3306"/>
        <v>1543572.531</v>
      </c>
      <c r="AV646" s="39">
        <f t="shared" ref="AV646:AV652" si="3438">AU646-$AQ646</f>
        <v>1534701.4245</v>
      </c>
      <c r="AW646" s="39">
        <f t="shared" ref="AW646:AW652" si="3439">AV646-$AQ646</f>
        <v>1525830.318</v>
      </c>
      <c r="AX646" s="39">
        <f t="shared" ref="AX646:AX652" si="3440">AW646-$AQ646</f>
        <v>1516959.2115</v>
      </c>
      <c r="AY646" s="39">
        <f t="shared" ref="AY646:AY652" si="3441">AX646-$AQ646</f>
        <v>1508088.105</v>
      </c>
      <c r="AZ646" s="39">
        <f t="shared" ref="AZ646:AZ652" si="3442">AY646-$AQ646</f>
        <v>1499216.9985</v>
      </c>
      <c r="BA646" s="39">
        <f t="shared" ref="BA646:BA652" si="3443">AZ646-$AQ646</f>
        <v>1490345.892</v>
      </c>
      <c r="BB646" s="39">
        <f t="shared" ref="BB646:BB652" si="3444">BA646-$AQ646</f>
        <v>1481474.7855</v>
      </c>
      <c r="BC646" s="39">
        <f t="shared" ref="BC646:BC652" si="3445">BB646-$AQ646</f>
        <v>1472603.679</v>
      </c>
      <c r="BD646" s="39">
        <f t="shared" ref="BD646:BD652" si="3446">BC646-$AQ646</f>
        <v>1463732.5725</v>
      </c>
      <c r="BE646" s="39">
        <f t="shared" ref="BE646:BE652" si="3447">BD646-$AQ646</f>
        <v>1454861.466</v>
      </c>
      <c r="BF646" s="39">
        <f t="shared" ref="BF646:BF652" si="3448">BE646-$AQ646</f>
        <v>1445990.3595</v>
      </c>
      <c r="BG646" s="236">
        <f t="shared" si="3346"/>
        <v>32982.773966999994</v>
      </c>
      <c r="BH646" s="7">
        <v>8871.1064999999999</v>
      </c>
      <c r="BI646" s="7">
        <f t="shared" si="3342"/>
        <v>106453.27799999999</v>
      </c>
      <c r="BJ646" s="7">
        <f t="shared" si="3308"/>
        <v>1437119.253</v>
      </c>
      <c r="BK646" s="39">
        <f t="shared" si="3372"/>
        <v>1428248.1465</v>
      </c>
      <c r="BL646" s="39">
        <f t="shared" si="3328"/>
        <v>1419377.04</v>
      </c>
      <c r="BM646" s="39">
        <f t="shared" si="3157"/>
        <v>1410505.9335</v>
      </c>
      <c r="BN646" s="39">
        <f t="shared" si="3158"/>
        <v>1401634.827</v>
      </c>
      <c r="BO646" s="39">
        <f t="shared" si="3164"/>
        <v>1392763.7205000001</v>
      </c>
      <c r="BP646" s="39">
        <f t="shared" si="3165"/>
        <v>1383892.6140000001</v>
      </c>
      <c r="BQ646" s="39">
        <f t="shared" si="3166"/>
        <v>1375021.5075000001</v>
      </c>
      <c r="BR646" s="39">
        <f t="shared" si="3167"/>
        <v>1366150.4010000001</v>
      </c>
      <c r="BS646" s="39">
        <f t="shared" si="3168"/>
        <v>1357279.2945000001</v>
      </c>
      <c r="BT646" s="39">
        <f t="shared" si="3169"/>
        <v>1348408.1880000001</v>
      </c>
      <c r="BU646" s="39">
        <f t="shared" si="3170"/>
        <v>1339537.0815000001</v>
      </c>
      <c r="BV646" s="236">
        <f t="shared" si="3431"/>
        <v>30640.801851</v>
      </c>
      <c r="BW646" s="7">
        <v>8871.1064999999999</v>
      </c>
      <c r="BX646" s="7">
        <f t="shared" si="3385"/>
        <v>106453.27799999999</v>
      </c>
      <c r="BY646" s="7">
        <f t="shared" si="3343"/>
        <v>1330665.9750000001</v>
      </c>
      <c r="BZ646" s="39">
        <f t="shared" si="3373"/>
        <v>1321794.8685000001</v>
      </c>
      <c r="CA646" s="39">
        <f t="shared" si="3330"/>
        <v>1312923.7620000001</v>
      </c>
      <c r="CB646" s="39">
        <f t="shared" si="3173"/>
        <v>1304052.6555000001</v>
      </c>
      <c r="CC646" s="39">
        <f t="shared" si="3352"/>
        <v>1295181.5490000001</v>
      </c>
      <c r="CD646" s="39">
        <f t="shared" si="3353"/>
        <v>1286310.4425000001</v>
      </c>
      <c r="CE646" s="39">
        <f t="shared" si="3354"/>
        <v>1277439.3360000001</v>
      </c>
      <c r="CF646" s="39">
        <f t="shared" si="3355"/>
        <v>1268568.2295000001</v>
      </c>
      <c r="CG646" s="39">
        <f t="shared" si="3356"/>
        <v>1259697.1230000001</v>
      </c>
      <c r="CH646" s="39">
        <f t="shared" si="3357"/>
        <v>1250826.0165000001</v>
      </c>
      <c r="CI646" s="39">
        <f t="shared" si="3358"/>
        <v>1241954.9100000001</v>
      </c>
      <c r="CJ646" s="39">
        <f t="shared" si="3359"/>
        <v>1233083.8035000002</v>
      </c>
      <c r="CK646" s="236">
        <f t="shared" si="3432"/>
        <v>28298.829734999996</v>
      </c>
      <c r="CL646" s="7">
        <v>8871.1064999999999</v>
      </c>
      <c r="CM646" s="7">
        <f t="shared" si="3386"/>
        <v>106453.27799999999</v>
      </c>
      <c r="CN646" s="7">
        <f t="shared" si="3387"/>
        <v>1224212.6970000002</v>
      </c>
      <c r="CO646" s="39">
        <f t="shared" si="3374"/>
        <v>1215341.5905000002</v>
      </c>
      <c r="CP646" s="39">
        <f t="shared" si="3360"/>
        <v>1206470.4840000002</v>
      </c>
      <c r="CQ646" s="39">
        <f t="shared" si="3361"/>
        <v>1197599.3775000002</v>
      </c>
      <c r="CR646" s="39">
        <f t="shared" si="3362"/>
        <v>1188728.2710000002</v>
      </c>
      <c r="CS646" s="39">
        <f t="shared" si="3388"/>
        <v>1179857.1645000002</v>
      </c>
      <c r="CT646" s="39">
        <f t="shared" si="3389"/>
        <v>1170986.0580000002</v>
      </c>
      <c r="CU646" s="39">
        <f t="shared" si="3390"/>
        <v>1162114.9515000002</v>
      </c>
      <c r="CV646" s="39">
        <f t="shared" si="3391"/>
        <v>1153243.8450000002</v>
      </c>
      <c r="CW646" s="39">
        <f t="shared" si="3392"/>
        <v>1144372.7385000002</v>
      </c>
      <c r="CX646" s="39">
        <f t="shared" si="3393"/>
        <v>1135501.6320000002</v>
      </c>
      <c r="CY646" s="39">
        <f t="shared" si="3394"/>
        <v>1126630.5255000002</v>
      </c>
      <c r="CZ646" s="236">
        <f t="shared" si="3433"/>
        <v>25956.857619000009</v>
      </c>
    </row>
    <row r="647" spans="1:104" ht="24" customHeight="1" x14ac:dyDescent="0.2">
      <c r="A647" s="230" t="s">
        <v>2612</v>
      </c>
      <c r="B647" s="185" t="s">
        <v>2618</v>
      </c>
      <c r="C647" t="s">
        <v>41</v>
      </c>
      <c r="D647" s="42" t="s">
        <v>42</v>
      </c>
      <c r="E647" s="233">
        <v>45138</v>
      </c>
      <c r="F647" s="42" t="s">
        <v>44</v>
      </c>
      <c r="G647" s="186">
        <v>180</v>
      </c>
      <c r="H647" s="11"/>
      <c r="K647" s="40">
        <v>1</v>
      </c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219">
        <f t="shared" si="3434"/>
        <v>4687.8396111111115</v>
      </c>
      <c r="AC647" s="44">
        <f t="shared" si="3435"/>
        <v>23439.198055555556</v>
      </c>
      <c r="AD647" s="7"/>
      <c r="AE647" s="7"/>
      <c r="AF647" s="7"/>
      <c r="AG647" s="7"/>
      <c r="AH647" s="7"/>
      <c r="AI647" s="7"/>
      <c r="AJ647" s="39">
        <v>843811.13</v>
      </c>
      <c r="AK647" s="39">
        <f t="shared" ref="AK647:AO647" si="3449">AJ647-$AB647</f>
        <v>839123.29038888891</v>
      </c>
      <c r="AL647" s="39">
        <f t="shared" si="3449"/>
        <v>834435.45077777782</v>
      </c>
      <c r="AM647" s="39">
        <f t="shared" si="3449"/>
        <v>829747.61116666673</v>
      </c>
      <c r="AN647" s="39">
        <f t="shared" si="3449"/>
        <v>825059.77155555564</v>
      </c>
      <c r="AO647" s="39">
        <f t="shared" si="3449"/>
        <v>820371.93194444454</v>
      </c>
      <c r="AP647" s="222">
        <f t="shared" si="3383"/>
        <v>8448.9293914102582</v>
      </c>
      <c r="AQ647" s="7">
        <v>4687.8396111111115</v>
      </c>
      <c r="AR647" s="7">
        <f t="shared" si="3418"/>
        <v>4687.8396111110924</v>
      </c>
      <c r="AS647" s="7">
        <f t="shared" si="3419"/>
        <v>-1.9099388737231493E-11</v>
      </c>
      <c r="AT647" s="7">
        <f t="shared" si="3437"/>
        <v>56254.075333333341</v>
      </c>
      <c r="AU647" s="39">
        <f t="shared" si="3306"/>
        <v>815684.09233333345</v>
      </c>
      <c r="AV647" s="39">
        <f>AU647-$AQ647</f>
        <v>810996.25272222236</v>
      </c>
      <c r="AW647" s="39">
        <f t="shared" si="3439"/>
        <v>806308.41311111127</v>
      </c>
      <c r="AX647" s="39">
        <f t="shared" si="3440"/>
        <v>801620.57350000017</v>
      </c>
      <c r="AY647" s="39">
        <f t="shared" si="3441"/>
        <v>796932.73388888908</v>
      </c>
      <c r="AZ647" s="39">
        <f t="shared" si="3442"/>
        <v>792244.89427777799</v>
      </c>
      <c r="BA647" s="39">
        <f t="shared" si="3443"/>
        <v>787557.0546666669</v>
      </c>
      <c r="BB647" s="39">
        <f t="shared" si="3444"/>
        <v>782869.2150555558</v>
      </c>
      <c r="BC647" s="39">
        <f t="shared" si="3445"/>
        <v>778181.37544444471</v>
      </c>
      <c r="BD647" s="39">
        <f t="shared" si="3446"/>
        <v>773493.53583333362</v>
      </c>
      <c r="BE647" s="39">
        <f t="shared" si="3447"/>
        <v>768805.69622222253</v>
      </c>
      <c r="BF647" s="39">
        <f t="shared" si="3448"/>
        <v>764117.85661111143</v>
      </c>
      <c r="BG647" s="236">
        <f t="shared" si="3346"/>
        <v>17429.387674111116</v>
      </c>
      <c r="BH647" s="7">
        <v>4687.8396111111115</v>
      </c>
      <c r="BI647" s="7">
        <f t="shared" si="3342"/>
        <v>56254.075333333341</v>
      </c>
      <c r="BJ647" s="7">
        <f t="shared" si="3308"/>
        <v>759430.01700000034</v>
      </c>
      <c r="BK647" s="39">
        <f>BJ647-$AQ647</f>
        <v>754742.17738888925</v>
      </c>
      <c r="BL647" s="39">
        <f t="shared" si="3328"/>
        <v>750054.33777777816</v>
      </c>
      <c r="BM647" s="39">
        <f t="shared" si="3157"/>
        <v>745366.49816666706</v>
      </c>
      <c r="BN647" s="39">
        <f t="shared" si="3158"/>
        <v>740678.65855555597</v>
      </c>
      <c r="BO647" s="39">
        <f t="shared" si="3164"/>
        <v>735990.81894444488</v>
      </c>
      <c r="BP647" s="39">
        <f t="shared" si="3165"/>
        <v>731302.97933333379</v>
      </c>
      <c r="BQ647" s="39">
        <f t="shared" si="3166"/>
        <v>726615.1397222227</v>
      </c>
      <c r="BR647" s="39">
        <f t="shared" si="3167"/>
        <v>721927.3001111116</v>
      </c>
      <c r="BS647" s="39">
        <f t="shared" si="3168"/>
        <v>717239.46050000051</v>
      </c>
      <c r="BT647" s="39">
        <f t="shared" si="3169"/>
        <v>712551.62088888942</v>
      </c>
      <c r="BU647" s="39">
        <f t="shared" si="3170"/>
        <v>707863.78127777833</v>
      </c>
      <c r="BV647" s="236">
        <f t="shared" si="3431"/>
        <v>16191.798016777786</v>
      </c>
      <c r="BW647" s="7">
        <v>4687.8396111111115</v>
      </c>
      <c r="BX647" s="7">
        <f t="shared" si="3385"/>
        <v>56254.075333333341</v>
      </c>
      <c r="BY647" s="7">
        <f t="shared" si="3343"/>
        <v>703175.94166666723</v>
      </c>
      <c r="BZ647" s="39">
        <f>BY647-$AQ647</f>
        <v>698488.10205555614</v>
      </c>
      <c r="CA647" s="39">
        <f t="shared" si="3330"/>
        <v>693800.26244444505</v>
      </c>
      <c r="CB647" s="39">
        <f t="shared" si="3173"/>
        <v>689112.42283333396</v>
      </c>
      <c r="CC647" s="39">
        <f t="shared" si="3352"/>
        <v>684424.58322222286</v>
      </c>
      <c r="CD647" s="39">
        <f t="shared" si="3353"/>
        <v>679736.74361111177</v>
      </c>
      <c r="CE647" s="39">
        <f t="shared" si="3354"/>
        <v>675048.90400000068</v>
      </c>
      <c r="CF647" s="39">
        <f t="shared" si="3355"/>
        <v>670361.06438888959</v>
      </c>
      <c r="CG647" s="39">
        <f t="shared" si="3356"/>
        <v>665673.22477777849</v>
      </c>
      <c r="CH647" s="39">
        <f t="shared" si="3357"/>
        <v>660985.3851666674</v>
      </c>
      <c r="CI647" s="39">
        <f t="shared" si="3358"/>
        <v>656297.54555555631</v>
      </c>
      <c r="CJ647" s="39">
        <f t="shared" si="3359"/>
        <v>651609.70594444522</v>
      </c>
      <c r="CK647" s="236">
        <f t="shared" si="3432"/>
        <v>14954.208359444458</v>
      </c>
      <c r="CL647" s="7">
        <v>4687.8396111111115</v>
      </c>
      <c r="CM647" s="7">
        <f t="shared" si="3386"/>
        <v>56254.075333333341</v>
      </c>
      <c r="CN647" s="7">
        <f t="shared" si="3387"/>
        <v>646921.86633333412</v>
      </c>
      <c r="CO647" s="39">
        <f>CN647-$AQ647</f>
        <v>642234.02672222303</v>
      </c>
      <c r="CP647" s="39">
        <f t="shared" si="3360"/>
        <v>637546.18711111194</v>
      </c>
      <c r="CQ647" s="39">
        <f t="shared" si="3361"/>
        <v>632858.34750000085</v>
      </c>
      <c r="CR647" s="39">
        <f t="shared" si="3362"/>
        <v>628170.50788888976</v>
      </c>
      <c r="CS647" s="39">
        <f t="shared" si="3388"/>
        <v>623482.66827777866</v>
      </c>
      <c r="CT647" s="39">
        <f t="shared" si="3389"/>
        <v>618794.82866666757</v>
      </c>
      <c r="CU647" s="39">
        <f t="shared" si="3390"/>
        <v>614106.98905555648</v>
      </c>
      <c r="CV647" s="39">
        <f t="shared" si="3391"/>
        <v>609419.14944444539</v>
      </c>
      <c r="CW647" s="39">
        <f t="shared" si="3392"/>
        <v>604731.30983333429</v>
      </c>
      <c r="CX647" s="39">
        <f t="shared" si="3393"/>
        <v>600043.4702222232</v>
      </c>
      <c r="CY647" s="39">
        <f t="shared" si="3394"/>
        <v>595355.63061111211</v>
      </c>
      <c r="CZ647" s="236">
        <f t="shared" si="3433"/>
        <v>13716.618702111127</v>
      </c>
    </row>
    <row r="648" spans="1:104" ht="24" customHeight="1" x14ac:dyDescent="0.2">
      <c r="A648" s="154" t="s">
        <v>2613</v>
      </c>
      <c r="B648" s="185" t="s">
        <v>2619</v>
      </c>
      <c r="C648" t="s">
        <v>41</v>
      </c>
      <c r="D648" t="s">
        <v>2624</v>
      </c>
      <c r="E648" s="233">
        <v>45138</v>
      </c>
      <c r="F648" s="42" t="s">
        <v>44</v>
      </c>
      <c r="G648" s="186">
        <v>300</v>
      </c>
      <c r="H648" s="11"/>
      <c r="K648" s="40">
        <v>1</v>
      </c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219">
        <f t="shared" si="3434"/>
        <v>20528.817366666666</v>
      </c>
      <c r="AC648" s="44">
        <f t="shared" si="3435"/>
        <v>102644.08683333333</v>
      </c>
      <c r="AD648" s="7"/>
      <c r="AE648" s="7"/>
      <c r="AF648" s="7"/>
      <c r="AG648" s="7"/>
      <c r="AH648" s="7"/>
      <c r="AI648" s="7"/>
      <c r="AJ648" s="39">
        <v>6158645.21</v>
      </c>
      <c r="AK648" s="39">
        <f t="shared" ref="AK648:AO648" si="3450">AJ648-$AB648</f>
        <v>6138116.3926333329</v>
      </c>
      <c r="AL648" s="39">
        <f t="shared" si="3450"/>
        <v>6117587.5752666658</v>
      </c>
      <c r="AM648" s="39">
        <f t="shared" si="3450"/>
        <v>6097058.7578999987</v>
      </c>
      <c r="AN648" s="39">
        <f t="shared" si="3450"/>
        <v>6076529.9405333316</v>
      </c>
      <c r="AO648" s="39">
        <f t="shared" si="3450"/>
        <v>6056001.1231666645</v>
      </c>
      <c r="AP648" s="222">
        <f t="shared" si="3383"/>
        <v>62012.819845307677</v>
      </c>
      <c r="AQ648" s="7">
        <v>20528.817366666666</v>
      </c>
      <c r="AR648" s="7">
        <f t="shared" si="3418"/>
        <v>20528.817366667092</v>
      </c>
      <c r="AS648" s="7">
        <f t="shared" si="3419"/>
        <v>4.2564352042973042E-10</v>
      </c>
      <c r="AT648" s="7">
        <f t="shared" si="3437"/>
        <v>246345.80839999998</v>
      </c>
      <c r="AU648" s="39">
        <f t="shared" si="3306"/>
        <v>6035472.3057999974</v>
      </c>
      <c r="AV648" s="39">
        <f t="shared" si="3438"/>
        <v>6014943.4884333303</v>
      </c>
      <c r="AW648" s="39">
        <f t="shared" si="3439"/>
        <v>5994414.6710666632</v>
      </c>
      <c r="AX648" s="39">
        <f t="shared" si="3440"/>
        <v>5973885.8536999961</v>
      </c>
      <c r="AY648" s="39">
        <f t="shared" si="3441"/>
        <v>5953357.036333329</v>
      </c>
      <c r="AZ648" s="39">
        <f t="shared" si="3442"/>
        <v>5932828.218966662</v>
      </c>
      <c r="BA648" s="39">
        <f t="shared" si="3443"/>
        <v>5912299.4015999949</v>
      </c>
      <c r="BB648" s="39">
        <f t="shared" si="3444"/>
        <v>5891770.5842333278</v>
      </c>
      <c r="BC648" s="39">
        <f t="shared" si="3445"/>
        <v>5871241.7668666607</v>
      </c>
      <c r="BD648" s="39">
        <f t="shared" si="3446"/>
        <v>5850712.9494999936</v>
      </c>
      <c r="BE648" s="39">
        <f t="shared" si="3447"/>
        <v>5830184.1321333265</v>
      </c>
      <c r="BF648" s="39">
        <f t="shared" si="3448"/>
        <v>5809655.3147666594</v>
      </c>
      <c r="BG648" s="236">
        <f t="shared" si="3346"/>
        <v>130522.22081726656</v>
      </c>
      <c r="BH648" s="7">
        <v>20528.817366666666</v>
      </c>
      <c r="BI648" s="7">
        <f t="shared" si="3342"/>
        <v>246345.80839999998</v>
      </c>
      <c r="BJ648" s="7">
        <f t="shared" si="3308"/>
        <v>5789126.4973999923</v>
      </c>
      <c r="BK648" s="39">
        <f t="shared" ref="BK648:BK656" si="3451">BJ648-$AQ648</f>
        <v>5768597.6800333252</v>
      </c>
      <c r="BL648" s="39">
        <f t="shared" si="3328"/>
        <v>5748068.8626666581</v>
      </c>
      <c r="BM648" s="39">
        <f t="shared" si="3157"/>
        <v>5727540.045299991</v>
      </c>
      <c r="BN648" s="39">
        <f t="shared" si="3158"/>
        <v>5707011.2279333239</v>
      </c>
      <c r="BO648" s="39">
        <f t="shared" si="3164"/>
        <v>5686482.4105666569</v>
      </c>
      <c r="BP648" s="39">
        <f t="shared" si="3165"/>
        <v>5665953.5931999898</v>
      </c>
      <c r="BQ648" s="39">
        <f t="shared" si="3166"/>
        <v>5645424.7758333227</v>
      </c>
      <c r="BR648" s="39">
        <f t="shared" si="3167"/>
        <v>5624895.9584666556</v>
      </c>
      <c r="BS648" s="39">
        <f t="shared" si="3168"/>
        <v>5604367.1410999885</v>
      </c>
      <c r="BT648" s="39">
        <f t="shared" si="3169"/>
        <v>5583838.3237333214</v>
      </c>
      <c r="BU648" s="39">
        <f t="shared" si="3170"/>
        <v>5563309.5063666543</v>
      </c>
      <c r="BV648" s="236">
        <f t="shared" si="3431"/>
        <v>125102.61303246644</v>
      </c>
      <c r="BW648" s="7">
        <v>20528.817366666666</v>
      </c>
      <c r="BX648" s="7">
        <f t="shared" si="3385"/>
        <v>246345.80839999998</v>
      </c>
      <c r="BY648" s="7">
        <f t="shared" si="3343"/>
        <v>5542780.6889999872</v>
      </c>
      <c r="BZ648" s="39">
        <f t="shared" ref="BZ648:BZ656" si="3452">BY648-$AQ648</f>
        <v>5522251.8716333201</v>
      </c>
      <c r="CA648" s="39">
        <f t="shared" si="3330"/>
        <v>5501723.054266653</v>
      </c>
      <c r="CB648" s="39">
        <f t="shared" si="3173"/>
        <v>5481194.2368999859</v>
      </c>
      <c r="CC648" s="39">
        <f t="shared" si="3352"/>
        <v>5460665.4195333188</v>
      </c>
      <c r="CD648" s="39">
        <f t="shared" si="3353"/>
        <v>5440136.6021666517</v>
      </c>
      <c r="CE648" s="39">
        <f t="shared" si="3354"/>
        <v>5419607.7847999847</v>
      </c>
      <c r="CF648" s="39">
        <f t="shared" si="3355"/>
        <v>5399078.9674333176</v>
      </c>
      <c r="CG648" s="39">
        <f t="shared" si="3356"/>
        <v>5378550.1500666505</v>
      </c>
      <c r="CH648" s="39">
        <f t="shared" si="3357"/>
        <v>5358021.3326999834</v>
      </c>
      <c r="CI648" s="39">
        <f t="shared" si="3358"/>
        <v>5337492.5153333163</v>
      </c>
      <c r="CJ648" s="39">
        <f t="shared" si="3359"/>
        <v>5316963.6979666492</v>
      </c>
      <c r="CK648" s="236">
        <f t="shared" si="3432"/>
        <v>119683.00524766633</v>
      </c>
      <c r="CL648" s="7">
        <v>20528.817366666666</v>
      </c>
      <c r="CM648" s="7">
        <f t="shared" si="3386"/>
        <v>246345.80839999998</v>
      </c>
      <c r="CN648" s="7">
        <f t="shared" si="3387"/>
        <v>5296434.8805999821</v>
      </c>
      <c r="CO648" s="39">
        <f t="shared" ref="CO648:CO656" si="3453">CN648-$AQ648</f>
        <v>5275906.063233315</v>
      </c>
      <c r="CP648" s="39">
        <f t="shared" si="3360"/>
        <v>5255377.2458666479</v>
      </c>
      <c r="CQ648" s="39">
        <f t="shared" si="3361"/>
        <v>5234848.4284999808</v>
      </c>
      <c r="CR648" s="39">
        <f t="shared" si="3362"/>
        <v>5214319.6111333137</v>
      </c>
      <c r="CS648" s="39">
        <f t="shared" si="3388"/>
        <v>5193790.7937666466</v>
      </c>
      <c r="CT648" s="39">
        <f t="shared" si="3389"/>
        <v>5173261.9763999796</v>
      </c>
      <c r="CU648" s="39">
        <f t="shared" si="3390"/>
        <v>5152733.1590333125</v>
      </c>
      <c r="CV648" s="39">
        <f t="shared" si="3391"/>
        <v>5132204.3416666454</v>
      </c>
      <c r="CW648" s="39">
        <f t="shared" si="3392"/>
        <v>5111675.5242999783</v>
      </c>
      <c r="CX648" s="39">
        <f t="shared" si="3393"/>
        <v>5091146.7069333112</v>
      </c>
      <c r="CY648" s="39">
        <f t="shared" si="3394"/>
        <v>5070617.8895666441</v>
      </c>
      <c r="CZ648" s="236">
        <f t="shared" si="3433"/>
        <v>114263.39746286623</v>
      </c>
    </row>
    <row r="649" spans="1:104" ht="24" customHeight="1" x14ac:dyDescent="0.2">
      <c r="A649" s="154" t="s">
        <v>2614</v>
      </c>
      <c r="B649" s="185" t="s">
        <v>2620</v>
      </c>
      <c r="C649" t="s">
        <v>41</v>
      </c>
      <c r="D649" s="42" t="s">
        <v>42</v>
      </c>
      <c r="E649" s="233">
        <v>45138</v>
      </c>
      <c r="F649" s="42" t="s">
        <v>44</v>
      </c>
      <c r="G649" s="186">
        <v>180</v>
      </c>
      <c r="H649" s="11"/>
      <c r="K649" s="40">
        <v>1</v>
      </c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219">
        <f t="shared" si="3434"/>
        <v>5908.5527777777779</v>
      </c>
      <c r="AC649" s="44">
        <f t="shared" si="3435"/>
        <v>29542.763888888891</v>
      </c>
      <c r="AD649" s="7"/>
      <c r="AE649" s="7"/>
      <c r="AF649" s="7"/>
      <c r="AG649" s="7"/>
      <c r="AH649" s="7"/>
      <c r="AI649" s="7"/>
      <c r="AJ649" s="39">
        <v>1063539.5</v>
      </c>
      <c r="AK649" s="39">
        <f t="shared" ref="AK649:AO649" si="3454">AJ649-$AB649</f>
        <v>1057630.9472222221</v>
      </c>
      <c r="AL649" s="39">
        <f t="shared" si="3454"/>
        <v>1051722.3944444442</v>
      </c>
      <c r="AM649" s="39">
        <f t="shared" si="3454"/>
        <v>1045813.8416666664</v>
      </c>
      <c r="AN649" s="39">
        <f t="shared" si="3454"/>
        <v>1039905.2888888887</v>
      </c>
      <c r="AO649" s="39">
        <f t="shared" si="3454"/>
        <v>1033996.7361111109</v>
      </c>
      <c r="AP649" s="222">
        <f t="shared" si="3383"/>
        <v>10649.030121794869</v>
      </c>
      <c r="AQ649" s="7">
        <v>5908.5527777777779</v>
      </c>
      <c r="AR649" s="7">
        <f t="shared" si="3418"/>
        <v>5908.5527777777752</v>
      </c>
      <c r="AS649" s="7">
        <f t="shared" si="3419"/>
        <v>0</v>
      </c>
      <c r="AT649" s="7">
        <f t="shared" si="3437"/>
        <v>70902.633333333331</v>
      </c>
      <c r="AU649" s="39">
        <f t="shared" si="3306"/>
        <v>1028088.1833333331</v>
      </c>
      <c r="AV649" s="39">
        <f t="shared" si="3438"/>
        <v>1022179.6305555553</v>
      </c>
      <c r="AW649" s="39">
        <f t="shared" si="3439"/>
        <v>1016271.0777777776</v>
      </c>
      <c r="AX649" s="39">
        <f t="shared" si="3440"/>
        <v>1010362.5249999998</v>
      </c>
      <c r="AY649" s="39">
        <f t="shared" si="3441"/>
        <v>1004453.972222222</v>
      </c>
      <c r="AZ649" s="39">
        <f t="shared" si="3442"/>
        <v>998545.41944444424</v>
      </c>
      <c r="BA649" s="39">
        <f t="shared" si="3443"/>
        <v>992636.86666666646</v>
      </c>
      <c r="BB649" s="39">
        <f t="shared" si="3444"/>
        <v>986728.31388888869</v>
      </c>
      <c r="BC649" s="39">
        <f t="shared" si="3445"/>
        <v>980819.76111111091</v>
      </c>
      <c r="BD649" s="39">
        <f t="shared" si="3446"/>
        <v>974911.20833333314</v>
      </c>
      <c r="BE649" s="39">
        <f t="shared" si="3447"/>
        <v>969002.65555555536</v>
      </c>
      <c r="BF649" s="39">
        <f t="shared" si="3448"/>
        <v>963094.10277777759</v>
      </c>
      <c r="BG649" s="236">
        <f t="shared" si="3346"/>
        <v>21967.999227777771</v>
      </c>
      <c r="BH649" s="7">
        <v>5908.5527777777779</v>
      </c>
      <c r="BI649" s="7">
        <f t="shared" si="3342"/>
        <v>70902.633333333331</v>
      </c>
      <c r="BJ649" s="7">
        <f t="shared" si="3308"/>
        <v>957185.54999999981</v>
      </c>
      <c r="BK649" s="39">
        <f t="shared" si="3451"/>
        <v>951276.99722222204</v>
      </c>
      <c r="BL649" s="39">
        <f t="shared" si="3328"/>
        <v>945368.44444444426</v>
      </c>
      <c r="BM649" s="39">
        <f t="shared" si="3157"/>
        <v>939459.89166666649</v>
      </c>
      <c r="BN649" s="39">
        <f t="shared" si="3158"/>
        <v>933551.33888888871</v>
      </c>
      <c r="BO649" s="39">
        <f t="shared" si="3164"/>
        <v>927642.78611111094</v>
      </c>
      <c r="BP649" s="39">
        <f t="shared" si="3165"/>
        <v>921734.23333333316</v>
      </c>
      <c r="BQ649" s="39">
        <f t="shared" si="3166"/>
        <v>915825.68055555539</v>
      </c>
      <c r="BR649" s="39">
        <f t="shared" si="3167"/>
        <v>909917.12777777761</v>
      </c>
      <c r="BS649" s="39">
        <f t="shared" si="3168"/>
        <v>904008.57499999984</v>
      </c>
      <c r="BT649" s="39">
        <f t="shared" si="3169"/>
        <v>898100.02222222206</v>
      </c>
      <c r="BU649" s="39">
        <f t="shared" si="3170"/>
        <v>892191.46944444429</v>
      </c>
      <c r="BV649" s="236">
        <f t="shared" si="3431"/>
        <v>20408.141294444438</v>
      </c>
      <c r="BW649" s="7">
        <v>5908.5527777777779</v>
      </c>
      <c r="BX649" s="7">
        <f t="shared" si="3385"/>
        <v>70902.633333333331</v>
      </c>
      <c r="BY649" s="7">
        <f t="shared" si="3343"/>
        <v>886282.91666666651</v>
      </c>
      <c r="BZ649" s="39">
        <f t="shared" si="3452"/>
        <v>880374.36388888874</v>
      </c>
      <c r="CA649" s="39">
        <f t="shared" si="3330"/>
        <v>874465.81111111096</v>
      </c>
      <c r="CB649" s="39">
        <f t="shared" si="3173"/>
        <v>868557.25833333319</v>
      </c>
      <c r="CC649" s="39">
        <f t="shared" si="3352"/>
        <v>862648.70555555541</v>
      </c>
      <c r="CD649" s="39">
        <f t="shared" si="3353"/>
        <v>856740.15277777764</v>
      </c>
      <c r="CE649" s="39">
        <f t="shared" si="3354"/>
        <v>850831.59999999986</v>
      </c>
      <c r="CF649" s="39">
        <f t="shared" si="3355"/>
        <v>844923.04722222209</v>
      </c>
      <c r="CG649" s="39">
        <f t="shared" si="3356"/>
        <v>839014.49444444431</v>
      </c>
      <c r="CH649" s="39">
        <f t="shared" si="3357"/>
        <v>833105.94166666653</v>
      </c>
      <c r="CI649" s="39">
        <f t="shared" si="3358"/>
        <v>827197.38888888876</v>
      </c>
      <c r="CJ649" s="39">
        <f t="shared" si="3359"/>
        <v>821288.83611111098</v>
      </c>
      <c r="CK649" s="236">
        <f t="shared" si="3432"/>
        <v>18848.283361111105</v>
      </c>
      <c r="CL649" s="7">
        <v>5908.5527777777779</v>
      </c>
      <c r="CM649" s="7">
        <f t="shared" si="3386"/>
        <v>70902.633333333331</v>
      </c>
      <c r="CN649" s="7">
        <f t="shared" si="3387"/>
        <v>815380.28333333321</v>
      </c>
      <c r="CO649" s="39">
        <f t="shared" si="3453"/>
        <v>809471.73055555543</v>
      </c>
      <c r="CP649" s="39">
        <f t="shared" si="3360"/>
        <v>803563.17777777766</v>
      </c>
      <c r="CQ649" s="39">
        <f t="shared" si="3361"/>
        <v>797654.62499999988</v>
      </c>
      <c r="CR649" s="39">
        <f t="shared" si="3362"/>
        <v>791746.07222222211</v>
      </c>
      <c r="CS649" s="39">
        <f t="shared" si="3388"/>
        <v>785837.51944444433</v>
      </c>
      <c r="CT649" s="39">
        <f t="shared" si="3389"/>
        <v>779928.96666666656</v>
      </c>
      <c r="CU649" s="39">
        <f t="shared" si="3390"/>
        <v>774020.41388888878</v>
      </c>
      <c r="CV649" s="39">
        <f t="shared" si="3391"/>
        <v>768111.86111111101</v>
      </c>
      <c r="CW649" s="39">
        <f t="shared" si="3392"/>
        <v>762203.30833333323</v>
      </c>
      <c r="CX649" s="39">
        <f t="shared" si="3393"/>
        <v>756294.75555555546</v>
      </c>
      <c r="CY649" s="39">
        <f t="shared" si="3394"/>
        <v>750386.20277777768</v>
      </c>
      <c r="CZ649" s="236">
        <f t="shared" si="3433"/>
        <v>17288.425427777776</v>
      </c>
    </row>
    <row r="650" spans="1:104" ht="24" customHeight="1" x14ac:dyDescent="0.2">
      <c r="A650" s="154" t="s">
        <v>2615</v>
      </c>
      <c r="B650" s="185" t="s">
        <v>2621</v>
      </c>
      <c r="C650" t="s">
        <v>41</v>
      </c>
      <c r="D650" s="42" t="s">
        <v>42</v>
      </c>
      <c r="E650" s="233">
        <v>45138</v>
      </c>
      <c r="F650" s="42" t="s">
        <v>44</v>
      </c>
      <c r="G650" s="186">
        <v>180</v>
      </c>
      <c r="H650" s="11"/>
      <c r="K650" s="40">
        <v>1</v>
      </c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219">
        <f t="shared" si="3434"/>
        <v>41914.22111111111</v>
      </c>
      <c r="AC650" s="44">
        <f t="shared" si="3435"/>
        <v>209571.10555555555</v>
      </c>
      <c r="AD650" s="7"/>
      <c r="AE650" s="7"/>
      <c r="AF650" s="7"/>
      <c r="AG650" s="7"/>
      <c r="AH650" s="7"/>
      <c r="AI650" s="7"/>
      <c r="AJ650" s="39">
        <v>7544559.7999999998</v>
      </c>
      <c r="AK650" s="39">
        <f t="shared" ref="AK650:AO650" si="3455">AJ650-$AB650</f>
        <v>7502645.5788888885</v>
      </c>
      <c r="AL650" s="39">
        <f t="shared" si="3455"/>
        <v>7460731.3577777771</v>
      </c>
      <c r="AM650" s="39">
        <f t="shared" si="3455"/>
        <v>7418817.1366666658</v>
      </c>
      <c r="AN650" s="39">
        <f t="shared" si="3455"/>
        <v>7376902.9155555544</v>
      </c>
      <c r="AO650" s="39">
        <f t="shared" si="3455"/>
        <v>7334988.6944444431</v>
      </c>
      <c r="AP650" s="222">
        <f t="shared" si="3383"/>
        <v>75542.323125641007</v>
      </c>
      <c r="AQ650" s="7">
        <v>41914.22111111111</v>
      </c>
      <c r="AR650" s="7">
        <f t="shared" si="3418"/>
        <v>41914.221111111343</v>
      </c>
      <c r="AS650" s="7">
        <f t="shared" si="3419"/>
        <v>2.3283064365386963E-10</v>
      </c>
      <c r="AT650" s="7">
        <f t="shared" si="3437"/>
        <v>502970.65333333332</v>
      </c>
      <c r="AU650" s="39">
        <f t="shared" ref="AU650:AU671" si="3456">AO650-$AQ650</f>
        <v>7293074.4733333318</v>
      </c>
      <c r="AV650" s="39">
        <f t="shared" si="3438"/>
        <v>7251160.2522222204</v>
      </c>
      <c r="AW650" s="39">
        <f t="shared" si="3439"/>
        <v>7209246.0311111091</v>
      </c>
      <c r="AX650" s="39">
        <f>AW650-$AQ650</f>
        <v>7167331.8099999977</v>
      </c>
      <c r="AY650" s="39">
        <f t="shared" si="3441"/>
        <v>7125417.5888888864</v>
      </c>
      <c r="AZ650" s="39">
        <f t="shared" si="3442"/>
        <v>7083503.367777775</v>
      </c>
      <c r="BA650" s="39">
        <f t="shared" si="3443"/>
        <v>7041589.1466666637</v>
      </c>
      <c r="BB650" s="39">
        <f t="shared" si="3444"/>
        <v>6999674.9255555524</v>
      </c>
      <c r="BC650" s="39">
        <f t="shared" si="3445"/>
        <v>6957760.704444441</v>
      </c>
      <c r="BD650" s="39">
        <f t="shared" si="3446"/>
        <v>6915846.4833333297</v>
      </c>
      <c r="BE650" s="39">
        <f t="shared" si="3447"/>
        <v>6873932.2622222183</v>
      </c>
      <c r="BF650" s="39">
        <f t="shared" si="3448"/>
        <v>6832018.041111107</v>
      </c>
      <c r="BG650" s="236">
        <f t="shared" si="3346"/>
        <v>155837.07409111105</v>
      </c>
      <c r="BH650" s="7">
        <v>41914.22111111111</v>
      </c>
      <c r="BI650" s="7">
        <f t="shared" si="3342"/>
        <v>502970.65333333332</v>
      </c>
      <c r="BJ650" s="7">
        <f t="shared" ref="BJ650:BJ681" si="3457">BF650-BH650</f>
        <v>6790103.8199999956</v>
      </c>
      <c r="BK650" s="39">
        <f t="shared" si="3451"/>
        <v>6748189.5988888843</v>
      </c>
      <c r="BL650" s="39">
        <f t="shared" si="3328"/>
        <v>6706275.377777773</v>
      </c>
      <c r="BM650" s="39">
        <f>BL650-$AQ650</f>
        <v>6664361.1566666616</v>
      </c>
      <c r="BN650" s="39">
        <f t="shared" ref="BN650:BN673" si="3458">BM650-$AQ650</f>
        <v>6622446.9355555503</v>
      </c>
      <c r="BO650" s="39">
        <f t="shared" ref="BO650:BO673" si="3459">BN650-$AQ650</f>
        <v>6580532.7144444389</v>
      </c>
      <c r="BP650" s="39">
        <f t="shared" ref="BP650:BP673" si="3460">BO650-$AQ650</f>
        <v>6538618.4933333276</v>
      </c>
      <c r="BQ650" s="39">
        <f t="shared" ref="BQ650:BQ673" si="3461">BP650-$AQ650</f>
        <v>6496704.2722222162</v>
      </c>
      <c r="BR650" s="39">
        <f t="shared" ref="BR650:BR673" si="3462">BQ650-$AQ650</f>
        <v>6454790.0511111049</v>
      </c>
      <c r="BS650" s="39">
        <f t="shared" ref="BS650:BS673" si="3463">BR650-$AQ650</f>
        <v>6412875.8299999936</v>
      </c>
      <c r="BT650" s="39">
        <f t="shared" ref="BT650:BT673" si="3464">BS650-$AQ650</f>
        <v>6370961.6088888822</v>
      </c>
      <c r="BU650" s="39">
        <f t="shared" ref="BU650:BU673" si="3465">BT650-$AQ650</f>
        <v>6329047.3877777709</v>
      </c>
      <c r="BV650" s="236">
        <f t="shared" si="3431"/>
        <v>144771.71971777765</v>
      </c>
      <c r="BW650" s="7">
        <v>41914.22111111111</v>
      </c>
      <c r="BX650" s="7">
        <f t="shared" si="3385"/>
        <v>502970.65333333332</v>
      </c>
      <c r="BY650" s="7">
        <f t="shared" si="3343"/>
        <v>6287133.1666666595</v>
      </c>
      <c r="BZ650" s="39">
        <f t="shared" si="3452"/>
        <v>6245218.9455555482</v>
      </c>
      <c r="CA650" s="39">
        <f t="shared" si="3330"/>
        <v>6203304.7244444368</v>
      </c>
      <c r="CB650" s="39">
        <f>CA650-$AQ650</f>
        <v>6161390.5033333255</v>
      </c>
      <c r="CC650" s="39">
        <f t="shared" si="3352"/>
        <v>6119476.2822222142</v>
      </c>
      <c r="CD650" s="39">
        <f t="shared" si="3353"/>
        <v>6077562.0611111028</v>
      </c>
      <c r="CE650" s="39">
        <f t="shared" si="3354"/>
        <v>6035647.8399999915</v>
      </c>
      <c r="CF650" s="39">
        <f t="shared" si="3355"/>
        <v>5993733.6188888801</v>
      </c>
      <c r="CG650" s="39">
        <f t="shared" si="3356"/>
        <v>5951819.3977777688</v>
      </c>
      <c r="CH650" s="39">
        <f t="shared" si="3357"/>
        <v>5909905.1766666574</v>
      </c>
      <c r="CI650" s="39">
        <f t="shared" si="3358"/>
        <v>5867990.9555555461</v>
      </c>
      <c r="CJ650" s="39">
        <f t="shared" si="3359"/>
        <v>5826076.7344444348</v>
      </c>
      <c r="CK650" s="236">
        <f t="shared" si="3432"/>
        <v>133706.36534444423</v>
      </c>
      <c r="CL650" s="7">
        <v>41914.22111111111</v>
      </c>
      <c r="CM650" s="7">
        <f t="shared" si="3386"/>
        <v>502970.65333333332</v>
      </c>
      <c r="CN650" s="7">
        <f t="shared" si="3387"/>
        <v>5784162.5133333234</v>
      </c>
      <c r="CO650" s="39">
        <f t="shared" si="3453"/>
        <v>5742248.2922222121</v>
      </c>
      <c r="CP650" s="39">
        <f t="shared" si="3360"/>
        <v>5700334.0711111007</v>
      </c>
      <c r="CQ650" s="39">
        <f>CP650-$AQ650</f>
        <v>5658419.8499999894</v>
      </c>
      <c r="CR650" s="39">
        <f t="shared" si="3362"/>
        <v>5616505.628888878</v>
      </c>
      <c r="CS650" s="39">
        <f t="shared" si="3388"/>
        <v>5574591.4077777667</v>
      </c>
      <c r="CT650" s="39">
        <f t="shared" si="3389"/>
        <v>5532677.1866666554</v>
      </c>
      <c r="CU650" s="39">
        <f t="shared" si="3390"/>
        <v>5490762.965555544</v>
      </c>
      <c r="CV650" s="39">
        <f t="shared" si="3391"/>
        <v>5448848.7444444327</v>
      </c>
      <c r="CW650" s="39">
        <f t="shared" si="3392"/>
        <v>5406934.5233333213</v>
      </c>
      <c r="CX650" s="39">
        <f t="shared" si="3393"/>
        <v>5365020.30222221</v>
      </c>
      <c r="CY650" s="39">
        <f t="shared" si="3394"/>
        <v>5323106.0811110986</v>
      </c>
      <c r="CZ650" s="236">
        <f t="shared" si="3433"/>
        <v>122641.01097111084</v>
      </c>
    </row>
    <row r="651" spans="1:104" ht="24" customHeight="1" x14ac:dyDescent="0.2">
      <c r="A651" s="154" t="s">
        <v>2616</v>
      </c>
      <c r="B651" s="185" t="s">
        <v>2622</v>
      </c>
      <c r="C651" t="s">
        <v>41</v>
      </c>
      <c r="D651" s="42" t="s">
        <v>42</v>
      </c>
      <c r="E651" s="233">
        <v>45138</v>
      </c>
      <c r="F651" s="42" t="s">
        <v>44</v>
      </c>
      <c r="G651" s="186">
        <v>180</v>
      </c>
      <c r="H651" s="11"/>
      <c r="K651" s="40">
        <v>1</v>
      </c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219">
        <f t="shared" si="3434"/>
        <v>8861.7965000000004</v>
      </c>
      <c r="AC651" s="44">
        <f t="shared" si="3435"/>
        <v>44308.982499999998</v>
      </c>
      <c r="AD651" s="7"/>
      <c r="AE651" s="7"/>
      <c r="AF651" s="7"/>
      <c r="AG651" s="7"/>
      <c r="AH651" s="7"/>
      <c r="AI651" s="7"/>
      <c r="AJ651" s="39">
        <v>1595123.37</v>
      </c>
      <c r="AK651" s="39">
        <f t="shared" ref="AK651:AO651" si="3466">AJ651-$AB651</f>
        <v>1586261.5735000002</v>
      </c>
      <c r="AL651" s="39">
        <f t="shared" si="3466"/>
        <v>1577399.7770000002</v>
      </c>
      <c r="AM651" s="39">
        <f t="shared" si="3466"/>
        <v>1568537.9805000003</v>
      </c>
      <c r="AN651" s="39">
        <f t="shared" si="3466"/>
        <v>1559676.1840000004</v>
      </c>
      <c r="AO651" s="39">
        <f t="shared" si="3466"/>
        <v>1550814.3875000004</v>
      </c>
      <c r="AP651" s="222">
        <f t="shared" si="3383"/>
        <v>15971.683999615385</v>
      </c>
      <c r="AQ651" s="7">
        <v>8861.7965000000004</v>
      </c>
      <c r="AR651" s="7">
        <f t="shared" si="3418"/>
        <v>8861.7964999999385</v>
      </c>
      <c r="AS651" s="7">
        <f t="shared" si="3419"/>
        <v>-6.184563972055912E-11</v>
      </c>
      <c r="AT651" s="7">
        <f t="shared" si="3437"/>
        <v>106341.558</v>
      </c>
      <c r="AU651" s="39">
        <f t="shared" si="3456"/>
        <v>1541952.5910000005</v>
      </c>
      <c r="AV651" s="39">
        <f t="shared" si="3438"/>
        <v>1533090.7945000005</v>
      </c>
      <c r="AW651" s="39">
        <f t="shared" si="3439"/>
        <v>1524228.9980000006</v>
      </c>
      <c r="AX651" s="39">
        <f t="shared" si="3440"/>
        <v>1515367.2015000007</v>
      </c>
      <c r="AY651" s="39">
        <f t="shared" si="3441"/>
        <v>1506505.4050000007</v>
      </c>
      <c r="AZ651" s="39">
        <f t="shared" si="3442"/>
        <v>1497643.6085000008</v>
      </c>
      <c r="BA651" s="39">
        <f t="shared" si="3443"/>
        <v>1488781.8120000008</v>
      </c>
      <c r="BB651" s="39">
        <f t="shared" si="3444"/>
        <v>1479920.0155000009</v>
      </c>
      <c r="BC651" s="39">
        <f t="shared" si="3445"/>
        <v>1471058.219000001</v>
      </c>
      <c r="BD651" s="39">
        <f t="shared" si="3446"/>
        <v>1462196.422500001</v>
      </c>
      <c r="BE651" s="39">
        <f t="shared" si="3447"/>
        <v>1453334.6260000011</v>
      </c>
      <c r="BF651" s="39">
        <f t="shared" si="3448"/>
        <v>1444472.8295000012</v>
      </c>
      <c r="BG651" s="236">
        <f t="shared" si="3346"/>
        <v>32948.159387000007</v>
      </c>
      <c r="BH651" s="7">
        <v>8861.7965000000004</v>
      </c>
      <c r="BI651" s="7">
        <f t="shared" si="3342"/>
        <v>106341.558</v>
      </c>
      <c r="BJ651" s="7">
        <f t="shared" si="3457"/>
        <v>1435611.0330000012</v>
      </c>
      <c r="BK651" s="39">
        <f t="shared" si="3451"/>
        <v>1426749.2365000013</v>
      </c>
      <c r="BL651" s="39">
        <f t="shared" si="3328"/>
        <v>1417887.4400000013</v>
      </c>
      <c r="BM651" s="39">
        <f t="shared" ref="BM651:BM673" si="3467">BL651-$AQ651</f>
        <v>1409025.6435000014</v>
      </c>
      <c r="BN651" s="39">
        <f t="shared" si="3458"/>
        <v>1400163.8470000015</v>
      </c>
      <c r="BO651" s="39">
        <f t="shared" si="3459"/>
        <v>1391302.0505000015</v>
      </c>
      <c r="BP651" s="39">
        <f t="shared" si="3460"/>
        <v>1382440.2540000016</v>
      </c>
      <c r="BQ651" s="39">
        <f t="shared" si="3461"/>
        <v>1373578.4575000016</v>
      </c>
      <c r="BR651" s="39">
        <f t="shared" si="3462"/>
        <v>1364716.6610000017</v>
      </c>
      <c r="BS651" s="39">
        <f t="shared" si="3463"/>
        <v>1355854.8645000018</v>
      </c>
      <c r="BT651" s="39">
        <f t="shared" si="3464"/>
        <v>1346993.0680000018</v>
      </c>
      <c r="BU651" s="39">
        <f t="shared" si="3465"/>
        <v>1338131.2715000019</v>
      </c>
      <c r="BV651" s="236">
        <f t="shared" si="3431"/>
        <v>30608.645111000031</v>
      </c>
      <c r="BW651" s="7">
        <v>8861.7965000000004</v>
      </c>
      <c r="BX651" s="7">
        <f t="shared" si="3385"/>
        <v>106341.558</v>
      </c>
      <c r="BY651" s="7">
        <f t="shared" si="3343"/>
        <v>1329269.475000002</v>
      </c>
      <c r="BZ651" s="39">
        <f t="shared" si="3452"/>
        <v>1320407.678500002</v>
      </c>
      <c r="CA651" s="39">
        <f t="shared" si="3330"/>
        <v>1311545.8820000021</v>
      </c>
      <c r="CB651" s="39">
        <f t="shared" ref="CB651:CB673" si="3468">CA651-$AQ651</f>
        <v>1302684.0855000021</v>
      </c>
      <c r="CC651" s="39">
        <f t="shared" si="3352"/>
        <v>1293822.2890000022</v>
      </c>
      <c r="CD651" s="39">
        <f t="shared" si="3353"/>
        <v>1284960.4925000023</v>
      </c>
      <c r="CE651" s="39">
        <f t="shared" si="3354"/>
        <v>1276098.6960000023</v>
      </c>
      <c r="CF651" s="39">
        <f t="shared" si="3355"/>
        <v>1267236.8995000024</v>
      </c>
      <c r="CG651" s="39">
        <f t="shared" si="3356"/>
        <v>1258375.1030000024</v>
      </c>
      <c r="CH651" s="39">
        <f t="shared" si="3357"/>
        <v>1249513.3065000025</v>
      </c>
      <c r="CI651" s="39">
        <f t="shared" si="3358"/>
        <v>1240651.5100000026</v>
      </c>
      <c r="CJ651" s="39">
        <f t="shared" si="3359"/>
        <v>1231789.7135000026</v>
      </c>
      <c r="CK651" s="236">
        <f t="shared" si="3432"/>
        <v>28269.130835000044</v>
      </c>
      <c r="CL651" s="7">
        <v>8861.7965000000004</v>
      </c>
      <c r="CM651" s="7">
        <f t="shared" si="3386"/>
        <v>106341.558</v>
      </c>
      <c r="CN651" s="7">
        <f t="shared" si="3387"/>
        <v>1222927.9170000027</v>
      </c>
      <c r="CO651" s="39">
        <f t="shared" si="3453"/>
        <v>1214066.1205000028</v>
      </c>
      <c r="CP651" s="39">
        <f t="shared" si="3360"/>
        <v>1205204.3240000028</v>
      </c>
      <c r="CQ651" s="39">
        <f t="shared" ref="CQ651:CQ673" si="3469">CP651-$AQ651</f>
        <v>1196342.5275000029</v>
      </c>
      <c r="CR651" s="39">
        <f t="shared" si="3362"/>
        <v>1187480.7310000029</v>
      </c>
      <c r="CS651" s="39">
        <f t="shared" si="3388"/>
        <v>1178618.934500003</v>
      </c>
      <c r="CT651" s="39">
        <f t="shared" si="3389"/>
        <v>1169757.1380000031</v>
      </c>
      <c r="CU651" s="39">
        <f t="shared" si="3390"/>
        <v>1160895.3415000031</v>
      </c>
      <c r="CV651" s="39">
        <f t="shared" si="3391"/>
        <v>1152033.5450000032</v>
      </c>
      <c r="CW651" s="39">
        <f t="shared" si="3392"/>
        <v>1143171.7485000032</v>
      </c>
      <c r="CX651" s="39">
        <f t="shared" si="3393"/>
        <v>1134309.9520000033</v>
      </c>
      <c r="CY651" s="39">
        <f t="shared" si="3394"/>
        <v>1125448.1555000034</v>
      </c>
      <c r="CZ651" s="236">
        <f t="shared" si="3433"/>
        <v>25929.616559000064</v>
      </c>
    </row>
    <row r="652" spans="1:104" ht="24" customHeight="1" x14ac:dyDescent="0.2">
      <c r="A652" s="154" t="s">
        <v>2617</v>
      </c>
      <c r="B652" s="185" t="s">
        <v>2623</v>
      </c>
      <c r="C652" t="s">
        <v>41</v>
      </c>
      <c r="D652" s="42" t="s">
        <v>42</v>
      </c>
      <c r="E652" s="233">
        <v>45138</v>
      </c>
      <c r="F652" s="42" t="s">
        <v>44</v>
      </c>
      <c r="G652" s="186">
        <v>180</v>
      </c>
      <c r="H652" s="11"/>
      <c r="K652" s="40">
        <v>1</v>
      </c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219">
        <f t="shared" si="3434"/>
        <v>3384.2972222222224</v>
      </c>
      <c r="AC652" s="44">
        <f>AB652*5</f>
        <v>16921.486111111113</v>
      </c>
      <c r="AD652" s="7"/>
      <c r="AE652" s="7"/>
      <c r="AF652" s="7"/>
      <c r="AG652" s="7"/>
      <c r="AH652" s="7"/>
      <c r="AI652" s="7"/>
      <c r="AJ652" s="39">
        <v>609173.5</v>
      </c>
      <c r="AK652" s="39">
        <f t="shared" ref="AK652:AO652" si="3470">AJ652-$AB652</f>
        <v>605789.2027777778</v>
      </c>
      <c r="AL652" s="39">
        <f t="shared" si="3470"/>
        <v>602404.9055555556</v>
      </c>
      <c r="AM652" s="39">
        <f t="shared" si="3470"/>
        <v>599020.6083333334</v>
      </c>
      <c r="AN652" s="39">
        <f t="shared" si="3470"/>
        <v>595636.31111111119</v>
      </c>
      <c r="AO652" s="39">
        <f t="shared" si="3470"/>
        <v>592252.01388888899</v>
      </c>
      <c r="AP652" s="222">
        <f t="shared" si="3383"/>
        <v>6099.5449166666667</v>
      </c>
      <c r="AQ652" s="7">
        <v>3384.2972222222224</v>
      </c>
      <c r="AR652" s="7">
        <f t="shared" si="3418"/>
        <v>3384.2972222222015</v>
      </c>
      <c r="AS652" s="7">
        <f t="shared" si="3419"/>
        <v>-2.0918378140777349E-11</v>
      </c>
      <c r="AT652" s="7">
        <f t="shared" si="3437"/>
        <v>40611.566666666666</v>
      </c>
      <c r="AU652" s="39">
        <f t="shared" si="3456"/>
        <v>588867.71666666679</v>
      </c>
      <c r="AV652" s="39">
        <f t="shared" si="3438"/>
        <v>585483.41944444459</v>
      </c>
      <c r="AW652" s="39">
        <f t="shared" si="3439"/>
        <v>582099.12222222239</v>
      </c>
      <c r="AX652" s="39">
        <f t="shared" si="3440"/>
        <v>578714.82500000019</v>
      </c>
      <c r="AY652" s="39">
        <f t="shared" si="3441"/>
        <v>575330.52777777798</v>
      </c>
      <c r="AZ652" s="39">
        <f t="shared" si="3442"/>
        <v>571946.23055555578</v>
      </c>
      <c r="BA652" s="39">
        <f t="shared" si="3443"/>
        <v>568561.93333333358</v>
      </c>
      <c r="BB652" s="39">
        <f t="shared" si="3444"/>
        <v>565177.63611111138</v>
      </c>
      <c r="BC652" s="39">
        <f t="shared" si="3445"/>
        <v>561793.33888888918</v>
      </c>
      <c r="BD652" s="39">
        <f t="shared" si="3446"/>
        <v>558409.04166666698</v>
      </c>
      <c r="BE652" s="39">
        <f t="shared" si="3447"/>
        <v>555024.74444444478</v>
      </c>
      <c r="BF652" s="39">
        <f t="shared" si="3448"/>
        <v>551640.44722222257</v>
      </c>
      <c r="BG652" s="236">
        <f t="shared" si="3346"/>
        <v>12582.817072222226</v>
      </c>
      <c r="BH652" s="7">
        <v>3384.2972222222224</v>
      </c>
      <c r="BI652" s="7">
        <f t="shared" si="3342"/>
        <v>40611.566666666666</v>
      </c>
      <c r="BJ652" s="7">
        <f t="shared" si="3457"/>
        <v>548256.15000000037</v>
      </c>
      <c r="BK652" s="39">
        <f t="shared" si="3451"/>
        <v>544871.85277777817</v>
      </c>
      <c r="BL652" s="39">
        <f t="shared" si="3328"/>
        <v>541487.55555555597</v>
      </c>
      <c r="BM652" s="39">
        <f t="shared" si="3467"/>
        <v>538103.25833333377</v>
      </c>
      <c r="BN652" s="39">
        <f t="shared" si="3458"/>
        <v>534718.96111111157</v>
      </c>
      <c r="BO652" s="39">
        <f t="shared" si="3459"/>
        <v>531334.66388888936</v>
      </c>
      <c r="BP652" s="39">
        <f t="shared" si="3460"/>
        <v>527950.36666666716</v>
      </c>
      <c r="BQ652" s="39">
        <f t="shared" si="3461"/>
        <v>524566.06944444496</v>
      </c>
      <c r="BR652" s="39">
        <f t="shared" si="3462"/>
        <v>521181.77222222276</v>
      </c>
      <c r="BS652" s="39">
        <f t="shared" si="3463"/>
        <v>517797.47500000056</v>
      </c>
      <c r="BT652" s="39">
        <f t="shared" si="3464"/>
        <v>514413.17777777836</v>
      </c>
      <c r="BU652" s="39">
        <f t="shared" si="3465"/>
        <v>511028.88055555616</v>
      </c>
      <c r="BV652" s="236">
        <f t="shared" si="3431"/>
        <v>11689.362605555565</v>
      </c>
      <c r="BW652" s="7">
        <v>3384.2972222222224</v>
      </c>
      <c r="BX652" s="7">
        <f t="shared" si="3385"/>
        <v>40611.566666666666</v>
      </c>
      <c r="BY652" s="7">
        <f t="shared" si="3343"/>
        <v>507644.58333333395</v>
      </c>
      <c r="BZ652" s="39">
        <f t="shared" si="3452"/>
        <v>504260.28611111175</v>
      </c>
      <c r="CA652" s="39">
        <f t="shared" si="3330"/>
        <v>500875.98888888955</v>
      </c>
      <c r="CB652" s="39">
        <f t="shared" si="3468"/>
        <v>497491.69166666735</v>
      </c>
      <c r="CC652" s="39">
        <f t="shared" si="3352"/>
        <v>494107.39444444515</v>
      </c>
      <c r="CD652" s="39">
        <f t="shared" si="3353"/>
        <v>490723.09722222295</v>
      </c>
      <c r="CE652" s="39">
        <f t="shared" si="3354"/>
        <v>487338.80000000075</v>
      </c>
      <c r="CF652" s="39">
        <f t="shared" si="3355"/>
        <v>483954.50277777854</v>
      </c>
      <c r="CG652" s="39">
        <f t="shared" si="3356"/>
        <v>480570.20555555634</v>
      </c>
      <c r="CH652" s="39">
        <f t="shared" si="3357"/>
        <v>477185.90833333414</v>
      </c>
      <c r="CI652" s="39">
        <f t="shared" si="3358"/>
        <v>473801.61111111194</v>
      </c>
      <c r="CJ652" s="39">
        <f t="shared" si="3359"/>
        <v>470417.31388888974</v>
      </c>
      <c r="CK652" s="236">
        <f t="shared" si="3432"/>
        <v>10795.908138888904</v>
      </c>
      <c r="CL652" s="7">
        <v>3384.2972222222224</v>
      </c>
      <c r="CM652" s="7">
        <f t="shared" si="3386"/>
        <v>40611.566666666666</v>
      </c>
      <c r="CN652" s="7">
        <f t="shared" si="3387"/>
        <v>467033.01666666754</v>
      </c>
      <c r="CO652" s="39">
        <f t="shared" si="3453"/>
        <v>463648.71944444533</v>
      </c>
      <c r="CP652" s="39">
        <f t="shared" si="3360"/>
        <v>460264.42222222313</v>
      </c>
      <c r="CQ652" s="39">
        <f t="shared" si="3469"/>
        <v>456880.12500000093</v>
      </c>
      <c r="CR652" s="39">
        <f t="shared" si="3362"/>
        <v>453495.82777777873</v>
      </c>
      <c r="CS652" s="39">
        <f t="shared" si="3388"/>
        <v>450111.53055555653</v>
      </c>
      <c r="CT652" s="39">
        <f t="shared" si="3389"/>
        <v>446727.23333333433</v>
      </c>
      <c r="CU652" s="39">
        <f t="shared" si="3390"/>
        <v>443342.93611111213</v>
      </c>
      <c r="CV652" s="39">
        <f t="shared" si="3391"/>
        <v>439958.63888888992</v>
      </c>
      <c r="CW652" s="39">
        <f t="shared" si="3392"/>
        <v>436574.34166666772</v>
      </c>
      <c r="CX652" s="39">
        <f t="shared" si="3393"/>
        <v>433190.04444444552</v>
      </c>
      <c r="CY652" s="39">
        <f t="shared" si="3394"/>
        <v>429805.74722222332</v>
      </c>
      <c r="CZ652" s="236">
        <f t="shared" si="3433"/>
        <v>9902.4536722222438</v>
      </c>
    </row>
    <row r="653" spans="1:104" ht="24" customHeight="1" x14ac:dyDescent="0.2">
      <c r="A653" s="154" t="s">
        <v>2625</v>
      </c>
      <c r="B653" s="185" t="s">
        <v>2628</v>
      </c>
      <c r="C653" t="s">
        <v>41</v>
      </c>
      <c r="D653" s="42" t="s">
        <v>42</v>
      </c>
      <c r="E653" s="184">
        <v>45166</v>
      </c>
      <c r="F653" s="42" t="s">
        <v>44</v>
      </c>
      <c r="G653" s="186">
        <v>180</v>
      </c>
      <c r="H653" s="11"/>
      <c r="K653" s="40">
        <v>1</v>
      </c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219">
        <f>AK653/G653</f>
        <v>2803.5538888888891</v>
      </c>
      <c r="AC653" s="44">
        <f>AB653*4</f>
        <v>11214.215555555556</v>
      </c>
      <c r="AD653" s="7"/>
      <c r="AE653" s="7"/>
      <c r="AF653" s="7"/>
      <c r="AG653" s="7"/>
      <c r="AH653" s="7"/>
      <c r="AI653" s="7"/>
      <c r="AJ653" s="39"/>
      <c r="AK653" s="39">
        <v>504639.7</v>
      </c>
      <c r="AL653" s="39">
        <f t="shared" ref="AL653:AO653" si="3471">AK653-$AB653</f>
        <v>501836.1461111111</v>
      </c>
      <c r="AM653" s="39">
        <f t="shared" si="3471"/>
        <v>499032.59222222219</v>
      </c>
      <c r="AN653" s="39">
        <f t="shared" si="3471"/>
        <v>496229.03833333327</v>
      </c>
      <c r="AO653" s="39">
        <f t="shared" si="3471"/>
        <v>493425.48444444436</v>
      </c>
      <c r="AP653" s="222">
        <f t="shared" si="3383"/>
        <v>4222.5834726495723</v>
      </c>
      <c r="AQ653" s="7">
        <v>2803.5538888888891</v>
      </c>
      <c r="AR653" s="7">
        <f t="shared" si="3418"/>
        <v>2803.5538888889132</v>
      </c>
      <c r="AS653" s="7">
        <f t="shared" si="3419"/>
        <v>2.4101609596982598E-11</v>
      </c>
      <c r="AT653" s="7">
        <f t="shared" ref="AT653:AT655" si="3472">AQ653*12</f>
        <v>33642.646666666667</v>
      </c>
      <c r="AU653" s="39">
        <f t="shared" si="3456"/>
        <v>490621.93055555545</v>
      </c>
      <c r="AV653" s="39">
        <f t="shared" ref="AV653:AV655" si="3473">AU653-$AQ653</f>
        <v>487818.37666666653</v>
      </c>
      <c r="AW653" s="39">
        <f t="shared" ref="AW653:AW655" si="3474">AV653-$AQ653</f>
        <v>485014.82277777762</v>
      </c>
      <c r="AX653" s="39">
        <f t="shared" ref="AX653:AX655" si="3475">AW653-$AQ653</f>
        <v>482211.26888888871</v>
      </c>
      <c r="AY653" s="39">
        <f t="shared" ref="AY653:AY655" si="3476">AX653-$AQ653</f>
        <v>479407.71499999979</v>
      </c>
      <c r="AZ653" s="39">
        <f t="shared" ref="AZ653:AZ655" si="3477">AY653-$AQ653</f>
        <v>476604.16111111088</v>
      </c>
      <c r="BA653" s="39">
        <f t="shared" ref="BA653:BA655" si="3478">AZ653-$AQ653</f>
        <v>473800.60722222197</v>
      </c>
      <c r="BB653" s="39">
        <f t="shared" ref="BB653:BB655" si="3479">BA653-$AQ653</f>
        <v>470997.05333333305</v>
      </c>
      <c r="BC653" s="39">
        <f t="shared" ref="BC653:BC655" si="3480">BB653-$AQ653</f>
        <v>468193.49944444414</v>
      </c>
      <c r="BD653" s="39">
        <f t="shared" ref="BD653:BD655" si="3481">BC653-$AQ653</f>
        <v>465389.94555555523</v>
      </c>
      <c r="BE653" s="39">
        <f t="shared" ref="BE653:BE655" si="3482">BD653-$AQ653</f>
        <v>462586.39166666631</v>
      </c>
      <c r="BF653" s="39">
        <f t="shared" ref="BF653:BF655" si="3483">BE653-$AQ653</f>
        <v>459782.8377777774</v>
      </c>
      <c r="BG653" s="236">
        <f t="shared" si="3346"/>
        <v>10485.291544444439</v>
      </c>
      <c r="BH653" s="7">
        <v>2803.5538888888891</v>
      </c>
      <c r="BI653" s="7">
        <f t="shared" si="3342"/>
        <v>33642.646666666667</v>
      </c>
      <c r="BJ653" s="7">
        <f t="shared" si="3457"/>
        <v>456979.28388888849</v>
      </c>
      <c r="BK653" s="39">
        <f t="shared" si="3451"/>
        <v>454175.72999999957</v>
      </c>
      <c r="BL653" s="39">
        <f t="shared" si="3328"/>
        <v>451372.17611111066</v>
      </c>
      <c r="BM653" s="39">
        <f t="shared" si="3467"/>
        <v>448568.62222222175</v>
      </c>
      <c r="BN653" s="39">
        <f t="shared" si="3458"/>
        <v>445765.06833333283</v>
      </c>
      <c r="BO653" s="39">
        <f t="shared" si="3459"/>
        <v>442961.51444444392</v>
      </c>
      <c r="BP653" s="39">
        <f t="shared" si="3460"/>
        <v>440157.96055555501</v>
      </c>
      <c r="BQ653" s="39">
        <f t="shared" si="3461"/>
        <v>437354.40666666609</v>
      </c>
      <c r="BR653" s="39">
        <f t="shared" si="3462"/>
        <v>434550.85277777718</v>
      </c>
      <c r="BS653" s="39">
        <f t="shared" si="3463"/>
        <v>431747.29888888827</v>
      </c>
      <c r="BT653" s="39">
        <f t="shared" si="3464"/>
        <v>428943.74499999936</v>
      </c>
      <c r="BU653" s="39">
        <f t="shared" si="3465"/>
        <v>426140.19111111044</v>
      </c>
      <c r="BV653" s="236">
        <f t="shared" ref="BV653:BV658" si="3484">IF(AK653&lt;1,0,SUM(BJ653:BU653,BF653)/13*$BG$1)</f>
        <v>9745.1533177777656</v>
      </c>
      <c r="BW653" s="7">
        <v>2803.5538888888891</v>
      </c>
      <c r="BX653" s="7">
        <f t="shared" si="3385"/>
        <v>33642.646666666667</v>
      </c>
      <c r="BY653" s="7">
        <f t="shared" si="3343"/>
        <v>423336.63722222153</v>
      </c>
      <c r="BZ653" s="39">
        <f t="shared" si="3452"/>
        <v>420533.08333333262</v>
      </c>
      <c r="CA653" s="39">
        <f t="shared" si="3330"/>
        <v>417729.5294444437</v>
      </c>
      <c r="CB653" s="39">
        <f t="shared" si="3468"/>
        <v>414925.97555555479</v>
      </c>
      <c r="CC653" s="39">
        <f t="shared" si="3352"/>
        <v>412122.42166666588</v>
      </c>
      <c r="CD653" s="39">
        <f t="shared" si="3353"/>
        <v>409318.86777777696</v>
      </c>
      <c r="CE653" s="39">
        <f t="shared" si="3354"/>
        <v>406515.31388888805</v>
      </c>
      <c r="CF653" s="39">
        <f t="shared" si="3355"/>
        <v>403711.75999999914</v>
      </c>
      <c r="CG653" s="39">
        <f t="shared" si="3356"/>
        <v>400908.20611111022</v>
      </c>
      <c r="CH653" s="39">
        <f t="shared" si="3357"/>
        <v>398104.65222222131</v>
      </c>
      <c r="CI653" s="39">
        <f t="shared" si="3358"/>
        <v>395301.0983333324</v>
      </c>
      <c r="CJ653" s="39">
        <f t="shared" si="3359"/>
        <v>392497.54444444348</v>
      </c>
      <c r="CK653" s="236">
        <f>IF(BB653&lt;1,0,SUM(BY653:CJ653,BU653)/13*$BG$1)</f>
        <v>9005.0150911110923</v>
      </c>
      <c r="CL653" s="7">
        <v>2803.5538888888891</v>
      </c>
      <c r="CM653" s="7">
        <f t="shared" si="3386"/>
        <v>33642.646666666667</v>
      </c>
      <c r="CN653" s="7">
        <f t="shared" si="3387"/>
        <v>389693.99055555457</v>
      </c>
      <c r="CO653" s="39">
        <f t="shared" si="3453"/>
        <v>386890.43666666566</v>
      </c>
      <c r="CP653" s="39">
        <f t="shared" si="3360"/>
        <v>384086.88277777674</v>
      </c>
      <c r="CQ653" s="39">
        <f t="shared" si="3469"/>
        <v>381283.32888888783</v>
      </c>
      <c r="CR653" s="39">
        <f t="shared" si="3362"/>
        <v>378479.77499999892</v>
      </c>
      <c r="CS653" s="39">
        <f t="shared" si="3388"/>
        <v>375676.22111111</v>
      </c>
      <c r="CT653" s="39">
        <f t="shared" si="3389"/>
        <v>372872.66722222109</v>
      </c>
      <c r="CU653" s="39">
        <f t="shared" si="3390"/>
        <v>370069.11333333218</v>
      </c>
      <c r="CV653" s="39">
        <f t="shared" si="3391"/>
        <v>367265.55944444326</v>
      </c>
      <c r="CW653" s="39">
        <f t="shared" si="3392"/>
        <v>364462.00555555435</v>
      </c>
      <c r="CX653" s="39">
        <f t="shared" si="3393"/>
        <v>361658.45166666544</v>
      </c>
      <c r="CY653" s="39">
        <f t="shared" si="3394"/>
        <v>358854.89777777652</v>
      </c>
      <c r="CZ653" s="236">
        <f>IF(BQ653&lt;1,0,SUM(CN653:CY653,CJ653)/13*$BG$1)</f>
        <v>8264.876864444419</v>
      </c>
    </row>
    <row r="654" spans="1:104" ht="24" customHeight="1" x14ac:dyDescent="0.2">
      <c r="A654" s="154" t="s">
        <v>2626</v>
      </c>
      <c r="B654" s="185" t="s">
        <v>2629</v>
      </c>
      <c r="C654" t="s">
        <v>41</v>
      </c>
      <c r="D654" s="42" t="s">
        <v>42</v>
      </c>
      <c r="E654" s="184">
        <v>45166</v>
      </c>
      <c r="F654" s="42" t="s">
        <v>44</v>
      </c>
      <c r="G654" s="186">
        <v>180</v>
      </c>
      <c r="H654" s="11"/>
      <c r="K654" s="40">
        <v>1</v>
      </c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219">
        <f t="shared" ref="AB654:AB655" si="3485">AK654/G654</f>
        <v>3883.4003333333335</v>
      </c>
      <c r="AC654" s="44">
        <f t="shared" ref="AC654:AC655" si="3486">AB654*4</f>
        <v>15533.601333333334</v>
      </c>
      <c r="AD654" s="7"/>
      <c r="AE654" s="7"/>
      <c r="AF654" s="7"/>
      <c r="AG654" s="7"/>
      <c r="AH654" s="7"/>
      <c r="AI654" s="7"/>
      <c r="AJ654" s="39"/>
      <c r="AK654" s="39">
        <v>699012.06</v>
      </c>
      <c r="AL654" s="39">
        <f t="shared" ref="AL654:AO654" si="3487">AK654-$AB654</f>
        <v>695128.65966666676</v>
      </c>
      <c r="AM654" s="39">
        <f t="shared" si="3487"/>
        <v>691245.25933333347</v>
      </c>
      <c r="AN654" s="39">
        <f t="shared" si="3487"/>
        <v>687361.85900000017</v>
      </c>
      <c r="AO654" s="39">
        <f t="shared" si="3487"/>
        <v>683478.45866666688</v>
      </c>
      <c r="AP654" s="222">
        <f t="shared" si="3383"/>
        <v>5848.9983482051284</v>
      </c>
      <c r="AQ654" s="7">
        <v>3883.4003333333335</v>
      </c>
      <c r="AR654" s="7">
        <f t="shared" si="3418"/>
        <v>3883.4003333332948</v>
      </c>
      <c r="AS654" s="7">
        <f t="shared" si="3419"/>
        <v>-3.865352482534945E-11</v>
      </c>
      <c r="AT654" s="7">
        <f t="shared" si="3472"/>
        <v>46600.804000000004</v>
      </c>
      <c r="AU654" s="39">
        <f t="shared" si="3456"/>
        <v>679595.05833333358</v>
      </c>
      <c r="AV654" s="39">
        <f t="shared" si="3473"/>
        <v>675711.65800000029</v>
      </c>
      <c r="AW654" s="39">
        <f t="shared" si="3474"/>
        <v>671828.25766666699</v>
      </c>
      <c r="AX654" s="39">
        <f t="shared" si="3475"/>
        <v>667944.8573333337</v>
      </c>
      <c r="AY654" s="39">
        <f t="shared" si="3476"/>
        <v>664061.4570000004</v>
      </c>
      <c r="AZ654" s="39">
        <f t="shared" si="3477"/>
        <v>660178.05666666711</v>
      </c>
      <c r="BA654" s="39">
        <f t="shared" si="3478"/>
        <v>656294.65633333381</v>
      </c>
      <c r="BB654" s="39">
        <f t="shared" si="3479"/>
        <v>652411.25600000052</v>
      </c>
      <c r="BC654" s="39">
        <f t="shared" si="3480"/>
        <v>648527.85566666722</v>
      </c>
      <c r="BD654" s="39">
        <f t="shared" si="3481"/>
        <v>644644.45533333393</v>
      </c>
      <c r="BE654" s="39">
        <f t="shared" si="3482"/>
        <v>640761.05500000063</v>
      </c>
      <c r="BF654" s="39">
        <f t="shared" si="3483"/>
        <v>636877.65466666734</v>
      </c>
      <c r="BG654" s="236">
        <f t="shared" si="3346"/>
        <v>14523.917246666675</v>
      </c>
      <c r="BH654" s="7">
        <v>3883.4003333333335</v>
      </c>
      <c r="BI654" s="7">
        <f t="shared" si="3342"/>
        <v>46600.804000000004</v>
      </c>
      <c r="BJ654" s="7">
        <f t="shared" si="3457"/>
        <v>632994.25433333404</v>
      </c>
      <c r="BK654" s="39">
        <f t="shared" si="3451"/>
        <v>629110.85400000075</v>
      </c>
      <c r="BL654" s="39">
        <f t="shared" si="3328"/>
        <v>625227.45366666745</v>
      </c>
      <c r="BM654" s="39">
        <f t="shared" si="3467"/>
        <v>621344.05333333416</v>
      </c>
      <c r="BN654" s="39">
        <f t="shared" si="3458"/>
        <v>617460.65300000086</v>
      </c>
      <c r="BO654" s="39">
        <f t="shared" si="3459"/>
        <v>613577.25266666757</v>
      </c>
      <c r="BP654" s="39">
        <f t="shared" si="3460"/>
        <v>609693.85233333427</v>
      </c>
      <c r="BQ654" s="39">
        <f t="shared" si="3461"/>
        <v>605810.45200000098</v>
      </c>
      <c r="BR654" s="39">
        <f t="shared" si="3462"/>
        <v>601927.05166666768</v>
      </c>
      <c r="BS654" s="39">
        <f t="shared" si="3463"/>
        <v>598043.65133333439</v>
      </c>
      <c r="BT654" s="39">
        <f t="shared" si="3464"/>
        <v>594160.2510000011</v>
      </c>
      <c r="BU654" s="39">
        <f t="shared" si="3465"/>
        <v>590276.8506666678</v>
      </c>
      <c r="BV654" s="236">
        <f t="shared" si="3484"/>
        <v>13498.699558666685</v>
      </c>
      <c r="BW654" s="7">
        <v>3883.4003333333335</v>
      </c>
      <c r="BX654" s="7">
        <f t="shared" si="3385"/>
        <v>46600.804000000004</v>
      </c>
      <c r="BY654" s="7">
        <f t="shared" si="3343"/>
        <v>586393.45033333451</v>
      </c>
      <c r="BZ654" s="39">
        <f t="shared" si="3452"/>
        <v>582510.05000000121</v>
      </c>
      <c r="CA654" s="39">
        <f t="shared" si="3330"/>
        <v>578626.64966666792</v>
      </c>
      <c r="CB654" s="39">
        <f t="shared" si="3468"/>
        <v>574743.24933333462</v>
      </c>
      <c r="CC654" s="39">
        <f t="shared" si="3352"/>
        <v>570859.84900000133</v>
      </c>
      <c r="CD654" s="39">
        <f t="shared" si="3353"/>
        <v>566976.44866666803</v>
      </c>
      <c r="CE654" s="39">
        <f t="shared" si="3354"/>
        <v>563093.04833333474</v>
      </c>
      <c r="CF654" s="39">
        <f t="shared" si="3355"/>
        <v>559209.64800000144</v>
      </c>
      <c r="CG654" s="39">
        <f t="shared" si="3356"/>
        <v>555326.24766666815</v>
      </c>
      <c r="CH654" s="39">
        <f t="shared" si="3357"/>
        <v>551442.84733333485</v>
      </c>
      <c r="CI654" s="39">
        <f t="shared" si="3358"/>
        <v>547559.44700000156</v>
      </c>
      <c r="CJ654" s="39">
        <f t="shared" si="3359"/>
        <v>543676.04666666826</v>
      </c>
      <c r="CK654" s="236">
        <f>IF(BB654&lt;1,0,SUM(BY654:CJ654,BU654)/13*$BG$1)</f>
        <v>12473.481870666696</v>
      </c>
      <c r="CL654" s="7">
        <v>3883.4003333333335</v>
      </c>
      <c r="CM654" s="7">
        <f t="shared" si="3386"/>
        <v>46600.804000000004</v>
      </c>
      <c r="CN654" s="7">
        <f t="shared" si="3387"/>
        <v>539792.64633333497</v>
      </c>
      <c r="CO654" s="39">
        <f t="shared" si="3453"/>
        <v>535909.24600000167</v>
      </c>
      <c r="CP654" s="39">
        <f t="shared" si="3360"/>
        <v>532025.84566666838</v>
      </c>
      <c r="CQ654" s="39">
        <f t="shared" si="3469"/>
        <v>528142.44533333508</v>
      </c>
      <c r="CR654" s="39">
        <f t="shared" si="3362"/>
        <v>524259.04500000173</v>
      </c>
      <c r="CS654" s="39">
        <f t="shared" si="3388"/>
        <v>520375.64466666838</v>
      </c>
      <c r="CT654" s="39">
        <f t="shared" si="3389"/>
        <v>516492.24433333502</v>
      </c>
      <c r="CU654" s="39">
        <f t="shared" si="3390"/>
        <v>512608.84400000167</v>
      </c>
      <c r="CV654" s="39">
        <f t="shared" si="3391"/>
        <v>508725.44366666832</v>
      </c>
      <c r="CW654" s="39">
        <f t="shared" si="3392"/>
        <v>504842.04333333496</v>
      </c>
      <c r="CX654" s="39">
        <f t="shared" si="3393"/>
        <v>500958.64300000161</v>
      </c>
      <c r="CY654" s="39">
        <f t="shared" si="3394"/>
        <v>497075.24266666826</v>
      </c>
      <c r="CZ654" s="236">
        <f>IF(BQ654&lt;1,0,SUM(CN654:CY654,CJ654)/13*$BG$1)</f>
        <v>11448.264182666704</v>
      </c>
    </row>
    <row r="655" spans="1:104" ht="24" customHeight="1" x14ac:dyDescent="0.2">
      <c r="A655" s="154" t="s">
        <v>2627</v>
      </c>
      <c r="B655" s="185" t="s">
        <v>2630</v>
      </c>
      <c r="C655" t="s">
        <v>41</v>
      </c>
      <c r="D655" s="42" t="s">
        <v>42</v>
      </c>
      <c r="E655" s="184">
        <v>45166</v>
      </c>
      <c r="F655" s="42" t="s">
        <v>44</v>
      </c>
      <c r="G655" s="186">
        <v>180</v>
      </c>
      <c r="H655" s="11"/>
      <c r="K655" s="40">
        <v>1</v>
      </c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219">
        <f t="shared" si="3485"/>
        <v>1347.3992222222221</v>
      </c>
      <c r="AC655" s="44">
        <f t="shared" si="3486"/>
        <v>5389.5968888888883</v>
      </c>
      <c r="AD655" s="7"/>
      <c r="AE655" s="7"/>
      <c r="AF655" s="7"/>
      <c r="AG655" s="7"/>
      <c r="AH655" s="7"/>
      <c r="AI655" s="7"/>
      <c r="AJ655" s="39"/>
      <c r="AK655" s="39">
        <v>242531.86</v>
      </c>
      <c r="AL655" s="39">
        <f t="shared" ref="AL655:AO656" si="3488">AK655-$AB655</f>
        <v>241184.46077777777</v>
      </c>
      <c r="AM655" s="39">
        <f>AL655-$AB655</f>
        <v>239837.06155555556</v>
      </c>
      <c r="AN655" s="39">
        <f t="shared" si="3488"/>
        <v>238489.66233333334</v>
      </c>
      <c r="AO655" s="39">
        <f t="shared" si="3488"/>
        <v>237142.26311111113</v>
      </c>
      <c r="AP655" s="222">
        <f t="shared" si="3383"/>
        <v>2029.3905208547005</v>
      </c>
      <c r="AQ655" s="7">
        <v>1347.3992222222221</v>
      </c>
      <c r="AR655" s="7">
        <f t="shared" si="3418"/>
        <v>1347.399222222215</v>
      </c>
      <c r="AS655" s="7">
        <f t="shared" si="3419"/>
        <v>-7.0485839387401938E-12</v>
      </c>
      <c r="AT655" s="7">
        <f t="shared" si="3472"/>
        <v>16168.790666666664</v>
      </c>
      <c r="AU655" s="39">
        <f t="shared" si="3456"/>
        <v>235794.86388888891</v>
      </c>
      <c r="AV655" s="39">
        <f t="shared" si="3473"/>
        <v>234447.4646666667</v>
      </c>
      <c r="AW655" s="39">
        <f t="shared" si="3474"/>
        <v>233100.06544444448</v>
      </c>
      <c r="AX655" s="39">
        <f t="shared" si="3475"/>
        <v>231752.66622222227</v>
      </c>
      <c r="AY655" s="39">
        <f t="shared" si="3476"/>
        <v>230405.26700000005</v>
      </c>
      <c r="AZ655" s="39">
        <f t="shared" si="3477"/>
        <v>229057.86777777784</v>
      </c>
      <c r="BA655" s="39">
        <f t="shared" si="3478"/>
        <v>227710.46855555562</v>
      </c>
      <c r="BB655" s="39">
        <f t="shared" si="3479"/>
        <v>226363.06933333341</v>
      </c>
      <c r="BC655" s="39">
        <f t="shared" si="3480"/>
        <v>225015.67011111119</v>
      </c>
      <c r="BD655" s="39">
        <f t="shared" si="3481"/>
        <v>223668.27088888898</v>
      </c>
      <c r="BE655" s="39">
        <f t="shared" si="3482"/>
        <v>222320.87166666676</v>
      </c>
      <c r="BF655" s="39">
        <f t="shared" si="3483"/>
        <v>220973.47244444455</v>
      </c>
      <c r="BG655" s="236">
        <f t="shared" si="3346"/>
        <v>5039.2730911111121</v>
      </c>
      <c r="BH655" s="7">
        <v>1347.3992222222221</v>
      </c>
      <c r="BI655" s="7">
        <f t="shared" si="3342"/>
        <v>16168.790666666664</v>
      </c>
      <c r="BJ655" s="7">
        <f t="shared" si="3457"/>
        <v>219626.07322222233</v>
      </c>
      <c r="BK655" s="39">
        <f t="shared" si="3451"/>
        <v>218278.67400000012</v>
      </c>
      <c r="BL655" s="39">
        <f t="shared" si="3328"/>
        <v>216931.2747777779</v>
      </c>
      <c r="BM655" s="39">
        <f t="shared" si="3467"/>
        <v>215583.87555555569</v>
      </c>
      <c r="BN655" s="39">
        <f t="shared" si="3458"/>
        <v>214236.47633333347</v>
      </c>
      <c r="BO655" s="39">
        <f t="shared" si="3459"/>
        <v>212889.07711111126</v>
      </c>
      <c r="BP655" s="39">
        <f t="shared" si="3460"/>
        <v>211541.67788888904</v>
      </c>
      <c r="BQ655" s="39">
        <f t="shared" si="3461"/>
        <v>210194.27866666683</v>
      </c>
      <c r="BR655" s="39">
        <f t="shared" si="3462"/>
        <v>208846.87944444461</v>
      </c>
      <c r="BS655" s="39">
        <f t="shared" si="3463"/>
        <v>207499.4802222224</v>
      </c>
      <c r="BT655" s="39">
        <f t="shared" si="3464"/>
        <v>206152.08100000018</v>
      </c>
      <c r="BU655" s="39">
        <f t="shared" si="3465"/>
        <v>204804.68177777797</v>
      </c>
      <c r="BV655" s="236">
        <f t="shared" si="3484"/>
        <v>4683.5596964444476</v>
      </c>
      <c r="BW655" s="7">
        <v>1347.3992222222221</v>
      </c>
      <c r="BX655" s="7">
        <f t="shared" si="3385"/>
        <v>16168.790666666664</v>
      </c>
      <c r="BY655" s="7">
        <f t="shared" si="3343"/>
        <v>203457.28255555575</v>
      </c>
      <c r="BZ655" s="39">
        <f t="shared" si="3452"/>
        <v>202109.88333333354</v>
      </c>
      <c r="CA655" s="39">
        <f t="shared" si="3330"/>
        <v>200762.48411111132</v>
      </c>
      <c r="CB655" s="39">
        <f t="shared" si="3468"/>
        <v>199415.08488888911</v>
      </c>
      <c r="CC655" s="39">
        <f t="shared" si="3352"/>
        <v>198067.68566666689</v>
      </c>
      <c r="CD655" s="39">
        <f t="shared" si="3353"/>
        <v>196720.28644444467</v>
      </c>
      <c r="CE655" s="39">
        <f t="shared" si="3354"/>
        <v>195372.88722222246</v>
      </c>
      <c r="CF655" s="39">
        <f t="shared" si="3355"/>
        <v>194025.48800000024</v>
      </c>
      <c r="CG655" s="39">
        <f t="shared" si="3356"/>
        <v>192678.08877777803</v>
      </c>
      <c r="CH655" s="39">
        <f t="shared" si="3357"/>
        <v>191330.68955555581</v>
      </c>
      <c r="CI655" s="39">
        <f t="shared" si="3358"/>
        <v>189983.2903333336</v>
      </c>
      <c r="CJ655" s="39">
        <f t="shared" si="3359"/>
        <v>188635.89111111138</v>
      </c>
      <c r="CK655" s="236">
        <f>IF(BB655&lt;1,0,SUM(BY655:CJ655,BU655)/13*$BG$1)</f>
        <v>4327.8463017777822</v>
      </c>
      <c r="CL655" s="7">
        <v>1347.3992222222221</v>
      </c>
      <c r="CM655" s="7">
        <f t="shared" si="3386"/>
        <v>16168.790666666664</v>
      </c>
      <c r="CN655" s="7">
        <f t="shared" si="3387"/>
        <v>187288.49188888917</v>
      </c>
      <c r="CO655" s="39">
        <f t="shared" si="3453"/>
        <v>185941.09266666695</v>
      </c>
      <c r="CP655" s="39">
        <f t="shared" si="3360"/>
        <v>184593.69344444474</v>
      </c>
      <c r="CQ655" s="39">
        <f t="shared" si="3469"/>
        <v>183246.29422222252</v>
      </c>
      <c r="CR655" s="39">
        <f t="shared" si="3362"/>
        <v>181898.89500000031</v>
      </c>
      <c r="CS655" s="39">
        <f t="shared" si="3388"/>
        <v>180551.49577777809</v>
      </c>
      <c r="CT655" s="39">
        <f t="shared" si="3389"/>
        <v>179204.09655555588</v>
      </c>
      <c r="CU655" s="39">
        <f t="shared" si="3390"/>
        <v>177856.69733333366</v>
      </c>
      <c r="CV655" s="39">
        <f t="shared" si="3391"/>
        <v>176509.29811111145</v>
      </c>
      <c r="CW655" s="39">
        <f t="shared" si="3392"/>
        <v>175161.89888888923</v>
      </c>
      <c r="CX655" s="39">
        <f t="shared" si="3393"/>
        <v>173814.49966666702</v>
      </c>
      <c r="CY655" s="39">
        <f t="shared" si="3394"/>
        <v>172467.1004444448</v>
      </c>
      <c r="CZ655" s="236">
        <f>IF(BQ655&lt;1,0,SUM(CN655:CY655,CJ655)/13*$BG$1)</f>
        <v>3972.1329071111186</v>
      </c>
    </row>
    <row r="656" spans="1:104" ht="24" customHeight="1" x14ac:dyDescent="0.2">
      <c r="A656" s="154" t="s">
        <v>2631</v>
      </c>
      <c r="B656" s="185" t="s">
        <v>2636</v>
      </c>
      <c r="C656" t="s">
        <v>41</v>
      </c>
      <c r="D656" s="42" t="s">
        <v>23</v>
      </c>
      <c r="E656" s="233">
        <v>45181</v>
      </c>
      <c r="F656" s="42" t="s">
        <v>44</v>
      </c>
      <c r="G656" s="186">
        <v>60</v>
      </c>
      <c r="H656" s="11"/>
      <c r="K656" s="8">
        <v>0</v>
      </c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219">
        <f>AL656/G656</f>
        <v>1161.4583333333333</v>
      </c>
      <c r="AC656" s="44">
        <f>AB656*3</f>
        <v>3484.375</v>
      </c>
      <c r="AD656" s="7"/>
      <c r="AE656" s="7"/>
      <c r="AF656" s="7"/>
      <c r="AG656" s="7"/>
      <c r="AH656" s="7"/>
      <c r="AI656" s="7"/>
      <c r="AJ656" s="39"/>
      <c r="AK656" s="39"/>
      <c r="AL656" s="39">
        <v>69687.5</v>
      </c>
      <c r="AM656" s="39">
        <f>AL656-$AB656</f>
        <v>68526.041666666672</v>
      </c>
      <c r="AN656" s="39">
        <f t="shared" si="3488"/>
        <v>67364.583333333343</v>
      </c>
      <c r="AO656" s="39">
        <f t="shared" si="3488"/>
        <v>66203.125000000015</v>
      </c>
      <c r="AP656" s="222"/>
      <c r="AQ656" s="7">
        <v>1161.4583333333333</v>
      </c>
      <c r="AR656" s="7">
        <f t="shared" si="3418"/>
        <v>1161.4583333333285</v>
      </c>
      <c r="AS656" s="7">
        <f t="shared" si="3419"/>
        <v>-4.7748471843078732E-12</v>
      </c>
      <c r="AT656" s="7">
        <f t="shared" ref="AT656" si="3489">AQ656*12</f>
        <v>13937.5</v>
      </c>
      <c r="AU656" s="39">
        <f t="shared" si="3456"/>
        <v>65041.666666666679</v>
      </c>
      <c r="AV656" s="39">
        <f t="shared" ref="AV656" si="3490">AU656-$AQ656</f>
        <v>63880.208333333343</v>
      </c>
      <c r="AW656" s="39">
        <f t="shared" ref="AW656" si="3491">AV656-$AQ656</f>
        <v>62718.750000000007</v>
      </c>
      <c r="AX656" s="39">
        <f t="shared" ref="AX656" si="3492">AW656-$AQ656</f>
        <v>61557.291666666672</v>
      </c>
      <c r="AY656" s="39">
        <f t="shared" ref="AY656" si="3493">AX656-$AQ656</f>
        <v>60395.833333333336</v>
      </c>
      <c r="AZ656" s="39">
        <f t="shared" ref="AZ656" si="3494">AY656-$AQ656</f>
        <v>59234.375</v>
      </c>
      <c r="BA656" s="39">
        <f t="shared" ref="BA656" si="3495">AZ656-$AQ656</f>
        <v>58072.916666666664</v>
      </c>
      <c r="BB656" s="39">
        <f t="shared" ref="BB656" si="3496">BA656-$AQ656</f>
        <v>56911.458333333328</v>
      </c>
      <c r="BC656" s="39">
        <f t="shared" ref="BC656" si="3497">BB656-$AQ656</f>
        <v>55749.999999999993</v>
      </c>
      <c r="BD656" s="39">
        <f t="shared" ref="BD656" si="3498">BC656-$AQ656</f>
        <v>54588.541666666657</v>
      </c>
      <c r="BE656" s="39">
        <f t="shared" ref="BE656" si="3499">BD656-$AQ656</f>
        <v>53427.083333333321</v>
      </c>
      <c r="BF656" s="39">
        <f t="shared" ref="BF656" si="3500">BE656-$AQ656</f>
        <v>52265.624999999985</v>
      </c>
      <c r="BG656" s="236">
        <f t="shared" si="3346"/>
        <v>0</v>
      </c>
      <c r="BH656" s="7">
        <v>1161.4583333333333</v>
      </c>
      <c r="BI656" s="7">
        <f t="shared" si="3342"/>
        <v>13937.5</v>
      </c>
      <c r="BJ656" s="7">
        <f t="shared" si="3457"/>
        <v>51104.16666666665</v>
      </c>
      <c r="BK656" s="39">
        <f t="shared" si="3451"/>
        <v>49942.708333333314</v>
      </c>
      <c r="BL656" s="39">
        <f t="shared" si="3328"/>
        <v>48781.249999999978</v>
      </c>
      <c r="BM656" s="39">
        <f t="shared" si="3467"/>
        <v>47619.791666666642</v>
      </c>
      <c r="BN656" s="39">
        <f t="shared" si="3458"/>
        <v>46458.333333333307</v>
      </c>
      <c r="BO656" s="39">
        <f t="shared" si="3459"/>
        <v>45296.874999999971</v>
      </c>
      <c r="BP656" s="39">
        <f t="shared" si="3460"/>
        <v>44135.416666666635</v>
      </c>
      <c r="BQ656" s="39">
        <f t="shared" si="3461"/>
        <v>42973.958333333299</v>
      </c>
      <c r="BR656" s="39">
        <f t="shared" si="3462"/>
        <v>41812.499999999964</v>
      </c>
      <c r="BS656" s="39">
        <f t="shared" si="3463"/>
        <v>40651.041666666628</v>
      </c>
      <c r="BT656" s="39">
        <f t="shared" si="3464"/>
        <v>39489.583333333292</v>
      </c>
      <c r="BU656" s="39">
        <f t="shared" si="3465"/>
        <v>38328.124999999956</v>
      </c>
      <c r="BV656" s="236">
        <f t="shared" si="3484"/>
        <v>0</v>
      </c>
      <c r="BW656" s="7">
        <v>1161.4583333333333</v>
      </c>
      <c r="BX656" s="7">
        <f t="shared" si="3385"/>
        <v>13937.5</v>
      </c>
      <c r="BY656" s="7">
        <f t="shared" si="3343"/>
        <v>37166.666666666621</v>
      </c>
      <c r="BZ656" s="39">
        <f t="shared" si="3452"/>
        <v>36005.208333333285</v>
      </c>
      <c r="CA656" s="39">
        <f t="shared" si="3330"/>
        <v>34843.749999999949</v>
      </c>
      <c r="CB656" s="39">
        <f t="shared" si="3468"/>
        <v>33682.291666666613</v>
      </c>
      <c r="CC656" s="39">
        <f t="shared" si="3352"/>
        <v>32520.833333333281</v>
      </c>
      <c r="CD656" s="39">
        <f t="shared" si="3353"/>
        <v>31359.374999999949</v>
      </c>
      <c r="CE656" s="39">
        <f t="shared" si="3354"/>
        <v>30197.916666666617</v>
      </c>
      <c r="CF656" s="39">
        <f t="shared" si="3355"/>
        <v>29036.458333333285</v>
      </c>
      <c r="CG656" s="39">
        <f t="shared" si="3356"/>
        <v>27874.999999999953</v>
      </c>
      <c r="CH656" s="39">
        <f t="shared" si="3357"/>
        <v>26713.541666666621</v>
      </c>
      <c r="CI656" s="39">
        <f t="shared" si="3358"/>
        <v>25552.083333333288</v>
      </c>
      <c r="CJ656" s="39">
        <f t="shared" si="3359"/>
        <v>24390.624999999956</v>
      </c>
      <c r="CK656" s="236">
        <v>0</v>
      </c>
      <c r="CL656" s="7">
        <v>1161.4583333333333</v>
      </c>
      <c r="CM656" s="7">
        <f t="shared" si="3386"/>
        <v>13937.5</v>
      </c>
      <c r="CN656" s="7">
        <f t="shared" si="3387"/>
        <v>23229.166666666624</v>
      </c>
      <c r="CO656" s="39">
        <f t="shared" si="3453"/>
        <v>22067.708333333292</v>
      </c>
      <c r="CP656" s="39">
        <f t="shared" si="3360"/>
        <v>20906.24999999996</v>
      </c>
      <c r="CQ656" s="39">
        <f t="shared" si="3469"/>
        <v>19744.791666666628</v>
      </c>
      <c r="CR656" s="39">
        <f t="shared" si="3362"/>
        <v>18583.333333333296</v>
      </c>
      <c r="CS656" s="39">
        <f t="shared" si="3388"/>
        <v>17421.874999999964</v>
      </c>
      <c r="CT656" s="39">
        <f t="shared" si="3389"/>
        <v>16260.41666666663</v>
      </c>
      <c r="CU656" s="39">
        <f t="shared" si="3390"/>
        <v>15098.958333333296</v>
      </c>
      <c r="CV656" s="39">
        <f t="shared" si="3391"/>
        <v>13937.499999999962</v>
      </c>
      <c r="CW656" s="39">
        <f t="shared" si="3392"/>
        <v>12776.041666666628</v>
      </c>
      <c r="CX656" s="39">
        <f t="shared" si="3393"/>
        <v>11614.583333333294</v>
      </c>
      <c r="CY656" s="39">
        <f t="shared" si="3394"/>
        <v>10453.12499999996</v>
      </c>
      <c r="CZ656" s="236">
        <v>0</v>
      </c>
    </row>
    <row r="657" spans="1:104" ht="24" customHeight="1" x14ac:dyDescent="0.2">
      <c r="A657" s="154" t="s">
        <v>2632</v>
      </c>
      <c r="B657" s="185" t="s">
        <v>2637</v>
      </c>
      <c r="C657" t="s">
        <v>41</v>
      </c>
      <c r="D657" s="42" t="s">
        <v>42</v>
      </c>
      <c r="E657" s="233">
        <v>45169</v>
      </c>
      <c r="F657" s="42" t="s">
        <v>44</v>
      </c>
      <c r="G657" s="186">
        <v>300</v>
      </c>
      <c r="H657" s="11"/>
      <c r="K657" s="8">
        <v>1</v>
      </c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219">
        <f>AK657/G657</f>
        <v>3087.1091666666666</v>
      </c>
      <c r="AC657" s="44">
        <f>AB657*4</f>
        <v>12348.436666666666</v>
      </c>
      <c r="AD657" s="7"/>
      <c r="AE657" s="7"/>
      <c r="AF657" s="7"/>
      <c r="AG657" s="7"/>
      <c r="AH657" s="7"/>
      <c r="AI657" s="7"/>
      <c r="AJ657" s="39"/>
      <c r="AK657" s="39">
        <v>926132.75</v>
      </c>
      <c r="AL657" s="39">
        <f t="shared" ref="AL657" si="3501">AK657-$AB657</f>
        <v>923045.64083333337</v>
      </c>
      <c r="AM657" s="39">
        <f>AL657-$AB657</f>
        <v>919958.53166666673</v>
      </c>
      <c r="AN657" s="39">
        <f>AM657-$AB657</f>
        <v>916871.4225000001</v>
      </c>
      <c r="AO657" s="39">
        <f>AN657-$AB657</f>
        <v>913784.31333333347</v>
      </c>
      <c r="AP657" s="222">
        <f t="shared" ref="AP657:AP671" si="3502">IF(K657&lt;1,0,SUM(AD657:AO657,Z657)/13*$BG$1)</f>
        <v>7784.2644987179492</v>
      </c>
      <c r="AQ657" s="7">
        <v>3087.1091666666666</v>
      </c>
      <c r="AR657" s="7">
        <f t="shared" si="3418"/>
        <v>3087.1091666666325</v>
      </c>
      <c r="AS657" s="7">
        <f t="shared" si="3419"/>
        <v>-3.4106051316484809E-11</v>
      </c>
      <c r="AT657" s="7">
        <f t="shared" ref="AT657" si="3503">AQ657*12</f>
        <v>37045.31</v>
      </c>
      <c r="AU657" s="39">
        <f t="shared" si="3456"/>
        <v>910697.20416666684</v>
      </c>
      <c r="AV657" s="39">
        <f>AU657-$AQ657</f>
        <v>907610.0950000002</v>
      </c>
      <c r="AW657" s="39">
        <f t="shared" ref="AW657:AW658" si="3504">AV657-$AQ657</f>
        <v>904522.98583333357</v>
      </c>
      <c r="AX657" s="39">
        <f t="shared" ref="AX657:AX660" si="3505">AW657-$AQ657</f>
        <v>901435.87666666694</v>
      </c>
      <c r="AY657" s="39">
        <f t="shared" ref="AY657:AY660" si="3506">AX657-$AQ657</f>
        <v>898348.76750000031</v>
      </c>
      <c r="AZ657" s="39">
        <f t="shared" ref="AZ657:AZ660" si="3507">AY657-$AQ657</f>
        <v>895261.65833333367</v>
      </c>
      <c r="BA657" s="39">
        <f t="shared" ref="BA657:BA660" si="3508">AZ657-$AQ657</f>
        <v>892174.54916666704</v>
      </c>
      <c r="BB657" s="39">
        <f t="shared" ref="BB657:BB660" si="3509">BA657-$AQ657</f>
        <v>889087.44000000041</v>
      </c>
      <c r="BC657" s="39">
        <f t="shared" ref="BC657:BC660" si="3510">BB657-$AQ657</f>
        <v>886000.33083333378</v>
      </c>
      <c r="BD657" s="39">
        <f t="shared" ref="BD657:BD660" si="3511">BC657-$AQ657</f>
        <v>882913.22166666714</v>
      </c>
      <c r="BE657" s="39">
        <f t="shared" ref="BE657:BE660" si="3512">BD657-$AQ657</f>
        <v>879826.11250000051</v>
      </c>
      <c r="BF657" s="39">
        <f t="shared" ref="BF657:BF660" si="3513">BE657-$AQ657</f>
        <v>876739.00333333388</v>
      </c>
      <c r="BG657" s="236">
        <f t="shared" si="3346"/>
        <v>19695.756483333338</v>
      </c>
      <c r="BH657" s="7">
        <v>3087.1091666666666</v>
      </c>
      <c r="BI657" s="7">
        <f t="shared" si="3342"/>
        <v>37045.31</v>
      </c>
      <c r="BJ657" s="7">
        <f t="shared" si="3457"/>
        <v>873651.89416666725</v>
      </c>
      <c r="BK657" s="39">
        <f>BJ657-$AQ657</f>
        <v>870564.78500000061</v>
      </c>
      <c r="BL657" s="39">
        <f t="shared" si="3328"/>
        <v>867477.67583333398</v>
      </c>
      <c r="BM657" s="39">
        <f t="shared" si="3467"/>
        <v>864390.56666666735</v>
      </c>
      <c r="BN657" s="39">
        <f t="shared" si="3458"/>
        <v>861303.45750000072</v>
      </c>
      <c r="BO657" s="39">
        <f t="shared" si="3459"/>
        <v>858216.34833333408</v>
      </c>
      <c r="BP657" s="39">
        <f t="shared" si="3460"/>
        <v>855129.23916666745</v>
      </c>
      <c r="BQ657" s="39">
        <f t="shared" si="3461"/>
        <v>852042.13000000082</v>
      </c>
      <c r="BR657" s="39">
        <f t="shared" si="3462"/>
        <v>848955.02083333419</v>
      </c>
      <c r="BS657" s="39">
        <f t="shared" si="3463"/>
        <v>845867.91166666755</v>
      </c>
      <c r="BT657" s="39">
        <f t="shared" si="3464"/>
        <v>842780.80250000092</v>
      </c>
      <c r="BU657" s="39">
        <f t="shared" si="3465"/>
        <v>839693.69333333429</v>
      </c>
      <c r="BV657" s="236">
        <f t="shared" si="3484"/>
        <v>18880.759663333349</v>
      </c>
      <c r="BW657" s="7">
        <v>3087.1091666666666</v>
      </c>
      <c r="BX657" s="7">
        <f t="shared" si="3385"/>
        <v>37045.31</v>
      </c>
      <c r="BY657" s="7">
        <f t="shared" si="3343"/>
        <v>836606.58416666766</v>
      </c>
      <c r="BZ657" s="39">
        <f>BY657-$AQ657</f>
        <v>833519.47500000102</v>
      </c>
      <c r="CA657" s="39">
        <f t="shared" si="3330"/>
        <v>830432.36583333439</v>
      </c>
      <c r="CB657" s="39">
        <f t="shared" si="3468"/>
        <v>827345.25666666776</v>
      </c>
      <c r="CC657" s="39">
        <f t="shared" si="3352"/>
        <v>824258.14750000113</v>
      </c>
      <c r="CD657" s="39">
        <f t="shared" si="3353"/>
        <v>821171.03833333449</v>
      </c>
      <c r="CE657" s="39">
        <f t="shared" si="3354"/>
        <v>818083.92916666786</v>
      </c>
      <c r="CF657" s="39">
        <f t="shared" si="3355"/>
        <v>814996.82000000123</v>
      </c>
      <c r="CG657" s="39">
        <f t="shared" si="3356"/>
        <v>811909.7108333346</v>
      </c>
      <c r="CH657" s="39">
        <f t="shared" si="3357"/>
        <v>808822.60166666796</v>
      </c>
      <c r="CI657" s="39">
        <f t="shared" si="3358"/>
        <v>805735.49250000133</v>
      </c>
      <c r="CJ657" s="39">
        <f t="shared" si="3359"/>
        <v>802648.3833333347</v>
      </c>
      <c r="CK657" s="236">
        <f>IF(BB657&lt;1,0,SUM(BY657:CJ657,BU657)/13*$BG$1)</f>
        <v>18065.762843333359</v>
      </c>
      <c r="CL657" s="7">
        <v>3087.1091666666666</v>
      </c>
      <c r="CM657" s="7">
        <f t="shared" si="3386"/>
        <v>37045.31</v>
      </c>
      <c r="CN657" s="7">
        <f t="shared" si="3387"/>
        <v>799561.27416666807</v>
      </c>
      <c r="CO657" s="39">
        <f>CN657-$AQ657</f>
        <v>796474.16500000143</v>
      </c>
      <c r="CP657" s="39">
        <f t="shared" si="3360"/>
        <v>793387.0558333348</v>
      </c>
      <c r="CQ657" s="39">
        <f t="shared" si="3469"/>
        <v>790299.94666666817</v>
      </c>
      <c r="CR657" s="39">
        <f t="shared" si="3362"/>
        <v>787212.83750000154</v>
      </c>
      <c r="CS657" s="39">
        <f t="shared" si="3388"/>
        <v>784125.7283333349</v>
      </c>
      <c r="CT657" s="39">
        <f t="shared" si="3389"/>
        <v>781038.61916666827</v>
      </c>
      <c r="CU657" s="39">
        <f t="shared" si="3390"/>
        <v>777951.51000000164</v>
      </c>
      <c r="CV657" s="39">
        <f t="shared" si="3391"/>
        <v>774864.40083333501</v>
      </c>
      <c r="CW657" s="39">
        <f t="shared" si="3392"/>
        <v>771777.29166666837</v>
      </c>
      <c r="CX657" s="39">
        <f t="shared" si="3393"/>
        <v>768690.18250000174</v>
      </c>
      <c r="CY657" s="39">
        <f t="shared" si="3394"/>
        <v>765603.07333333511</v>
      </c>
      <c r="CZ657" s="236">
        <f>IF(BQ657&lt;1,0,SUM(CN657:CY657,CJ657)/13*$BG$1)</f>
        <v>17250.766023333366</v>
      </c>
    </row>
    <row r="658" spans="1:104" ht="24" customHeight="1" x14ac:dyDescent="0.2">
      <c r="A658" s="154" t="s">
        <v>2633</v>
      </c>
      <c r="B658" s="185" t="s">
        <v>2638</v>
      </c>
      <c r="C658" t="s">
        <v>41</v>
      </c>
      <c r="D658" s="42" t="s">
        <v>42</v>
      </c>
      <c r="E658" s="233">
        <v>45169</v>
      </c>
      <c r="F658" s="42" t="s">
        <v>44</v>
      </c>
      <c r="G658" s="186">
        <v>180</v>
      </c>
      <c r="H658" s="11"/>
      <c r="K658" s="8">
        <v>1</v>
      </c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219">
        <f>AK658/G658</f>
        <v>4942.5841666666665</v>
      </c>
      <c r="AC658" s="44">
        <f>AB658*4</f>
        <v>19770.336666666666</v>
      </c>
      <c r="AD658" s="7"/>
      <c r="AE658" s="7"/>
      <c r="AF658" s="7"/>
      <c r="AG658" s="7"/>
      <c r="AH658" s="7"/>
      <c r="AI658" s="7"/>
      <c r="AJ658" s="39"/>
      <c r="AK658" s="39">
        <v>889665.15</v>
      </c>
      <c r="AL658" s="39">
        <f t="shared" ref="AL658:AN658" si="3514">AK658-$AB658</f>
        <v>884722.56583333341</v>
      </c>
      <c r="AM658" s="39">
        <f t="shared" si="3514"/>
        <v>879779.9816666668</v>
      </c>
      <c r="AN658" s="39">
        <f t="shared" si="3514"/>
        <v>874837.3975000002</v>
      </c>
      <c r="AO658" s="39">
        <f>AN658-$AB658</f>
        <v>869894.81333333359</v>
      </c>
      <c r="AP658" s="222">
        <f t="shared" si="3502"/>
        <v>7444.2921525641032</v>
      </c>
      <c r="AQ658" s="7">
        <v>4942.5841666666665</v>
      </c>
      <c r="AR658" s="7">
        <f t="shared" si="3418"/>
        <v>4942.5841666666092</v>
      </c>
      <c r="AS658" s="7">
        <f t="shared" si="3419"/>
        <v>-5.7298166211694479E-11</v>
      </c>
      <c r="AT658" s="7">
        <f>AQ658*12</f>
        <v>59311.009999999995</v>
      </c>
      <c r="AU658" s="39">
        <f t="shared" si="3456"/>
        <v>864952.22916666698</v>
      </c>
      <c r="AV658" s="39">
        <f>AU658-$AQ658</f>
        <v>860009.64500000037</v>
      </c>
      <c r="AW658" s="39">
        <f t="shared" si="3504"/>
        <v>855067.06083333376</v>
      </c>
      <c r="AX658" s="39">
        <f t="shared" si="3505"/>
        <v>850124.47666666715</v>
      </c>
      <c r="AY658" s="39">
        <f t="shared" si="3506"/>
        <v>845181.89250000054</v>
      </c>
      <c r="AZ658" s="39">
        <f t="shared" si="3507"/>
        <v>840239.30833333393</v>
      </c>
      <c r="BA658" s="39">
        <f t="shared" si="3508"/>
        <v>835296.72416666732</v>
      </c>
      <c r="BB658" s="39">
        <f t="shared" si="3509"/>
        <v>830354.14000000071</v>
      </c>
      <c r="BC658" s="39">
        <f t="shared" si="3510"/>
        <v>825411.5558333341</v>
      </c>
      <c r="BD658" s="39">
        <f t="shared" si="3511"/>
        <v>820468.97166666749</v>
      </c>
      <c r="BE658" s="39">
        <f t="shared" si="3512"/>
        <v>815526.38750000088</v>
      </c>
      <c r="BF658" s="39">
        <f t="shared" si="3513"/>
        <v>810583.80333333428</v>
      </c>
      <c r="BG658" s="236">
        <f t="shared" si="3346"/>
        <v>18485.264783333347</v>
      </c>
      <c r="BH658" s="7">
        <v>4942.5841666666665</v>
      </c>
      <c r="BI658" s="7">
        <f t="shared" si="3342"/>
        <v>59311.009999999995</v>
      </c>
      <c r="BJ658" s="7">
        <f t="shared" si="3457"/>
        <v>805641.21916666767</v>
      </c>
      <c r="BK658" s="39">
        <f>BJ658-$AQ658</f>
        <v>800698.63500000106</v>
      </c>
      <c r="BL658" s="39">
        <f t="shared" si="3328"/>
        <v>795756.05083333445</v>
      </c>
      <c r="BM658" s="39">
        <f t="shared" si="3467"/>
        <v>790813.46666666784</v>
      </c>
      <c r="BN658" s="39">
        <f t="shared" si="3458"/>
        <v>785870.88250000123</v>
      </c>
      <c r="BO658" s="39">
        <f t="shared" si="3459"/>
        <v>780928.29833333462</v>
      </c>
      <c r="BP658" s="39">
        <f t="shared" si="3460"/>
        <v>775985.71416666801</v>
      </c>
      <c r="BQ658" s="39">
        <f t="shared" si="3461"/>
        <v>771043.1300000014</v>
      </c>
      <c r="BR658" s="39">
        <f t="shared" si="3462"/>
        <v>766100.54583333479</v>
      </c>
      <c r="BS658" s="39">
        <f t="shared" si="3463"/>
        <v>761157.96166666818</v>
      </c>
      <c r="BT658" s="39">
        <f t="shared" si="3464"/>
        <v>756215.37750000157</v>
      </c>
      <c r="BU658" s="39">
        <f t="shared" si="3465"/>
        <v>751272.79333333496</v>
      </c>
      <c r="BV658" s="236">
        <f t="shared" si="3484"/>
        <v>17180.422563333359</v>
      </c>
      <c r="BW658" s="7">
        <v>4942.5841666666665</v>
      </c>
      <c r="BX658" s="7">
        <f t="shared" si="3385"/>
        <v>59311.009999999995</v>
      </c>
      <c r="BY658" s="7">
        <f t="shared" si="3343"/>
        <v>746330.20916666836</v>
      </c>
      <c r="BZ658" s="39">
        <f>BY658-$AQ658</f>
        <v>741387.62500000175</v>
      </c>
      <c r="CA658" s="39">
        <f t="shared" si="3330"/>
        <v>736445.04083333514</v>
      </c>
      <c r="CB658" s="39">
        <f t="shared" si="3468"/>
        <v>731502.45666666853</v>
      </c>
      <c r="CC658" s="39">
        <f t="shared" si="3352"/>
        <v>726559.87250000192</v>
      </c>
      <c r="CD658" s="39">
        <f t="shared" si="3353"/>
        <v>721617.28833333531</v>
      </c>
      <c r="CE658" s="39">
        <f t="shared" si="3354"/>
        <v>716674.7041666687</v>
      </c>
      <c r="CF658" s="39">
        <f t="shared" si="3355"/>
        <v>711732.12000000209</v>
      </c>
      <c r="CG658" s="39">
        <f t="shared" si="3356"/>
        <v>706789.53583333548</v>
      </c>
      <c r="CH658" s="39">
        <f t="shared" si="3357"/>
        <v>701846.95166666887</v>
      </c>
      <c r="CI658" s="39">
        <f t="shared" si="3358"/>
        <v>696904.36750000226</v>
      </c>
      <c r="CJ658" s="39">
        <f t="shared" si="3359"/>
        <v>691961.78333333565</v>
      </c>
      <c r="CK658" s="236">
        <f>IF(BB658&lt;1,0,SUM(BY658:CJ658,BU658)/13*$BG$1)</f>
        <v>15875.580343333377</v>
      </c>
      <c r="CL658" s="7">
        <v>4942.5841666666665</v>
      </c>
      <c r="CM658" s="7">
        <f t="shared" si="3386"/>
        <v>59311.009999999995</v>
      </c>
      <c r="CN658" s="7">
        <f t="shared" si="3387"/>
        <v>687019.19916666904</v>
      </c>
      <c r="CO658" s="39">
        <f>CN658-$AQ658</f>
        <v>682076.61500000244</v>
      </c>
      <c r="CP658" s="39">
        <f t="shared" si="3360"/>
        <v>677134.03083333583</v>
      </c>
      <c r="CQ658" s="39">
        <f t="shared" si="3469"/>
        <v>672191.44666666922</v>
      </c>
      <c r="CR658" s="39">
        <f t="shared" si="3362"/>
        <v>667248.86250000261</v>
      </c>
      <c r="CS658" s="39">
        <f t="shared" si="3388"/>
        <v>662306.278333336</v>
      </c>
      <c r="CT658" s="39">
        <f t="shared" si="3389"/>
        <v>657363.69416666939</v>
      </c>
      <c r="CU658" s="39">
        <f t="shared" si="3390"/>
        <v>652421.11000000278</v>
      </c>
      <c r="CV658" s="39">
        <f t="shared" si="3391"/>
        <v>647478.52583333617</v>
      </c>
      <c r="CW658" s="39">
        <f t="shared" si="3392"/>
        <v>642535.94166666956</v>
      </c>
      <c r="CX658" s="39">
        <f t="shared" si="3393"/>
        <v>637593.35750000295</v>
      </c>
      <c r="CY658" s="39">
        <f t="shared" si="3394"/>
        <v>632650.77333333634</v>
      </c>
      <c r="CZ658" s="236">
        <f>IF(BQ658&lt;1,0,SUM(CN658:CY658,CJ658)/13*$BG$1)</f>
        <v>14570.738123333391</v>
      </c>
    </row>
    <row r="659" spans="1:104" ht="24" customHeight="1" x14ac:dyDescent="0.2">
      <c r="A659" s="154" t="s">
        <v>2634</v>
      </c>
      <c r="B659" s="185" t="s">
        <v>2639</v>
      </c>
      <c r="C659" t="s">
        <v>41</v>
      </c>
      <c r="D659" s="42" t="s">
        <v>42</v>
      </c>
      <c r="E659" s="233">
        <v>45184</v>
      </c>
      <c r="F659" s="42" t="s">
        <v>44</v>
      </c>
      <c r="G659" s="186">
        <v>180</v>
      </c>
      <c r="H659" s="11"/>
      <c r="K659" s="8">
        <v>1</v>
      </c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219">
        <f>AL659/G659</f>
        <v>6965.9933888888891</v>
      </c>
      <c r="AC659" s="44">
        <f>AB659*3</f>
        <v>20897.980166666668</v>
      </c>
      <c r="AD659" s="7"/>
      <c r="AE659" s="7"/>
      <c r="AF659" s="7"/>
      <c r="AG659" s="7"/>
      <c r="AH659" s="7"/>
      <c r="AI659" s="7"/>
      <c r="AJ659" s="39"/>
      <c r="AK659" s="39"/>
      <c r="AL659" s="39">
        <v>1253878.81</v>
      </c>
      <c r="AM659" s="39">
        <f t="shared" ref="AM659:AO659" si="3515">AL659-$AB659</f>
        <v>1246912.8166111112</v>
      </c>
      <c r="AN659" s="39">
        <f t="shared" si="3515"/>
        <v>1239946.8232222223</v>
      </c>
      <c r="AO659" s="39">
        <f t="shared" si="3515"/>
        <v>1232980.8298333334</v>
      </c>
      <c r="AP659" s="222">
        <f t="shared" si="3502"/>
        <v>8417.0633963589735</v>
      </c>
      <c r="AQ659" s="7">
        <v>6965.9933888888891</v>
      </c>
      <c r="AR659" s="7">
        <f t="shared" si="3418"/>
        <v>6965.9933888888918</v>
      </c>
      <c r="AS659" s="7">
        <f t="shared" si="3419"/>
        <v>0</v>
      </c>
      <c r="AT659" s="7">
        <f>AQ659*12</f>
        <v>83591.920666666672</v>
      </c>
      <c r="AU659" s="39">
        <f t="shared" si="3456"/>
        <v>1226014.8364444445</v>
      </c>
      <c r="AV659" s="39">
        <f>AU659-$AQ659</f>
        <v>1219048.8430555556</v>
      </c>
      <c r="AW659" s="39">
        <f t="shared" ref="AW659:BE659" si="3516">AV659-$AQ659</f>
        <v>1212082.8496666667</v>
      </c>
      <c r="AX659" s="39">
        <f t="shared" si="3516"/>
        <v>1205116.8562777778</v>
      </c>
      <c r="AY659" s="39">
        <f t="shared" si="3516"/>
        <v>1198150.8628888889</v>
      </c>
      <c r="AZ659" s="39">
        <f t="shared" si="3516"/>
        <v>1191184.8695</v>
      </c>
      <c r="BA659" s="39">
        <f t="shared" si="3516"/>
        <v>1184218.8761111111</v>
      </c>
      <c r="BB659" s="39">
        <f t="shared" si="3516"/>
        <v>1177252.8827222222</v>
      </c>
      <c r="BC659" s="39">
        <f t="shared" si="3516"/>
        <v>1170286.8893333334</v>
      </c>
      <c r="BD659" s="39">
        <f t="shared" si="3516"/>
        <v>1163320.8959444445</v>
      </c>
      <c r="BE659" s="39">
        <f t="shared" si="3516"/>
        <v>1156354.9025555556</v>
      </c>
      <c r="BF659" s="39">
        <f t="shared" si="3513"/>
        <v>1149388.9091666667</v>
      </c>
      <c r="BG659" s="236">
        <f t="shared" si="3346"/>
        <v>26206.067128999995</v>
      </c>
      <c r="BH659" s="7">
        <v>6965.9933888888891</v>
      </c>
      <c r="BI659" s="7">
        <f t="shared" si="3342"/>
        <v>83591.920666666672</v>
      </c>
      <c r="BJ659" s="7">
        <f t="shared" si="3457"/>
        <v>1142422.9157777778</v>
      </c>
      <c r="BK659" s="39">
        <f>BJ659-$AQ659</f>
        <v>1135456.9223888889</v>
      </c>
      <c r="BL659" s="39">
        <f t="shared" si="3328"/>
        <v>1128490.929</v>
      </c>
      <c r="BM659" s="39">
        <f t="shared" si="3467"/>
        <v>1121524.9356111111</v>
      </c>
      <c r="BN659" s="39">
        <f t="shared" si="3458"/>
        <v>1114558.9422222222</v>
      </c>
      <c r="BO659" s="39">
        <f t="shared" si="3459"/>
        <v>1107592.9488333333</v>
      </c>
      <c r="BP659" s="39">
        <f t="shared" si="3460"/>
        <v>1100626.9554444444</v>
      </c>
      <c r="BQ659" s="39">
        <f t="shared" si="3461"/>
        <v>1093660.9620555555</v>
      </c>
      <c r="BR659" s="39">
        <f t="shared" si="3462"/>
        <v>1086694.9686666667</v>
      </c>
      <c r="BS659" s="39">
        <f t="shared" si="3463"/>
        <v>1079728.9752777778</v>
      </c>
      <c r="BT659" s="39">
        <f t="shared" si="3464"/>
        <v>1072762.9818888889</v>
      </c>
      <c r="BU659" s="39">
        <f t="shared" si="3465"/>
        <v>1065796.9885</v>
      </c>
      <c r="BV659" s="236">
        <f>IF(AL659&lt;1,0,SUM(BJ659:BU659,BF659)/13*$BG$1)</f>
        <v>24367.044874333325</v>
      </c>
      <c r="BW659" s="7">
        <v>6965.9933888888891</v>
      </c>
      <c r="BX659" s="7">
        <f t="shared" si="3385"/>
        <v>83591.920666666672</v>
      </c>
      <c r="BY659" s="7">
        <f t="shared" si="3343"/>
        <v>1058830.9951111111</v>
      </c>
      <c r="BZ659" s="39">
        <f>BY659-$AQ659</f>
        <v>1051865.0017222222</v>
      </c>
      <c r="CA659" s="39">
        <f t="shared" si="3330"/>
        <v>1044899.0083333333</v>
      </c>
      <c r="CB659" s="39">
        <f t="shared" si="3468"/>
        <v>1037933.0149444444</v>
      </c>
      <c r="CC659" s="39">
        <f t="shared" si="3352"/>
        <v>1030967.0215555555</v>
      </c>
      <c r="CD659" s="39">
        <f t="shared" si="3353"/>
        <v>1024001.0281666666</v>
      </c>
      <c r="CE659" s="39">
        <f t="shared" si="3354"/>
        <v>1017035.0347777777</v>
      </c>
      <c r="CF659" s="39">
        <f t="shared" si="3355"/>
        <v>1010069.0413888888</v>
      </c>
      <c r="CG659" s="39">
        <f t="shared" si="3356"/>
        <v>1003103.048</v>
      </c>
      <c r="CH659" s="39">
        <f t="shared" si="3357"/>
        <v>996137.05461111106</v>
      </c>
      <c r="CI659" s="39">
        <f t="shared" si="3358"/>
        <v>989171.06122222217</v>
      </c>
      <c r="CJ659" s="39">
        <f t="shared" si="3359"/>
        <v>982205.06783333328</v>
      </c>
      <c r="CK659" s="236">
        <f>IF(BC659&lt;1,0,SUM(BY659:CJ659,BU659)/13*$BG$1)</f>
        <v>22528.022619666659</v>
      </c>
      <c r="CL659" s="7">
        <v>6965.9933888888891</v>
      </c>
      <c r="CM659" s="7">
        <f t="shared" si="3386"/>
        <v>83591.920666666672</v>
      </c>
      <c r="CN659" s="7">
        <f t="shared" si="3387"/>
        <v>975239.07444444438</v>
      </c>
      <c r="CO659" s="39">
        <f>CN659-$AQ659</f>
        <v>968273.08105555549</v>
      </c>
      <c r="CP659" s="39">
        <f t="shared" si="3360"/>
        <v>961307.0876666666</v>
      </c>
      <c r="CQ659" s="39">
        <f t="shared" si="3469"/>
        <v>954341.09427777771</v>
      </c>
      <c r="CR659" s="39">
        <f t="shared" si="3362"/>
        <v>947375.10088888882</v>
      </c>
      <c r="CS659" s="39">
        <f t="shared" si="3388"/>
        <v>940409.10749999993</v>
      </c>
      <c r="CT659" s="39">
        <f t="shared" si="3389"/>
        <v>933443.11411111103</v>
      </c>
      <c r="CU659" s="39">
        <f t="shared" si="3390"/>
        <v>926477.12072222214</v>
      </c>
      <c r="CV659" s="39">
        <f t="shared" si="3391"/>
        <v>919511.12733333325</v>
      </c>
      <c r="CW659" s="39">
        <f t="shared" si="3392"/>
        <v>912545.13394444436</v>
      </c>
      <c r="CX659" s="39">
        <f t="shared" si="3393"/>
        <v>905579.14055555547</v>
      </c>
      <c r="CY659" s="39">
        <f t="shared" si="3394"/>
        <v>898613.14716666657</v>
      </c>
      <c r="CZ659" s="236">
        <f>IF(BR659&lt;1,0,SUM(CN659:CY659,CJ659)/13*$BG$1)</f>
        <v>20689.000364999996</v>
      </c>
    </row>
    <row r="660" spans="1:104" ht="24" customHeight="1" x14ac:dyDescent="0.2">
      <c r="A660" s="154" t="s">
        <v>2635</v>
      </c>
      <c r="B660" s="185" t="s">
        <v>2640</v>
      </c>
      <c r="C660" t="s">
        <v>41</v>
      </c>
      <c r="D660" s="42" t="s">
        <v>42</v>
      </c>
      <c r="E660" s="233">
        <v>45197</v>
      </c>
      <c r="F660" s="42" t="s">
        <v>44</v>
      </c>
      <c r="G660" s="186">
        <v>180</v>
      </c>
      <c r="H660" s="11"/>
      <c r="K660" s="8">
        <v>1</v>
      </c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219">
        <f>AL660/G660</f>
        <v>1759.1336111111111</v>
      </c>
      <c r="AC660" s="44">
        <f>AB660*3</f>
        <v>5277.4008333333331</v>
      </c>
      <c r="AD660" s="7"/>
      <c r="AE660" s="7"/>
      <c r="AF660" s="7"/>
      <c r="AG660" s="7"/>
      <c r="AH660" s="7"/>
      <c r="AI660" s="7"/>
      <c r="AJ660" s="39"/>
      <c r="AK660" s="39"/>
      <c r="AL660" s="39">
        <v>316644.05</v>
      </c>
      <c r="AM660" s="39">
        <f t="shared" ref="AM660:AO660" si="3517">AL660-$AB660</f>
        <v>314884.9163888889</v>
      </c>
      <c r="AN660" s="39">
        <f t="shared" si="3517"/>
        <v>313125.78277777781</v>
      </c>
      <c r="AO660" s="39">
        <f t="shared" si="3517"/>
        <v>311366.64916666673</v>
      </c>
      <c r="AP660" s="222">
        <f t="shared" si="3502"/>
        <v>2125.5746741025641</v>
      </c>
      <c r="AQ660" s="7">
        <v>1759.1336111111111</v>
      </c>
      <c r="AR660" s="7">
        <f t="shared" si="3418"/>
        <v>1759.1336111110868</v>
      </c>
      <c r="AS660" s="7">
        <f t="shared" si="3419"/>
        <v>-2.432898327242583E-11</v>
      </c>
      <c r="AT660" s="7">
        <f>AQ660*12</f>
        <v>21109.603333333333</v>
      </c>
      <c r="AU660" s="39">
        <f t="shared" si="3456"/>
        <v>309607.51555555564</v>
      </c>
      <c r="AV660" s="39">
        <f t="shared" ref="AV660" si="3518">AU660-$AQ660</f>
        <v>307848.38194444455</v>
      </c>
      <c r="AW660" s="39">
        <f>AV660-$AQ660</f>
        <v>306089.24833333347</v>
      </c>
      <c r="AX660" s="39">
        <f t="shared" si="3505"/>
        <v>304330.11472222238</v>
      </c>
      <c r="AY660" s="39">
        <f t="shared" si="3506"/>
        <v>302570.98111111129</v>
      </c>
      <c r="AZ660" s="39">
        <f t="shared" si="3507"/>
        <v>300811.84750000021</v>
      </c>
      <c r="BA660" s="39">
        <f t="shared" si="3508"/>
        <v>299052.71388888912</v>
      </c>
      <c r="BB660" s="39">
        <f t="shared" si="3509"/>
        <v>297293.58027777803</v>
      </c>
      <c r="BC660" s="39">
        <f t="shared" si="3510"/>
        <v>295534.44666666695</v>
      </c>
      <c r="BD660" s="39">
        <f t="shared" si="3511"/>
        <v>293775.31305555586</v>
      </c>
      <c r="BE660" s="39">
        <f t="shared" si="3512"/>
        <v>292016.17944444477</v>
      </c>
      <c r="BF660" s="39">
        <f t="shared" si="3513"/>
        <v>290257.04583333369</v>
      </c>
      <c r="BG660" s="236">
        <f t="shared" si="3346"/>
        <v>6617.8606450000043</v>
      </c>
      <c r="BH660" s="7">
        <v>1759.1336111111111</v>
      </c>
      <c r="BI660" s="7">
        <f t="shared" si="3342"/>
        <v>21109.603333333333</v>
      </c>
      <c r="BJ660" s="7">
        <f t="shared" si="3457"/>
        <v>288497.9122222226</v>
      </c>
      <c r="BK660" s="39">
        <f t="shared" ref="BK660:BK673" si="3519">BJ660-$AQ660</f>
        <v>286738.77861111151</v>
      </c>
      <c r="BL660" s="39">
        <f>BK660-$AQ660</f>
        <v>284979.64500000043</v>
      </c>
      <c r="BM660" s="39">
        <f t="shared" si="3467"/>
        <v>283220.51138888934</v>
      </c>
      <c r="BN660" s="39">
        <f t="shared" si="3458"/>
        <v>281461.37777777825</v>
      </c>
      <c r="BO660" s="39">
        <f t="shared" si="3459"/>
        <v>279702.24416666717</v>
      </c>
      <c r="BP660" s="39">
        <f t="shared" si="3460"/>
        <v>277943.11055555608</v>
      </c>
      <c r="BQ660" s="39">
        <f t="shared" si="3461"/>
        <v>276183.97694444499</v>
      </c>
      <c r="BR660" s="39">
        <f t="shared" si="3462"/>
        <v>274424.84333333391</v>
      </c>
      <c r="BS660" s="39">
        <f t="shared" si="3463"/>
        <v>272665.70972222282</v>
      </c>
      <c r="BT660" s="39">
        <f t="shared" si="3464"/>
        <v>270906.57611111173</v>
      </c>
      <c r="BU660" s="39">
        <f t="shared" si="3465"/>
        <v>269147.44250000064</v>
      </c>
      <c r="BV660" s="236">
        <f>IF(AL660&lt;1,0,SUM(BJ660:BU660,BF660)/13*$BG$1)</f>
        <v>6153.4493716666775</v>
      </c>
      <c r="BW660" s="7">
        <v>1759.1336111111111</v>
      </c>
      <c r="BX660" s="7">
        <f t="shared" si="3385"/>
        <v>21109.603333333333</v>
      </c>
      <c r="BY660" s="7">
        <f t="shared" si="3343"/>
        <v>267388.30888888956</v>
      </c>
      <c r="BZ660" s="39">
        <f t="shared" ref="BZ660:BZ673" si="3520">BY660-$AQ660</f>
        <v>265629.17527777847</v>
      </c>
      <c r="CA660" s="39">
        <f>BZ660-$AQ660</f>
        <v>263870.04166666738</v>
      </c>
      <c r="CB660" s="39">
        <f t="shared" si="3468"/>
        <v>262110.90805555627</v>
      </c>
      <c r="CC660" s="39">
        <f t="shared" si="3352"/>
        <v>260351.77444444515</v>
      </c>
      <c r="CD660" s="39">
        <f t="shared" si="3353"/>
        <v>258592.64083333404</v>
      </c>
      <c r="CE660" s="39">
        <f t="shared" si="3354"/>
        <v>256833.50722222292</v>
      </c>
      <c r="CF660" s="39">
        <f t="shared" si="3355"/>
        <v>255074.37361111181</v>
      </c>
      <c r="CG660" s="39">
        <f t="shared" si="3356"/>
        <v>253315.24000000069</v>
      </c>
      <c r="CH660" s="39">
        <f t="shared" si="3357"/>
        <v>251556.10638888957</v>
      </c>
      <c r="CI660" s="39">
        <f t="shared" si="3358"/>
        <v>249796.97277777846</v>
      </c>
      <c r="CJ660" s="39">
        <f t="shared" si="3359"/>
        <v>248037.83916666734</v>
      </c>
      <c r="CK660" s="236">
        <f>IF(BC660&lt;1,0,SUM(BY660:CJ660,BU660)/13*$BG$1)</f>
        <v>5689.0380983333489</v>
      </c>
      <c r="CL660" s="7">
        <v>1759.1336111111111</v>
      </c>
      <c r="CM660" s="7">
        <f t="shared" si="3386"/>
        <v>21109.603333333333</v>
      </c>
      <c r="CN660" s="7">
        <f t="shared" si="3387"/>
        <v>246278.70555555623</v>
      </c>
      <c r="CO660" s="39">
        <f t="shared" ref="CO660:CO673" si="3521">CN660-$AQ660</f>
        <v>244519.57194444511</v>
      </c>
      <c r="CP660" s="39">
        <f>CO660-$AQ660</f>
        <v>242760.43833333399</v>
      </c>
      <c r="CQ660" s="39">
        <f t="shared" si="3469"/>
        <v>241001.30472222288</v>
      </c>
      <c r="CR660" s="39">
        <f t="shared" si="3362"/>
        <v>239242.17111111176</v>
      </c>
      <c r="CS660" s="39">
        <f t="shared" si="3388"/>
        <v>237483.03750000065</v>
      </c>
      <c r="CT660" s="39">
        <f t="shared" si="3389"/>
        <v>235723.90388888953</v>
      </c>
      <c r="CU660" s="39">
        <f t="shared" si="3390"/>
        <v>233964.77027777841</v>
      </c>
      <c r="CV660" s="39">
        <f t="shared" si="3391"/>
        <v>232205.6366666673</v>
      </c>
      <c r="CW660" s="39">
        <f t="shared" si="3392"/>
        <v>230446.50305555618</v>
      </c>
      <c r="CX660" s="39">
        <f t="shared" si="3393"/>
        <v>228687.36944444507</v>
      </c>
      <c r="CY660" s="39">
        <f t="shared" si="3394"/>
        <v>226928.23583333395</v>
      </c>
      <c r="CZ660" s="236">
        <f>IF(BR660&lt;1,0,SUM(CN660:CY660,CJ660)/13*$BG$1)</f>
        <v>5224.6268250000148</v>
      </c>
    </row>
    <row r="661" spans="1:104" s="26" customFormat="1" ht="24" customHeight="1" x14ac:dyDescent="0.2">
      <c r="A661" s="154" t="s">
        <v>2644</v>
      </c>
      <c r="B661" s="185" t="s">
        <v>2645</v>
      </c>
      <c r="C661" s="26" t="s">
        <v>41</v>
      </c>
      <c r="D661" s="42" t="s">
        <v>42</v>
      </c>
      <c r="E661" s="233">
        <v>45205</v>
      </c>
      <c r="F661" s="42" t="s">
        <v>44</v>
      </c>
      <c r="G661" s="186">
        <v>180</v>
      </c>
      <c r="H661" s="39"/>
      <c r="K661" s="40">
        <v>1</v>
      </c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235">
        <f>AM661/G661</f>
        <v>665.52283333333332</v>
      </c>
      <c r="AC661" s="44">
        <f>AB661*2</f>
        <v>1331.0456666666666</v>
      </c>
      <c r="AD661" s="39"/>
      <c r="AE661" s="39"/>
      <c r="AF661" s="39"/>
      <c r="AG661" s="39"/>
      <c r="AH661" s="39"/>
      <c r="AI661" s="39"/>
      <c r="AJ661" s="39"/>
      <c r="AK661" s="39"/>
      <c r="AL661" s="39"/>
      <c r="AM661" s="39">
        <f>'08.03'!E20</f>
        <v>119794.11</v>
      </c>
      <c r="AN661" s="39">
        <f>AM661-$AB661</f>
        <v>119128.58716666666</v>
      </c>
      <c r="AO661" s="39">
        <f t="shared" ref="AO661:AO662" si="3522">AN661-$AB661</f>
        <v>118463.06433333333</v>
      </c>
      <c r="AP661" s="236">
        <f t="shared" si="3502"/>
        <v>604.80667330769234</v>
      </c>
      <c r="AQ661" s="39">
        <v>665.52283333333332</v>
      </c>
      <c r="AR661" s="7">
        <f t="shared" si="3418"/>
        <v>665.52283333333617</v>
      </c>
      <c r="AS661" s="7">
        <f t="shared" si="3419"/>
        <v>2.8421709430404007E-12</v>
      </c>
      <c r="AT661" s="39">
        <f t="shared" ref="AT661" si="3523">AQ661*12</f>
        <v>7986.2739999999994</v>
      </c>
      <c r="AU661" s="39">
        <f t="shared" si="3456"/>
        <v>117797.54149999999</v>
      </c>
      <c r="AV661" s="39">
        <f t="shared" ref="AV661:AV662" si="3524">AU661-$AQ661</f>
        <v>117132.01866666666</v>
      </c>
      <c r="AW661" s="39">
        <f t="shared" ref="AW661:AW662" si="3525">AV661-$AQ661</f>
        <v>116466.49583333332</v>
      </c>
      <c r="AX661" s="39">
        <f t="shared" ref="AX661:AX662" si="3526">AW661-$AQ661</f>
        <v>115800.97299999998</v>
      </c>
      <c r="AY661" s="39">
        <f t="shared" ref="AY661:AY662" si="3527">AX661-$AQ661</f>
        <v>115135.45016666665</v>
      </c>
      <c r="AZ661" s="39">
        <f t="shared" ref="AZ661:AZ662" si="3528">AY661-$AQ661</f>
        <v>114469.92733333331</v>
      </c>
      <c r="BA661" s="39">
        <f t="shared" ref="BA661:BA662" si="3529">AZ661-$AQ661</f>
        <v>113804.40449999998</v>
      </c>
      <c r="BB661" s="39">
        <f t="shared" ref="BB661:BB662" si="3530">BA661-$AQ661</f>
        <v>113138.88166666664</v>
      </c>
      <c r="BC661" s="39">
        <f t="shared" ref="BC661:BC662" si="3531">BB661-$AQ661</f>
        <v>112473.3588333333</v>
      </c>
      <c r="BD661" s="39">
        <f t="shared" ref="BD661:BD662" si="3532">BC661-$AQ661</f>
        <v>111807.83599999997</v>
      </c>
      <c r="BE661" s="39">
        <f t="shared" ref="BE661:BE662" si="3533">BD661-$AQ661</f>
        <v>111142.31316666663</v>
      </c>
      <c r="BF661" s="39">
        <f t="shared" ref="BF661:BF662" si="3534">BE661-$AQ661</f>
        <v>110476.79033333329</v>
      </c>
      <c r="BG661" s="236">
        <f t="shared" si="3346"/>
        <v>2518.3384013333325</v>
      </c>
      <c r="BH661" s="39">
        <v>665.52283333333332</v>
      </c>
      <c r="BI661" s="39">
        <f t="shared" si="3342"/>
        <v>7986.2739999999994</v>
      </c>
      <c r="BJ661" s="7">
        <f t="shared" si="3457"/>
        <v>109811.26749999996</v>
      </c>
      <c r="BK661" s="39">
        <f t="shared" si="3519"/>
        <v>109145.74466666662</v>
      </c>
      <c r="BL661" s="39">
        <f t="shared" ref="BL661:BL664" si="3535">BK661-$AQ661</f>
        <v>108480.22183333329</v>
      </c>
      <c r="BM661" s="39">
        <f t="shared" si="3467"/>
        <v>107814.69899999995</v>
      </c>
      <c r="BN661" s="39">
        <f t="shared" si="3458"/>
        <v>107149.17616666661</v>
      </c>
      <c r="BO661" s="39">
        <f t="shared" si="3459"/>
        <v>106483.65333333328</v>
      </c>
      <c r="BP661" s="39">
        <f t="shared" si="3460"/>
        <v>105818.13049999994</v>
      </c>
      <c r="BQ661" s="39">
        <f t="shared" si="3461"/>
        <v>105152.6076666666</v>
      </c>
      <c r="BR661" s="39">
        <f t="shared" si="3462"/>
        <v>104487.08483333327</v>
      </c>
      <c r="BS661" s="39">
        <f t="shared" si="3463"/>
        <v>103821.56199999993</v>
      </c>
      <c r="BT661" s="39">
        <f t="shared" si="3464"/>
        <v>103156.0391666666</v>
      </c>
      <c r="BU661" s="39">
        <f t="shared" si="3465"/>
        <v>102490.51633333326</v>
      </c>
      <c r="BV661" s="236">
        <f>IF(AM661&lt;1,0,SUM(BJ661:BU661,BF661)/13*$BG$1)</f>
        <v>2342.6403733333318</v>
      </c>
      <c r="BW661" s="39">
        <v>665.52283333333332</v>
      </c>
      <c r="BX661" s="39">
        <f t="shared" si="3385"/>
        <v>7986.2739999999994</v>
      </c>
      <c r="BY661" s="7">
        <f t="shared" si="3343"/>
        <v>101824.99349999992</v>
      </c>
      <c r="BZ661" s="39">
        <f t="shared" si="3520"/>
        <v>101159.47066666659</v>
      </c>
      <c r="CA661" s="39">
        <f t="shared" ref="CA661:CA664" si="3536">BZ661-$AQ661</f>
        <v>100493.94783333325</v>
      </c>
      <c r="CB661" s="39">
        <f t="shared" si="3468"/>
        <v>99828.424999999916</v>
      </c>
      <c r="CC661" s="39">
        <f t="shared" si="3352"/>
        <v>99162.902166666579</v>
      </c>
      <c r="CD661" s="39">
        <f t="shared" si="3353"/>
        <v>98497.379333333243</v>
      </c>
      <c r="CE661" s="39">
        <f t="shared" si="3354"/>
        <v>97831.856499999907</v>
      </c>
      <c r="CF661" s="39">
        <f t="shared" si="3355"/>
        <v>97166.333666666571</v>
      </c>
      <c r="CG661" s="39">
        <f t="shared" si="3356"/>
        <v>96500.810833333235</v>
      </c>
      <c r="CH661" s="39">
        <f t="shared" si="3357"/>
        <v>95835.287999999899</v>
      </c>
      <c r="CI661" s="39">
        <f t="shared" si="3358"/>
        <v>95169.765166666562</v>
      </c>
      <c r="CJ661" s="39">
        <f t="shared" si="3359"/>
        <v>94504.242333333226</v>
      </c>
      <c r="CK661" s="236">
        <f>IF(BD661&lt;1,0,SUM(BY661:CJ661,BU661)/13*$BG$1)</f>
        <v>2166.9423453333311</v>
      </c>
      <c r="CL661" s="39">
        <v>665.52283333333332</v>
      </c>
      <c r="CM661" s="39">
        <f t="shared" si="3386"/>
        <v>7986.2739999999994</v>
      </c>
      <c r="CN661" s="7">
        <f t="shared" si="3387"/>
        <v>93838.71949999989</v>
      </c>
      <c r="CO661" s="39">
        <f t="shared" si="3521"/>
        <v>93173.196666666554</v>
      </c>
      <c r="CP661" s="39">
        <f t="shared" ref="CP661:CP664" si="3537">CO661-$AQ661</f>
        <v>92507.673833333218</v>
      </c>
      <c r="CQ661" s="39">
        <f t="shared" si="3469"/>
        <v>91842.150999999882</v>
      </c>
      <c r="CR661" s="39">
        <f t="shared" si="3362"/>
        <v>91176.628166666545</v>
      </c>
      <c r="CS661" s="39">
        <f t="shared" si="3388"/>
        <v>90511.105333333209</v>
      </c>
      <c r="CT661" s="39">
        <f t="shared" si="3389"/>
        <v>89845.582499999873</v>
      </c>
      <c r="CU661" s="39">
        <f t="shared" si="3390"/>
        <v>89180.059666666537</v>
      </c>
      <c r="CV661" s="39">
        <f t="shared" si="3391"/>
        <v>88514.536833333201</v>
      </c>
      <c r="CW661" s="39">
        <f t="shared" si="3392"/>
        <v>87849.013999999865</v>
      </c>
      <c r="CX661" s="39">
        <f t="shared" si="3393"/>
        <v>87183.491166666528</v>
      </c>
      <c r="CY661" s="39">
        <f t="shared" si="3394"/>
        <v>86517.968333333192</v>
      </c>
      <c r="CZ661" s="236">
        <f>IF(BS661&lt;1,0,SUM(CN661:CY661,CJ661)/13*$BG$1)</f>
        <v>1991.2443173333304</v>
      </c>
    </row>
    <row r="662" spans="1:104" s="26" customFormat="1" ht="24" customHeight="1" x14ac:dyDescent="0.2">
      <c r="A662" s="231" t="s">
        <v>2646</v>
      </c>
      <c r="B662" s="185" t="s">
        <v>2647</v>
      </c>
      <c r="C662" s="26" t="s">
        <v>30</v>
      </c>
      <c r="D662" s="42" t="s">
        <v>23</v>
      </c>
      <c r="E662" s="184">
        <v>45212</v>
      </c>
      <c r="F662" s="42" t="s">
        <v>31</v>
      </c>
      <c r="G662" s="186">
        <v>180</v>
      </c>
      <c r="H662" s="39"/>
      <c r="K662" s="40">
        <v>0</v>
      </c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235">
        <f>AM662/G662</f>
        <v>598.87288888888884</v>
      </c>
      <c r="AC662" s="44">
        <f>AB662*2</f>
        <v>1197.7457777777777</v>
      </c>
      <c r="AD662" s="39"/>
      <c r="AE662" s="39"/>
      <c r="AF662" s="39"/>
      <c r="AG662" s="39"/>
      <c r="AH662" s="39"/>
      <c r="AI662" s="39"/>
      <c r="AJ662" s="39"/>
      <c r="AK662" s="39"/>
      <c r="AL662" s="39"/>
      <c r="AM662" s="39">
        <f>'08.03'!E61</f>
        <v>107797.12</v>
      </c>
      <c r="AN662" s="39">
        <f t="shared" ref="AN662" si="3538">AM662-$AB662</f>
        <v>107198.24711111111</v>
      </c>
      <c r="AO662" s="39">
        <f t="shared" si="3522"/>
        <v>106599.37422222222</v>
      </c>
      <c r="AP662" s="236">
        <f t="shared" si="3502"/>
        <v>0</v>
      </c>
      <c r="AQ662" s="39">
        <v>598.87288888888884</v>
      </c>
      <c r="AR662" s="7">
        <f t="shared" si="3418"/>
        <v>598.87288888888725</v>
      </c>
      <c r="AS662" s="7">
        <f t="shared" si="3419"/>
        <v>-1.5916157281026244E-12</v>
      </c>
      <c r="AT662" s="39">
        <f>AQ662*12</f>
        <v>7186.4746666666661</v>
      </c>
      <c r="AU662" s="39">
        <f t="shared" si="3456"/>
        <v>106000.50133333333</v>
      </c>
      <c r="AV662" s="39">
        <f t="shared" si="3524"/>
        <v>105401.62844444445</v>
      </c>
      <c r="AW662" s="39">
        <f t="shared" si="3525"/>
        <v>104802.75555555556</v>
      </c>
      <c r="AX662" s="39">
        <f t="shared" si="3526"/>
        <v>104203.88266666667</v>
      </c>
      <c r="AY662" s="39">
        <f t="shared" si="3527"/>
        <v>103605.00977777778</v>
      </c>
      <c r="AZ662" s="39">
        <f t="shared" si="3528"/>
        <v>103006.1368888889</v>
      </c>
      <c r="BA662" s="39">
        <f t="shared" si="3529"/>
        <v>102407.26400000001</v>
      </c>
      <c r="BB662" s="39">
        <f t="shared" si="3530"/>
        <v>101808.39111111112</v>
      </c>
      <c r="BC662" s="39">
        <f t="shared" si="3531"/>
        <v>101209.51822222224</v>
      </c>
      <c r="BD662" s="39">
        <f t="shared" si="3532"/>
        <v>100610.64533333335</v>
      </c>
      <c r="BE662" s="39">
        <f t="shared" si="3533"/>
        <v>100011.77244444446</v>
      </c>
      <c r="BF662" s="39">
        <f t="shared" si="3534"/>
        <v>99412.899555555574</v>
      </c>
      <c r="BG662" s="236">
        <f t="shared" si="3346"/>
        <v>0</v>
      </c>
      <c r="BH662" s="39">
        <v>598.87288888888884</v>
      </c>
      <c r="BI662" s="39">
        <f t="shared" si="3342"/>
        <v>7186.4746666666661</v>
      </c>
      <c r="BJ662" s="7">
        <f t="shared" si="3457"/>
        <v>98814.026666666687</v>
      </c>
      <c r="BK662" s="39">
        <f t="shared" si="3519"/>
        <v>98215.153777777799</v>
      </c>
      <c r="BL662" s="39">
        <f t="shared" si="3535"/>
        <v>97616.280888888912</v>
      </c>
      <c r="BM662" s="39">
        <f t="shared" si="3467"/>
        <v>97017.408000000025</v>
      </c>
      <c r="BN662" s="39">
        <f t="shared" si="3458"/>
        <v>96418.535111111138</v>
      </c>
      <c r="BO662" s="39">
        <f t="shared" si="3459"/>
        <v>95819.66222222225</v>
      </c>
      <c r="BP662" s="39">
        <f t="shared" si="3460"/>
        <v>95220.789333333363</v>
      </c>
      <c r="BQ662" s="39">
        <f t="shared" si="3461"/>
        <v>94621.916444444476</v>
      </c>
      <c r="BR662" s="39">
        <f t="shared" si="3462"/>
        <v>94023.043555555589</v>
      </c>
      <c r="BS662" s="39">
        <f t="shared" si="3463"/>
        <v>93424.170666666701</v>
      </c>
      <c r="BT662" s="39">
        <f t="shared" si="3464"/>
        <v>92825.297777777814</v>
      </c>
      <c r="BU662" s="39">
        <f t="shared" si="3465"/>
        <v>92226.424888888927</v>
      </c>
      <c r="BV662" s="236">
        <v>0</v>
      </c>
      <c r="BW662" s="39">
        <v>598.87288888888884</v>
      </c>
      <c r="BX662" s="39">
        <f t="shared" si="3385"/>
        <v>7186.4746666666661</v>
      </c>
      <c r="BY662" s="7">
        <f t="shared" si="3343"/>
        <v>91627.55200000004</v>
      </c>
      <c r="BZ662" s="39">
        <f t="shared" si="3520"/>
        <v>91028.679111111152</v>
      </c>
      <c r="CA662" s="39">
        <f t="shared" si="3536"/>
        <v>90429.806222222265</v>
      </c>
      <c r="CB662" s="39">
        <f t="shared" si="3468"/>
        <v>89830.933333333378</v>
      </c>
      <c r="CC662" s="39">
        <f t="shared" si="3352"/>
        <v>89232.060444444491</v>
      </c>
      <c r="CD662" s="39">
        <f t="shared" si="3353"/>
        <v>88633.187555555603</v>
      </c>
      <c r="CE662" s="39">
        <f t="shared" si="3354"/>
        <v>88034.314666666716</v>
      </c>
      <c r="CF662" s="39">
        <f t="shared" si="3355"/>
        <v>87435.441777777829</v>
      </c>
      <c r="CG662" s="39">
        <f t="shared" si="3356"/>
        <v>86836.568888888942</v>
      </c>
      <c r="CH662" s="39">
        <f t="shared" si="3357"/>
        <v>86237.696000000054</v>
      </c>
      <c r="CI662" s="39">
        <f t="shared" si="3358"/>
        <v>85638.823111111167</v>
      </c>
      <c r="CJ662" s="39">
        <f t="shared" si="3359"/>
        <v>85039.95022222228</v>
      </c>
      <c r="CK662" s="236">
        <v>0</v>
      </c>
      <c r="CL662" s="39">
        <v>598.87288888888884</v>
      </c>
      <c r="CM662" s="39">
        <f t="shared" si="3386"/>
        <v>7186.4746666666661</v>
      </c>
      <c r="CN662" s="7">
        <f t="shared" si="3387"/>
        <v>84441.077333333393</v>
      </c>
      <c r="CO662" s="39">
        <f t="shared" si="3521"/>
        <v>83842.204444444505</v>
      </c>
      <c r="CP662" s="39">
        <f t="shared" si="3537"/>
        <v>83243.331555555618</v>
      </c>
      <c r="CQ662" s="39">
        <f t="shared" si="3469"/>
        <v>82644.458666666731</v>
      </c>
      <c r="CR662" s="39">
        <f t="shared" si="3362"/>
        <v>82045.585777777844</v>
      </c>
      <c r="CS662" s="39">
        <f t="shared" si="3388"/>
        <v>81446.712888888957</v>
      </c>
      <c r="CT662" s="39">
        <f t="shared" si="3389"/>
        <v>80847.840000000069</v>
      </c>
      <c r="CU662" s="39">
        <f t="shared" si="3390"/>
        <v>80248.967111111182</v>
      </c>
      <c r="CV662" s="39">
        <f t="shared" si="3391"/>
        <v>79650.094222222295</v>
      </c>
      <c r="CW662" s="39">
        <f t="shared" si="3392"/>
        <v>79051.221333333408</v>
      </c>
      <c r="CX662" s="39">
        <f t="shared" si="3393"/>
        <v>78452.34844444452</v>
      </c>
      <c r="CY662" s="39">
        <f t="shared" si="3394"/>
        <v>77853.475555555633</v>
      </c>
      <c r="CZ662" s="236">
        <v>0</v>
      </c>
    </row>
    <row r="663" spans="1:104" s="26" customFormat="1" ht="36.75" customHeight="1" x14ac:dyDescent="0.2">
      <c r="A663" s="231" t="s">
        <v>2648</v>
      </c>
      <c r="B663" s="185" t="s">
        <v>2650</v>
      </c>
      <c r="C663" t="s">
        <v>41</v>
      </c>
      <c r="D663" s="42" t="s">
        <v>42</v>
      </c>
      <c r="E663" s="233">
        <v>45222</v>
      </c>
      <c r="F663" s="42" t="s">
        <v>44</v>
      </c>
      <c r="G663" s="186">
        <v>180</v>
      </c>
      <c r="H663" s="39"/>
      <c r="K663" s="40">
        <v>1</v>
      </c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235">
        <f>AM663/G663</f>
        <v>1102.4766666666667</v>
      </c>
      <c r="AC663" s="44">
        <f>AB663*2</f>
        <v>2204.9533333333334</v>
      </c>
      <c r="AD663" s="39"/>
      <c r="AE663" s="39"/>
      <c r="AF663" s="39"/>
      <c r="AG663" s="39"/>
      <c r="AH663" s="39"/>
      <c r="AI663" s="39"/>
      <c r="AJ663" s="39"/>
      <c r="AK663" s="39"/>
      <c r="AL663" s="39"/>
      <c r="AM663" s="39">
        <f>'08.03'!E13</f>
        <v>198445.8</v>
      </c>
      <c r="AN663" s="39">
        <f t="shared" ref="AN663" si="3539">AM663-$AB663</f>
        <v>197343.32333333333</v>
      </c>
      <c r="AO663" s="39">
        <f t="shared" ref="AO663:AO665" si="3540">AN663-$AB663</f>
        <v>196240.84666666668</v>
      </c>
      <c r="AP663" s="236">
        <f t="shared" si="3502"/>
        <v>1001.8968723076923</v>
      </c>
      <c r="AQ663" s="39">
        <v>1102.5322222222221</v>
      </c>
      <c r="AR663" s="7">
        <f t="shared" si="3418"/>
        <v>1102.4766666666546</v>
      </c>
      <c r="AS663" s="7">
        <f t="shared" si="3419"/>
        <v>-5.5555555567480042E-2</v>
      </c>
      <c r="AT663" s="39">
        <f t="shared" ref="AT663:AT664" si="3541">AQ663*12</f>
        <v>13230.386666666665</v>
      </c>
      <c r="AU663" s="39">
        <f t="shared" si="3456"/>
        <v>195138.31444444446</v>
      </c>
      <c r="AV663" s="39">
        <f t="shared" ref="AV663:AV664" si="3542">AU663-$AQ663</f>
        <v>194035.78222222225</v>
      </c>
      <c r="AW663" s="39">
        <f t="shared" ref="AW663:AW664" si="3543">AV663-$AQ663</f>
        <v>192933.25000000003</v>
      </c>
      <c r="AX663" s="39">
        <f t="shared" ref="AX663:AX664" si="3544">AW663-$AQ663</f>
        <v>191830.71777777781</v>
      </c>
      <c r="AY663" s="39">
        <f t="shared" ref="AY663:AY664" si="3545">AX663-$AQ663</f>
        <v>190728.1855555556</v>
      </c>
      <c r="AZ663" s="39">
        <f t="shared" ref="AZ663:AZ664" si="3546">AY663-$AQ663</f>
        <v>189625.65333333338</v>
      </c>
      <c r="BA663" s="39">
        <f t="shared" ref="BA663:BA664" si="3547">AZ663-$AQ663</f>
        <v>188523.12111111116</v>
      </c>
      <c r="BB663" s="39">
        <f t="shared" ref="BB663:BB664" si="3548">BA663-$AQ663</f>
        <v>187420.58888888895</v>
      </c>
      <c r="BC663" s="39">
        <f t="shared" ref="BC663:BC664" si="3549">BB663-$AQ663</f>
        <v>186318.05666666673</v>
      </c>
      <c r="BD663" s="39">
        <f t="shared" ref="BD663:BD664" si="3550">BC663-$AQ663</f>
        <v>185215.52444444451</v>
      </c>
      <c r="BE663" s="39">
        <f t="shared" ref="BE663:BE664" si="3551">BD663-$AQ663</f>
        <v>184112.9922222223</v>
      </c>
      <c r="BF663" s="39">
        <f t="shared" ref="BF663:BF664" si="3552">BE663-$AQ663</f>
        <v>183010.46000000008</v>
      </c>
      <c r="BG663" s="236">
        <f t="shared" si="3346"/>
        <v>4171.7643733333343</v>
      </c>
      <c r="BH663" s="39">
        <v>1102.5322222222221</v>
      </c>
      <c r="BI663" s="39">
        <f t="shared" ref="BI663:BI681" si="3553">BH663*12</f>
        <v>13230.386666666665</v>
      </c>
      <c r="BJ663" s="7">
        <f t="shared" si="3457"/>
        <v>181907.92777777786</v>
      </c>
      <c r="BK663" s="39">
        <f t="shared" si="3519"/>
        <v>180805.39555555565</v>
      </c>
      <c r="BL663" s="39">
        <f t="shared" si="3535"/>
        <v>179702.86333333343</v>
      </c>
      <c r="BM663" s="39">
        <f t="shared" si="3467"/>
        <v>178600.33111111121</v>
      </c>
      <c r="BN663" s="39">
        <f t="shared" si="3458"/>
        <v>177497.798888889</v>
      </c>
      <c r="BO663" s="39">
        <f t="shared" si="3459"/>
        <v>176395.26666666678</v>
      </c>
      <c r="BP663" s="39">
        <f t="shared" si="3460"/>
        <v>175292.73444444456</v>
      </c>
      <c r="BQ663" s="39">
        <f t="shared" si="3461"/>
        <v>174190.20222222235</v>
      </c>
      <c r="BR663" s="39">
        <f t="shared" si="3462"/>
        <v>173087.67000000013</v>
      </c>
      <c r="BS663" s="39">
        <f t="shared" si="3463"/>
        <v>171985.13777777791</v>
      </c>
      <c r="BT663" s="39">
        <f t="shared" si="3464"/>
        <v>170882.6055555557</v>
      </c>
      <c r="BU663" s="39">
        <f t="shared" si="3465"/>
        <v>169780.07333333348</v>
      </c>
      <c r="BV663" s="236">
        <f t="shared" ref="BV663:BV670" si="3554">IF(AM663&lt;1,0,SUM(BJ663:BU663,BF663)/13*$BG$1)</f>
        <v>3880.6958666666687</v>
      </c>
      <c r="BW663" s="39">
        <v>1102.5322222222221</v>
      </c>
      <c r="BX663" s="39">
        <f t="shared" si="3385"/>
        <v>13230.386666666665</v>
      </c>
      <c r="BY663" s="7">
        <f t="shared" ref="BY663:BY696" si="3555">BU663-BW663</f>
        <v>168677.54111111126</v>
      </c>
      <c r="BZ663" s="39">
        <f t="shared" si="3520"/>
        <v>167575.00888888905</v>
      </c>
      <c r="CA663" s="39">
        <f t="shared" si="3536"/>
        <v>166472.47666666683</v>
      </c>
      <c r="CB663" s="39">
        <f t="shared" si="3468"/>
        <v>165369.94444444461</v>
      </c>
      <c r="CC663" s="39">
        <f t="shared" si="3352"/>
        <v>164267.4122222224</v>
      </c>
      <c r="CD663" s="39">
        <f t="shared" si="3353"/>
        <v>163164.88000000018</v>
      </c>
      <c r="CE663" s="39">
        <f t="shared" si="3354"/>
        <v>162062.34777777796</v>
      </c>
      <c r="CF663" s="39">
        <f t="shared" si="3355"/>
        <v>160959.81555555575</v>
      </c>
      <c r="CG663" s="39">
        <f t="shared" si="3356"/>
        <v>159857.28333333353</v>
      </c>
      <c r="CH663" s="39">
        <f t="shared" si="3357"/>
        <v>158754.75111111131</v>
      </c>
      <c r="CI663" s="39">
        <f t="shared" si="3358"/>
        <v>157652.2188888891</v>
      </c>
      <c r="CJ663" s="39">
        <f t="shared" si="3359"/>
        <v>156549.68666666688</v>
      </c>
      <c r="CK663" s="236">
        <f>IF(BD663&lt;1,0,SUM(BY663:CJ663,BU663)/13*$BG$1)</f>
        <v>3589.6273600000036</v>
      </c>
      <c r="CL663" s="39">
        <v>1102.5322222222221</v>
      </c>
      <c r="CM663" s="39">
        <f t="shared" si="3386"/>
        <v>13230.386666666665</v>
      </c>
      <c r="CN663" s="7">
        <f t="shared" si="3387"/>
        <v>155447.15444444466</v>
      </c>
      <c r="CO663" s="39">
        <f t="shared" si="3521"/>
        <v>154344.62222222245</v>
      </c>
      <c r="CP663" s="39">
        <f t="shared" si="3537"/>
        <v>153242.09000000023</v>
      </c>
      <c r="CQ663" s="39">
        <f t="shared" si="3469"/>
        <v>152139.55777777801</v>
      </c>
      <c r="CR663" s="39">
        <f t="shared" si="3362"/>
        <v>151037.0255555558</v>
      </c>
      <c r="CS663" s="39">
        <f t="shared" si="3388"/>
        <v>149934.49333333358</v>
      </c>
      <c r="CT663" s="39">
        <f t="shared" si="3389"/>
        <v>148831.96111111136</v>
      </c>
      <c r="CU663" s="39">
        <f t="shared" si="3390"/>
        <v>147729.42888888915</v>
      </c>
      <c r="CV663" s="39">
        <f t="shared" si="3391"/>
        <v>146626.89666666693</v>
      </c>
      <c r="CW663" s="39">
        <f t="shared" si="3392"/>
        <v>145524.36444444471</v>
      </c>
      <c r="CX663" s="39">
        <f t="shared" si="3393"/>
        <v>144421.8322222225</v>
      </c>
      <c r="CY663" s="39">
        <f t="shared" si="3394"/>
        <v>143319.30000000028</v>
      </c>
      <c r="CZ663" s="236">
        <f>IF(BS663&lt;1,0,SUM(CN663:CY663,CJ663)/13*$BG$1)</f>
        <v>3298.5588533333394</v>
      </c>
    </row>
    <row r="664" spans="1:104" s="26" customFormat="1" ht="24" customHeight="1" x14ac:dyDescent="0.2">
      <c r="A664" s="231" t="s">
        <v>2649</v>
      </c>
      <c r="B664" s="185" t="s">
        <v>2651</v>
      </c>
      <c r="C664" t="s">
        <v>41</v>
      </c>
      <c r="D664" s="42" t="s">
        <v>42</v>
      </c>
      <c r="E664" s="233">
        <v>45222</v>
      </c>
      <c r="F664" s="42" t="s">
        <v>44</v>
      </c>
      <c r="G664" s="234">
        <v>180</v>
      </c>
      <c r="H664" s="39"/>
      <c r="K664" s="40">
        <v>1</v>
      </c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235">
        <f t="shared" ref="AB664" si="3556">AM664/G664</f>
        <v>2041.1072222222222</v>
      </c>
      <c r="AC664" s="44">
        <f>AB664*2</f>
        <v>4082.2144444444443</v>
      </c>
      <c r="AD664" s="39"/>
      <c r="AE664" s="39"/>
      <c r="AF664" s="39"/>
      <c r="AG664" s="39"/>
      <c r="AH664" s="39"/>
      <c r="AI664" s="39"/>
      <c r="AJ664" s="39"/>
      <c r="AK664" s="39"/>
      <c r="AL664" s="39"/>
      <c r="AM664" s="39">
        <f>'08.03'!E44</f>
        <v>367399.3</v>
      </c>
      <c r="AN664" s="39">
        <f>AM664-$AB664</f>
        <v>365358.19277777779</v>
      </c>
      <c r="AO664" s="39">
        <f t="shared" si="3540"/>
        <v>363317.08555555559</v>
      </c>
      <c r="AP664" s="236">
        <f t="shared" si="3502"/>
        <v>1854.89544025641</v>
      </c>
      <c r="AQ664" s="39">
        <v>2041.1072222222222</v>
      </c>
      <c r="AR664" s="7">
        <f t="shared" si="3418"/>
        <v>2041.1072222221992</v>
      </c>
      <c r="AS664" s="7">
        <f t="shared" si="3419"/>
        <v>-2.2964741219766438E-11</v>
      </c>
      <c r="AT664" s="39">
        <f t="shared" si="3541"/>
        <v>24493.286666666667</v>
      </c>
      <c r="AU664" s="39">
        <f t="shared" si="3456"/>
        <v>361275.97833333339</v>
      </c>
      <c r="AV664" s="39">
        <f t="shared" si="3542"/>
        <v>359234.87111111119</v>
      </c>
      <c r="AW664" s="39">
        <f t="shared" si="3543"/>
        <v>357193.76388888899</v>
      </c>
      <c r="AX664" s="39">
        <f t="shared" si="3544"/>
        <v>355152.65666666679</v>
      </c>
      <c r="AY664" s="39">
        <f t="shared" si="3545"/>
        <v>353111.54944444459</v>
      </c>
      <c r="AZ664" s="39">
        <f t="shared" si="3546"/>
        <v>351070.44222222239</v>
      </c>
      <c r="BA664" s="39">
        <f t="shared" si="3547"/>
        <v>349029.3350000002</v>
      </c>
      <c r="BB664" s="39">
        <f t="shared" si="3548"/>
        <v>346988.227777778</v>
      </c>
      <c r="BC664" s="39">
        <f t="shared" si="3549"/>
        <v>344947.1205555558</v>
      </c>
      <c r="BD664" s="39">
        <f t="shared" si="3550"/>
        <v>342906.0133333336</v>
      </c>
      <c r="BE664" s="39">
        <f t="shared" si="3551"/>
        <v>340864.9061111114</v>
      </c>
      <c r="BF664" s="39">
        <f t="shared" si="3552"/>
        <v>338823.7988888892</v>
      </c>
      <c r="BG664" s="236">
        <f t="shared" ref="BG664:BG695" si="3557">IF(K664&lt;1,0,SUM(AU664:BF664,AO664)/13*$BG$1)</f>
        <v>7723.5497288888919</v>
      </c>
      <c r="BH664" s="7">
        <f t="shared" ref="BH664:BH678" si="3558">BE664-BF664</f>
        <v>2041.1072222221992</v>
      </c>
      <c r="BI664" s="39">
        <f t="shared" si="3553"/>
        <v>24493.28666666639</v>
      </c>
      <c r="BJ664" s="7">
        <f t="shared" si="3457"/>
        <v>336782.691666667</v>
      </c>
      <c r="BK664" s="39">
        <f t="shared" si="3519"/>
        <v>334741.5844444448</v>
      </c>
      <c r="BL664" s="39">
        <f t="shared" si="3535"/>
        <v>332700.4772222226</v>
      </c>
      <c r="BM664" s="39">
        <f t="shared" si="3467"/>
        <v>330659.3700000004</v>
      </c>
      <c r="BN664" s="39">
        <f t="shared" si="3458"/>
        <v>328618.2627777782</v>
      </c>
      <c r="BO664" s="39">
        <f t="shared" si="3459"/>
        <v>326577.155555556</v>
      </c>
      <c r="BP664" s="39">
        <f t="shared" si="3460"/>
        <v>324536.04833333381</v>
      </c>
      <c r="BQ664" s="39">
        <f t="shared" si="3461"/>
        <v>322494.94111111161</v>
      </c>
      <c r="BR664" s="39">
        <f t="shared" si="3462"/>
        <v>320453.83388888941</v>
      </c>
      <c r="BS664" s="39">
        <f t="shared" si="3463"/>
        <v>318412.72666666721</v>
      </c>
      <c r="BT664" s="39">
        <f t="shared" si="3464"/>
        <v>316371.61944444501</v>
      </c>
      <c r="BU664" s="39">
        <f t="shared" si="3465"/>
        <v>314330.51222222281</v>
      </c>
      <c r="BV664" s="236">
        <f t="shared" si="3554"/>
        <v>7184.6974222222307</v>
      </c>
      <c r="BW664" s="39">
        <v>2041.1072222222222</v>
      </c>
      <c r="BX664" s="39">
        <f t="shared" si="3385"/>
        <v>24493.286666666667</v>
      </c>
      <c r="BY664" s="7">
        <f t="shared" si="3555"/>
        <v>312289.40500000061</v>
      </c>
      <c r="BZ664" s="39">
        <f t="shared" si="3520"/>
        <v>310248.29777777841</v>
      </c>
      <c r="CA664" s="39">
        <f t="shared" si="3536"/>
        <v>308207.19055555621</v>
      </c>
      <c r="CB664" s="39">
        <f t="shared" si="3468"/>
        <v>306166.08333333401</v>
      </c>
      <c r="CC664" s="39">
        <f t="shared" si="3352"/>
        <v>304124.97611111181</v>
      </c>
      <c r="CD664" s="39">
        <f t="shared" si="3353"/>
        <v>302083.86888888961</v>
      </c>
      <c r="CE664" s="39">
        <f t="shared" si="3354"/>
        <v>300042.76166666741</v>
      </c>
      <c r="CF664" s="39">
        <f t="shared" si="3355"/>
        <v>298001.65444444522</v>
      </c>
      <c r="CG664" s="39">
        <f t="shared" si="3356"/>
        <v>295960.54722222302</v>
      </c>
      <c r="CH664" s="39">
        <f t="shared" si="3357"/>
        <v>293919.44000000082</v>
      </c>
      <c r="CI664" s="39">
        <f t="shared" si="3358"/>
        <v>291878.33277777862</v>
      </c>
      <c r="CJ664" s="39">
        <f t="shared" si="3359"/>
        <v>289837.22555555642</v>
      </c>
      <c r="CK664" s="236">
        <f>IF(BD664&lt;1,0,SUM(BY664:CJ664,BU664)/13*$BG$1)</f>
        <v>6645.8451155555722</v>
      </c>
      <c r="CL664" s="39">
        <v>2041.1072222222222</v>
      </c>
      <c r="CM664" s="39">
        <f t="shared" si="3386"/>
        <v>24493.286666666667</v>
      </c>
      <c r="CN664" s="7">
        <f t="shared" si="3387"/>
        <v>287796.11833333422</v>
      </c>
      <c r="CO664" s="39">
        <f t="shared" si="3521"/>
        <v>285755.01111111202</v>
      </c>
      <c r="CP664" s="39">
        <f t="shared" si="3537"/>
        <v>283713.90388888982</v>
      </c>
      <c r="CQ664" s="39">
        <f t="shared" si="3469"/>
        <v>281672.79666666762</v>
      </c>
      <c r="CR664" s="39">
        <f t="shared" si="3362"/>
        <v>279631.68944444542</v>
      </c>
      <c r="CS664" s="39">
        <f t="shared" si="3388"/>
        <v>277590.58222222322</v>
      </c>
      <c r="CT664" s="39">
        <f t="shared" si="3389"/>
        <v>275549.47500000102</v>
      </c>
      <c r="CU664" s="39">
        <f t="shared" si="3390"/>
        <v>273508.36777777883</v>
      </c>
      <c r="CV664" s="39">
        <f t="shared" si="3391"/>
        <v>271467.26055555663</v>
      </c>
      <c r="CW664" s="39">
        <f t="shared" si="3392"/>
        <v>269426.15333333443</v>
      </c>
      <c r="CX664" s="39">
        <f t="shared" si="3393"/>
        <v>267385.04611111223</v>
      </c>
      <c r="CY664" s="39">
        <f t="shared" si="3394"/>
        <v>265343.93888889003</v>
      </c>
      <c r="CZ664" s="236">
        <f>IF(BS664&lt;1,0,SUM(CN664:CY664,CJ664)/13*$BG$1)</f>
        <v>6106.992808888911</v>
      </c>
    </row>
    <row r="665" spans="1:104" s="266" customFormat="1" ht="24" customHeight="1" x14ac:dyDescent="0.2">
      <c r="A665" s="264" t="s">
        <v>2642</v>
      </c>
      <c r="B665" s="265" t="s">
        <v>2643</v>
      </c>
      <c r="C665" s="266" t="s">
        <v>30</v>
      </c>
      <c r="D665" s="267" t="s">
        <v>23</v>
      </c>
      <c r="E665" s="268">
        <v>45233</v>
      </c>
      <c r="F665" s="267" t="s">
        <v>31</v>
      </c>
      <c r="G665" s="269">
        <v>84</v>
      </c>
      <c r="H665" s="270"/>
      <c r="K665" s="271">
        <v>0</v>
      </c>
      <c r="L665" s="272"/>
      <c r="M665" s="272"/>
      <c r="N665" s="272"/>
      <c r="O665" s="272"/>
      <c r="P665" s="272"/>
      <c r="Q665" s="272"/>
      <c r="R665" s="272"/>
      <c r="S665" s="272"/>
      <c r="T665" s="272"/>
      <c r="U665" s="272"/>
      <c r="V665" s="272"/>
      <c r="W665" s="272"/>
      <c r="X665" s="272"/>
      <c r="Y665" s="272"/>
      <c r="Z665" s="272"/>
      <c r="AA665" s="272"/>
      <c r="AB665" s="272">
        <f>AN665/G665</f>
        <v>1637720.2872619047</v>
      </c>
      <c r="AC665" s="273">
        <f>AB665</f>
        <v>1637720.2872619047</v>
      </c>
      <c r="AD665" s="272"/>
      <c r="AE665" s="272"/>
      <c r="AF665" s="272"/>
      <c r="AG665" s="272"/>
      <c r="AH665" s="272"/>
      <c r="AI665" s="272"/>
      <c r="AJ665" s="274"/>
      <c r="AK665" s="274"/>
      <c r="AL665" s="274"/>
      <c r="AM665" s="274"/>
      <c r="AN665" s="274">
        <v>137568504.13</v>
      </c>
      <c r="AO665" s="274">
        <f t="shared" si="3540"/>
        <v>135930783.84273809</v>
      </c>
      <c r="AP665" s="274">
        <f t="shared" si="3502"/>
        <v>0</v>
      </c>
      <c r="AQ665" s="272">
        <f>AN665/G665</f>
        <v>1637720.2872619047</v>
      </c>
      <c r="AR665" s="272">
        <f t="shared" si="3418"/>
        <v>1637720.2872619033</v>
      </c>
      <c r="AS665" s="272">
        <f t="shared" si="3419"/>
        <v>0</v>
      </c>
      <c r="AT665" s="272">
        <f>AQ665*12</f>
        <v>19652643.447142854</v>
      </c>
      <c r="AU665" s="274">
        <f t="shared" si="3456"/>
        <v>134293063.55547619</v>
      </c>
      <c r="AV665" s="274">
        <f t="shared" ref="AV665:AV674" si="3559">AU665-$AQ665</f>
        <v>132655343.26821429</v>
      </c>
      <c r="AW665" s="274">
        <f>AV665-$AQ665</f>
        <v>131017622.98095238</v>
      </c>
      <c r="AX665" s="274">
        <f t="shared" ref="AX665:AX673" si="3560">AW665-$AQ665</f>
        <v>129379902.69369048</v>
      </c>
      <c r="AY665" s="274">
        <f t="shared" ref="AY665:AY673" si="3561">AX665-$AQ665</f>
        <v>127742182.40642858</v>
      </c>
      <c r="AZ665" s="274">
        <f t="shared" ref="AZ665:AZ673" si="3562">AY665-$AQ665</f>
        <v>126104462.11916667</v>
      </c>
      <c r="BA665" s="274">
        <f t="shared" ref="BA665:BA673" si="3563">AZ665-$AQ665</f>
        <v>124466741.83190477</v>
      </c>
      <c r="BB665" s="274">
        <f t="shared" ref="BB665:BB673" si="3564">BA665-$AQ665</f>
        <v>122829021.54464287</v>
      </c>
      <c r="BC665" s="274">
        <f t="shared" ref="BC665:BC673" si="3565">BB665-$AQ665</f>
        <v>121191301.25738096</v>
      </c>
      <c r="BD665" s="274">
        <f t="shared" ref="BD665:BD673" si="3566">BC665-$AQ665</f>
        <v>119553580.97011906</v>
      </c>
      <c r="BE665" s="274">
        <f t="shared" ref="BE665:BE673" si="3567">BD665-$AQ665</f>
        <v>117915860.68285716</v>
      </c>
      <c r="BF665" s="274">
        <f t="shared" ref="BF665:BF673" si="3568">BE665-$AQ665</f>
        <v>116278140.39559525</v>
      </c>
      <c r="BG665" s="274">
        <f t="shared" si="3557"/>
        <v>0</v>
      </c>
      <c r="BH665" s="272">
        <f t="shared" si="3558"/>
        <v>1637720.2872619033</v>
      </c>
      <c r="BI665" s="272">
        <f t="shared" si="3553"/>
        <v>19652643.447142839</v>
      </c>
      <c r="BJ665" s="272">
        <f t="shared" si="3457"/>
        <v>114640420.10833335</v>
      </c>
      <c r="BK665" s="274">
        <f t="shared" si="3519"/>
        <v>113002699.82107145</v>
      </c>
      <c r="BL665" s="274">
        <f>BK665-$AQ665</f>
        <v>111364979.53380954</v>
      </c>
      <c r="BM665" s="274">
        <f t="shared" si="3467"/>
        <v>109727259.24654764</v>
      </c>
      <c r="BN665" s="274">
        <f t="shared" si="3458"/>
        <v>108089538.95928574</v>
      </c>
      <c r="BO665" s="274">
        <f t="shared" si="3459"/>
        <v>106451818.67202383</v>
      </c>
      <c r="BP665" s="274">
        <f t="shared" si="3460"/>
        <v>104814098.38476193</v>
      </c>
      <c r="BQ665" s="274">
        <f t="shared" si="3461"/>
        <v>103176378.09750003</v>
      </c>
      <c r="BR665" s="274">
        <f t="shared" si="3462"/>
        <v>101538657.81023812</v>
      </c>
      <c r="BS665" s="274">
        <f t="shared" si="3463"/>
        <v>99900937.52297622</v>
      </c>
      <c r="BT665" s="274">
        <f t="shared" si="3464"/>
        <v>98263217.235714316</v>
      </c>
      <c r="BU665" s="274">
        <f t="shared" si="3465"/>
        <v>96625496.948452413</v>
      </c>
      <c r="BV665" s="274">
        <f t="shared" si="3554"/>
        <v>0</v>
      </c>
      <c r="BW665" s="272">
        <f>BT665-BU665</f>
        <v>1637720.2872619033</v>
      </c>
      <c r="BX665" s="272">
        <f t="shared" si="3385"/>
        <v>19652643.447142839</v>
      </c>
      <c r="BY665" s="272">
        <f t="shared" si="3555"/>
        <v>94987776.66119051</v>
      </c>
      <c r="BZ665" s="274">
        <f t="shared" si="3520"/>
        <v>93350056.373928607</v>
      </c>
      <c r="CA665" s="274">
        <f>BZ665-$AQ665</f>
        <v>91712336.086666703</v>
      </c>
      <c r="CB665" s="274">
        <f t="shared" si="3468"/>
        <v>90074615.7994048</v>
      </c>
      <c r="CC665" s="274">
        <f t="shared" si="3352"/>
        <v>88436895.512142897</v>
      </c>
      <c r="CD665" s="274">
        <f t="shared" si="3353"/>
        <v>86799175.224880993</v>
      </c>
      <c r="CE665" s="274">
        <f t="shared" si="3354"/>
        <v>85161454.93761909</v>
      </c>
      <c r="CF665" s="274">
        <f t="shared" si="3355"/>
        <v>83523734.650357187</v>
      </c>
      <c r="CG665" s="274">
        <f t="shared" si="3356"/>
        <v>81886014.363095284</v>
      </c>
      <c r="CH665" s="274">
        <f t="shared" si="3357"/>
        <v>80248294.07583338</v>
      </c>
      <c r="CI665" s="274">
        <f t="shared" si="3358"/>
        <v>78610573.788571477</v>
      </c>
      <c r="CJ665" s="274">
        <f t="shared" si="3359"/>
        <v>76972853.501309574</v>
      </c>
      <c r="CK665" s="274">
        <v>0</v>
      </c>
      <c r="CL665" s="272">
        <f>CI665-CJ665</f>
        <v>1637720.2872619033</v>
      </c>
      <c r="CM665" s="272">
        <f t="shared" si="3386"/>
        <v>19652643.447142839</v>
      </c>
      <c r="CN665" s="272">
        <f t="shared" si="3387"/>
        <v>75335133.21404767</v>
      </c>
      <c r="CO665" s="274">
        <f t="shared" si="3521"/>
        <v>73697412.926785767</v>
      </c>
      <c r="CP665" s="274">
        <f>CO665-$AQ665</f>
        <v>72059692.639523864</v>
      </c>
      <c r="CQ665" s="274">
        <f t="shared" si="3469"/>
        <v>70421972.352261961</v>
      </c>
      <c r="CR665" s="274">
        <f t="shared" si="3362"/>
        <v>68784252.065000057</v>
      </c>
      <c r="CS665" s="274">
        <f t="shared" si="3388"/>
        <v>67146531.777738154</v>
      </c>
      <c r="CT665" s="274">
        <f t="shared" si="3389"/>
        <v>65508811.490476251</v>
      </c>
      <c r="CU665" s="274">
        <f t="shared" si="3390"/>
        <v>63871091.203214347</v>
      </c>
      <c r="CV665" s="274">
        <f t="shared" si="3391"/>
        <v>62233370.915952444</v>
      </c>
      <c r="CW665" s="274">
        <f t="shared" si="3392"/>
        <v>60595650.628690541</v>
      </c>
      <c r="CX665" s="274">
        <f t="shared" si="3393"/>
        <v>58957930.341428638</v>
      </c>
      <c r="CY665" s="274">
        <f t="shared" si="3394"/>
        <v>57320210.054166734</v>
      </c>
      <c r="CZ665" s="274">
        <v>0</v>
      </c>
    </row>
    <row r="666" spans="1:104" x14ac:dyDescent="0.2">
      <c r="A666" s="263" t="s">
        <v>2652</v>
      </c>
      <c r="B666" s="185" t="s">
        <v>2653</v>
      </c>
      <c r="C666" t="s">
        <v>41</v>
      </c>
      <c r="D666" s="42" t="s">
        <v>42</v>
      </c>
      <c r="E666" s="184">
        <v>45225</v>
      </c>
      <c r="F666" s="42" t="s">
        <v>44</v>
      </c>
      <c r="G666" s="186">
        <v>180</v>
      </c>
      <c r="H666" s="11"/>
      <c r="K666" s="8">
        <v>1</v>
      </c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235">
        <f>AM666/G666</f>
        <v>3167.3056666666666</v>
      </c>
      <c r="AC666" s="44">
        <f>AB666*2</f>
        <v>6334.6113333333333</v>
      </c>
      <c r="AD666" s="7"/>
      <c r="AE666" s="7"/>
      <c r="AF666" s="7"/>
      <c r="AG666" s="7"/>
      <c r="AH666" s="7"/>
      <c r="AI666" s="7"/>
      <c r="AJ666" s="39"/>
      <c r="AK666" s="39"/>
      <c r="AL666" s="39"/>
      <c r="AM666" s="39">
        <f>'08.03'!E36</f>
        <v>570115.02</v>
      </c>
      <c r="AN666" s="39">
        <f>AM666-$AB666</f>
        <v>566947.71433333331</v>
      </c>
      <c r="AO666" s="39">
        <f t="shared" ref="AO666:AO679" si="3569">AN666-$AB666</f>
        <v>563780.4086666666</v>
      </c>
      <c r="AP666" s="236">
        <f t="shared" si="3502"/>
        <v>2878.3499343076919</v>
      </c>
      <c r="AQ666" s="7">
        <v>3167.3056666666666</v>
      </c>
      <c r="AR666" s="7">
        <f t="shared" si="3418"/>
        <v>3167.3056666667107</v>
      </c>
      <c r="AS666" s="7">
        <f t="shared" si="3419"/>
        <v>4.411049303598702E-11</v>
      </c>
      <c r="AT666" s="7">
        <f t="shared" ref="AT666:AT674" si="3570">AQ666*12</f>
        <v>38007.667999999998</v>
      </c>
      <c r="AU666" s="39">
        <f t="shared" si="3456"/>
        <v>560613.10299999989</v>
      </c>
      <c r="AV666" s="39">
        <f t="shared" si="3559"/>
        <v>557445.79733333318</v>
      </c>
      <c r="AW666" s="39">
        <f t="shared" ref="AW666:AW674" si="3571">AV666-$AQ666</f>
        <v>554278.49166666646</v>
      </c>
      <c r="AX666" s="39">
        <f t="shared" si="3560"/>
        <v>551111.18599999975</v>
      </c>
      <c r="AY666" s="39">
        <f t="shared" si="3561"/>
        <v>547943.88033333304</v>
      </c>
      <c r="AZ666" s="39">
        <f t="shared" si="3562"/>
        <v>544776.57466666633</v>
      </c>
      <c r="BA666" s="39">
        <f t="shared" si="3563"/>
        <v>541609.26899999962</v>
      </c>
      <c r="BB666" s="39">
        <f t="shared" si="3564"/>
        <v>538441.96333333291</v>
      </c>
      <c r="BC666" s="39">
        <f t="shared" si="3565"/>
        <v>535274.6576666662</v>
      </c>
      <c r="BD666" s="39">
        <f t="shared" si="3566"/>
        <v>532107.35199999949</v>
      </c>
      <c r="BE666" s="39">
        <f t="shared" si="3567"/>
        <v>528940.04633333278</v>
      </c>
      <c r="BF666" s="39">
        <f t="shared" si="3568"/>
        <v>525772.74066666607</v>
      </c>
      <c r="BG666" s="236">
        <f t="shared" si="3557"/>
        <v>11985.084642666659</v>
      </c>
      <c r="BH666" s="7">
        <f t="shared" si="3558"/>
        <v>3167.3056666667107</v>
      </c>
      <c r="BI666" s="7">
        <f t="shared" si="3553"/>
        <v>38007.668000000529</v>
      </c>
      <c r="BJ666" s="7">
        <f t="shared" si="3457"/>
        <v>522605.43499999936</v>
      </c>
      <c r="BK666" s="39">
        <f t="shared" si="3519"/>
        <v>519438.1293333327</v>
      </c>
      <c r="BL666" s="39">
        <f t="shared" ref="BL666:BL673" si="3572">BK666-$AQ666</f>
        <v>516270.82366666605</v>
      </c>
      <c r="BM666" s="39">
        <f t="shared" si="3467"/>
        <v>513103.5179999994</v>
      </c>
      <c r="BN666" s="39">
        <f t="shared" si="3458"/>
        <v>509936.21233333275</v>
      </c>
      <c r="BO666" s="39">
        <f t="shared" si="3459"/>
        <v>506768.90666666609</v>
      </c>
      <c r="BP666" s="39">
        <f t="shared" si="3460"/>
        <v>503601.60099999944</v>
      </c>
      <c r="BQ666" s="39">
        <f t="shared" si="3461"/>
        <v>500434.29533333279</v>
      </c>
      <c r="BR666" s="39">
        <f t="shared" si="3462"/>
        <v>497266.98966666614</v>
      </c>
      <c r="BS666" s="39">
        <f t="shared" si="3463"/>
        <v>494099.68399999948</v>
      </c>
      <c r="BT666" s="39">
        <f t="shared" si="3464"/>
        <v>490932.37833333283</v>
      </c>
      <c r="BU666" s="39">
        <f t="shared" si="3465"/>
        <v>487765.07266666618</v>
      </c>
      <c r="BV666" s="236">
        <f t="shared" si="3554"/>
        <v>11148.915946666655</v>
      </c>
      <c r="BW666" s="7">
        <v>3167.3056666666666</v>
      </c>
      <c r="BX666" s="7">
        <f t="shared" si="3385"/>
        <v>38007.667999999998</v>
      </c>
      <c r="BY666" s="7">
        <f t="shared" si="3555"/>
        <v>484597.76699999953</v>
      </c>
      <c r="BZ666" s="39">
        <f t="shared" si="3520"/>
        <v>481430.46133333287</v>
      </c>
      <c r="CA666" s="39">
        <f t="shared" ref="CA666:CA673" si="3573">BZ666-$AQ666</f>
        <v>478263.15566666622</v>
      </c>
      <c r="CB666" s="39">
        <f t="shared" si="3468"/>
        <v>475095.84999999957</v>
      </c>
      <c r="CC666" s="39">
        <f t="shared" si="3352"/>
        <v>471928.54433333292</v>
      </c>
      <c r="CD666" s="39">
        <f t="shared" si="3353"/>
        <v>468761.23866666626</v>
      </c>
      <c r="CE666" s="39">
        <f t="shared" si="3354"/>
        <v>465593.93299999961</v>
      </c>
      <c r="CF666" s="39">
        <f t="shared" si="3355"/>
        <v>462426.62733333296</v>
      </c>
      <c r="CG666" s="39">
        <f t="shared" si="3356"/>
        <v>459259.32166666631</v>
      </c>
      <c r="CH666" s="39">
        <f t="shared" si="3357"/>
        <v>456092.01599999965</v>
      </c>
      <c r="CI666" s="39">
        <f t="shared" si="3358"/>
        <v>452924.710333333</v>
      </c>
      <c r="CJ666" s="39">
        <f t="shared" si="3359"/>
        <v>449757.40466666635</v>
      </c>
      <c r="CK666" s="236">
        <f>IF(BD666&lt;1,0,SUM(BY666:CJ666,BU666)/13*$BG$1)</f>
        <v>10312.747250666658</v>
      </c>
      <c r="CL666" s="7">
        <v>3167.3056666666666</v>
      </c>
      <c r="CM666" s="7">
        <f t="shared" si="3386"/>
        <v>38007.667999999998</v>
      </c>
      <c r="CN666" s="7">
        <f t="shared" si="3387"/>
        <v>446590.0989999997</v>
      </c>
      <c r="CO666" s="39">
        <f t="shared" si="3521"/>
        <v>443422.79333333304</v>
      </c>
      <c r="CP666" s="39">
        <f t="shared" ref="CP666:CP673" si="3574">CO666-$AQ666</f>
        <v>440255.48766666639</v>
      </c>
      <c r="CQ666" s="39">
        <f t="shared" si="3469"/>
        <v>437088.18199999974</v>
      </c>
      <c r="CR666" s="39">
        <f t="shared" si="3362"/>
        <v>433920.87633333309</v>
      </c>
      <c r="CS666" s="39">
        <f t="shared" si="3388"/>
        <v>430753.57066666643</v>
      </c>
      <c r="CT666" s="39">
        <f t="shared" si="3389"/>
        <v>427586.26499999978</v>
      </c>
      <c r="CU666" s="39">
        <f t="shared" si="3390"/>
        <v>424418.95933333313</v>
      </c>
      <c r="CV666" s="39">
        <f t="shared" si="3391"/>
        <v>421251.65366666648</v>
      </c>
      <c r="CW666" s="39">
        <f t="shared" si="3392"/>
        <v>418084.34799999982</v>
      </c>
      <c r="CX666" s="39">
        <f t="shared" si="3393"/>
        <v>414917.04233333317</v>
      </c>
      <c r="CY666" s="39">
        <f t="shared" si="3394"/>
        <v>411749.73666666652</v>
      </c>
      <c r="CZ666" s="236">
        <f>IF(BS666&lt;1,0,SUM(CN666:CY666,CJ666)/13*$BG$1)</f>
        <v>9476.5785546666593</v>
      </c>
    </row>
    <row r="667" spans="1:104" ht="24" customHeight="1" x14ac:dyDescent="0.2">
      <c r="A667" s="231" t="s">
        <v>2654</v>
      </c>
      <c r="B667" s="185" t="s">
        <v>2655</v>
      </c>
      <c r="C667" t="s">
        <v>41</v>
      </c>
      <c r="D667" s="42" t="s">
        <v>42</v>
      </c>
      <c r="E667" s="184">
        <v>45229</v>
      </c>
      <c r="F667" s="42" t="s">
        <v>44</v>
      </c>
      <c r="G667" s="186">
        <v>180</v>
      </c>
      <c r="H667" s="11"/>
      <c r="K667" s="8">
        <v>1</v>
      </c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>
        <f>AM667/G667</f>
        <v>2215.4293888888888</v>
      </c>
      <c r="AC667" s="44">
        <f>AB667*2</f>
        <v>4430.8587777777775</v>
      </c>
      <c r="AD667" s="7"/>
      <c r="AE667" s="7"/>
      <c r="AF667" s="7"/>
      <c r="AG667" s="7"/>
      <c r="AH667" s="7"/>
      <c r="AI667" s="7"/>
      <c r="AJ667" s="39"/>
      <c r="AK667" s="39"/>
      <c r="AL667" s="39"/>
      <c r="AM667" s="39">
        <f>'08.03'!E39</f>
        <v>398777.29</v>
      </c>
      <c r="AN667" s="39">
        <f>AM667-$AB667</f>
        <v>396561.8606111111</v>
      </c>
      <c r="AO667" s="39">
        <f t="shared" si="3569"/>
        <v>394346.43122222222</v>
      </c>
      <c r="AP667" s="236">
        <f t="shared" si="3502"/>
        <v>2013.3140615641023</v>
      </c>
      <c r="AQ667" s="7">
        <v>2215.4293888888888</v>
      </c>
      <c r="AR667" s="7">
        <f t="shared" si="3418"/>
        <v>2215.4293888888787</v>
      </c>
      <c r="AS667" s="7">
        <f t="shared" si="3419"/>
        <v>-1.0004441719502211E-11</v>
      </c>
      <c r="AT667" s="7">
        <f t="shared" si="3570"/>
        <v>26585.152666666665</v>
      </c>
      <c r="AU667" s="39">
        <f t="shared" si="3456"/>
        <v>392131.00183333334</v>
      </c>
      <c r="AV667" s="39">
        <f t="shared" si="3559"/>
        <v>389915.57244444446</v>
      </c>
      <c r="AW667" s="39">
        <f t="shared" si="3571"/>
        <v>387700.14305555559</v>
      </c>
      <c r="AX667" s="39">
        <f t="shared" si="3560"/>
        <v>385484.71366666671</v>
      </c>
      <c r="AY667" s="39">
        <f t="shared" si="3561"/>
        <v>383269.28427777783</v>
      </c>
      <c r="AZ667" s="39">
        <f t="shared" si="3562"/>
        <v>381053.85488888895</v>
      </c>
      <c r="BA667" s="39">
        <f t="shared" si="3563"/>
        <v>378838.42550000007</v>
      </c>
      <c r="BB667" s="39">
        <f t="shared" si="3564"/>
        <v>376622.99611111119</v>
      </c>
      <c r="BC667" s="39">
        <f t="shared" si="3565"/>
        <v>374407.56672222231</v>
      </c>
      <c r="BD667" s="39">
        <f t="shared" si="3566"/>
        <v>372192.13733333343</v>
      </c>
      <c r="BE667" s="39">
        <f t="shared" si="3567"/>
        <v>369976.70794444456</v>
      </c>
      <c r="BF667" s="39">
        <f t="shared" si="3568"/>
        <v>367761.27855555568</v>
      </c>
      <c r="BG667" s="236">
        <f t="shared" si="3557"/>
        <v>8383.1848075555554</v>
      </c>
      <c r="BH667" s="7">
        <f t="shared" si="3558"/>
        <v>2215.4293888888787</v>
      </c>
      <c r="BI667" s="7">
        <f t="shared" si="3553"/>
        <v>26585.152666666545</v>
      </c>
      <c r="BJ667" s="7">
        <f t="shared" si="3457"/>
        <v>365545.8491666668</v>
      </c>
      <c r="BK667" s="39">
        <f t="shared" si="3519"/>
        <v>363330.41977777792</v>
      </c>
      <c r="BL667" s="39">
        <f t="shared" si="3572"/>
        <v>361114.99038888904</v>
      </c>
      <c r="BM667" s="39">
        <f t="shared" si="3467"/>
        <v>358899.56100000016</v>
      </c>
      <c r="BN667" s="39">
        <f t="shared" si="3458"/>
        <v>356684.13161111128</v>
      </c>
      <c r="BO667" s="39">
        <f t="shared" si="3459"/>
        <v>354468.7022222224</v>
      </c>
      <c r="BP667" s="39">
        <f t="shared" si="3460"/>
        <v>352253.27283333353</v>
      </c>
      <c r="BQ667" s="39">
        <f t="shared" si="3461"/>
        <v>350037.84344444465</v>
      </c>
      <c r="BR667" s="39">
        <f t="shared" si="3462"/>
        <v>347822.41405555577</v>
      </c>
      <c r="BS667" s="39">
        <f t="shared" si="3463"/>
        <v>345606.98466666689</v>
      </c>
      <c r="BT667" s="39">
        <f t="shared" si="3464"/>
        <v>343391.55527777801</v>
      </c>
      <c r="BU667" s="39">
        <f t="shared" si="3465"/>
        <v>341176.12588888913</v>
      </c>
      <c r="BV667" s="236">
        <f t="shared" si="3554"/>
        <v>7798.3114488888914</v>
      </c>
      <c r="BW667" s="7">
        <v>2215.4293888888888</v>
      </c>
      <c r="BX667" s="7">
        <f t="shared" si="3385"/>
        <v>26585.152666666665</v>
      </c>
      <c r="BY667" s="7">
        <f t="shared" si="3555"/>
        <v>338960.69650000025</v>
      </c>
      <c r="BZ667" s="39">
        <f t="shared" si="3520"/>
        <v>336745.26711111137</v>
      </c>
      <c r="CA667" s="39">
        <f t="shared" si="3573"/>
        <v>334529.8377222225</v>
      </c>
      <c r="CB667" s="39">
        <f t="shared" si="3468"/>
        <v>332314.40833333362</v>
      </c>
      <c r="CC667" s="39">
        <f t="shared" si="3352"/>
        <v>330098.97894444474</v>
      </c>
      <c r="CD667" s="39">
        <f t="shared" si="3353"/>
        <v>327883.54955555586</v>
      </c>
      <c r="CE667" s="39">
        <f t="shared" si="3354"/>
        <v>325668.12016666698</v>
      </c>
      <c r="CF667" s="39">
        <f t="shared" si="3355"/>
        <v>323452.6907777781</v>
      </c>
      <c r="CG667" s="39">
        <f t="shared" si="3356"/>
        <v>321237.26138888922</v>
      </c>
      <c r="CH667" s="39">
        <f t="shared" si="3357"/>
        <v>319021.83200000034</v>
      </c>
      <c r="CI667" s="39">
        <f t="shared" si="3358"/>
        <v>316806.40261111147</v>
      </c>
      <c r="CJ667" s="39">
        <f t="shared" si="3359"/>
        <v>314590.97322222259</v>
      </c>
      <c r="CK667" s="236">
        <f>IF(BD667&lt;1,0,SUM(BY667:CJ667,BU667)/13*$BG$1)</f>
        <v>7213.4380902222283</v>
      </c>
      <c r="CL667" s="7">
        <v>2215.4293888888888</v>
      </c>
      <c r="CM667" s="7">
        <f t="shared" si="3386"/>
        <v>26585.152666666665</v>
      </c>
      <c r="CN667" s="7">
        <f t="shared" si="3387"/>
        <v>312375.54383333371</v>
      </c>
      <c r="CO667" s="39">
        <f t="shared" si="3521"/>
        <v>310160.11444444483</v>
      </c>
      <c r="CP667" s="39">
        <f t="shared" si="3574"/>
        <v>307944.68505555595</v>
      </c>
      <c r="CQ667" s="39">
        <f t="shared" si="3469"/>
        <v>305729.25566666707</v>
      </c>
      <c r="CR667" s="39">
        <f t="shared" si="3362"/>
        <v>303513.82627777819</v>
      </c>
      <c r="CS667" s="39">
        <f t="shared" si="3388"/>
        <v>301298.39688888931</v>
      </c>
      <c r="CT667" s="39">
        <f t="shared" si="3389"/>
        <v>299082.96750000044</v>
      </c>
      <c r="CU667" s="39">
        <f t="shared" si="3390"/>
        <v>296867.53811111156</v>
      </c>
      <c r="CV667" s="39">
        <f t="shared" si="3391"/>
        <v>294652.10872222268</v>
      </c>
      <c r="CW667" s="39">
        <f t="shared" si="3392"/>
        <v>292436.6793333338</v>
      </c>
      <c r="CX667" s="39">
        <f t="shared" si="3393"/>
        <v>290221.24994444492</v>
      </c>
      <c r="CY667" s="39">
        <f t="shared" si="3394"/>
        <v>288005.82055555604</v>
      </c>
      <c r="CZ667" s="236">
        <f>IF(BS667&lt;1,0,SUM(CN667:CY667,CJ667)/13*$BG$1)</f>
        <v>6628.5647315555643</v>
      </c>
    </row>
    <row r="668" spans="1:104" ht="24" customHeight="1" x14ac:dyDescent="0.2">
      <c r="A668" s="231" t="s">
        <v>2656</v>
      </c>
      <c r="B668" s="185" t="s">
        <v>2657</v>
      </c>
      <c r="C668" t="s">
        <v>41</v>
      </c>
      <c r="D668" s="42" t="s">
        <v>42</v>
      </c>
      <c r="E668" s="184">
        <v>45229</v>
      </c>
      <c r="F668" s="42" t="s">
        <v>44</v>
      </c>
      <c r="G668" s="186">
        <v>180</v>
      </c>
      <c r="H668" s="11"/>
      <c r="K668" s="8">
        <v>1</v>
      </c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>
        <f>AM668/G668</f>
        <v>3239.2984999999999</v>
      </c>
      <c r="AC668" s="44">
        <f>AB668*2</f>
        <v>6478.5969999999998</v>
      </c>
      <c r="AD668" s="7"/>
      <c r="AE668" s="7"/>
      <c r="AF668" s="7"/>
      <c r="AG668" s="7"/>
      <c r="AH668" s="7"/>
      <c r="AI668" s="7"/>
      <c r="AJ668" s="39"/>
      <c r="AK668" s="39"/>
      <c r="AL668" s="39"/>
      <c r="AM668" s="39">
        <f>'08.03'!E10</f>
        <v>583073.73</v>
      </c>
      <c r="AN668" s="39">
        <f>AM668-$AB668</f>
        <v>579834.43149999995</v>
      </c>
      <c r="AO668" s="39">
        <f t="shared" si="3569"/>
        <v>576595.13299999991</v>
      </c>
      <c r="AP668" s="236">
        <f t="shared" si="3502"/>
        <v>2943.7748060769227</v>
      </c>
      <c r="AQ668" s="7">
        <v>3239.2984999999999</v>
      </c>
      <c r="AR668" s="7">
        <f t="shared" si="3418"/>
        <v>3239.2985000000335</v>
      </c>
      <c r="AS668" s="7">
        <f t="shared" si="3419"/>
        <v>3.3651303965598345E-11</v>
      </c>
      <c r="AT668" s="7">
        <f t="shared" si="3570"/>
        <v>38871.581999999995</v>
      </c>
      <c r="AU668" s="39">
        <f t="shared" si="3456"/>
        <v>573355.83449999988</v>
      </c>
      <c r="AV668" s="39">
        <f t="shared" si="3559"/>
        <v>570116.53599999985</v>
      </c>
      <c r="AW668" s="39">
        <f t="shared" si="3571"/>
        <v>566877.23749999981</v>
      </c>
      <c r="AX668" s="39">
        <f t="shared" si="3560"/>
        <v>563637.93899999978</v>
      </c>
      <c r="AY668" s="39">
        <f t="shared" si="3561"/>
        <v>560398.64049999975</v>
      </c>
      <c r="AZ668" s="39">
        <f t="shared" si="3562"/>
        <v>557159.34199999971</v>
      </c>
      <c r="BA668" s="39">
        <f t="shared" si="3563"/>
        <v>553920.04349999968</v>
      </c>
      <c r="BB668" s="39">
        <f t="shared" si="3564"/>
        <v>550680.74499999965</v>
      </c>
      <c r="BC668" s="39">
        <f t="shared" si="3565"/>
        <v>547441.44649999961</v>
      </c>
      <c r="BD668" s="39">
        <f t="shared" si="3566"/>
        <v>544202.14799999958</v>
      </c>
      <c r="BE668" s="39">
        <f t="shared" si="3567"/>
        <v>540962.84949999955</v>
      </c>
      <c r="BF668" s="39">
        <f t="shared" si="3568"/>
        <v>537723.55099999951</v>
      </c>
      <c r="BG668" s="236">
        <f t="shared" si="3557"/>
        <v>12257.505523999993</v>
      </c>
      <c r="BH668" s="7">
        <f t="shared" si="3558"/>
        <v>3239.2985000000335</v>
      </c>
      <c r="BI668" s="7">
        <f t="shared" si="3553"/>
        <v>38871.582000000402</v>
      </c>
      <c r="BJ668" s="7">
        <f t="shared" si="3457"/>
        <v>534484.25249999948</v>
      </c>
      <c r="BK668" s="39">
        <f t="shared" si="3519"/>
        <v>531244.95399999944</v>
      </c>
      <c r="BL668" s="39">
        <f t="shared" si="3572"/>
        <v>528005.65549999941</v>
      </c>
      <c r="BM668" s="39">
        <f t="shared" si="3467"/>
        <v>524766.35699999938</v>
      </c>
      <c r="BN668" s="39">
        <f t="shared" si="3458"/>
        <v>521527.0584999994</v>
      </c>
      <c r="BO668" s="39">
        <f t="shared" si="3459"/>
        <v>518287.75999999943</v>
      </c>
      <c r="BP668" s="39">
        <f t="shared" si="3460"/>
        <v>515048.46149999945</v>
      </c>
      <c r="BQ668" s="39">
        <f t="shared" si="3461"/>
        <v>511809.16299999948</v>
      </c>
      <c r="BR668" s="39">
        <f t="shared" si="3462"/>
        <v>508569.8644999995</v>
      </c>
      <c r="BS668" s="39">
        <f t="shared" si="3463"/>
        <v>505330.56599999953</v>
      </c>
      <c r="BT668" s="39">
        <f t="shared" si="3464"/>
        <v>502091.26749999955</v>
      </c>
      <c r="BU668" s="39">
        <f t="shared" si="3465"/>
        <v>498851.96899999958</v>
      </c>
      <c r="BV668" s="236">
        <f t="shared" si="3554"/>
        <v>11402.330719999985</v>
      </c>
      <c r="BW668" s="7">
        <v>3239.2984999999999</v>
      </c>
      <c r="BX668" s="7">
        <f t="shared" si="3385"/>
        <v>38871.581999999995</v>
      </c>
      <c r="BY668" s="7">
        <f t="shared" si="3555"/>
        <v>495612.6704999996</v>
      </c>
      <c r="BZ668" s="39">
        <f t="shared" si="3520"/>
        <v>492373.37199999962</v>
      </c>
      <c r="CA668" s="39">
        <f t="shared" si="3573"/>
        <v>489134.07349999965</v>
      </c>
      <c r="CB668" s="39">
        <f t="shared" si="3468"/>
        <v>485894.77499999967</v>
      </c>
      <c r="CC668" s="39">
        <f t="shared" si="3352"/>
        <v>482655.4764999997</v>
      </c>
      <c r="CD668" s="39">
        <f t="shared" si="3353"/>
        <v>479416.17799999972</v>
      </c>
      <c r="CE668" s="39">
        <f t="shared" si="3354"/>
        <v>476176.87949999975</v>
      </c>
      <c r="CF668" s="39">
        <f t="shared" si="3355"/>
        <v>472937.58099999977</v>
      </c>
      <c r="CG668" s="39">
        <f t="shared" si="3356"/>
        <v>469698.2824999998</v>
      </c>
      <c r="CH668" s="39">
        <f t="shared" si="3357"/>
        <v>466458.98399999982</v>
      </c>
      <c r="CI668" s="39">
        <f t="shared" si="3358"/>
        <v>463219.68549999985</v>
      </c>
      <c r="CJ668" s="39">
        <f t="shared" si="3359"/>
        <v>459980.38699999987</v>
      </c>
      <c r="CK668" s="236">
        <f>IF(BD668&lt;1,0,SUM(BY668:CJ668,BU668)/13*$BG$1)</f>
        <v>10547.155915999994</v>
      </c>
      <c r="CL668" s="7">
        <v>3239.2984999999999</v>
      </c>
      <c r="CM668" s="7">
        <f t="shared" si="3386"/>
        <v>38871.581999999995</v>
      </c>
      <c r="CN668" s="7">
        <f t="shared" si="3387"/>
        <v>456741.0884999999</v>
      </c>
      <c r="CO668" s="39">
        <f t="shared" si="3521"/>
        <v>453501.78999999992</v>
      </c>
      <c r="CP668" s="39">
        <f t="shared" si="3574"/>
        <v>450262.49149999995</v>
      </c>
      <c r="CQ668" s="39">
        <f t="shared" si="3469"/>
        <v>447023.19299999997</v>
      </c>
      <c r="CR668" s="39">
        <f t="shared" si="3362"/>
        <v>443783.89449999999</v>
      </c>
      <c r="CS668" s="39">
        <f t="shared" si="3388"/>
        <v>440544.59600000002</v>
      </c>
      <c r="CT668" s="39">
        <f t="shared" si="3389"/>
        <v>437305.29750000004</v>
      </c>
      <c r="CU668" s="39">
        <f t="shared" si="3390"/>
        <v>434065.99900000007</v>
      </c>
      <c r="CV668" s="39">
        <f t="shared" si="3391"/>
        <v>430826.70050000009</v>
      </c>
      <c r="CW668" s="39">
        <f t="shared" si="3392"/>
        <v>427587.40200000012</v>
      </c>
      <c r="CX668" s="39">
        <f t="shared" si="3393"/>
        <v>424348.10350000014</v>
      </c>
      <c r="CY668" s="39">
        <f t="shared" si="3394"/>
        <v>421108.80500000017</v>
      </c>
      <c r="CZ668" s="236">
        <f>IF(BS668&lt;1,0,SUM(CN668:CY668,CJ668)/13*$BG$1)</f>
        <v>9691.9811119999995</v>
      </c>
    </row>
    <row r="669" spans="1:104" s="266" customFormat="1" ht="24" customHeight="1" x14ac:dyDescent="0.2">
      <c r="A669" s="264" t="str">
        <f>'08.03'!A14</f>
        <v>Воздушная линия 0,4 кВ (ДТП № 1316 от 10.11.2022 г., Участок строительства ИЖД по адресу: г. Нарьян</v>
      </c>
      <c r="B669" s="265" t="s">
        <v>2775</v>
      </c>
      <c r="C669" s="266" t="s">
        <v>41</v>
      </c>
      <c r="D669" s="267" t="s">
        <v>42</v>
      </c>
      <c r="E669" s="268">
        <v>45229</v>
      </c>
      <c r="F669" s="267" t="s">
        <v>44</v>
      </c>
      <c r="G669" s="269">
        <v>180</v>
      </c>
      <c r="H669" s="270"/>
      <c r="K669" s="271">
        <v>1</v>
      </c>
      <c r="L669" s="272"/>
      <c r="M669" s="272"/>
      <c r="N669" s="272"/>
      <c r="O669" s="272"/>
      <c r="P669" s="272"/>
      <c r="Q669" s="272"/>
      <c r="R669" s="272"/>
      <c r="S669" s="272"/>
      <c r="T669" s="272"/>
      <c r="U669" s="272"/>
      <c r="V669" s="272"/>
      <c r="W669" s="272"/>
      <c r="X669" s="272"/>
      <c r="Y669" s="272"/>
      <c r="Z669" s="272"/>
      <c r="AA669" s="272"/>
      <c r="AB669" s="272">
        <f>AM669/G669</f>
        <v>1560.702</v>
      </c>
      <c r="AC669" s="273">
        <f>AB669*2</f>
        <v>3121.404</v>
      </c>
      <c r="AD669" s="272"/>
      <c r="AE669" s="272"/>
      <c r="AF669" s="272"/>
      <c r="AG669" s="272"/>
      <c r="AH669" s="272"/>
      <c r="AI669" s="272"/>
      <c r="AJ669" s="274"/>
      <c r="AK669" s="274"/>
      <c r="AL669" s="274"/>
      <c r="AM669" s="274">
        <f>'08.03'!E14</f>
        <v>280926.36</v>
      </c>
      <c r="AN669" s="274">
        <f>AM669-$AB669</f>
        <v>279365.658</v>
      </c>
      <c r="AO669" s="274">
        <f t="shared" si="3569"/>
        <v>277804.95600000001</v>
      </c>
      <c r="AP669" s="274">
        <f t="shared" si="3502"/>
        <v>1418.3179559999996</v>
      </c>
      <c r="AQ669" s="272">
        <f>AN669-AO669</f>
        <v>1560.7019999999902</v>
      </c>
      <c r="AR669" s="272">
        <f t="shared" si="3418"/>
        <v>1560.7019999999902</v>
      </c>
      <c r="AS669" s="272">
        <f t="shared" si="3419"/>
        <v>0</v>
      </c>
      <c r="AT669" s="272">
        <f>AQ669*12</f>
        <v>18728.423999999883</v>
      </c>
      <c r="AU669" s="274">
        <f t="shared" si="3456"/>
        <v>276244.25400000002</v>
      </c>
      <c r="AV669" s="274">
        <f t="shared" ref="AV669" si="3575">AU669-$AQ669</f>
        <v>274683.55200000003</v>
      </c>
      <c r="AW669" s="274">
        <f t="shared" ref="AW669" si="3576">AV669-$AQ669</f>
        <v>273122.85000000003</v>
      </c>
      <c r="AX669" s="274">
        <f t="shared" ref="AX669" si="3577">AW669-$AQ669</f>
        <v>271562.14800000004</v>
      </c>
      <c r="AY669" s="274">
        <f t="shared" ref="AY669" si="3578">AX669-$AQ669</f>
        <v>270001.44600000005</v>
      </c>
      <c r="AZ669" s="274">
        <f t="shared" ref="AZ669" si="3579">AY669-$AQ669</f>
        <v>268440.74400000006</v>
      </c>
      <c r="BA669" s="274">
        <f t="shared" ref="BA669" si="3580">AZ669-$AQ669</f>
        <v>266880.04200000007</v>
      </c>
      <c r="BB669" s="274">
        <f t="shared" ref="BB669" si="3581">BA669-$AQ669</f>
        <v>265319.34000000008</v>
      </c>
      <c r="BC669" s="274">
        <f t="shared" ref="BC669" si="3582">BB669-$AQ669</f>
        <v>263758.63800000009</v>
      </c>
      <c r="BD669" s="274">
        <f t="shared" ref="BD669" si="3583">BC669-$AQ669</f>
        <v>262197.9360000001</v>
      </c>
      <c r="BE669" s="274">
        <f t="shared" ref="BE669" si="3584">BD669-$AQ669</f>
        <v>260637.23400000011</v>
      </c>
      <c r="BF669" s="274">
        <f t="shared" ref="BF669" si="3585">BE669-$AQ669</f>
        <v>259076.53200000012</v>
      </c>
      <c r="BG669" s="274">
        <f t="shared" si="3557"/>
        <v>5905.6963680000008</v>
      </c>
      <c r="BH669" s="272">
        <f t="shared" si="3558"/>
        <v>1560.7019999999902</v>
      </c>
      <c r="BI669" s="272">
        <f t="shared" si="3553"/>
        <v>18728.423999999883</v>
      </c>
      <c r="BJ669" s="272">
        <f t="shared" si="3457"/>
        <v>257515.83000000013</v>
      </c>
      <c r="BK669" s="274">
        <f t="shared" ref="BK669" si="3586">BJ669-$AQ669</f>
        <v>255955.12800000014</v>
      </c>
      <c r="BL669" s="274">
        <f t="shared" ref="BL669" si="3587">BK669-$AQ669</f>
        <v>254394.42600000015</v>
      </c>
      <c r="BM669" s="274">
        <f t="shared" ref="BM669" si="3588">BL669-$AQ669</f>
        <v>252833.72400000016</v>
      </c>
      <c r="BN669" s="274">
        <f t="shared" ref="BN669" si="3589">BM669-$AQ669</f>
        <v>251273.02200000017</v>
      </c>
      <c r="BO669" s="274">
        <f t="shared" ref="BO669" si="3590">BN669-$AQ669</f>
        <v>249712.32000000018</v>
      </c>
      <c r="BP669" s="274">
        <f t="shared" ref="BP669" si="3591">BO669-$AQ669</f>
        <v>248151.61800000019</v>
      </c>
      <c r="BQ669" s="274">
        <f t="shared" ref="BQ669" si="3592">BP669-$AQ669</f>
        <v>246590.9160000002</v>
      </c>
      <c r="BR669" s="274">
        <f t="shared" ref="BR669" si="3593">BQ669-$AQ669</f>
        <v>245030.21400000021</v>
      </c>
      <c r="BS669" s="274">
        <f t="shared" ref="BS669" si="3594">BR669-$AQ669</f>
        <v>243469.51200000022</v>
      </c>
      <c r="BT669" s="274">
        <f t="shared" ref="BT669" si="3595">BS669-$AQ669</f>
        <v>241908.81000000023</v>
      </c>
      <c r="BU669" s="274">
        <f t="shared" ref="BU669" si="3596">BT669-$AQ669</f>
        <v>240348.10800000024</v>
      </c>
      <c r="BV669" s="274">
        <f t="shared" si="3554"/>
        <v>5493.6710400000038</v>
      </c>
      <c r="BW669" s="272">
        <f>BT669-BU669</f>
        <v>1560.7019999999902</v>
      </c>
      <c r="BX669" s="272">
        <f t="shared" si="3385"/>
        <v>18728.423999999883</v>
      </c>
      <c r="BY669" s="272">
        <f t="shared" si="3555"/>
        <v>238787.40600000025</v>
      </c>
      <c r="BZ669" s="274">
        <f t="shared" ref="BZ669" si="3597">BY669-$AQ669</f>
        <v>237226.70400000026</v>
      </c>
      <c r="CA669" s="274">
        <f t="shared" ref="CA669" si="3598">BZ669-$AQ669</f>
        <v>235666.00200000027</v>
      </c>
      <c r="CB669" s="274">
        <f t="shared" ref="CB669" si="3599">CA669-$AQ669</f>
        <v>234105.30000000028</v>
      </c>
      <c r="CC669" s="274">
        <f t="shared" ref="CC669" si="3600">CB669-$AQ669</f>
        <v>232544.59800000029</v>
      </c>
      <c r="CD669" s="274">
        <f t="shared" ref="CD669" si="3601">CC669-$AQ669</f>
        <v>230983.8960000003</v>
      </c>
      <c r="CE669" s="274">
        <f t="shared" ref="CE669" si="3602">CD669-$AQ669</f>
        <v>229423.19400000031</v>
      </c>
      <c r="CF669" s="274">
        <f t="shared" ref="CF669" si="3603">CE669-$AQ669</f>
        <v>227862.49200000032</v>
      </c>
      <c r="CG669" s="274">
        <f t="shared" ref="CG669" si="3604">CF669-$AQ669</f>
        <v>226301.79000000033</v>
      </c>
      <c r="CH669" s="274">
        <f t="shared" ref="CH669" si="3605">CG669-$AQ669</f>
        <v>224741.08800000034</v>
      </c>
      <c r="CI669" s="274">
        <f t="shared" ref="CI669" si="3606">CH669-$AQ669</f>
        <v>223180.38600000035</v>
      </c>
      <c r="CJ669" s="274">
        <f t="shared" ref="CJ669" si="3607">CI669-$AQ669</f>
        <v>221619.68400000036</v>
      </c>
      <c r="CK669" s="274">
        <f>IF(BD669&lt;1,0,SUM(BY669:CJ669,BU669)/13*$BG$1)</f>
        <v>5081.6457120000059</v>
      </c>
      <c r="CL669" s="272">
        <f>CI669-CJ669</f>
        <v>1560.7019999999902</v>
      </c>
      <c r="CM669" s="272">
        <f t="shared" si="3386"/>
        <v>18728.423999999883</v>
      </c>
      <c r="CN669" s="272">
        <f t="shared" si="3387"/>
        <v>220058.98200000037</v>
      </c>
      <c r="CO669" s="274">
        <f t="shared" ref="CO669" si="3608">CN669-$AQ669</f>
        <v>218498.28000000038</v>
      </c>
      <c r="CP669" s="274">
        <f t="shared" ref="CP669" si="3609">CO669-$AQ669</f>
        <v>216937.57800000039</v>
      </c>
      <c r="CQ669" s="274">
        <f t="shared" ref="CQ669" si="3610">CP669-$AQ669</f>
        <v>215376.8760000004</v>
      </c>
      <c r="CR669" s="274">
        <f t="shared" ref="CR669" si="3611">CQ669-$AQ669</f>
        <v>213816.17400000041</v>
      </c>
      <c r="CS669" s="274">
        <f t="shared" ref="CS669" si="3612">CR669-$AQ669</f>
        <v>212255.47200000042</v>
      </c>
      <c r="CT669" s="274">
        <f t="shared" ref="CT669" si="3613">CS669-$AQ669</f>
        <v>210694.77000000043</v>
      </c>
      <c r="CU669" s="274">
        <f t="shared" ref="CU669" si="3614">CT669-$AQ669</f>
        <v>209134.06800000044</v>
      </c>
      <c r="CV669" s="274">
        <f t="shared" ref="CV669" si="3615">CU669-$AQ669</f>
        <v>207573.36600000045</v>
      </c>
      <c r="CW669" s="274">
        <f t="shared" ref="CW669" si="3616">CV669-$AQ669</f>
        <v>206012.66400000046</v>
      </c>
      <c r="CX669" s="274">
        <f t="shared" ref="CX669" si="3617">CW669-$AQ669</f>
        <v>204451.96200000047</v>
      </c>
      <c r="CY669" s="274">
        <f t="shared" ref="CY669" si="3618">CX669-$AQ669</f>
        <v>202891.26000000047</v>
      </c>
      <c r="CZ669" s="274">
        <f>IF(BS669&lt;1,0,SUM(CN669:CY669,CJ669)/13*$BG$1)</f>
        <v>4669.6203840000089</v>
      </c>
    </row>
    <row r="670" spans="1:104" s="26" customFormat="1" ht="33.75" x14ac:dyDescent="0.2">
      <c r="A670" s="237" t="s">
        <v>2658</v>
      </c>
      <c r="B670" s="185" t="s">
        <v>2659</v>
      </c>
      <c r="C670" s="26" t="s">
        <v>30</v>
      </c>
      <c r="D670" s="42" t="s">
        <v>23</v>
      </c>
      <c r="E670" s="184">
        <v>45236</v>
      </c>
      <c r="F670" s="42" t="s">
        <v>31</v>
      </c>
      <c r="G670" s="234">
        <v>180</v>
      </c>
      <c r="H670" s="39"/>
      <c r="K670" s="40">
        <v>0</v>
      </c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7">
        <f t="shared" ref="AB670:AB676" si="3619">AN670/G670</f>
        <v>311.3796111111111</v>
      </c>
      <c r="AC670" s="44">
        <f t="shared" ref="AC670:AC676" si="3620">AB670</f>
        <v>311.3796111111111</v>
      </c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>
        <f>'08.03'!E80</f>
        <v>56048.33</v>
      </c>
      <c r="AO670" s="39">
        <f t="shared" si="3569"/>
        <v>55736.950388888894</v>
      </c>
      <c r="AP670" s="236">
        <f t="shared" si="3502"/>
        <v>0</v>
      </c>
      <c r="AQ670" s="7">
        <v>311.3796111111111</v>
      </c>
      <c r="AR670" s="7">
        <f t="shared" si="3418"/>
        <v>311.37961111110781</v>
      </c>
      <c r="AS670" s="7">
        <f t="shared" si="3419"/>
        <v>-3.2969182939268649E-12</v>
      </c>
      <c r="AT670" s="7">
        <f t="shared" si="3570"/>
        <v>3736.5553333333332</v>
      </c>
      <c r="AU670" s="39">
        <f t="shared" si="3456"/>
        <v>55425.570777777786</v>
      </c>
      <c r="AV670" s="39">
        <f t="shared" si="3559"/>
        <v>55114.191166666678</v>
      </c>
      <c r="AW670" s="39">
        <f t="shared" si="3571"/>
        <v>54802.811555555571</v>
      </c>
      <c r="AX670" s="39">
        <f t="shared" si="3560"/>
        <v>54491.431944444463</v>
      </c>
      <c r="AY670" s="39">
        <f t="shared" si="3561"/>
        <v>54180.052333333355</v>
      </c>
      <c r="AZ670" s="39">
        <f t="shared" si="3562"/>
        <v>53868.672722222247</v>
      </c>
      <c r="BA670" s="39">
        <f t="shared" si="3563"/>
        <v>53557.293111111139</v>
      </c>
      <c r="BB670" s="39">
        <f t="shared" si="3564"/>
        <v>53245.913500000031</v>
      </c>
      <c r="BC670" s="39">
        <f t="shared" si="3565"/>
        <v>52934.533888888924</v>
      </c>
      <c r="BD670" s="39">
        <f t="shared" si="3566"/>
        <v>52623.154277777816</v>
      </c>
      <c r="BE670" s="39">
        <f t="shared" si="3567"/>
        <v>52311.774666666708</v>
      </c>
      <c r="BF670" s="39">
        <f t="shared" si="3568"/>
        <v>52000.3950555556</v>
      </c>
      <c r="BG670" s="236">
        <f t="shared" si="3557"/>
        <v>0</v>
      </c>
      <c r="BH670" s="7">
        <f t="shared" si="3558"/>
        <v>311.37961111110781</v>
      </c>
      <c r="BI670" s="7">
        <f t="shared" si="3553"/>
        <v>3736.5553333332937</v>
      </c>
      <c r="BJ670" s="7">
        <f t="shared" si="3457"/>
        <v>51689.015444444492</v>
      </c>
      <c r="BK670" s="39">
        <f t="shared" si="3519"/>
        <v>51377.635833333385</v>
      </c>
      <c r="BL670" s="39">
        <f t="shared" si="3572"/>
        <v>51066.256222222277</v>
      </c>
      <c r="BM670" s="39">
        <f t="shared" si="3467"/>
        <v>50754.876611111169</v>
      </c>
      <c r="BN670" s="39">
        <f t="shared" si="3458"/>
        <v>50443.497000000061</v>
      </c>
      <c r="BO670" s="39">
        <f t="shared" si="3459"/>
        <v>50132.117388888953</v>
      </c>
      <c r="BP670" s="39">
        <f t="shared" si="3460"/>
        <v>49820.737777777846</v>
      </c>
      <c r="BQ670" s="39">
        <f t="shared" si="3461"/>
        <v>49509.358166666738</v>
      </c>
      <c r="BR670" s="39">
        <f t="shared" si="3462"/>
        <v>49197.97855555563</v>
      </c>
      <c r="BS670" s="39">
        <f t="shared" si="3463"/>
        <v>48886.598944444522</v>
      </c>
      <c r="BT670" s="39">
        <f t="shared" si="3464"/>
        <v>48575.219333333414</v>
      </c>
      <c r="BU670" s="39">
        <f t="shared" si="3465"/>
        <v>48263.839722222307</v>
      </c>
      <c r="BV670" s="236">
        <f t="shared" si="3554"/>
        <v>0</v>
      </c>
      <c r="BW670" s="7">
        <v>311.3796111111111</v>
      </c>
      <c r="BX670" s="7">
        <f t="shared" si="3385"/>
        <v>3736.5553333333332</v>
      </c>
      <c r="BY670" s="7">
        <f t="shared" si="3555"/>
        <v>47952.460111111199</v>
      </c>
      <c r="BZ670" s="39">
        <f t="shared" si="3520"/>
        <v>47641.080500000091</v>
      </c>
      <c r="CA670" s="39">
        <f t="shared" si="3573"/>
        <v>47329.700888888983</v>
      </c>
      <c r="CB670" s="39">
        <f t="shared" si="3468"/>
        <v>47018.321277777875</v>
      </c>
      <c r="CC670" s="39">
        <f t="shared" si="3352"/>
        <v>46706.941666666768</v>
      </c>
      <c r="CD670" s="39">
        <f t="shared" si="3353"/>
        <v>46395.56205555566</v>
      </c>
      <c r="CE670" s="39">
        <f t="shared" si="3354"/>
        <v>46084.182444444552</v>
      </c>
      <c r="CF670" s="39">
        <f t="shared" si="3355"/>
        <v>45772.802833333444</v>
      </c>
      <c r="CG670" s="39">
        <f t="shared" si="3356"/>
        <v>45461.423222222336</v>
      </c>
      <c r="CH670" s="39">
        <f t="shared" si="3357"/>
        <v>45150.043611111229</v>
      </c>
      <c r="CI670" s="39">
        <f t="shared" si="3358"/>
        <v>44838.664000000121</v>
      </c>
      <c r="CJ670" s="39">
        <f t="shared" si="3359"/>
        <v>44527.284388889013</v>
      </c>
      <c r="CK670" s="236">
        <v>0</v>
      </c>
      <c r="CL670" s="7">
        <v>311.3796111111111</v>
      </c>
      <c r="CM670" s="7">
        <f t="shared" si="3386"/>
        <v>3736.5553333333332</v>
      </c>
      <c r="CN670" s="7">
        <f t="shared" si="3387"/>
        <v>44215.904777777905</v>
      </c>
      <c r="CO670" s="39">
        <f t="shared" si="3521"/>
        <v>43904.525166666797</v>
      </c>
      <c r="CP670" s="39">
        <f t="shared" si="3574"/>
        <v>43593.145555555689</v>
      </c>
      <c r="CQ670" s="39">
        <f t="shared" si="3469"/>
        <v>43281.765944444582</v>
      </c>
      <c r="CR670" s="39">
        <f t="shared" si="3362"/>
        <v>42970.386333333474</v>
      </c>
      <c r="CS670" s="39">
        <f t="shared" si="3388"/>
        <v>42659.006722222366</v>
      </c>
      <c r="CT670" s="39">
        <f t="shared" si="3389"/>
        <v>42347.627111111258</v>
      </c>
      <c r="CU670" s="39">
        <f t="shared" si="3390"/>
        <v>42036.24750000015</v>
      </c>
      <c r="CV670" s="39">
        <f t="shared" si="3391"/>
        <v>41724.867888889043</v>
      </c>
      <c r="CW670" s="39">
        <f t="shared" si="3392"/>
        <v>41413.488277777935</v>
      </c>
      <c r="CX670" s="39">
        <f t="shared" si="3393"/>
        <v>41102.108666666827</v>
      </c>
      <c r="CY670" s="39">
        <f t="shared" si="3394"/>
        <v>40790.729055555719</v>
      </c>
      <c r="CZ670" s="236">
        <v>0</v>
      </c>
    </row>
    <row r="671" spans="1:104" ht="24" customHeight="1" x14ac:dyDescent="0.2">
      <c r="A671" s="231" t="s">
        <v>2660</v>
      </c>
      <c r="B671" s="185" t="s">
        <v>2661</v>
      </c>
      <c r="C671" t="s">
        <v>41</v>
      </c>
      <c r="D671" s="42" t="s">
        <v>42</v>
      </c>
      <c r="E671" s="184">
        <v>45246</v>
      </c>
      <c r="F671" s="42" t="s">
        <v>44</v>
      </c>
      <c r="G671" s="186">
        <v>180</v>
      </c>
      <c r="H671" s="11"/>
      <c r="K671" s="8">
        <v>1</v>
      </c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>
        <f t="shared" si="3619"/>
        <v>1451.9053333333334</v>
      </c>
      <c r="AC671" s="44">
        <f t="shared" si="3620"/>
        <v>1451.9053333333334</v>
      </c>
      <c r="AD671" s="7"/>
      <c r="AE671" s="7"/>
      <c r="AF671" s="7"/>
      <c r="AG671" s="7"/>
      <c r="AH671" s="7"/>
      <c r="AI671" s="7"/>
      <c r="AJ671" s="39"/>
      <c r="AK671" s="39"/>
      <c r="AL671" s="39"/>
      <c r="AM671" s="39"/>
      <c r="AN671" s="39">
        <f>'08.03'!E45</f>
        <v>261342.96</v>
      </c>
      <c r="AO671" s="39">
        <f t="shared" si="3569"/>
        <v>259891.05466666666</v>
      </c>
      <c r="AP671" s="236">
        <f t="shared" si="3502"/>
        <v>882.08833251282044</v>
      </c>
      <c r="AQ671" s="7">
        <v>1451.9053333333334</v>
      </c>
      <c r="AR671" s="7">
        <f t="shared" si="3418"/>
        <v>1451.9053333333286</v>
      </c>
      <c r="AS671" s="7">
        <f t="shared" si="3419"/>
        <v>-4.7748471843078732E-12</v>
      </c>
      <c r="AT671" s="7">
        <f t="shared" si="3570"/>
        <v>17422.864000000001</v>
      </c>
      <c r="AU671" s="39">
        <f t="shared" si="3456"/>
        <v>258439.14933333333</v>
      </c>
      <c r="AV671" s="39">
        <f t="shared" si="3559"/>
        <v>256987.24400000001</v>
      </c>
      <c r="AW671" s="39">
        <f t="shared" si="3571"/>
        <v>255535.33866666668</v>
      </c>
      <c r="AX671" s="39">
        <f t="shared" si="3560"/>
        <v>254083.43333333335</v>
      </c>
      <c r="AY671" s="39">
        <f t="shared" si="3561"/>
        <v>252631.52800000002</v>
      </c>
      <c r="AZ671" s="39">
        <f t="shared" si="3562"/>
        <v>251179.62266666669</v>
      </c>
      <c r="BA671" s="39">
        <f t="shared" si="3563"/>
        <v>249727.71733333336</v>
      </c>
      <c r="BB671" s="39">
        <f t="shared" si="3564"/>
        <v>248275.81200000003</v>
      </c>
      <c r="BC671" s="39">
        <f t="shared" si="3565"/>
        <v>246823.90666666671</v>
      </c>
      <c r="BD671" s="39">
        <f t="shared" si="3566"/>
        <v>245372.00133333338</v>
      </c>
      <c r="BE671" s="39">
        <f t="shared" si="3567"/>
        <v>243920.09600000005</v>
      </c>
      <c r="BF671" s="39">
        <f t="shared" si="3568"/>
        <v>242468.19066666672</v>
      </c>
      <c r="BG671" s="236">
        <f t="shared" si="3557"/>
        <v>5525.9516986666677</v>
      </c>
      <c r="BH671" s="7">
        <f t="shared" si="3558"/>
        <v>1451.9053333333286</v>
      </c>
      <c r="BI671" s="7">
        <f t="shared" si="3553"/>
        <v>17422.863999999943</v>
      </c>
      <c r="BJ671" s="7">
        <f t="shared" si="3457"/>
        <v>241016.28533333339</v>
      </c>
      <c r="BK671" s="39">
        <f t="shared" si="3519"/>
        <v>239564.38000000006</v>
      </c>
      <c r="BL671" s="39">
        <f t="shared" si="3572"/>
        <v>238112.47466666673</v>
      </c>
      <c r="BM671" s="39">
        <f t="shared" si="3467"/>
        <v>236660.56933333341</v>
      </c>
      <c r="BN671" s="39">
        <f t="shared" si="3458"/>
        <v>235208.66400000008</v>
      </c>
      <c r="BO671" s="39">
        <f t="shared" si="3459"/>
        <v>233756.75866666675</v>
      </c>
      <c r="BP671" s="39">
        <f t="shared" si="3460"/>
        <v>232304.85333333342</v>
      </c>
      <c r="BQ671" s="39">
        <f t="shared" si="3461"/>
        <v>230852.94800000009</v>
      </c>
      <c r="BR671" s="39">
        <f t="shared" si="3462"/>
        <v>229401.04266666676</v>
      </c>
      <c r="BS671" s="39">
        <f t="shared" si="3463"/>
        <v>227949.13733333343</v>
      </c>
      <c r="BT671" s="39">
        <f t="shared" si="3464"/>
        <v>226497.23200000011</v>
      </c>
      <c r="BU671" s="39">
        <f t="shared" si="3465"/>
        <v>225045.32666666678</v>
      </c>
      <c r="BV671" s="236">
        <f>IF(AN671&lt;1,0,SUM(BJ671:BU671,BF671)/13*$BG$1)</f>
        <v>5142.6486906666678</v>
      </c>
      <c r="BW671" s="7">
        <v>1451.9053333333334</v>
      </c>
      <c r="BX671" s="7">
        <f t="shared" si="3385"/>
        <v>17422.864000000001</v>
      </c>
      <c r="BY671" s="7">
        <f t="shared" si="3555"/>
        <v>223593.42133333345</v>
      </c>
      <c r="BZ671" s="39">
        <f t="shared" si="3520"/>
        <v>222141.51600000012</v>
      </c>
      <c r="CA671" s="39">
        <f t="shared" si="3573"/>
        <v>220689.61066666679</v>
      </c>
      <c r="CB671" s="39">
        <f t="shared" si="3468"/>
        <v>219237.70533333346</v>
      </c>
      <c r="CC671" s="39">
        <f t="shared" si="3352"/>
        <v>217785.80000000013</v>
      </c>
      <c r="CD671" s="39">
        <f t="shared" si="3353"/>
        <v>216333.89466666681</v>
      </c>
      <c r="CE671" s="39">
        <f t="shared" si="3354"/>
        <v>214881.98933333348</v>
      </c>
      <c r="CF671" s="39">
        <f t="shared" si="3355"/>
        <v>213430.08400000015</v>
      </c>
      <c r="CG671" s="39">
        <f t="shared" si="3356"/>
        <v>211978.17866666682</v>
      </c>
      <c r="CH671" s="39">
        <f t="shared" si="3357"/>
        <v>210526.27333333349</v>
      </c>
      <c r="CI671" s="39">
        <f t="shared" si="3358"/>
        <v>209074.36800000016</v>
      </c>
      <c r="CJ671" s="39">
        <f t="shared" si="3359"/>
        <v>207622.46266666683</v>
      </c>
      <c r="CK671" s="236">
        <f t="shared" ref="CK671:CK677" si="3621">IF(BE671&lt;1,0,SUM(BY671:CJ671,BU671)/13*$BG$1)</f>
        <v>4759.3456826666697</v>
      </c>
      <c r="CL671" s="7">
        <v>1451.9053333333334</v>
      </c>
      <c r="CM671" s="7">
        <f t="shared" si="3386"/>
        <v>17422.864000000001</v>
      </c>
      <c r="CN671" s="7">
        <f t="shared" si="3387"/>
        <v>206170.55733333351</v>
      </c>
      <c r="CO671" s="39">
        <f t="shared" si="3521"/>
        <v>204718.65200000018</v>
      </c>
      <c r="CP671" s="39">
        <f t="shared" si="3574"/>
        <v>203266.74666666685</v>
      </c>
      <c r="CQ671" s="39">
        <f t="shared" si="3469"/>
        <v>201814.84133333352</v>
      </c>
      <c r="CR671" s="39">
        <f t="shared" si="3362"/>
        <v>200362.93600000019</v>
      </c>
      <c r="CS671" s="39">
        <f t="shared" si="3388"/>
        <v>198911.03066666686</v>
      </c>
      <c r="CT671" s="39">
        <f t="shared" si="3389"/>
        <v>197459.12533333353</v>
      </c>
      <c r="CU671" s="39">
        <f t="shared" si="3390"/>
        <v>196007.2200000002</v>
      </c>
      <c r="CV671" s="39">
        <f t="shared" si="3391"/>
        <v>194555.31466666688</v>
      </c>
      <c r="CW671" s="39">
        <f t="shared" si="3392"/>
        <v>193103.40933333355</v>
      </c>
      <c r="CX671" s="39">
        <f t="shared" si="3393"/>
        <v>191651.50400000022</v>
      </c>
      <c r="CY671" s="39">
        <f t="shared" si="3394"/>
        <v>190199.59866666689</v>
      </c>
      <c r="CZ671" s="236">
        <f>IF(BT671&lt;1,0,SUM(CN671:CY671,CJ671)/13*$BG$1)</f>
        <v>4376.0426746666717</v>
      </c>
    </row>
    <row r="672" spans="1:104" s="266" customFormat="1" ht="24" customHeight="1" x14ac:dyDescent="0.2">
      <c r="A672" s="264" t="str">
        <f>'08.03'!A46</f>
        <v>Кабельная линия 0,4кВ (ДТП №859 от 26.01.2022г,МЖД, с.Тельвиска, ул.Пустозерская)</v>
      </c>
      <c r="B672" s="265" t="s">
        <v>2777</v>
      </c>
      <c r="C672" s="266" t="s">
        <v>41</v>
      </c>
      <c r="D672" s="267" t="s">
        <v>42</v>
      </c>
      <c r="E672" s="268">
        <v>45274</v>
      </c>
      <c r="F672" s="267" t="s">
        <v>44</v>
      </c>
      <c r="G672" s="269">
        <v>180</v>
      </c>
      <c r="H672" s="270"/>
      <c r="K672" s="271">
        <v>1</v>
      </c>
      <c r="L672" s="272"/>
      <c r="M672" s="272"/>
      <c r="N672" s="272"/>
      <c r="O672" s="272"/>
      <c r="P672" s="272"/>
      <c r="Q672" s="272"/>
      <c r="R672" s="272"/>
      <c r="S672" s="272"/>
      <c r="T672" s="272"/>
      <c r="U672" s="272"/>
      <c r="V672" s="272"/>
      <c r="W672" s="272"/>
      <c r="X672" s="272"/>
      <c r="Y672" s="272"/>
      <c r="Z672" s="272"/>
      <c r="AA672" s="272"/>
      <c r="AB672" s="272"/>
      <c r="AC672" s="273"/>
      <c r="AD672" s="272"/>
      <c r="AE672" s="272"/>
      <c r="AF672" s="272"/>
      <c r="AG672" s="272"/>
      <c r="AH672" s="272"/>
      <c r="AI672" s="272"/>
      <c r="AJ672" s="274"/>
      <c r="AK672" s="274"/>
      <c r="AL672" s="274"/>
      <c r="AM672" s="274"/>
      <c r="AN672" s="274"/>
      <c r="AO672" s="274">
        <f>'08.03'!E46</f>
        <v>364011.16</v>
      </c>
      <c r="AP672" s="274"/>
      <c r="AQ672" s="272">
        <f>AO672/G672</f>
        <v>2022.2842222222221</v>
      </c>
      <c r="AR672" s="272"/>
      <c r="AS672" s="272"/>
      <c r="AT672" s="272">
        <f t="shared" si="3570"/>
        <v>24267.410666666663</v>
      </c>
      <c r="AU672" s="274">
        <f>AO672-AQ672</f>
        <v>361988.87577777775</v>
      </c>
      <c r="AV672" s="274">
        <f>AU$672-$AQ$672</f>
        <v>359966.59155555553</v>
      </c>
      <c r="AW672" s="274">
        <f t="shared" ref="AW672:BF672" si="3622">AV$672-$AQ$672</f>
        <v>357944.3073333333</v>
      </c>
      <c r="AX672" s="274">
        <f t="shared" si="3622"/>
        <v>355922.02311111108</v>
      </c>
      <c r="AY672" s="274">
        <f t="shared" si="3622"/>
        <v>353899.73888888885</v>
      </c>
      <c r="AZ672" s="274">
        <f t="shared" si="3622"/>
        <v>351877.45466666663</v>
      </c>
      <c r="BA672" s="274">
        <f t="shared" si="3622"/>
        <v>349855.1704444444</v>
      </c>
      <c r="BB672" s="274">
        <f t="shared" si="3622"/>
        <v>347832.88622222218</v>
      </c>
      <c r="BC672" s="274">
        <f t="shared" si="3622"/>
        <v>345810.60199999996</v>
      </c>
      <c r="BD672" s="274">
        <f t="shared" si="3622"/>
        <v>343788.31777777773</v>
      </c>
      <c r="BE672" s="274">
        <f t="shared" si="3622"/>
        <v>341766.03355555551</v>
      </c>
      <c r="BF672" s="274">
        <f t="shared" si="3622"/>
        <v>339743.74933333328</v>
      </c>
      <c r="BG672" s="274">
        <f t="shared" si="3557"/>
        <v>7741.3040026666649</v>
      </c>
      <c r="BH672" s="272">
        <f t="shared" si="3558"/>
        <v>2022.2842222222243</v>
      </c>
      <c r="BI672" s="272">
        <f t="shared" si="3553"/>
        <v>24267.410666666692</v>
      </c>
      <c r="BJ672" s="272">
        <f t="shared" si="3457"/>
        <v>337721.46511111106</v>
      </c>
      <c r="BK672" s="274">
        <f>BJ$672-$BH$672</f>
        <v>335699.18088888883</v>
      </c>
      <c r="BL672" s="274">
        <f t="shared" ref="BL672:BU672" si="3623">BK$672-$BH$672</f>
        <v>333676.89666666661</v>
      </c>
      <c r="BM672" s="274">
        <f t="shared" si="3623"/>
        <v>331654.61244444438</v>
      </c>
      <c r="BN672" s="274">
        <f t="shared" si="3623"/>
        <v>329632.32822222216</v>
      </c>
      <c r="BO672" s="274">
        <f t="shared" si="3623"/>
        <v>327610.04399999994</v>
      </c>
      <c r="BP672" s="274">
        <f t="shared" si="3623"/>
        <v>325587.75977777771</v>
      </c>
      <c r="BQ672" s="274">
        <f t="shared" si="3623"/>
        <v>323565.47555555549</v>
      </c>
      <c r="BR672" s="274">
        <f t="shared" si="3623"/>
        <v>321543.19133333326</v>
      </c>
      <c r="BS672" s="274">
        <f t="shared" si="3623"/>
        <v>319520.90711111104</v>
      </c>
      <c r="BT672" s="274">
        <f t="shared" si="3623"/>
        <v>317498.62288888881</v>
      </c>
      <c r="BU672" s="274">
        <f t="shared" si="3623"/>
        <v>315476.33866666659</v>
      </c>
      <c r="BV672" s="236">
        <f>IF(AO672&lt;1,0,SUM(BJ672:BU672,BF672)/13*$BG$1)</f>
        <v>7207.4209679999994</v>
      </c>
      <c r="BW672" s="272">
        <f>BT672-BU672</f>
        <v>2022.2842222222243</v>
      </c>
      <c r="BX672" s="272">
        <f t="shared" ref="BX672:BX696" si="3624">BW672*12</f>
        <v>24267.410666666692</v>
      </c>
      <c r="BY672" s="272">
        <f t="shared" si="3555"/>
        <v>313454.05444444437</v>
      </c>
      <c r="BZ672" s="274">
        <f>BY$672-$BW$672</f>
        <v>311431.77022222214</v>
      </c>
      <c r="CA672" s="274">
        <f t="shared" ref="CA672:CJ672" si="3625">BZ$672-$BW$672</f>
        <v>309409.48599999992</v>
      </c>
      <c r="CB672" s="274">
        <f t="shared" si="3625"/>
        <v>307387.20177777769</v>
      </c>
      <c r="CC672" s="274">
        <f t="shared" si="3625"/>
        <v>305364.91755555547</v>
      </c>
      <c r="CD672" s="274">
        <f t="shared" si="3625"/>
        <v>303342.63333333324</v>
      </c>
      <c r="CE672" s="274">
        <f t="shared" si="3625"/>
        <v>301320.34911111102</v>
      </c>
      <c r="CF672" s="274">
        <f t="shared" si="3625"/>
        <v>299298.0648888888</v>
      </c>
      <c r="CG672" s="274">
        <f t="shared" si="3625"/>
        <v>297275.78066666657</v>
      </c>
      <c r="CH672" s="274">
        <f t="shared" si="3625"/>
        <v>295253.49644444435</v>
      </c>
      <c r="CI672" s="274">
        <f t="shared" si="3625"/>
        <v>293231.21222222212</v>
      </c>
      <c r="CJ672" s="274">
        <f t="shared" si="3625"/>
        <v>291208.9279999999</v>
      </c>
      <c r="CK672" s="274">
        <f t="shared" si="3621"/>
        <v>6673.5379333333312</v>
      </c>
      <c r="CL672" s="272">
        <f>CI672-CJ672</f>
        <v>2022.2842222222243</v>
      </c>
      <c r="CM672" s="272">
        <f t="shared" ref="CM672:CM703" si="3626">CL672*12</f>
        <v>24267.410666666692</v>
      </c>
      <c r="CN672" s="272">
        <f t="shared" ref="CN672:CN696" si="3627">CJ672-CL672</f>
        <v>289186.64377777767</v>
      </c>
      <c r="CO672" s="274">
        <f>CN$672-$CL$672</f>
        <v>287164.35955555545</v>
      </c>
      <c r="CP672" s="274">
        <f t="shared" ref="CP672:CY672" si="3628">CO$672-$CL$672</f>
        <v>285142.07533333322</v>
      </c>
      <c r="CQ672" s="274">
        <f t="shared" si="3628"/>
        <v>283119.791111111</v>
      </c>
      <c r="CR672" s="274">
        <f t="shared" si="3628"/>
        <v>281097.50688888878</v>
      </c>
      <c r="CS672" s="274">
        <f t="shared" si="3628"/>
        <v>279075.22266666655</v>
      </c>
      <c r="CT672" s="274">
        <f t="shared" si="3628"/>
        <v>277052.93844444433</v>
      </c>
      <c r="CU672" s="274">
        <f t="shared" si="3628"/>
        <v>275030.6542222221</v>
      </c>
      <c r="CV672" s="274">
        <f t="shared" si="3628"/>
        <v>273008.36999999988</v>
      </c>
      <c r="CW672" s="274">
        <f t="shared" si="3628"/>
        <v>270986.08577777765</v>
      </c>
      <c r="CX672" s="274">
        <f t="shared" si="3628"/>
        <v>268963.80155555543</v>
      </c>
      <c r="CY672" s="274">
        <f t="shared" si="3628"/>
        <v>266941.51733333321</v>
      </c>
      <c r="CZ672" s="274">
        <f>IF(BS672&lt;1,0,SUM(CN672:CY672,CJ672)/13*$BG$1)</f>
        <v>6139.6548986666639</v>
      </c>
    </row>
    <row r="673" spans="1:104" ht="24" customHeight="1" x14ac:dyDescent="0.2">
      <c r="A673" s="231" t="s">
        <v>2662</v>
      </c>
      <c r="B673" s="185" t="s">
        <v>2663</v>
      </c>
      <c r="C673" t="s">
        <v>41</v>
      </c>
      <c r="D673" s="42" t="s">
        <v>42</v>
      </c>
      <c r="E673" s="184">
        <v>45246</v>
      </c>
      <c r="F673" s="42" t="s">
        <v>44</v>
      </c>
      <c r="G673" s="186">
        <v>180</v>
      </c>
      <c r="H673" s="11"/>
      <c r="K673" s="8">
        <v>1</v>
      </c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>
        <f t="shared" si="3619"/>
        <v>2430.6796111111112</v>
      </c>
      <c r="AC673" s="44">
        <f t="shared" si="3620"/>
        <v>2430.6796111111112</v>
      </c>
      <c r="AD673" s="7"/>
      <c r="AE673" s="7"/>
      <c r="AF673" s="7"/>
      <c r="AG673" s="7"/>
      <c r="AH673" s="7"/>
      <c r="AI673" s="7"/>
      <c r="AJ673" s="39"/>
      <c r="AK673" s="39"/>
      <c r="AL673" s="39"/>
      <c r="AM673" s="39"/>
      <c r="AN673" s="39">
        <f>'08.03'!E40</f>
        <v>437522.33</v>
      </c>
      <c r="AO673" s="39">
        <f t="shared" si="3569"/>
        <v>435091.6503888889</v>
      </c>
      <c r="AP673" s="236">
        <f t="shared" ref="AP673:AP679" si="3629">IF(K673&lt;1,0,SUM(AD673:AO673,Z673)/13*$BG$1)</f>
        <v>1476.7313514273503</v>
      </c>
      <c r="AQ673" s="7">
        <v>2430.6796111111112</v>
      </c>
      <c r="AR673" s="7">
        <f t="shared" si="3418"/>
        <v>2430.679611111118</v>
      </c>
      <c r="AS673" s="7">
        <f t="shared" si="3419"/>
        <v>6.8212102632969618E-12</v>
      </c>
      <c r="AT673" s="7">
        <f t="shared" si="3570"/>
        <v>29168.155333333336</v>
      </c>
      <c r="AU673" s="39">
        <f t="shared" ref="AU673:AU679" si="3630">AO673-$AQ673</f>
        <v>432660.97077777778</v>
      </c>
      <c r="AV673" s="39">
        <f t="shared" si="3559"/>
        <v>430230.29116666666</v>
      </c>
      <c r="AW673" s="39">
        <f t="shared" si="3571"/>
        <v>427799.61155555554</v>
      </c>
      <c r="AX673" s="39">
        <f t="shared" si="3560"/>
        <v>425368.93194444443</v>
      </c>
      <c r="AY673" s="39">
        <f t="shared" si="3561"/>
        <v>422938.25233333331</v>
      </c>
      <c r="AZ673" s="39">
        <f t="shared" si="3562"/>
        <v>420507.57272222219</v>
      </c>
      <c r="BA673" s="39">
        <f t="shared" si="3563"/>
        <v>418076.89311111107</v>
      </c>
      <c r="BB673" s="39">
        <f t="shared" si="3564"/>
        <v>415646.21349999995</v>
      </c>
      <c r="BC673" s="39">
        <f t="shared" si="3565"/>
        <v>413215.53388888884</v>
      </c>
      <c r="BD673" s="39">
        <f t="shared" si="3566"/>
        <v>410784.85427777772</v>
      </c>
      <c r="BE673" s="39">
        <f t="shared" si="3567"/>
        <v>408354.1746666666</v>
      </c>
      <c r="BF673" s="39">
        <f t="shared" si="3568"/>
        <v>405923.49505555548</v>
      </c>
      <c r="BG673" s="236">
        <f t="shared" si="3557"/>
        <v>9251.1665998888893</v>
      </c>
      <c r="BH673" s="7">
        <f t="shared" si="3558"/>
        <v>2430.679611111118</v>
      </c>
      <c r="BI673" s="7">
        <f t="shared" si="3553"/>
        <v>29168.155333333416</v>
      </c>
      <c r="BJ673" s="7">
        <f t="shared" si="3457"/>
        <v>403492.81544444436</v>
      </c>
      <c r="BK673" s="39">
        <f t="shared" si="3519"/>
        <v>401062.13583333325</v>
      </c>
      <c r="BL673" s="39">
        <f t="shared" si="3572"/>
        <v>398631.45622222213</v>
      </c>
      <c r="BM673" s="39">
        <f t="shared" si="3467"/>
        <v>396200.77661111101</v>
      </c>
      <c r="BN673" s="39">
        <f t="shared" si="3458"/>
        <v>393770.09699999989</v>
      </c>
      <c r="BO673" s="39">
        <f t="shared" si="3459"/>
        <v>391339.41738888877</v>
      </c>
      <c r="BP673" s="39">
        <f t="shared" si="3460"/>
        <v>388908.73777777766</v>
      </c>
      <c r="BQ673" s="39">
        <f t="shared" si="3461"/>
        <v>386478.05816666654</v>
      </c>
      <c r="BR673" s="39">
        <f t="shared" si="3462"/>
        <v>384047.37855555542</v>
      </c>
      <c r="BS673" s="39">
        <f t="shared" si="3463"/>
        <v>381616.6989444443</v>
      </c>
      <c r="BT673" s="39">
        <f t="shared" si="3464"/>
        <v>379186.01933333318</v>
      </c>
      <c r="BU673" s="39">
        <f t="shared" si="3465"/>
        <v>376755.33972222207</v>
      </c>
      <c r="BV673" s="236">
        <f>IF(AN673&lt;1,0,SUM(BJ673:BU673,BF673)/13*$BG$1)</f>
        <v>8609.4671825555506</v>
      </c>
      <c r="BW673" s="7">
        <v>2430.6796111111112</v>
      </c>
      <c r="BX673" s="7">
        <f t="shared" si="3624"/>
        <v>29168.155333333336</v>
      </c>
      <c r="BY673" s="7">
        <f t="shared" si="3555"/>
        <v>374324.66011111095</v>
      </c>
      <c r="BZ673" s="39">
        <f t="shared" si="3520"/>
        <v>371893.98049999983</v>
      </c>
      <c r="CA673" s="39">
        <f t="shared" si="3573"/>
        <v>369463.30088888871</v>
      </c>
      <c r="CB673" s="39">
        <f t="shared" si="3468"/>
        <v>367032.62127777759</v>
      </c>
      <c r="CC673" s="39">
        <f t="shared" si="3352"/>
        <v>364601.94166666648</v>
      </c>
      <c r="CD673" s="39">
        <f t="shared" si="3353"/>
        <v>362171.26205555536</v>
      </c>
      <c r="CE673" s="39">
        <f t="shared" si="3354"/>
        <v>359740.58244444424</v>
      </c>
      <c r="CF673" s="39">
        <f t="shared" si="3355"/>
        <v>357309.90283333312</v>
      </c>
      <c r="CG673" s="39">
        <f t="shared" si="3356"/>
        <v>354879.223222222</v>
      </c>
      <c r="CH673" s="39">
        <f t="shared" si="3357"/>
        <v>352448.54361111089</v>
      </c>
      <c r="CI673" s="39">
        <f t="shared" si="3358"/>
        <v>350017.86399999977</v>
      </c>
      <c r="CJ673" s="39">
        <f t="shared" si="3359"/>
        <v>347587.18438888865</v>
      </c>
      <c r="CK673" s="236">
        <f t="shared" si="3621"/>
        <v>7967.7677652222173</v>
      </c>
      <c r="CL673" s="7">
        <v>2430.6796111111112</v>
      </c>
      <c r="CM673" s="7">
        <f t="shared" si="3626"/>
        <v>29168.155333333336</v>
      </c>
      <c r="CN673" s="7">
        <f t="shared" si="3627"/>
        <v>345156.50477777753</v>
      </c>
      <c r="CO673" s="39">
        <f t="shared" si="3521"/>
        <v>342725.82516666641</v>
      </c>
      <c r="CP673" s="39">
        <f t="shared" si="3574"/>
        <v>340295.1455555553</v>
      </c>
      <c r="CQ673" s="39">
        <f t="shared" si="3469"/>
        <v>337864.46594444418</v>
      </c>
      <c r="CR673" s="39">
        <f t="shared" si="3362"/>
        <v>335433.78633333306</v>
      </c>
      <c r="CS673" s="39">
        <f t="shared" si="3388"/>
        <v>333003.10672222194</v>
      </c>
      <c r="CT673" s="39">
        <f t="shared" si="3389"/>
        <v>330572.42711111082</v>
      </c>
      <c r="CU673" s="39">
        <f t="shared" si="3390"/>
        <v>328141.74749999971</v>
      </c>
      <c r="CV673" s="39">
        <f t="shared" si="3391"/>
        <v>325711.06788888859</v>
      </c>
      <c r="CW673" s="39">
        <f t="shared" si="3392"/>
        <v>323280.38827777747</v>
      </c>
      <c r="CX673" s="39">
        <f t="shared" si="3393"/>
        <v>320849.70866666635</v>
      </c>
      <c r="CY673" s="39">
        <f t="shared" si="3394"/>
        <v>318419.02905555523</v>
      </c>
      <c r="CZ673" s="236">
        <f>IF(BT673&lt;1,0,SUM(CN673:CY673,CJ673)/13*$BG$1)</f>
        <v>7326.0683478888823</v>
      </c>
    </row>
    <row r="674" spans="1:104" ht="24" customHeight="1" x14ac:dyDescent="0.2">
      <c r="A674" s="231" t="s">
        <v>2675</v>
      </c>
      <c r="B674" s="185" t="s">
        <v>2670</v>
      </c>
      <c r="C674" t="s">
        <v>41</v>
      </c>
      <c r="D674" s="42" t="s">
        <v>42</v>
      </c>
      <c r="E674" s="184">
        <v>45252</v>
      </c>
      <c r="F674" s="42" t="s">
        <v>44</v>
      </c>
      <c r="G674" s="186">
        <v>180</v>
      </c>
      <c r="H674" s="11"/>
      <c r="K674" s="8">
        <v>1</v>
      </c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>
        <f t="shared" si="3619"/>
        <v>736.49861111111113</v>
      </c>
      <c r="AC674" s="44">
        <f t="shared" si="3620"/>
        <v>736.49861111111113</v>
      </c>
      <c r="AD674" s="7"/>
      <c r="AE674" s="7"/>
      <c r="AF674" s="7"/>
      <c r="AG674" s="7"/>
      <c r="AH674" s="7"/>
      <c r="AI674" s="7"/>
      <c r="AJ674" s="39"/>
      <c r="AK674" s="39"/>
      <c r="AL674" s="39"/>
      <c r="AM674" s="39"/>
      <c r="AN674" s="39">
        <f>'08.03'!E15</f>
        <v>132569.75</v>
      </c>
      <c r="AO674" s="39">
        <f t="shared" si="3569"/>
        <v>131833.25138888889</v>
      </c>
      <c r="AP674" s="236">
        <f t="shared" si="3629"/>
        <v>447.45123311965813</v>
      </c>
      <c r="AQ674" s="7">
        <f>AB674</f>
        <v>736.49861111111113</v>
      </c>
      <c r="AR674" s="7">
        <f t="shared" si="3418"/>
        <v>736.49861111110658</v>
      </c>
      <c r="AS674" s="7">
        <f t="shared" si="3419"/>
        <v>-4.5474735088646412E-12</v>
      </c>
      <c r="AT674" s="7">
        <f t="shared" si="3570"/>
        <v>8837.9833333333336</v>
      </c>
      <c r="AU674" s="39">
        <f t="shared" si="3630"/>
        <v>131096.75277777779</v>
      </c>
      <c r="AV674" s="39">
        <f t="shared" si="3559"/>
        <v>130360.25416666668</v>
      </c>
      <c r="AW674" s="39">
        <f t="shared" si="3571"/>
        <v>129623.75555555557</v>
      </c>
      <c r="AX674" s="39">
        <f t="shared" ref="AX674" si="3631">AW674-$AQ674</f>
        <v>128887.25694444447</v>
      </c>
      <c r="AY674" s="39">
        <f t="shared" ref="AY674" si="3632">AX674-$AQ674</f>
        <v>128150.75833333336</v>
      </c>
      <c r="AZ674" s="39">
        <f t="shared" ref="AZ674" si="3633">AY674-$AQ674</f>
        <v>127414.25972222225</v>
      </c>
      <c r="BA674" s="39">
        <f t="shared" ref="BA674" si="3634">AZ674-$AQ674</f>
        <v>126677.76111111115</v>
      </c>
      <c r="BB674" s="39">
        <f t="shared" ref="BB674" si="3635">BA674-$AQ674</f>
        <v>125941.26250000004</v>
      </c>
      <c r="BC674" s="39">
        <f t="shared" ref="BC674" si="3636">BB674-$AQ674</f>
        <v>125204.76388888893</v>
      </c>
      <c r="BD674" s="39">
        <f t="shared" ref="BD674" si="3637">BC674-$AQ674</f>
        <v>124468.26527777783</v>
      </c>
      <c r="BE674" s="39">
        <f t="shared" ref="BE674" si="3638">BD674-$AQ674</f>
        <v>123731.76666666672</v>
      </c>
      <c r="BF674" s="39">
        <f t="shared" ref="BF674" si="3639">BE674-$AQ674</f>
        <v>122995.26805555561</v>
      </c>
      <c r="BG674" s="236">
        <f t="shared" si="3557"/>
        <v>2803.1137138888898</v>
      </c>
      <c r="BH674" s="7">
        <f t="shared" si="3558"/>
        <v>736.49861111110658</v>
      </c>
      <c r="BI674" s="7">
        <f t="shared" si="3553"/>
        <v>8837.983333333279</v>
      </c>
      <c r="BJ674" s="7">
        <f t="shared" si="3457"/>
        <v>122258.76944444451</v>
      </c>
      <c r="BK674" s="39">
        <f t="shared" ref="BK674" si="3640">BJ674-$AQ674</f>
        <v>121522.2708333334</v>
      </c>
      <c r="BL674" s="39">
        <f t="shared" ref="BL674" si="3641">BK674-$AQ674</f>
        <v>120785.77222222229</v>
      </c>
      <c r="BM674" s="39">
        <f t="shared" ref="BM674" si="3642">BL674-$AQ674</f>
        <v>120049.27361111119</v>
      </c>
      <c r="BN674" s="39">
        <f t="shared" ref="BN674" si="3643">BM674-$AQ674</f>
        <v>119312.77500000008</v>
      </c>
      <c r="BO674" s="39">
        <f t="shared" ref="BO674" si="3644">BN674-$AQ674</f>
        <v>118576.27638888897</v>
      </c>
      <c r="BP674" s="39">
        <f t="shared" ref="BP674" si="3645">BO674-$AQ674</f>
        <v>117839.77777777787</v>
      </c>
      <c r="BQ674" s="39">
        <f t="shared" ref="BQ674" si="3646">BP674-$AQ674</f>
        <v>117103.27916666676</v>
      </c>
      <c r="BR674" s="39">
        <f t="shared" ref="BR674" si="3647">BQ674-$AQ674</f>
        <v>116366.78055555566</v>
      </c>
      <c r="BS674" s="39">
        <f t="shared" ref="BS674" si="3648">BR674-$AQ674</f>
        <v>115630.28194444455</v>
      </c>
      <c r="BT674" s="39">
        <f t="shared" ref="BT674" si="3649">BS674-$AQ674</f>
        <v>114893.78333333344</v>
      </c>
      <c r="BU674" s="39">
        <f t="shared" ref="BU674" si="3650">BT674-$AQ674</f>
        <v>114157.28472222234</v>
      </c>
      <c r="BV674" s="236">
        <f>IF(AN674&lt;1,0,SUM(BJ674:BU674,BF674)/13*$BG$1)</f>
        <v>2608.6780805555572</v>
      </c>
      <c r="BW674" s="7">
        <f t="shared" ref="BW674:BW679" si="3651">BH674</f>
        <v>736.49861111110658</v>
      </c>
      <c r="BX674" s="7">
        <f t="shared" si="3624"/>
        <v>8837.983333333279</v>
      </c>
      <c r="BY674" s="7">
        <f t="shared" si="3555"/>
        <v>113420.78611111123</v>
      </c>
      <c r="BZ674" s="39">
        <f t="shared" ref="BZ674" si="3652">BY674-$AQ674</f>
        <v>112684.28750000012</v>
      </c>
      <c r="CA674" s="39">
        <f t="shared" ref="CA674" si="3653">BZ674-$AQ674</f>
        <v>111947.78888888902</v>
      </c>
      <c r="CB674" s="39">
        <f t="shared" ref="CB674" si="3654">CA674-$AQ674</f>
        <v>111211.29027777791</v>
      </c>
      <c r="CC674" s="39">
        <f t="shared" ref="CC674" si="3655">CB674-$AQ674</f>
        <v>110474.7916666668</v>
      </c>
      <c r="CD674" s="39">
        <f t="shared" ref="CD674" si="3656">CC674-$AQ674</f>
        <v>109738.2930555557</v>
      </c>
      <c r="CE674" s="39">
        <f t="shared" ref="CE674" si="3657">CD674-$AQ674</f>
        <v>109001.79444444459</v>
      </c>
      <c r="CF674" s="39">
        <f t="shared" ref="CF674" si="3658">CE674-$AQ674</f>
        <v>108265.29583333348</v>
      </c>
      <c r="CG674" s="39">
        <f t="shared" ref="CG674" si="3659">CF674-$AQ674</f>
        <v>107528.79722222238</v>
      </c>
      <c r="CH674" s="39">
        <f t="shared" ref="CH674" si="3660">CG674-$AQ674</f>
        <v>106792.29861111127</v>
      </c>
      <c r="CI674" s="39">
        <f t="shared" ref="CI674" si="3661">CH674-$AQ674</f>
        <v>106055.80000000016</v>
      </c>
      <c r="CJ674" s="39">
        <f t="shared" ref="CJ674" si="3662">CI674-$AQ674</f>
        <v>105319.30138888906</v>
      </c>
      <c r="CK674" s="236">
        <f t="shared" si="3621"/>
        <v>2414.2424472222251</v>
      </c>
      <c r="CL674" s="7">
        <f t="shared" ref="CL674:CL679" si="3663">BW674</f>
        <v>736.49861111110658</v>
      </c>
      <c r="CM674" s="7">
        <f t="shared" si="3626"/>
        <v>8837.983333333279</v>
      </c>
      <c r="CN674" s="7">
        <f t="shared" si="3627"/>
        <v>104582.80277777795</v>
      </c>
      <c r="CO674" s="39">
        <f t="shared" ref="CO674" si="3664">CN674-$AQ674</f>
        <v>103846.30416666684</v>
      </c>
      <c r="CP674" s="39">
        <f t="shared" ref="CP674" si="3665">CO674-$AQ674</f>
        <v>103109.80555555574</v>
      </c>
      <c r="CQ674" s="39">
        <f t="shared" ref="CQ674" si="3666">CP674-$AQ674</f>
        <v>102373.30694444463</v>
      </c>
      <c r="CR674" s="39">
        <f t="shared" ref="CR674" si="3667">CQ674-$AQ674</f>
        <v>101636.80833333352</v>
      </c>
      <c r="CS674" s="39">
        <f t="shared" ref="CS674" si="3668">CR674-$AQ674</f>
        <v>100900.30972222242</v>
      </c>
      <c r="CT674" s="39">
        <f t="shared" ref="CT674" si="3669">CS674-$AQ674</f>
        <v>100163.81111111131</v>
      </c>
      <c r="CU674" s="39">
        <f t="shared" ref="CU674" si="3670">CT674-$AQ674</f>
        <v>99427.312500000204</v>
      </c>
      <c r="CV674" s="39">
        <f t="shared" ref="CV674" si="3671">CU674-$AQ674</f>
        <v>98690.813888889097</v>
      </c>
      <c r="CW674" s="39">
        <f t="shared" ref="CW674" si="3672">CV674-$AQ674</f>
        <v>97954.315277777991</v>
      </c>
      <c r="CX674" s="39">
        <f t="shared" ref="CX674" si="3673">CW674-$AQ674</f>
        <v>97217.816666666884</v>
      </c>
      <c r="CY674" s="39">
        <f t="shared" ref="CY674" si="3674">CX674-$AQ674</f>
        <v>96481.318055555777</v>
      </c>
      <c r="CZ674" s="236">
        <f>IF(BT674&lt;1,0,SUM(CN674:CY674,CJ674)/13*$BG$1)</f>
        <v>2219.806813888893</v>
      </c>
    </row>
    <row r="675" spans="1:104" ht="24" customHeight="1" x14ac:dyDescent="0.2">
      <c r="A675" s="231" t="s">
        <v>2676</v>
      </c>
      <c r="B675" s="185" t="s">
        <v>2671</v>
      </c>
      <c r="C675" t="s">
        <v>41</v>
      </c>
      <c r="D675" s="42" t="s">
        <v>42</v>
      </c>
      <c r="E675" s="184">
        <v>45252</v>
      </c>
      <c r="F675" s="42" t="s">
        <v>44</v>
      </c>
      <c r="G675" s="186">
        <v>180</v>
      </c>
      <c r="H675" s="11"/>
      <c r="K675" s="8">
        <v>1</v>
      </c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>
        <f t="shared" si="3619"/>
        <v>2942.4278888888889</v>
      </c>
      <c r="AC675" s="44">
        <f t="shared" si="3620"/>
        <v>2942.4278888888889</v>
      </c>
      <c r="AD675" s="7"/>
      <c r="AE675" s="7"/>
      <c r="AF675" s="7"/>
      <c r="AG675" s="7"/>
      <c r="AH675" s="7"/>
      <c r="AI675" s="7"/>
      <c r="AJ675" s="39"/>
      <c r="AK675" s="39"/>
      <c r="AL675" s="39"/>
      <c r="AM675" s="39"/>
      <c r="AN675" s="39">
        <f>'08.03'!E37</f>
        <v>529637.02</v>
      </c>
      <c r="AO675" s="39">
        <f t="shared" si="3569"/>
        <v>526694.59211111115</v>
      </c>
      <c r="AP675" s="236">
        <f t="shared" si="3629"/>
        <v>1787.6381128034188</v>
      </c>
      <c r="AQ675" s="7">
        <f t="shared" ref="AQ675:AQ679" si="3675">AB675</f>
        <v>2942.4278888888889</v>
      </c>
      <c r="AR675" s="7">
        <f t="shared" si="3418"/>
        <v>2942.4278888888657</v>
      </c>
      <c r="AS675" s="7">
        <f t="shared" si="3419"/>
        <v>-2.319211489520967E-11</v>
      </c>
      <c r="AT675" s="7">
        <f t="shared" ref="AT675" si="3676">AQ675*12</f>
        <v>35309.134666666665</v>
      </c>
      <c r="AU675" s="39">
        <f t="shared" si="3630"/>
        <v>523752.16422222229</v>
      </c>
      <c r="AV675" s="39">
        <f t="shared" ref="AV675" si="3677">AU675-$AQ675</f>
        <v>520809.73633333342</v>
      </c>
      <c r="AW675" s="39">
        <f t="shared" ref="AW675" si="3678">AV675-$AQ675</f>
        <v>517867.30844444456</v>
      </c>
      <c r="AX675" s="39">
        <f t="shared" ref="AX675" si="3679">AW675-$AQ675</f>
        <v>514924.88055555569</v>
      </c>
      <c r="AY675" s="39">
        <f t="shared" ref="AY675" si="3680">AX675-$AQ675</f>
        <v>511982.45266666682</v>
      </c>
      <c r="AZ675" s="39">
        <f t="shared" ref="AZ675" si="3681">AY675-$AQ675</f>
        <v>509040.02477777796</v>
      </c>
      <c r="BA675" s="39">
        <f t="shared" ref="BA675" si="3682">AZ675-$AQ675</f>
        <v>506097.59688888909</v>
      </c>
      <c r="BB675" s="39">
        <f t="shared" ref="BB675" si="3683">BA675-$AQ675</f>
        <v>503155.16900000023</v>
      </c>
      <c r="BC675" s="39">
        <f t="shared" ref="BC675" si="3684">BB675-$AQ675</f>
        <v>500212.74111111136</v>
      </c>
      <c r="BD675" s="39">
        <f t="shared" ref="BD675" si="3685">BC675-$AQ675</f>
        <v>497270.3132222225</v>
      </c>
      <c r="BE675" s="39">
        <f t="shared" ref="BE675" si="3686">BD675-$AQ675</f>
        <v>494327.88533333363</v>
      </c>
      <c r="BF675" s="39">
        <f t="shared" ref="BF675" si="3687">BE675-$AQ675</f>
        <v>491385.45744444476</v>
      </c>
      <c r="BG675" s="236">
        <f t="shared" si="3557"/>
        <v>11198.880545111111</v>
      </c>
      <c r="BH675" s="7">
        <f t="shared" si="3558"/>
        <v>2942.4278888888657</v>
      </c>
      <c r="BI675" s="7">
        <f t="shared" si="3553"/>
        <v>35309.134666666389</v>
      </c>
      <c r="BJ675" s="7">
        <f t="shared" si="3457"/>
        <v>488443.0295555559</v>
      </c>
      <c r="BK675" s="39">
        <f t="shared" ref="BK675" si="3688">BJ675-$AQ675</f>
        <v>485500.60166666703</v>
      </c>
      <c r="BL675" s="39">
        <f t="shared" ref="BL675" si="3689">BK675-$AQ675</f>
        <v>482558.17377777817</v>
      </c>
      <c r="BM675" s="39">
        <f t="shared" ref="BM675" si="3690">BL675-$AQ675</f>
        <v>479615.7458888893</v>
      </c>
      <c r="BN675" s="39">
        <f t="shared" ref="BN675" si="3691">BM675-$AQ675</f>
        <v>476673.31800000044</v>
      </c>
      <c r="BO675" s="39">
        <f t="shared" ref="BO675" si="3692">BN675-$AQ675</f>
        <v>473730.89011111157</v>
      </c>
      <c r="BP675" s="39">
        <f t="shared" ref="BP675" si="3693">BO675-$AQ675</f>
        <v>470788.4622222227</v>
      </c>
      <c r="BQ675" s="39">
        <f t="shared" ref="BQ675" si="3694">BP675-$AQ675</f>
        <v>467846.03433333384</v>
      </c>
      <c r="BR675" s="39">
        <f t="shared" ref="BR675" si="3695">BQ675-$AQ675</f>
        <v>464903.60644444497</v>
      </c>
      <c r="BS675" s="39">
        <f t="shared" ref="BS675" si="3696">BR675-$AQ675</f>
        <v>461961.17855555611</v>
      </c>
      <c r="BT675" s="39">
        <f t="shared" ref="BT675" si="3697">BS675-$AQ675</f>
        <v>459018.75066666724</v>
      </c>
      <c r="BU675" s="39">
        <f t="shared" ref="BU675" si="3698">BT675-$AQ675</f>
        <v>456076.32277777838</v>
      </c>
      <c r="BV675" s="236">
        <f>IF(AN675&lt;1,0,SUM(BJ675:BU675,BF675)/13*$BG$1)</f>
        <v>10422.07958244445</v>
      </c>
      <c r="BW675" s="7">
        <f t="shared" si="3651"/>
        <v>2942.4278888888657</v>
      </c>
      <c r="BX675" s="7">
        <f t="shared" si="3624"/>
        <v>35309.134666666389</v>
      </c>
      <c r="BY675" s="7">
        <f t="shared" si="3555"/>
        <v>453133.89488888951</v>
      </c>
      <c r="BZ675" s="39">
        <f t="shared" ref="BZ675" si="3699">BY675-$AQ675</f>
        <v>450191.46700000064</v>
      </c>
      <c r="CA675" s="39">
        <f t="shared" ref="CA675" si="3700">BZ675-$AQ675</f>
        <v>447249.03911111178</v>
      </c>
      <c r="CB675" s="39">
        <f t="shared" ref="CB675" si="3701">CA675-$AQ675</f>
        <v>444306.61122222291</v>
      </c>
      <c r="CC675" s="39">
        <f t="shared" ref="CC675" si="3702">CB675-$AQ675</f>
        <v>441364.18333333405</v>
      </c>
      <c r="CD675" s="39">
        <f t="shared" ref="CD675" si="3703">CC675-$AQ675</f>
        <v>438421.75544444518</v>
      </c>
      <c r="CE675" s="39">
        <f t="shared" ref="CE675" si="3704">CD675-$AQ675</f>
        <v>435479.32755555632</v>
      </c>
      <c r="CF675" s="39">
        <f t="shared" ref="CF675" si="3705">CE675-$AQ675</f>
        <v>432536.89966666745</v>
      </c>
      <c r="CG675" s="39">
        <f t="shared" ref="CG675" si="3706">CF675-$AQ675</f>
        <v>429594.47177777858</v>
      </c>
      <c r="CH675" s="39">
        <f t="shared" ref="CH675" si="3707">CG675-$AQ675</f>
        <v>426652.04388888972</v>
      </c>
      <c r="CI675" s="39">
        <f t="shared" ref="CI675" si="3708">CH675-$AQ675</f>
        <v>423709.61600000085</v>
      </c>
      <c r="CJ675" s="39">
        <f t="shared" ref="CJ675" si="3709">CI675-$AQ675</f>
        <v>420767.18811111199</v>
      </c>
      <c r="CK675" s="236">
        <f t="shared" si="3621"/>
        <v>9645.2786197777914</v>
      </c>
      <c r="CL675" s="7">
        <f t="shared" si="3663"/>
        <v>2942.4278888888657</v>
      </c>
      <c r="CM675" s="7">
        <f t="shared" si="3626"/>
        <v>35309.134666666389</v>
      </c>
      <c r="CN675" s="7">
        <f t="shared" si="3627"/>
        <v>417824.76022222312</v>
      </c>
      <c r="CO675" s="39">
        <f t="shared" ref="CO675" si="3710">CN675-$AQ675</f>
        <v>414882.33233333426</v>
      </c>
      <c r="CP675" s="39">
        <f t="shared" ref="CP675" si="3711">CO675-$AQ675</f>
        <v>411939.90444444539</v>
      </c>
      <c r="CQ675" s="39">
        <f t="shared" ref="CQ675" si="3712">CP675-$AQ675</f>
        <v>408997.47655555652</v>
      </c>
      <c r="CR675" s="39">
        <f t="shared" ref="CR675" si="3713">CQ675-$AQ675</f>
        <v>406055.04866666766</v>
      </c>
      <c r="CS675" s="39">
        <f t="shared" ref="CS675" si="3714">CR675-$AQ675</f>
        <v>403112.62077777879</v>
      </c>
      <c r="CT675" s="39">
        <f t="shared" ref="CT675" si="3715">CS675-$AQ675</f>
        <v>400170.19288888993</v>
      </c>
      <c r="CU675" s="39">
        <f t="shared" ref="CU675" si="3716">CT675-$AQ675</f>
        <v>397227.76500000106</v>
      </c>
      <c r="CV675" s="39">
        <f t="shared" ref="CV675" si="3717">CU675-$AQ675</f>
        <v>394285.3371111122</v>
      </c>
      <c r="CW675" s="39">
        <f t="shared" ref="CW675" si="3718">CV675-$AQ675</f>
        <v>391342.90922222333</v>
      </c>
      <c r="CX675" s="39">
        <f t="shared" ref="CX675" si="3719">CW675-$AQ675</f>
        <v>388400.48133333446</v>
      </c>
      <c r="CY675" s="39">
        <f t="shared" ref="CY675" si="3720">CX675-$AQ675</f>
        <v>385458.0534444456</v>
      </c>
      <c r="CZ675" s="236">
        <f>IF(BT675&lt;1,0,SUM(CN675:CY675,CJ675)/13*$BG$1)</f>
        <v>8868.4776571111324</v>
      </c>
    </row>
    <row r="676" spans="1:104" x14ac:dyDescent="0.2">
      <c r="A676" s="231" t="s">
        <v>2677</v>
      </c>
      <c r="B676" s="185" t="s">
        <v>2672</v>
      </c>
      <c r="C676" t="s">
        <v>41</v>
      </c>
      <c r="D676" s="42" t="s">
        <v>42</v>
      </c>
      <c r="E676" s="184">
        <v>45257</v>
      </c>
      <c r="F676" s="42" t="s">
        <v>44</v>
      </c>
      <c r="G676" s="186">
        <v>180</v>
      </c>
      <c r="H676" s="11"/>
      <c r="K676" s="8">
        <v>1</v>
      </c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>
        <f t="shared" si="3619"/>
        <v>2509.701222222222</v>
      </c>
      <c r="AC676" s="44">
        <f t="shared" si="3620"/>
        <v>2509.701222222222</v>
      </c>
      <c r="AD676" s="7"/>
      <c r="AE676" s="7"/>
      <c r="AF676" s="7"/>
      <c r="AG676" s="7"/>
      <c r="AH676" s="7"/>
      <c r="AI676" s="7"/>
      <c r="AJ676" s="39"/>
      <c r="AK676" s="39"/>
      <c r="AL676" s="39"/>
      <c r="AM676" s="39"/>
      <c r="AN676" s="39">
        <f>'08.03'!E19</f>
        <v>451746.22</v>
      </c>
      <c r="AO676" s="39">
        <f t="shared" si="3569"/>
        <v>449236.51877777773</v>
      </c>
      <c r="AP676" s="236">
        <f t="shared" si="3629"/>
        <v>1524.7400194700849</v>
      </c>
      <c r="AQ676" s="7">
        <f t="shared" si="3675"/>
        <v>2509.701222222222</v>
      </c>
      <c r="AR676" s="7">
        <f t="shared" si="3418"/>
        <v>2509.7012222222402</v>
      </c>
      <c r="AS676" s="7">
        <f t="shared" si="3419"/>
        <v>1.8189894035458565E-11</v>
      </c>
      <c r="AT676" s="7">
        <f t="shared" ref="AT676" si="3721">AQ676*12</f>
        <v>30116.414666666664</v>
      </c>
      <c r="AU676" s="39">
        <f t="shared" si="3630"/>
        <v>446726.81755555549</v>
      </c>
      <c r="AV676" s="39">
        <f t="shared" ref="AV676" si="3722">AU676-$AQ676</f>
        <v>444217.11633333325</v>
      </c>
      <c r="AW676" s="39">
        <f t="shared" ref="AW676" si="3723">AV676-$AQ676</f>
        <v>441707.41511111101</v>
      </c>
      <c r="AX676" s="39">
        <f t="shared" ref="AX676" si="3724">AW676-$AQ676</f>
        <v>439197.71388888877</v>
      </c>
      <c r="AY676" s="39">
        <f t="shared" ref="AY676" si="3725">AX676-$AQ676</f>
        <v>436688.01266666653</v>
      </c>
      <c r="AZ676" s="39">
        <f t="shared" ref="AZ676" si="3726">AY676-$AQ676</f>
        <v>434178.31144444429</v>
      </c>
      <c r="BA676" s="39">
        <f t="shared" ref="BA676" si="3727">AZ676-$AQ676</f>
        <v>431668.61022222205</v>
      </c>
      <c r="BB676" s="39">
        <f t="shared" ref="BB676" si="3728">BA676-$AQ676</f>
        <v>429158.90899999981</v>
      </c>
      <c r="BC676" s="39">
        <f t="shared" ref="BC676" si="3729">BB676-$AQ676</f>
        <v>426649.20777777757</v>
      </c>
      <c r="BD676" s="39">
        <f t="shared" ref="BD676" si="3730">BC676-$AQ676</f>
        <v>424139.50655555533</v>
      </c>
      <c r="BE676" s="39">
        <f t="shared" ref="BE676" si="3731">BD676-$AQ676</f>
        <v>421629.80533333309</v>
      </c>
      <c r="BF676" s="39">
        <f t="shared" ref="BF676" si="3732">BE676-$AQ676</f>
        <v>419120.10411111085</v>
      </c>
      <c r="BG676" s="236">
        <f t="shared" si="3557"/>
        <v>9551.9228517777738</v>
      </c>
      <c r="BH676" s="7">
        <f t="shared" si="3558"/>
        <v>2509.7012222222402</v>
      </c>
      <c r="BI676" s="7">
        <f t="shared" si="3553"/>
        <v>30116.414666666882</v>
      </c>
      <c r="BJ676" s="7">
        <f t="shared" si="3457"/>
        <v>416610.40288888861</v>
      </c>
      <c r="BK676" s="39">
        <f t="shared" ref="BK676" si="3733">BJ676-$AQ676</f>
        <v>414100.70166666637</v>
      </c>
      <c r="BL676" s="39">
        <f t="shared" ref="BL676" si="3734">BK676-$AQ676</f>
        <v>411591.00044444413</v>
      </c>
      <c r="BM676" s="39">
        <f t="shared" ref="BM676" si="3735">BL676-$AQ676</f>
        <v>409081.29922222189</v>
      </c>
      <c r="BN676" s="39">
        <f t="shared" ref="BN676" si="3736">BM676-$AQ676</f>
        <v>406571.59799999965</v>
      </c>
      <c r="BO676" s="39">
        <f t="shared" ref="BO676" si="3737">BN676-$AQ676</f>
        <v>404061.89677777741</v>
      </c>
      <c r="BP676" s="39">
        <f t="shared" ref="BP676" si="3738">BO676-$AQ676</f>
        <v>401552.19555555517</v>
      </c>
      <c r="BQ676" s="39">
        <f t="shared" ref="BQ676" si="3739">BP676-$AQ676</f>
        <v>399042.49433333293</v>
      </c>
      <c r="BR676" s="39">
        <f t="shared" ref="BR676" si="3740">BQ676-$AQ676</f>
        <v>396532.79311111069</v>
      </c>
      <c r="BS676" s="39">
        <f t="shared" ref="BS676" si="3741">BR676-$AQ676</f>
        <v>394023.09188888845</v>
      </c>
      <c r="BT676" s="39">
        <f t="shared" ref="BT676" si="3742">BS676-$AQ676</f>
        <v>391513.39066666621</v>
      </c>
      <c r="BU676" s="39">
        <f t="shared" ref="BU676" si="3743">BT676-$AQ676</f>
        <v>389003.68944444397</v>
      </c>
      <c r="BV676" s="236">
        <f>IF(AN676&lt;1,0,SUM(BJ676:BU676,BF676)/13*$BG$1)</f>
        <v>8889.3617291111004</v>
      </c>
      <c r="BW676" s="7">
        <f t="shared" si="3651"/>
        <v>2509.7012222222402</v>
      </c>
      <c r="BX676" s="7">
        <f t="shared" si="3624"/>
        <v>30116.414666666882</v>
      </c>
      <c r="BY676" s="7">
        <f t="shared" si="3555"/>
        <v>386493.98822222173</v>
      </c>
      <c r="BZ676" s="39">
        <f t="shared" ref="BZ676" si="3744">BY676-$AQ676</f>
        <v>383984.28699999949</v>
      </c>
      <c r="CA676" s="39">
        <f t="shared" ref="CA676" si="3745">BZ676-$AQ676</f>
        <v>381474.58577777725</v>
      </c>
      <c r="CB676" s="39">
        <f t="shared" ref="CB676" si="3746">CA676-$AQ676</f>
        <v>378964.88455555501</v>
      </c>
      <c r="CC676" s="39">
        <f t="shared" ref="CC676" si="3747">CB676-$AQ676</f>
        <v>376455.18333333277</v>
      </c>
      <c r="CD676" s="39">
        <f t="shared" ref="CD676" si="3748">CC676-$AQ676</f>
        <v>373945.48211111053</v>
      </c>
      <c r="CE676" s="39">
        <f t="shared" ref="CE676" si="3749">CD676-$AQ676</f>
        <v>371435.78088888829</v>
      </c>
      <c r="CF676" s="39">
        <f t="shared" ref="CF676" si="3750">CE676-$AQ676</f>
        <v>368926.07966666605</v>
      </c>
      <c r="CG676" s="39">
        <f t="shared" ref="CG676" si="3751">CF676-$AQ676</f>
        <v>366416.37844444381</v>
      </c>
      <c r="CH676" s="39">
        <f t="shared" ref="CH676" si="3752">CG676-$AQ676</f>
        <v>363906.67722222157</v>
      </c>
      <c r="CI676" s="39">
        <f t="shared" ref="CI676" si="3753">CH676-$AQ676</f>
        <v>361396.97599999933</v>
      </c>
      <c r="CJ676" s="39">
        <f t="shared" ref="CJ676" si="3754">CI676-$AQ676</f>
        <v>358887.27477777709</v>
      </c>
      <c r="CK676" s="236">
        <f t="shared" si="3621"/>
        <v>8226.8006064444326</v>
      </c>
      <c r="CL676" s="7">
        <f t="shared" si="3663"/>
        <v>2509.7012222222402</v>
      </c>
      <c r="CM676" s="7">
        <f t="shared" si="3626"/>
        <v>30116.414666666882</v>
      </c>
      <c r="CN676" s="7">
        <f t="shared" si="3627"/>
        <v>356377.57355555485</v>
      </c>
      <c r="CO676" s="39">
        <f t="shared" ref="CO676" si="3755">CN676-$AQ676</f>
        <v>353867.87233333261</v>
      </c>
      <c r="CP676" s="39">
        <f t="shared" ref="CP676" si="3756">CO676-$AQ676</f>
        <v>351358.17111111037</v>
      </c>
      <c r="CQ676" s="39">
        <f t="shared" ref="CQ676" si="3757">CP676-$AQ676</f>
        <v>348848.46988888812</v>
      </c>
      <c r="CR676" s="39">
        <f t="shared" ref="CR676" si="3758">CQ676-$AQ676</f>
        <v>346338.76866666588</v>
      </c>
      <c r="CS676" s="39">
        <f t="shared" ref="CS676" si="3759">CR676-$AQ676</f>
        <v>343829.06744444364</v>
      </c>
      <c r="CT676" s="39">
        <f t="shared" ref="CT676" si="3760">CS676-$AQ676</f>
        <v>341319.3662222214</v>
      </c>
      <c r="CU676" s="39">
        <f t="shared" ref="CU676" si="3761">CT676-$AQ676</f>
        <v>338809.66499999916</v>
      </c>
      <c r="CV676" s="39">
        <f t="shared" ref="CV676" si="3762">CU676-$AQ676</f>
        <v>336299.96377777692</v>
      </c>
      <c r="CW676" s="39">
        <f t="shared" ref="CW676" si="3763">CV676-$AQ676</f>
        <v>333790.26255555468</v>
      </c>
      <c r="CX676" s="39">
        <f t="shared" ref="CX676" si="3764">CW676-$AQ676</f>
        <v>331280.56133333244</v>
      </c>
      <c r="CY676" s="39">
        <f t="shared" ref="CY676" si="3765">CX676-$AQ676</f>
        <v>328770.8601111102</v>
      </c>
      <c r="CZ676" s="236">
        <f>IF(BT676&lt;1,0,SUM(CN676:CY676,CJ676)/13*$BG$1)</f>
        <v>7564.2394837777601</v>
      </c>
    </row>
    <row r="677" spans="1:104" ht="24" customHeight="1" x14ac:dyDescent="0.2">
      <c r="A677" s="231" t="s">
        <v>2678</v>
      </c>
      <c r="B677" s="185" t="s">
        <v>2673</v>
      </c>
      <c r="C677" t="s">
        <v>41</v>
      </c>
      <c r="D677" s="42" t="s">
        <v>42</v>
      </c>
      <c r="E677" s="184">
        <v>45257</v>
      </c>
      <c r="F677" s="42" t="s">
        <v>44</v>
      </c>
      <c r="G677" s="186">
        <v>180</v>
      </c>
      <c r="H677" s="11"/>
      <c r="K677" s="8">
        <v>1</v>
      </c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>
        <f t="shared" ref="AB677:AB679" si="3766">AN677/G677</f>
        <v>796.64272222222223</v>
      </c>
      <c r="AC677" s="44">
        <f t="shared" ref="AC677:AC679" si="3767">AB677</f>
        <v>796.64272222222223</v>
      </c>
      <c r="AD677" s="7"/>
      <c r="AE677" s="7"/>
      <c r="AF677" s="7"/>
      <c r="AG677" s="7"/>
      <c r="AH677" s="7"/>
      <c r="AI677" s="7"/>
      <c r="AJ677" s="39"/>
      <c r="AK677" s="39"/>
      <c r="AL677" s="39"/>
      <c r="AM677" s="39"/>
      <c r="AN677" s="39">
        <f>'08.03'!E17</f>
        <v>143395.69</v>
      </c>
      <c r="AO677" s="39">
        <f t="shared" si="3569"/>
        <v>142599.04727777778</v>
      </c>
      <c r="AP677" s="236">
        <f t="shared" si="3629"/>
        <v>483.99109385470075</v>
      </c>
      <c r="AQ677" s="7">
        <f t="shared" si="3675"/>
        <v>796.64272222222223</v>
      </c>
      <c r="AR677" s="7">
        <f t="shared" si="3418"/>
        <v>796.64272222222644</v>
      </c>
      <c r="AS677" s="7">
        <f t="shared" si="3419"/>
        <v>4.2064129956997931E-12</v>
      </c>
      <c r="AT677" s="7">
        <f t="shared" ref="AT677" si="3768">AQ677*12</f>
        <v>9559.7126666666663</v>
      </c>
      <c r="AU677" s="39">
        <f t="shared" si="3630"/>
        <v>141802.40455555555</v>
      </c>
      <c r="AV677" s="39">
        <f t="shared" ref="AV677" si="3769">AU677-$AQ677</f>
        <v>141005.76183333332</v>
      </c>
      <c r="AW677" s="39">
        <f t="shared" ref="AW677" si="3770">AV677-$AQ677</f>
        <v>140209.1191111111</v>
      </c>
      <c r="AX677" s="39">
        <f t="shared" ref="AX677" si="3771">AW677-$AQ677</f>
        <v>139412.47638888887</v>
      </c>
      <c r="AY677" s="39">
        <f t="shared" ref="AY677" si="3772">AX677-$AQ677</f>
        <v>138615.83366666664</v>
      </c>
      <c r="AZ677" s="39">
        <f t="shared" ref="AZ677" si="3773">AY677-$AQ677</f>
        <v>137819.19094444442</v>
      </c>
      <c r="BA677" s="39">
        <f t="shared" ref="BA677" si="3774">AZ677-$AQ677</f>
        <v>137022.54822222219</v>
      </c>
      <c r="BB677" s="39">
        <f t="shared" ref="BB677" si="3775">BA677-$AQ677</f>
        <v>136225.90549999996</v>
      </c>
      <c r="BC677" s="39">
        <f t="shared" ref="BC677" si="3776">BB677-$AQ677</f>
        <v>135429.26277777774</v>
      </c>
      <c r="BD677" s="39">
        <f t="shared" ref="BD677" si="3777">BC677-$AQ677</f>
        <v>134632.62005555551</v>
      </c>
      <c r="BE677" s="39">
        <f t="shared" ref="BE677" si="3778">BD677-$AQ677</f>
        <v>133835.97733333329</v>
      </c>
      <c r="BF677" s="39">
        <f t="shared" ref="BF677" si="3779">BE677-$AQ677</f>
        <v>133039.33461111106</v>
      </c>
      <c r="BG677" s="236">
        <f t="shared" si="3557"/>
        <v>3032.022200777777</v>
      </c>
      <c r="BH677" s="7">
        <f t="shared" si="3558"/>
        <v>796.64272222222644</v>
      </c>
      <c r="BI677" s="7">
        <f t="shared" si="3553"/>
        <v>9559.7126666667173</v>
      </c>
      <c r="BJ677" s="7">
        <f t="shared" si="3457"/>
        <v>132242.69188888883</v>
      </c>
      <c r="BK677" s="39">
        <f t="shared" ref="BK677" si="3780">BJ677-$AQ677</f>
        <v>131446.04916666661</v>
      </c>
      <c r="BL677" s="39">
        <f t="shared" ref="BL677" si="3781">BK677-$AQ677</f>
        <v>130649.40644444438</v>
      </c>
      <c r="BM677" s="39">
        <f t="shared" ref="BM677" si="3782">BL677-$AQ677</f>
        <v>129852.76372222215</v>
      </c>
      <c r="BN677" s="39">
        <f t="shared" ref="BN677" si="3783">BM677-$AQ677</f>
        <v>129056.12099999993</v>
      </c>
      <c r="BO677" s="39">
        <f t="shared" ref="BO677" si="3784">BN677-$AQ677</f>
        <v>128259.4782777777</v>
      </c>
      <c r="BP677" s="39">
        <f t="shared" ref="BP677" si="3785">BO677-$AQ677</f>
        <v>127462.83555555547</v>
      </c>
      <c r="BQ677" s="39">
        <f t="shared" ref="BQ677" si="3786">BP677-$AQ677</f>
        <v>126666.19283333325</v>
      </c>
      <c r="BR677" s="39">
        <f t="shared" ref="BR677" si="3787">BQ677-$AQ677</f>
        <v>125869.55011111102</v>
      </c>
      <c r="BS677" s="39">
        <f t="shared" ref="BS677" si="3788">BR677-$AQ677</f>
        <v>125072.90738888879</v>
      </c>
      <c r="BT677" s="39">
        <f t="shared" ref="BT677" si="3789">BS677-$AQ677</f>
        <v>124276.26466666657</v>
      </c>
      <c r="BU677" s="39">
        <f t="shared" ref="BU677" si="3790">BT677-$AQ677</f>
        <v>123479.62194444434</v>
      </c>
      <c r="BV677" s="236">
        <f>IF(AN677&lt;1,0,SUM(BJ677:BU677,BF677)/13*$BG$1)</f>
        <v>2821.7085221111088</v>
      </c>
      <c r="BW677" s="7">
        <f t="shared" si="3651"/>
        <v>796.64272222222644</v>
      </c>
      <c r="BX677" s="7">
        <f t="shared" si="3624"/>
        <v>9559.7126666667173</v>
      </c>
      <c r="BY677" s="7">
        <f t="shared" si="3555"/>
        <v>122682.97922222211</v>
      </c>
      <c r="BZ677" s="39">
        <f t="shared" ref="BZ677" si="3791">BY677-$AQ677</f>
        <v>121886.33649999989</v>
      </c>
      <c r="CA677" s="39">
        <f t="shared" ref="CA677" si="3792">BZ677-$AQ677</f>
        <v>121089.69377777766</v>
      </c>
      <c r="CB677" s="39">
        <f t="shared" ref="CB677" si="3793">CA677-$AQ677</f>
        <v>120293.05105555544</v>
      </c>
      <c r="CC677" s="39">
        <f t="shared" ref="CC677" si="3794">CB677-$AQ677</f>
        <v>119496.40833333321</v>
      </c>
      <c r="CD677" s="39">
        <f t="shared" ref="CD677" si="3795">CC677-$AQ677</f>
        <v>118699.76561111098</v>
      </c>
      <c r="CE677" s="39">
        <f t="shared" ref="CE677" si="3796">CD677-$AQ677</f>
        <v>117903.12288888876</v>
      </c>
      <c r="CF677" s="39">
        <f t="shared" ref="CF677" si="3797">CE677-$AQ677</f>
        <v>117106.48016666653</v>
      </c>
      <c r="CG677" s="39">
        <f t="shared" ref="CG677" si="3798">CF677-$AQ677</f>
        <v>116309.8374444443</v>
      </c>
      <c r="CH677" s="39">
        <f t="shared" ref="CH677" si="3799">CG677-$AQ677</f>
        <v>115513.19472222208</v>
      </c>
      <c r="CI677" s="39">
        <f t="shared" ref="CI677" si="3800">CH677-$AQ677</f>
        <v>114716.55199999985</v>
      </c>
      <c r="CJ677" s="39">
        <f t="shared" ref="CJ677" si="3801">CI677-$AQ677</f>
        <v>113919.90927777762</v>
      </c>
      <c r="CK677" s="236">
        <f t="shared" si="3621"/>
        <v>2611.3948434444414</v>
      </c>
      <c r="CL677" s="7">
        <f t="shared" si="3663"/>
        <v>796.64272222222644</v>
      </c>
      <c r="CM677" s="7">
        <f t="shared" si="3626"/>
        <v>9559.7126666667173</v>
      </c>
      <c r="CN677" s="7">
        <f t="shared" si="3627"/>
        <v>113123.2665555554</v>
      </c>
      <c r="CO677" s="39">
        <f t="shared" ref="CO677" si="3802">CN677-$AQ677</f>
        <v>112326.62383333317</v>
      </c>
      <c r="CP677" s="39">
        <f t="shared" ref="CP677" si="3803">CO677-$AQ677</f>
        <v>111529.98111111094</v>
      </c>
      <c r="CQ677" s="39">
        <f t="shared" ref="CQ677" si="3804">CP677-$AQ677</f>
        <v>110733.33838888872</v>
      </c>
      <c r="CR677" s="39">
        <f t="shared" ref="CR677" si="3805">CQ677-$AQ677</f>
        <v>109936.69566666649</v>
      </c>
      <c r="CS677" s="39">
        <f t="shared" ref="CS677" si="3806">CR677-$AQ677</f>
        <v>109140.05294444427</v>
      </c>
      <c r="CT677" s="39">
        <f t="shared" ref="CT677" si="3807">CS677-$AQ677</f>
        <v>108343.41022222204</v>
      </c>
      <c r="CU677" s="39">
        <f t="shared" ref="CU677" si="3808">CT677-$AQ677</f>
        <v>107546.76749999981</v>
      </c>
      <c r="CV677" s="39">
        <f t="shared" ref="CV677" si="3809">CU677-$AQ677</f>
        <v>106750.12477777759</v>
      </c>
      <c r="CW677" s="39">
        <f t="shared" ref="CW677" si="3810">CV677-$AQ677</f>
        <v>105953.48205555536</v>
      </c>
      <c r="CX677" s="39">
        <f t="shared" ref="CX677" si="3811">CW677-$AQ677</f>
        <v>105156.83933333313</v>
      </c>
      <c r="CY677" s="39">
        <f t="shared" ref="CY677" si="3812">CX677-$AQ677</f>
        <v>104360.19661111091</v>
      </c>
      <c r="CZ677" s="236">
        <f>IF(BT677&lt;1,0,SUM(CN677:CY677,CJ677)/13*$BG$1)</f>
        <v>2401.0811647777737</v>
      </c>
    </row>
    <row r="678" spans="1:104" ht="24" customHeight="1" x14ac:dyDescent="0.2">
      <c r="A678" s="231" t="s">
        <v>2679</v>
      </c>
      <c r="B678" s="185" t="s">
        <v>2674</v>
      </c>
      <c r="C678" s="26" t="s">
        <v>30</v>
      </c>
      <c r="D678" s="42" t="s">
        <v>23</v>
      </c>
      <c r="E678" s="184">
        <v>45259</v>
      </c>
      <c r="F678" s="42" t="s">
        <v>31</v>
      </c>
      <c r="G678" s="234">
        <v>180</v>
      </c>
      <c r="H678" s="11"/>
      <c r="K678" s="8">
        <v>0</v>
      </c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>
        <f t="shared" si="3766"/>
        <v>797.78027777777788</v>
      </c>
      <c r="AC678" s="44">
        <f t="shared" si="3767"/>
        <v>797.78027777777788</v>
      </c>
      <c r="AD678" s="7"/>
      <c r="AE678" s="7"/>
      <c r="AF678" s="7"/>
      <c r="AG678" s="7"/>
      <c r="AH678" s="7"/>
      <c r="AI678" s="7"/>
      <c r="AJ678" s="39"/>
      <c r="AK678" s="39"/>
      <c r="AL678" s="39"/>
      <c r="AM678" s="39"/>
      <c r="AN678" s="39">
        <f>'08.03'!E81</f>
        <v>143600.45000000001</v>
      </c>
      <c r="AO678" s="39">
        <f t="shared" si="3569"/>
        <v>142802.66972222223</v>
      </c>
      <c r="AP678" s="236">
        <f t="shared" si="3629"/>
        <v>0</v>
      </c>
      <c r="AQ678" s="7">
        <f t="shared" si="3675"/>
        <v>797.78027777777788</v>
      </c>
      <c r="AR678" s="7">
        <f t="shared" si="3418"/>
        <v>797.78027777778334</v>
      </c>
      <c r="AS678" s="7">
        <f t="shared" si="3419"/>
        <v>5.4569682106375694E-12</v>
      </c>
      <c r="AT678" s="7">
        <f t="shared" ref="AT678:AT684" si="3813">AQ678*12</f>
        <v>9573.3633333333346</v>
      </c>
      <c r="AU678" s="39">
        <f t="shared" si="3630"/>
        <v>142004.88944444444</v>
      </c>
      <c r="AV678" s="39">
        <f t="shared" ref="AV678" si="3814">AU678-$AQ678</f>
        <v>141207.10916666666</v>
      </c>
      <c r="AW678" s="39">
        <f t="shared" ref="AW678" si="3815">AV678-$AQ678</f>
        <v>140409.32888888888</v>
      </c>
      <c r="AX678" s="39">
        <f t="shared" ref="AX678" si="3816">AW678-$AQ678</f>
        <v>139611.54861111109</v>
      </c>
      <c r="AY678" s="39">
        <f t="shared" ref="AY678" si="3817">AX678-$AQ678</f>
        <v>138813.76833333331</v>
      </c>
      <c r="AZ678" s="39">
        <f t="shared" ref="AZ678" si="3818">AY678-$AQ678</f>
        <v>138015.98805555553</v>
      </c>
      <c r="BA678" s="39">
        <f t="shared" ref="BA678" si="3819">AZ678-$AQ678</f>
        <v>137218.20777777774</v>
      </c>
      <c r="BB678" s="39">
        <f t="shared" ref="BB678" si="3820">BA678-$AQ678</f>
        <v>136420.42749999996</v>
      </c>
      <c r="BC678" s="39">
        <f t="shared" ref="BC678" si="3821">BB678-$AQ678</f>
        <v>135622.64722222218</v>
      </c>
      <c r="BD678" s="39">
        <f t="shared" ref="BD678" si="3822">BC678-$AQ678</f>
        <v>134824.86694444439</v>
      </c>
      <c r="BE678" s="39">
        <f t="shared" ref="BE678" si="3823">BD678-$AQ678</f>
        <v>134027.08666666661</v>
      </c>
      <c r="BF678" s="39">
        <f t="shared" ref="BF678" si="3824">BE678-$AQ678</f>
        <v>133229.30638888883</v>
      </c>
      <c r="BG678" s="236">
        <f t="shared" si="3557"/>
        <v>0</v>
      </c>
      <c r="BH678" s="7">
        <f t="shared" si="3558"/>
        <v>797.78027777778334</v>
      </c>
      <c r="BI678" s="7">
        <f t="shared" si="3553"/>
        <v>9573.3633333334001</v>
      </c>
      <c r="BJ678" s="7">
        <f t="shared" si="3457"/>
        <v>132431.52611111104</v>
      </c>
      <c r="BK678" s="39">
        <f t="shared" ref="BK678" si="3825">BJ678-$AQ678</f>
        <v>131633.74583333326</v>
      </c>
      <c r="BL678" s="39">
        <f t="shared" ref="BL678" si="3826">BK678-$AQ678</f>
        <v>130835.96555555548</v>
      </c>
      <c r="BM678" s="39">
        <f t="shared" ref="BM678" si="3827">BL678-$AQ678</f>
        <v>130038.18527777769</v>
      </c>
      <c r="BN678" s="39">
        <f t="shared" ref="BN678" si="3828">BM678-$AQ678</f>
        <v>129240.40499999991</v>
      </c>
      <c r="BO678" s="39">
        <f t="shared" ref="BO678" si="3829">BN678-$AQ678</f>
        <v>128442.62472222213</v>
      </c>
      <c r="BP678" s="39">
        <f t="shared" ref="BP678" si="3830">BO678-$AQ678</f>
        <v>127644.84444444434</v>
      </c>
      <c r="BQ678" s="39">
        <f t="shared" ref="BQ678" si="3831">BP678-$AQ678</f>
        <v>126847.06416666656</v>
      </c>
      <c r="BR678" s="39">
        <f t="shared" ref="BR678" si="3832">BQ678-$AQ678</f>
        <v>126049.28388888878</v>
      </c>
      <c r="BS678" s="39">
        <f t="shared" ref="BS678" si="3833">BR678-$AQ678</f>
        <v>125251.50361111099</v>
      </c>
      <c r="BT678" s="39">
        <f t="shared" ref="BT678" si="3834">BS678-$AQ678</f>
        <v>124453.72333333321</v>
      </c>
      <c r="BU678" s="39">
        <f t="shared" ref="BU678" si="3835">BT678-$AQ678</f>
        <v>123655.94305555543</v>
      </c>
      <c r="BV678" s="236">
        <v>0</v>
      </c>
      <c r="BW678" s="7">
        <f t="shared" si="3651"/>
        <v>797.78027777778334</v>
      </c>
      <c r="BX678" s="7">
        <f t="shared" si="3624"/>
        <v>9573.3633333334001</v>
      </c>
      <c r="BY678" s="7">
        <f t="shared" si="3555"/>
        <v>122858.16277777764</v>
      </c>
      <c r="BZ678" s="39">
        <f t="shared" ref="BZ678" si="3836">BY678-$AQ678</f>
        <v>122060.38249999986</v>
      </c>
      <c r="CA678" s="39">
        <f t="shared" ref="CA678" si="3837">BZ678-$AQ678</f>
        <v>121262.60222222208</v>
      </c>
      <c r="CB678" s="39">
        <f t="shared" ref="CB678" si="3838">CA678-$AQ678</f>
        <v>120464.82194444429</v>
      </c>
      <c r="CC678" s="39">
        <f t="shared" ref="CC678" si="3839">CB678-$AQ678</f>
        <v>119667.04166666651</v>
      </c>
      <c r="CD678" s="39">
        <f t="shared" ref="CD678" si="3840">CC678-$AQ678</f>
        <v>118869.26138888873</v>
      </c>
      <c r="CE678" s="39">
        <f t="shared" ref="CE678" si="3841">CD678-$AQ678</f>
        <v>118071.48111111094</v>
      </c>
      <c r="CF678" s="39">
        <f t="shared" ref="CF678" si="3842">CE678-$AQ678</f>
        <v>117273.70083333316</v>
      </c>
      <c r="CG678" s="39">
        <f t="shared" ref="CG678" si="3843">CF678-$AQ678</f>
        <v>116475.92055555538</v>
      </c>
      <c r="CH678" s="39">
        <f t="shared" ref="CH678" si="3844">CG678-$AQ678</f>
        <v>115678.14027777759</v>
      </c>
      <c r="CI678" s="39">
        <f t="shared" ref="CI678" si="3845">CH678-$AQ678</f>
        <v>114880.35999999981</v>
      </c>
      <c r="CJ678" s="39">
        <f t="shared" ref="CJ678" si="3846">CI678-$AQ678</f>
        <v>114082.57972222203</v>
      </c>
      <c r="CK678" s="236">
        <v>0</v>
      </c>
      <c r="CL678" s="7">
        <f t="shared" si="3663"/>
        <v>797.78027777778334</v>
      </c>
      <c r="CM678" s="7">
        <f t="shared" si="3626"/>
        <v>9573.3633333334001</v>
      </c>
      <c r="CN678" s="7">
        <f t="shared" si="3627"/>
        <v>113284.79944444424</v>
      </c>
      <c r="CO678" s="39">
        <f t="shared" ref="CO678" si="3847">CN678-$AQ678</f>
        <v>112487.01916666646</v>
      </c>
      <c r="CP678" s="39">
        <f t="shared" ref="CP678" si="3848">CO678-$AQ678</f>
        <v>111689.23888888868</v>
      </c>
      <c r="CQ678" s="39">
        <f t="shared" ref="CQ678" si="3849">CP678-$AQ678</f>
        <v>110891.45861111089</v>
      </c>
      <c r="CR678" s="39">
        <f t="shared" ref="CR678" si="3850">CQ678-$AQ678</f>
        <v>110093.67833333311</v>
      </c>
      <c r="CS678" s="39">
        <f t="shared" ref="CS678" si="3851">CR678-$AQ678</f>
        <v>109295.89805555533</v>
      </c>
      <c r="CT678" s="39">
        <f t="shared" ref="CT678" si="3852">CS678-$AQ678</f>
        <v>108498.11777777754</v>
      </c>
      <c r="CU678" s="39">
        <f t="shared" ref="CU678" si="3853">CT678-$AQ678</f>
        <v>107700.33749999976</v>
      </c>
      <c r="CV678" s="39">
        <f t="shared" ref="CV678" si="3854">CU678-$AQ678</f>
        <v>106902.55722222198</v>
      </c>
      <c r="CW678" s="39">
        <f t="shared" ref="CW678" si="3855">CV678-$AQ678</f>
        <v>106104.77694444419</v>
      </c>
      <c r="CX678" s="39">
        <f t="shared" ref="CX678" si="3856">CW678-$AQ678</f>
        <v>105306.99666666641</v>
      </c>
      <c r="CY678" s="39">
        <f t="shared" ref="CY678" si="3857">CX678-$AQ678</f>
        <v>104509.21638888863</v>
      </c>
      <c r="CZ678" s="236">
        <v>0</v>
      </c>
    </row>
    <row r="679" spans="1:104" ht="24" customHeight="1" x14ac:dyDescent="0.2">
      <c r="A679" s="231" t="s">
        <v>2680</v>
      </c>
      <c r="B679" s="185" t="s">
        <v>2681</v>
      </c>
      <c r="C679" t="s">
        <v>22</v>
      </c>
      <c r="D679" s="42" t="s">
        <v>23</v>
      </c>
      <c r="E679" s="184">
        <v>45260</v>
      </c>
      <c r="F679" s="42" t="s">
        <v>25</v>
      </c>
      <c r="G679" s="234">
        <v>60</v>
      </c>
      <c r="H679" s="11"/>
      <c r="K679" s="8">
        <v>0</v>
      </c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>
        <f t="shared" si="3766"/>
        <v>3833.3333333333335</v>
      </c>
      <c r="AC679" s="44">
        <f t="shared" si="3767"/>
        <v>3833.3333333333335</v>
      </c>
      <c r="AD679" s="7"/>
      <c r="AE679" s="7"/>
      <c r="AF679" s="7"/>
      <c r="AG679" s="7"/>
      <c r="AH679" s="7"/>
      <c r="AI679" s="7"/>
      <c r="AJ679" s="39"/>
      <c r="AK679" s="39"/>
      <c r="AL679" s="39"/>
      <c r="AM679" s="39"/>
      <c r="AN679" s="39">
        <v>230000</v>
      </c>
      <c r="AO679" s="39">
        <f t="shared" si="3569"/>
        <v>226166.66666666666</v>
      </c>
      <c r="AP679" s="236">
        <f t="shared" si="3629"/>
        <v>0</v>
      </c>
      <c r="AQ679" s="7">
        <f t="shared" si="3675"/>
        <v>3833.3333333333335</v>
      </c>
      <c r="AR679" s="7">
        <f t="shared" si="3418"/>
        <v>3833.333333333343</v>
      </c>
      <c r="AS679" s="7">
        <f t="shared" si="3419"/>
        <v>9.5496943686157465E-12</v>
      </c>
      <c r="AT679" s="7">
        <f t="shared" si="3813"/>
        <v>46000</v>
      </c>
      <c r="AU679" s="39">
        <f t="shared" si="3630"/>
        <v>222333.33333333331</v>
      </c>
      <c r="AV679" s="39">
        <f t="shared" ref="AV679" si="3858">AU679-$AQ679</f>
        <v>218499.99999999997</v>
      </c>
      <c r="AW679" s="39">
        <f t="shared" ref="AW679" si="3859">AV679-$AQ679</f>
        <v>214666.66666666663</v>
      </c>
      <c r="AX679" s="39">
        <f t="shared" ref="AX679" si="3860">AW679-$AQ679</f>
        <v>210833.33333333328</v>
      </c>
      <c r="AY679" s="39">
        <f t="shared" ref="AY679" si="3861">AX679-$AQ679</f>
        <v>206999.99999999994</v>
      </c>
      <c r="AZ679" s="39">
        <f t="shared" ref="AZ679" si="3862">AY679-$AQ679</f>
        <v>203166.6666666666</v>
      </c>
      <c r="BA679" s="39">
        <f t="shared" ref="BA679" si="3863">AZ679-$AQ679</f>
        <v>199333.33333333326</v>
      </c>
      <c r="BB679" s="39">
        <f t="shared" ref="BB679" si="3864">BA679-$AQ679</f>
        <v>195499.99999999991</v>
      </c>
      <c r="BC679" s="39">
        <f t="shared" ref="BC679" si="3865">BB679-$AQ679</f>
        <v>191666.66666666657</v>
      </c>
      <c r="BD679" s="39">
        <f t="shared" ref="BD679" si="3866">BC679-$AQ679</f>
        <v>187833.33333333323</v>
      </c>
      <c r="BE679" s="39">
        <f t="shared" ref="BE679" si="3867">BD679-$AQ679</f>
        <v>183999.99999999988</v>
      </c>
      <c r="BF679" s="39">
        <f t="shared" ref="BF679" si="3868">BE679-$AQ679</f>
        <v>180166.66666666654</v>
      </c>
      <c r="BG679" s="236">
        <f t="shared" si="3557"/>
        <v>0</v>
      </c>
      <c r="BH679" s="7">
        <f>AQ679</f>
        <v>3833.3333333333335</v>
      </c>
      <c r="BI679" s="7">
        <f t="shared" si="3553"/>
        <v>46000</v>
      </c>
      <c r="BJ679" s="7">
        <f t="shared" si="3457"/>
        <v>176333.3333333332</v>
      </c>
      <c r="BK679" s="39">
        <f t="shared" ref="BK679" si="3869">BJ679-$AQ679</f>
        <v>172499.99999999985</v>
      </c>
      <c r="BL679" s="39">
        <f t="shared" ref="BL679" si="3870">BK679-$AQ679</f>
        <v>168666.66666666651</v>
      </c>
      <c r="BM679" s="39">
        <f t="shared" ref="BM679" si="3871">BL679-$AQ679</f>
        <v>164833.33333333317</v>
      </c>
      <c r="BN679" s="39">
        <f t="shared" ref="BN679" si="3872">BM679-$AQ679</f>
        <v>160999.99999999983</v>
      </c>
      <c r="BO679" s="39">
        <f t="shared" ref="BO679" si="3873">BN679-$AQ679</f>
        <v>157166.66666666648</v>
      </c>
      <c r="BP679" s="39">
        <f t="shared" ref="BP679" si="3874">BO679-$AQ679</f>
        <v>153333.33333333314</v>
      </c>
      <c r="BQ679" s="39">
        <f t="shared" ref="BQ679" si="3875">BP679-$AQ679</f>
        <v>149499.9999999998</v>
      </c>
      <c r="BR679" s="39">
        <f t="shared" ref="BR679" si="3876">BQ679-$AQ679</f>
        <v>145666.66666666645</v>
      </c>
      <c r="BS679" s="39">
        <f t="shared" ref="BS679" si="3877">BR679-$AQ679</f>
        <v>141833.33333333311</v>
      </c>
      <c r="BT679" s="39">
        <f t="shared" ref="BT679" si="3878">BS679-$AQ679</f>
        <v>137999.99999999977</v>
      </c>
      <c r="BU679" s="39">
        <f t="shared" ref="BU679" si="3879">BT679-$AQ679</f>
        <v>134166.66666666642</v>
      </c>
      <c r="BV679" s="236">
        <v>0</v>
      </c>
      <c r="BW679" s="7">
        <f t="shared" si="3651"/>
        <v>3833.3333333333335</v>
      </c>
      <c r="BX679" s="7">
        <f t="shared" si="3624"/>
        <v>46000</v>
      </c>
      <c r="BY679" s="7">
        <f t="shared" si="3555"/>
        <v>130333.3333333331</v>
      </c>
      <c r="BZ679" s="39">
        <f t="shared" ref="BZ679" si="3880">BY679-$AQ679</f>
        <v>126499.99999999977</v>
      </c>
      <c r="CA679" s="39">
        <f t="shared" ref="CA679" si="3881">BZ679-$AQ679</f>
        <v>122666.66666666644</v>
      </c>
      <c r="CB679" s="39">
        <f t="shared" ref="CB679" si="3882">CA679-$AQ679</f>
        <v>118833.33333333311</v>
      </c>
      <c r="CC679" s="39">
        <f t="shared" ref="CC679" si="3883">CB679-$AQ679</f>
        <v>114999.99999999978</v>
      </c>
      <c r="CD679" s="39">
        <f t="shared" ref="CD679" si="3884">CC679-$AQ679</f>
        <v>111166.66666666645</v>
      </c>
      <c r="CE679" s="39">
        <f t="shared" ref="CE679" si="3885">CD679-$AQ679</f>
        <v>107333.33333333312</v>
      </c>
      <c r="CF679" s="39">
        <f t="shared" ref="CF679" si="3886">CE679-$AQ679</f>
        <v>103499.9999999998</v>
      </c>
      <c r="CG679" s="39">
        <f t="shared" ref="CG679" si="3887">CF679-$AQ679</f>
        <v>99666.666666666468</v>
      </c>
      <c r="CH679" s="39">
        <f t="shared" ref="CH679" si="3888">CG679-$AQ679</f>
        <v>95833.333333333139</v>
      </c>
      <c r="CI679" s="39">
        <f t="shared" ref="CI679" si="3889">CH679-$AQ679</f>
        <v>91999.999999999811</v>
      </c>
      <c r="CJ679" s="39">
        <f t="shared" ref="CJ679" si="3890">CI679-$AQ679</f>
        <v>88166.666666666482</v>
      </c>
      <c r="CK679" s="236">
        <v>0</v>
      </c>
      <c r="CL679" s="7">
        <f t="shared" si="3663"/>
        <v>3833.3333333333335</v>
      </c>
      <c r="CM679" s="7">
        <f t="shared" si="3626"/>
        <v>46000</v>
      </c>
      <c r="CN679" s="7">
        <f t="shared" si="3627"/>
        <v>84333.333333333154</v>
      </c>
      <c r="CO679" s="39">
        <f t="shared" ref="CO679" si="3891">CN679-$AQ679</f>
        <v>80499.999999999825</v>
      </c>
      <c r="CP679" s="39">
        <f t="shared" ref="CP679" si="3892">CO679-$AQ679</f>
        <v>76666.666666666497</v>
      </c>
      <c r="CQ679" s="39">
        <f t="shared" ref="CQ679" si="3893">CP679-$AQ679</f>
        <v>72833.333333333168</v>
      </c>
      <c r="CR679" s="39">
        <f t="shared" ref="CR679" si="3894">CQ679-$AQ679</f>
        <v>68999.99999999984</v>
      </c>
      <c r="CS679" s="39">
        <f t="shared" ref="CS679" si="3895">CR679-$AQ679</f>
        <v>65166.666666666504</v>
      </c>
      <c r="CT679" s="39">
        <f t="shared" ref="CT679" si="3896">CS679-$AQ679</f>
        <v>61333.333333333168</v>
      </c>
      <c r="CU679" s="39">
        <f t="shared" ref="CU679" si="3897">CT679-$AQ679</f>
        <v>57499.999999999833</v>
      </c>
      <c r="CV679" s="39">
        <f t="shared" ref="CV679" si="3898">CU679-$AQ679</f>
        <v>53666.666666666497</v>
      </c>
      <c r="CW679" s="39">
        <f t="shared" ref="CW679" si="3899">CV679-$AQ679</f>
        <v>49833.333333333161</v>
      </c>
      <c r="CX679" s="39">
        <f t="shared" ref="CX679" si="3900">CW679-$AQ679</f>
        <v>45999.999999999825</v>
      </c>
      <c r="CY679" s="39">
        <f t="shared" ref="CY679" si="3901">CX679-$AQ679</f>
        <v>42166.66666666649</v>
      </c>
      <c r="CZ679" s="236">
        <v>0</v>
      </c>
    </row>
    <row r="680" spans="1:104" s="266" customFormat="1" ht="26.25" customHeight="1" x14ac:dyDescent="0.2">
      <c r="A680" s="264" t="str">
        <f>'08.03'!A21</f>
        <v>Воздушная линия 0,4 кВ (ДТП №1619 от 07.06.2023 г., участок строительства ИЖД)</v>
      </c>
      <c r="B680" s="265" t="s">
        <v>2778</v>
      </c>
      <c r="C680" s="266" t="s">
        <v>41</v>
      </c>
      <c r="D680" s="267" t="s">
        <v>42</v>
      </c>
      <c r="E680" s="268">
        <v>45274</v>
      </c>
      <c r="F680" s="267" t="s">
        <v>44</v>
      </c>
      <c r="G680" s="282">
        <v>180</v>
      </c>
      <c r="H680" s="270"/>
      <c r="K680" s="271">
        <v>1</v>
      </c>
      <c r="L680" s="272"/>
      <c r="M680" s="272"/>
      <c r="N680" s="272"/>
      <c r="O680" s="272"/>
      <c r="P680" s="272"/>
      <c r="Q680" s="272"/>
      <c r="R680" s="272"/>
      <c r="S680" s="272"/>
      <c r="T680" s="272"/>
      <c r="U680" s="272"/>
      <c r="V680" s="272"/>
      <c r="W680" s="272"/>
      <c r="X680" s="272"/>
      <c r="Y680" s="272"/>
      <c r="Z680" s="272"/>
      <c r="AA680" s="272"/>
      <c r="AB680" s="272"/>
      <c r="AC680" s="273"/>
      <c r="AD680" s="272"/>
      <c r="AE680" s="272"/>
      <c r="AF680" s="272"/>
      <c r="AG680" s="272"/>
      <c r="AH680" s="272"/>
      <c r="AI680" s="272"/>
      <c r="AJ680" s="274"/>
      <c r="AK680" s="274"/>
      <c r="AL680" s="274"/>
      <c r="AM680" s="274"/>
      <c r="AN680" s="274"/>
      <c r="AO680" s="274">
        <f>'08.03'!E21</f>
        <v>228281.02</v>
      </c>
      <c r="AP680" s="274"/>
      <c r="AQ680" s="272">
        <f>AO680/G680</f>
        <v>1268.2278888888889</v>
      </c>
      <c r="AR680" s="272"/>
      <c r="AS680" s="272"/>
      <c r="AT680" s="272">
        <f t="shared" si="3813"/>
        <v>15218.734666666667</v>
      </c>
      <c r="AU680" s="274">
        <f t="shared" ref="AU680:AU690" si="3902">AO680-AQ680</f>
        <v>227012.79211111111</v>
      </c>
      <c r="AV680" s="274">
        <f>AU$680-$AQ$680</f>
        <v>225744.56422222222</v>
      </c>
      <c r="AW680" s="274">
        <f t="shared" ref="AW680:BF680" si="3903">AV$680-$AQ$680</f>
        <v>224476.33633333334</v>
      </c>
      <c r="AX680" s="274">
        <f t="shared" si="3903"/>
        <v>223208.10844444446</v>
      </c>
      <c r="AY680" s="274">
        <f t="shared" si="3903"/>
        <v>221939.88055555557</v>
      </c>
      <c r="AZ680" s="274">
        <f t="shared" si="3903"/>
        <v>220671.65266666669</v>
      </c>
      <c r="BA680" s="274">
        <f t="shared" si="3903"/>
        <v>219403.42477777781</v>
      </c>
      <c r="BB680" s="274">
        <f t="shared" si="3903"/>
        <v>218135.19688888892</v>
      </c>
      <c r="BC680" s="274">
        <f t="shared" si="3903"/>
        <v>216866.96900000004</v>
      </c>
      <c r="BD680" s="274">
        <f t="shared" si="3903"/>
        <v>215598.74111111116</v>
      </c>
      <c r="BE680" s="274">
        <f t="shared" si="3903"/>
        <v>214330.51322222227</v>
      </c>
      <c r="BF680" s="274">
        <f t="shared" si="3903"/>
        <v>213062.28533333339</v>
      </c>
      <c r="BG680" s="274">
        <f t="shared" si="3557"/>
        <v>4854.7763586666679</v>
      </c>
      <c r="BH680" s="272">
        <f>BE680-BF680</f>
        <v>1268.2278888888832</v>
      </c>
      <c r="BI680" s="272">
        <f t="shared" si="3553"/>
        <v>15218.734666666598</v>
      </c>
      <c r="BJ680" s="272">
        <f t="shared" si="3457"/>
        <v>211794.05744444451</v>
      </c>
      <c r="BK680" s="274">
        <f>BJ$680-$BH$680</f>
        <v>210525.82955555563</v>
      </c>
      <c r="BL680" s="274">
        <f t="shared" ref="BL680:BU680" si="3904">BK$680-$BH$680</f>
        <v>209257.60166666674</v>
      </c>
      <c r="BM680" s="274">
        <f t="shared" si="3904"/>
        <v>207989.37377777786</v>
      </c>
      <c r="BN680" s="274">
        <f t="shared" si="3904"/>
        <v>206721.14588888898</v>
      </c>
      <c r="BO680" s="274">
        <f t="shared" si="3904"/>
        <v>205452.91800000009</v>
      </c>
      <c r="BP680" s="274">
        <f t="shared" si="3904"/>
        <v>204184.69011111121</v>
      </c>
      <c r="BQ680" s="274">
        <f t="shared" si="3904"/>
        <v>202916.46222222233</v>
      </c>
      <c r="BR680" s="274">
        <f t="shared" si="3904"/>
        <v>201648.23433333344</v>
      </c>
      <c r="BS680" s="274">
        <f t="shared" si="3904"/>
        <v>200380.00644444456</v>
      </c>
      <c r="BT680" s="274">
        <f t="shared" si="3904"/>
        <v>199111.77855555568</v>
      </c>
      <c r="BU680" s="274">
        <f t="shared" si="3904"/>
        <v>197843.55066666679</v>
      </c>
      <c r="BV680" s="274">
        <f t="shared" ref="BV680:BV690" si="3905">IF(AO680&lt;1,0,SUM(BJ680:BU680,BF680)/13*$BG$1)</f>
        <v>4519.9641960000008</v>
      </c>
      <c r="BW680" s="272">
        <f t="shared" ref="BW680:BW687" si="3906">BT680-BU680</f>
        <v>1268.2278888888832</v>
      </c>
      <c r="BX680" s="272">
        <f t="shared" si="3624"/>
        <v>15218.734666666598</v>
      </c>
      <c r="BY680" s="272">
        <f t="shared" si="3555"/>
        <v>196575.32277777791</v>
      </c>
      <c r="BZ680" s="274">
        <f>BY$680-$BW$680</f>
        <v>195307.09488888903</v>
      </c>
      <c r="CA680" s="274">
        <f t="shared" ref="CA680:CJ680" si="3907">BZ$680-$BW$680</f>
        <v>194038.86700000014</v>
      </c>
      <c r="CB680" s="274">
        <f t="shared" si="3907"/>
        <v>192770.63911111126</v>
      </c>
      <c r="CC680" s="274">
        <f t="shared" si="3907"/>
        <v>191502.41122222238</v>
      </c>
      <c r="CD680" s="274">
        <f t="shared" si="3907"/>
        <v>190234.18333333349</v>
      </c>
      <c r="CE680" s="274">
        <f t="shared" si="3907"/>
        <v>188965.95544444461</v>
      </c>
      <c r="CF680" s="274">
        <f t="shared" si="3907"/>
        <v>187697.72755555573</v>
      </c>
      <c r="CG680" s="274">
        <f t="shared" si="3907"/>
        <v>186429.49966666684</v>
      </c>
      <c r="CH680" s="274">
        <f t="shared" si="3907"/>
        <v>185161.27177777796</v>
      </c>
      <c r="CI680" s="274">
        <f t="shared" si="3907"/>
        <v>183893.04388888908</v>
      </c>
      <c r="CJ680" s="274">
        <f t="shared" si="3907"/>
        <v>182624.8160000002</v>
      </c>
      <c r="CK680" s="274">
        <f t="shared" ref="CK680:CK687" si="3908">IF(BE680&lt;1,0,SUM(BY680:CJ680,BU680)/13*$BG$1)</f>
        <v>4185.1520333333356</v>
      </c>
      <c r="CL680" s="272">
        <f>CI680-CJ680</f>
        <v>1268.2278888888832</v>
      </c>
      <c r="CM680" s="272">
        <f t="shared" si="3626"/>
        <v>15218.734666666598</v>
      </c>
      <c r="CN680" s="272">
        <f t="shared" si="3627"/>
        <v>181356.58811111131</v>
      </c>
      <c r="CO680" s="274">
        <f>CN$680-$CL$680</f>
        <v>180088.36022222243</v>
      </c>
      <c r="CP680" s="274">
        <f t="shared" ref="CP680:CY680" si="3909">CO$680-$CL$680</f>
        <v>178820.13233333355</v>
      </c>
      <c r="CQ680" s="274">
        <f t="shared" si="3909"/>
        <v>177551.90444444466</v>
      </c>
      <c r="CR680" s="274">
        <f t="shared" si="3909"/>
        <v>176283.67655555578</v>
      </c>
      <c r="CS680" s="274">
        <f t="shared" si="3909"/>
        <v>175015.4486666669</v>
      </c>
      <c r="CT680" s="274">
        <f t="shared" si="3909"/>
        <v>173747.22077777801</v>
      </c>
      <c r="CU680" s="274">
        <f t="shared" si="3909"/>
        <v>172478.99288888913</v>
      </c>
      <c r="CV680" s="274">
        <f t="shared" si="3909"/>
        <v>171210.76500000025</v>
      </c>
      <c r="CW680" s="274">
        <f t="shared" si="3909"/>
        <v>169942.53711111136</v>
      </c>
      <c r="CX680" s="274">
        <f t="shared" si="3909"/>
        <v>168674.30922222248</v>
      </c>
      <c r="CY680" s="274">
        <f t="shared" si="3909"/>
        <v>167406.0813333336</v>
      </c>
      <c r="CZ680" s="274">
        <f t="shared" ref="CZ680:CZ690" si="3910">IF(BS680&lt;1,0,SUM(CN680:CY680,CJ680)/13*$BG$1)</f>
        <v>3850.3398706666721</v>
      </c>
    </row>
    <row r="681" spans="1:104" s="266" customFormat="1" ht="26.25" customHeight="1" x14ac:dyDescent="0.2">
      <c r="A681" s="264" t="str">
        <f>'08.03'!A18</f>
        <v>Воздушная линия 0,4 кВ (ДТП № 1560 от 03.05.2023 г.,Участок строительства ИЖД)</v>
      </c>
      <c r="B681" s="265" t="s">
        <v>2779</v>
      </c>
      <c r="C681" s="266" t="s">
        <v>41</v>
      </c>
      <c r="D681" s="267" t="s">
        <v>42</v>
      </c>
      <c r="E681" s="268">
        <v>45274</v>
      </c>
      <c r="F681" s="267" t="s">
        <v>44</v>
      </c>
      <c r="G681" s="282">
        <v>180</v>
      </c>
      <c r="H681" s="270"/>
      <c r="K681" s="271">
        <v>1</v>
      </c>
      <c r="L681" s="272"/>
      <c r="M681" s="272"/>
      <c r="N681" s="272"/>
      <c r="O681" s="272"/>
      <c r="P681" s="272"/>
      <c r="Q681" s="272"/>
      <c r="R681" s="272"/>
      <c r="S681" s="272"/>
      <c r="T681" s="272"/>
      <c r="U681" s="272"/>
      <c r="V681" s="272"/>
      <c r="W681" s="272"/>
      <c r="X681" s="272"/>
      <c r="Y681" s="272"/>
      <c r="Z681" s="272"/>
      <c r="AA681" s="272"/>
      <c r="AB681" s="272"/>
      <c r="AC681" s="273"/>
      <c r="AD681" s="272"/>
      <c r="AE681" s="272"/>
      <c r="AF681" s="272"/>
      <c r="AG681" s="272"/>
      <c r="AH681" s="272"/>
      <c r="AI681" s="272"/>
      <c r="AJ681" s="274"/>
      <c r="AK681" s="274"/>
      <c r="AL681" s="274"/>
      <c r="AM681" s="274"/>
      <c r="AN681" s="274"/>
      <c r="AO681" s="274">
        <f>'08.03'!E18</f>
        <v>212468.77</v>
      </c>
      <c r="AP681" s="274"/>
      <c r="AQ681" s="272">
        <f>AO681/G681</f>
        <v>1180.3820555555556</v>
      </c>
      <c r="AR681" s="272"/>
      <c r="AS681" s="272"/>
      <c r="AT681" s="272">
        <f t="shared" si="3813"/>
        <v>14164.584666666666</v>
      </c>
      <c r="AU681" s="274">
        <f t="shared" si="3902"/>
        <v>211288.38794444443</v>
      </c>
      <c r="AV681" s="274">
        <f>AU$681-$AQ$681</f>
        <v>210108.00588888887</v>
      </c>
      <c r="AW681" s="274">
        <f t="shared" ref="AW681:BF681" si="3911">AV$681-$AQ$681</f>
        <v>208927.62383333332</v>
      </c>
      <c r="AX681" s="274">
        <f t="shared" si="3911"/>
        <v>207747.24177777776</v>
      </c>
      <c r="AY681" s="274">
        <f t="shared" si="3911"/>
        <v>206566.8597222222</v>
      </c>
      <c r="AZ681" s="274">
        <f t="shared" si="3911"/>
        <v>205386.47766666664</v>
      </c>
      <c r="BA681" s="274">
        <f t="shared" si="3911"/>
        <v>204206.09561111109</v>
      </c>
      <c r="BB681" s="274">
        <f t="shared" si="3911"/>
        <v>203025.71355555553</v>
      </c>
      <c r="BC681" s="274">
        <f t="shared" si="3911"/>
        <v>201845.33149999997</v>
      </c>
      <c r="BD681" s="274">
        <f t="shared" si="3911"/>
        <v>200664.94944444441</v>
      </c>
      <c r="BE681" s="274">
        <f t="shared" si="3911"/>
        <v>199484.56738888886</v>
      </c>
      <c r="BF681" s="274">
        <f t="shared" si="3911"/>
        <v>198304.1853333333</v>
      </c>
      <c r="BG681" s="274">
        <f t="shared" si="3557"/>
        <v>4518.5025086666665</v>
      </c>
      <c r="BH681" s="272">
        <f>BE681-BF681</f>
        <v>1180.3820555555576</v>
      </c>
      <c r="BI681" s="272">
        <f t="shared" si="3553"/>
        <v>14164.584666666691</v>
      </c>
      <c r="BJ681" s="272">
        <f t="shared" si="3457"/>
        <v>197123.80327777774</v>
      </c>
      <c r="BK681" s="274">
        <f>BJ$681-$BH$681</f>
        <v>195943.42122222218</v>
      </c>
      <c r="BL681" s="274">
        <f t="shared" ref="BL681:BU681" si="3912">BK$681-$BH$681</f>
        <v>194763.03916666663</v>
      </c>
      <c r="BM681" s="274">
        <f t="shared" si="3912"/>
        <v>193582.65711111107</v>
      </c>
      <c r="BN681" s="274">
        <f t="shared" si="3912"/>
        <v>192402.27505555551</v>
      </c>
      <c r="BO681" s="274">
        <f t="shared" si="3912"/>
        <v>191221.89299999995</v>
      </c>
      <c r="BP681" s="274">
        <f t="shared" si="3912"/>
        <v>190041.5109444444</v>
      </c>
      <c r="BQ681" s="274">
        <f t="shared" si="3912"/>
        <v>188861.12888888884</v>
      </c>
      <c r="BR681" s="274">
        <f t="shared" si="3912"/>
        <v>187680.74683333328</v>
      </c>
      <c r="BS681" s="274">
        <f t="shared" si="3912"/>
        <v>186500.36477777772</v>
      </c>
      <c r="BT681" s="274">
        <f t="shared" si="3912"/>
        <v>185319.98272222216</v>
      </c>
      <c r="BU681" s="274">
        <f t="shared" si="3912"/>
        <v>184139.60066666661</v>
      </c>
      <c r="BV681" s="274">
        <f t="shared" si="3905"/>
        <v>4206.8816459999989</v>
      </c>
      <c r="BW681" s="272">
        <f t="shared" si="3906"/>
        <v>1180.3820555555576</v>
      </c>
      <c r="BX681" s="272">
        <f t="shared" si="3624"/>
        <v>14164.584666666691</v>
      </c>
      <c r="BY681" s="272">
        <f t="shared" si="3555"/>
        <v>182959.21861111105</v>
      </c>
      <c r="BZ681" s="274">
        <f>BY$681-$BW$681</f>
        <v>181778.83655555549</v>
      </c>
      <c r="CA681" s="274">
        <f t="shared" ref="CA681:CJ681" si="3913">BZ$681-$BW$681</f>
        <v>180598.45449999993</v>
      </c>
      <c r="CB681" s="274">
        <f t="shared" si="3913"/>
        <v>179418.07244444438</v>
      </c>
      <c r="CC681" s="274">
        <f t="shared" si="3913"/>
        <v>178237.69038888882</v>
      </c>
      <c r="CD681" s="274">
        <f t="shared" si="3913"/>
        <v>177057.30833333326</v>
      </c>
      <c r="CE681" s="274">
        <f t="shared" si="3913"/>
        <v>175876.9262777777</v>
      </c>
      <c r="CF681" s="274">
        <f t="shared" si="3913"/>
        <v>174696.54422222215</v>
      </c>
      <c r="CG681" s="274">
        <f t="shared" si="3913"/>
        <v>173516.16216666659</v>
      </c>
      <c r="CH681" s="274">
        <f t="shared" si="3913"/>
        <v>172335.78011111103</v>
      </c>
      <c r="CI681" s="274">
        <f t="shared" si="3913"/>
        <v>171155.39805555547</v>
      </c>
      <c r="CJ681" s="274">
        <f t="shared" si="3913"/>
        <v>169975.01599999992</v>
      </c>
      <c r="CK681" s="274">
        <f t="shared" si="3908"/>
        <v>3895.2607833333309</v>
      </c>
      <c r="CL681" s="272">
        <f>CI681-CJ681</f>
        <v>1180.3820555555576</v>
      </c>
      <c r="CM681" s="272">
        <f t="shared" si="3626"/>
        <v>14164.584666666691</v>
      </c>
      <c r="CN681" s="272">
        <f t="shared" si="3627"/>
        <v>168794.63394444436</v>
      </c>
      <c r="CO681" s="274">
        <f>CN$681-$CL$681</f>
        <v>167614.2518888888</v>
      </c>
      <c r="CP681" s="274">
        <f t="shared" ref="CP681:CY681" si="3914">CO$681-$CL$681</f>
        <v>166433.86983333324</v>
      </c>
      <c r="CQ681" s="274">
        <f t="shared" si="3914"/>
        <v>165253.48777777769</v>
      </c>
      <c r="CR681" s="274">
        <f t="shared" si="3914"/>
        <v>164073.10572222213</v>
      </c>
      <c r="CS681" s="274">
        <f t="shared" si="3914"/>
        <v>162892.72366666657</v>
      </c>
      <c r="CT681" s="274">
        <f t="shared" si="3914"/>
        <v>161712.34161111101</v>
      </c>
      <c r="CU681" s="274">
        <f t="shared" si="3914"/>
        <v>160531.95955555546</v>
      </c>
      <c r="CV681" s="274">
        <f t="shared" si="3914"/>
        <v>159351.5774999999</v>
      </c>
      <c r="CW681" s="274">
        <f t="shared" si="3914"/>
        <v>158171.19544444434</v>
      </c>
      <c r="CX681" s="274">
        <f t="shared" si="3914"/>
        <v>156990.81338888878</v>
      </c>
      <c r="CY681" s="274">
        <f t="shared" si="3914"/>
        <v>155810.43133333322</v>
      </c>
      <c r="CZ681" s="274">
        <f t="shared" si="3910"/>
        <v>3583.6399206666642</v>
      </c>
    </row>
    <row r="682" spans="1:104" s="266" customFormat="1" ht="26.25" customHeight="1" x14ac:dyDescent="0.2">
      <c r="A682" s="264" t="str">
        <f>'08.03'!A88</f>
        <v>Трансформаторная подстанция</v>
      </c>
      <c r="B682" s="265" t="s">
        <v>2783</v>
      </c>
      <c r="C682" s="266" t="s">
        <v>41</v>
      </c>
      <c r="D682" s="267" t="s">
        <v>42</v>
      </c>
      <c r="E682" s="268">
        <v>45274</v>
      </c>
      <c r="F682" s="267" t="s">
        <v>44</v>
      </c>
      <c r="G682" s="282">
        <f>'08.03'!H88</f>
        <v>300</v>
      </c>
      <c r="H682" s="270"/>
      <c r="K682" s="271">
        <v>1</v>
      </c>
      <c r="L682" s="272"/>
      <c r="M682" s="272"/>
      <c r="N682" s="272"/>
      <c r="O682" s="272"/>
      <c r="P682" s="272"/>
      <c r="Q682" s="272"/>
      <c r="R682" s="272"/>
      <c r="S682" s="272"/>
      <c r="T682" s="272"/>
      <c r="U682" s="272"/>
      <c r="V682" s="272"/>
      <c r="W682" s="272"/>
      <c r="X682" s="272"/>
      <c r="Y682" s="272"/>
      <c r="Z682" s="272"/>
      <c r="AA682" s="272"/>
      <c r="AB682" s="272"/>
      <c r="AC682" s="273"/>
      <c r="AD682" s="272"/>
      <c r="AE682" s="272"/>
      <c r="AF682" s="272"/>
      <c r="AG682" s="272"/>
      <c r="AH682" s="272"/>
      <c r="AI682" s="272"/>
      <c r="AJ682" s="274"/>
      <c r="AK682" s="274"/>
      <c r="AL682" s="274"/>
      <c r="AM682" s="274"/>
      <c r="AN682" s="274"/>
      <c r="AO682" s="274">
        <f>'08.03'!E88</f>
        <v>890590.53</v>
      </c>
      <c r="AP682" s="274"/>
      <c r="AQ682" s="272">
        <f t="shared" ref="AQ682:AQ683" si="3915">AO682/G682</f>
        <v>2968.6351</v>
      </c>
      <c r="AR682" s="272"/>
      <c r="AS682" s="272"/>
      <c r="AT682" s="272">
        <f t="shared" ref="AT682:AT683" si="3916">AQ682*12</f>
        <v>35623.621200000001</v>
      </c>
      <c r="AU682" s="274">
        <f t="shared" si="3902"/>
        <v>887621.89490000007</v>
      </c>
      <c r="AV682" s="274">
        <f>AU$682-$AQ$682</f>
        <v>884653.25980000012</v>
      </c>
      <c r="AW682" s="274">
        <f t="shared" ref="AW682:BF682" si="3917">AV$682-$AQ$682</f>
        <v>881684.62470000016</v>
      </c>
      <c r="AX682" s="274">
        <f t="shared" si="3917"/>
        <v>878715.9896000002</v>
      </c>
      <c r="AY682" s="274">
        <f t="shared" si="3917"/>
        <v>875747.35450000025</v>
      </c>
      <c r="AZ682" s="274">
        <f t="shared" si="3917"/>
        <v>872778.71940000029</v>
      </c>
      <c r="BA682" s="274">
        <f t="shared" si="3917"/>
        <v>869810.08430000034</v>
      </c>
      <c r="BB682" s="274">
        <f t="shared" si="3917"/>
        <v>866841.44920000038</v>
      </c>
      <c r="BC682" s="274">
        <f t="shared" si="3917"/>
        <v>863872.81410000043</v>
      </c>
      <c r="BD682" s="274">
        <f t="shared" si="3917"/>
        <v>860904.17900000047</v>
      </c>
      <c r="BE682" s="274">
        <f t="shared" si="3917"/>
        <v>857935.54390000051</v>
      </c>
      <c r="BF682" s="274">
        <f t="shared" si="3917"/>
        <v>854966.90880000056</v>
      </c>
      <c r="BG682" s="274">
        <f t="shared" si="3557"/>
        <v>19201.1318268</v>
      </c>
      <c r="BH682" s="272">
        <f t="shared" ref="BH682:BH683" si="3918">BE682-BF682</f>
        <v>2968.6350999999559</v>
      </c>
      <c r="BI682" s="272">
        <f t="shared" ref="BI682:BI683" si="3919">BH682*12</f>
        <v>35623.62119999947</v>
      </c>
      <c r="BJ682" s="272">
        <f t="shared" ref="BJ682:BJ683" si="3920">BF682-BH682</f>
        <v>851998.2737000006</v>
      </c>
      <c r="BK682" s="274">
        <f>BJ$682-$BH$682</f>
        <v>849029.63860000065</v>
      </c>
      <c r="BL682" s="274">
        <f t="shared" ref="BL682:BU682" si="3921">BK$682-$BH$682</f>
        <v>846061.00350000069</v>
      </c>
      <c r="BM682" s="274">
        <f t="shared" si="3921"/>
        <v>843092.36840000073</v>
      </c>
      <c r="BN682" s="274">
        <f t="shared" si="3921"/>
        <v>840123.73330000078</v>
      </c>
      <c r="BO682" s="274">
        <f t="shared" si="3921"/>
        <v>837155.09820000082</v>
      </c>
      <c r="BP682" s="274">
        <f t="shared" si="3921"/>
        <v>834186.46310000087</v>
      </c>
      <c r="BQ682" s="274">
        <f t="shared" si="3921"/>
        <v>831217.82800000091</v>
      </c>
      <c r="BR682" s="274">
        <f t="shared" si="3921"/>
        <v>828249.19290000095</v>
      </c>
      <c r="BS682" s="274">
        <f t="shared" si="3921"/>
        <v>825280.557800001</v>
      </c>
      <c r="BT682" s="274">
        <f t="shared" si="3921"/>
        <v>822311.92270000104</v>
      </c>
      <c r="BU682" s="274">
        <f t="shared" si="3921"/>
        <v>819343.28760000109</v>
      </c>
      <c r="BV682" s="274">
        <f t="shared" si="3905"/>
        <v>18417.412160400017</v>
      </c>
      <c r="BW682" s="272">
        <f t="shared" si="3906"/>
        <v>2968.6350999999559</v>
      </c>
      <c r="BX682" s="272">
        <f t="shared" si="3624"/>
        <v>35623.62119999947</v>
      </c>
      <c r="BY682" s="272">
        <f t="shared" si="3555"/>
        <v>816374.65250000113</v>
      </c>
      <c r="BZ682" s="274">
        <f>BY$682-$BW$682</f>
        <v>813406.01740000118</v>
      </c>
      <c r="CA682" s="274">
        <f t="shared" ref="CA682:CJ682" si="3922">BZ$682-$BW$682</f>
        <v>810437.38230000122</v>
      </c>
      <c r="CB682" s="274">
        <f t="shared" si="3922"/>
        <v>807468.74720000126</v>
      </c>
      <c r="CC682" s="274">
        <f t="shared" si="3922"/>
        <v>804500.11210000131</v>
      </c>
      <c r="CD682" s="274">
        <f t="shared" si="3922"/>
        <v>801531.47700000135</v>
      </c>
      <c r="CE682" s="274">
        <f t="shared" si="3922"/>
        <v>798562.8419000014</v>
      </c>
      <c r="CF682" s="274">
        <f t="shared" si="3922"/>
        <v>795594.20680000144</v>
      </c>
      <c r="CG682" s="274">
        <f t="shared" si="3922"/>
        <v>792625.57170000148</v>
      </c>
      <c r="CH682" s="274">
        <f t="shared" si="3922"/>
        <v>789656.93660000153</v>
      </c>
      <c r="CI682" s="274">
        <f t="shared" si="3922"/>
        <v>786688.30150000157</v>
      </c>
      <c r="CJ682" s="274">
        <f t="shared" si="3922"/>
        <v>783719.66640000162</v>
      </c>
      <c r="CK682" s="274">
        <f t="shared" si="3908"/>
        <v>17633.692494000028</v>
      </c>
      <c r="CL682" s="272">
        <f t="shared" ref="CL682:CL683" si="3923">CI682-CJ682</f>
        <v>2968.6350999999559</v>
      </c>
      <c r="CM682" s="272">
        <f t="shared" si="3626"/>
        <v>35623.62119999947</v>
      </c>
      <c r="CN682" s="272">
        <f t="shared" si="3627"/>
        <v>780751.03130000166</v>
      </c>
      <c r="CO682" s="274">
        <f>CN$682-$CL$682</f>
        <v>777782.39620000171</v>
      </c>
      <c r="CP682" s="274">
        <f t="shared" ref="CP682:CY682" si="3924">CO$682-$CL$682</f>
        <v>774813.76110000175</v>
      </c>
      <c r="CQ682" s="274">
        <f t="shared" si="3924"/>
        <v>771845.12600000179</v>
      </c>
      <c r="CR682" s="274">
        <f t="shared" si="3924"/>
        <v>768876.49090000184</v>
      </c>
      <c r="CS682" s="274">
        <f t="shared" si="3924"/>
        <v>765907.85580000188</v>
      </c>
      <c r="CT682" s="274">
        <f t="shared" si="3924"/>
        <v>762939.22070000193</v>
      </c>
      <c r="CU682" s="274">
        <f t="shared" si="3924"/>
        <v>759970.58560000197</v>
      </c>
      <c r="CV682" s="274">
        <f t="shared" si="3924"/>
        <v>757001.95050000201</v>
      </c>
      <c r="CW682" s="274">
        <f t="shared" si="3924"/>
        <v>754033.31540000206</v>
      </c>
      <c r="CX682" s="274">
        <f t="shared" si="3924"/>
        <v>751064.6803000021</v>
      </c>
      <c r="CY682" s="274">
        <f t="shared" si="3924"/>
        <v>748096.04520000215</v>
      </c>
      <c r="CZ682" s="274">
        <f t="shared" si="3910"/>
        <v>16849.972827600042</v>
      </c>
    </row>
    <row r="683" spans="1:104" s="266" customFormat="1" ht="26.25" customHeight="1" x14ac:dyDescent="0.2">
      <c r="A683" s="264" t="str">
        <f>'08.03'!A89</f>
        <v>ВЛИ-0,4 кВ</v>
      </c>
      <c r="B683" s="265" t="s">
        <v>2784</v>
      </c>
      <c r="C683" s="266" t="s">
        <v>41</v>
      </c>
      <c r="D683" s="267" t="s">
        <v>42</v>
      </c>
      <c r="E683" s="268">
        <v>45274</v>
      </c>
      <c r="F683" s="267" t="s">
        <v>44</v>
      </c>
      <c r="G683" s="282">
        <f>'08.03'!H89</f>
        <v>180</v>
      </c>
      <c r="H683" s="270"/>
      <c r="K683" s="271">
        <v>1</v>
      </c>
      <c r="L683" s="272"/>
      <c r="M683" s="272"/>
      <c r="N683" s="272"/>
      <c r="O683" s="272"/>
      <c r="P683" s="272"/>
      <c r="Q683" s="272"/>
      <c r="R683" s="272"/>
      <c r="S683" s="272"/>
      <c r="T683" s="272"/>
      <c r="U683" s="272"/>
      <c r="V683" s="272"/>
      <c r="W683" s="272"/>
      <c r="X683" s="272"/>
      <c r="Y683" s="272"/>
      <c r="Z683" s="272"/>
      <c r="AA683" s="272"/>
      <c r="AB683" s="272"/>
      <c r="AC683" s="273"/>
      <c r="AD683" s="272"/>
      <c r="AE683" s="272"/>
      <c r="AF683" s="272"/>
      <c r="AG683" s="272"/>
      <c r="AH683" s="272"/>
      <c r="AI683" s="272"/>
      <c r="AJ683" s="274"/>
      <c r="AK683" s="274"/>
      <c r="AL683" s="274"/>
      <c r="AM683" s="274"/>
      <c r="AN683" s="274"/>
      <c r="AO683" s="274">
        <f>'08.03'!E89</f>
        <v>660403.94999999995</v>
      </c>
      <c r="AP683" s="274"/>
      <c r="AQ683" s="272">
        <f t="shared" si="3915"/>
        <v>3668.9108333333329</v>
      </c>
      <c r="AR683" s="272"/>
      <c r="AS683" s="272"/>
      <c r="AT683" s="272">
        <f t="shared" si="3916"/>
        <v>44026.929999999993</v>
      </c>
      <c r="AU683" s="274">
        <f t="shared" si="3902"/>
        <v>656735.03916666657</v>
      </c>
      <c r="AV683" s="274">
        <f>AU$683-$AQ$683</f>
        <v>653066.12833333318</v>
      </c>
      <c r="AW683" s="274">
        <f t="shared" ref="AW683:BF683" si="3925">AV$683-$AQ$683</f>
        <v>649397.2174999998</v>
      </c>
      <c r="AX683" s="274">
        <f t="shared" si="3925"/>
        <v>645728.30666666641</v>
      </c>
      <c r="AY683" s="274">
        <f t="shared" si="3925"/>
        <v>642059.39583333302</v>
      </c>
      <c r="AZ683" s="274">
        <f t="shared" si="3925"/>
        <v>638390.48499999964</v>
      </c>
      <c r="BA683" s="274">
        <f t="shared" si="3925"/>
        <v>634721.57416666625</v>
      </c>
      <c r="BB683" s="274">
        <f t="shared" si="3925"/>
        <v>631052.66333333286</v>
      </c>
      <c r="BC683" s="274">
        <f t="shared" si="3925"/>
        <v>627383.75249999948</v>
      </c>
      <c r="BD683" s="274">
        <f t="shared" si="3925"/>
        <v>623714.84166666609</v>
      </c>
      <c r="BE683" s="274">
        <f t="shared" si="3925"/>
        <v>620045.93083333271</v>
      </c>
      <c r="BF683" s="274">
        <f t="shared" si="3925"/>
        <v>616377.01999999932</v>
      </c>
      <c r="BG683" s="274">
        <f t="shared" si="3557"/>
        <v>14044.59066999999</v>
      </c>
      <c r="BH683" s="272">
        <f t="shared" si="3918"/>
        <v>3668.9108333333861</v>
      </c>
      <c r="BI683" s="272">
        <f t="shared" si="3919"/>
        <v>44026.930000000633</v>
      </c>
      <c r="BJ683" s="272">
        <f t="shared" si="3920"/>
        <v>612708.10916666593</v>
      </c>
      <c r="BK683" s="274">
        <f>BJ$683-$BH$683</f>
        <v>609039.19833333255</v>
      </c>
      <c r="BL683" s="274">
        <f t="shared" ref="BL683:BU683" si="3926">BK$683-$BH$683</f>
        <v>605370.28749999916</v>
      </c>
      <c r="BM683" s="274">
        <f t="shared" si="3926"/>
        <v>601701.37666666578</v>
      </c>
      <c r="BN683" s="274">
        <f t="shared" si="3926"/>
        <v>598032.46583333239</v>
      </c>
      <c r="BO683" s="274">
        <f t="shared" si="3926"/>
        <v>594363.554999999</v>
      </c>
      <c r="BP683" s="274">
        <f t="shared" si="3926"/>
        <v>590694.64416666562</v>
      </c>
      <c r="BQ683" s="274">
        <f t="shared" si="3926"/>
        <v>587025.73333333223</v>
      </c>
      <c r="BR683" s="274">
        <f t="shared" si="3926"/>
        <v>583356.82249999885</v>
      </c>
      <c r="BS683" s="274">
        <f t="shared" si="3926"/>
        <v>579687.91166666546</v>
      </c>
      <c r="BT683" s="274">
        <f t="shared" si="3926"/>
        <v>576019.00083333207</v>
      </c>
      <c r="BU683" s="274">
        <f t="shared" si="3926"/>
        <v>572350.08999999869</v>
      </c>
      <c r="BV683" s="274">
        <f t="shared" si="3905"/>
        <v>13075.998209999978</v>
      </c>
      <c r="BW683" s="272">
        <f t="shared" si="3906"/>
        <v>3668.9108333333861</v>
      </c>
      <c r="BX683" s="272">
        <f t="shared" si="3624"/>
        <v>44026.930000000633</v>
      </c>
      <c r="BY683" s="272">
        <f t="shared" si="3555"/>
        <v>568681.1791666653</v>
      </c>
      <c r="BZ683" s="274">
        <f>BY$683-$BW$683</f>
        <v>565012.26833333191</v>
      </c>
      <c r="CA683" s="274">
        <f t="shared" ref="CA683:CJ683" si="3927">BZ$683-$BW$683</f>
        <v>561343.35749999853</v>
      </c>
      <c r="CB683" s="274">
        <f t="shared" si="3927"/>
        <v>557674.44666666514</v>
      </c>
      <c r="CC683" s="274">
        <f t="shared" si="3927"/>
        <v>554005.53583333176</v>
      </c>
      <c r="CD683" s="274">
        <f t="shared" si="3927"/>
        <v>550336.62499999837</v>
      </c>
      <c r="CE683" s="274">
        <f t="shared" si="3927"/>
        <v>546667.71416666498</v>
      </c>
      <c r="CF683" s="274">
        <f t="shared" si="3927"/>
        <v>542998.8033333316</v>
      </c>
      <c r="CG683" s="274">
        <f t="shared" si="3927"/>
        <v>539329.89249999821</v>
      </c>
      <c r="CH683" s="274">
        <f t="shared" si="3927"/>
        <v>535660.98166666483</v>
      </c>
      <c r="CI683" s="274">
        <f t="shared" si="3927"/>
        <v>531992.07083333144</v>
      </c>
      <c r="CJ683" s="274">
        <f t="shared" si="3927"/>
        <v>528323.15999999805</v>
      </c>
      <c r="CK683" s="274">
        <f t="shared" si="3908"/>
        <v>12107.405749999964</v>
      </c>
      <c r="CL683" s="272">
        <f t="shared" si="3923"/>
        <v>3668.9108333333861</v>
      </c>
      <c r="CM683" s="272">
        <f t="shared" si="3626"/>
        <v>44026.930000000633</v>
      </c>
      <c r="CN683" s="272">
        <f t="shared" si="3627"/>
        <v>524654.24916666467</v>
      </c>
      <c r="CO683" s="274">
        <f>CN$683-$CL$683</f>
        <v>520985.33833333128</v>
      </c>
      <c r="CP683" s="274">
        <f t="shared" ref="CP683:CY683" si="3928">CO$683-$CL$683</f>
        <v>517316.4274999979</v>
      </c>
      <c r="CQ683" s="274">
        <f t="shared" si="3928"/>
        <v>513647.51666666451</v>
      </c>
      <c r="CR683" s="274">
        <f t="shared" si="3928"/>
        <v>509978.60583333112</v>
      </c>
      <c r="CS683" s="274">
        <f t="shared" si="3928"/>
        <v>506309.69499999774</v>
      </c>
      <c r="CT683" s="274">
        <f t="shared" si="3928"/>
        <v>502640.78416666435</v>
      </c>
      <c r="CU683" s="274">
        <f t="shared" si="3928"/>
        <v>498971.87333333096</v>
      </c>
      <c r="CV683" s="274">
        <f t="shared" si="3928"/>
        <v>495302.96249999758</v>
      </c>
      <c r="CW683" s="274">
        <f t="shared" si="3928"/>
        <v>491634.05166666419</v>
      </c>
      <c r="CX683" s="274">
        <f t="shared" si="3928"/>
        <v>487965.14083333081</v>
      </c>
      <c r="CY683" s="274">
        <f t="shared" si="3928"/>
        <v>484296.22999999742</v>
      </c>
      <c r="CZ683" s="274">
        <f t="shared" si="3910"/>
        <v>11138.813289999951</v>
      </c>
    </row>
    <row r="684" spans="1:104" s="266" customFormat="1" ht="26.25" customHeight="1" x14ac:dyDescent="0.2">
      <c r="A684" s="264" t="str">
        <f>'08.03'!A49</f>
        <v>Линии электропередачи 0,4 кВ (ДТП № 1548 от 14.04.2023 г., Склад)</v>
      </c>
      <c r="B684" s="265" t="s">
        <v>2780</v>
      </c>
      <c r="C684" s="266" t="s">
        <v>41</v>
      </c>
      <c r="D684" s="267" t="s">
        <v>42</v>
      </c>
      <c r="E684" s="268">
        <v>45279</v>
      </c>
      <c r="F684" s="267" t="s">
        <v>44</v>
      </c>
      <c r="G684" s="282">
        <v>180</v>
      </c>
      <c r="H684" s="270"/>
      <c r="K684" s="271">
        <v>1</v>
      </c>
      <c r="L684" s="272"/>
      <c r="M684" s="272"/>
      <c r="N684" s="272"/>
      <c r="O684" s="272"/>
      <c r="P684" s="272"/>
      <c r="Q684" s="272"/>
      <c r="R684" s="272"/>
      <c r="S684" s="272"/>
      <c r="T684" s="272"/>
      <c r="U684" s="272"/>
      <c r="V684" s="272"/>
      <c r="W684" s="272"/>
      <c r="X684" s="272"/>
      <c r="Y684" s="272"/>
      <c r="Z684" s="272"/>
      <c r="AA684" s="272"/>
      <c r="AB684" s="272"/>
      <c r="AC684" s="273"/>
      <c r="AD684" s="272"/>
      <c r="AE684" s="272"/>
      <c r="AF684" s="272"/>
      <c r="AG684" s="272"/>
      <c r="AH684" s="272"/>
      <c r="AI684" s="272"/>
      <c r="AJ684" s="274"/>
      <c r="AK684" s="274"/>
      <c r="AL684" s="274"/>
      <c r="AM684" s="274"/>
      <c r="AN684" s="274"/>
      <c r="AO684" s="274">
        <f>'08.03'!E49</f>
        <v>1240019.6100000001</v>
      </c>
      <c r="AP684" s="274"/>
      <c r="AQ684" s="272">
        <f>AO684/G684</f>
        <v>6888.9978333333338</v>
      </c>
      <c r="AR684" s="272"/>
      <c r="AS684" s="272"/>
      <c r="AT684" s="272">
        <f t="shared" si="3813"/>
        <v>82667.974000000002</v>
      </c>
      <c r="AU684" s="274">
        <f t="shared" si="3902"/>
        <v>1233130.6121666667</v>
      </c>
      <c r="AV684" s="274">
        <f>AU$684-$AQ$684</f>
        <v>1226241.6143333332</v>
      </c>
      <c r="AW684" s="274">
        <f t="shared" ref="AW684:BF684" si="3929">AV$684-$AQ$684</f>
        <v>1219352.6164999998</v>
      </c>
      <c r="AX684" s="274">
        <f t="shared" si="3929"/>
        <v>1212463.6186666663</v>
      </c>
      <c r="AY684" s="274">
        <f t="shared" si="3929"/>
        <v>1205574.6208333329</v>
      </c>
      <c r="AZ684" s="274">
        <f t="shared" si="3929"/>
        <v>1198685.6229999994</v>
      </c>
      <c r="BA684" s="274">
        <f t="shared" si="3929"/>
        <v>1191796.625166666</v>
      </c>
      <c r="BB684" s="274">
        <f t="shared" si="3929"/>
        <v>1184907.6273333326</v>
      </c>
      <c r="BC684" s="274">
        <f t="shared" si="3929"/>
        <v>1178018.6294999991</v>
      </c>
      <c r="BD684" s="274">
        <f t="shared" si="3929"/>
        <v>1171129.6316666657</v>
      </c>
      <c r="BE684" s="274">
        <f t="shared" si="3929"/>
        <v>1164240.6338333322</v>
      </c>
      <c r="BF684" s="274">
        <f t="shared" si="3929"/>
        <v>1157351.6359999988</v>
      </c>
      <c r="BG684" s="274">
        <f t="shared" si="3557"/>
        <v>26371.083705999987</v>
      </c>
      <c r="BH684" s="272">
        <f>BE684-BF684</f>
        <v>6888.9978333334439</v>
      </c>
      <c r="BI684" s="272">
        <f>BH684*12</f>
        <v>82667.974000001326</v>
      </c>
      <c r="BJ684" s="272">
        <f>BF684-BH684</f>
        <v>1150462.6381666653</v>
      </c>
      <c r="BK684" s="274">
        <f>BJ$684-$BH$684</f>
        <v>1143573.6403333319</v>
      </c>
      <c r="BL684" s="274">
        <f t="shared" ref="BL684:BU684" si="3930">BK$684-$BH$684</f>
        <v>1136684.6424999984</v>
      </c>
      <c r="BM684" s="274">
        <f t="shared" si="3930"/>
        <v>1129795.644666665</v>
      </c>
      <c r="BN684" s="274">
        <f t="shared" si="3930"/>
        <v>1122906.6468333316</v>
      </c>
      <c r="BO684" s="274">
        <f t="shared" si="3930"/>
        <v>1116017.6489999981</v>
      </c>
      <c r="BP684" s="274">
        <f t="shared" si="3930"/>
        <v>1109128.6511666647</v>
      </c>
      <c r="BQ684" s="274">
        <f t="shared" si="3930"/>
        <v>1102239.6533333312</v>
      </c>
      <c r="BR684" s="274">
        <f t="shared" si="3930"/>
        <v>1095350.6554999978</v>
      </c>
      <c r="BS684" s="274">
        <f t="shared" si="3930"/>
        <v>1088461.6576666643</v>
      </c>
      <c r="BT684" s="274">
        <f t="shared" si="3930"/>
        <v>1081572.6598333309</v>
      </c>
      <c r="BU684" s="274">
        <f t="shared" si="3930"/>
        <v>1074683.6619999975</v>
      </c>
      <c r="BV684" s="274">
        <f t="shared" si="3905"/>
        <v>24552.388277999959</v>
      </c>
      <c r="BW684" s="272">
        <f t="shared" si="3906"/>
        <v>6888.9978333334439</v>
      </c>
      <c r="BX684" s="272">
        <f t="shared" si="3624"/>
        <v>82667.974000001326</v>
      </c>
      <c r="BY684" s="272">
        <f t="shared" si="3555"/>
        <v>1067794.664166664</v>
      </c>
      <c r="BZ684" s="274">
        <f>BY$684-$BW$684</f>
        <v>1060905.6663333306</v>
      </c>
      <c r="CA684" s="274">
        <f t="shared" ref="CA684:CI684" si="3931">BZ$684-$BW$684</f>
        <v>1054016.6684999971</v>
      </c>
      <c r="CB684" s="274">
        <f t="shared" si="3931"/>
        <v>1047127.6706666637</v>
      </c>
      <c r="CC684" s="274">
        <f t="shared" si="3931"/>
        <v>1040238.6728333302</v>
      </c>
      <c r="CD684" s="274">
        <f t="shared" si="3931"/>
        <v>1033349.6749999968</v>
      </c>
      <c r="CE684" s="274">
        <f t="shared" si="3931"/>
        <v>1026460.6771666633</v>
      </c>
      <c r="CF684" s="274">
        <f t="shared" si="3931"/>
        <v>1019571.6793333299</v>
      </c>
      <c r="CG684" s="274">
        <f t="shared" si="3931"/>
        <v>1012682.6814999965</v>
      </c>
      <c r="CH684" s="274">
        <f t="shared" si="3931"/>
        <v>1005793.683666663</v>
      </c>
      <c r="CI684" s="274">
        <f t="shared" si="3931"/>
        <v>998904.68583332957</v>
      </c>
      <c r="CJ684" s="274">
        <f>CI$684-$BW$684</f>
        <v>992015.68799999612</v>
      </c>
      <c r="CK684" s="274">
        <f t="shared" si="3908"/>
        <v>22733.692849999927</v>
      </c>
      <c r="CL684" s="272">
        <f>CI684-CJ684</f>
        <v>6888.9978333334439</v>
      </c>
      <c r="CM684" s="272">
        <f t="shared" si="3626"/>
        <v>82667.974000001326</v>
      </c>
      <c r="CN684" s="272">
        <f t="shared" si="3627"/>
        <v>985126.69016666268</v>
      </c>
      <c r="CO684" s="274">
        <f>CN$684-$CL$684</f>
        <v>978237.69233332924</v>
      </c>
      <c r="CP684" s="274">
        <f t="shared" ref="CP684:CY684" si="3932">CO$684-$CL$684</f>
        <v>971348.69449999579</v>
      </c>
      <c r="CQ684" s="274">
        <f t="shared" si="3932"/>
        <v>964459.69666666235</v>
      </c>
      <c r="CR684" s="274">
        <f t="shared" si="3932"/>
        <v>957570.6988333289</v>
      </c>
      <c r="CS684" s="274">
        <f t="shared" si="3932"/>
        <v>950681.70099999546</v>
      </c>
      <c r="CT684" s="274">
        <f t="shared" si="3932"/>
        <v>943792.70316666202</v>
      </c>
      <c r="CU684" s="274">
        <f t="shared" si="3932"/>
        <v>936903.70533332857</v>
      </c>
      <c r="CV684" s="274">
        <f t="shared" si="3932"/>
        <v>930014.70749999513</v>
      </c>
      <c r="CW684" s="274">
        <f t="shared" si="3932"/>
        <v>923125.70966666169</v>
      </c>
      <c r="CX684" s="274">
        <f t="shared" si="3932"/>
        <v>916236.71183332824</v>
      </c>
      <c r="CY684" s="274">
        <f t="shared" si="3932"/>
        <v>909347.7139999948</v>
      </c>
      <c r="CZ684" s="274">
        <f t="shared" si="3910"/>
        <v>20914.997421999899</v>
      </c>
    </row>
    <row r="685" spans="1:104" s="266" customFormat="1" ht="26.25" customHeight="1" x14ac:dyDescent="0.2">
      <c r="A685" s="264" t="str">
        <f>'08.03'!A97</f>
        <v>КТП</v>
      </c>
      <c r="B685" s="265" t="s">
        <v>2788</v>
      </c>
      <c r="C685" s="266" t="s">
        <v>41</v>
      </c>
      <c r="D685" s="267" t="s">
        <v>42</v>
      </c>
      <c r="E685" s="268">
        <v>45287</v>
      </c>
      <c r="F685" s="267" t="s">
        <v>44</v>
      </c>
      <c r="G685" s="282">
        <f>'08.03'!H97</f>
        <v>300</v>
      </c>
      <c r="H685" s="270"/>
      <c r="K685" s="271">
        <v>1</v>
      </c>
      <c r="L685" s="272"/>
      <c r="M685" s="272"/>
      <c r="N685" s="272"/>
      <c r="O685" s="272"/>
      <c r="P685" s="272"/>
      <c r="Q685" s="272"/>
      <c r="R685" s="272"/>
      <c r="S685" s="272"/>
      <c r="T685" s="272"/>
      <c r="U685" s="272"/>
      <c r="V685" s="272"/>
      <c r="W685" s="272"/>
      <c r="X685" s="272"/>
      <c r="Y685" s="272"/>
      <c r="Z685" s="272"/>
      <c r="AA685" s="272"/>
      <c r="AB685" s="272"/>
      <c r="AC685" s="273"/>
      <c r="AD685" s="272"/>
      <c r="AE685" s="272"/>
      <c r="AF685" s="272"/>
      <c r="AG685" s="272"/>
      <c r="AH685" s="272"/>
      <c r="AI685" s="272"/>
      <c r="AJ685" s="274"/>
      <c r="AK685" s="274"/>
      <c r="AL685" s="274"/>
      <c r="AM685" s="274"/>
      <c r="AN685" s="274"/>
      <c r="AO685" s="274">
        <f>'08.03'!E97</f>
        <v>9966580.6799999997</v>
      </c>
      <c r="AP685" s="274"/>
      <c r="AQ685" s="272">
        <f t="shared" ref="AQ685:AQ690" si="3933">AO685/G685</f>
        <v>33221.935599999997</v>
      </c>
      <c r="AR685" s="272"/>
      <c r="AS685" s="272"/>
      <c r="AT685" s="272">
        <f t="shared" ref="AT685:AT687" si="3934">AQ685*12</f>
        <v>398663.22719999996</v>
      </c>
      <c r="AU685" s="274">
        <f t="shared" si="3902"/>
        <v>9933358.7444000002</v>
      </c>
      <c r="AV685" s="274">
        <f>AU$685-$AQ$685</f>
        <v>9900136.8088000007</v>
      </c>
      <c r="AW685" s="274">
        <f t="shared" ref="AW685:BF685" si="3935">AV$685-$AQ$685</f>
        <v>9866914.8732000012</v>
      </c>
      <c r="AX685" s="274">
        <f t="shared" si="3935"/>
        <v>9833692.9376000017</v>
      </c>
      <c r="AY685" s="274">
        <f t="shared" si="3935"/>
        <v>9800471.0020000022</v>
      </c>
      <c r="AZ685" s="274">
        <f t="shared" si="3935"/>
        <v>9767249.0664000027</v>
      </c>
      <c r="BA685" s="274">
        <f t="shared" si="3935"/>
        <v>9734027.1308000032</v>
      </c>
      <c r="BB685" s="274">
        <f t="shared" si="3935"/>
        <v>9700805.1952000037</v>
      </c>
      <c r="BC685" s="274">
        <f t="shared" si="3935"/>
        <v>9667583.2596000042</v>
      </c>
      <c r="BD685" s="274">
        <f t="shared" si="3935"/>
        <v>9634361.3240000047</v>
      </c>
      <c r="BE685" s="274">
        <f t="shared" si="3935"/>
        <v>9601139.3884000052</v>
      </c>
      <c r="BF685" s="274">
        <f t="shared" si="3935"/>
        <v>9567917.4528000057</v>
      </c>
      <c r="BG685" s="274">
        <f t="shared" si="3557"/>
        <v>214879.47946080004</v>
      </c>
      <c r="BH685" s="272">
        <f t="shared" ref="BH685:BH687" si="3936">BE685-BF685</f>
        <v>33221.935599999502</v>
      </c>
      <c r="BI685" s="272">
        <f t="shared" ref="BI685:BI687" si="3937">BH685*12</f>
        <v>398663.22719999403</v>
      </c>
      <c r="BJ685" s="272">
        <f t="shared" ref="BJ685:BJ687" si="3938">BF685-BH685</f>
        <v>9534695.5172000062</v>
      </c>
      <c r="BK685" s="274">
        <f>BJ$685-$BH$685</f>
        <v>9501473.5816000067</v>
      </c>
      <c r="BL685" s="274">
        <f t="shared" ref="BL685:BU685" si="3939">BK$685-$BH$685</f>
        <v>9468251.6460000072</v>
      </c>
      <c r="BM685" s="274">
        <f t="shared" si="3939"/>
        <v>9435029.7104000077</v>
      </c>
      <c r="BN685" s="274">
        <f t="shared" si="3939"/>
        <v>9401807.7748000082</v>
      </c>
      <c r="BO685" s="274">
        <f t="shared" si="3939"/>
        <v>9368585.8392000087</v>
      </c>
      <c r="BP685" s="274">
        <f t="shared" si="3939"/>
        <v>9335363.9036000092</v>
      </c>
      <c r="BQ685" s="274">
        <f t="shared" si="3939"/>
        <v>9302141.9680000097</v>
      </c>
      <c r="BR685" s="274">
        <f t="shared" si="3939"/>
        <v>9268920.0324000102</v>
      </c>
      <c r="BS685" s="274">
        <f t="shared" si="3939"/>
        <v>9235698.0968000107</v>
      </c>
      <c r="BT685" s="274">
        <f t="shared" si="3939"/>
        <v>9202476.1612000111</v>
      </c>
      <c r="BU685" s="274">
        <f t="shared" si="3939"/>
        <v>9169254.2256000116</v>
      </c>
      <c r="BV685" s="274">
        <f t="shared" si="3905"/>
        <v>206108.88846240018</v>
      </c>
      <c r="BW685" s="272">
        <f t="shared" si="3906"/>
        <v>33221.935599999502</v>
      </c>
      <c r="BX685" s="272">
        <f t="shared" si="3624"/>
        <v>398663.22719999403</v>
      </c>
      <c r="BY685" s="272">
        <f t="shared" si="3555"/>
        <v>9136032.2900000121</v>
      </c>
      <c r="BZ685" s="274">
        <f>BY$685-$BW$685</f>
        <v>9102810.3544000126</v>
      </c>
      <c r="CA685" s="274">
        <f t="shared" ref="CA685:CJ685" si="3940">BZ$685-$BW$685</f>
        <v>9069588.4188000131</v>
      </c>
      <c r="CB685" s="274">
        <f t="shared" si="3940"/>
        <v>9036366.4832000136</v>
      </c>
      <c r="CC685" s="274">
        <f t="shared" si="3940"/>
        <v>9003144.5476000141</v>
      </c>
      <c r="CD685" s="274">
        <f t="shared" si="3940"/>
        <v>8969922.6120000146</v>
      </c>
      <c r="CE685" s="274">
        <f t="shared" si="3940"/>
        <v>8936700.6764000151</v>
      </c>
      <c r="CF685" s="274">
        <f t="shared" si="3940"/>
        <v>8903478.7408000156</v>
      </c>
      <c r="CG685" s="274">
        <f t="shared" si="3940"/>
        <v>8870256.8052000161</v>
      </c>
      <c r="CH685" s="274">
        <f t="shared" si="3940"/>
        <v>8837034.8696000166</v>
      </c>
      <c r="CI685" s="274">
        <f t="shared" si="3940"/>
        <v>8803812.9340000171</v>
      </c>
      <c r="CJ685" s="274">
        <f t="shared" si="3940"/>
        <v>8770590.9984000176</v>
      </c>
      <c r="CK685" s="274">
        <f t="shared" si="3908"/>
        <v>197338.29746400032</v>
      </c>
      <c r="CL685" s="272">
        <f t="shared" ref="CL685:CL687" si="3941">CI685-CJ685</f>
        <v>33221.935599999502</v>
      </c>
      <c r="CM685" s="272">
        <f t="shared" si="3626"/>
        <v>398663.22719999403</v>
      </c>
      <c r="CN685" s="272">
        <f t="shared" si="3627"/>
        <v>8737369.0628000181</v>
      </c>
      <c r="CO685" s="274">
        <f>CN$685-$CL$685</f>
        <v>8704147.1272000186</v>
      </c>
      <c r="CP685" s="274">
        <f t="shared" ref="CP685:CY685" si="3942">CO$685-$CL$685</f>
        <v>8670925.1916000191</v>
      </c>
      <c r="CQ685" s="274">
        <f t="shared" si="3942"/>
        <v>8637703.2560000196</v>
      </c>
      <c r="CR685" s="274">
        <f t="shared" si="3942"/>
        <v>8604481.3204000201</v>
      </c>
      <c r="CS685" s="274">
        <f t="shared" si="3942"/>
        <v>8571259.3848000206</v>
      </c>
      <c r="CT685" s="274">
        <f t="shared" si="3942"/>
        <v>8538037.4492000211</v>
      </c>
      <c r="CU685" s="274">
        <f t="shared" si="3942"/>
        <v>8504815.5136000216</v>
      </c>
      <c r="CV685" s="274">
        <f t="shared" si="3942"/>
        <v>8471593.5780000221</v>
      </c>
      <c r="CW685" s="274">
        <f t="shared" si="3942"/>
        <v>8438371.6424000226</v>
      </c>
      <c r="CX685" s="274">
        <f t="shared" si="3942"/>
        <v>8405149.7068000231</v>
      </c>
      <c r="CY685" s="274">
        <f t="shared" si="3942"/>
        <v>8371927.7712000236</v>
      </c>
      <c r="CZ685" s="274">
        <f t="shared" si="3910"/>
        <v>188567.70646560044</v>
      </c>
    </row>
    <row r="686" spans="1:104" s="266" customFormat="1" ht="26.25" customHeight="1" x14ac:dyDescent="0.2">
      <c r="A686" s="264" t="str">
        <f>'08.03'!A98</f>
        <v>ВЛЗ-6 кВ</v>
      </c>
      <c r="B686" s="265" t="s">
        <v>2789</v>
      </c>
      <c r="C686" s="266" t="s">
        <v>41</v>
      </c>
      <c r="D686" s="267" t="s">
        <v>42</v>
      </c>
      <c r="E686" s="268">
        <v>45287</v>
      </c>
      <c r="F686" s="267" t="s">
        <v>44</v>
      </c>
      <c r="G686" s="282">
        <f>'08.03'!H98</f>
        <v>180</v>
      </c>
      <c r="H686" s="270"/>
      <c r="K686" s="271">
        <v>1</v>
      </c>
      <c r="L686" s="272"/>
      <c r="M686" s="272"/>
      <c r="N686" s="272"/>
      <c r="O686" s="272"/>
      <c r="P686" s="272"/>
      <c r="Q686" s="272"/>
      <c r="R686" s="272"/>
      <c r="S686" s="272"/>
      <c r="T686" s="272"/>
      <c r="U686" s="272"/>
      <c r="V686" s="272"/>
      <c r="W686" s="272"/>
      <c r="X686" s="272"/>
      <c r="Y686" s="272"/>
      <c r="Z686" s="272"/>
      <c r="AA686" s="272"/>
      <c r="AB686" s="272"/>
      <c r="AC686" s="273"/>
      <c r="AD686" s="272"/>
      <c r="AE686" s="272"/>
      <c r="AF686" s="272"/>
      <c r="AG686" s="272"/>
      <c r="AH686" s="272"/>
      <c r="AI686" s="272"/>
      <c r="AJ686" s="274"/>
      <c r="AK686" s="274"/>
      <c r="AL686" s="274"/>
      <c r="AM686" s="274"/>
      <c r="AN686" s="274"/>
      <c r="AO686" s="274">
        <f>'08.03'!E98</f>
        <v>5529824.21</v>
      </c>
      <c r="AP686" s="274"/>
      <c r="AQ686" s="272">
        <f t="shared" si="3933"/>
        <v>30721.24561111111</v>
      </c>
      <c r="AR686" s="272"/>
      <c r="AS686" s="272"/>
      <c r="AT686" s="272">
        <f t="shared" si="3934"/>
        <v>368654.94733333332</v>
      </c>
      <c r="AU686" s="274">
        <f t="shared" si="3902"/>
        <v>5499102.9643888893</v>
      </c>
      <c r="AV686" s="274">
        <f>AU$686-$AQ$686</f>
        <v>5468381.7187777786</v>
      </c>
      <c r="AW686" s="274">
        <f t="shared" ref="AW686:BF686" si="3943">AV$686-$AQ$686</f>
        <v>5437660.4731666679</v>
      </c>
      <c r="AX686" s="274">
        <f t="shared" si="3943"/>
        <v>5406939.2275555572</v>
      </c>
      <c r="AY686" s="274">
        <f t="shared" si="3943"/>
        <v>5376217.9819444465</v>
      </c>
      <c r="AZ686" s="274">
        <f t="shared" si="3943"/>
        <v>5345496.7363333357</v>
      </c>
      <c r="BA686" s="274">
        <f t="shared" si="3943"/>
        <v>5314775.490722225</v>
      </c>
      <c r="BB686" s="274">
        <f t="shared" si="3943"/>
        <v>5284054.2451111143</v>
      </c>
      <c r="BC686" s="274">
        <f t="shared" si="3943"/>
        <v>5253332.9995000036</v>
      </c>
      <c r="BD686" s="274">
        <f t="shared" si="3943"/>
        <v>5222611.7538888929</v>
      </c>
      <c r="BE686" s="274">
        <f t="shared" si="3943"/>
        <v>5191890.5082777822</v>
      </c>
      <c r="BF686" s="274">
        <f t="shared" si="3943"/>
        <v>5161169.2626666715</v>
      </c>
      <c r="BG686" s="274">
        <f t="shared" si="3557"/>
        <v>117600.92819933339</v>
      </c>
      <c r="BH686" s="272">
        <f t="shared" si="3936"/>
        <v>30721.245611110702</v>
      </c>
      <c r="BI686" s="272">
        <f t="shared" si="3937"/>
        <v>368654.94733332843</v>
      </c>
      <c r="BJ686" s="272">
        <f t="shared" si="3938"/>
        <v>5130448.0170555608</v>
      </c>
      <c r="BK686" s="274">
        <f>BJ$686-$BH$686</f>
        <v>5099726.7714444501</v>
      </c>
      <c r="BL686" s="274">
        <f t="shared" ref="BL686:BU686" si="3944">BK$686-$BH$686</f>
        <v>5069005.5258333394</v>
      </c>
      <c r="BM686" s="274">
        <f t="shared" si="3944"/>
        <v>5038284.2802222287</v>
      </c>
      <c r="BN686" s="274">
        <f t="shared" si="3944"/>
        <v>5007563.034611118</v>
      </c>
      <c r="BO686" s="274">
        <f t="shared" si="3944"/>
        <v>4976841.7890000073</v>
      </c>
      <c r="BP686" s="274">
        <f t="shared" si="3944"/>
        <v>4946120.5433888966</v>
      </c>
      <c r="BQ686" s="274">
        <f t="shared" si="3944"/>
        <v>4915399.2977777859</v>
      </c>
      <c r="BR686" s="274">
        <f t="shared" si="3944"/>
        <v>4884678.0521666752</v>
      </c>
      <c r="BS686" s="274">
        <f t="shared" si="3944"/>
        <v>4853956.8065555645</v>
      </c>
      <c r="BT686" s="274">
        <f t="shared" si="3944"/>
        <v>4823235.5609444538</v>
      </c>
      <c r="BU686" s="274">
        <f t="shared" si="3944"/>
        <v>4792514.3153333431</v>
      </c>
      <c r="BV686" s="274">
        <f t="shared" si="3905"/>
        <v>109490.51935800015</v>
      </c>
      <c r="BW686" s="272">
        <f t="shared" si="3906"/>
        <v>30721.245611110702</v>
      </c>
      <c r="BX686" s="272">
        <f t="shared" si="3624"/>
        <v>368654.94733332843</v>
      </c>
      <c r="BY686" s="272">
        <f t="shared" si="3555"/>
        <v>4761793.0697222324</v>
      </c>
      <c r="BZ686" s="274">
        <f>BY$686-$BW$686</f>
        <v>4731071.8241111217</v>
      </c>
      <c r="CA686" s="274">
        <f t="shared" ref="CA686:CJ686" si="3945">BZ$686-$BW$686</f>
        <v>4700350.578500011</v>
      </c>
      <c r="CB686" s="274">
        <f t="shared" si="3945"/>
        <v>4669629.3328889003</v>
      </c>
      <c r="CC686" s="274">
        <f t="shared" si="3945"/>
        <v>4638908.0872777896</v>
      </c>
      <c r="CD686" s="274">
        <f t="shared" si="3945"/>
        <v>4608186.8416666789</v>
      </c>
      <c r="CE686" s="274">
        <f t="shared" si="3945"/>
        <v>4577465.5960555682</v>
      </c>
      <c r="CF686" s="274">
        <f t="shared" si="3945"/>
        <v>4546744.3504444575</v>
      </c>
      <c r="CG686" s="274">
        <f t="shared" si="3945"/>
        <v>4516023.1048333468</v>
      </c>
      <c r="CH686" s="274">
        <f t="shared" si="3945"/>
        <v>4485301.8592222361</v>
      </c>
      <c r="CI686" s="274">
        <f t="shared" si="3945"/>
        <v>4454580.6136111254</v>
      </c>
      <c r="CJ686" s="274">
        <f t="shared" si="3945"/>
        <v>4423859.3680000147</v>
      </c>
      <c r="CK686" s="274">
        <f t="shared" si="3908"/>
        <v>101380.11051666693</v>
      </c>
      <c r="CL686" s="272">
        <f t="shared" si="3941"/>
        <v>30721.245611110702</v>
      </c>
      <c r="CM686" s="272">
        <f t="shared" si="3626"/>
        <v>368654.94733332843</v>
      </c>
      <c r="CN686" s="272">
        <f t="shared" si="3627"/>
        <v>4393138.122388904</v>
      </c>
      <c r="CO686" s="274">
        <f>CN$686-$CL$686</f>
        <v>4362416.8767777933</v>
      </c>
      <c r="CP686" s="274">
        <f t="shared" ref="CP686:CY686" si="3946">CO$686-$CL$686</f>
        <v>4331695.6311666826</v>
      </c>
      <c r="CQ686" s="274">
        <f t="shared" si="3946"/>
        <v>4300974.3855555719</v>
      </c>
      <c r="CR686" s="274">
        <f t="shared" si="3946"/>
        <v>4270253.1399444612</v>
      </c>
      <c r="CS686" s="274">
        <f t="shared" si="3946"/>
        <v>4239531.8943333505</v>
      </c>
      <c r="CT686" s="274">
        <f t="shared" si="3946"/>
        <v>4208810.6487222398</v>
      </c>
      <c r="CU686" s="274">
        <f t="shared" si="3946"/>
        <v>4178089.4031111291</v>
      </c>
      <c r="CV686" s="274">
        <f t="shared" si="3946"/>
        <v>4147368.1575000184</v>
      </c>
      <c r="CW686" s="274">
        <f t="shared" si="3946"/>
        <v>4116646.9118889077</v>
      </c>
      <c r="CX686" s="274">
        <f t="shared" si="3946"/>
        <v>4085925.666277797</v>
      </c>
      <c r="CY686" s="274">
        <f t="shared" si="3946"/>
        <v>4055204.4206666863</v>
      </c>
      <c r="CZ686" s="274">
        <f t="shared" si="3910"/>
        <v>93269.701675333708</v>
      </c>
    </row>
    <row r="687" spans="1:104" s="266" customFormat="1" ht="26.25" customHeight="1" x14ac:dyDescent="0.2">
      <c r="A687" s="264" t="str">
        <f>'08.03'!A99</f>
        <v>КЛ-6 кВ</v>
      </c>
      <c r="B687" s="265" t="s">
        <v>2790</v>
      </c>
      <c r="C687" s="266" t="s">
        <v>41</v>
      </c>
      <c r="D687" s="267" t="s">
        <v>42</v>
      </c>
      <c r="E687" s="268">
        <v>45287</v>
      </c>
      <c r="F687" s="267" t="s">
        <v>44</v>
      </c>
      <c r="G687" s="282">
        <f>'08.03'!H99</f>
        <v>180</v>
      </c>
      <c r="H687" s="270"/>
      <c r="K687" s="271">
        <v>1</v>
      </c>
      <c r="L687" s="272"/>
      <c r="M687" s="272"/>
      <c r="N687" s="272"/>
      <c r="O687" s="272"/>
      <c r="P687" s="272"/>
      <c r="Q687" s="272"/>
      <c r="R687" s="272"/>
      <c r="S687" s="272"/>
      <c r="T687" s="272"/>
      <c r="U687" s="272"/>
      <c r="V687" s="272"/>
      <c r="W687" s="272"/>
      <c r="X687" s="272"/>
      <c r="Y687" s="272"/>
      <c r="Z687" s="272"/>
      <c r="AA687" s="272"/>
      <c r="AB687" s="272"/>
      <c r="AC687" s="273"/>
      <c r="AD687" s="272"/>
      <c r="AE687" s="272"/>
      <c r="AF687" s="272"/>
      <c r="AG687" s="272"/>
      <c r="AH687" s="272"/>
      <c r="AI687" s="272"/>
      <c r="AJ687" s="274"/>
      <c r="AK687" s="274"/>
      <c r="AL687" s="274"/>
      <c r="AM687" s="274"/>
      <c r="AN687" s="274"/>
      <c r="AO687" s="274">
        <f>'08.03'!E99</f>
        <v>3428775.03</v>
      </c>
      <c r="AP687" s="274"/>
      <c r="AQ687" s="272">
        <f t="shared" si="3933"/>
        <v>19048.750166666665</v>
      </c>
      <c r="AR687" s="272"/>
      <c r="AS687" s="272"/>
      <c r="AT687" s="272">
        <f t="shared" si="3934"/>
        <v>228585.00199999998</v>
      </c>
      <c r="AU687" s="274">
        <f t="shared" si="3902"/>
        <v>3409726.2798333331</v>
      </c>
      <c r="AV687" s="274">
        <f>AU$687-$AQ$687</f>
        <v>3390677.5296666664</v>
      </c>
      <c r="AW687" s="274">
        <f t="shared" ref="AW687:BF687" si="3947">AV$687-$AQ$687</f>
        <v>3371628.7794999997</v>
      </c>
      <c r="AX687" s="274">
        <f t="shared" si="3947"/>
        <v>3352580.029333333</v>
      </c>
      <c r="AY687" s="274">
        <f t="shared" si="3947"/>
        <v>3333531.2791666663</v>
      </c>
      <c r="AZ687" s="274">
        <f t="shared" si="3947"/>
        <v>3314482.5289999996</v>
      </c>
      <c r="BA687" s="274">
        <f t="shared" si="3947"/>
        <v>3295433.7788333329</v>
      </c>
      <c r="BB687" s="274">
        <f t="shared" si="3947"/>
        <v>3276385.0286666662</v>
      </c>
      <c r="BC687" s="274">
        <f t="shared" si="3947"/>
        <v>3257336.2784999995</v>
      </c>
      <c r="BD687" s="274">
        <f t="shared" si="3947"/>
        <v>3238287.5283333329</v>
      </c>
      <c r="BE687" s="274">
        <f t="shared" si="3947"/>
        <v>3219238.7781666662</v>
      </c>
      <c r="BF687" s="274">
        <f t="shared" si="3947"/>
        <v>3200190.0279999995</v>
      </c>
      <c r="BG687" s="274">
        <f t="shared" si="3557"/>
        <v>72918.615637999974</v>
      </c>
      <c r="BH687" s="272">
        <f t="shared" si="3936"/>
        <v>19048.750166666694</v>
      </c>
      <c r="BI687" s="272">
        <f t="shared" si="3937"/>
        <v>228585.00200000033</v>
      </c>
      <c r="BJ687" s="272">
        <f t="shared" si="3938"/>
        <v>3181141.2778333328</v>
      </c>
      <c r="BK687" s="274">
        <f>BJ$687-$BH$687</f>
        <v>3162092.5276666661</v>
      </c>
      <c r="BL687" s="274">
        <f t="shared" ref="BL687:BU687" si="3948">BK$687-$BH$687</f>
        <v>3143043.7774999994</v>
      </c>
      <c r="BM687" s="274">
        <f t="shared" si="3948"/>
        <v>3123995.0273333327</v>
      </c>
      <c r="BN687" s="274">
        <f t="shared" si="3948"/>
        <v>3104946.277166666</v>
      </c>
      <c r="BO687" s="274">
        <f t="shared" si="3948"/>
        <v>3085897.5269999993</v>
      </c>
      <c r="BP687" s="274">
        <f t="shared" si="3948"/>
        <v>3066848.7768333326</v>
      </c>
      <c r="BQ687" s="274">
        <f t="shared" si="3948"/>
        <v>3047800.0266666659</v>
      </c>
      <c r="BR687" s="274">
        <f t="shared" si="3948"/>
        <v>3028751.2764999992</v>
      </c>
      <c r="BS687" s="274">
        <f t="shared" si="3948"/>
        <v>3009702.5263333325</v>
      </c>
      <c r="BT687" s="274">
        <f t="shared" si="3948"/>
        <v>2990653.7761666658</v>
      </c>
      <c r="BU687" s="274">
        <f t="shared" si="3948"/>
        <v>2971605.0259999991</v>
      </c>
      <c r="BV687" s="274">
        <f t="shared" si="3905"/>
        <v>67889.745593999978</v>
      </c>
      <c r="BW687" s="272">
        <f t="shared" si="3906"/>
        <v>19048.750166666694</v>
      </c>
      <c r="BX687" s="272">
        <f t="shared" si="3624"/>
        <v>228585.00200000033</v>
      </c>
      <c r="BY687" s="272">
        <f t="shared" si="3555"/>
        <v>2952556.2758333324</v>
      </c>
      <c r="BZ687" s="274">
        <f>BY$687-$BW$687</f>
        <v>2933507.5256666658</v>
      </c>
      <c r="CA687" s="274">
        <f t="shared" ref="CA687:CJ687" si="3949">BZ$687-$BW$687</f>
        <v>2914458.7754999991</v>
      </c>
      <c r="CB687" s="274">
        <f t="shared" si="3949"/>
        <v>2895410.0253333324</v>
      </c>
      <c r="CC687" s="274">
        <f t="shared" si="3949"/>
        <v>2876361.2751666657</v>
      </c>
      <c r="CD687" s="274">
        <f t="shared" si="3949"/>
        <v>2857312.524999999</v>
      </c>
      <c r="CE687" s="274">
        <f t="shared" si="3949"/>
        <v>2838263.7748333323</v>
      </c>
      <c r="CF687" s="274">
        <f t="shared" si="3949"/>
        <v>2819215.0246666656</v>
      </c>
      <c r="CG687" s="274">
        <f t="shared" si="3949"/>
        <v>2800166.2744999989</v>
      </c>
      <c r="CH687" s="274">
        <f t="shared" si="3949"/>
        <v>2781117.5243333322</v>
      </c>
      <c r="CI687" s="274">
        <f t="shared" si="3949"/>
        <v>2762068.7741666655</v>
      </c>
      <c r="CJ687" s="274">
        <f t="shared" si="3949"/>
        <v>2743020.0239999988</v>
      </c>
      <c r="CK687" s="274">
        <f t="shared" si="3908"/>
        <v>62860.875549999975</v>
      </c>
      <c r="CL687" s="272">
        <f t="shared" si="3941"/>
        <v>19048.750166666694</v>
      </c>
      <c r="CM687" s="272">
        <f t="shared" si="3626"/>
        <v>228585.00200000033</v>
      </c>
      <c r="CN687" s="272">
        <f t="shared" si="3627"/>
        <v>2723971.2738333321</v>
      </c>
      <c r="CO687" s="274">
        <f>CN$687-$CL$687</f>
        <v>2704922.5236666654</v>
      </c>
      <c r="CP687" s="274">
        <f t="shared" ref="CP687:CY687" si="3950">CO$687-$CL$687</f>
        <v>2685873.7734999987</v>
      </c>
      <c r="CQ687" s="274">
        <f t="shared" si="3950"/>
        <v>2666825.023333332</v>
      </c>
      <c r="CR687" s="274">
        <f t="shared" si="3950"/>
        <v>2647776.2731666653</v>
      </c>
      <c r="CS687" s="274">
        <f t="shared" si="3950"/>
        <v>2628727.5229999986</v>
      </c>
      <c r="CT687" s="274">
        <f t="shared" si="3950"/>
        <v>2609678.772833332</v>
      </c>
      <c r="CU687" s="274">
        <f t="shared" si="3950"/>
        <v>2590630.0226666653</v>
      </c>
      <c r="CV687" s="274">
        <f t="shared" si="3950"/>
        <v>2571581.2724999986</v>
      </c>
      <c r="CW687" s="274">
        <f t="shared" si="3950"/>
        <v>2552532.5223333319</v>
      </c>
      <c r="CX687" s="274">
        <f t="shared" si="3950"/>
        <v>2533483.7721666652</v>
      </c>
      <c r="CY687" s="274">
        <f t="shared" si="3950"/>
        <v>2514435.0219999985</v>
      </c>
      <c r="CZ687" s="274">
        <f t="shared" si="3910"/>
        <v>57832.005505999965</v>
      </c>
    </row>
    <row r="688" spans="1:104" s="266" customFormat="1" ht="26.25" customHeight="1" x14ac:dyDescent="0.2">
      <c r="A688" s="264" t="str">
        <f>'08.03'!A106</f>
        <v>Линии электропередачи 0,4 кВ (ДТП № 1486 от 01.03.2023г, ул.Мира. ЗУ № 83:00:000000:13130)</v>
      </c>
      <c r="B688" s="265" t="s">
        <v>2797</v>
      </c>
      <c r="C688" s="266" t="s">
        <v>41</v>
      </c>
      <c r="D688" s="267" t="s">
        <v>42</v>
      </c>
      <c r="E688" s="268">
        <v>45288</v>
      </c>
      <c r="F688" s="267" t="s">
        <v>44</v>
      </c>
      <c r="G688" s="282">
        <f>'08.03'!H106</f>
        <v>180</v>
      </c>
      <c r="H688" s="270"/>
      <c r="K688" s="271">
        <v>1</v>
      </c>
      <c r="L688" s="272"/>
      <c r="M688" s="272"/>
      <c r="N688" s="272"/>
      <c r="O688" s="272"/>
      <c r="P688" s="272"/>
      <c r="Q688" s="272"/>
      <c r="R688" s="272"/>
      <c r="S688" s="272"/>
      <c r="T688" s="272"/>
      <c r="U688" s="272"/>
      <c r="V688" s="272"/>
      <c r="W688" s="272"/>
      <c r="X688" s="272"/>
      <c r="Y688" s="272"/>
      <c r="Z688" s="272"/>
      <c r="AA688" s="272"/>
      <c r="AB688" s="272"/>
      <c r="AC688" s="273"/>
      <c r="AD688" s="272"/>
      <c r="AE688" s="272"/>
      <c r="AF688" s="272"/>
      <c r="AG688" s="272"/>
      <c r="AH688" s="272"/>
      <c r="AI688" s="272"/>
      <c r="AJ688" s="274"/>
      <c r="AK688" s="274"/>
      <c r="AL688" s="274"/>
      <c r="AM688" s="274"/>
      <c r="AN688" s="274"/>
      <c r="AO688" s="274">
        <f>'08.03'!E106</f>
        <v>653966.68999999994</v>
      </c>
      <c r="AP688" s="274"/>
      <c r="AQ688" s="272">
        <f t="shared" si="3933"/>
        <v>3633.1482777777774</v>
      </c>
      <c r="AR688" s="272"/>
      <c r="AS688" s="272"/>
      <c r="AT688" s="272">
        <f t="shared" ref="AT688:AT689" si="3951">AQ688*12</f>
        <v>43597.779333333325</v>
      </c>
      <c r="AU688" s="274">
        <f t="shared" si="3902"/>
        <v>650333.54172222211</v>
      </c>
      <c r="AV688" s="274">
        <f>AU$688-$AQ$688</f>
        <v>646700.39344444429</v>
      </c>
      <c r="AW688" s="274">
        <f t="shared" ref="AW688:BF688" si="3952">AV$688-$AQ$688</f>
        <v>643067.24516666646</v>
      </c>
      <c r="AX688" s="274">
        <f t="shared" si="3952"/>
        <v>639434.09688888863</v>
      </c>
      <c r="AY688" s="274">
        <f t="shared" si="3952"/>
        <v>635800.9486111108</v>
      </c>
      <c r="AZ688" s="274">
        <f t="shared" si="3952"/>
        <v>632167.80033333297</v>
      </c>
      <c r="BA688" s="274">
        <f t="shared" si="3952"/>
        <v>628534.65205555514</v>
      </c>
      <c r="BB688" s="274">
        <f t="shared" si="3952"/>
        <v>624901.50377777731</v>
      </c>
      <c r="BC688" s="274">
        <f t="shared" si="3952"/>
        <v>621268.35549999948</v>
      </c>
      <c r="BD688" s="274">
        <f t="shared" si="3952"/>
        <v>617635.20722222165</v>
      </c>
      <c r="BE688" s="274">
        <f t="shared" si="3952"/>
        <v>614002.05894444382</v>
      </c>
      <c r="BF688" s="274">
        <f t="shared" si="3952"/>
        <v>610368.91066666599</v>
      </c>
      <c r="BG688" s="274">
        <f t="shared" si="3557"/>
        <v>13907.691607333325</v>
      </c>
      <c r="BH688" s="272">
        <f t="shared" ref="BH688:BH689" si="3953">BE688-BF688</f>
        <v>3633.1482777778292</v>
      </c>
      <c r="BI688" s="272">
        <f t="shared" ref="BI688:BI689" si="3954">BH688*12</f>
        <v>43597.77933333395</v>
      </c>
      <c r="BJ688" s="272">
        <f t="shared" ref="BJ688:BJ689" si="3955">BF688-BH688</f>
        <v>606735.76238888816</v>
      </c>
      <c r="BK688" s="274">
        <f>BJ$688-$BH$688</f>
        <v>603102.61411111034</v>
      </c>
      <c r="BL688" s="274">
        <f t="shared" ref="BL688:BU688" si="3956">BK$688-$BH$688</f>
        <v>599469.46583333251</v>
      </c>
      <c r="BM688" s="274">
        <f t="shared" si="3956"/>
        <v>595836.31755555468</v>
      </c>
      <c r="BN688" s="274">
        <f t="shared" si="3956"/>
        <v>592203.16927777685</v>
      </c>
      <c r="BO688" s="274">
        <f t="shared" si="3956"/>
        <v>588570.02099999902</v>
      </c>
      <c r="BP688" s="274">
        <f t="shared" si="3956"/>
        <v>584936.87272222119</v>
      </c>
      <c r="BQ688" s="274">
        <f t="shared" si="3956"/>
        <v>581303.72444444336</v>
      </c>
      <c r="BR688" s="274">
        <f t="shared" si="3956"/>
        <v>577670.57616666553</v>
      </c>
      <c r="BS688" s="274">
        <f t="shared" si="3956"/>
        <v>574037.4278888877</v>
      </c>
      <c r="BT688" s="274">
        <f t="shared" si="3956"/>
        <v>570404.27961110987</v>
      </c>
      <c r="BU688" s="274">
        <f t="shared" si="3956"/>
        <v>566771.13133333204</v>
      </c>
      <c r="BV688" s="274">
        <f t="shared" si="3905"/>
        <v>12948.540461999977</v>
      </c>
      <c r="BW688" s="272">
        <f t="shared" ref="BW688:BW689" si="3957">BT688-BU688</f>
        <v>3633.1482777778292</v>
      </c>
      <c r="BX688" s="272">
        <f t="shared" ref="BX688:BX689" si="3958">BW688*12</f>
        <v>43597.77933333395</v>
      </c>
      <c r="BY688" s="272">
        <f t="shared" ref="BY688:BY689" si="3959">BU688-BW688</f>
        <v>563137.98305555421</v>
      </c>
      <c r="BZ688" s="274">
        <f>BY$688-$BW$688</f>
        <v>559504.83477777638</v>
      </c>
      <c r="CA688" s="274">
        <f t="shared" ref="CA688:CG688" si="3960">BZ$688-$BW$688</f>
        <v>555871.68649999856</v>
      </c>
      <c r="CB688" s="274">
        <f t="shared" si="3960"/>
        <v>552238.53822222073</v>
      </c>
      <c r="CC688" s="274">
        <f t="shared" si="3960"/>
        <v>548605.3899444429</v>
      </c>
      <c r="CD688" s="274">
        <f t="shared" si="3960"/>
        <v>544972.24166666507</v>
      </c>
      <c r="CE688" s="274">
        <f t="shared" si="3960"/>
        <v>541339.09338888724</v>
      </c>
      <c r="CF688" s="274">
        <f t="shared" si="3960"/>
        <v>537705.94511110941</v>
      </c>
      <c r="CG688" s="274">
        <f t="shared" si="3960"/>
        <v>534072.79683333158</v>
      </c>
      <c r="CH688" s="274">
        <f>CG$688-$BW$688</f>
        <v>530439.64855555375</v>
      </c>
      <c r="CI688" s="274">
        <f t="shared" ref="CI688:CJ688" si="3961">CH$688-$BW$688</f>
        <v>526806.50027777592</v>
      </c>
      <c r="CJ688" s="274">
        <f t="shared" si="3961"/>
        <v>523173.35199999809</v>
      </c>
      <c r="CK688" s="274">
        <f t="shared" ref="CK688:CK689" si="3962">IF(BE688&lt;1,0,SUM(BY688:CJ688,BU688)/13*$BG$1)</f>
        <v>11989.389316666633</v>
      </c>
      <c r="CL688" s="272">
        <f t="shared" ref="CL688:CL689" si="3963">CI688-CJ688</f>
        <v>3633.1482777778292</v>
      </c>
      <c r="CM688" s="272">
        <f t="shared" si="3626"/>
        <v>43597.77933333395</v>
      </c>
      <c r="CN688" s="272">
        <f t="shared" si="3627"/>
        <v>519540.20372222026</v>
      </c>
      <c r="CO688" s="274">
        <f>CN$688-$CL$688</f>
        <v>515907.05544444243</v>
      </c>
      <c r="CP688" s="274">
        <f t="shared" ref="CP688:CY688" si="3964">CO$688-$CL$688</f>
        <v>512273.90716666461</v>
      </c>
      <c r="CQ688" s="274">
        <f t="shared" si="3964"/>
        <v>508640.75888888678</v>
      </c>
      <c r="CR688" s="274">
        <f t="shared" si="3964"/>
        <v>505007.61061110895</v>
      </c>
      <c r="CS688" s="274">
        <f t="shared" si="3964"/>
        <v>501374.46233333112</v>
      </c>
      <c r="CT688" s="274">
        <f t="shared" si="3964"/>
        <v>497741.31405555329</v>
      </c>
      <c r="CU688" s="274">
        <f t="shared" si="3964"/>
        <v>494108.16577777546</v>
      </c>
      <c r="CV688" s="274">
        <f t="shared" si="3964"/>
        <v>490475.01749999763</v>
      </c>
      <c r="CW688" s="274">
        <f t="shared" si="3964"/>
        <v>486841.8692222198</v>
      </c>
      <c r="CX688" s="274">
        <f t="shared" si="3964"/>
        <v>483208.72094444197</v>
      </c>
      <c r="CY688" s="274">
        <f t="shared" si="3964"/>
        <v>479575.57266666414</v>
      </c>
      <c r="CZ688" s="274">
        <f t="shared" si="3910"/>
        <v>11030.238171333285</v>
      </c>
    </row>
    <row r="689" spans="1:104" s="266" customFormat="1" ht="26.25" customHeight="1" x14ac:dyDescent="0.2">
      <c r="A689" s="264" t="str">
        <f>'08.03'!A107</f>
        <v>Линии электропередачи 0,4 кВ (ДТП № 904 от 18.02.2022 г., здание автогаража)</v>
      </c>
      <c r="B689" s="265" t="s">
        <v>2798</v>
      </c>
      <c r="C689" s="266" t="s">
        <v>41</v>
      </c>
      <c r="D689" s="267" t="s">
        <v>42</v>
      </c>
      <c r="E689" s="268">
        <v>45289</v>
      </c>
      <c r="F689" s="267" t="s">
        <v>44</v>
      </c>
      <c r="G689" s="282">
        <f>'08.03'!H107</f>
        <v>180</v>
      </c>
      <c r="H689" s="270"/>
      <c r="K689" s="271">
        <v>1</v>
      </c>
      <c r="L689" s="272"/>
      <c r="M689" s="272"/>
      <c r="N689" s="272"/>
      <c r="O689" s="272"/>
      <c r="P689" s="272"/>
      <c r="Q689" s="272"/>
      <c r="R689" s="272"/>
      <c r="S689" s="272"/>
      <c r="T689" s="272"/>
      <c r="U689" s="272"/>
      <c r="V689" s="272"/>
      <c r="W689" s="272"/>
      <c r="X689" s="272"/>
      <c r="Y689" s="272"/>
      <c r="Z689" s="272"/>
      <c r="AA689" s="272"/>
      <c r="AB689" s="272"/>
      <c r="AC689" s="273"/>
      <c r="AD689" s="272"/>
      <c r="AE689" s="272"/>
      <c r="AF689" s="272"/>
      <c r="AG689" s="272"/>
      <c r="AH689" s="272"/>
      <c r="AI689" s="272"/>
      <c r="AJ689" s="274"/>
      <c r="AK689" s="274"/>
      <c r="AL689" s="274"/>
      <c r="AM689" s="274"/>
      <c r="AN689" s="274"/>
      <c r="AO689" s="274">
        <f>'08.03'!E107</f>
        <v>363346.85</v>
      </c>
      <c r="AP689" s="274"/>
      <c r="AQ689" s="272">
        <f t="shared" si="3933"/>
        <v>2018.5936111111109</v>
      </c>
      <c r="AR689" s="272"/>
      <c r="AS689" s="272"/>
      <c r="AT689" s="272">
        <f t="shared" si="3951"/>
        <v>24223.123333333329</v>
      </c>
      <c r="AU689" s="274">
        <f t="shared" si="3902"/>
        <v>361328.25638888887</v>
      </c>
      <c r="AV689" s="274">
        <f>AU$689-$AQ$689</f>
        <v>359309.66277777776</v>
      </c>
      <c r="AW689" s="274">
        <f t="shared" ref="AW689:BF689" si="3965">AV$689-$AQ$689</f>
        <v>357291.06916666665</v>
      </c>
      <c r="AX689" s="274">
        <f t="shared" si="3965"/>
        <v>355272.47555555555</v>
      </c>
      <c r="AY689" s="274">
        <f t="shared" si="3965"/>
        <v>353253.88194444444</v>
      </c>
      <c r="AZ689" s="274">
        <f t="shared" si="3965"/>
        <v>351235.28833333333</v>
      </c>
      <c r="BA689" s="274">
        <f t="shared" si="3965"/>
        <v>349216.69472222222</v>
      </c>
      <c r="BB689" s="274">
        <f t="shared" si="3965"/>
        <v>347198.10111111111</v>
      </c>
      <c r="BC689" s="274">
        <f t="shared" si="3965"/>
        <v>345179.50750000001</v>
      </c>
      <c r="BD689" s="274">
        <f t="shared" si="3965"/>
        <v>343160.9138888889</v>
      </c>
      <c r="BE689" s="274">
        <f t="shared" si="3965"/>
        <v>341142.32027777779</v>
      </c>
      <c r="BF689" s="274">
        <f t="shared" si="3965"/>
        <v>339123.72666666668</v>
      </c>
      <c r="BG689" s="274">
        <f t="shared" si="3557"/>
        <v>7727.1763433333326</v>
      </c>
      <c r="BH689" s="272">
        <f t="shared" si="3953"/>
        <v>2018.5936111111077</v>
      </c>
      <c r="BI689" s="272">
        <f t="shared" si="3954"/>
        <v>24223.123333333293</v>
      </c>
      <c r="BJ689" s="272">
        <f t="shared" si="3955"/>
        <v>337105.13305555558</v>
      </c>
      <c r="BK689" s="274">
        <f>BJ$689-$BH$689</f>
        <v>335086.53944444447</v>
      </c>
      <c r="BL689" s="274">
        <f t="shared" ref="BL689:BU689" si="3966">BK$689-$BH$689</f>
        <v>333067.94583333336</v>
      </c>
      <c r="BM689" s="274">
        <f t="shared" si="3966"/>
        <v>331049.35222222225</v>
      </c>
      <c r="BN689" s="274">
        <f t="shared" si="3966"/>
        <v>329030.75861111115</v>
      </c>
      <c r="BO689" s="274">
        <f t="shared" si="3966"/>
        <v>327012.16500000004</v>
      </c>
      <c r="BP689" s="274">
        <f t="shared" si="3966"/>
        <v>324993.57138888893</v>
      </c>
      <c r="BQ689" s="274">
        <f t="shared" si="3966"/>
        <v>322974.97777777782</v>
      </c>
      <c r="BR689" s="274">
        <f t="shared" si="3966"/>
        <v>320956.38416666671</v>
      </c>
      <c r="BS689" s="274">
        <f t="shared" si="3966"/>
        <v>318937.79055555561</v>
      </c>
      <c r="BT689" s="274">
        <f t="shared" si="3966"/>
        <v>316919.1969444445</v>
      </c>
      <c r="BU689" s="274">
        <f t="shared" si="3966"/>
        <v>314900.60333333339</v>
      </c>
      <c r="BV689" s="274">
        <f t="shared" si="3905"/>
        <v>7194.2676300000003</v>
      </c>
      <c r="BW689" s="272">
        <f t="shared" si="3957"/>
        <v>2018.5936111111077</v>
      </c>
      <c r="BX689" s="272">
        <f t="shared" si="3958"/>
        <v>24223.123333333293</v>
      </c>
      <c r="BY689" s="272">
        <f t="shared" si="3959"/>
        <v>312882.00972222228</v>
      </c>
      <c r="BZ689" s="274">
        <f>BY$689-$BW$689</f>
        <v>310863.41611111118</v>
      </c>
      <c r="CA689" s="274">
        <f t="shared" ref="CA689:CG689" si="3967">BZ$689-$BW$689</f>
        <v>308844.82250000007</v>
      </c>
      <c r="CB689" s="274">
        <f t="shared" si="3967"/>
        <v>306826.22888888896</v>
      </c>
      <c r="CC689" s="274">
        <f t="shared" si="3967"/>
        <v>304807.63527777785</v>
      </c>
      <c r="CD689" s="274">
        <f t="shared" si="3967"/>
        <v>302789.04166666674</v>
      </c>
      <c r="CE689" s="274">
        <f t="shared" si="3967"/>
        <v>300770.44805555564</v>
      </c>
      <c r="CF689" s="274">
        <f t="shared" si="3967"/>
        <v>298751.85444444453</v>
      </c>
      <c r="CG689" s="274">
        <f t="shared" si="3967"/>
        <v>296733.26083333342</v>
      </c>
      <c r="CH689" s="274">
        <f>CG$689-$BW$689</f>
        <v>294714.66722222231</v>
      </c>
      <c r="CI689" s="274">
        <f t="shared" ref="CI689:CJ689" si="3968">CH$689-$BW$689</f>
        <v>292696.07361111121</v>
      </c>
      <c r="CJ689" s="274">
        <f t="shared" si="3968"/>
        <v>290677.4800000001</v>
      </c>
      <c r="CK689" s="274">
        <f t="shared" si="3962"/>
        <v>6661.3589166666679</v>
      </c>
      <c r="CL689" s="272">
        <f t="shared" si="3963"/>
        <v>2018.5936111111077</v>
      </c>
      <c r="CM689" s="272">
        <f t="shared" si="3626"/>
        <v>24223.123333333293</v>
      </c>
      <c r="CN689" s="272">
        <f t="shared" si="3627"/>
        <v>288658.88638888899</v>
      </c>
      <c r="CO689" s="274">
        <f>CN$689-$CL$689</f>
        <v>286640.29277777788</v>
      </c>
      <c r="CP689" s="274">
        <f t="shared" ref="CP689:CY689" si="3969">CO$689-$CL$689</f>
        <v>284621.69916666677</v>
      </c>
      <c r="CQ689" s="274">
        <f t="shared" si="3969"/>
        <v>282603.10555555567</v>
      </c>
      <c r="CR689" s="274">
        <f t="shared" si="3969"/>
        <v>280584.51194444456</v>
      </c>
      <c r="CS689" s="274">
        <f t="shared" si="3969"/>
        <v>278565.91833333345</v>
      </c>
      <c r="CT689" s="274">
        <f t="shared" si="3969"/>
        <v>276547.32472222234</v>
      </c>
      <c r="CU689" s="274">
        <f t="shared" si="3969"/>
        <v>274528.73111111124</v>
      </c>
      <c r="CV689" s="274">
        <f t="shared" si="3969"/>
        <v>272510.13750000013</v>
      </c>
      <c r="CW689" s="274">
        <f t="shared" si="3969"/>
        <v>270491.54388888902</v>
      </c>
      <c r="CX689" s="274">
        <f t="shared" si="3969"/>
        <v>268472.95027777791</v>
      </c>
      <c r="CY689" s="274">
        <f t="shared" si="3969"/>
        <v>266454.3566666668</v>
      </c>
      <c r="CZ689" s="274">
        <f t="shared" si="3910"/>
        <v>6128.4502033333356</v>
      </c>
    </row>
    <row r="690" spans="1:104" s="266" customFormat="1" ht="26.25" customHeight="1" x14ac:dyDescent="0.2">
      <c r="A690" s="264" t="str">
        <f>'08.03'!A108</f>
        <v>Трансформаторная подстанция с питающими линиями в районе ЗУ 83:00:040003:361" (ДТП №1214 от 07.09.22</v>
      </c>
      <c r="B690" s="265" t="s">
        <v>2799</v>
      </c>
      <c r="C690" s="266" t="s">
        <v>41</v>
      </c>
      <c r="D690" s="267" t="s">
        <v>42</v>
      </c>
      <c r="E690" s="268">
        <v>45289</v>
      </c>
      <c r="F690" s="267" t="s">
        <v>44</v>
      </c>
      <c r="G690" s="282">
        <f>'08.03'!H108</f>
        <v>180</v>
      </c>
      <c r="H690" s="270"/>
      <c r="K690" s="271">
        <v>1</v>
      </c>
      <c r="L690" s="272"/>
      <c r="M690" s="272"/>
      <c r="N690" s="272"/>
      <c r="O690" s="272"/>
      <c r="P690" s="272"/>
      <c r="Q690" s="272"/>
      <c r="R690" s="272"/>
      <c r="S690" s="272"/>
      <c r="T690" s="272"/>
      <c r="U690" s="272"/>
      <c r="V690" s="272"/>
      <c r="W690" s="272"/>
      <c r="X690" s="272"/>
      <c r="Y690" s="272"/>
      <c r="Z690" s="272"/>
      <c r="AA690" s="272"/>
      <c r="AB690" s="272"/>
      <c r="AC690" s="273"/>
      <c r="AD690" s="272"/>
      <c r="AE690" s="272"/>
      <c r="AF690" s="272"/>
      <c r="AG690" s="272"/>
      <c r="AH690" s="272"/>
      <c r="AI690" s="272"/>
      <c r="AJ690" s="274"/>
      <c r="AK690" s="274"/>
      <c r="AL690" s="274"/>
      <c r="AM690" s="274"/>
      <c r="AN690" s="274"/>
      <c r="AO690" s="274">
        <f>'08.03'!E108</f>
        <v>898236.89</v>
      </c>
      <c r="AP690" s="274"/>
      <c r="AQ690" s="272">
        <f t="shared" si="3933"/>
        <v>4990.2049444444447</v>
      </c>
      <c r="AR690" s="272"/>
      <c r="AS690" s="272"/>
      <c r="AT690" s="272">
        <f t="shared" ref="AT690" si="3970">AQ690*12</f>
        <v>59882.459333333332</v>
      </c>
      <c r="AU690" s="274">
        <f t="shared" si="3902"/>
        <v>893246.68505555554</v>
      </c>
      <c r="AV690" s="274">
        <f>AU$690-$AQ$690</f>
        <v>888256.48011111107</v>
      </c>
      <c r="AW690" s="274">
        <f t="shared" ref="AW690:BF690" si="3971">AV$690-$AQ$690</f>
        <v>883266.2751666666</v>
      </c>
      <c r="AX690" s="274">
        <f t="shared" si="3971"/>
        <v>878276.07022222213</v>
      </c>
      <c r="AY690" s="274">
        <f t="shared" si="3971"/>
        <v>873285.86527777766</v>
      </c>
      <c r="AZ690" s="274">
        <f t="shared" si="3971"/>
        <v>868295.66033333319</v>
      </c>
      <c r="BA690" s="274">
        <f t="shared" si="3971"/>
        <v>863305.45538888872</v>
      </c>
      <c r="BB690" s="274">
        <f t="shared" si="3971"/>
        <v>858315.25044444425</v>
      </c>
      <c r="BC690" s="274">
        <f t="shared" si="3971"/>
        <v>853325.04549999977</v>
      </c>
      <c r="BD690" s="274">
        <f t="shared" si="3971"/>
        <v>848334.8405555553</v>
      </c>
      <c r="BE690" s="274">
        <f t="shared" si="3971"/>
        <v>843344.63561111083</v>
      </c>
      <c r="BF690" s="274">
        <f t="shared" si="3971"/>
        <v>838354.43066666636</v>
      </c>
      <c r="BG690" s="274">
        <f t="shared" si="3557"/>
        <v>19102.504527333334</v>
      </c>
      <c r="BH690" s="272">
        <f t="shared" ref="BH690" si="3972">BE690-BF690</f>
        <v>4990.204944444471</v>
      </c>
      <c r="BI690" s="272">
        <f t="shared" ref="BI690" si="3973">BH690*12</f>
        <v>59882.459333333652</v>
      </c>
      <c r="BJ690" s="272">
        <f t="shared" ref="BJ690" si="3974">BF690-BH690</f>
        <v>833364.22572222189</v>
      </c>
      <c r="BK690" s="274">
        <f>BJ$690-$BH$690</f>
        <v>828374.02077777742</v>
      </c>
      <c r="BL690" s="274">
        <f t="shared" ref="BL690:BT690" si="3975">BK$690-$BH$690</f>
        <v>823383.81583333295</v>
      </c>
      <c r="BM690" s="274">
        <f t="shared" si="3975"/>
        <v>818393.61088888848</v>
      </c>
      <c r="BN690" s="274">
        <f t="shared" si="3975"/>
        <v>813403.40594444401</v>
      </c>
      <c r="BO690" s="274">
        <f t="shared" si="3975"/>
        <v>808413.20099999954</v>
      </c>
      <c r="BP690" s="274">
        <f t="shared" si="3975"/>
        <v>803422.99605555506</v>
      </c>
      <c r="BQ690" s="274">
        <f t="shared" si="3975"/>
        <v>798432.79111111059</v>
      </c>
      <c r="BR690" s="274">
        <f t="shared" si="3975"/>
        <v>793442.58616666612</v>
      </c>
      <c r="BS690" s="274">
        <f t="shared" si="3975"/>
        <v>788452.38122222165</v>
      </c>
      <c r="BT690" s="274">
        <f t="shared" si="3975"/>
        <v>783462.17627777718</v>
      </c>
      <c r="BU690" s="274">
        <f>BT$690-$BH$690</f>
        <v>778471.97133333271</v>
      </c>
      <c r="BV690" s="274">
        <f t="shared" si="3905"/>
        <v>17785.09042199999</v>
      </c>
      <c r="BW690" s="272">
        <f t="shared" ref="BW690" si="3976">BT690-BU690</f>
        <v>4990.204944444471</v>
      </c>
      <c r="BX690" s="272">
        <f t="shared" ref="BX690" si="3977">BW690*12</f>
        <v>59882.459333333652</v>
      </c>
      <c r="BY690" s="272">
        <f t="shared" ref="BY690" si="3978">BU690-BW690</f>
        <v>773481.76638888824</v>
      </c>
      <c r="BZ690" s="274">
        <f>BY$690-$BW$690</f>
        <v>768491.56144444377</v>
      </c>
      <c r="CA690" s="274">
        <f t="shared" ref="CA690:CJ690" si="3979">BZ$690-$BW$690</f>
        <v>763501.3564999993</v>
      </c>
      <c r="CB690" s="274">
        <f t="shared" si="3979"/>
        <v>758511.15155555482</v>
      </c>
      <c r="CC690" s="274">
        <f t="shared" si="3979"/>
        <v>753520.94661111035</v>
      </c>
      <c r="CD690" s="274">
        <f t="shared" si="3979"/>
        <v>748530.74166666588</v>
      </c>
      <c r="CE690" s="274">
        <f t="shared" si="3979"/>
        <v>743540.53672222141</v>
      </c>
      <c r="CF690" s="274">
        <f t="shared" si="3979"/>
        <v>738550.33177777694</v>
      </c>
      <c r="CG690" s="274">
        <f t="shared" si="3979"/>
        <v>733560.12683333247</v>
      </c>
      <c r="CH690" s="274">
        <f t="shared" si="3979"/>
        <v>728569.921888888</v>
      </c>
      <c r="CI690" s="274">
        <f t="shared" si="3979"/>
        <v>723579.71694444353</v>
      </c>
      <c r="CJ690" s="274">
        <f t="shared" si="3979"/>
        <v>718589.51199999906</v>
      </c>
      <c r="CK690" s="274">
        <f t="shared" ref="CK690" si="3980">IF(BE690&lt;1,0,SUM(BY690:CJ690,BU690)/13*$BG$1)</f>
        <v>16467.67631666665</v>
      </c>
      <c r="CL690" s="272">
        <f t="shared" ref="CL690" si="3981">CI690-CJ690</f>
        <v>4990.204944444471</v>
      </c>
      <c r="CM690" s="272">
        <f t="shared" si="3626"/>
        <v>59882.459333333652</v>
      </c>
      <c r="CN690" s="272">
        <f t="shared" si="3627"/>
        <v>713599.30705555459</v>
      </c>
      <c r="CO690" s="274">
        <f>CN$690-$CL$690</f>
        <v>708609.10211111011</v>
      </c>
      <c r="CP690" s="274">
        <f t="shared" ref="CP690:CY690" si="3982">CO$690-$CL$690</f>
        <v>703618.89716666564</v>
      </c>
      <c r="CQ690" s="274">
        <f t="shared" si="3982"/>
        <v>698628.69222222117</v>
      </c>
      <c r="CR690" s="274">
        <f t="shared" si="3982"/>
        <v>693638.4872777767</v>
      </c>
      <c r="CS690" s="274">
        <f t="shared" si="3982"/>
        <v>688648.28233333223</v>
      </c>
      <c r="CT690" s="274">
        <f t="shared" si="3982"/>
        <v>683658.07738888776</v>
      </c>
      <c r="CU690" s="274">
        <f t="shared" si="3982"/>
        <v>678667.87244444329</v>
      </c>
      <c r="CV690" s="274">
        <f t="shared" si="3982"/>
        <v>673677.66749999882</v>
      </c>
      <c r="CW690" s="274">
        <f t="shared" si="3982"/>
        <v>668687.46255555435</v>
      </c>
      <c r="CX690" s="274">
        <f t="shared" si="3982"/>
        <v>663697.25761110988</v>
      </c>
      <c r="CY690" s="274">
        <f t="shared" si="3982"/>
        <v>658707.0526666654</v>
      </c>
      <c r="CZ690" s="274">
        <f t="shared" si="3910"/>
        <v>15150.262211333309</v>
      </c>
    </row>
    <row r="691" spans="1:104" x14ac:dyDescent="0.2">
      <c r="A691" s="231" t="s">
        <v>2683</v>
      </c>
      <c r="B691" s="185" t="s">
        <v>2688</v>
      </c>
      <c r="C691" s="180" t="s">
        <v>41</v>
      </c>
      <c r="D691" s="180" t="s">
        <v>2689</v>
      </c>
      <c r="E691" s="238">
        <v>45382</v>
      </c>
      <c r="F691" s="180" t="s">
        <v>76</v>
      </c>
      <c r="G691" s="234">
        <v>84</v>
      </c>
      <c r="H691" s="11"/>
      <c r="K691" s="8">
        <v>0</v>
      </c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44"/>
      <c r="AD691" s="7"/>
      <c r="AE691" s="7"/>
      <c r="AF691" s="7"/>
      <c r="AG691" s="7"/>
      <c r="AH691" s="7"/>
      <c r="AI691" s="7"/>
      <c r="AJ691" s="39"/>
      <c r="AK691" s="39"/>
      <c r="AL691" s="39"/>
      <c r="AM691" s="39"/>
      <c r="AN691" s="39"/>
      <c r="AO691" s="39"/>
      <c r="AP691" s="236"/>
      <c r="AQ691" s="7">
        <f>AW691/G691</f>
        <v>132216.26984126985</v>
      </c>
      <c r="AR691" s="7"/>
      <c r="AS691" s="7"/>
      <c r="AT691" s="7">
        <f>AQ691*10</f>
        <v>1322162.6984126985</v>
      </c>
      <c r="AU691" s="39"/>
      <c r="AV691" s="39"/>
      <c r="AW691" s="39">
        <f>13327400/1.2</f>
        <v>11106166.666666668</v>
      </c>
      <c r="AX691" s="39">
        <f t="shared" ref="AX691:AX692" si="3983">AW691-$AQ691</f>
        <v>10973950.396825397</v>
      </c>
      <c r="AY691" s="39">
        <f t="shared" ref="AY691:AY692" si="3984">AX691-$AQ691</f>
        <v>10841734.126984127</v>
      </c>
      <c r="AZ691" s="39">
        <f t="shared" ref="AZ691:AZ692" si="3985">AY691-$AQ691</f>
        <v>10709517.857142856</v>
      </c>
      <c r="BA691" s="39">
        <f t="shared" ref="BA691:BA692" si="3986">AZ691-$AQ691</f>
        <v>10577301.587301586</v>
      </c>
      <c r="BB691" s="39">
        <f t="shared" ref="BB691:BB692" si="3987">BA691-$AQ691</f>
        <v>10445085.317460315</v>
      </c>
      <c r="BC691" s="39">
        <f t="shared" ref="BC691:BC692" si="3988">BB691-$AQ691</f>
        <v>10312869.047619045</v>
      </c>
      <c r="BD691" s="39">
        <f t="shared" ref="BD691:BD692" si="3989">BC691-$AQ691</f>
        <v>10180652.777777774</v>
      </c>
      <c r="BE691" s="39">
        <f t="shared" ref="BE691:BE692" si="3990">BD691-$AQ691</f>
        <v>10048436.507936504</v>
      </c>
      <c r="BF691" s="39">
        <f t="shared" ref="BF691:BF695" si="3991">BE691-$AQ691</f>
        <v>9916220.2380952332</v>
      </c>
      <c r="BG691" s="236">
        <f t="shared" si="3557"/>
        <v>0</v>
      </c>
      <c r="BH691" s="7">
        <f t="shared" ref="BH691:BH696" si="3992">AQ691</f>
        <v>132216.26984126985</v>
      </c>
      <c r="BI691" s="7">
        <f t="shared" ref="BI691:BI696" si="3993">BH691*12</f>
        <v>1586595.2380952383</v>
      </c>
      <c r="BJ691" s="7">
        <f t="shared" ref="BJ691:BJ696" si="3994">BF691-BH691</f>
        <v>9784003.9682539627</v>
      </c>
      <c r="BK691" s="39">
        <f t="shared" ref="BK691:BK695" si="3995">BJ691-$AQ691</f>
        <v>9651787.6984126922</v>
      </c>
      <c r="BL691" s="39">
        <f t="shared" ref="BL691:BL695" si="3996">BK691-$AQ691</f>
        <v>9519571.4285714217</v>
      </c>
      <c r="BM691" s="39">
        <f t="shared" ref="BM691:BM695" si="3997">BL691-$AQ691</f>
        <v>9387355.1587301511</v>
      </c>
      <c r="BN691" s="39">
        <f t="shared" ref="BN691:BN695" si="3998">BM691-$AQ691</f>
        <v>9255138.8888888806</v>
      </c>
      <c r="BO691" s="39">
        <f t="shared" ref="BO691:BO695" si="3999">BN691-$AQ691</f>
        <v>9122922.6190476101</v>
      </c>
      <c r="BP691" s="39">
        <f t="shared" ref="BP691:BP695" si="4000">BO691-$AQ691</f>
        <v>8990706.3492063396</v>
      </c>
      <c r="BQ691" s="39">
        <f t="shared" ref="BQ691:BQ695" si="4001">BP691-$AQ691</f>
        <v>8858490.079365069</v>
      </c>
      <c r="BR691" s="39">
        <f t="shared" ref="BR691:BR695" si="4002">BQ691-$AQ691</f>
        <v>8726273.8095237985</v>
      </c>
      <c r="BS691" s="39">
        <f t="shared" ref="BS691:BS695" si="4003">BR691-$AQ691</f>
        <v>8594057.539682528</v>
      </c>
      <c r="BT691" s="39">
        <f t="shared" ref="BT691:BT695" si="4004">BS691-$AQ691</f>
        <v>8461841.2698412575</v>
      </c>
      <c r="BU691" s="39">
        <f t="shared" ref="BU691:BU695" si="4005">BT691-$AQ691</f>
        <v>8329624.9999999879</v>
      </c>
      <c r="BV691" s="236">
        <v>0</v>
      </c>
      <c r="BW691" s="7">
        <f>BH691</f>
        <v>132216.26984126985</v>
      </c>
      <c r="BX691" s="7">
        <f t="shared" si="3624"/>
        <v>1586595.2380952383</v>
      </c>
      <c r="BY691" s="7">
        <f t="shared" si="3555"/>
        <v>8197408.7301587183</v>
      </c>
      <c r="BZ691" s="39">
        <f t="shared" ref="BZ691:BZ695" si="4006">BY691-$AQ691</f>
        <v>8065192.4603174487</v>
      </c>
      <c r="CA691" s="39">
        <f t="shared" ref="CA691:CA695" si="4007">BZ691-$AQ691</f>
        <v>7932976.1904761791</v>
      </c>
      <c r="CB691" s="39">
        <f t="shared" ref="CB691:CB695" si="4008">CA691-$AQ691</f>
        <v>7800759.9206349095</v>
      </c>
      <c r="CC691" s="39">
        <f t="shared" ref="CC691:CC695" si="4009">CB691-$AQ691</f>
        <v>7668543.6507936399</v>
      </c>
      <c r="CD691" s="39">
        <f t="shared" ref="CD691:CD695" si="4010">CC691-$AQ691</f>
        <v>7536327.3809523704</v>
      </c>
      <c r="CE691" s="39">
        <f t="shared" ref="CE691:CE695" si="4011">CD691-$AQ691</f>
        <v>7404111.1111111008</v>
      </c>
      <c r="CF691" s="39">
        <f t="shared" ref="CF691:CF695" si="4012">CE691-$AQ691</f>
        <v>7271894.8412698312</v>
      </c>
      <c r="CG691" s="39">
        <f t="shared" ref="CG691:CG695" si="4013">CF691-$AQ691</f>
        <v>7139678.5714285616</v>
      </c>
      <c r="CH691" s="39">
        <f t="shared" ref="CH691:CH695" si="4014">CG691-$AQ691</f>
        <v>7007462.301587292</v>
      </c>
      <c r="CI691" s="39">
        <f t="shared" ref="CI691:CI695" si="4015">CH691-$AQ691</f>
        <v>6875246.0317460224</v>
      </c>
      <c r="CJ691" s="39">
        <f t="shared" ref="CJ691:CJ695" si="4016">CI691-$AQ691</f>
        <v>6743029.7619047528</v>
      </c>
      <c r="CK691" s="236">
        <v>0</v>
      </c>
      <c r="CL691" s="7">
        <f t="shared" ref="CL691:CL696" si="4017">BW691</f>
        <v>132216.26984126985</v>
      </c>
      <c r="CM691" s="7">
        <f t="shared" si="3626"/>
        <v>1586595.2380952383</v>
      </c>
      <c r="CN691" s="7">
        <f t="shared" si="3627"/>
        <v>6610813.4920634832</v>
      </c>
      <c r="CO691" s="39">
        <f t="shared" ref="CO691:CO695" si="4018">CN691-$AQ691</f>
        <v>6478597.2222222136</v>
      </c>
      <c r="CP691" s="39">
        <f t="shared" ref="CP691:CP695" si="4019">CO691-$AQ691</f>
        <v>6346380.952380944</v>
      </c>
      <c r="CQ691" s="39">
        <f t="shared" ref="CQ691:CQ695" si="4020">CP691-$AQ691</f>
        <v>6214164.6825396745</v>
      </c>
      <c r="CR691" s="39">
        <f t="shared" ref="CR691:CR695" si="4021">CQ691-$AQ691</f>
        <v>6081948.4126984049</v>
      </c>
      <c r="CS691" s="39">
        <f t="shared" ref="CS691:CS695" si="4022">CR691-$AQ691</f>
        <v>5949732.1428571353</v>
      </c>
      <c r="CT691" s="39">
        <f t="shared" ref="CT691:CT695" si="4023">CS691-$AQ691</f>
        <v>5817515.8730158657</v>
      </c>
      <c r="CU691" s="39">
        <f t="shared" ref="CU691:CU695" si="4024">CT691-$AQ691</f>
        <v>5685299.6031745961</v>
      </c>
      <c r="CV691" s="39">
        <f t="shared" ref="CV691:CV695" si="4025">CU691-$AQ691</f>
        <v>5553083.3333333265</v>
      </c>
      <c r="CW691" s="39">
        <f t="shared" ref="CW691:CW695" si="4026">CV691-$AQ691</f>
        <v>5420867.0634920569</v>
      </c>
      <c r="CX691" s="39">
        <f t="shared" ref="CX691:CX695" si="4027">CW691-$AQ691</f>
        <v>5288650.7936507873</v>
      </c>
      <c r="CY691" s="39">
        <f t="shared" ref="CY691:CY695" si="4028">CX691-$AQ691</f>
        <v>5156434.5238095177</v>
      </c>
      <c r="CZ691" s="236">
        <v>0</v>
      </c>
    </row>
    <row r="692" spans="1:104" x14ac:dyDescent="0.2">
      <c r="A692" s="231" t="s">
        <v>2684</v>
      </c>
      <c r="B692" s="185" t="s">
        <v>2688</v>
      </c>
      <c r="C692" s="180" t="s">
        <v>41</v>
      </c>
      <c r="D692" s="180" t="s">
        <v>2689</v>
      </c>
      <c r="E692" s="238">
        <v>45382</v>
      </c>
      <c r="F692" s="180" t="s">
        <v>76</v>
      </c>
      <c r="G692" s="234">
        <v>84</v>
      </c>
      <c r="H692" s="11"/>
      <c r="K692" s="8">
        <v>0</v>
      </c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44"/>
      <c r="AD692" s="7"/>
      <c r="AE692" s="7"/>
      <c r="AF692" s="7"/>
      <c r="AG692" s="7"/>
      <c r="AH692" s="7"/>
      <c r="AI692" s="7"/>
      <c r="AJ692" s="39"/>
      <c r="AK692" s="39"/>
      <c r="AL692" s="39"/>
      <c r="AM692" s="39"/>
      <c r="AN692" s="39"/>
      <c r="AO692" s="39"/>
      <c r="AP692" s="236"/>
      <c r="AQ692" s="7">
        <f>AW692/G692</f>
        <v>29761.904761904763</v>
      </c>
      <c r="AR692" s="7"/>
      <c r="AS692" s="7"/>
      <c r="AT692" s="7">
        <f>AQ692*10</f>
        <v>297619.04761904763</v>
      </c>
      <c r="AU692" s="39"/>
      <c r="AV692" s="39"/>
      <c r="AW692" s="39">
        <v>2500000</v>
      </c>
      <c r="AX692" s="39">
        <f t="shared" si="3983"/>
        <v>2470238.0952380951</v>
      </c>
      <c r="AY692" s="39">
        <f t="shared" si="3984"/>
        <v>2440476.1904761903</v>
      </c>
      <c r="AZ692" s="39">
        <f t="shared" si="3985"/>
        <v>2410714.2857142854</v>
      </c>
      <c r="BA692" s="39">
        <f t="shared" si="3986"/>
        <v>2380952.3809523806</v>
      </c>
      <c r="BB692" s="39">
        <f t="shared" si="3987"/>
        <v>2351190.4761904757</v>
      </c>
      <c r="BC692" s="39">
        <f t="shared" si="3988"/>
        <v>2321428.5714285709</v>
      </c>
      <c r="BD692" s="39">
        <f t="shared" si="3989"/>
        <v>2291666.666666666</v>
      </c>
      <c r="BE692" s="39">
        <f t="shared" si="3990"/>
        <v>2261904.7619047612</v>
      </c>
      <c r="BF692" s="39">
        <f t="shared" si="3991"/>
        <v>2232142.8571428563</v>
      </c>
      <c r="BG692" s="236">
        <f t="shared" si="3557"/>
        <v>0</v>
      </c>
      <c r="BH692" s="7">
        <f t="shared" si="3992"/>
        <v>29761.904761904763</v>
      </c>
      <c r="BI692" s="7">
        <f t="shared" si="3993"/>
        <v>357142.85714285716</v>
      </c>
      <c r="BJ692" s="7">
        <f t="shared" si="3994"/>
        <v>2202380.9523809515</v>
      </c>
      <c r="BK692" s="39">
        <f t="shared" si="3995"/>
        <v>2172619.0476190466</v>
      </c>
      <c r="BL692" s="39">
        <f t="shared" si="3996"/>
        <v>2142857.1428571418</v>
      </c>
      <c r="BM692" s="39">
        <f t="shared" si="3997"/>
        <v>2113095.2380952369</v>
      </c>
      <c r="BN692" s="39">
        <f t="shared" si="3998"/>
        <v>2083333.3333333321</v>
      </c>
      <c r="BO692" s="39">
        <f t="shared" si="3999"/>
        <v>2053571.4285714272</v>
      </c>
      <c r="BP692" s="39">
        <f t="shared" si="4000"/>
        <v>2023809.5238095224</v>
      </c>
      <c r="BQ692" s="39">
        <f t="shared" si="4001"/>
        <v>1994047.6190476175</v>
      </c>
      <c r="BR692" s="39">
        <f t="shared" si="4002"/>
        <v>1964285.7142857127</v>
      </c>
      <c r="BS692" s="39">
        <f t="shared" si="4003"/>
        <v>1934523.8095238078</v>
      </c>
      <c r="BT692" s="39">
        <f t="shared" si="4004"/>
        <v>1904761.904761903</v>
      </c>
      <c r="BU692" s="39">
        <f t="shared" si="4005"/>
        <v>1874999.9999999981</v>
      </c>
      <c r="BV692" s="236">
        <v>0</v>
      </c>
      <c r="BW692" s="7">
        <f>BH692</f>
        <v>29761.904761904763</v>
      </c>
      <c r="BX692" s="7">
        <f t="shared" si="3624"/>
        <v>357142.85714285716</v>
      </c>
      <c r="BY692" s="7">
        <f t="shared" si="3555"/>
        <v>1845238.0952380933</v>
      </c>
      <c r="BZ692" s="39">
        <f t="shared" si="4006"/>
        <v>1815476.1904761884</v>
      </c>
      <c r="CA692" s="39">
        <f t="shared" si="4007"/>
        <v>1785714.2857142836</v>
      </c>
      <c r="CB692" s="39">
        <f t="shared" si="4008"/>
        <v>1755952.3809523787</v>
      </c>
      <c r="CC692" s="39">
        <f t="shared" si="4009"/>
        <v>1726190.4761904739</v>
      </c>
      <c r="CD692" s="39">
        <f t="shared" si="4010"/>
        <v>1696428.571428569</v>
      </c>
      <c r="CE692" s="39">
        <f t="shared" si="4011"/>
        <v>1666666.6666666642</v>
      </c>
      <c r="CF692" s="39">
        <f t="shared" si="4012"/>
        <v>1636904.7619047593</v>
      </c>
      <c r="CG692" s="39">
        <f t="shared" si="4013"/>
        <v>1607142.8571428545</v>
      </c>
      <c r="CH692" s="39">
        <f t="shared" si="4014"/>
        <v>1577380.9523809496</v>
      </c>
      <c r="CI692" s="39">
        <f t="shared" si="4015"/>
        <v>1547619.0476190448</v>
      </c>
      <c r="CJ692" s="39">
        <f t="shared" si="4016"/>
        <v>1517857.1428571399</v>
      </c>
      <c r="CK692" s="236">
        <v>0</v>
      </c>
      <c r="CL692" s="7">
        <f t="shared" si="4017"/>
        <v>29761.904761904763</v>
      </c>
      <c r="CM692" s="7">
        <f t="shared" si="3626"/>
        <v>357142.85714285716</v>
      </c>
      <c r="CN692" s="7">
        <f t="shared" si="3627"/>
        <v>1488095.2380952351</v>
      </c>
      <c r="CO692" s="39">
        <f t="shared" si="4018"/>
        <v>1458333.3333333302</v>
      </c>
      <c r="CP692" s="39">
        <f t="shared" si="4019"/>
        <v>1428571.4285714254</v>
      </c>
      <c r="CQ692" s="39">
        <f t="shared" si="4020"/>
        <v>1398809.5238095205</v>
      </c>
      <c r="CR692" s="39">
        <f t="shared" si="4021"/>
        <v>1369047.6190476157</v>
      </c>
      <c r="CS692" s="39">
        <f t="shared" si="4022"/>
        <v>1339285.7142857108</v>
      </c>
      <c r="CT692" s="39">
        <f t="shared" si="4023"/>
        <v>1309523.809523806</v>
      </c>
      <c r="CU692" s="39">
        <f t="shared" si="4024"/>
        <v>1279761.9047619011</v>
      </c>
      <c r="CV692" s="39">
        <f t="shared" si="4025"/>
        <v>1249999.9999999963</v>
      </c>
      <c r="CW692" s="39">
        <f t="shared" si="4026"/>
        <v>1220238.0952380914</v>
      </c>
      <c r="CX692" s="39">
        <f t="shared" si="4027"/>
        <v>1190476.1904761866</v>
      </c>
      <c r="CY692" s="39">
        <f t="shared" si="4028"/>
        <v>1160714.2857142817</v>
      </c>
      <c r="CZ692" s="236">
        <v>0</v>
      </c>
    </row>
    <row r="693" spans="1:104" ht="24" customHeight="1" x14ac:dyDescent="0.2">
      <c r="A693" s="231" t="s">
        <v>2685</v>
      </c>
      <c r="B693" s="185" t="s">
        <v>2690</v>
      </c>
      <c r="C693" t="s">
        <v>41</v>
      </c>
      <c r="D693" t="s">
        <v>42</v>
      </c>
      <c r="E693" s="238">
        <v>45626</v>
      </c>
      <c r="F693" t="s">
        <v>44</v>
      </c>
      <c r="G693" s="234">
        <v>180</v>
      </c>
      <c r="H693" s="11"/>
      <c r="K693" s="8">
        <v>1</v>
      </c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44"/>
      <c r="AD693" s="7"/>
      <c r="AE693" s="7"/>
      <c r="AF693" s="7"/>
      <c r="AG693" s="7"/>
      <c r="AH693" s="7"/>
      <c r="AI693" s="7"/>
      <c r="AJ693" s="39"/>
      <c r="AK693" s="39"/>
      <c r="AL693" s="39"/>
      <c r="AM693" s="39"/>
      <c r="AN693" s="39"/>
      <c r="AO693" s="39"/>
      <c r="AP693" s="236"/>
      <c r="AQ693" s="7">
        <f>BE693/G693</f>
        <v>131694.44444444444</v>
      </c>
      <c r="AR693" s="7"/>
      <c r="AS693" s="7"/>
      <c r="AT693" s="7">
        <f>AQ693*1</f>
        <v>131694.44444444444</v>
      </c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>
        <f>28446000/1.2</f>
        <v>23705000</v>
      </c>
      <c r="BF693" s="39">
        <f t="shared" si="3991"/>
        <v>23573305.555555556</v>
      </c>
      <c r="BG693" s="236">
        <f t="shared" si="3557"/>
        <v>80009.440170940172</v>
      </c>
      <c r="BH693" s="7">
        <f t="shared" si="3992"/>
        <v>131694.44444444444</v>
      </c>
      <c r="BI693" s="7">
        <f t="shared" si="3993"/>
        <v>1580333.3333333333</v>
      </c>
      <c r="BJ693" s="7">
        <f t="shared" si="3994"/>
        <v>23441611.111111112</v>
      </c>
      <c r="BK693" s="39">
        <f t="shared" si="3995"/>
        <v>23309916.666666668</v>
      </c>
      <c r="BL693" s="39">
        <f t="shared" si="3996"/>
        <v>23178222.222222224</v>
      </c>
      <c r="BM693" s="39">
        <f t="shared" si="3997"/>
        <v>23046527.77777778</v>
      </c>
      <c r="BN693" s="39">
        <f t="shared" si="3998"/>
        <v>22914833.333333336</v>
      </c>
      <c r="BO693" s="39">
        <f t="shared" si="3999"/>
        <v>22783138.888888892</v>
      </c>
      <c r="BP693" s="39">
        <f t="shared" si="4000"/>
        <v>22651444.444444448</v>
      </c>
      <c r="BQ693" s="39">
        <f t="shared" si="4001"/>
        <v>22519750.000000004</v>
      </c>
      <c r="BR693" s="39">
        <f t="shared" si="4002"/>
        <v>22388055.55555556</v>
      </c>
      <c r="BS693" s="39">
        <f t="shared" si="4003"/>
        <v>22256361.111111116</v>
      </c>
      <c r="BT693" s="39">
        <f t="shared" si="4004"/>
        <v>22124666.666666672</v>
      </c>
      <c r="BU693" s="39">
        <f t="shared" si="4005"/>
        <v>21992972.222222228</v>
      </c>
      <c r="BV693" s="236">
        <f>(BF693+BJ693+BK693+BL693+BM693+BN693+BO693+BP693+BQ693+BR693+BS693+BT693+BU693)/13*BV1</f>
        <v>501229.05555555556</v>
      </c>
      <c r="BW693" s="7">
        <f>BH693</f>
        <v>131694.44444444444</v>
      </c>
      <c r="BX693" s="7">
        <f t="shared" si="3624"/>
        <v>1580333.3333333333</v>
      </c>
      <c r="BY693" s="7">
        <f t="shared" si="3555"/>
        <v>21861277.777777784</v>
      </c>
      <c r="BZ693" s="39">
        <f t="shared" si="4006"/>
        <v>21729583.33333334</v>
      </c>
      <c r="CA693" s="39">
        <f t="shared" si="4007"/>
        <v>21597888.888888896</v>
      </c>
      <c r="CB693" s="39">
        <f t="shared" si="4008"/>
        <v>21466194.444444451</v>
      </c>
      <c r="CC693" s="39">
        <f t="shared" si="4009"/>
        <v>21334500.000000007</v>
      </c>
      <c r="CD693" s="39">
        <f t="shared" si="4010"/>
        <v>21202805.555555563</v>
      </c>
      <c r="CE693" s="39">
        <f t="shared" si="4011"/>
        <v>21071111.111111119</v>
      </c>
      <c r="CF693" s="39">
        <f t="shared" si="4012"/>
        <v>20939416.666666675</v>
      </c>
      <c r="CG693" s="39">
        <f t="shared" si="4013"/>
        <v>20807722.222222231</v>
      </c>
      <c r="CH693" s="39">
        <f t="shared" si="4014"/>
        <v>20676027.777777787</v>
      </c>
      <c r="CI693" s="39">
        <f t="shared" si="4015"/>
        <v>20544333.333333343</v>
      </c>
      <c r="CJ693" s="39">
        <f t="shared" si="4016"/>
        <v>20412638.888888899</v>
      </c>
      <c r="CK693" s="236">
        <f>IF(BE693&lt;1,0,SUM(BY693:CJ693,BU693)/13*$BG$1)</f>
        <v>466461.72222222236</v>
      </c>
      <c r="CL693" s="7">
        <f t="shared" si="4017"/>
        <v>131694.44444444444</v>
      </c>
      <c r="CM693" s="7">
        <f t="shared" si="3626"/>
        <v>1580333.3333333333</v>
      </c>
      <c r="CN693" s="7">
        <f t="shared" si="3627"/>
        <v>20280944.444444455</v>
      </c>
      <c r="CO693" s="39">
        <f t="shared" si="4018"/>
        <v>20149250.000000011</v>
      </c>
      <c r="CP693" s="39">
        <f t="shared" si="4019"/>
        <v>20017555.555555567</v>
      </c>
      <c r="CQ693" s="39">
        <f t="shared" si="4020"/>
        <v>19885861.111111123</v>
      </c>
      <c r="CR693" s="39">
        <f t="shared" si="4021"/>
        <v>19754166.666666679</v>
      </c>
      <c r="CS693" s="39">
        <f t="shared" si="4022"/>
        <v>19622472.222222235</v>
      </c>
      <c r="CT693" s="39">
        <f t="shared" si="4023"/>
        <v>19490777.777777791</v>
      </c>
      <c r="CU693" s="39">
        <f t="shared" si="4024"/>
        <v>19359083.333333347</v>
      </c>
      <c r="CV693" s="39">
        <f t="shared" si="4025"/>
        <v>19227388.888888903</v>
      </c>
      <c r="CW693" s="39">
        <f t="shared" si="4026"/>
        <v>19095694.444444459</v>
      </c>
      <c r="CX693" s="39">
        <f t="shared" si="4027"/>
        <v>18964000.000000015</v>
      </c>
      <c r="CY693" s="39">
        <f t="shared" si="4028"/>
        <v>18832305.555555571</v>
      </c>
      <c r="CZ693" s="236">
        <f>IF(BT693&lt;1,0,SUM(CN693:CY693,CJ693)/13*$BG$1)</f>
        <v>431694.38888888905</v>
      </c>
    </row>
    <row r="694" spans="1:104" ht="24" customHeight="1" x14ac:dyDescent="0.2">
      <c r="A694" s="231" t="s">
        <v>2686</v>
      </c>
      <c r="B694" s="185" t="s">
        <v>2690</v>
      </c>
      <c r="C694" t="s">
        <v>41</v>
      </c>
      <c r="D694" t="s">
        <v>42</v>
      </c>
      <c r="E694" s="238">
        <v>45626</v>
      </c>
      <c r="F694" t="s">
        <v>44</v>
      </c>
      <c r="G694" s="234">
        <v>180</v>
      </c>
      <c r="H694" s="11"/>
      <c r="K694" s="8">
        <v>1</v>
      </c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44"/>
      <c r="AD694" s="7"/>
      <c r="AE694" s="7"/>
      <c r="AF694" s="7"/>
      <c r="AG694" s="7"/>
      <c r="AH694" s="7"/>
      <c r="AI694" s="7"/>
      <c r="AJ694" s="39"/>
      <c r="AK694" s="39"/>
      <c r="AL694" s="39"/>
      <c r="AM694" s="39"/>
      <c r="AN694" s="39"/>
      <c r="AO694" s="39"/>
      <c r="AP694" s="236"/>
      <c r="AQ694" s="7">
        <f>BE694/G694</f>
        <v>91569.444444444438</v>
      </c>
      <c r="AR694" s="7"/>
      <c r="AS694" s="7"/>
      <c r="AT694" s="7">
        <f t="shared" ref="AT694:AT696" si="4029">AQ694*1</f>
        <v>91569.444444444438</v>
      </c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>
        <f>19779000/1.2</f>
        <v>16482500</v>
      </c>
      <c r="BF694" s="39">
        <f t="shared" si="3991"/>
        <v>16390930.555555556</v>
      </c>
      <c r="BG694" s="236">
        <f t="shared" si="3557"/>
        <v>55631.959401709399</v>
      </c>
      <c r="BH694" s="7">
        <f t="shared" si="3992"/>
        <v>91569.444444444438</v>
      </c>
      <c r="BI694" s="7">
        <f t="shared" si="3993"/>
        <v>1098833.3333333333</v>
      </c>
      <c r="BJ694" s="7">
        <f t="shared" si="3994"/>
        <v>16299361.111111112</v>
      </c>
      <c r="BK694" s="39">
        <f t="shared" si="3995"/>
        <v>16207791.666666668</v>
      </c>
      <c r="BL694" s="39">
        <f t="shared" si="3996"/>
        <v>16116222.222222224</v>
      </c>
      <c r="BM694" s="39">
        <f t="shared" si="3997"/>
        <v>16024652.77777778</v>
      </c>
      <c r="BN694" s="39">
        <f t="shared" si="3998"/>
        <v>15933083.333333336</v>
      </c>
      <c r="BO694" s="39">
        <f t="shared" si="3999"/>
        <v>15841513.888888892</v>
      </c>
      <c r="BP694" s="39">
        <f t="shared" si="4000"/>
        <v>15749944.444444448</v>
      </c>
      <c r="BQ694" s="39">
        <f t="shared" si="4001"/>
        <v>15658375.000000004</v>
      </c>
      <c r="BR694" s="39">
        <f t="shared" si="4002"/>
        <v>15566805.55555556</v>
      </c>
      <c r="BS694" s="39">
        <f t="shared" si="4003"/>
        <v>15475236.111111116</v>
      </c>
      <c r="BT694" s="39">
        <f t="shared" si="4004"/>
        <v>15383666.666666672</v>
      </c>
      <c r="BU694" s="39">
        <f t="shared" si="4005"/>
        <v>15292097.222222228</v>
      </c>
      <c r="BV694" s="236">
        <f>IF(BE694&lt;1,0,SUM(BJ694:BU694,BF694)/13*$BG$1)</f>
        <v>348513.30555555562</v>
      </c>
      <c r="BW694" s="7">
        <f>BH694</f>
        <v>91569.444444444438</v>
      </c>
      <c r="BX694" s="7">
        <f t="shared" si="3624"/>
        <v>1098833.3333333333</v>
      </c>
      <c r="BY694" s="7">
        <f t="shared" si="3555"/>
        <v>15200527.777777784</v>
      </c>
      <c r="BZ694" s="39">
        <f t="shared" si="4006"/>
        <v>15108958.33333334</v>
      </c>
      <c r="CA694" s="39">
        <f t="shared" si="4007"/>
        <v>15017388.888888896</v>
      </c>
      <c r="CB694" s="39">
        <f t="shared" si="4008"/>
        <v>14925819.444444451</v>
      </c>
      <c r="CC694" s="39">
        <f t="shared" si="4009"/>
        <v>14834250.000000007</v>
      </c>
      <c r="CD694" s="39">
        <f t="shared" si="4010"/>
        <v>14742680.555555563</v>
      </c>
      <c r="CE694" s="39">
        <f t="shared" si="4011"/>
        <v>14651111.111111119</v>
      </c>
      <c r="CF694" s="39">
        <f t="shared" si="4012"/>
        <v>14559541.666666675</v>
      </c>
      <c r="CG694" s="39">
        <f t="shared" si="4013"/>
        <v>14467972.222222231</v>
      </c>
      <c r="CH694" s="39">
        <f t="shared" si="4014"/>
        <v>14376402.777777787</v>
      </c>
      <c r="CI694" s="39">
        <f t="shared" si="4015"/>
        <v>14284833.333333343</v>
      </c>
      <c r="CJ694" s="39">
        <f t="shared" si="4016"/>
        <v>14193263.888888899</v>
      </c>
      <c r="CK694" s="236">
        <f>IF(BE694&lt;1,0,SUM(BY694:CJ694,BU694)/13*$BG$1)</f>
        <v>324338.97222222236</v>
      </c>
      <c r="CL694" s="7">
        <f t="shared" si="4017"/>
        <v>91569.444444444438</v>
      </c>
      <c r="CM694" s="7">
        <f t="shared" si="3626"/>
        <v>1098833.3333333333</v>
      </c>
      <c r="CN694" s="7">
        <f t="shared" si="3627"/>
        <v>14101694.444444455</v>
      </c>
      <c r="CO694" s="39">
        <f t="shared" si="4018"/>
        <v>14010125.000000011</v>
      </c>
      <c r="CP694" s="39">
        <f t="shared" si="4019"/>
        <v>13918555.555555567</v>
      </c>
      <c r="CQ694" s="39">
        <f t="shared" si="4020"/>
        <v>13826986.111111123</v>
      </c>
      <c r="CR694" s="39">
        <f t="shared" si="4021"/>
        <v>13735416.666666679</v>
      </c>
      <c r="CS694" s="39">
        <f t="shared" si="4022"/>
        <v>13643847.222222235</v>
      </c>
      <c r="CT694" s="39">
        <f t="shared" si="4023"/>
        <v>13552277.777777791</v>
      </c>
      <c r="CU694" s="39">
        <f t="shared" si="4024"/>
        <v>13460708.333333347</v>
      </c>
      <c r="CV694" s="39">
        <f t="shared" si="4025"/>
        <v>13369138.888888903</v>
      </c>
      <c r="CW694" s="39">
        <f t="shared" si="4026"/>
        <v>13277569.444444459</v>
      </c>
      <c r="CX694" s="39">
        <f t="shared" si="4027"/>
        <v>13186000.000000015</v>
      </c>
      <c r="CY694" s="39">
        <f t="shared" si="4028"/>
        <v>13094430.555555571</v>
      </c>
      <c r="CZ694" s="236">
        <f>IF(BT694&lt;1,0,SUM(CN694:CY694,CJ694)/13*$BG$1)</f>
        <v>300164.63888888905</v>
      </c>
    </row>
    <row r="695" spans="1:104" ht="24" customHeight="1" x14ac:dyDescent="0.2">
      <c r="A695" s="231" t="s">
        <v>2687</v>
      </c>
      <c r="B695" s="185" t="s">
        <v>2690</v>
      </c>
      <c r="C695" t="s">
        <v>41</v>
      </c>
      <c r="D695" t="s">
        <v>42</v>
      </c>
      <c r="E695" s="238">
        <v>45626</v>
      </c>
      <c r="F695" t="s">
        <v>44</v>
      </c>
      <c r="G695" s="234">
        <v>180</v>
      </c>
      <c r="H695" s="11"/>
      <c r="K695" s="8">
        <v>1</v>
      </c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44"/>
      <c r="AD695" s="7"/>
      <c r="AE695" s="7"/>
      <c r="AF695" s="7"/>
      <c r="AG695" s="7"/>
      <c r="AH695" s="7"/>
      <c r="AI695" s="7"/>
      <c r="AJ695" s="39"/>
      <c r="AK695" s="39"/>
      <c r="AL695" s="39"/>
      <c r="AM695" s="39"/>
      <c r="AN695" s="39"/>
      <c r="AO695" s="39"/>
      <c r="AP695" s="236"/>
      <c r="AQ695" s="7">
        <f>BE695/G695</f>
        <v>57541.666666666664</v>
      </c>
      <c r="AR695" s="7"/>
      <c r="AS695" s="7"/>
      <c r="AT695" s="7">
        <f t="shared" si="4029"/>
        <v>57541.666666666664</v>
      </c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>
        <f>12429000/1.2</f>
        <v>10357500</v>
      </c>
      <c r="BF695" s="39">
        <f t="shared" si="3991"/>
        <v>10299958.333333334</v>
      </c>
      <c r="BG695" s="236">
        <f t="shared" si="3557"/>
        <v>34958.775641025641</v>
      </c>
      <c r="BH695" s="7">
        <f t="shared" si="3992"/>
        <v>57541.666666666664</v>
      </c>
      <c r="BI695" s="7">
        <f t="shared" si="3993"/>
        <v>690500</v>
      </c>
      <c r="BJ695" s="7">
        <f t="shared" si="3994"/>
        <v>10242416.666666668</v>
      </c>
      <c r="BK695" s="39">
        <f t="shared" si="3995"/>
        <v>10184875.000000002</v>
      </c>
      <c r="BL695" s="39">
        <f t="shared" si="3996"/>
        <v>10127333.333333336</v>
      </c>
      <c r="BM695" s="39">
        <f t="shared" si="3997"/>
        <v>10069791.66666667</v>
      </c>
      <c r="BN695" s="39">
        <f t="shared" si="3998"/>
        <v>10012250.000000004</v>
      </c>
      <c r="BO695" s="39">
        <f t="shared" si="3999"/>
        <v>9954708.3333333377</v>
      </c>
      <c r="BP695" s="39">
        <f t="shared" si="4000"/>
        <v>9897166.6666666716</v>
      </c>
      <c r="BQ695" s="39">
        <f t="shared" si="4001"/>
        <v>9839625.0000000056</v>
      </c>
      <c r="BR695" s="39">
        <f t="shared" si="4002"/>
        <v>9782083.3333333395</v>
      </c>
      <c r="BS695" s="39">
        <f t="shared" si="4003"/>
        <v>9724541.6666666735</v>
      </c>
      <c r="BT695" s="39">
        <f t="shared" si="4004"/>
        <v>9667000.0000000075</v>
      </c>
      <c r="BU695" s="39">
        <f t="shared" si="4005"/>
        <v>9609458.3333333414</v>
      </c>
      <c r="BV695" s="236">
        <f>IF(BE695&lt;1,0,SUM(BJ695:BU695,BF695)/13*$BG$1)</f>
        <v>219003.58333333343</v>
      </c>
      <c r="BW695" s="7">
        <f>BH695</f>
        <v>57541.666666666664</v>
      </c>
      <c r="BX695" s="7">
        <f t="shared" si="3624"/>
        <v>690500</v>
      </c>
      <c r="BY695" s="7">
        <f t="shared" si="3555"/>
        <v>9551916.6666666754</v>
      </c>
      <c r="BZ695" s="39">
        <f t="shared" si="4006"/>
        <v>9494375.0000000093</v>
      </c>
      <c r="CA695" s="39">
        <f t="shared" si="4007"/>
        <v>9436833.3333333433</v>
      </c>
      <c r="CB695" s="39">
        <f t="shared" si="4008"/>
        <v>9379291.6666666772</v>
      </c>
      <c r="CC695" s="39">
        <f t="shared" si="4009"/>
        <v>9321750.0000000112</v>
      </c>
      <c r="CD695" s="39">
        <f t="shared" si="4010"/>
        <v>9264208.3333333451</v>
      </c>
      <c r="CE695" s="39">
        <f t="shared" si="4011"/>
        <v>9206666.6666666791</v>
      </c>
      <c r="CF695" s="39">
        <f t="shared" si="4012"/>
        <v>9149125.000000013</v>
      </c>
      <c r="CG695" s="39">
        <f t="shared" si="4013"/>
        <v>9091583.333333347</v>
      </c>
      <c r="CH695" s="39">
        <f t="shared" si="4014"/>
        <v>9034041.6666666809</v>
      </c>
      <c r="CI695" s="39">
        <f t="shared" si="4015"/>
        <v>8976500.0000000149</v>
      </c>
      <c r="CJ695" s="39">
        <f t="shared" si="4016"/>
        <v>8918958.3333333489</v>
      </c>
      <c r="CK695" s="236">
        <f>IF(BE695&lt;1,0,SUM(BY695:CJ695,BU695)/13*$BG$1)</f>
        <v>203812.58333333358</v>
      </c>
      <c r="CL695" s="7">
        <f t="shared" si="4017"/>
        <v>57541.666666666664</v>
      </c>
      <c r="CM695" s="7">
        <f t="shared" si="3626"/>
        <v>690500</v>
      </c>
      <c r="CN695" s="7">
        <f t="shared" si="3627"/>
        <v>8861416.6666666828</v>
      </c>
      <c r="CO695" s="39">
        <f t="shared" si="4018"/>
        <v>8803875.0000000168</v>
      </c>
      <c r="CP695" s="39">
        <f t="shared" si="4019"/>
        <v>8746333.3333333507</v>
      </c>
      <c r="CQ695" s="39">
        <f t="shared" si="4020"/>
        <v>8688791.6666666847</v>
      </c>
      <c r="CR695" s="39">
        <f t="shared" si="4021"/>
        <v>8631250.0000000186</v>
      </c>
      <c r="CS695" s="39">
        <f t="shared" si="4022"/>
        <v>8573708.3333333526</v>
      </c>
      <c r="CT695" s="39">
        <f t="shared" si="4023"/>
        <v>8516166.6666666865</v>
      </c>
      <c r="CU695" s="39">
        <f t="shared" si="4024"/>
        <v>8458625.0000000205</v>
      </c>
      <c r="CV695" s="39">
        <f t="shared" si="4025"/>
        <v>8401083.3333333544</v>
      </c>
      <c r="CW695" s="39">
        <f t="shared" si="4026"/>
        <v>8343541.6666666875</v>
      </c>
      <c r="CX695" s="39">
        <f t="shared" si="4027"/>
        <v>8286000.0000000205</v>
      </c>
      <c r="CY695" s="39">
        <f t="shared" si="4028"/>
        <v>8228458.3333333535</v>
      </c>
      <c r="CZ695" s="236">
        <f>IF(BT695&lt;1,0,SUM(CN695:CY695,CJ695)/13*$BG$1)</f>
        <v>188621.58333333375</v>
      </c>
    </row>
    <row r="696" spans="1:104" s="266" customFormat="1" ht="24" customHeight="1" x14ac:dyDescent="0.2">
      <c r="A696" s="264" t="s">
        <v>2691</v>
      </c>
      <c r="B696" s="265" t="s">
        <v>2776</v>
      </c>
      <c r="C696" s="266" t="s">
        <v>41</v>
      </c>
      <c r="D696" s="266" t="s">
        <v>42</v>
      </c>
      <c r="E696" s="281">
        <v>45260</v>
      </c>
      <c r="F696" s="266" t="s">
        <v>44</v>
      </c>
      <c r="G696" s="282">
        <v>180</v>
      </c>
      <c r="H696" s="270"/>
      <c r="K696" s="271">
        <v>1</v>
      </c>
      <c r="L696" s="272"/>
      <c r="M696" s="272"/>
      <c r="N696" s="272"/>
      <c r="O696" s="272"/>
      <c r="P696" s="272"/>
      <c r="Q696" s="272"/>
      <c r="R696" s="272"/>
      <c r="S696" s="272"/>
      <c r="T696" s="272"/>
      <c r="U696" s="272"/>
      <c r="V696" s="272"/>
      <c r="W696" s="272"/>
      <c r="X696" s="272"/>
      <c r="Y696" s="272"/>
      <c r="Z696" s="272"/>
      <c r="AA696" s="272"/>
      <c r="AB696" s="272">
        <f t="shared" ref="AB696" si="4030">AN696/G696</f>
        <v>201055.61400000003</v>
      </c>
      <c r="AC696" s="273">
        <f t="shared" ref="AC696" si="4031">AB696</f>
        <v>201055.61400000003</v>
      </c>
      <c r="AD696" s="272"/>
      <c r="AE696" s="272"/>
      <c r="AF696" s="272"/>
      <c r="AG696" s="272"/>
      <c r="AH696" s="272"/>
      <c r="AI696" s="272"/>
      <c r="AJ696" s="274"/>
      <c r="AK696" s="274"/>
      <c r="AL696" s="274"/>
      <c r="AM696" s="274"/>
      <c r="AN696" s="274">
        <f>'08.03'!E72</f>
        <v>36190010.520000003</v>
      </c>
      <c r="AO696" s="274">
        <f t="shared" ref="AO696" si="4032">AN696-$AB696</f>
        <v>35988954.906000003</v>
      </c>
      <c r="AP696" s="274"/>
      <c r="AQ696" s="272">
        <f>AN696/G696</f>
        <v>201055.61400000003</v>
      </c>
      <c r="AR696" s="272">
        <f t="shared" ref="AR696" si="4033">AN696-AO696</f>
        <v>201055.61400000006</v>
      </c>
      <c r="AS696" s="272">
        <f t="shared" ref="AS696" si="4034">AR696-AQ696</f>
        <v>0</v>
      </c>
      <c r="AT696" s="272">
        <f t="shared" si="4029"/>
        <v>201055.61400000003</v>
      </c>
      <c r="AU696" s="274">
        <f>AO696-AQ696</f>
        <v>35787899.292000003</v>
      </c>
      <c r="AV696" s="274">
        <f>AU696-AQ696</f>
        <v>35586843.678000003</v>
      </c>
      <c r="AW696" s="274">
        <f>AV$696-$AR$696</f>
        <v>35385788.064000003</v>
      </c>
      <c r="AX696" s="274">
        <f t="shared" ref="AX696:BF696" si="4035">AW$696-$AR$696</f>
        <v>35184732.450000003</v>
      </c>
      <c r="AY696" s="274">
        <f t="shared" si="4035"/>
        <v>34983676.836000003</v>
      </c>
      <c r="AZ696" s="274">
        <f t="shared" si="4035"/>
        <v>34782621.222000003</v>
      </c>
      <c r="BA696" s="274">
        <f t="shared" si="4035"/>
        <v>34581565.608000003</v>
      </c>
      <c r="BB696" s="274">
        <f t="shared" si="4035"/>
        <v>34380509.994000003</v>
      </c>
      <c r="BC696" s="274">
        <f t="shared" si="4035"/>
        <v>34179454.380000003</v>
      </c>
      <c r="BD696" s="274">
        <f t="shared" si="4035"/>
        <v>33978398.766000003</v>
      </c>
      <c r="BE696" s="274">
        <f t="shared" si="4035"/>
        <v>33777343.152000003</v>
      </c>
      <c r="BF696" s="274">
        <f t="shared" si="4035"/>
        <v>33576287.538000003</v>
      </c>
      <c r="BG696" s="274">
        <f t="shared" ref="BG696:BG727" si="4036">IF(K696&lt;1,0,SUM(AU696:BF696,AO696)/13*$BG$1)</f>
        <v>765217.66688400018</v>
      </c>
      <c r="BH696" s="272">
        <f t="shared" si="3992"/>
        <v>201055.61400000003</v>
      </c>
      <c r="BI696" s="272">
        <f t="shared" si="3993"/>
        <v>2412667.3680000002</v>
      </c>
      <c r="BJ696" s="274">
        <f t="shared" si="3994"/>
        <v>33375231.924000002</v>
      </c>
      <c r="BK696" s="274">
        <f>BJ$696-$BH$696</f>
        <v>33174176.310000002</v>
      </c>
      <c r="BL696" s="274">
        <f t="shared" ref="BL696:BU696" si="4037">BK$696-$BH$696</f>
        <v>32973120.696000002</v>
      </c>
      <c r="BM696" s="274">
        <f t="shared" si="4037"/>
        <v>32772065.082000002</v>
      </c>
      <c r="BN696" s="274">
        <f t="shared" si="4037"/>
        <v>32571009.468000002</v>
      </c>
      <c r="BO696" s="274">
        <f t="shared" si="4037"/>
        <v>32369953.854000002</v>
      </c>
      <c r="BP696" s="274">
        <f t="shared" si="4037"/>
        <v>32168898.240000002</v>
      </c>
      <c r="BQ696" s="274">
        <f t="shared" si="4037"/>
        <v>31967842.626000002</v>
      </c>
      <c r="BR696" s="274">
        <f t="shared" si="4037"/>
        <v>31766787.012000002</v>
      </c>
      <c r="BS696" s="274">
        <f>BR$696-$BH$696</f>
        <v>31565731.398000002</v>
      </c>
      <c r="BT696" s="274">
        <f t="shared" si="4037"/>
        <v>31364675.784000002</v>
      </c>
      <c r="BU696" s="274">
        <f t="shared" si="4037"/>
        <v>31163620.170000002</v>
      </c>
      <c r="BV696" s="274">
        <f>IF(BE696&lt;1,0,SUM(BJ696:BU696,BF696)/13*$BG$1)</f>
        <v>712138.98478800012</v>
      </c>
      <c r="BW696" s="272">
        <f>BT696-BU696</f>
        <v>201055.61400000006</v>
      </c>
      <c r="BX696" s="272">
        <f t="shared" si="3624"/>
        <v>2412667.3680000007</v>
      </c>
      <c r="BY696" s="272">
        <f t="shared" si="3555"/>
        <v>30962564.556000002</v>
      </c>
      <c r="BZ696" s="274">
        <f>BY$696-$BW$696</f>
        <v>30761508.942000002</v>
      </c>
      <c r="CA696" s="274">
        <f t="shared" ref="CA696:CJ696" si="4038">BZ$696-$BW$696</f>
        <v>30560453.328000002</v>
      </c>
      <c r="CB696" s="274">
        <f t="shared" si="4038"/>
        <v>30359397.714000002</v>
      </c>
      <c r="CC696" s="274">
        <f t="shared" si="4038"/>
        <v>30158342.100000001</v>
      </c>
      <c r="CD696" s="274">
        <f t="shared" si="4038"/>
        <v>29957286.486000001</v>
      </c>
      <c r="CE696" s="274">
        <f t="shared" si="4038"/>
        <v>29756230.872000001</v>
      </c>
      <c r="CF696" s="274">
        <f t="shared" si="4038"/>
        <v>29555175.258000001</v>
      </c>
      <c r="CG696" s="274">
        <f t="shared" si="4038"/>
        <v>29354119.644000001</v>
      </c>
      <c r="CH696" s="274">
        <f t="shared" si="4038"/>
        <v>29153064.030000001</v>
      </c>
      <c r="CI696" s="274">
        <f t="shared" si="4038"/>
        <v>28952008.416000001</v>
      </c>
      <c r="CJ696" s="274">
        <f t="shared" si="4038"/>
        <v>28750952.802000001</v>
      </c>
      <c r="CK696" s="274">
        <f>IF(BE696&lt;1,0,SUM(BY696:CJ696,BU696)/13*$BG$1)</f>
        <v>659060.30269200006</v>
      </c>
      <c r="CL696" s="272">
        <f t="shared" si="4017"/>
        <v>201055.61400000006</v>
      </c>
      <c r="CM696" s="272">
        <f t="shared" si="3626"/>
        <v>2412667.3680000007</v>
      </c>
      <c r="CN696" s="272">
        <f t="shared" si="3627"/>
        <v>28549897.188000001</v>
      </c>
      <c r="CO696" s="274">
        <f>CN$696-$CL$696</f>
        <v>28348841.574000001</v>
      </c>
      <c r="CP696" s="274">
        <f t="shared" ref="CP696:CY696" si="4039">CO$696-$CL$696</f>
        <v>28147785.960000001</v>
      </c>
      <c r="CQ696" s="274">
        <f t="shared" si="4039"/>
        <v>27946730.346000001</v>
      </c>
      <c r="CR696" s="274">
        <f t="shared" si="4039"/>
        <v>27745674.732000001</v>
      </c>
      <c r="CS696" s="274">
        <f t="shared" si="4039"/>
        <v>27544619.118000001</v>
      </c>
      <c r="CT696" s="274">
        <f t="shared" si="4039"/>
        <v>27343563.504000001</v>
      </c>
      <c r="CU696" s="274">
        <f t="shared" si="4039"/>
        <v>27142507.890000001</v>
      </c>
      <c r="CV696" s="274">
        <f t="shared" si="4039"/>
        <v>26941452.276000001</v>
      </c>
      <c r="CW696" s="274">
        <f t="shared" si="4039"/>
        <v>26740396.662</v>
      </c>
      <c r="CX696" s="274">
        <f t="shared" si="4039"/>
        <v>26539341.048</v>
      </c>
      <c r="CY696" s="274">
        <f t="shared" si="4039"/>
        <v>26338285.434</v>
      </c>
      <c r="CZ696" s="274">
        <f>IF(BT696&lt;1,0,SUM(CN696:CY696,CJ696)/13*$BG$1)</f>
        <v>605981.62059599988</v>
      </c>
    </row>
    <row r="697" spans="1:104" s="5" customFormat="1" x14ac:dyDescent="0.2">
      <c r="A697" s="232" t="s">
        <v>2565</v>
      </c>
      <c r="H697" s="188"/>
      <c r="K697" s="24"/>
      <c r="N697" s="25">
        <f>SUM(N4:N696)</f>
        <v>79952182.323768124</v>
      </c>
      <c r="AA697" s="25">
        <f>SUM(AA4:AA696)</f>
        <v>17163365.093289346</v>
      </c>
      <c r="AC697" s="25">
        <f>SUM(AC4:AC696)</f>
        <v>77722681.013273656</v>
      </c>
      <c r="AP697" s="223">
        <f>SUM(AP4:AP696)</f>
        <v>17114024.558420643</v>
      </c>
      <c r="AQ697" s="25">
        <f>SUM(AQ4:AQ696)</f>
        <v>9068171.4852202982</v>
      </c>
      <c r="AR697" s="277">
        <f t="shared" ref="AR697:AS697" si="4040">SUM(AR4:AR696)</f>
        <v>8010981.2858650014</v>
      </c>
      <c r="AS697" s="277">
        <f t="shared" si="4040"/>
        <v>-60667.438766401603</v>
      </c>
      <c r="AT697" s="25">
        <f>SUM(AT4:AT696)</f>
        <v>93441713.338325948</v>
      </c>
      <c r="BG697" s="223">
        <f t="shared" ref="BG697:BI697" si="4041">SUM(BG4:BG696)</f>
        <v>17906925.204931159</v>
      </c>
      <c r="BH697" s="223">
        <f t="shared" si="4041"/>
        <v>9068171.4852202963</v>
      </c>
      <c r="BI697" s="223">
        <f t="shared" si="4041"/>
        <v>96614568.296219274</v>
      </c>
      <c r="BV697" s="223">
        <f t="shared" ref="BV697:BX697" si="4042">SUM(BV4:BV696)</f>
        <v>17586472.555862967</v>
      </c>
      <c r="BW697" s="223">
        <f t="shared" si="4042"/>
        <v>9068171.4852202963</v>
      </c>
      <c r="BX697" s="223">
        <f t="shared" si="4042"/>
        <v>95238069.576217636</v>
      </c>
      <c r="CK697" s="223">
        <f>SUM(CK4:CK696)</f>
        <v>16303346.043919925</v>
      </c>
      <c r="CL697" s="223">
        <f t="shared" ref="CL697" si="4043">SUM(CL4:CL696)</f>
        <v>9068171.4852202963</v>
      </c>
      <c r="CM697" s="25">
        <f>SUM(CM4:CM696)</f>
        <v>93526172.626221642</v>
      </c>
      <c r="CZ697" s="223">
        <f>SUM(CZ4:CZ696)</f>
        <v>15018191.050863152</v>
      </c>
    </row>
    <row r="698" spans="1:104" x14ac:dyDescent="0.2">
      <c r="AQ698" s="5"/>
      <c r="AR698" s="5"/>
      <c r="AS698" s="5"/>
      <c r="AT698" s="25"/>
      <c r="BI698" s="25"/>
    </row>
    <row r="699" spans="1:104" x14ac:dyDescent="0.2">
      <c r="I699" s="7">
        <f>H147-J147</f>
        <v>4305862.41</v>
      </c>
    </row>
    <row r="700" spans="1:104" x14ac:dyDescent="0.2">
      <c r="AJ700" s="7"/>
    </row>
    <row r="701" spans="1:104" x14ac:dyDescent="0.2">
      <c r="AU701" s="26"/>
      <c r="BJ701" s="189"/>
    </row>
    <row r="702" spans="1:104" x14ac:dyDescent="0.2">
      <c r="A702" s="22" t="s">
        <v>2682</v>
      </c>
      <c r="F702" s="183" t="s">
        <v>76</v>
      </c>
      <c r="N702" s="7">
        <f t="shared" ref="N702:N711" si="4044">SUMIF($F$4:$F$696,F702,$N$4:$Y$696)</f>
        <v>1760473.5199999996</v>
      </c>
      <c r="AA702" s="7">
        <f t="shared" ref="AA702:AA711" si="4045">SUMIF($F$4:$F$696,F702,$AA$4:$AA$696)</f>
        <v>25222.522160000004</v>
      </c>
      <c r="AC702" s="7">
        <f t="shared" ref="AC702:AC711" si="4046">SUMIF($F$4:$F$696,F702,$AC$4:$AC$696)</f>
        <v>1765364.0399999998</v>
      </c>
      <c r="AP702" s="222">
        <f t="shared" ref="AP702:AP711" si="4047">SUMIF($F$4:$F$696,F702,$AP$4:$AP$696)</f>
        <v>23347.551920000009</v>
      </c>
      <c r="AT702" s="7">
        <f t="shared" ref="AT702:AT711" si="4048">SUMIF($F$4:$F$696,F702,$AT$4:$AT$696)</f>
        <v>3385145.7860317458</v>
      </c>
      <c r="AU702" s="7"/>
      <c r="BG702" s="222">
        <f t="shared" ref="BG702:BG711" si="4049">SUMIF($F$4:$F$696,F702,$BG$4:$BG$696)</f>
        <v>21472.581680000018</v>
      </c>
      <c r="BI702" s="7">
        <f t="shared" ref="BI702:BI711" si="4050">SUMIF($F$4:$F$696,$F702,$BI$4:$BI$696)</f>
        <v>3669608.4252380952</v>
      </c>
      <c r="BJ702" s="7"/>
      <c r="BV702" s="222">
        <f t="shared" ref="BV702:BV711" si="4051">SUMIF($F$4:$F$696,F702,$BV$4:$BV$696)</f>
        <v>19597.611440000026</v>
      </c>
      <c r="BX702" s="7">
        <f t="shared" ref="BX702:BX711" si="4052">SUMIF($F$4:$F$696,$F702,$BX$4:$BX$696)</f>
        <v>3357077.3652380956</v>
      </c>
      <c r="CK702" s="222">
        <f t="shared" ref="CK702:CK711" si="4053">SUMIF($F$4:$F$696,$F702,$CK$4:$CK$696)</f>
        <v>17722.641200000038</v>
      </c>
      <c r="CM702" s="7">
        <f t="shared" ref="CM702:CM711" si="4054">SUMIF($F$4:$F$696,$F702,$CM$4:$CM$696)</f>
        <v>3261713.4552380955</v>
      </c>
      <c r="CZ702" s="222">
        <f t="shared" ref="CZ702:CZ711" si="4055">SUMIF($F$4:$F$696,$F702,$CZ$4:$CZ$696)</f>
        <v>15847.670960000049</v>
      </c>
    </row>
    <row r="703" spans="1:104" x14ac:dyDescent="0.2">
      <c r="F703" s="183" t="s">
        <v>77</v>
      </c>
      <c r="N703" s="7">
        <f t="shared" si="4044"/>
        <v>22614825.420395996</v>
      </c>
      <c r="AA703" s="7">
        <f t="shared" si="4045"/>
        <v>4206624.7462896956</v>
      </c>
      <c r="AC703" s="7">
        <f t="shared" si="4046"/>
        <v>20309593.440395992</v>
      </c>
      <c r="AP703" s="222">
        <f t="shared" si="4047"/>
        <v>4089195.0943978201</v>
      </c>
      <c r="AT703" s="7">
        <f t="shared" si="4048"/>
        <v>14648558.960395996</v>
      </c>
      <c r="AU703" s="7"/>
      <c r="BG703" s="222">
        <f t="shared" si="4049"/>
        <v>3971874.5695120995</v>
      </c>
      <c r="BI703" s="7">
        <f t="shared" si="4050"/>
        <v>13218261.400395989</v>
      </c>
      <c r="BJ703" s="7"/>
      <c r="BV703" s="222">
        <f t="shared" si="4051"/>
        <v>3854621.1716609937</v>
      </c>
      <c r="BX703" s="7">
        <f t="shared" si="4052"/>
        <v>12667462.200396003</v>
      </c>
      <c r="CK703" s="222">
        <f t="shared" si="4053"/>
        <v>3737412.3061845037</v>
      </c>
      <c r="CM703" s="7">
        <f t="shared" si="4054"/>
        <v>11363515.000400003</v>
      </c>
      <c r="CZ703" s="222">
        <f t="shared" si="4055"/>
        <v>3620214.479495706</v>
      </c>
    </row>
    <row r="704" spans="1:104" x14ac:dyDescent="0.2">
      <c r="F704" s="183" t="s">
        <v>78</v>
      </c>
      <c r="N704" s="7">
        <f t="shared" si="4044"/>
        <v>1579409.2800000003</v>
      </c>
      <c r="AA704" s="7">
        <f t="shared" si="4045"/>
        <v>788866.30766075023</v>
      </c>
      <c r="AC704" s="7">
        <f t="shared" si="4046"/>
        <v>1579409.2800000003</v>
      </c>
      <c r="AP704" s="222">
        <f t="shared" si="4047"/>
        <v>754261.74734075041</v>
      </c>
      <c r="AT704" s="7">
        <f t="shared" si="4048"/>
        <v>1579409.2800000003</v>
      </c>
      <c r="AU704" s="7"/>
      <c r="BG704" s="222">
        <f t="shared" si="4049"/>
        <v>719657.1870207506</v>
      </c>
      <c r="BI704" s="7">
        <f t="shared" si="4050"/>
        <v>1579409.2800000003</v>
      </c>
      <c r="BJ704" s="7"/>
      <c r="BV704" s="222">
        <f t="shared" si="4051"/>
        <v>685052.62670075078</v>
      </c>
      <c r="BX704" s="7">
        <f t="shared" si="4052"/>
        <v>1579409.2800000003</v>
      </c>
      <c r="CK704" s="222">
        <f t="shared" si="4053"/>
        <v>650448.06638075109</v>
      </c>
      <c r="CM704" s="7">
        <f t="shared" si="4054"/>
        <v>1574553.4200000002</v>
      </c>
      <c r="CZ704" s="222">
        <f t="shared" si="4055"/>
        <v>615843.5060607515</v>
      </c>
    </row>
    <row r="705" spans="1:104" x14ac:dyDescent="0.2">
      <c r="F705" s="20" t="s">
        <v>25</v>
      </c>
      <c r="N705" s="7">
        <f t="shared" si="4044"/>
        <v>2556609.5456789401</v>
      </c>
      <c r="AA705" s="7">
        <f t="shared" si="4045"/>
        <v>515073.40502383327</v>
      </c>
      <c r="AC705" s="7">
        <f t="shared" si="4046"/>
        <v>2236685.2167106858</v>
      </c>
      <c r="AP705" s="222">
        <f t="shared" si="4047"/>
        <v>499055.98382383294</v>
      </c>
      <c r="AT705" s="7">
        <f t="shared" si="4048"/>
        <v>2028601.523139257</v>
      </c>
      <c r="AU705" s="7"/>
      <c r="BG705" s="222">
        <f t="shared" si="4049"/>
        <v>483654.40385152487</v>
      </c>
      <c r="BI705" s="7">
        <f t="shared" si="4050"/>
        <v>1471923.1717106858</v>
      </c>
      <c r="BJ705" s="7"/>
      <c r="BV705" s="222">
        <f t="shared" si="4051"/>
        <v>469354.43964195199</v>
      </c>
      <c r="BX705" s="7">
        <f t="shared" si="4052"/>
        <v>1349726.7017106859</v>
      </c>
      <c r="CK705" s="222">
        <f t="shared" si="4053"/>
        <v>459713.91854112578</v>
      </c>
      <c r="CM705" s="7">
        <f t="shared" si="4054"/>
        <v>1319244.0417106859</v>
      </c>
      <c r="CZ705" s="222">
        <f t="shared" si="4055"/>
        <v>445653.98034111655</v>
      </c>
    </row>
    <row r="706" spans="1:104" x14ac:dyDescent="0.2">
      <c r="F706" s="21" t="s">
        <v>79</v>
      </c>
      <c r="N706" s="7">
        <f t="shared" si="4044"/>
        <v>439854.21266846271</v>
      </c>
      <c r="AA706" s="7">
        <f t="shared" si="4045"/>
        <v>125482.63314398022</v>
      </c>
      <c r="AC706" s="7">
        <f t="shared" si="4046"/>
        <v>433105.56266846269</v>
      </c>
      <c r="AP706" s="222">
        <f t="shared" si="4047"/>
        <v>116356.91223194063</v>
      </c>
      <c r="AT706" s="7">
        <f t="shared" si="4048"/>
        <v>449302.20266846271</v>
      </c>
      <c r="AU706" s="7"/>
      <c r="BG706" s="222">
        <f t="shared" si="4049"/>
        <v>107231.19131990103</v>
      </c>
      <c r="BI706" s="7">
        <f t="shared" si="4050"/>
        <v>429750.86266846268</v>
      </c>
      <c r="BJ706" s="7"/>
      <c r="BV706" s="222">
        <f t="shared" si="4051"/>
        <v>98105.470407861474</v>
      </c>
      <c r="BX706" s="7">
        <f t="shared" si="4052"/>
        <v>426396.12266846269</v>
      </c>
      <c r="CK706" s="222">
        <f t="shared" si="4053"/>
        <v>88979.749495821889</v>
      </c>
      <c r="CM706" s="7">
        <f t="shared" si="4054"/>
        <v>426396.12266846269</v>
      </c>
      <c r="CZ706" s="222">
        <f t="shared" si="4055"/>
        <v>79854.028583782332</v>
      </c>
    </row>
    <row r="707" spans="1:104" x14ac:dyDescent="0.2">
      <c r="F707" s="20" t="s">
        <v>31</v>
      </c>
      <c r="N707" s="7">
        <f t="shared" si="4044"/>
        <v>63458.656666666662</v>
      </c>
      <c r="AA707" s="7">
        <f t="shared" si="4045"/>
        <v>0</v>
      </c>
      <c r="AC707" s="7">
        <f t="shared" si="4046"/>
        <v>1718512.3795952378</v>
      </c>
      <c r="AP707" s="222">
        <f t="shared" si="4047"/>
        <v>0</v>
      </c>
      <c r="AT707" s="7">
        <f t="shared" si="4048"/>
        <v>19751625.027142856</v>
      </c>
      <c r="AU707" s="7"/>
      <c r="BG707" s="222">
        <f t="shared" si="4049"/>
        <v>0</v>
      </c>
      <c r="BI707" s="7">
        <f t="shared" si="4050"/>
        <v>19751625.027142841</v>
      </c>
      <c r="BJ707" s="7"/>
      <c r="BV707" s="222">
        <f t="shared" si="4051"/>
        <v>0</v>
      </c>
      <c r="BX707" s="7">
        <f t="shared" si="4052"/>
        <v>19751625.027142841</v>
      </c>
      <c r="CK707" s="222">
        <f t="shared" si="4053"/>
        <v>0</v>
      </c>
      <c r="CM707" s="7">
        <f t="shared" si="4054"/>
        <v>19751625.027142841</v>
      </c>
      <c r="CZ707" s="222">
        <f t="shared" si="4055"/>
        <v>0</v>
      </c>
    </row>
    <row r="708" spans="1:104" x14ac:dyDescent="0.2">
      <c r="F708" s="183" t="s">
        <v>38</v>
      </c>
      <c r="N708" s="7">
        <f t="shared" si="4044"/>
        <v>6853775.2292690519</v>
      </c>
      <c r="AA708" s="7">
        <f t="shared" si="4045"/>
        <v>521756.40131341782</v>
      </c>
      <c r="AC708" s="7">
        <f t="shared" si="4046"/>
        <v>3692634.5892690532</v>
      </c>
      <c r="AP708" s="222">
        <f t="shared" si="4047"/>
        <v>468666.89316205936</v>
      </c>
      <c r="AT708" s="7">
        <f t="shared" si="4048"/>
        <v>2934203.7042690529</v>
      </c>
      <c r="AU708" s="7"/>
      <c r="BG708" s="222">
        <f t="shared" si="4049"/>
        <v>416851.35880277975</v>
      </c>
      <c r="BI708" s="7">
        <f t="shared" si="4050"/>
        <v>2787864.9692690531</v>
      </c>
      <c r="BJ708" s="7"/>
      <c r="BV708" s="222">
        <f t="shared" si="4051"/>
        <v>357574.44003587175</v>
      </c>
      <c r="BX708" s="7">
        <f t="shared" si="4052"/>
        <v>2641139.9192690533</v>
      </c>
      <c r="CK708" s="222">
        <f t="shared" si="4053"/>
        <v>301060.77645511756</v>
      </c>
      <c r="CM708" s="7">
        <f t="shared" si="4054"/>
        <v>2641139.9192690533</v>
      </c>
      <c r="CZ708" s="222">
        <f t="shared" si="4055"/>
        <v>245450.75739128643</v>
      </c>
    </row>
    <row r="709" spans="1:104" s="5" customFormat="1" x14ac:dyDescent="0.2">
      <c r="A709" s="22"/>
      <c r="F709" s="23" t="s">
        <v>19</v>
      </c>
      <c r="K709" s="24"/>
      <c r="N709" s="7">
        <f t="shared" si="4044"/>
        <v>113987.62732933332</v>
      </c>
      <c r="O709"/>
      <c r="P709"/>
      <c r="Q709"/>
      <c r="R709"/>
      <c r="S709"/>
      <c r="T709"/>
      <c r="U709"/>
      <c r="V709"/>
      <c r="W709"/>
      <c r="X709"/>
      <c r="Y709"/>
      <c r="AA709" s="7">
        <f t="shared" si="4045"/>
        <v>18378.115108726739</v>
      </c>
      <c r="AC709" s="7">
        <f t="shared" si="4046"/>
        <v>112242.67732933334</v>
      </c>
      <c r="AD709"/>
      <c r="AE709"/>
      <c r="AF709"/>
      <c r="AG709"/>
      <c r="AH709"/>
      <c r="AI709"/>
      <c r="AJ709"/>
      <c r="AK709"/>
      <c r="AL709"/>
      <c r="AM709"/>
      <c r="AN709"/>
      <c r="AP709" s="222">
        <f t="shared" si="4047"/>
        <v>16857.844417465312</v>
      </c>
      <c r="AT709" s="7">
        <f t="shared" si="4048"/>
        <v>111422.11732933333</v>
      </c>
      <c r="AU709" s="25"/>
      <c r="AV709"/>
      <c r="AW709"/>
      <c r="AX709"/>
      <c r="AY709"/>
      <c r="AZ709"/>
      <c r="BA709"/>
      <c r="BB709"/>
      <c r="BC709"/>
      <c r="BD709"/>
      <c r="BE709"/>
      <c r="BG709" s="222">
        <f t="shared" si="4049"/>
        <v>15356.836540630225</v>
      </c>
      <c r="BI709" s="7">
        <f t="shared" si="4050"/>
        <v>110271.91732933333</v>
      </c>
      <c r="BJ709" s="25"/>
      <c r="BK709"/>
      <c r="BL709"/>
      <c r="BM709"/>
      <c r="BN709"/>
      <c r="BO709"/>
      <c r="BP709"/>
      <c r="BQ709"/>
      <c r="BR709"/>
      <c r="BS709"/>
      <c r="BT709"/>
      <c r="BV709" s="222">
        <f t="shared" si="4051"/>
        <v>13887.231497641291</v>
      </c>
      <c r="BX709" s="7">
        <f t="shared" si="4052"/>
        <v>110271.91732933333</v>
      </c>
      <c r="CK709" s="222">
        <f t="shared" si="4053"/>
        <v>12425.416417729279</v>
      </c>
      <c r="CM709" s="7">
        <f t="shared" si="4054"/>
        <v>110271.91732933333</v>
      </c>
      <c r="CZ709" s="222">
        <f t="shared" si="4055"/>
        <v>10963.601337817272</v>
      </c>
    </row>
    <row r="710" spans="1:104" x14ac:dyDescent="0.2">
      <c r="F710" s="21" t="s">
        <v>44</v>
      </c>
      <c r="N710" s="7">
        <f t="shared" si="4044"/>
        <v>30996747.901759673</v>
      </c>
      <c r="AA710" s="7">
        <f t="shared" si="4045"/>
        <v>9389539.0676191449</v>
      </c>
      <c r="AC710" s="7">
        <f t="shared" si="4046"/>
        <v>32966468.744884729</v>
      </c>
      <c r="AP710" s="222">
        <f t="shared" si="4047"/>
        <v>9846816.6187145244</v>
      </c>
      <c r="AT710" s="7">
        <f t="shared" si="4048"/>
        <v>35699706.036095843</v>
      </c>
      <c r="AU710" s="7"/>
      <c r="BG710" s="222">
        <f t="shared" si="4049"/>
        <v>11144563.489158237</v>
      </c>
      <c r="BI710" s="7">
        <f t="shared" si="4050"/>
        <v>40759488.021211348</v>
      </c>
      <c r="BJ710" s="7"/>
      <c r="BV710" s="222">
        <f t="shared" si="4051"/>
        <v>11335218.302803043</v>
      </c>
      <c r="BX710" s="7">
        <f t="shared" si="4052"/>
        <v>40525255.791209735</v>
      </c>
      <c r="CK710" s="222">
        <f t="shared" si="4053"/>
        <v>10555724.23293364</v>
      </c>
      <c r="CM710" s="7">
        <f t="shared" si="4054"/>
        <v>40324596.361209728</v>
      </c>
      <c r="CZ710" s="222">
        <f t="shared" si="4055"/>
        <v>9777706.4157484528</v>
      </c>
    </row>
    <row r="711" spans="1:104" x14ac:dyDescent="0.2">
      <c r="F711" s="20" t="s">
        <v>69</v>
      </c>
      <c r="N711" s="7">
        <f t="shared" si="4044"/>
        <v>12973040.929999994</v>
      </c>
      <c r="AA711" s="7">
        <f t="shared" si="4045"/>
        <v>1572421.8949697886</v>
      </c>
      <c r="AC711" s="7">
        <f t="shared" si="4046"/>
        <v>12908665.082420103</v>
      </c>
      <c r="AP711" s="222">
        <f t="shared" si="4047"/>
        <v>1299465.9124122465</v>
      </c>
      <c r="AT711" s="7">
        <f t="shared" si="4048"/>
        <v>12853738.701253435</v>
      </c>
      <c r="AU711" s="7"/>
      <c r="BG711" s="222">
        <f t="shared" si="4049"/>
        <v>1026263.5870452418</v>
      </c>
      <c r="BI711" s="7">
        <f t="shared" si="4050"/>
        <v>12836365.221253436</v>
      </c>
      <c r="BJ711" s="7"/>
      <c r="BV711" s="222">
        <f t="shared" si="4051"/>
        <v>753061.26167485246</v>
      </c>
      <c r="BX711" s="7">
        <f t="shared" si="4052"/>
        <v>12829705.251253435</v>
      </c>
      <c r="CK711" s="222">
        <f t="shared" si="4053"/>
        <v>479858.93631123251</v>
      </c>
      <c r="CM711" s="7">
        <f t="shared" si="4054"/>
        <v>12753117.361253437</v>
      </c>
      <c r="CZ711" s="222">
        <f t="shared" si="4055"/>
        <v>206656.61094422819</v>
      </c>
    </row>
    <row r="712" spans="1:104" x14ac:dyDescent="0.2">
      <c r="N712" s="25">
        <f>SUM(N702:N711)</f>
        <v>79952182.323768124</v>
      </c>
      <c r="AA712" s="25">
        <f>SUM(AA702:AA711)</f>
        <v>17163365.093289334</v>
      </c>
      <c r="AC712" s="25">
        <f>SUM(AC702:AC711)</f>
        <v>77722681.013273597</v>
      </c>
      <c r="AP712" s="223">
        <f>SUM(AP702:AP711)</f>
        <v>17114024.558420639</v>
      </c>
      <c r="AT712" s="25">
        <f>SUM(AT702:AT711)</f>
        <v>93441713.338325977</v>
      </c>
      <c r="AU712" s="25"/>
      <c r="BG712" s="223">
        <f>SUM(BG702:BG711)</f>
        <v>17906925.204931162</v>
      </c>
      <c r="BI712" s="25">
        <f>SUM(BI702:BI711)</f>
        <v>96614568.296219245</v>
      </c>
      <c r="BJ712" s="25"/>
      <c r="BV712" s="223">
        <f>SUM(BV702:BV711)</f>
        <v>17586472.555862967</v>
      </c>
      <c r="BX712" s="25">
        <f>SUM(BX702:BX711)</f>
        <v>95238069.576217651</v>
      </c>
      <c r="CK712" s="223">
        <f>SUM(CK702:CK711)</f>
        <v>16303346.043919923</v>
      </c>
      <c r="CM712" s="25">
        <f>SUM(CM702:CM711)</f>
        <v>93526172.626221657</v>
      </c>
      <c r="CZ712" s="223">
        <f>SUM(CZ702:CZ711)</f>
        <v>15018191.050863141</v>
      </c>
    </row>
    <row r="715" spans="1:104" hidden="1" x14ac:dyDescent="0.2">
      <c r="F715" s="16" t="s">
        <v>80</v>
      </c>
      <c r="G715" t="s">
        <v>44</v>
      </c>
      <c r="N715" s="7">
        <f>SUM(N203+N215+N279+N294+N295+N467+N470+N471)</f>
        <v>2052762.12</v>
      </c>
      <c r="AA715" s="7">
        <f>SUM(AA203+AA215+AA279+AA294+AA295+AA467+AA470+AA471)</f>
        <v>914499.5191999682</v>
      </c>
      <c r="AC715" s="7">
        <f>SUM(AC203+AC215+AC279+AC294+AC295+AC467+AC470+AC471)</f>
        <v>2052762.12</v>
      </c>
      <c r="AP715" s="222">
        <f>SUM(AP203+AP215+AP279+AP294+AP295+AP467+AP470+AP471)</f>
        <v>869338.75255996815</v>
      </c>
      <c r="AT715" s="7">
        <f>SUM(AT203+AT215+AT279+AT294+AT295+AT467+AT470+AT471)</f>
        <v>2052762.12</v>
      </c>
      <c r="BG715" s="222">
        <f>SUM(BG203+BG215+BG279+BG294+BG295+BG467+BG470+BG471)</f>
        <v>824177.98591996799</v>
      </c>
      <c r="BI715" s="7">
        <f>SUM(BI203+BI215+BI279+BI294+BI295+BI467+BI470+BI471)</f>
        <v>2052762.12</v>
      </c>
      <c r="BV715" s="222">
        <f>SUM(BV203+BV215+BV279+BV294+BV295+BV467+BV470+BV471)</f>
        <v>779017.2192799683</v>
      </c>
      <c r="CK715" s="222">
        <f>SUM(CK203+CK215+CK279+CK294+CK295+CK467+CK470+CK471)</f>
        <v>733856.45263996813</v>
      </c>
      <c r="CZ715" s="222">
        <f>SUM(CZ203+CZ215+CZ279+CZ294+CZ295+CZ467+CZ470+CZ471)</f>
        <v>688695.68599996832</v>
      </c>
    </row>
    <row r="717" spans="1:104" x14ac:dyDescent="0.2">
      <c r="N717" s="25">
        <f>N703+N704+N707+N708+N710+N711+N702</f>
        <v>76841730.938091382</v>
      </c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25">
        <f>AC703+AC704+AC707+AC708+AC710+AC711</f>
        <v>73175283.516565114</v>
      </c>
      <c r="AP717" s="222">
        <f>AP703+AP704+AP707+AP708+AP710+AP711</f>
        <v>16458406.2660274</v>
      </c>
      <c r="AT717" s="25">
        <f>AT703+AT704+AT707+AT708+AT710+AT711</f>
        <v>87467241.709157184</v>
      </c>
      <c r="AU717" s="25"/>
      <c r="BG717" s="222">
        <f>BG703+BG704+BG707+BG708+BG710+BG711</f>
        <v>17279210.191539109</v>
      </c>
      <c r="BI717" s="25">
        <f>BI703+BI704+BI707+BI708+BI710+BI711</f>
        <v>90933013.919272676</v>
      </c>
      <c r="BJ717" s="190"/>
      <c r="BV717" s="222">
        <f>BV703+BV704+BV707+BV708+BV710+BV711</f>
        <v>16985527.802875511</v>
      </c>
      <c r="BX717" s="25">
        <f>BX703+BX704+BX707+BX708+BX710+BX711</f>
        <v>89994597.469271079</v>
      </c>
      <c r="CK717" s="222">
        <f>CK703+CK704+CK707+CK708+CK710+CK711</f>
        <v>15724504.318265244</v>
      </c>
      <c r="CM717" s="25">
        <f>CM703+CM704+CM707+CM708+CM710+CM711</f>
        <v>88408547.089275062</v>
      </c>
      <c r="CZ717" s="222">
        <f>CZ703+CZ704+CZ707+CZ708+CZ710+CZ711</f>
        <v>14465871.769640425</v>
      </c>
    </row>
    <row r="719" spans="1:104" x14ac:dyDescent="0.2">
      <c r="F719" s="26" t="s">
        <v>81</v>
      </c>
      <c r="N719" s="7">
        <f>N703+N704+N708+N711</f>
        <v>44021050.859665044</v>
      </c>
      <c r="AA719" s="7">
        <f>AA703+AA704+AA708+AA711</f>
        <v>7089669.3502336517</v>
      </c>
      <c r="AC719" s="7">
        <f>AC703+AC704+AC708+AC711</f>
        <v>38490302.39208515</v>
      </c>
      <c r="AP719" s="222">
        <f>AP703+AP704+AP708+AP711</f>
        <v>6611589.6473128768</v>
      </c>
      <c r="AT719" s="7">
        <f>AT703+AT704+AT708+AT711</f>
        <v>32015910.645918481</v>
      </c>
      <c r="AU719" s="7"/>
      <c r="BG719" s="222">
        <f>BG703+BG704+BG708+BG711</f>
        <v>6134646.7023808714</v>
      </c>
      <c r="BI719" s="7">
        <f>BI703+BI704+BI708+BI711</f>
        <v>30421900.870918479</v>
      </c>
      <c r="BJ719" s="7"/>
      <c r="BV719" s="222">
        <f>BV703+BV704+BV708+BV711</f>
        <v>5650309.500072469</v>
      </c>
      <c r="BX719" s="7">
        <f>BX703+BX704+BX708+BX711</f>
        <v>29717716.650918491</v>
      </c>
      <c r="CK719" s="222">
        <f>CK703+CK704+CK708+CK711</f>
        <v>5168780.0853316048</v>
      </c>
      <c r="CM719" s="7">
        <f>CM703+CM704+CM708+CM711</f>
        <v>28332325.700922493</v>
      </c>
      <c r="CZ719" s="222">
        <f>CZ703+CZ704+CZ708+CZ711</f>
        <v>4688165.3538919715</v>
      </c>
    </row>
    <row r="720" spans="1:104" x14ac:dyDescent="0.2">
      <c r="F720" s="26" t="s">
        <v>82</v>
      </c>
      <c r="N720" s="7">
        <f>N710</f>
        <v>30996747.901759673</v>
      </c>
      <c r="AA720" s="7">
        <f>AA710</f>
        <v>9389539.0676191449</v>
      </c>
      <c r="AC720" s="7">
        <f>AC710</f>
        <v>32966468.744884729</v>
      </c>
      <c r="AO720" s="26" t="s">
        <v>2641</v>
      </c>
      <c r="AP720" s="222">
        <f>AP710</f>
        <v>9846816.6187145244</v>
      </c>
      <c r="AT720" s="7">
        <f>AT710</f>
        <v>35699706.036095843</v>
      </c>
      <c r="AU720" s="7"/>
      <c r="BF720" s="26" t="s">
        <v>2641</v>
      </c>
      <c r="BG720" s="222">
        <f>BG710</f>
        <v>11144563.489158237</v>
      </c>
      <c r="BI720" s="7">
        <f>BI710</f>
        <v>40759488.021211348</v>
      </c>
      <c r="BJ720" s="7"/>
      <c r="BU720" s="26" t="s">
        <v>2641</v>
      </c>
      <c r="BV720" s="222">
        <f>BV710</f>
        <v>11335218.302803043</v>
      </c>
      <c r="BX720" s="7">
        <f>BX710</f>
        <v>40525255.791209735</v>
      </c>
      <c r="CK720" s="222">
        <f>CK710</f>
        <v>10555724.23293364</v>
      </c>
      <c r="CM720" s="7">
        <f>CM710</f>
        <v>40324596.361209728</v>
      </c>
      <c r="CZ720" s="222">
        <f>CZ710</f>
        <v>9777706.4157484528</v>
      </c>
    </row>
    <row r="721" spans="6:104" x14ac:dyDescent="0.2">
      <c r="F721" s="26" t="s">
        <v>83</v>
      </c>
      <c r="N721" s="7">
        <f>N707</f>
        <v>63458.656666666662</v>
      </c>
      <c r="AA721" s="7">
        <f>AA707</f>
        <v>0</v>
      </c>
      <c r="AC721" s="7">
        <f>AC707</f>
        <v>1718512.3795952378</v>
      </c>
      <c r="AP721" s="222">
        <f>AP707</f>
        <v>0</v>
      </c>
      <c r="AT721" s="7">
        <f>AT707</f>
        <v>19751625.027142856</v>
      </c>
      <c r="AU721" s="7"/>
      <c r="BG721" s="222">
        <f>BG707</f>
        <v>0</v>
      </c>
      <c r="BI721" s="7">
        <f>BI707</f>
        <v>19751625.027142841</v>
      </c>
      <c r="BJ721" s="7"/>
      <c r="BV721" s="222">
        <f>BV707</f>
        <v>0</v>
      </c>
      <c r="BX721" s="7">
        <f>BX707</f>
        <v>19751625.027142841</v>
      </c>
      <c r="CK721" s="222">
        <f>CK707</f>
        <v>0</v>
      </c>
      <c r="CM721" s="7">
        <f>CM707</f>
        <v>19751625.027142841</v>
      </c>
      <c r="CZ721" s="222">
        <f>CZ707</f>
        <v>0</v>
      </c>
    </row>
    <row r="722" spans="6:104" x14ac:dyDescent="0.2">
      <c r="N722" s="7">
        <f>SUM(N719:N721)</f>
        <v>75081257.418091387</v>
      </c>
      <c r="AA722" s="7">
        <f>SUM(AA719:AA721)</f>
        <v>16479208.417852797</v>
      </c>
    </row>
    <row r="723" spans="6:104" x14ac:dyDescent="0.2"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</row>
    <row r="724" spans="6:104" x14ac:dyDescent="0.2">
      <c r="AP724" s="222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</row>
    <row r="725" spans="6:104" x14ac:dyDescent="0.2">
      <c r="N725" s="7">
        <f>N697-N712</f>
        <v>0</v>
      </c>
      <c r="AA725" s="7">
        <f>AA697-AA712</f>
        <v>0</v>
      </c>
      <c r="AC725" s="7">
        <f>AC697-AC712</f>
        <v>0</v>
      </c>
      <c r="AP725" s="222">
        <f>AP697-AP712</f>
        <v>0</v>
      </c>
      <c r="AT725" s="7">
        <f>AT697-AT712</f>
        <v>0</v>
      </c>
      <c r="BG725" s="7">
        <f>BG697-BG712</f>
        <v>0</v>
      </c>
      <c r="BI725" s="7">
        <f>BI697-BI712</f>
        <v>0</v>
      </c>
      <c r="BV725" s="7">
        <f>BV697-BV712</f>
        <v>0</v>
      </c>
      <c r="BX725" s="7">
        <f>BX697-BX712</f>
        <v>0</v>
      </c>
      <c r="CK725" s="7">
        <f>CK697-CK712</f>
        <v>0</v>
      </c>
      <c r="CM725" s="7">
        <f>CM697-CM712</f>
        <v>0</v>
      </c>
      <c r="CZ725" s="7">
        <f>CZ697-CZ712</f>
        <v>0</v>
      </c>
    </row>
    <row r="726" spans="6:104" x14ac:dyDescent="0.2"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</row>
    <row r="728" spans="6:104" x14ac:dyDescent="0.2"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</row>
  </sheetData>
  <autoFilter ref="A2:DB697" xr:uid="{00000000-0001-0000-0000-000000000000}"/>
  <mergeCells count="16">
    <mergeCell ref="BI1:BI2"/>
    <mergeCell ref="BX1:BX2"/>
    <mergeCell ref="CM1:CM2"/>
    <mergeCell ref="F1:F2"/>
    <mergeCell ref="A1:A2"/>
    <mergeCell ref="B1:B2"/>
    <mergeCell ref="C1:C2"/>
    <mergeCell ref="D1:D2"/>
    <mergeCell ref="E1:E2"/>
    <mergeCell ref="AT1:AT2"/>
    <mergeCell ref="G1:G2"/>
    <mergeCell ref="H1:J1"/>
    <mergeCell ref="K1:K2"/>
    <mergeCell ref="L1:L2"/>
    <mergeCell ref="N1:N2"/>
    <mergeCell ref="AC1:AC2"/>
  </mergeCells>
  <phoneticPr fontId="0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7C24-4152-4F29-ADA6-112FB010C810}">
  <sheetPr filterMode="1"/>
  <dimension ref="A1:K185"/>
  <sheetViews>
    <sheetView workbookViewId="0">
      <pane xSplit="1" ySplit="9" topLeftCell="B80" activePane="bottomRight" state="frozen"/>
      <selection pane="topRight" activeCell="B1" sqref="B1"/>
      <selection pane="bottomLeft" activeCell="A10" sqref="A10"/>
      <selection pane="bottomRight" activeCell="I113" sqref="I113"/>
    </sheetView>
  </sheetViews>
  <sheetFormatPr defaultRowHeight="11.25" x14ac:dyDescent="0.2"/>
  <cols>
    <col min="1" max="1" width="38.1640625" customWidth="1"/>
    <col min="2" max="7" width="19.1640625" customWidth="1"/>
    <col min="11" max="11" width="10.6640625" customWidth="1"/>
  </cols>
  <sheetData>
    <row r="1" spans="1:8" ht="12.75" x14ac:dyDescent="0.2">
      <c r="A1" s="247" t="s">
        <v>2699</v>
      </c>
      <c r="B1" s="248"/>
      <c r="C1" s="248"/>
      <c r="D1" s="248"/>
      <c r="E1" s="249"/>
      <c r="F1" s="249"/>
      <c r="G1" s="249"/>
    </row>
    <row r="2" spans="1:8" ht="15.75" x14ac:dyDescent="0.25">
      <c r="A2" s="250" t="s">
        <v>2770</v>
      </c>
      <c r="B2" s="248"/>
      <c r="C2" s="248"/>
      <c r="D2" s="248"/>
      <c r="E2" s="249"/>
      <c r="F2" s="249"/>
      <c r="G2" s="249"/>
    </row>
    <row r="3" spans="1:8" x14ac:dyDescent="0.2">
      <c r="A3" s="249"/>
      <c r="B3" s="249"/>
      <c r="C3" s="249"/>
      <c r="D3" s="249"/>
      <c r="E3" s="249"/>
      <c r="F3" s="249"/>
      <c r="G3" s="249"/>
    </row>
    <row r="4" spans="1:8" ht="11.25" customHeight="1" x14ac:dyDescent="0.2">
      <c r="A4" s="302" t="s">
        <v>2700</v>
      </c>
      <c r="B4" s="303"/>
      <c r="C4" s="304"/>
      <c r="D4" s="304"/>
      <c r="E4" s="304"/>
      <c r="F4" s="304"/>
      <c r="G4" s="304"/>
    </row>
    <row r="5" spans="1:8" x14ac:dyDescent="0.2">
      <c r="A5" s="251"/>
      <c r="B5" s="251"/>
      <c r="C5" s="248"/>
      <c r="D5" s="248"/>
      <c r="E5" s="248"/>
      <c r="F5" s="248"/>
      <c r="G5" s="248"/>
    </row>
    <row r="6" spans="1:8" ht="12.75" x14ac:dyDescent="0.2">
      <c r="A6" s="252" t="s">
        <v>2701</v>
      </c>
      <c r="B6" s="305" t="s">
        <v>2702</v>
      </c>
      <c r="C6" s="305"/>
      <c r="D6" s="305" t="s">
        <v>2703</v>
      </c>
      <c r="E6" s="305"/>
      <c r="F6" s="305" t="s">
        <v>2704</v>
      </c>
      <c r="G6" s="305"/>
    </row>
    <row r="7" spans="1:8" ht="11.25" customHeight="1" x14ac:dyDescent="0.2">
      <c r="A7" s="306" t="s">
        <v>2705</v>
      </c>
      <c r="B7" s="300" t="s">
        <v>2706</v>
      </c>
      <c r="C7" s="300" t="s">
        <v>2707</v>
      </c>
      <c r="D7" s="300" t="s">
        <v>2706</v>
      </c>
      <c r="E7" s="300" t="s">
        <v>2707</v>
      </c>
      <c r="F7" s="300" t="s">
        <v>2706</v>
      </c>
      <c r="G7" s="300" t="s">
        <v>2707</v>
      </c>
    </row>
    <row r="8" spans="1:8" ht="11.25" customHeight="1" x14ac:dyDescent="0.2">
      <c r="A8" s="307"/>
      <c r="B8" s="301"/>
      <c r="C8" s="301"/>
      <c r="D8" s="301"/>
      <c r="E8" s="301"/>
      <c r="F8" s="301"/>
      <c r="G8" s="301"/>
    </row>
    <row r="9" spans="1:8" ht="12.75" x14ac:dyDescent="0.2">
      <c r="A9" s="253" t="s">
        <v>2708</v>
      </c>
      <c r="B9" s="254">
        <v>165265221.69</v>
      </c>
      <c r="C9" s="255"/>
      <c r="D9" s="254">
        <v>40225937.109999999</v>
      </c>
      <c r="E9" s="254">
        <v>63493156.960000001</v>
      </c>
      <c r="F9" s="254">
        <v>141998001.84</v>
      </c>
      <c r="G9" s="255"/>
    </row>
    <row r="10" spans="1:8" ht="36" x14ac:dyDescent="0.2">
      <c r="A10" s="256" t="s">
        <v>2656</v>
      </c>
      <c r="B10" s="257">
        <v>26129.31</v>
      </c>
      <c r="C10" s="258"/>
      <c r="D10" s="257">
        <v>556944.42000000004</v>
      </c>
      <c r="E10" s="257">
        <v>583073.73</v>
      </c>
      <c r="F10" s="258"/>
      <c r="G10" s="258"/>
    </row>
    <row r="11" spans="1:8" ht="36" hidden="1" x14ac:dyDescent="0.2">
      <c r="A11" s="256" t="s">
        <v>2709</v>
      </c>
      <c r="B11" s="258"/>
      <c r="C11" s="258"/>
      <c r="D11" s="257">
        <v>32911.17</v>
      </c>
      <c r="E11" s="258"/>
      <c r="F11" s="257">
        <v>32911.17</v>
      </c>
      <c r="G11" s="258"/>
    </row>
    <row r="12" spans="1:8" ht="24" hidden="1" x14ac:dyDescent="0.2">
      <c r="A12" s="256" t="s">
        <v>2710</v>
      </c>
      <c r="B12" s="257">
        <v>33129.25</v>
      </c>
      <c r="C12" s="258"/>
      <c r="D12" s="258"/>
      <c r="E12" s="258"/>
      <c r="F12" s="257">
        <v>33129.25</v>
      </c>
      <c r="G12" s="258"/>
    </row>
    <row r="13" spans="1:8" ht="36" x14ac:dyDescent="0.2">
      <c r="A13" s="256" t="s">
        <v>2771</v>
      </c>
      <c r="B13" s="257">
        <v>131933.60999999999</v>
      </c>
      <c r="C13" s="258"/>
      <c r="D13" s="257">
        <v>66512.19</v>
      </c>
      <c r="E13" s="257">
        <v>198445.8</v>
      </c>
      <c r="F13" s="258"/>
      <c r="G13" s="258"/>
    </row>
    <row r="14" spans="1:8" ht="48" x14ac:dyDescent="0.2">
      <c r="A14" s="256" t="s">
        <v>2772</v>
      </c>
      <c r="B14" s="257">
        <v>27311.13</v>
      </c>
      <c r="C14" s="258"/>
      <c r="D14" s="257">
        <v>253615.23</v>
      </c>
      <c r="E14" s="257">
        <v>280926.36</v>
      </c>
      <c r="F14" s="258"/>
      <c r="G14" s="258"/>
      <c r="H14">
        <v>180</v>
      </c>
    </row>
    <row r="15" spans="1:8" ht="35.25" customHeight="1" x14ac:dyDescent="0.2">
      <c r="A15" s="256" t="s">
        <v>2711</v>
      </c>
      <c r="B15" s="257">
        <v>21004.51</v>
      </c>
      <c r="C15" s="258"/>
      <c r="D15" s="257">
        <v>111565.24</v>
      </c>
      <c r="E15" s="257">
        <v>132569.75</v>
      </c>
      <c r="F15" s="258"/>
      <c r="G15" s="258"/>
      <c r="H15">
        <v>180</v>
      </c>
    </row>
    <row r="16" spans="1:8" ht="36" hidden="1" x14ac:dyDescent="0.2">
      <c r="A16" s="256" t="s">
        <v>2712</v>
      </c>
      <c r="B16" s="257">
        <v>20196.64</v>
      </c>
      <c r="C16" s="258"/>
      <c r="D16" s="258"/>
      <c r="E16" s="258"/>
      <c r="F16" s="257">
        <v>20196.64</v>
      </c>
      <c r="G16" s="258"/>
    </row>
    <row r="17" spans="1:8" ht="36" x14ac:dyDescent="0.2">
      <c r="A17" s="256" t="s">
        <v>2713</v>
      </c>
      <c r="B17" s="257">
        <v>21004.51</v>
      </c>
      <c r="C17" s="258"/>
      <c r="D17" s="257">
        <v>122391.18</v>
      </c>
      <c r="E17" s="257">
        <v>143395.69</v>
      </c>
      <c r="F17" s="258"/>
      <c r="G17" s="258"/>
      <c r="H17">
        <v>180</v>
      </c>
    </row>
    <row r="18" spans="1:8" ht="36" x14ac:dyDescent="0.2">
      <c r="A18" s="256" t="s">
        <v>2714</v>
      </c>
      <c r="B18" s="257">
        <v>22813.32</v>
      </c>
      <c r="C18" s="258"/>
      <c r="D18" s="257">
        <v>189655.45</v>
      </c>
      <c r="E18" s="257">
        <v>212468.77</v>
      </c>
      <c r="F18" s="258"/>
      <c r="G18" s="258"/>
      <c r="H18">
        <v>180</v>
      </c>
    </row>
    <row r="19" spans="1:8" ht="24" x14ac:dyDescent="0.2">
      <c r="A19" s="256" t="s">
        <v>2715</v>
      </c>
      <c r="B19" s="257">
        <v>40267.72</v>
      </c>
      <c r="C19" s="258"/>
      <c r="D19" s="257">
        <v>411478.5</v>
      </c>
      <c r="E19" s="257">
        <v>451746.22</v>
      </c>
      <c r="F19" s="258"/>
      <c r="G19" s="258"/>
      <c r="H19">
        <v>180</v>
      </c>
    </row>
    <row r="20" spans="1:8" ht="36" x14ac:dyDescent="0.2">
      <c r="A20" s="256" t="s">
        <v>2773</v>
      </c>
      <c r="B20" s="257">
        <v>63249.31</v>
      </c>
      <c r="C20" s="258"/>
      <c r="D20" s="257">
        <v>56544.800000000003</v>
      </c>
      <c r="E20" s="257">
        <v>119794.11</v>
      </c>
      <c r="F20" s="258"/>
      <c r="G20" s="258"/>
    </row>
    <row r="21" spans="1:8" ht="36" x14ac:dyDescent="0.2">
      <c r="A21" s="256" t="s">
        <v>2716</v>
      </c>
      <c r="B21" s="258"/>
      <c r="C21" s="258"/>
      <c r="D21" s="257">
        <v>228281.02</v>
      </c>
      <c r="E21" s="257">
        <v>228281.02</v>
      </c>
      <c r="F21" s="258"/>
      <c r="G21" s="258"/>
      <c r="H21">
        <v>180</v>
      </c>
    </row>
    <row r="22" spans="1:8" ht="36" hidden="1" x14ac:dyDescent="0.2">
      <c r="A22" s="256" t="s">
        <v>2717</v>
      </c>
      <c r="B22" s="258"/>
      <c r="C22" s="258"/>
      <c r="D22" s="257">
        <v>22120.76</v>
      </c>
      <c r="E22" s="258"/>
      <c r="F22" s="257">
        <v>22120.76</v>
      </c>
      <c r="G22" s="258"/>
    </row>
    <row r="23" spans="1:8" ht="36" hidden="1" x14ac:dyDescent="0.2">
      <c r="A23" s="256" t="s">
        <v>2718</v>
      </c>
      <c r="B23" s="258"/>
      <c r="C23" s="258"/>
      <c r="D23" s="259">
        <v>933.19</v>
      </c>
      <c r="E23" s="258"/>
      <c r="F23" s="259">
        <v>933.19</v>
      </c>
      <c r="G23" s="258"/>
    </row>
    <row r="24" spans="1:8" ht="36" hidden="1" x14ac:dyDescent="0.2">
      <c r="A24" s="256" t="s">
        <v>2719</v>
      </c>
      <c r="B24" s="258"/>
      <c r="C24" s="258"/>
      <c r="D24" s="257">
        <v>7201.88</v>
      </c>
      <c r="E24" s="258"/>
      <c r="F24" s="257">
        <v>7201.88</v>
      </c>
      <c r="G24" s="258"/>
    </row>
    <row r="25" spans="1:8" ht="36" hidden="1" x14ac:dyDescent="0.2">
      <c r="A25" s="256" t="s">
        <v>2720</v>
      </c>
      <c r="B25" s="258"/>
      <c r="C25" s="258"/>
      <c r="D25" s="257">
        <v>22120.76</v>
      </c>
      <c r="E25" s="258"/>
      <c r="F25" s="257">
        <v>22120.76</v>
      </c>
      <c r="G25" s="258"/>
    </row>
    <row r="26" spans="1:8" ht="36" hidden="1" x14ac:dyDescent="0.2">
      <c r="A26" s="256" t="s">
        <v>2721</v>
      </c>
      <c r="B26" s="258"/>
      <c r="C26" s="258"/>
      <c r="D26" s="257">
        <v>20411.95</v>
      </c>
      <c r="E26" s="258"/>
      <c r="F26" s="257">
        <v>20411.95</v>
      </c>
      <c r="G26" s="258"/>
    </row>
    <row r="27" spans="1:8" ht="36" hidden="1" x14ac:dyDescent="0.2">
      <c r="A27" s="256" t="s">
        <v>2722</v>
      </c>
      <c r="B27" s="258"/>
      <c r="C27" s="258"/>
      <c r="D27" s="257">
        <v>25112.51</v>
      </c>
      <c r="E27" s="258"/>
      <c r="F27" s="257">
        <v>25112.51</v>
      </c>
      <c r="G27" s="258"/>
    </row>
    <row r="28" spans="1:8" ht="36" hidden="1" x14ac:dyDescent="0.2">
      <c r="A28" s="256" t="s">
        <v>2723</v>
      </c>
      <c r="B28" s="258"/>
      <c r="C28" s="258"/>
      <c r="D28" s="257">
        <v>21228.13</v>
      </c>
      <c r="E28" s="258"/>
      <c r="F28" s="257">
        <v>21228.13</v>
      </c>
      <c r="G28" s="258"/>
    </row>
    <row r="29" spans="1:8" ht="36" hidden="1" x14ac:dyDescent="0.2">
      <c r="A29" s="256" t="s">
        <v>2724</v>
      </c>
      <c r="B29" s="258"/>
      <c r="C29" s="258"/>
      <c r="D29" s="257">
        <v>24323.4</v>
      </c>
      <c r="E29" s="258"/>
      <c r="F29" s="257">
        <v>24323.4</v>
      </c>
      <c r="G29" s="258"/>
    </row>
    <row r="30" spans="1:8" ht="36" hidden="1" x14ac:dyDescent="0.2">
      <c r="A30" s="256" t="s">
        <v>2725</v>
      </c>
      <c r="B30" s="258"/>
      <c r="C30" s="258"/>
      <c r="D30" s="257">
        <v>10724.08</v>
      </c>
      <c r="E30" s="258"/>
      <c r="F30" s="257">
        <v>10724.08</v>
      </c>
      <c r="G30" s="258"/>
    </row>
    <row r="31" spans="1:8" ht="36" hidden="1" x14ac:dyDescent="0.2">
      <c r="A31" s="256" t="s">
        <v>2726</v>
      </c>
      <c r="B31" s="258"/>
      <c r="C31" s="258"/>
      <c r="D31" s="257">
        <v>47164.28</v>
      </c>
      <c r="E31" s="258"/>
      <c r="F31" s="257">
        <v>47164.28</v>
      </c>
      <c r="G31" s="258"/>
    </row>
    <row r="32" spans="1:8" ht="36" hidden="1" x14ac:dyDescent="0.2">
      <c r="A32" s="256" t="s">
        <v>2727</v>
      </c>
      <c r="B32" s="258"/>
      <c r="C32" s="258"/>
      <c r="D32" s="257">
        <v>1849.37</v>
      </c>
      <c r="E32" s="258"/>
      <c r="F32" s="257">
        <v>1849.37</v>
      </c>
      <c r="G32" s="258"/>
    </row>
    <row r="33" spans="1:8" ht="48" hidden="1" x14ac:dyDescent="0.2">
      <c r="A33" s="256" t="s">
        <v>2728</v>
      </c>
      <c r="B33" s="258"/>
      <c r="C33" s="258"/>
      <c r="D33" s="257">
        <v>5393.07</v>
      </c>
      <c r="E33" s="258"/>
      <c r="F33" s="257">
        <v>5393.07</v>
      </c>
      <c r="G33" s="258"/>
    </row>
    <row r="34" spans="1:8" ht="36" hidden="1" x14ac:dyDescent="0.2">
      <c r="A34" s="256" t="s">
        <v>2729</v>
      </c>
      <c r="B34" s="258"/>
      <c r="C34" s="258"/>
      <c r="D34" s="259">
        <v>933.19</v>
      </c>
      <c r="E34" s="258"/>
      <c r="F34" s="259">
        <v>933.19</v>
      </c>
      <c r="G34" s="258"/>
    </row>
    <row r="35" spans="1:8" ht="36" hidden="1" x14ac:dyDescent="0.2">
      <c r="A35" s="256" t="s">
        <v>2730</v>
      </c>
      <c r="B35" s="258"/>
      <c r="C35" s="258"/>
      <c r="D35" s="257">
        <v>27837.5</v>
      </c>
      <c r="E35" s="258"/>
      <c r="F35" s="257">
        <v>27837.5</v>
      </c>
      <c r="G35" s="258"/>
    </row>
    <row r="36" spans="1:8" ht="24" x14ac:dyDescent="0.2">
      <c r="A36" s="256" t="s">
        <v>2652</v>
      </c>
      <c r="B36" s="257">
        <v>33846.82</v>
      </c>
      <c r="C36" s="258"/>
      <c r="D36" s="257">
        <v>536268.19999999995</v>
      </c>
      <c r="E36" s="257">
        <v>570115.02</v>
      </c>
      <c r="F36" s="258"/>
      <c r="G36" s="258"/>
    </row>
    <row r="37" spans="1:8" ht="36" x14ac:dyDescent="0.2">
      <c r="A37" s="256" t="s">
        <v>2731</v>
      </c>
      <c r="B37" s="257">
        <v>104020.68</v>
      </c>
      <c r="C37" s="258"/>
      <c r="D37" s="257">
        <v>425616.34</v>
      </c>
      <c r="E37" s="257">
        <v>529637.02</v>
      </c>
      <c r="F37" s="258"/>
      <c r="G37" s="258"/>
      <c r="H37">
        <v>180</v>
      </c>
    </row>
    <row r="38" spans="1:8" ht="36" hidden="1" x14ac:dyDescent="0.2">
      <c r="A38" s="256" t="s">
        <v>2732</v>
      </c>
      <c r="B38" s="257">
        <v>19310.18</v>
      </c>
      <c r="C38" s="258"/>
      <c r="D38" s="258"/>
      <c r="E38" s="258"/>
      <c r="F38" s="257">
        <v>19310.18</v>
      </c>
      <c r="G38" s="258"/>
    </row>
    <row r="39" spans="1:8" ht="36" x14ac:dyDescent="0.2">
      <c r="A39" s="256" t="s">
        <v>2774</v>
      </c>
      <c r="B39" s="257">
        <v>252499.92</v>
      </c>
      <c r="C39" s="258"/>
      <c r="D39" s="257">
        <v>146277.37</v>
      </c>
      <c r="E39" s="257">
        <v>398777.29</v>
      </c>
      <c r="F39" s="258"/>
      <c r="G39" s="258"/>
    </row>
    <row r="40" spans="1:8" ht="36" x14ac:dyDescent="0.2">
      <c r="A40" s="256" t="s">
        <v>2662</v>
      </c>
      <c r="B40" s="257">
        <v>77329.05</v>
      </c>
      <c r="C40" s="258"/>
      <c r="D40" s="257">
        <v>360193.28000000003</v>
      </c>
      <c r="E40" s="257">
        <v>437522.33</v>
      </c>
      <c r="F40" s="258"/>
      <c r="G40" s="258"/>
    </row>
    <row r="41" spans="1:8" ht="48" hidden="1" x14ac:dyDescent="0.2">
      <c r="A41" s="256" t="s">
        <v>2733</v>
      </c>
      <c r="B41" s="257">
        <v>1248249.99</v>
      </c>
      <c r="C41" s="258"/>
      <c r="D41" s="258"/>
      <c r="E41" s="258"/>
      <c r="F41" s="257">
        <v>1248249.99</v>
      </c>
      <c r="G41" s="258"/>
    </row>
    <row r="42" spans="1:8" ht="36" hidden="1" x14ac:dyDescent="0.2">
      <c r="A42" s="256" t="s">
        <v>2734</v>
      </c>
      <c r="B42" s="258"/>
      <c r="C42" s="258"/>
      <c r="D42" s="257">
        <v>14946.54</v>
      </c>
      <c r="E42" s="258"/>
      <c r="F42" s="257">
        <v>14946.54</v>
      </c>
      <c r="G42" s="258"/>
    </row>
    <row r="43" spans="1:8" ht="48" hidden="1" x14ac:dyDescent="0.2">
      <c r="A43" s="256" t="s">
        <v>2735</v>
      </c>
      <c r="B43" s="257">
        <v>63435.39</v>
      </c>
      <c r="C43" s="258"/>
      <c r="D43" s="257">
        <v>13712.99</v>
      </c>
      <c r="E43" s="258"/>
      <c r="F43" s="257">
        <v>77148.38</v>
      </c>
      <c r="G43" s="258"/>
    </row>
    <row r="44" spans="1:8" ht="24" x14ac:dyDescent="0.2">
      <c r="A44" s="256" t="s">
        <v>2649</v>
      </c>
      <c r="B44" s="257">
        <v>168129.87</v>
      </c>
      <c r="C44" s="258"/>
      <c r="D44" s="257">
        <v>199269.43</v>
      </c>
      <c r="E44" s="257">
        <v>367399.3</v>
      </c>
      <c r="F44" s="258"/>
      <c r="G44" s="258"/>
    </row>
    <row r="45" spans="1:8" ht="36" x14ac:dyDescent="0.2">
      <c r="A45" s="256" t="s">
        <v>2660</v>
      </c>
      <c r="B45" s="257">
        <v>39100.089999999997</v>
      </c>
      <c r="C45" s="258"/>
      <c r="D45" s="257">
        <v>222242.87</v>
      </c>
      <c r="E45" s="257">
        <v>261342.96</v>
      </c>
      <c r="F45" s="258"/>
      <c r="G45" s="258"/>
    </row>
    <row r="46" spans="1:8" ht="36" x14ac:dyDescent="0.2">
      <c r="A46" s="256" t="s">
        <v>2736</v>
      </c>
      <c r="B46" s="257">
        <v>114433.26</v>
      </c>
      <c r="C46" s="258"/>
      <c r="D46" s="257">
        <v>249577.9</v>
      </c>
      <c r="E46" s="257">
        <v>364011.16</v>
      </c>
      <c r="F46" s="258"/>
      <c r="G46" s="258"/>
      <c r="H46">
        <v>180</v>
      </c>
    </row>
    <row r="47" spans="1:8" ht="12" hidden="1" x14ac:dyDescent="0.2">
      <c r="A47" s="256" t="s">
        <v>2737</v>
      </c>
      <c r="B47" s="257">
        <v>608000</v>
      </c>
      <c r="C47" s="258"/>
      <c r="D47" s="258"/>
      <c r="E47" s="258"/>
      <c r="F47" s="257">
        <v>608000</v>
      </c>
      <c r="G47" s="258"/>
    </row>
    <row r="48" spans="1:8" ht="36" hidden="1" x14ac:dyDescent="0.2">
      <c r="A48" s="256" t="s">
        <v>2738</v>
      </c>
      <c r="B48" s="257">
        <v>78423.86</v>
      </c>
      <c r="C48" s="258"/>
      <c r="D48" s="257">
        <v>575542.82999999996</v>
      </c>
      <c r="E48" s="258"/>
      <c r="F48" s="257">
        <v>653966.68999999994</v>
      </c>
      <c r="G48" s="258"/>
    </row>
    <row r="49" spans="1:7" ht="24" x14ac:dyDescent="0.2">
      <c r="A49" s="256" t="s">
        <v>2739</v>
      </c>
      <c r="B49" s="257">
        <v>22005.45</v>
      </c>
      <c r="C49" s="258"/>
      <c r="D49" s="257">
        <v>1218014.1599999999</v>
      </c>
      <c r="E49" s="257">
        <v>1240019.6100000001</v>
      </c>
      <c r="F49" s="258"/>
      <c r="G49" s="258">
        <v>1994</v>
      </c>
    </row>
    <row r="50" spans="1:7" ht="36" hidden="1" x14ac:dyDescent="0.2">
      <c r="A50" s="256" t="s">
        <v>2740</v>
      </c>
      <c r="B50" s="257">
        <v>39498.97</v>
      </c>
      <c r="C50" s="258"/>
      <c r="D50" s="257">
        <v>323847.88</v>
      </c>
      <c r="E50" s="258"/>
      <c r="F50" s="257">
        <v>363346.85</v>
      </c>
      <c r="G50" s="258"/>
    </row>
    <row r="51" spans="1:7" ht="24" hidden="1" x14ac:dyDescent="0.2">
      <c r="A51" s="256" t="s">
        <v>2741</v>
      </c>
      <c r="B51" s="257">
        <v>3549.87</v>
      </c>
      <c r="C51" s="258"/>
      <c r="D51" s="257">
        <v>95463.42</v>
      </c>
      <c r="E51" s="258"/>
      <c r="F51" s="257">
        <v>99013.29</v>
      </c>
      <c r="G51" s="258"/>
    </row>
    <row r="52" spans="1:7" ht="36" hidden="1" x14ac:dyDescent="0.2">
      <c r="A52" s="256" t="s">
        <v>2742</v>
      </c>
      <c r="B52" s="257">
        <v>3549.87</v>
      </c>
      <c r="C52" s="258"/>
      <c r="D52" s="257">
        <v>18387.89</v>
      </c>
      <c r="E52" s="258"/>
      <c r="F52" s="257">
        <v>21937.759999999998</v>
      </c>
      <c r="G52" s="258"/>
    </row>
    <row r="53" spans="1:7" ht="48" hidden="1" x14ac:dyDescent="0.2">
      <c r="A53" s="256" t="s">
        <v>2743</v>
      </c>
      <c r="B53" s="257">
        <v>92286.59</v>
      </c>
      <c r="C53" s="258"/>
      <c r="D53" s="257">
        <v>238207.13</v>
      </c>
      <c r="E53" s="258"/>
      <c r="F53" s="257">
        <v>330493.71999999997</v>
      </c>
      <c r="G53" s="258"/>
    </row>
    <row r="54" spans="1:7" ht="36" hidden="1" x14ac:dyDescent="0.2">
      <c r="A54" s="256" t="s">
        <v>2744</v>
      </c>
      <c r="B54" s="258"/>
      <c r="C54" s="258"/>
      <c r="D54" s="257">
        <v>36775.769999999997</v>
      </c>
      <c r="E54" s="258"/>
      <c r="F54" s="257">
        <v>36775.769999999997</v>
      </c>
      <c r="G54" s="258"/>
    </row>
    <row r="55" spans="1:7" ht="36" hidden="1" x14ac:dyDescent="0.2">
      <c r="A55" s="256" t="s">
        <v>2745</v>
      </c>
      <c r="B55" s="257">
        <v>526676.92000000004</v>
      </c>
      <c r="C55" s="258"/>
      <c r="D55" s="258"/>
      <c r="E55" s="258"/>
      <c r="F55" s="257">
        <v>526676.92000000004</v>
      </c>
      <c r="G55" s="258"/>
    </row>
    <row r="56" spans="1:7" ht="36" hidden="1" x14ac:dyDescent="0.2">
      <c r="A56" s="256" t="s">
        <v>2746</v>
      </c>
      <c r="B56" s="257">
        <v>623333.32999999996</v>
      </c>
      <c r="C56" s="258"/>
      <c r="D56" s="258"/>
      <c r="E56" s="258"/>
      <c r="F56" s="257">
        <v>623333.32999999996</v>
      </c>
      <c r="G56" s="258"/>
    </row>
    <row r="57" spans="1:7" ht="24" hidden="1" x14ac:dyDescent="0.2">
      <c r="A57" s="256" t="s">
        <v>2747</v>
      </c>
      <c r="B57" s="257">
        <v>4281804.17</v>
      </c>
      <c r="C57" s="258"/>
      <c r="D57" s="258"/>
      <c r="E57" s="258"/>
      <c r="F57" s="257">
        <v>4281804.17</v>
      </c>
      <c r="G57" s="258"/>
    </row>
    <row r="58" spans="1:7" ht="36" hidden="1" x14ac:dyDescent="0.2">
      <c r="A58" s="256" t="s">
        <v>2748</v>
      </c>
      <c r="B58" s="257">
        <v>384666.7</v>
      </c>
      <c r="C58" s="258"/>
      <c r="D58" s="258"/>
      <c r="E58" s="258"/>
      <c r="F58" s="257">
        <v>384666.7</v>
      </c>
      <c r="G58" s="258"/>
    </row>
    <row r="59" spans="1:7" ht="24" hidden="1" x14ac:dyDescent="0.2">
      <c r="A59" s="256" t="s">
        <v>2749</v>
      </c>
      <c r="B59" s="257">
        <v>465277.88</v>
      </c>
      <c r="C59" s="258"/>
      <c r="D59" s="258"/>
      <c r="E59" s="258"/>
      <c r="F59" s="257">
        <v>465277.88</v>
      </c>
      <c r="G59" s="258"/>
    </row>
    <row r="60" spans="1:7" ht="24" hidden="1" x14ac:dyDescent="0.2">
      <c r="A60" s="256" t="s">
        <v>2750</v>
      </c>
      <c r="B60" s="257">
        <v>1388151</v>
      </c>
      <c r="C60" s="258"/>
      <c r="D60" s="258"/>
      <c r="E60" s="258"/>
      <c r="F60" s="257">
        <v>1388151</v>
      </c>
      <c r="G60" s="258"/>
    </row>
    <row r="61" spans="1:7" ht="36" x14ac:dyDescent="0.2">
      <c r="A61" s="256" t="s">
        <v>2646</v>
      </c>
      <c r="B61" s="257">
        <v>104195.27</v>
      </c>
      <c r="C61" s="258"/>
      <c r="D61" s="257">
        <v>3601.85</v>
      </c>
      <c r="E61" s="257">
        <v>107797.12</v>
      </c>
      <c r="F61" s="258"/>
      <c r="G61" s="258"/>
    </row>
    <row r="62" spans="1:7" ht="48" hidden="1" x14ac:dyDescent="0.2">
      <c r="A62" s="256" t="s">
        <v>2751</v>
      </c>
      <c r="B62" s="257">
        <v>67537.649999999994</v>
      </c>
      <c r="C62" s="258"/>
      <c r="D62" s="257">
        <v>6718.74</v>
      </c>
      <c r="E62" s="258"/>
      <c r="F62" s="257">
        <v>74256.39</v>
      </c>
      <c r="G62" s="258"/>
    </row>
    <row r="63" spans="1:7" ht="36" hidden="1" x14ac:dyDescent="0.2">
      <c r="A63" s="256" t="s">
        <v>2752</v>
      </c>
      <c r="B63" s="257">
        <v>98897.38</v>
      </c>
      <c r="C63" s="258"/>
      <c r="D63" s="258"/>
      <c r="E63" s="258"/>
      <c r="F63" s="257">
        <v>98897.38</v>
      </c>
      <c r="G63" s="258"/>
    </row>
    <row r="64" spans="1:7" ht="48" hidden="1" x14ac:dyDescent="0.2">
      <c r="A64" s="256" t="s">
        <v>2753</v>
      </c>
      <c r="B64" s="257">
        <v>6313845.9000000004</v>
      </c>
      <c r="C64" s="258"/>
      <c r="D64" s="257">
        <v>65707.460000000006</v>
      </c>
      <c r="E64" s="258"/>
      <c r="F64" s="257">
        <v>6379553.3600000003</v>
      </c>
      <c r="G64" s="258"/>
    </row>
    <row r="65" spans="1:8" ht="24" hidden="1" x14ac:dyDescent="0.2">
      <c r="A65" s="256" t="s">
        <v>1291</v>
      </c>
      <c r="B65" s="257">
        <v>106573094.62</v>
      </c>
      <c r="C65" s="258"/>
      <c r="D65" s="258"/>
      <c r="E65" s="258"/>
      <c r="F65" s="257">
        <v>106573094.62</v>
      </c>
      <c r="G65" s="258"/>
    </row>
    <row r="66" spans="1:8" ht="24" hidden="1" x14ac:dyDescent="0.2">
      <c r="A66" s="256" t="s">
        <v>2754</v>
      </c>
      <c r="B66" s="257">
        <v>6178262.2800000003</v>
      </c>
      <c r="C66" s="258"/>
      <c r="D66" s="258"/>
      <c r="E66" s="258"/>
      <c r="F66" s="257">
        <v>6178262.2800000003</v>
      </c>
      <c r="G66" s="258"/>
    </row>
    <row r="67" spans="1:8" ht="48" hidden="1" x14ac:dyDescent="0.2">
      <c r="A67" s="256" t="s">
        <v>2755</v>
      </c>
      <c r="B67" s="257">
        <v>85828.36</v>
      </c>
      <c r="C67" s="258"/>
      <c r="D67" s="258"/>
      <c r="E67" s="258"/>
      <c r="F67" s="257">
        <v>85828.36</v>
      </c>
      <c r="G67" s="258"/>
    </row>
    <row r="68" spans="1:8" ht="24" hidden="1" x14ac:dyDescent="0.2">
      <c r="A68" s="256" t="s">
        <v>2756</v>
      </c>
      <c r="B68" s="257">
        <v>219491.53</v>
      </c>
      <c r="C68" s="258"/>
      <c r="D68" s="258"/>
      <c r="E68" s="258"/>
      <c r="F68" s="257">
        <v>219491.53</v>
      </c>
      <c r="G68" s="258"/>
    </row>
    <row r="69" spans="1:8" ht="48" hidden="1" x14ac:dyDescent="0.2">
      <c r="A69" s="256" t="s">
        <v>2757</v>
      </c>
      <c r="B69" s="257">
        <v>3241365.69</v>
      </c>
      <c r="C69" s="258"/>
      <c r="D69" s="258"/>
      <c r="E69" s="258"/>
      <c r="F69" s="257">
        <v>3241365.69</v>
      </c>
      <c r="G69" s="258"/>
    </row>
    <row r="70" spans="1:8" ht="24" hidden="1" x14ac:dyDescent="0.2">
      <c r="A70" s="256" t="s">
        <v>2758</v>
      </c>
      <c r="B70" s="257">
        <v>1855564.14</v>
      </c>
      <c r="C70" s="258"/>
      <c r="D70" s="258"/>
      <c r="E70" s="258"/>
      <c r="F70" s="257">
        <v>1855564.14</v>
      </c>
      <c r="G70" s="258"/>
    </row>
    <row r="71" spans="1:8" ht="48" hidden="1" x14ac:dyDescent="0.2">
      <c r="A71" s="256" t="s">
        <v>2759</v>
      </c>
      <c r="B71" s="257">
        <v>303154.63</v>
      </c>
      <c r="C71" s="258"/>
      <c r="D71" s="257">
        <v>313919.40000000002</v>
      </c>
      <c r="E71" s="258"/>
      <c r="F71" s="257">
        <v>617074.03</v>
      </c>
      <c r="G71" s="258"/>
    </row>
    <row r="72" spans="1:8" ht="48" x14ac:dyDescent="0.2">
      <c r="A72" s="256" t="s">
        <v>2760</v>
      </c>
      <c r="B72" s="257">
        <v>23072883.719999999</v>
      </c>
      <c r="C72" s="258"/>
      <c r="D72" s="257">
        <v>13117126.800000001</v>
      </c>
      <c r="E72" s="257">
        <v>36190010.520000003</v>
      </c>
      <c r="F72" s="258"/>
      <c r="G72" s="258"/>
      <c r="H72">
        <v>180</v>
      </c>
    </row>
    <row r="73" spans="1:8" ht="48" hidden="1" x14ac:dyDescent="0.2">
      <c r="A73" s="256" t="s">
        <v>2761</v>
      </c>
      <c r="B73" s="257">
        <v>28745.68</v>
      </c>
      <c r="C73" s="258"/>
      <c r="D73" s="257">
        <v>201289.69</v>
      </c>
      <c r="E73" s="258"/>
      <c r="F73" s="257">
        <v>230035.37</v>
      </c>
      <c r="G73" s="258"/>
    </row>
    <row r="74" spans="1:8" s="266" customFormat="1" ht="48" x14ac:dyDescent="0.2">
      <c r="A74" s="278" t="s">
        <v>2762</v>
      </c>
      <c r="B74" s="279">
        <v>448175.88</v>
      </c>
      <c r="C74" s="280"/>
      <c r="D74" s="279">
        <v>1102818.6000000001</v>
      </c>
      <c r="E74" s="279">
        <v>1550994.48</v>
      </c>
      <c r="F74" s="280"/>
      <c r="G74" s="280"/>
    </row>
    <row r="75" spans="1:8" ht="48" hidden="1" x14ac:dyDescent="0.2">
      <c r="A75" s="256" t="s">
        <v>2763</v>
      </c>
      <c r="B75" s="257">
        <v>45080.03</v>
      </c>
      <c r="C75" s="258"/>
      <c r="D75" s="257">
        <v>824461.19</v>
      </c>
      <c r="E75" s="258"/>
      <c r="F75" s="257">
        <v>869541.22</v>
      </c>
      <c r="G75" s="258"/>
    </row>
    <row r="76" spans="1:8" ht="36" hidden="1" x14ac:dyDescent="0.2">
      <c r="A76" s="256" t="s">
        <v>2764</v>
      </c>
      <c r="B76" s="257">
        <v>1000690.61</v>
      </c>
      <c r="C76" s="258"/>
      <c r="D76" s="257">
        <v>22072.02</v>
      </c>
      <c r="E76" s="258"/>
      <c r="F76" s="257">
        <v>1022762.63</v>
      </c>
      <c r="G76" s="258"/>
    </row>
    <row r="77" spans="1:8" s="266" customFormat="1" ht="48" x14ac:dyDescent="0.2">
      <c r="A77" s="278" t="s">
        <v>2765</v>
      </c>
      <c r="B77" s="279">
        <v>1510706.93</v>
      </c>
      <c r="C77" s="280"/>
      <c r="D77" s="279">
        <v>17414472.989999998</v>
      </c>
      <c r="E77" s="279">
        <v>18925179.920000002</v>
      </c>
      <c r="F77" s="280"/>
      <c r="G77" s="280"/>
    </row>
    <row r="78" spans="1:8" ht="48" hidden="1" x14ac:dyDescent="0.2">
      <c r="A78" s="256" t="s">
        <v>2766</v>
      </c>
      <c r="B78" s="257">
        <v>1963606.79</v>
      </c>
      <c r="C78" s="258"/>
      <c r="D78" s="258"/>
      <c r="E78" s="258"/>
      <c r="F78" s="257">
        <v>1963606.79</v>
      </c>
      <c r="G78" s="258"/>
    </row>
    <row r="79" spans="1:8" ht="36" hidden="1" x14ac:dyDescent="0.2">
      <c r="A79" s="256" t="s">
        <v>2767</v>
      </c>
      <c r="B79" s="257">
        <v>1109475.43</v>
      </c>
      <c r="C79" s="258"/>
      <c r="D79" s="258"/>
      <c r="E79" s="258"/>
      <c r="F79" s="257">
        <v>1109475.43</v>
      </c>
      <c r="G79" s="258"/>
    </row>
    <row r="80" spans="1:8" ht="48" x14ac:dyDescent="0.2">
      <c r="A80" s="256" t="s">
        <v>2768</v>
      </c>
      <c r="B80" s="258"/>
      <c r="C80" s="258"/>
      <c r="D80" s="257">
        <v>56048.33</v>
      </c>
      <c r="E80" s="257">
        <v>56048.33</v>
      </c>
      <c r="F80" s="258"/>
      <c r="G80" s="258"/>
    </row>
    <row r="81" spans="1:11" ht="48" x14ac:dyDescent="0.2">
      <c r="A81" s="256" t="s">
        <v>2679</v>
      </c>
      <c r="B81" s="258"/>
      <c r="C81" s="258"/>
      <c r="D81" s="257">
        <v>143600.45000000001</v>
      </c>
      <c r="E81" s="257">
        <v>143600.45000000001</v>
      </c>
      <c r="F81" s="258"/>
      <c r="G81" s="258"/>
    </row>
    <row r="82" spans="1:11" ht="36" hidden="1" x14ac:dyDescent="0.2">
      <c r="A82" s="256" t="s">
        <v>2769</v>
      </c>
      <c r="B82" s="258"/>
      <c r="C82" s="258"/>
      <c r="D82" s="257">
        <v>12502.32</v>
      </c>
      <c r="E82" s="258"/>
      <c r="F82" s="257">
        <v>12502.32</v>
      </c>
      <c r="G82" s="258"/>
    </row>
    <row r="83" spans="1:11" ht="12.75" x14ac:dyDescent="0.2">
      <c r="A83" s="260" t="s">
        <v>129</v>
      </c>
      <c r="B83" s="261">
        <v>165265221.69</v>
      </c>
      <c r="C83" s="262"/>
      <c r="D83" s="261">
        <v>40225937.109999999</v>
      </c>
      <c r="E83" s="261">
        <v>63493156.960000001</v>
      </c>
      <c r="F83" s="261">
        <v>141998001.84</v>
      </c>
      <c r="G83" s="262"/>
    </row>
    <row r="84" spans="1:11" x14ac:dyDescent="0.2">
      <c r="A84" s="246"/>
      <c r="B84" s="246"/>
      <c r="C84" s="246"/>
      <c r="D84" s="246"/>
      <c r="E84" s="246"/>
      <c r="F84" s="246"/>
      <c r="G84" s="246"/>
    </row>
    <row r="85" spans="1:11" x14ac:dyDescent="0.2">
      <c r="A85" s="246"/>
      <c r="B85" s="246"/>
      <c r="C85" s="246"/>
      <c r="D85" s="246"/>
      <c r="E85" s="246"/>
      <c r="F85" s="246"/>
      <c r="G85" s="246"/>
    </row>
    <row r="86" spans="1:11" x14ac:dyDescent="0.2">
      <c r="A86" s="246"/>
      <c r="B86" s="246"/>
      <c r="C86" s="246"/>
      <c r="D86" s="246"/>
      <c r="E86" s="246"/>
      <c r="F86" s="246"/>
      <c r="G86" s="246"/>
    </row>
    <row r="87" spans="1:11" x14ac:dyDescent="0.2">
      <c r="A87" s="246"/>
      <c r="B87" s="246"/>
      <c r="C87" s="246"/>
      <c r="D87" s="246"/>
      <c r="E87" s="246"/>
      <c r="F87" s="246"/>
      <c r="G87" s="246"/>
    </row>
    <row r="88" spans="1:11" s="266" customFormat="1" x14ac:dyDescent="0.2">
      <c r="A88" s="283" t="s">
        <v>84</v>
      </c>
      <c r="B88" s="283">
        <v>1992</v>
      </c>
      <c r="C88" s="283"/>
      <c r="D88" s="283"/>
      <c r="E88" s="284">
        <v>890590.53</v>
      </c>
      <c r="F88" s="283"/>
      <c r="G88" s="283"/>
      <c r="H88" s="266">
        <v>300</v>
      </c>
      <c r="K88" s="284">
        <f>E88/H88</f>
        <v>2968.6351</v>
      </c>
    </row>
    <row r="89" spans="1:11" s="266" customFormat="1" x14ac:dyDescent="0.2">
      <c r="A89" s="283" t="s">
        <v>2781</v>
      </c>
      <c r="B89" s="283">
        <v>1993</v>
      </c>
      <c r="C89" s="283"/>
      <c r="D89" s="283"/>
      <c r="E89" s="284">
        <v>660403.94999999995</v>
      </c>
      <c r="F89" s="283"/>
      <c r="G89" s="283"/>
      <c r="H89" s="266">
        <v>180</v>
      </c>
      <c r="K89" s="284">
        <f>E89/H89</f>
        <v>3668.9108333333329</v>
      </c>
    </row>
    <row r="90" spans="1:11" s="266" customFormat="1" x14ac:dyDescent="0.2">
      <c r="A90" s="283"/>
      <c r="B90" s="283"/>
      <c r="C90" s="283"/>
      <c r="D90" s="283"/>
      <c r="E90" s="283"/>
      <c r="F90" s="283"/>
      <c r="G90" s="283"/>
    </row>
    <row r="91" spans="1:11" s="266" customFormat="1" x14ac:dyDescent="0.2">
      <c r="A91" s="283" t="s">
        <v>2782</v>
      </c>
      <c r="B91" s="283"/>
      <c r="C91" s="283"/>
      <c r="D91" s="283"/>
      <c r="E91" s="284">
        <f>SUBTOTAL(9,E88:E90)</f>
        <v>1550994.48</v>
      </c>
      <c r="F91" s="284">
        <f>E74-E91</f>
        <v>0</v>
      </c>
      <c r="G91" s="283"/>
    </row>
    <row r="92" spans="1:11" s="266" customFormat="1" x14ac:dyDescent="0.2">
      <c r="A92" s="283"/>
      <c r="B92" s="283"/>
      <c r="C92" s="283"/>
      <c r="D92" s="283"/>
      <c r="E92" s="283"/>
      <c r="F92" s="283"/>
      <c r="G92" s="283"/>
    </row>
    <row r="93" spans="1:11" x14ac:dyDescent="0.2">
      <c r="A93" s="246"/>
      <c r="B93" s="246"/>
      <c r="C93" s="246"/>
      <c r="D93" s="246"/>
      <c r="E93" s="246"/>
      <c r="F93" s="246"/>
      <c r="G93" s="246"/>
    </row>
    <row r="94" spans="1:11" x14ac:dyDescent="0.2">
      <c r="A94" s="246"/>
      <c r="B94" s="246"/>
      <c r="C94" s="246"/>
      <c r="D94" s="246"/>
      <c r="E94" s="246"/>
      <c r="F94" s="246"/>
      <c r="G94" s="246"/>
    </row>
    <row r="95" spans="1:11" x14ac:dyDescent="0.2">
      <c r="A95" s="246"/>
      <c r="B95" s="246"/>
      <c r="C95" s="246"/>
      <c r="D95" s="246"/>
      <c r="E95" s="246"/>
      <c r="F95" s="246"/>
      <c r="G95" s="246"/>
    </row>
    <row r="96" spans="1:11" x14ac:dyDescent="0.2">
      <c r="A96" s="246"/>
      <c r="B96" s="246"/>
      <c r="C96" s="246"/>
      <c r="D96" s="246"/>
      <c r="E96" s="246"/>
      <c r="F96" s="246"/>
      <c r="G96" s="246"/>
    </row>
    <row r="97" spans="1:11" s="266" customFormat="1" x14ac:dyDescent="0.2">
      <c r="A97" s="283" t="s">
        <v>2785</v>
      </c>
      <c r="B97" s="283">
        <v>1995</v>
      </c>
      <c r="C97" s="283"/>
      <c r="D97" s="283"/>
      <c r="E97" s="284">
        <v>9966580.6799999997</v>
      </c>
      <c r="F97" s="283"/>
      <c r="G97" s="283"/>
      <c r="H97" s="266">
        <v>300</v>
      </c>
      <c r="K97" s="284">
        <f>E97/H97</f>
        <v>33221.935599999997</v>
      </c>
    </row>
    <row r="98" spans="1:11" s="266" customFormat="1" x14ac:dyDescent="0.2">
      <c r="A98" s="283" t="s">
        <v>2786</v>
      </c>
      <c r="B98" s="283">
        <v>1996</v>
      </c>
      <c r="C98" s="283"/>
      <c r="D98" s="283"/>
      <c r="E98" s="284">
        <v>5529824.21</v>
      </c>
      <c r="F98" s="283"/>
      <c r="G98" s="283"/>
      <c r="H98" s="266">
        <v>180</v>
      </c>
      <c r="K98" s="284">
        <f>E98/H98</f>
        <v>30721.24561111111</v>
      </c>
    </row>
    <row r="99" spans="1:11" s="266" customFormat="1" x14ac:dyDescent="0.2">
      <c r="A99" s="283" t="s">
        <v>2787</v>
      </c>
      <c r="B99" s="283">
        <v>1997</v>
      </c>
      <c r="C99" s="283"/>
      <c r="D99" s="283"/>
      <c r="E99" s="284">
        <v>3428775.03</v>
      </c>
      <c r="F99" s="283"/>
      <c r="G99" s="283"/>
      <c r="H99" s="266">
        <v>180</v>
      </c>
      <c r="K99" s="284">
        <f>E99/H99</f>
        <v>19048.750166666665</v>
      </c>
    </row>
    <row r="100" spans="1:11" s="266" customFormat="1" x14ac:dyDescent="0.2">
      <c r="A100" s="283"/>
      <c r="B100" s="283"/>
      <c r="C100" s="283"/>
      <c r="D100" s="283"/>
      <c r="E100" s="283"/>
      <c r="F100" s="283"/>
      <c r="G100" s="283"/>
    </row>
    <row r="101" spans="1:11" s="266" customFormat="1" x14ac:dyDescent="0.2">
      <c r="A101" s="283" t="s">
        <v>2782</v>
      </c>
      <c r="B101" s="283"/>
      <c r="C101" s="283"/>
      <c r="D101" s="283"/>
      <c r="E101" s="284">
        <f>SUBTOTAL(9,E97:E100)</f>
        <v>18925179.920000002</v>
      </c>
      <c r="F101" s="284">
        <f>E77-E101</f>
        <v>0</v>
      </c>
      <c r="G101" s="283"/>
    </row>
    <row r="102" spans="1:11" s="266" customFormat="1" x14ac:dyDescent="0.2">
      <c r="A102" s="283"/>
      <c r="B102" s="283"/>
      <c r="C102" s="283"/>
      <c r="D102" s="283"/>
      <c r="E102" s="283"/>
      <c r="F102" s="283"/>
      <c r="G102" s="283"/>
    </row>
    <row r="103" spans="1:11" x14ac:dyDescent="0.2">
      <c r="A103" s="246"/>
      <c r="B103" s="246"/>
      <c r="C103" s="246"/>
      <c r="D103" s="246"/>
      <c r="E103" s="246"/>
      <c r="F103" s="246"/>
      <c r="G103" s="246"/>
    </row>
    <row r="104" spans="1:11" x14ac:dyDescent="0.2">
      <c r="A104" s="246"/>
      <c r="B104" s="246"/>
      <c r="C104" s="246"/>
      <c r="D104" s="246"/>
      <c r="E104" s="246"/>
      <c r="F104" s="246"/>
      <c r="G104" s="246"/>
    </row>
    <row r="105" spans="1:11" x14ac:dyDescent="0.2">
      <c r="A105" s="246"/>
      <c r="B105" s="246"/>
      <c r="C105" s="246"/>
      <c r="D105" s="246"/>
      <c r="E105" s="246"/>
      <c r="F105" s="246"/>
      <c r="G105" s="246"/>
    </row>
    <row r="106" spans="1:11" ht="36" x14ac:dyDescent="0.2">
      <c r="A106" s="285" t="s">
        <v>2738</v>
      </c>
      <c r="B106" s="286">
        <v>90926.18</v>
      </c>
      <c r="C106" s="287"/>
      <c r="D106" s="286">
        <v>563040.51</v>
      </c>
      <c r="E106" s="286">
        <v>653966.68999999994</v>
      </c>
      <c r="F106" s="287"/>
      <c r="G106" s="287">
        <v>1998</v>
      </c>
      <c r="H106">
        <v>180</v>
      </c>
      <c r="K106" s="7">
        <f>E106/H106</f>
        <v>3633.1482777777774</v>
      </c>
    </row>
    <row r="107" spans="1:11" ht="36" x14ac:dyDescent="0.2">
      <c r="A107" s="285" t="s">
        <v>2740</v>
      </c>
      <c r="B107" s="286">
        <v>39498.97</v>
      </c>
      <c r="C107" s="287"/>
      <c r="D107" s="286">
        <v>323847.88</v>
      </c>
      <c r="E107" s="286">
        <v>363346.85</v>
      </c>
      <c r="F107" s="287"/>
      <c r="G107" s="287">
        <v>1999</v>
      </c>
      <c r="H107">
        <v>180</v>
      </c>
      <c r="K107" s="7">
        <f>E107/H107</f>
        <v>2018.5936111111109</v>
      </c>
    </row>
    <row r="108" spans="1:11" ht="48" x14ac:dyDescent="0.2">
      <c r="A108" s="288" t="s">
        <v>2763</v>
      </c>
      <c r="B108" s="289">
        <v>184315.51999999999</v>
      </c>
      <c r="C108" s="290"/>
      <c r="D108" s="289">
        <v>713921.37</v>
      </c>
      <c r="E108" s="289">
        <v>898236.89</v>
      </c>
      <c r="F108" s="290"/>
      <c r="G108" s="290">
        <v>2000</v>
      </c>
      <c r="H108">
        <v>180</v>
      </c>
      <c r="K108" s="7">
        <f>E108/H108</f>
        <v>4990.2049444444447</v>
      </c>
    </row>
    <row r="109" spans="1:11" x14ac:dyDescent="0.2">
      <c r="A109" s="246"/>
      <c r="B109" s="246"/>
      <c r="C109" s="246"/>
      <c r="D109" s="246"/>
      <c r="E109" s="246"/>
      <c r="F109" s="246"/>
      <c r="G109" s="246"/>
    </row>
    <row r="110" spans="1:11" x14ac:dyDescent="0.2">
      <c r="A110" s="246"/>
      <c r="B110" s="246"/>
      <c r="C110" s="246"/>
      <c r="D110" s="246"/>
      <c r="E110" s="246"/>
      <c r="F110" s="246"/>
      <c r="G110" s="246"/>
    </row>
    <row r="111" spans="1:11" x14ac:dyDescent="0.2">
      <c r="A111" s="246"/>
      <c r="B111" s="246"/>
      <c r="C111" s="246"/>
      <c r="D111" s="246"/>
      <c r="E111" s="246"/>
      <c r="F111" s="246"/>
      <c r="G111" s="246"/>
    </row>
    <row r="112" spans="1:11" x14ac:dyDescent="0.2">
      <c r="A112" s="246"/>
      <c r="B112" s="246"/>
      <c r="C112" s="246"/>
      <c r="D112" s="246"/>
      <c r="E112" s="246"/>
      <c r="F112" s="246"/>
      <c r="G112" s="246"/>
    </row>
    <row r="113" spans="1:7" x14ac:dyDescent="0.2">
      <c r="A113" s="246"/>
      <c r="B113" s="246"/>
      <c r="C113" s="246"/>
      <c r="D113" s="246"/>
      <c r="E113" s="246"/>
      <c r="F113" s="246"/>
      <c r="G113" s="246"/>
    </row>
    <row r="114" spans="1:7" x14ac:dyDescent="0.2">
      <c r="A114" s="246"/>
      <c r="B114" s="246"/>
      <c r="C114" s="246"/>
      <c r="D114" s="246"/>
      <c r="E114" s="246"/>
      <c r="F114" s="246"/>
      <c r="G114" s="246"/>
    </row>
    <row r="115" spans="1:7" x14ac:dyDescent="0.2">
      <c r="A115" s="246"/>
      <c r="B115" s="246"/>
      <c r="C115" s="246"/>
      <c r="D115" s="246"/>
      <c r="E115" s="246"/>
      <c r="F115" s="246"/>
      <c r="G115" s="246"/>
    </row>
    <row r="116" spans="1:7" x14ac:dyDescent="0.2">
      <c r="A116" s="246"/>
      <c r="B116" s="246"/>
      <c r="C116" s="246"/>
      <c r="D116" s="246"/>
      <c r="E116" s="246"/>
      <c r="F116" s="246"/>
      <c r="G116" s="246"/>
    </row>
    <row r="117" spans="1:7" x14ac:dyDescent="0.2">
      <c r="A117" s="246"/>
      <c r="B117" s="246"/>
      <c r="C117" s="246"/>
      <c r="D117" s="246"/>
      <c r="E117" s="246"/>
      <c r="F117" s="246"/>
      <c r="G117" s="246"/>
    </row>
    <row r="118" spans="1:7" x14ac:dyDescent="0.2">
      <c r="A118" s="246"/>
      <c r="B118" s="246"/>
      <c r="C118" s="246"/>
      <c r="D118" s="246"/>
      <c r="E118" s="246"/>
      <c r="F118" s="246"/>
      <c r="G118" s="246"/>
    </row>
    <row r="119" spans="1:7" x14ac:dyDescent="0.2">
      <c r="A119" s="246"/>
      <c r="B119" s="246"/>
      <c r="C119" s="246"/>
      <c r="D119" s="246"/>
      <c r="E119" s="246"/>
      <c r="F119" s="246"/>
      <c r="G119" s="246"/>
    </row>
    <row r="120" spans="1:7" x14ac:dyDescent="0.2">
      <c r="A120" s="246"/>
      <c r="B120" s="246"/>
      <c r="C120" s="246"/>
      <c r="D120" s="246"/>
      <c r="E120" s="246"/>
      <c r="F120" s="246"/>
      <c r="G120" s="246"/>
    </row>
    <row r="121" spans="1:7" x14ac:dyDescent="0.2">
      <c r="A121" s="246"/>
      <c r="B121" s="246"/>
      <c r="C121" s="246"/>
      <c r="D121" s="246"/>
      <c r="E121" s="246"/>
      <c r="F121" s="246"/>
      <c r="G121" s="246"/>
    </row>
    <row r="122" spans="1:7" x14ac:dyDescent="0.2">
      <c r="A122" s="246"/>
      <c r="B122" s="246"/>
      <c r="C122" s="246"/>
      <c r="D122" s="246"/>
      <c r="E122" s="246"/>
      <c r="F122" s="246"/>
      <c r="G122" s="246"/>
    </row>
    <row r="123" spans="1:7" x14ac:dyDescent="0.2">
      <c r="A123" s="246"/>
      <c r="B123" s="246"/>
      <c r="C123" s="246"/>
      <c r="D123" s="246"/>
      <c r="E123" s="246"/>
      <c r="F123" s="246"/>
      <c r="G123" s="246"/>
    </row>
    <row r="124" spans="1:7" x14ac:dyDescent="0.2">
      <c r="A124" s="246"/>
      <c r="B124" s="246"/>
      <c r="C124" s="246"/>
      <c r="D124" s="246"/>
      <c r="E124" s="246"/>
      <c r="F124" s="246"/>
      <c r="G124" s="246"/>
    </row>
    <row r="125" spans="1:7" x14ac:dyDescent="0.2">
      <c r="A125" s="246"/>
      <c r="B125" s="246"/>
      <c r="C125" s="246"/>
      <c r="D125" s="246"/>
      <c r="E125" s="246"/>
      <c r="F125" s="246"/>
      <c r="G125" s="246"/>
    </row>
    <row r="126" spans="1:7" x14ac:dyDescent="0.2">
      <c r="A126" s="246"/>
      <c r="B126" s="246"/>
      <c r="C126" s="246"/>
      <c r="D126" s="246"/>
      <c r="E126" s="246"/>
      <c r="F126" s="246"/>
      <c r="G126" s="246"/>
    </row>
    <row r="127" spans="1:7" x14ac:dyDescent="0.2">
      <c r="A127" s="246"/>
      <c r="B127" s="246"/>
      <c r="C127" s="246"/>
      <c r="D127" s="246"/>
      <c r="E127" s="246"/>
      <c r="F127" s="246"/>
      <c r="G127" s="246"/>
    </row>
    <row r="128" spans="1:7" x14ac:dyDescent="0.2">
      <c r="A128" s="246"/>
      <c r="B128" s="246"/>
      <c r="C128" s="246"/>
      <c r="D128" s="246"/>
      <c r="E128" s="246"/>
      <c r="F128" s="246"/>
      <c r="G128" s="246"/>
    </row>
    <row r="129" spans="1:7" x14ac:dyDescent="0.2">
      <c r="A129" s="246"/>
      <c r="B129" s="246"/>
      <c r="C129" s="246"/>
      <c r="D129" s="246"/>
      <c r="E129" s="246"/>
      <c r="F129" s="246"/>
      <c r="G129" s="246"/>
    </row>
    <row r="130" spans="1:7" x14ac:dyDescent="0.2">
      <c r="A130" s="246"/>
      <c r="B130" s="246"/>
      <c r="C130" s="246"/>
      <c r="D130" s="246"/>
      <c r="E130" s="246"/>
      <c r="F130" s="246"/>
      <c r="G130" s="246"/>
    </row>
    <row r="131" spans="1:7" x14ac:dyDescent="0.2">
      <c r="A131" s="246"/>
      <c r="B131" s="246"/>
      <c r="C131" s="246"/>
      <c r="D131" s="246"/>
      <c r="E131" s="246"/>
      <c r="F131" s="246"/>
      <c r="G131" s="246"/>
    </row>
    <row r="132" spans="1:7" x14ac:dyDescent="0.2">
      <c r="A132" s="246"/>
      <c r="B132" s="246"/>
      <c r="C132" s="246"/>
      <c r="D132" s="246"/>
      <c r="E132" s="246"/>
      <c r="F132" s="246"/>
      <c r="G132" s="246"/>
    </row>
    <row r="133" spans="1:7" x14ac:dyDescent="0.2">
      <c r="A133" s="246"/>
      <c r="B133" s="246"/>
      <c r="C133" s="246"/>
      <c r="D133" s="246"/>
      <c r="E133" s="246"/>
      <c r="F133" s="246"/>
      <c r="G133" s="246"/>
    </row>
    <row r="134" spans="1:7" x14ac:dyDescent="0.2">
      <c r="A134" s="246"/>
      <c r="B134" s="246"/>
      <c r="C134" s="246"/>
      <c r="D134" s="246"/>
      <c r="E134" s="246"/>
      <c r="F134" s="246"/>
      <c r="G134" s="246"/>
    </row>
    <row r="135" spans="1:7" x14ac:dyDescent="0.2">
      <c r="A135" s="246"/>
      <c r="B135" s="246"/>
      <c r="C135" s="246"/>
      <c r="D135" s="246"/>
      <c r="E135" s="246"/>
      <c r="F135" s="246"/>
      <c r="G135" s="246"/>
    </row>
    <row r="136" spans="1:7" x14ac:dyDescent="0.2">
      <c r="A136" s="246"/>
      <c r="B136" s="246"/>
      <c r="C136" s="246"/>
      <c r="D136" s="246"/>
      <c r="E136" s="246"/>
      <c r="F136" s="246"/>
      <c r="G136" s="246"/>
    </row>
    <row r="137" spans="1:7" x14ac:dyDescent="0.2">
      <c r="A137" s="246"/>
      <c r="B137" s="246"/>
      <c r="C137" s="246"/>
      <c r="D137" s="246"/>
      <c r="E137" s="246"/>
      <c r="F137" s="246"/>
      <c r="G137" s="246"/>
    </row>
    <row r="138" spans="1:7" x14ac:dyDescent="0.2">
      <c r="A138" s="246"/>
      <c r="B138" s="246"/>
      <c r="C138" s="246"/>
      <c r="D138" s="246"/>
      <c r="E138" s="246"/>
      <c r="F138" s="246"/>
      <c r="G138" s="246"/>
    </row>
    <row r="139" spans="1:7" x14ac:dyDescent="0.2">
      <c r="A139" s="246"/>
      <c r="B139" s="246"/>
      <c r="C139" s="246"/>
      <c r="D139" s="246"/>
      <c r="E139" s="246"/>
      <c r="F139" s="246"/>
      <c r="G139" s="246"/>
    </row>
    <row r="140" spans="1:7" x14ac:dyDescent="0.2">
      <c r="A140" s="246"/>
      <c r="B140" s="246"/>
      <c r="C140" s="246"/>
      <c r="D140" s="246"/>
      <c r="E140" s="246"/>
      <c r="F140" s="246"/>
      <c r="G140" s="246"/>
    </row>
    <row r="141" spans="1:7" x14ac:dyDescent="0.2">
      <c r="A141" s="246"/>
      <c r="B141" s="246"/>
      <c r="C141" s="246"/>
      <c r="D141" s="246"/>
      <c r="E141" s="246"/>
      <c r="F141" s="246"/>
      <c r="G141" s="246"/>
    </row>
    <row r="142" spans="1:7" x14ac:dyDescent="0.2">
      <c r="A142" s="246"/>
      <c r="B142" s="246"/>
      <c r="C142" s="246"/>
      <c r="D142" s="246"/>
      <c r="E142" s="246"/>
      <c r="F142" s="246"/>
      <c r="G142" s="246"/>
    </row>
    <row r="143" spans="1:7" x14ac:dyDescent="0.2">
      <c r="A143" s="246"/>
      <c r="B143" s="246"/>
      <c r="C143" s="246"/>
      <c r="D143" s="246"/>
      <c r="E143" s="246"/>
      <c r="F143" s="246"/>
      <c r="G143" s="246"/>
    </row>
    <row r="144" spans="1:7" x14ac:dyDescent="0.2">
      <c r="A144" s="246"/>
      <c r="B144" s="246"/>
      <c r="C144" s="246"/>
      <c r="D144" s="246"/>
      <c r="E144" s="246"/>
      <c r="F144" s="246"/>
      <c r="G144" s="246"/>
    </row>
    <row r="145" spans="1:7" x14ac:dyDescent="0.2">
      <c r="A145" s="246"/>
      <c r="B145" s="246"/>
      <c r="C145" s="246"/>
      <c r="D145" s="246"/>
      <c r="E145" s="246"/>
      <c r="F145" s="246"/>
      <c r="G145" s="246"/>
    </row>
    <row r="146" spans="1:7" x14ac:dyDescent="0.2">
      <c r="A146" s="246"/>
      <c r="B146" s="246"/>
      <c r="C146" s="246"/>
      <c r="D146" s="246"/>
      <c r="E146" s="246"/>
      <c r="F146" s="246"/>
      <c r="G146" s="246"/>
    </row>
    <row r="147" spans="1:7" x14ac:dyDescent="0.2">
      <c r="A147" s="246"/>
      <c r="B147" s="246"/>
      <c r="C147" s="246"/>
      <c r="D147" s="246"/>
      <c r="E147" s="246"/>
      <c r="F147" s="246"/>
      <c r="G147" s="246"/>
    </row>
    <row r="148" spans="1:7" x14ac:dyDescent="0.2">
      <c r="A148" s="246"/>
      <c r="B148" s="246"/>
      <c r="C148" s="246"/>
      <c r="D148" s="246"/>
      <c r="E148" s="246"/>
      <c r="F148" s="246"/>
      <c r="G148" s="246"/>
    </row>
    <row r="149" spans="1:7" x14ac:dyDescent="0.2">
      <c r="A149" s="246"/>
      <c r="B149" s="246"/>
      <c r="C149" s="246"/>
      <c r="D149" s="246"/>
      <c r="E149" s="246"/>
      <c r="F149" s="246"/>
      <c r="G149" s="246"/>
    </row>
    <row r="150" spans="1:7" x14ac:dyDescent="0.2">
      <c r="A150" s="246"/>
      <c r="B150" s="246"/>
      <c r="C150" s="246"/>
      <c r="D150" s="246"/>
      <c r="E150" s="246"/>
      <c r="F150" s="246"/>
      <c r="G150" s="246"/>
    </row>
    <row r="151" spans="1:7" x14ac:dyDescent="0.2">
      <c r="A151" s="246"/>
      <c r="B151" s="246"/>
      <c r="C151" s="246"/>
      <c r="D151" s="246"/>
      <c r="E151" s="246"/>
      <c r="F151" s="246"/>
      <c r="G151" s="246"/>
    </row>
    <row r="152" spans="1:7" x14ac:dyDescent="0.2">
      <c r="A152" s="246"/>
      <c r="B152" s="246"/>
      <c r="C152" s="246"/>
      <c r="D152" s="246"/>
      <c r="E152" s="246"/>
      <c r="F152" s="246"/>
      <c r="G152" s="246"/>
    </row>
    <row r="153" spans="1:7" x14ac:dyDescent="0.2">
      <c r="A153" s="246"/>
      <c r="B153" s="246"/>
      <c r="C153" s="246"/>
      <c r="D153" s="246"/>
      <c r="E153" s="246"/>
      <c r="F153" s="246"/>
      <c r="G153" s="246"/>
    </row>
    <row r="154" spans="1:7" x14ac:dyDescent="0.2">
      <c r="A154" s="246"/>
      <c r="B154" s="246"/>
      <c r="C154" s="246"/>
      <c r="D154" s="246"/>
      <c r="E154" s="246"/>
      <c r="F154" s="246"/>
      <c r="G154" s="246"/>
    </row>
    <row r="155" spans="1:7" x14ac:dyDescent="0.2">
      <c r="A155" s="246"/>
      <c r="B155" s="246"/>
      <c r="C155" s="246"/>
      <c r="D155" s="246"/>
      <c r="E155" s="246"/>
      <c r="F155" s="246"/>
      <c r="G155" s="246"/>
    </row>
    <row r="156" spans="1:7" x14ac:dyDescent="0.2">
      <c r="A156" s="246"/>
      <c r="B156" s="246"/>
      <c r="C156" s="246"/>
      <c r="D156" s="246"/>
      <c r="E156" s="246"/>
      <c r="F156" s="246"/>
      <c r="G156" s="246"/>
    </row>
    <row r="157" spans="1:7" x14ac:dyDescent="0.2">
      <c r="A157" s="246"/>
      <c r="B157" s="246"/>
      <c r="C157" s="246"/>
      <c r="D157" s="246"/>
      <c r="E157" s="246"/>
      <c r="F157" s="246"/>
      <c r="G157" s="246"/>
    </row>
    <row r="158" spans="1:7" x14ac:dyDescent="0.2">
      <c r="A158" s="246"/>
      <c r="B158" s="246"/>
      <c r="C158" s="246"/>
      <c r="D158" s="246"/>
      <c r="E158" s="246"/>
      <c r="F158" s="246"/>
      <c r="G158" s="246"/>
    </row>
    <row r="159" spans="1:7" x14ac:dyDescent="0.2">
      <c r="A159" s="246"/>
      <c r="B159" s="246"/>
      <c r="C159" s="246"/>
      <c r="D159" s="246"/>
      <c r="E159" s="246"/>
      <c r="F159" s="246"/>
      <c r="G159" s="246"/>
    </row>
    <row r="160" spans="1:7" x14ac:dyDescent="0.2">
      <c r="A160" s="246"/>
      <c r="B160" s="246"/>
      <c r="C160" s="246"/>
      <c r="D160" s="246"/>
      <c r="E160" s="246"/>
      <c r="F160" s="246"/>
      <c r="G160" s="246"/>
    </row>
    <row r="161" spans="1:7" x14ac:dyDescent="0.2">
      <c r="A161" s="246"/>
      <c r="B161" s="246"/>
      <c r="C161" s="246"/>
      <c r="D161" s="246"/>
      <c r="E161" s="246"/>
      <c r="F161" s="246"/>
      <c r="G161" s="246"/>
    </row>
    <row r="162" spans="1:7" x14ac:dyDescent="0.2">
      <c r="A162" s="246"/>
      <c r="B162" s="246"/>
      <c r="C162" s="246"/>
      <c r="D162" s="246"/>
      <c r="E162" s="246"/>
      <c r="F162" s="246"/>
      <c r="G162" s="246"/>
    </row>
    <row r="163" spans="1:7" x14ac:dyDescent="0.2">
      <c r="A163" s="246"/>
      <c r="B163" s="246"/>
      <c r="C163" s="246"/>
      <c r="D163" s="246"/>
      <c r="E163" s="246"/>
      <c r="F163" s="246"/>
      <c r="G163" s="246"/>
    </row>
    <row r="164" spans="1:7" x14ac:dyDescent="0.2">
      <c r="A164" s="246"/>
      <c r="B164" s="246"/>
      <c r="C164" s="246"/>
      <c r="D164" s="246"/>
      <c r="E164" s="246"/>
      <c r="F164" s="246"/>
      <c r="G164" s="246"/>
    </row>
    <row r="165" spans="1:7" x14ac:dyDescent="0.2">
      <c r="A165" s="246"/>
      <c r="B165" s="246"/>
      <c r="C165" s="246"/>
      <c r="D165" s="246"/>
      <c r="E165" s="246"/>
      <c r="F165" s="246"/>
      <c r="G165" s="246"/>
    </row>
    <row r="166" spans="1:7" x14ac:dyDescent="0.2">
      <c r="A166" s="246"/>
      <c r="B166" s="246"/>
      <c r="C166" s="246"/>
      <c r="D166" s="246"/>
      <c r="E166" s="246"/>
      <c r="F166" s="246"/>
      <c r="G166" s="246"/>
    </row>
    <row r="167" spans="1:7" x14ac:dyDescent="0.2">
      <c r="A167" s="246"/>
      <c r="B167" s="246"/>
      <c r="C167" s="246"/>
      <c r="D167" s="246"/>
      <c r="E167" s="246"/>
      <c r="F167" s="246"/>
      <c r="G167" s="246"/>
    </row>
    <row r="168" spans="1:7" x14ac:dyDescent="0.2">
      <c r="A168" s="246"/>
      <c r="B168" s="246"/>
      <c r="C168" s="246"/>
      <c r="D168" s="246"/>
      <c r="E168" s="246"/>
      <c r="F168" s="246"/>
      <c r="G168" s="246"/>
    </row>
    <row r="169" spans="1:7" x14ac:dyDescent="0.2">
      <c r="A169" s="246"/>
      <c r="B169" s="246"/>
      <c r="C169" s="246"/>
      <c r="D169" s="246"/>
      <c r="E169" s="246"/>
      <c r="F169" s="246"/>
      <c r="G169" s="246"/>
    </row>
    <row r="170" spans="1:7" x14ac:dyDescent="0.2">
      <c r="A170" s="246"/>
      <c r="B170" s="246"/>
      <c r="C170" s="246"/>
      <c r="D170" s="246"/>
      <c r="E170" s="246"/>
      <c r="F170" s="246"/>
      <c r="G170" s="246"/>
    </row>
    <row r="171" spans="1:7" x14ac:dyDescent="0.2">
      <c r="A171" s="246"/>
      <c r="B171" s="246"/>
      <c r="C171" s="246"/>
      <c r="D171" s="246"/>
      <c r="E171" s="246"/>
      <c r="F171" s="246"/>
      <c r="G171" s="246"/>
    </row>
    <row r="172" spans="1:7" x14ac:dyDescent="0.2">
      <c r="A172" s="246"/>
      <c r="B172" s="246"/>
      <c r="C172" s="246"/>
      <c r="D172" s="246"/>
      <c r="E172" s="246"/>
      <c r="F172" s="246"/>
      <c r="G172" s="246"/>
    </row>
    <row r="173" spans="1:7" x14ac:dyDescent="0.2">
      <c r="A173" s="246"/>
      <c r="B173" s="246"/>
      <c r="C173" s="246"/>
      <c r="D173" s="246"/>
      <c r="E173" s="246"/>
      <c r="F173" s="246"/>
      <c r="G173" s="246"/>
    </row>
    <row r="174" spans="1:7" x14ac:dyDescent="0.2">
      <c r="A174" s="246"/>
      <c r="B174" s="246"/>
      <c r="C174" s="246"/>
      <c r="D174" s="246"/>
      <c r="E174" s="246"/>
      <c r="F174" s="246"/>
      <c r="G174" s="246"/>
    </row>
    <row r="175" spans="1:7" x14ac:dyDescent="0.2">
      <c r="A175" s="246"/>
      <c r="B175" s="246"/>
      <c r="C175" s="246"/>
      <c r="D175" s="246"/>
      <c r="E175" s="246"/>
      <c r="F175" s="246"/>
      <c r="G175" s="246"/>
    </row>
    <row r="176" spans="1:7" x14ac:dyDescent="0.2">
      <c r="A176" s="246"/>
      <c r="B176" s="246"/>
      <c r="C176" s="246"/>
      <c r="D176" s="246"/>
      <c r="E176" s="246"/>
      <c r="F176" s="246"/>
      <c r="G176" s="246"/>
    </row>
    <row r="177" spans="1:7" x14ac:dyDescent="0.2">
      <c r="A177" s="246"/>
      <c r="B177" s="246"/>
      <c r="C177" s="246"/>
      <c r="D177" s="246"/>
      <c r="E177" s="246"/>
      <c r="F177" s="246"/>
      <c r="G177" s="246"/>
    </row>
    <row r="178" spans="1:7" x14ac:dyDescent="0.2">
      <c r="A178" s="246"/>
      <c r="B178" s="246"/>
      <c r="C178" s="246"/>
      <c r="D178" s="246"/>
      <c r="E178" s="246"/>
      <c r="F178" s="246"/>
      <c r="G178" s="246"/>
    </row>
    <row r="179" spans="1:7" x14ac:dyDescent="0.2">
      <c r="A179" s="246"/>
      <c r="B179" s="246"/>
      <c r="C179" s="246"/>
      <c r="D179" s="246"/>
      <c r="E179" s="246"/>
      <c r="F179" s="246"/>
      <c r="G179" s="246"/>
    </row>
    <row r="180" spans="1:7" x14ac:dyDescent="0.2">
      <c r="A180" s="246"/>
      <c r="B180" s="246"/>
      <c r="C180" s="246"/>
      <c r="D180" s="246"/>
      <c r="E180" s="246"/>
      <c r="F180" s="246"/>
      <c r="G180" s="246"/>
    </row>
    <row r="181" spans="1:7" x14ac:dyDescent="0.2">
      <c r="A181" s="246"/>
      <c r="B181" s="246"/>
      <c r="C181" s="246"/>
      <c r="D181" s="246"/>
      <c r="E181" s="246"/>
      <c r="F181" s="246"/>
      <c r="G181" s="246"/>
    </row>
    <row r="182" spans="1:7" x14ac:dyDescent="0.2">
      <c r="A182" s="246"/>
      <c r="B182" s="246"/>
      <c r="C182" s="246"/>
      <c r="D182" s="246"/>
      <c r="E182" s="246"/>
      <c r="F182" s="246"/>
      <c r="G182" s="246"/>
    </row>
    <row r="183" spans="1:7" x14ac:dyDescent="0.2">
      <c r="A183" s="246"/>
      <c r="B183" s="246"/>
      <c r="C183" s="246"/>
      <c r="D183" s="246"/>
      <c r="E183" s="246"/>
      <c r="F183" s="246"/>
      <c r="G183" s="246"/>
    </row>
    <row r="184" spans="1:7" x14ac:dyDescent="0.2">
      <c r="A184" s="246"/>
      <c r="B184" s="246"/>
      <c r="C184" s="246"/>
      <c r="D184" s="246"/>
      <c r="E184" s="246"/>
      <c r="F184" s="246"/>
      <c r="G184" s="246"/>
    </row>
    <row r="185" spans="1:7" x14ac:dyDescent="0.2">
      <c r="A185" s="246"/>
      <c r="B185" s="246"/>
      <c r="C185" s="246"/>
      <c r="D185" s="246"/>
      <c r="E185" s="246"/>
      <c r="F185" s="246"/>
      <c r="G185" s="246"/>
    </row>
  </sheetData>
  <autoFilter ref="A9:G83" xr:uid="{93287C24-4152-4F29-ADA6-112FB010C810}">
    <filterColumn colId="4">
      <customFilters>
        <customFilter operator="notEqual" val=" "/>
      </customFilters>
    </filterColumn>
  </autoFilter>
  <mergeCells count="11">
    <mergeCell ref="F7:F8"/>
    <mergeCell ref="G7:G8"/>
    <mergeCell ref="A4:G4"/>
    <mergeCell ref="B6:C6"/>
    <mergeCell ref="D6:E6"/>
    <mergeCell ref="F6:G6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H54"/>
  <sheetViews>
    <sheetView workbookViewId="0">
      <selection activeCell="F18" sqref="F18"/>
    </sheetView>
  </sheetViews>
  <sheetFormatPr defaultRowHeight="11.25" x14ac:dyDescent="0.2"/>
  <cols>
    <col min="1" max="1" width="28.33203125" customWidth="1"/>
    <col min="2" max="2" width="11.6640625" customWidth="1"/>
    <col min="3" max="3" width="10.1640625" bestFit="1" customWidth="1"/>
    <col min="4" max="4" width="13.5" customWidth="1"/>
    <col min="5" max="5" width="13.83203125" bestFit="1" customWidth="1"/>
    <col min="6" max="6" width="11.33203125" customWidth="1"/>
    <col min="7" max="7" width="12.1640625" bestFit="1" customWidth="1"/>
    <col min="8" max="8" width="13.33203125" bestFit="1" customWidth="1"/>
    <col min="9" max="9" width="14.33203125" bestFit="1" customWidth="1"/>
    <col min="10" max="10" width="17.1640625" bestFit="1" customWidth="1"/>
    <col min="11" max="11" width="12.83203125" customWidth="1"/>
    <col min="12" max="12" width="17.6640625" customWidth="1"/>
    <col min="13" max="14" width="13.33203125" bestFit="1" customWidth="1"/>
    <col min="15" max="15" width="17.1640625" bestFit="1" customWidth="1"/>
    <col min="16" max="16" width="6.33203125" customWidth="1"/>
    <col min="17" max="17" width="12.1640625" bestFit="1" customWidth="1"/>
    <col min="18" max="18" width="14.5" customWidth="1"/>
    <col min="19" max="19" width="20.6640625" customWidth="1"/>
    <col min="20" max="20" width="17.1640625" customWidth="1"/>
    <col min="22" max="22" width="12" customWidth="1"/>
    <col min="23" max="23" width="9.6640625" bestFit="1" customWidth="1"/>
    <col min="24" max="24" width="12.1640625" bestFit="1" customWidth="1"/>
    <col min="25" max="25" width="17.1640625" bestFit="1" customWidth="1"/>
    <col min="26" max="26" width="13.6640625" customWidth="1"/>
    <col min="27" max="28" width="9.6640625" bestFit="1" customWidth="1"/>
    <col min="29" max="29" width="12.1640625" bestFit="1" customWidth="1"/>
    <col min="32" max="33" width="9.6640625" bestFit="1" customWidth="1"/>
    <col min="34" max="34" width="12.1640625" bestFit="1" customWidth="1"/>
    <col min="35" max="35" width="15.1640625" bestFit="1" customWidth="1"/>
    <col min="37" max="37" width="9.6640625" bestFit="1" customWidth="1"/>
    <col min="38" max="38" width="12" customWidth="1"/>
    <col min="39" max="39" width="12.1640625" bestFit="1" customWidth="1"/>
    <col min="40" max="40" width="12.5" customWidth="1"/>
    <col min="42" max="42" width="9.6640625" bestFit="1" customWidth="1"/>
    <col min="43" max="43" width="10.6640625" bestFit="1" customWidth="1"/>
    <col min="44" max="44" width="12.1640625" bestFit="1" customWidth="1"/>
    <col min="45" max="45" width="15.1640625" bestFit="1" customWidth="1"/>
    <col min="47" max="47" width="9.6640625" bestFit="1" customWidth="1"/>
    <col min="48" max="48" width="10.6640625" bestFit="1" customWidth="1"/>
    <col min="49" max="49" width="12.1640625" bestFit="1" customWidth="1"/>
    <col min="50" max="50" width="17.1640625" bestFit="1" customWidth="1"/>
    <col min="52" max="52" width="9.6640625" bestFit="1" customWidth="1"/>
    <col min="53" max="53" width="13" customWidth="1"/>
    <col min="54" max="54" width="12.1640625" bestFit="1" customWidth="1"/>
    <col min="55" max="55" width="14.5" customWidth="1"/>
    <col min="56" max="56" width="12.1640625" bestFit="1" customWidth="1"/>
    <col min="57" max="57" width="13.83203125" customWidth="1"/>
    <col min="59" max="59" width="13.33203125" bestFit="1" customWidth="1"/>
  </cols>
  <sheetData>
    <row r="3" spans="1:22" x14ac:dyDescent="0.2">
      <c r="J3" t="s">
        <v>2567</v>
      </c>
      <c r="O3" t="s">
        <v>2568</v>
      </c>
      <c r="S3" s="26" t="s">
        <v>2570</v>
      </c>
      <c r="T3" s="26" t="s">
        <v>2571</v>
      </c>
      <c r="U3" s="186">
        <f>P4-9-12-8</f>
        <v>67</v>
      </c>
    </row>
    <row r="4" spans="1:22" ht="60" x14ac:dyDescent="0.2">
      <c r="A4" s="192" t="s">
        <v>2414</v>
      </c>
      <c r="B4" s="192" t="s">
        <v>2415</v>
      </c>
      <c r="C4" s="193" t="s">
        <v>2416</v>
      </c>
      <c r="D4" s="192" t="s">
        <v>69</v>
      </c>
      <c r="E4" s="194">
        <v>183564173.03</v>
      </c>
      <c r="F4">
        <v>180</v>
      </c>
      <c r="G4" s="195">
        <f>E5/F4</f>
        <v>1016550.0135555555</v>
      </c>
      <c r="H4" s="195">
        <f>G4*(5*12+9+3)</f>
        <v>73191600.975999996</v>
      </c>
      <c r="I4" s="195">
        <f>E5-H4</f>
        <v>109787401.464</v>
      </c>
      <c r="J4" s="7">
        <v>585170.59</v>
      </c>
      <c r="K4" s="186">
        <f>F4-(5*12+9+3)</f>
        <v>108</v>
      </c>
      <c r="L4" s="195">
        <f>SUM(I4:J4)/K4</f>
        <v>1021968.2597592593</v>
      </c>
      <c r="M4" s="195">
        <f>L4*12</f>
        <v>12263619.117111111</v>
      </c>
      <c r="N4" s="195">
        <f>SUM(I4:J4)-M4</f>
        <v>98108952.936888888</v>
      </c>
      <c r="O4" s="195">
        <v>172673.31</v>
      </c>
      <c r="P4" s="186">
        <f>K4-12</f>
        <v>96</v>
      </c>
      <c r="Q4" s="196">
        <f>SUM(N4:O4)/P4</f>
        <v>1023766.9400717593</v>
      </c>
      <c r="R4" s="195">
        <f>Q4*(9+12+8)</f>
        <v>29689241.26208102</v>
      </c>
      <c r="S4" s="198">
        <f>N4-R4</f>
        <v>68419711.674807876</v>
      </c>
      <c r="T4" s="195">
        <v>520992.44</v>
      </c>
      <c r="U4" s="186">
        <f>F4-U5</f>
        <v>67</v>
      </c>
      <c r="V4" s="196">
        <f>SUM(S4:T4)/U4</f>
        <v>1028965.733056834</v>
      </c>
    </row>
    <row r="5" spans="1:22" ht="12" x14ac:dyDescent="0.2">
      <c r="A5" t="s">
        <v>2569</v>
      </c>
      <c r="E5" s="197">
        <v>182979002.44</v>
      </c>
      <c r="F5" s="197"/>
      <c r="G5" s="197"/>
      <c r="H5" s="195"/>
      <c r="J5" s="195"/>
      <c r="T5" s="195">
        <f>E5+J4+O4+T4</f>
        <v>184257838.78</v>
      </c>
      <c r="U5">
        <f>8*12+9+8</f>
        <v>113</v>
      </c>
      <c r="V5" s="195"/>
    </row>
    <row r="8" spans="1:22" x14ac:dyDescent="0.2">
      <c r="J8" s="26" t="s">
        <v>2572</v>
      </c>
      <c r="O8" s="26" t="s">
        <v>2573</v>
      </c>
      <c r="P8">
        <v>197</v>
      </c>
      <c r="Q8" t="s">
        <v>2596</v>
      </c>
      <c r="S8" s="26" t="s">
        <v>2575</v>
      </c>
      <c r="T8" s="26" t="s">
        <v>2574</v>
      </c>
    </row>
    <row r="9" spans="1:22" s="26" customFormat="1" ht="33.75" x14ac:dyDescent="0.2">
      <c r="A9" s="213" t="s">
        <v>672</v>
      </c>
      <c r="B9" s="199" t="s">
        <v>673</v>
      </c>
      <c r="C9" s="214" t="s">
        <v>674</v>
      </c>
      <c r="D9" s="215" t="s">
        <v>25</v>
      </c>
      <c r="E9" s="194">
        <v>181444.91</v>
      </c>
      <c r="F9" s="26">
        <v>36</v>
      </c>
      <c r="G9" s="198">
        <f>E9/F9</f>
        <v>5040.1363888888891</v>
      </c>
      <c r="H9" s="198">
        <f>G9*(3*12)</f>
        <v>181444.91</v>
      </c>
      <c r="I9" s="198">
        <f>E9-H9</f>
        <v>0</v>
      </c>
      <c r="J9" s="198">
        <v>2669.49</v>
      </c>
      <c r="K9" s="26">
        <v>12</v>
      </c>
      <c r="L9" s="198">
        <f>SUM(I9:J9)/K9</f>
        <v>222.45749999999998</v>
      </c>
      <c r="M9" s="198">
        <f>K9*L9</f>
        <v>2669.49</v>
      </c>
      <c r="N9" s="198">
        <f>SUM(I9:J9)-M9</f>
        <v>0</v>
      </c>
      <c r="O9" s="198">
        <v>52420</v>
      </c>
      <c r="P9" s="26">
        <f>197-(10*12+6+11)</f>
        <v>60</v>
      </c>
      <c r="Q9" s="216">
        <f>SUM(N9:O9)/P9</f>
        <v>873.66666666666663</v>
      </c>
      <c r="R9" s="198">
        <f>Q9*(1+12+5)</f>
        <v>15726</v>
      </c>
      <c r="S9" s="198">
        <f>N9+O9-R9</f>
        <v>36694</v>
      </c>
      <c r="T9" s="198">
        <v>48890</v>
      </c>
      <c r="U9" s="26">
        <f>60-12-5-1</f>
        <v>42</v>
      </c>
      <c r="V9" s="217">
        <f>SUM(S9:T9)/U9</f>
        <v>2037.7142857142858</v>
      </c>
    </row>
    <row r="10" spans="1:22" x14ac:dyDescent="0.2">
      <c r="E10" s="7">
        <f>E9+J9+O9+T9</f>
        <v>285424.40000000002</v>
      </c>
      <c r="O10" s="195">
        <v>197</v>
      </c>
      <c r="R10" s="195">
        <f>N9+O9-Q9</f>
        <v>51546.333333333336</v>
      </c>
      <c r="T10" s="195"/>
    </row>
    <row r="11" spans="1:22" x14ac:dyDescent="0.2">
      <c r="D11" s="26"/>
      <c r="E11" s="195">
        <f>O9-Q9</f>
        <v>51546.333333333336</v>
      </c>
      <c r="Q11" s="195">
        <f>O9-Q9</f>
        <v>51546.333333333336</v>
      </c>
      <c r="T11" s="195"/>
    </row>
    <row r="12" spans="1:22" x14ac:dyDescent="0.2">
      <c r="E12" s="7"/>
      <c r="Q12" s="7"/>
      <c r="S12" s="7"/>
      <c r="T12" s="7"/>
    </row>
    <row r="13" spans="1:22" x14ac:dyDescent="0.2">
      <c r="J13" s="26" t="s">
        <v>2576</v>
      </c>
    </row>
    <row r="14" spans="1:22" ht="33.75" x14ac:dyDescent="0.2">
      <c r="A14" t="s">
        <v>675</v>
      </c>
      <c r="B14" t="s">
        <v>676</v>
      </c>
      <c r="C14" s="201">
        <v>43159</v>
      </c>
      <c r="D14" s="200" t="s">
        <v>25</v>
      </c>
      <c r="E14" s="194">
        <v>98908</v>
      </c>
      <c r="F14">
        <v>180</v>
      </c>
      <c r="G14" s="202">
        <f>E14/F14</f>
        <v>549.48888888888894</v>
      </c>
      <c r="H14" s="195">
        <f>G14*(12*3+10+8)</f>
        <v>29672.400000000001</v>
      </c>
      <c r="I14" s="7">
        <f>E14-H14</f>
        <v>69235.600000000006</v>
      </c>
      <c r="J14" s="195">
        <v>15072.32</v>
      </c>
      <c r="K14">
        <f>F14-54</f>
        <v>126</v>
      </c>
      <c r="L14" s="196">
        <f>(J14+I14)/K14</f>
        <v>669.11047619047633</v>
      </c>
    </row>
    <row r="15" spans="1:22" x14ac:dyDescent="0.2">
      <c r="A15" s="26" t="s">
        <v>2595</v>
      </c>
      <c r="G15" s="202"/>
      <c r="H15" s="195">
        <f>(12*3+10+8)</f>
        <v>54</v>
      </c>
    </row>
    <row r="17" spans="1:60" x14ac:dyDescent="0.2">
      <c r="J17" s="26" t="s">
        <v>2577</v>
      </c>
      <c r="M17" s="4">
        <v>44927</v>
      </c>
      <c r="N17" s="4">
        <v>35796</v>
      </c>
    </row>
    <row r="18" spans="1:60" ht="33.75" x14ac:dyDescent="0.2">
      <c r="A18" s="6" t="s">
        <v>2052</v>
      </c>
      <c r="B18" t="s">
        <v>2053</v>
      </c>
      <c r="C18" s="207">
        <v>35765</v>
      </c>
      <c r="D18" s="6" t="s">
        <v>44</v>
      </c>
      <c r="E18" s="205">
        <v>511304</v>
      </c>
      <c r="F18">
        <v>708</v>
      </c>
      <c r="G18" s="202">
        <f>E18/F18</f>
        <v>722.18079096045199</v>
      </c>
      <c r="H18" s="195">
        <f>G18*25*12</f>
        <v>216654.2372881356</v>
      </c>
      <c r="I18" s="195">
        <f>E18-H18</f>
        <v>294649.76271186443</v>
      </c>
      <c r="J18" s="195">
        <v>9776270.8100000005</v>
      </c>
      <c r="K18">
        <f>F18-25*12</f>
        <v>408</v>
      </c>
      <c r="L18" s="196">
        <f>(I18+J18)/K18</f>
        <v>24683.628854685943</v>
      </c>
      <c r="M18" s="210">
        <f>DATEDIF(N17,M17,"m")</f>
        <v>300</v>
      </c>
      <c r="N18">
        <f>M18/12</f>
        <v>25</v>
      </c>
    </row>
    <row r="19" spans="1:60" x14ac:dyDescent="0.2">
      <c r="G19">
        <f>12*25</f>
        <v>300</v>
      </c>
      <c r="J19" s="195">
        <f>E18+J18</f>
        <v>10287574.810000001</v>
      </c>
      <c r="K19">
        <f>F18</f>
        <v>708</v>
      </c>
      <c r="L19" s="195">
        <f>J19/K19</f>
        <v>14530.472895480227</v>
      </c>
    </row>
    <row r="20" spans="1:60" x14ac:dyDescent="0.2">
      <c r="I20" s="7"/>
    </row>
    <row r="21" spans="1:60" x14ac:dyDescent="0.2">
      <c r="J21" t="s">
        <v>2578</v>
      </c>
      <c r="O21" t="s">
        <v>2579</v>
      </c>
      <c r="T21" t="s">
        <v>2580</v>
      </c>
      <c r="Y21" t="s">
        <v>2581</v>
      </c>
      <c r="AD21" t="s">
        <v>2582</v>
      </c>
      <c r="AI21" t="s">
        <v>2583</v>
      </c>
      <c r="AN21" t="s">
        <v>2584</v>
      </c>
      <c r="AS21" t="s">
        <v>2585</v>
      </c>
      <c r="AX21" t="s">
        <v>2586</v>
      </c>
      <c r="BC21" s="26" t="s">
        <v>2587</v>
      </c>
      <c r="BH21" s="26" t="s">
        <v>2597</v>
      </c>
    </row>
    <row r="22" spans="1:60" x14ac:dyDescent="0.2">
      <c r="A22" s="208" t="s">
        <v>1286</v>
      </c>
      <c r="B22" s="193" t="s">
        <v>1287</v>
      </c>
      <c r="C22" s="193" t="s">
        <v>1288</v>
      </c>
      <c r="D22" s="20" t="s">
        <v>38</v>
      </c>
      <c r="E22" s="194">
        <v>10070046.470000001</v>
      </c>
      <c r="F22">
        <v>996</v>
      </c>
      <c r="G22" s="195">
        <f>E23/F22</f>
        <v>1921.7871485943774</v>
      </c>
      <c r="H22" s="195">
        <f>G22*(47*12+11)</f>
        <v>1105027.6104417669</v>
      </c>
      <c r="I22" s="195">
        <f>E23-H22</f>
        <v>809072.38955823309</v>
      </c>
      <c r="J22" s="195">
        <f>205137.84+131630</f>
        <v>336767.83999999997</v>
      </c>
      <c r="K22">
        <f>F22-(47*12+11)</f>
        <v>421</v>
      </c>
      <c r="L22" s="195">
        <f>SUM(I22:J22)/K22</f>
        <v>2721.7107590456844</v>
      </c>
      <c r="M22" s="195">
        <f>L22*(7*12)</f>
        <v>228623.70375983749</v>
      </c>
      <c r="N22" s="195">
        <f>SUM(I22:J22)-M22</f>
        <v>917216.52579839574</v>
      </c>
      <c r="O22" s="195">
        <v>1137590</v>
      </c>
      <c r="P22">
        <f>K22-(7*12)</f>
        <v>337</v>
      </c>
      <c r="Q22" s="195">
        <f>SUM(N22:O22)/P22</f>
        <v>6097.3487412415307</v>
      </c>
      <c r="R22" s="195">
        <f>Q22*24</f>
        <v>146336.36978979674</v>
      </c>
      <c r="S22" s="195">
        <f>SUM(N22:O22)-R22</f>
        <v>1908470.1560085991</v>
      </c>
      <c r="T22" s="195">
        <f>587841+83673</f>
        <v>671514</v>
      </c>
      <c r="U22">
        <f>P22-12*2</f>
        <v>313</v>
      </c>
      <c r="V22" s="195">
        <f>SUM(S22:T22)/U22</f>
        <v>8242.7608818166118</v>
      </c>
      <c r="W22" s="195">
        <f>V22*6</f>
        <v>49456.565290899671</v>
      </c>
      <c r="X22" s="195">
        <f>SUM(S22:T22)-W22</f>
        <v>2530527.5907176998</v>
      </c>
      <c r="Y22" s="195">
        <v>350893</v>
      </c>
      <c r="Z22">
        <f>U22-6</f>
        <v>307</v>
      </c>
      <c r="AA22" s="195">
        <f>SUM(X22:Y22)/Z22</f>
        <v>9385.73482318469</v>
      </c>
      <c r="AB22" s="195">
        <f>AA22*2</f>
        <v>18771.46964636938</v>
      </c>
      <c r="AC22" s="195">
        <f>SUM(X22:Y22)-AB22</f>
        <v>2862649.1210713303</v>
      </c>
      <c r="AD22" s="195">
        <v>66668.429999999993</v>
      </c>
      <c r="AE22">
        <f>Z22-2</f>
        <v>305</v>
      </c>
      <c r="AF22" s="195">
        <f>SUM(AC22:AD22)/AE22</f>
        <v>9604.3198395781328</v>
      </c>
      <c r="AG22" s="195">
        <f>AF22*3</f>
        <v>28812.959518734398</v>
      </c>
      <c r="AH22" s="195">
        <f>SUM(AC22:AD22)-AG22</f>
        <v>2900504.5915525961</v>
      </c>
      <c r="AI22" s="195">
        <v>350200</v>
      </c>
      <c r="AJ22">
        <f>AE22-3</f>
        <v>302</v>
      </c>
      <c r="AK22" s="195">
        <f>SUM(AH22:AI22)/AJ22</f>
        <v>10763.922488584754</v>
      </c>
      <c r="AL22" s="195">
        <f>AK22*(1+2*12+6)</f>
        <v>333681.59714612737</v>
      </c>
      <c r="AM22" s="195">
        <f>SUM(AH22:AI22)-AL22</f>
        <v>2917022.9944064687</v>
      </c>
      <c r="AN22" s="195">
        <v>4256343.57</v>
      </c>
      <c r="AO22">
        <f>AJ22-7-2*12</f>
        <v>271</v>
      </c>
      <c r="AP22" s="195">
        <f>SUM(AM22:AN22)/AO22</f>
        <v>26469.987322533099</v>
      </c>
      <c r="AQ22" s="195">
        <f>AP22*6</f>
        <v>158819.9239351986</v>
      </c>
      <c r="AR22" s="195">
        <f>SUM(AM22:AN22)-AQ22</f>
        <v>7014546.6404712712</v>
      </c>
      <c r="AS22" s="195">
        <v>604796.4</v>
      </c>
      <c r="AT22">
        <f>AO22-6</f>
        <v>265</v>
      </c>
      <c r="AU22" s="195">
        <f>SUM(AR22:AS22)/AT22</f>
        <v>28752.237888570835</v>
      </c>
      <c r="AV22" s="195">
        <f>AU22*7</f>
        <v>201265.66521999583</v>
      </c>
      <c r="AW22" s="195">
        <f>SUM(AR22:AS22)-AV22</f>
        <v>7418077.3752512755</v>
      </c>
      <c r="AX22" s="195">
        <v>176865.73</v>
      </c>
      <c r="AY22">
        <f>AT22-7</f>
        <v>258</v>
      </c>
      <c r="AZ22" s="203">
        <f>SUM(AW22:AX22)/AY22</f>
        <v>29437.763973842153</v>
      </c>
      <c r="BA22" s="195">
        <f>AZ22*(2*12+5+1)</f>
        <v>883132.91921526461</v>
      </c>
      <c r="BB22" s="198">
        <f>(AW22+AX22)-BA22</f>
        <v>6711810.1860360112</v>
      </c>
      <c r="BC22">
        <f>204271.5</f>
        <v>204271.5</v>
      </c>
      <c r="BD22">
        <f>AY22-1-5-24</f>
        <v>228</v>
      </c>
      <c r="BE22" s="203">
        <f>(BB22+BC22)/BD22</f>
        <v>30333.691605421103</v>
      </c>
      <c r="BF22">
        <f>BE22*(11+12*2)</f>
        <v>1061679.2061897386</v>
      </c>
      <c r="BG22" s="195">
        <f>BB22+BC22-BF22</f>
        <v>5854402.4798462726</v>
      </c>
    </row>
    <row r="23" spans="1:60" ht="12" x14ac:dyDescent="0.2">
      <c r="A23" t="s">
        <v>2569</v>
      </c>
      <c r="E23" s="197">
        <v>1914100</v>
      </c>
      <c r="F23" s="204">
        <f>E22-G23</f>
        <v>204307.5</v>
      </c>
      <c r="G23" s="195">
        <f>E23+J22+O22+T22+Y22+AD22+AI22+AN22+AS22+AX22</f>
        <v>9865738.9700000007</v>
      </c>
      <c r="BD23">
        <f>63*12+11+1</f>
        <v>768</v>
      </c>
    </row>
    <row r="24" spans="1:60" x14ac:dyDescent="0.2">
      <c r="BD24">
        <f>F22-BD23</f>
        <v>228</v>
      </c>
      <c r="BG24" s="195">
        <f>E23+J22+O22+T22+Y22+AD22+AI22+AN22+AS22+AX22+BC22</f>
        <v>10070010.470000001</v>
      </c>
    </row>
    <row r="25" spans="1:60" x14ac:dyDescent="0.2">
      <c r="H25">
        <v>575</v>
      </c>
      <c r="M25">
        <f>7*12</f>
        <v>84</v>
      </c>
      <c r="R25">
        <v>24</v>
      </c>
      <c r="W25">
        <v>6</v>
      </c>
      <c r="AB25">
        <v>2</v>
      </c>
      <c r="AG25">
        <v>3</v>
      </c>
      <c r="AL25" s="195">
        <f>(1+2*12+6)</f>
        <v>31</v>
      </c>
      <c r="AQ25">
        <v>6</v>
      </c>
      <c r="AV25">
        <v>7</v>
      </c>
      <c r="BA25" s="195">
        <f>(2*12+5+1)</f>
        <v>30</v>
      </c>
      <c r="BD25">
        <f>SUM(H25:BA25)</f>
        <v>768</v>
      </c>
      <c r="BG25" s="195">
        <f>BG24-BG22</f>
        <v>4215607.9901537281</v>
      </c>
    </row>
    <row r="26" spans="1:60" x14ac:dyDescent="0.2">
      <c r="AL26" s="195"/>
      <c r="BA26" s="195"/>
      <c r="BG26" s="195"/>
    </row>
    <row r="27" spans="1:60" x14ac:dyDescent="0.2">
      <c r="E27" s="195"/>
      <c r="I27" s="228" t="s">
        <v>2605</v>
      </c>
      <c r="J27">
        <f>E29-31*12-11</f>
        <v>60</v>
      </c>
      <c r="L27" s="26" t="s">
        <v>2602</v>
      </c>
      <c r="BD27">
        <f>BD22-BD24</f>
        <v>0</v>
      </c>
    </row>
    <row r="28" spans="1:60" x14ac:dyDescent="0.2">
      <c r="A28" t="s">
        <v>2040</v>
      </c>
      <c r="B28" t="s">
        <v>2566</v>
      </c>
      <c r="C28" s="227">
        <v>32904</v>
      </c>
      <c r="D28" t="s">
        <v>44</v>
      </c>
      <c r="E28">
        <v>38224</v>
      </c>
      <c r="F28">
        <v>708</v>
      </c>
      <c r="G28" s="218">
        <f>E28/F28</f>
        <v>53.988700564971751</v>
      </c>
      <c r="H28" s="195">
        <f>G28*(11+31*12)</f>
        <v>20677.672316384182</v>
      </c>
      <c r="I28" s="195">
        <f>E28-H28</f>
        <v>17546.327683615818</v>
      </c>
      <c r="J28">
        <f>(E28-I28)/J27</f>
        <v>344.62787193973634</v>
      </c>
      <c r="K28" s="195">
        <f>E28-H28-J28*12</f>
        <v>13410.793220338983</v>
      </c>
      <c r="L28" s="195">
        <v>1399514.21</v>
      </c>
      <c r="M28">
        <f>E30-11-31*12-12</f>
        <v>120</v>
      </c>
      <c r="N28" s="196">
        <f>(K28+L28)/M28</f>
        <v>11774.375026836156</v>
      </c>
    </row>
    <row r="29" spans="1:60" x14ac:dyDescent="0.2">
      <c r="D29" s="228" t="s">
        <v>2603</v>
      </c>
      <c r="E29">
        <v>443</v>
      </c>
      <c r="O29" s="26"/>
    </row>
    <row r="30" spans="1:60" x14ac:dyDescent="0.2">
      <c r="A30" s="104"/>
      <c r="B30" s="199"/>
      <c r="C30" s="193"/>
      <c r="D30" s="228" t="s">
        <v>2604</v>
      </c>
      <c r="E30">
        <v>515</v>
      </c>
      <c r="G30" s="195"/>
      <c r="H30" s="195"/>
      <c r="I30" s="195"/>
      <c r="J30" s="195"/>
      <c r="L30" s="195"/>
      <c r="M30" s="195"/>
      <c r="N30" s="195"/>
      <c r="O30" s="195"/>
      <c r="R30" s="195"/>
      <c r="S30" s="195"/>
      <c r="T30" s="195"/>
    </row>
    <row r="31" spans="1:60" x14ac:dyDescent="0.2">
      <c r="E31" s="194"/>
    </row>
    <row r="32" spans="1:60" x14ac:dyDescent="0.2">
      <c r="J32" s="26" t="s">
        <v>2593</v>
      </c>
      <c r="K32">
        <v>802</v>
      </c>
    </row>
    <row r="33" spans="1:26" x14ac:dyDescent="0.2">
      <c r="A33" s="6" t="s">
        <v>551</v>
      </c>
      <c r="B33" t="s">
        <v>552</v>
      </c>
      <c r="C33" t="s">
        <v>553</v>
      </c>
      <c r="D33" t="s">
        <v>25</v>
      </c>
      <c r="E33" s="194">
        <v>22383</v>
      </c>
      <c r="F33" s="194">
        <v>480</v>
      </c>
      <c r="G33" s="194">
        <f>E33/F33</f>
        <v>46.631250000000001</v>
      </c>
      <c r="H33" s="194">
        <f>E33</f>
        <v>22383</v>
      </c>
      <c r="I33" s="194">
        <f>E33-H33</f>
        <v>0</v>
      </c>
      <c r="J33" s="194">
        <v>107112.26</v>
      </c>
      <c r="K33" s="194">
        <f>802-50*12-11-11</f>
        <v>180</v>
      </c>
      <c r="L33" s="211">
        <f>J33/K33</f>
        <v>595.06811111111108</v>
      </c>
      <c r="M33" s="194"/>
      <c r="N33" s="194"/>
      <c r="O33" s="194"/>
      <c r="P33" s="194"/>
      <c r="Q33" s="194"/>
      <c r="R33" s="194"/>
    </row>
    <row r="36" spans="1:26" x14ac:dyDescent="0.2">
      <c r="J36" s="26" t="s">
        <v>2588</v>
      </c>
      <c r="K36">
        <v>743</v>
      </c>
      <c r="N36" t="s">
        <v>2589</v>
      </c>
      <c r="O36" s="26" t="s">
        <v>2590</v>
      </c>
    </row>
    <row r="37" spans="1:26" ht="22.5" x14ac:dyDescent="0.2">
      <c r="A37" s="208" t="s">
        <v>1789</v>
      </c>
      <c r="B37" s="199" t="s">
        <v>1790</v>
      </c>
      <c r="C37" s="193" t="s">
        <v>1791</v>
      </c>
      <c r="D37" s="20" t="s">
        <v>44</v>
      </c>
      <c r="E37" s="194">
        <v>375087</v>
      </c>
      <c r="F37">
        <v>180</v>
      </c>
      <c r="G37" s="195">
        <f>E38/F37</f>
        <v>19.783333333333335</v>
      </c>
      <c r="H37" s="195">
        <f>F37*G37</f>
        <v>3561.0000000000005</v>
      </c>
      <c r="I37" s="195">
        <f>E38-H37</f>
        <v>0</v>
      </c>
      <c r="J37" s="195">
        <v>371526</v>
      </c>
      <c r="K37" s="186">
        <f>743-(46*12+11)</f>
        <v>180</v>
      </c>
      <c r="L37" s="195">
        <f>SUM(I37:J37)/K37</f>
        <v>2064.0333333333333</v>
      </c>
      <c r="M37" s="7">
        <f>L37*(12*8)</f>
        <v>198147.20000000001</v>
      </c>
      <c r="N37" s="195">
        <f>I37+J37-M37</f>
        <v>173378.8</v>
      </c>
      <c r="O37" s="195">
        <v>2100052.4700000002</v>
      </c>
      <c r="P37">
        <f>893-46*12-11-12*8</f>
        <v>234</v>
      </c>
      <c r="Q37" s="212">
        <f>(N37+O37)/P37</f>
        <v>9715.5182478632487</v>
      </c>
      <c r="R37" s="195">
        <f>Q37*12</f>
        <v>116586.21897435898</v>
      </c>
    </row>
    <row r="38" spans="1:26" ht="12" x14ac:dyDescent="0.2">
      <c r="A38" t="s">
        <v>2569</v>
      </c>
      <c r="E38" s="197">
        <v>3561</v>
      </c>
      <c r="O38" s="195">
        <f>E38+J37+O37</f>
        <v>2475139.4700000002</v>
      </c>
    </row>
    <row r="40" spans="1:26" x14ac:dyDescent="0.2">
      <c r="J40" s="26" t="s">
        <v>2591</v>
      </c>
      <c r="K40">
        <v>982</v>
      </c>
    </row>
    <row r="41" spans="1:26" ht="24" customHeight="1" x14ac:dyDescent="0.2">
      <c r="A41" t="s">
        <v>1302</v>
      </c>
      <c r="B41" t="s">
        <v>1303</v>
      </c>
      <c r="C41" s="209">
        <v>20090</v>
      </c>
      <c r="D41" t="s">
        <v>19</v>
      </c>
      <c r="E41">
        <v>45719</v>
      </c>
      <c r="F41">
        <v>360</v>
      </c>
      <c r="G41">
        <f>E41/F41</f>
        <v>126.99722222222222</v>
      </c>
      <c r="H41">
        <f>G41*F41</f>
        <v>45719</v>
      </c>
      <c r="I41">
        <f>E41-H41</f>
        <v>0</v>
      </c>
      <c r="J41" s="195">
        <v>107112.26</v>
      </c>
      <c r="K41">
        <f>982-66*12-10</f>
        <v>180</v>
      </c>
      <c r="L41" s="224">
        <f>J41/K41</f>
        <v>595.06811111111108</v>
      </c>
      <c r="P41">
        <f>84+150</f>
        <v>234</v>
      </c>
    </row>
    <row r="42" spans="1:26" x14ac:dyDescent="0.2">
      <c r="J42" s="195"/>
    </row>
    <row r="43" spans="1:26" x14ac:dyDescent="0.2">
      <c r="L43" s="4"/>
    </row>
    <row r="44" spans="1:26" x14ac:dyDescent="0.2">
      <c r="J44" s="26" t="s">
        <v>2598</v>
      </c>
      <c r="K44">
        <v>120</v>
      </c>
      <c r="O44" t="s">
        <v>2599</v>
      </c>
    </row>
    <row r="45" spans="1:26" x14ac:dyDescent="0.2">
      <c r="A45" t="s">
        <v>730</v>
      </c>
      <c r="B45" s="47" t="s">
        <v>731</v>
      </c>
      <c r="C45" t="s">
        <v>732</v>
      </c>
      <c r="D45" t="s">
        <v>79</v>
      </c>
      <c r="E45" s="194">
        <v>87695</v>
      </c>
      <c r="F45">
        <v>480</v>
      </c>
      <c r="G45" s="195">
        <f>E45/F45</f>
        <v>182.69791666666666</v>
      </c>
      <c r="H45" s="195">
        <f>F45*G45</f>
        <v>87695</v>
      </c>
      <c r="I45" s="195">
        <f>E45-H45</f>
        <v>0</v>
      </c>
      <c r="J45" s="195">
        <v>126483.92</v>
      </c>
      <c r="K45" s="186">
        <f>K44</f>
        <v>120</v>
      </c>
      <c r="L45" s="212">
        <f>J45/K45</f>
        <v>1054.0326666666667</v>
      </c>
      <c r="M45" s="7">
        <f>L45*4*12</f>
        <v>50593.567999999999</v>
      </c>
      <c r="N45" s="7">
        <f>J45-M45</f>
        <v>75890.351999999999</v>
      </c>
      <c r="O45" s="7">
        <v>611868.98</v>
      </c>
      <c r="P45" s="7">
        <f>120-4*12</f>
        <v>72</v>
      </c>
      <c r="Q45" s="196">
        <f>(N45+O45)/P45</f>
        <v>9552.2129444444436</v>
      </c>
      <c r="R45" s="7"/>
    </row>
    <row r="46" spans="1:26" x14ac:dyDescent="0.2">
      <c r="E46" s="7">
        <f>E45+J45+O45</f>
        <v>826047.89999999991</v>
      </c>
    </row>
    <row r="47" spans="1:26" x14ac:dyDescent="0.2">
      <c r="J47" s="26"/>
      <c r="N47" s="195">
        <f>H45+M45</f>
        <v>138288.568</v>
      </c>
    </row>
    <row r="48" spans="1:26" x14ac:dyDescent="0.2">
      <c r="J48" s="26" t="s">
        <v>2580</v>
      </c>
      <c r="O48" s="26" t="s">
        <v>2586</v>
      </c>
      <c r="T48" s="26" t="s">
        <v>2600</v>
      </c>
      <c r="W48" t="s">
        <v>2601</v>
      </c>
      <c r="Z48" s="26" t="s">
        <v>2599</v>
      </c>
    </row>
    <row r="49" spans="1:28" ht="12" x14ac:dyDescent="0.2">
      <c r="A49" s="26" t="s">
        <v>727</v>
      </c>
      <c r="B49" t="s">
        <v>728</v>
      </c>
      <c r="C49" t="s">
        <v>729</v>
      </c>
      <c r="D49" s="20" t="s">
        <v>79</v>
      </c>
      <c r="E49" s="197">
        <v>39332</v>
      </c>
      <c r="F49" s="225">
        <v>480</v>
      </c>
      <c r="G49" s="197">
        <f>E49/F49</f>
        <v>81.941666666666663</v>
      </c>
      <c r="H49" s="197">
        <f>G49*(16*12+11)</f>
        <v>16634.158333333333</v>
      </c>
      <c r="I49" s="195">
        <f>E49-H49</f>
        <v>22697.841666666667</v>
      </c>
      <c r="J49" s="195">
        <v>598936</v>
      </c>
      <c r="K49" s="186">
        <f>F49-(16*12+11)</f>
        <v>277</v>
      </c>
      <c r="L49" s="195">
        <f>SUM(I49:J49)/K49</f>
        <v>2244.165493381468</v>
      </c>
      <c r="M49" s="197">
        <f>L49*(4*12+7)</f>
        <v>123429.10213598073</v>
      </c>
      <c r="N49" s="195">
        <f>SUM(I49:J49)-M49</f>
        <v>498204.73953068594</v>
      </c>
      <c r="O49" s="195">
        <v>380856.99</v>
      </c>
      <c r="P49" s="186">
        <f>K49-(4*12+7)</f>
        <v>222</v>
      </c>
      <c r="Q49" s="195">
        <f>SUM(N49:O49)/P49</f>
        <v>3959.7375204084951</v>
      </c>
      <c r="R49" s="197">
        <f>Q49*(1*12+5)</f>
        <v>67315.537846944411</v>
      </c>
      <c r="S49" s="195">
        <f>SUM(N49:O49)-R49</f>
        <v>811746.19168374152</v>
      </c>
      <c r="T49" s="195">
        <v>126483.92</v>
      </c>
      <c r="U49" s="186">
        <f>P49-(1*12+5)</f>
        <v>205</v>
      </c>
      <c r="V49" s="195">
        <f>SUM(S49:T49)/U49</f>
        <v>4576.7322521158121</v>
      </c>
      <c r="W49" s="196">
        <v>4577.1400000000003</v>
      </c>
      <c r="X49" s="195">
        <f>W49*4*12</f>
        <v>219702.72000000003</v>
      </c>
      <c r="Y49" s="195">
        <f>(S49+T49)-X49</f>
        <v>718527.39168374147</v>
      </c>
      <c r="Z49" s="195">
        <v>945049.59</v>
      </c>
      <c r="AA49" s="195">
        <f>U49-4*12</f>
        <v>157</v>
      </c>
      <c r="AB49" s="196">
        <f>(Y49+Z49)/AA49</f>
        <v>10596.031730469689</v>
      </c>
    </row>
    <row r="50" spans="1:28" x14ac:dyDescent="0.2">
      <c r="D50">
        <v>480</v>
      </c>
      <c r="E50" s="195">
        <f>E49+J49+O49+T49+Z49</f>
        <v>2090658.5</v>
      </c>
      <c r="Y50" s="195">
        <f>Y49+Z49</f>
        <v>1663576.9816837413</v>
      </c>
    </row>
    <row r="51" spans="1:28" x14ac:dyDescent="0.2">
      <c r="Y51" s="195"/>
    </row>
    <row r="52" spans="1:28" x14ac:dyDescent="0.2">
      <c r="J52" s="26" t="s">
        <v>2581</v>
      </c>
      <c r="O52" s="26" t="s">
        <v>2600</v>
      </c>
      <c r="T52" s="26" t="s">
        <v>2599</v>
      </c>
    </row>
    <row r="53" spans="1:28" ht="12" x14ac:dyDescent="0.2">
      <c r="A53" s="226" t="s">
        <v>733</v>
      </c>
      <c r="B53" s="193" t="s">
        <v>734</v>
      </c>
      <c r="C53" s="193" t="s">
        <v>735</v>
      </c>
      <c r="D53" s="20" t="s">
        <v>79</v>
      </c>
      <c r="E53" s="197">
        <v>2300571.86</v>
      </c>
      <c r="F53" s="225">
        <v>600</v>
      </c>
      <c r="G53" s="197">
        <f>E53/F53</f>
        <v>3834.2864333333332</v>
      </c>
      <c r="H53" s="197">
        <f>G53*(5*12+8+6)</f>
        <v>283737.19606666669</v>
      </c>
      <c r="I53" s="195">
        <f>E53-H53</f>
        <v>2016834.6639333332</v>
      </c>
      <c r="J53" s="195">
        <v>586213</v>
      </c>
      <c r="K53" s="186">
        <f>F53-(5*12+8+6)</f>
        <v>526</v>
      </c>
      <c r="L53" s="195">
        <f>SUM(I53:J53)/K53</f>
        <v>4948.7598173637507</v>
      </c>
      <c r="M53" s="197">
        <f>L53*(5*12+6)</f>
        <v>326618.14794600755</v>
      </c>
      <c r="N53" s="195">
        <f>SUM(I53:J53)-M53</f>
        <v>2276429.5159873255</v>
      </c>
      <c r="O53" s="195">
        <v>126483.93</v>
      </c>
      <c r="P53" s="186">
        <f>K53-(5*12+6)</f>
        <v>460</v>
      </c>
      <c r="Q53" s="195">
        <f>SUM(N53:O53)/P53</f>
        <v>5223.724882581143</v>
      </c>
      <c r="R53" s="7">
        <f>Q53*(4*12)</f>
        <v>250738.79436389485</v>
      </c>
      <c r="S53" s="195">
        <f>(N53+O53)-R53</f>
        <v>2152174.6516234307</v>
      </c>
      <c r="T53" s="195">
        <v>578589.92000000004</v>
      </c>
      <c r="U53" s="195">
        <f>P53-4*12</f>
        <v>412</v>
      </c>
      <c r="V53" s="212">
        <f>(S53+T53)/U53</f>
        <v>6628.0693486005594</v>
      </c>
      <c r="W53" s="195"/>
      <c r="X53" s="195"/>
      <c r="Y53" s="195"/>
    </row>
    <row r="54" spans="1:28" x14ac:dyDescent="0.2">
      <c r="A54" t="s">
        <v>2569</v>
      </c>
      <c r="D54">
        <v>600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482B-170D-4D13-8729-C0933E9CC142}">
  <dimension ref="A1:J24"/>
  <sheetViews>
    <sheetView workbookViewId="0">
      <selection activeCell="F38" sqref="F38"/>
    </sheetView>
  </sheetViews>
  <sheetFormatPr defaultRowHeight="12.75" x14ac:dyDescent="0.2"/>
  <cols>
    <col min="1" max="1" width="31.6640625" style="239" customWidth="1"/>
    <col min="2" max="4" width="27.5" style="239" customWidth="1"/>
    <col min="5" max="5" width="23" style="239" customWidth="1"/>
    <col min="6" max="6" width="22" style="239" customWidth="1"/>
    <col min="7" max="7" width="27" style="239" customWidth="1"/>
    <col min="8" max="8" width="21.33203125" style="245" customWidth="1"/>
    <col min="9" max="9" width="23.6640625" style="239" customWidth="1"/>
    <col min="10" max="10" width="21.6640625" style="239" customWidth="1"/>
    <col min="11" max="13" width="4.5" style="239" customWidth="1"/>
    <col min="14" max="256" width="9.33203125" style="239"/>
    <col min="257" max="257" width="31.6640625" style="239" customWidth="1"/>
    <col min="258" max="260" width="27.5" style="239" customWidth="1"/>
    <col min="261" max="261" width="23" style="239" customWidth="1"/>
    <col min="262" max="262" width="22" style="239" customWidth="1"/>
    <col min="263" max="263" width="27" style="239" customWidth="1"/>
    <col min="264" max="264" width="21.33203125" style="239" customWidth="1"/>
    <col min="265" max="265" width="23.6640625" style="239" customWidth="1"/>
    <col min="266" max="266" width="21.6640625" style="239" customWidth="1"/>
    <col min="267" max="269" width="4.5" style="239" customWidth="1"/>
    <col min="270" max="512" width="9.33203125" style="239"/>
    <col min="513" max="513" width="31.6640625" style="239" customWidth="1"/>
    <col min="514" max="516" width="27.5" style="239" customWidth="1"/>
    <col min="517" max="517" width="23" style="239" customWidth="1"/>
    <col min="518" max="518" width="22" style="239" customWidth="1"/>
    <col min="519" max="519" width="27" style="239" customWidth="1"/>
    <col min="520" max="520" width="21.33203125" style="239" customWidth="1"/>
    <col min="521" max="521" width="23.6640625" style="239" customWidth="1"/>
    <col min="522" max="522" width="21.6640625" style="239" customWidth="1"/>
    <col min="523" max="525" width="4.5" style="239" customWidth="1"/>
    <col min="526" max="768" width="9.33203125" style="239"/>
    <col min="769" max="769" width="31.6640625" style="239" customWidth="1"/>
    <col min="770" max="772" width="27.5" style="239" customWidth="1"/>
    <col min="773" max="773" width="23" style="239" customWidth="1"/>
    <col min="774" max="774" width="22" style="239" customWidth="1"/>
    <col min="775" max="775" width="27" style="239" customWidth="1"/>
    <col min="776" max="776" width="21.33203125" style="239" customWidth="1"/>
    <col min="777" max="777" width="23.6640625" style="239" customWidth="1"/>
    <col min="778" max="778" width="21.6640625" style="239" customWidth="1"/>
    <col min="779" max="781" width="4.5" style="239" customWidth="1"/>
    <col min="782" max="1024" width="9.33203125" style="239"/>
    <col min="1025" max="1025" width="31.6640625" style="239" customWidth="1"/>
    <col min="1026" max="1028" width="27.5" style="239" customWidth="1"/>
    <col min="1029" max="1029" width="23" style="239" customWidth="1"/>
    <col min="1030" max="1030" width="22" style="239" customWidth="1"/>
    <col min="1031" max="1031" width="27" style="239" customWidth="1"/>
    <col min="1032" max="1032" width="21.33203125" style="239" customWidth="1"/>
    <col min="1033" max="1033" width="23.6640625" style="239" customWidth="1"/>
    <col min="1034" max="1034" width="21.6640625" style="239" customWidth="1"/>
    <col min="1035" max="1037" width="4.5" style="239" customWidth="1"/>
    <col min="1038" max="1280" width="9.33203125" style="239"/>
    <col min="1281" max="1281" width="31.6640625" style="239" customWidth="1"/>
    <col min="1282" max="1284" width="27.5" style="239" customWidth="1"/>
    <col min="1285" max="1285" width="23" style="239" customWidth="1"/>
    <col min="1286" max="1286" width="22" style="239" customWidth="1"/>
    <col min="1287" max="1287" width="27" style="239" customWidth="1"/>
    <col min="1288" max="1288" width="21.33203125" style="239" customWidth="1"/>
    <col min="1289" max="1289" width="23.6640625" style="239" customWidth="1"/>
    <col min="1290" max="1290" width="21.6640625" style="239" customWidth="1"/>
    <col min="1291" max="1293" width="4.5" style="239" customWidth="1"/>
    <col min="1294" max="1536" width="9.33203125" style="239"/>
    <col min="1537" max="1537" width="31.6640625" style="239" customWidth="1"/>
    <col min="1538" max="1540" width="27.5" style="239" customWidth="1"/>
    <col min="1541" max="1541" width="23" style="239" customWidth="1"/>
    <col min="1542" max="1542" width="22" style="239" customWidth="1"/>
    <col min="1543" max="1543" width="27" style="239" customWidth="1"/>
    <col min="1544" max="1544" width="21.33203125" style="239" customWidth="1"/>
    <col min="1545" max="1545" width="23.6640625" style="239" customWidth="1"/>
    <col min="1546" max="1546" width="21.6640625" style="239" customWidth="1"/>
    <col min="1547" max="1549" width="4.5" style="239" customWidth="1"/>
    <col min="1550" max="1792" width="9.33203125" style="239"/>
    <col min="1793" max="1793" width="31.6640625" style="239" customWidth="1"/>
    <col min="1794" max="1796" width="27.5" style="239" customWidth="1"/>
    <col min="1797" max="1797" width="23" style="239" customWidth="1"/>
    <col min="1798" max="1798" width="22" style="239" customWidth="1"/>
    <col min="1799" max="1799" width="27" style="239" customWidth="1"/>
    <col min="1800" max="1800" width="21.33203125" style="239" customWidth="1"/>
    <col min="1801" max="1801" width="23.6640625" style="239" customWidth="1"/>
    <col min="1802" max="1802" width="21.6640625" style="239" customWidth="1"/>
    <col min="1803" max="1805" width="4.5" style="239" customWidth="1"/>
    <col min="1806" max="2048" width="9.33203125" style="239"/>
    <col min="2049" max="2049" width="31.6640625" style="239" customWidth="1"/>
    <col min="2050" max="2052" width="27.5" style="239" customWidth="1"/>
    <col min="2053" max="2053" width="23" style="239" customWidth="1"/>
    <col min="2054" max="2054" width="22" style="239" customWidth="1"/>
    <col min="2055" max="2055" width="27" style="239" customWidth="1"/>
    <col min="2056" max="2056" width="21.33203125" style="239" customWidth="1"/>
    <col min="2057" max="2057" width="23.6640625" style="239" customWidth="1"/>
    <col min="2058" max="2058" width="21.6640625" style="239" customWidth="1"/>
    <col min="2059" max="2061" width="4.5" style="239" customWidth="1"/>
    <col min="2062" max="2304" width="9.33203125" style="239"/>
    <col min="2305" max="2305" width="31.6640625" style="239" customWidth="1"/>
    <col min="2306" max="2308" width="27.5" style="239" customWidth="1"/>
    <col min="2309" max="2309" width="23" style="239" customWidth="1"/>
    <col min="2310" max="2310" width="22" style="239" customWidth="1"/>
    <col min="2311" max="2311" width="27" style="239" customWidth="1"/>
    <col min="2312" max="2312" width="21.33203125" style="239" customWidth="1"/>
    <col min="2313" max="2313" width="23.6640625" style="239" customWidth="1"/>
    <col min="2314" max="2314" width="21.6640625" style="239" customWidth="1"/>
    <col min="2315" max="2317" width="4.5" style="239" customWidth="1"/>
    <col min="2318" max="2560" width="9.33203125" style="239"/>
    <col min="2561" max="2561" width="31.6640625" style="239" customWidth="1"/>
    <col min="2562" max="2564" width="27.5" style="239" customWidth="1"/>
    <col min="2565" max="2565" width="23" style="239" customWidth="1"/>
    <col min="2566" max="2566" width="22" style="239" customWidth="1"/>
    <col min="2567" max="2567" width="27" style="239" customWidth="1"/>
    <col min="2568" max="2568" width="21.33203125" style="239" customWidth="1"/>
    <col min="2569" max="2569" width="23.6640625" style="239" customWidth="1"/>
    <col min="2570" max="2570" width="21.6640625" style="239" customWidth="1"/>
    <col min="2571" max="2573" width="4.5" style="239" customWidth="1"/>
    <col min="2574" max="2816" width="9.33203125" style="239"/>
    <col min="2817" max="2817" width="31.6640625" style="239" customWidth="1"/>
    <col min="2818" max="2820" width="27.5" style="239" customWidth="1"/>
    <col min="2821" max="2821" width="23" style="239" customWidth="1"/>
    <col min="2822" max="2822" width="22" style="239" customWidth="1"/>
    <col min="2823" max="2823" width="27" style="239" customWidth="1"/>
    <col min="2824" max="2824" width="21.33203125" style="239" customWidth="1"/>
    <col min="2825" max="2825" width="23.6640625" style="239" customWidth="1"/>
    <col min="2826" max="2826" width="21.6640625" style="239" customWidth="1"/>
    <col min="2827" max="2829" width="4.5" style="239" customWidth="1"/>
    <col min="2830" max="3072" width="9.33203125" style="239"/>
    <col min="3073" max="3073" width="31.6640625" style="239" customWidth="1"/>
    <col min="3074" max="3076" width="27.5" style="239" customWidth="1"/>
    <col min="3077" max="3077" width="23" style="239" customWidth="1"/>
    <col min="3078" max="3078" width="22" style="239" customWidth="1"/>
    <col min="3079" max="3079" width="27" style="239" customWidth="1"/>
    <col min="3080" max="3080" width="21.33203125" style="239" customWidth="1"/>
    <col min="3081" max="3081" width="23.6640625" style="239" customWidth="1"/>
    <col min="3082" max="3082" width="21.6640625" style="239" customWidth="1"/>
    <col min="3083" max="3085" width="4.5" style="239" customWidth="1"/>
    <col min="3086" max="3328" width="9.33203125" style="239"/>
    <col min="3329" max="3329" width="31.6640625" style="239" customWidth="1"/>
    <col min="3330" max="3332" width="27.5" style="239" customWidth="1"/>
    <col min="3333" max="3333" width="23" style="239" customWidth="1"/>
    <col min="3334" max="3334" width="22" style="239" customWidth="1"/>
    <col min="3335" max="3335" width="27" style="239" customWidth="1"/>
    <col min="3336" max="3336" width="21.33203125" style="239" customWidth="1"/>
    <col min="3337" max="3337" width="23.6640625" style="239" customWidth="1"/>
    <col min="3338" max="3338" width="21.6640625" style="239" customWidth="1"/>
    <col min="3339" max="3341" width="4.5" style="239" customWidth="1"/>
    <col min="3342" max="3584" width="9.33203125" style="239"/>
    <col min="3585" max="3585" width="31.6640625" style="239" customWidth="1"/>
    <col min="3586" max="3588" width="27.5" style="239" customWidth="1"/>
    <col min="3589" max="3589" width="23" style="239" customWidth="1"/>
    <col min="3590" max="3590" width="22" style="239" customWidth="1"/>
    <col min="3591" max="3591" width="27" style="239" customWidth="1"/>
    <col min="3592" max="3592" width="21.33203125" style="239" customWidth="1"/>
    <col min="3593" max="3593" width="23.6640625" style="239" customWidth="1"/>
    <col min="3594" max="3594" width="21.6640625" style="239" customWidth="1"/>
    <col min="3595" max="3597" width="4.5" style="239" customWidth="1"/>
    <col min="3598" max="3840" width="9.33203125" style="239"/>
    <col min="3841" max="3841" width="31.6640625" style="239" customWidth="1"/>
    <col min="3842" max="3844" width="27.5" style="239" customWidth="1"/>
    <col min="3845" max="3845" width="23" style="239" customWidth="1"/>
    <col min="3846" max="3846" width="22" style="239" customWidth="1"/>
    <col min="3847" max="3847" width="27" style="239" customWidth="1"/>
    <col min="3848" max="3848" width="21.33203125" style="239" customWidth="1"/>
    <col min="3849" max="3849" width="23.6640625" style="239" customWidth="1"/>
    <col min="3850" max="3850" width="21.6640625" style="239" customWidth="1"/>
    <col min="3851" max="3853" width="4.5" style="239" customWidth="1"/>
    <col min="3854" max="4096" width="9.33203125" style="239"/>
    <col min="4097" max="4097" width="31.6640625" style="239" customWidth="1"/>
    <col min="4098" max="4100" width="27.5" style="239" customWidth="1"/>
    <col min="4101" max="4101" width="23" style="239" customWidth="1"/>
    <col min="4102" max="4102" width="22" style="239" customWidth="1"/>
    <col min="4103" max="4103" width="27" style="239" customWidth="1"/>
    <col min="4104" max="4104" width="21.33203125" style="239" customWidth="1"/>
    <col min="4105" max="4105" width="23.6640625" style="239" customWidth="1"/>
    <col min="4106" max="4106" width="21.6640625" style="239" customWidth="1"/>
    <col min="4107" max="4109" width="4.5" style="239" customWidth="1"/>
    <col min="4110" max="4352" width="9.33203125" style="239"/>
    <col min="4353" max="4353" width="31.6640625" style="239" customWidth="1"/>
    <col min="4354" max="4356" width="27.5" style="239" customWidth="1"/>
    <col min="4357" max="4357" width="23" style="239" customWidth="1"/>
    <col min="4358" max="4358" width="22" style="239" customWidth="1"/>
    <col min="4359" max="4359" width="27" style="239" customWidth="1"/>
    <col min="4360" max="4360" width="21.33203125" style="239" customWidth="1"/>
    <col min="4361" max="4361" width="23.6640625" style="239" customWidth="1"/>
    <col min="4362" max="4362" width="21.6640625" style="239" customWidth="1"/>
    <col min="4363" max="4365" width="4.5" style="239" customWidth="1"/>
    <col min="4366" max="4608" width="9.33203125" style="239"/>
    <col min="4609" max="4609" width="31.6640625" style="239" customWidth="1"/>
    <col min="4610" max="4612" width="27.5" style="239" customWidth="1"/>
    <col min="4613" max="4613" width="23" style="239" customWidth="1"/>
    <col min="4614" max="4614" width="22" style="239" customWidth="1"/>
    <col min="4615" max="4615" width="27" style="239" customWidth="1"/>
    <col min="4616" max="4616" width="21.33203125" style="239" customWidth="1"/>
    <col min="4617" max="4617" width="23.6640625" style="239" customWidth="1"/>
    <col min="4618" max="4618" width="21.6640625" style="239" customWidth="1"/>
    <col min="4619" max="4621" width="4.5" style="239" customWidth="1"/>
    <col min="4622" max="4864" width="9.33203125" style="239"/>
    <col min="4865" max="4865" width="31.6640625" style="239" customWidth="1"/>
    <col min="4866" max="4868" width="27.5" style="239" customWidth="1"/>
    <col min="4869" max="4869" width="23" style="239" customWidth="1"/>
    <col min="4870" max="4870" width="22" style="239" customWidth="1"/>
    <col min="4871" max="4871" width="27" style="239" customWidth="1"/>
    <col min="4872" max="4872" width="21.33203125" style="239" customWidth="1"/>
    <col min="4873" max="4873" width="23.6640625" style="239" customWidth="1"/>
    <col min="4874" max="4874" width="21.6640625" style="239" customWidth="1"/>
    <col min="4875" max="4877" width="4.5" style="239" customWidth="1"/>
    <col min="4878" max="5120" width="9.33203125" style="239"/>
    <col min="5121" max="5121" width="31.6640625" style="239" customWidth="1"/>
    <col min="5122" max="5124" width="27.5" style="239" customWidth="1"/>
    <col min="5125" max="5125" width="23" style="239" customWidth="1"/>
    <col min="5126" max="5126" width="22" style="239" customWidth="1"/>
    <col min="5127" max="5127" width="27" style="239" customWidth="1"/>
    <col min="5128" max="5128" width="21.33203125" style="239" customWidth="1"/>
    <col min="5129" max="5129" width="23.6640625" style="239" customWidth="1"/>
    <col min="5130" max="5130" width="21.6640625" style="239" customWidth="1"/>
    <col min="5131" max="5133" width="4.5" style="239" customWidth="1"/>
    <col min="5134" max="5376" width="9.33203125" style="239"/>
    <col min="5377" max="5377" width="31.6640625" style="239" customWidth="1"/>
    <col min="5378" max="5380" width="27.5" style="239" customWidth="1"/>
    <col min="5381" max="5381" width="23" style="239" customWidth="1"/>
    <col min="5382" max="5382" width="22" style="239" customWidth="1"/>
    <col min="5383" max="5383" width="27" style="239" customWidth="1"/>
    <col min="5384" max="5384" width="21.33203125" style="239" customWidth="1"/>
    <col min="5385" max="5385" width="23.6640625" style="239" customWidth="1"/>
    <col min="5386" max="5386" width="21.6640625" style="239" customWidth="1"/>
    <col min="5387" max="5389" width="4.5" style="239" customWidth="1"/>
    <col min="5390" max="5632" width="9.33203125" style="239"/>
    <col min="5633" max="5633" width="31.6640625" style="239" customWidth="1"/>
    <col min="5634" max="5636" width="27.5" style="239" customWidth="1"/>
    <col min="5637" max="5637" width="23" style="239" customWidth="1"/>
    <col min="5638" max="5638" width="22" style="239" customWidth="1"/>
    <col min="5639" max="5639" width="27" style="239" customWidth="1"/>
    <col min="5640" max="5640" width="21.33203125" style="239" customWidth="1"/>
    <col min="5641" max="5641" width="23.6640625" style="239" customWidth="1"/>
    <col min="5642" max="5642" width="21.6640625" style="239" customWidth="1"/>
    <col min="5643" max="5645" width="4.5" style="239" customWidth="1"/>
    <col min="5646" max="5888" width="9.33203125" style="239"/>
    <col min="5889" max="5889" width="31.6640625" style="239" customWidth="1"/>
    <col min="5890" max="5892" width="27.5" style="239" customWidth="1"/>
    <col min="5893" max="5893" width="23" style="239" customWidth="1"/>
    <col min="5894" max="5894" width="22" style="239" customWidth="1"/>
    <col min="5895" max="5895" width="27" style="239" customWidth="1"/>
    <col min="5896" max="5896" width="21.33203125" style="239" customWidth="1"/>
    <col min="5897" max="5897" width="23.6640625" style="239" customWidth="1"/>
    <col min="5898" max="5898" width="21.6640625" style="239" customWidth="1"/>
    <col min="5899" max="5901" width="4.5" style="239" customWidth="1"/>
    <col min="5902" max="6144" width="9.33203125" style="239"/>
    <col min="6145" max="6145" width="31.6640625" style="239" customWidth="1"/>
    <col min="6146" max="6148" width="27.5" style="239" customWidth="1"/>
    <col min="6149" max="6149" width="23" style="239" customWidth="1"/>
    <col min="6150" max="6150" width="22" style="239" customWidth="1"/>
    <col min="6151" max="6151" width="27" style="239" customWidth="1"/>
    <col min="6152" max="6152" width="21.33203125" style="239" customWidth="1"/>
    <col min="6153" max="6153" width="23.6640625" style="239" customWidth="1"/>
    <col min="6154" max="6154" width="21.6640625" style="239" customWidth="1"/>
    <col min="6155" max="6157" width="4.5" style="239" customWidth="1"/>
    <col min="6158" max="6400" width="9.33203125" style="239"/>
    <col min="6401" max="6401" width="31.6640625" style="239" customWidth="1"/>
    <col min="6402" max="6404" width="27.5" style="239" customWidth="1"/>
    <col min="6405" max="6405" width="23" style="239" customWidth="1"/>
    <col min="6406" max="6406" width="22" style="239" customWidth="1"/>
    <col min="6407" max="6407" width="27" style="239" customWidth="1"/>
    <col min="6408" max="6408" width="21.33203125" style="239" customWidth="1"/>
    <col min="6409" max="6409" width="23.6640625" style="239" customWidth="1"/>
    <col min="6410" max="6410" width="21.6640625" style="239" customWidth="1"/>
    <col min="6411" max="6413" width="4.5" style="239" customWidth="1"/>
    <col min="6414" max="6656" width="9.33203125" style="239"/>
    <col min="6657" max="6657" width="31.6640625" style="239" customWidth="1"/>
    <col min="6658" max="6660" width="27.5" style="239" customWidth="1"/>
    <col min="6661" max="6661" width="23" style="239" customWidth="1"/>
    <col min="6662" max="6662" width="22" style="239" customWidth="1"/>
    <col min="6663" max="6663" width="27" style="239" customWidth="1"/>
    <col min="6664" max="6664" width="21.33203125" style="239" customWidth="1"/>
    <col min="6665" max="6665" width="23.6640625" style="239" customWidth="1"/>
    <col min="6666" max="6666" width="21.6640625" style="239" customWidth="1"/>
    <col min="6667" max="6669" width="4.5" style="239" customWidth="1"/>
    <col min="6670" max="6912" width="9.33203125" style="239"/>
    <col min="6913" max="6913" width="31.6640625" style="239" customWidth="1"/>
    <col min="6914" max="6916" width="27.5" style="239" customWidth="1"/>
    <col min="6917" max="6917" width="23" style="239" customWidth="1"/>
    <col min="6918" max="6918" width="22" style="239" customWidth="1"/>
    <col min="6919" max="6919" width="27" style="239" customWidth="1"/>
    <col min="6920" max="6920" width="21.33203125" style="239" customWidth="1"/>
    <col min="6921" max="6921" width="23.6640625" style="239" customWidth="1"/>
    <col min="6922" max="6922" width="21.6640625" style="239" customWidth="1"/>
    <col min="6923" max="6925" width="4.5" style="239" customWidth="1"/>
    <col min="6926" max="7168" width="9.33203125" style="239"/>
    <col min="7169" max="7169" width="31.6640625" style="239" customWidth="1"/>
    <col min="7170" max="7172" width="27.5" style="239" customWidth="1"/>
    <col min="7173" max="7173" width="23" style="239" customWidth="1"/>
    <col min="7174" max="7174" width="22" style="239" customWidth="1"/>
    <col min="7175" max="7175" width="27" style="239" customWidth="1"/>
    <col min="7176" max="7176" width="21.33203125" style="239" customWidth="1"/>
    <col min="7177" max="7177" width="23.6640625" style="239" customWidth="1"/>
    <col min="7178" max="7178" width="21.6640625" style="239" customWidth="1"/>
    <col min="7179" max="7181" width="4.5" style="239" customWidth="1"/>
    <col min="7182" max="7424" width="9.33203125" style="239"/>
    <col min="7425" max="7425" width="31.6640625" style="239" customWidth="1"/>
    <col min="7426" max="7428" width="27.5" style="239" customWidth="1"/>
    <col min="7429" max="7429" width="23" style="239" customWidth="1"/>
    <col min="7430" max="7430" width="22" style="239" customWidth="1"/>
    <col min="7431" max="7431" width="27" style="239" customWidth="1"/>
    <col min="7432" max="7432" width="21.33203125" style="239" customWidth="1"/>
    <col min="7433" max="7433" width="23.6640625" style="239" customWidth="1"/>
    <col min="7434" max="7434" width="21.6640625" style="239" customWidth="1"/>
    <col min="7435" max="7437" width="4.5" style="239" customWidth="1"/>
    <col min="7438" max="7680" width="9.33203125" style="239"/>
    <col min="7681" max="7681" width="31.6640625" style="239" customWidth="1"/>
    <col min="7682" max="7684" width="27.5" style="239" customWidth="1"/>
    <col min="7685" max="7685" width="23" style="239" customWidth="1"/>
    <col min="7686" max="7686" width="22" style="239" customWidth="1"/>
    <col min="7687" max="7687" width="27" style="239" customWidth="1"/>
    <col min="7688" max="7688" width="21.33203125" style="239" customWidth="1"/>
    <col min="7689" max="7689" width="23.6640625" style="239" customWidth="1"/>
    <col min="7690" max="7690" width="21.6640625" style="239" customWidth="1"/>
    <col min="7691" max="7693" width="4.5" style="239" customWidth="1"/>
    <col min="7694" max="7936" width="9.33203125" style="239"/>
    <col min="7937" max="7937" width="31.6640625" style="239" customWidth="1"/>
    <col min="7938" max="7940" width="27.5" style="239" customWidth="1"/>
    <col min="7941" max="7941" width="23" style="239" customWidth="1"/>
    <col min="7942" max="7942" width="22" style="239" customWidth="1"/>
    <col min="7943" max="7943" width="27" style="239" customWidth="1"/>
    <col min="7944" max="7944" width="21.33203125" style="239" customWidth="1"/>
    <col min="7945" max="7945" width="23.6640625" style="239" customWidth="1"/>
    <col min="7946" max="7946" width="21.6640625" style="239" customWidth="1"/>
    <col min="7947" max="7949" width="4.5" style="239" customWidth="1"/>
    <col min="7950" max="8192" width="9.33203125" style="239"/>
    <col min="8193" max="8193" width="31.6640625" style="239" customWidth="1"/>
    <col min="8194" max="8196" width="27.5" style="239" customWidth="1"/>
    <col min="8197" max="8197" width="23" style="239" customWidth="1"/>
    <col min="8198" max="8198" width="22" style="239" customWidth="1"/>
    <col min="8199" max="8199" width="27" style="239" customWidth="1"/>
    <col min="8200" max="8200" width="21.33203125" style="239" customWidth="1"/>
    <col min="8201" max="8201" width="23.6640625" style="239" customWidth="1"/>
    <col min="8202" max="8202" width="21.6640625" style="239" customWidth="1"/>
    <col min="8203" max="8205" width="4.5" style="239" customWidth="1"/>
    <col min="8206" max="8448" width="9.33203125" style="239"/>
    <col min="8449" max="8449" width="31.6640625" style="239" customWidth="1"/>
    <col min="8450" max="8452" width="27.5" style="239" customWidth="1"/>
    <col min="8453" max="8453" width="23" style="239" customWidth="1"/>
    <col min="8454" max="8454" width="22" style="239" customWidth="1"/>
    <col min="8455" max="8455" width="27" style="239" customWidth="1"/>
    <col min="8456" max="8456" width="21.33203125" style="239" customWidth="1"/>
    <col min="8457" max="8457" width="23.6640625" style="239" customWidth="1"/>
    <col min="8458" max="8458" width="21.6640625" style="239" customWidth="1"/>
    <col min="8459" max="8461" width="4.5" style="239" customWidth="1"/>
    <col min="8462" max="8704" width="9.33203125" style="239"/>
    <col min="8705" max="8705" width="31.6640625" style="239" customWidth="1"/>
    <col min="8706" max="8708" width="27.5" style="239" customWidth="1"/>
    <col min="8709" max="8709" width="23" style="239" customWidth="1"/>
    <col min="8710" max="8710" width="22" style="239" customWidth="1"/>
    <col min="8711" max="8711" width="27" style="239" customWidth="1"/>
    <col min="8712" max="8712" width="21.33203125" style="239" customWidth="1"/>
    <col min="8713" max="8713" width="23.6640625" style="239" customWidth="1"/>
    <col min="8714" max="8714" width="21.6640625" style="239" customWidth="1"/>
    <col min="8715" max="8717" width="4.5" style="239" customWidth="1"/>
    <col min="8718" max="8960" width="9.33203125" style="239"/>
    <col min="8961" max="8961" width="31.6640625" style="239" customWidth="1"/>
    <col min="8962" max="8964" width="27.5" style="239" customWidth="1"/>
    <col min="8965" max="8965" width="23" style="239" customWidth="1"/>
    <col min="8966" max="8966" width="22" style="239" customWidth="1"/>
    <col min="8967" max="8967" width="27" style="239" customWidth="1"/>
    <col min="8968" max="8968" width="21.33203125" style="239" customWidth="1"/>
    <col min="8969" max="8969" width="23.6640625" style="239" customWidth="1"/>
    <col min="8970" max="8970" width="21.6640625" style="239" customWidth="1"/>
    <col min="8971" max="8973" width="4.5" style="239" customWidth="1"/>
    <col min="8974" max="9216" width="9.33203125" style="239"/>
    <col min="9217" max="9217" width="31.6640625" style="239" customWidth="1"/>
    <col min="9218" max="9220" width="27.5" style="239" customWidth="1"/>
    <col min="9221" max="9221" width="23" style="239" customWidth="1"/>
    <col min="9222" max="9222" width="22" style="239" customWidth="1"/>
    <col min="9223" max="9223" width="27" style="239" customWidth="1"/>
    <col min="9224" max="9224" width="21.33203125" style="239" customWidth="1"/>
    <col min="9225" max="9225" width="23.6640625" style="239" customWidth="1"/>
    <col min="9226" max="9226" width="21.6640625" style="239" customWidth="1"/>
    <col min="9227" max="9229" width="4.5" style="239" customWidth="1"/>
    <col min="9230" max="9472" width="9.33203125" style="239"/>
    <col min="9473" max="9473" width="31.6640625" style="239" customWidth="1"/>
    <col min="9474" max="9476" width="27.5" style="239" customWidth="1"/>
    <col min="9477" max="9477" width="23" style="239" customWidth="1"/>
    <col min="9478" max="9478" width="22" style="239" customWidth="1"/>
    <col min="9479" max="9479" width="27" style="239" customWidth="1"/>
    <col min="9480" max="9480" width="21.33203125" style="239" customWidth="1"/>
    <col min="9481" max="9481" width="23.6640625" style="239" customWidth="1"/>
    <col min="9482" max="9482" width="21.6640625" style="239" customWidth="1"/>
    <col min="9483" max="9485" width="4.5" style="239" customWidth="1"/>
    <col min="9486" max="9728" width="9.33203125" style="239"/>
    <col min="9729" max="9729" width="31.6640625" style="239" customWidth="1"/>
    <col min="9730" max="9732" width="27.5" style="239" customWidth="1"/>
    <col min="9733" max="9733" width="23" style="239" customWidth="1"/>
    <col min="9734" max="9734" width="22" style="239" customWidth="1"/>
    <col min="9735" max="9735" width="27" style="239" customWidth="1"/>
    <col min="9736" max="9736" width="21.33203125" style="239" customWidth="1"/>
    <col min="9737" max="9737" width="23.6640625" style="239" customWidth="1"/>
    <col min="9738" max="9738" width="21.6640625" style="239" customWidth="1"/>
    <col min="9739" max="9741" width="4.5" style="239" customWidth="1"/>
    <col min="9742" max="9984" width="9.33203125" style="239"/>
    <col min="9985" max="9985" width="31.6640625" style="239" customWidth="1"/>
    <col min="9986" max="9988" width="27.5" style="239" customWidth="1"/>
    <col min="9989" max="9989" width="23" style="239" customWidth="1"/>
    <col min="9990" max="9990" width="22" style="239" customWidth="1"/>
    <col min="9991" max="9991" width="27" style="239" customWidth="1"/>
    <col min="9992" max="9992" width="21.33203125" style="239" customWidth="1"/>
    <col min="9993" max="9993" width="23.6640625" style="239" customWidth="1"/>
    <col min="9994" max="9994" width="21.6640625" style="239" customWidth="1"/>
    <col min="9995" max="9997" width="4.5" style="239" customWidth="1"/>
    <col min="9998" max="10240" width="9.33203125" style="239"/>
    <col min="10241" max="10241" width="31.6640625" style="239" customWidth="1"/>
    <col min="10242" max="10244" width="27.5" style="239" customWidth="1"/>
    <col min="10245" max="10245" width="23" style="239" customWidth="1"/>
    <col min="10246" max="10246" width="22" style="239" customWidth="1"/>
    <col min="10247" max="10247" width="27" style="239" customWidth="1"/>
    <col min="10248" max="10248" width="21.33203125" style="239" customWidth="1"/>
    <col min="10249" max="10249" width="23.6640625" style="239" customWidth="1"/>
    <col min="10250" max="10250" width="21.6640625" style="239" customWidth="1"/>
    <col min="10251" max="10253" width="4.5" style="239" customWidth="1"/>
    <col min="10254" max="10496" width="9.33203125" style="239"/>
    <col min="10497" max="10497" width="31.6640625" style="239" customWidth="1"/>
    <col min="10498" max="10500" width="27.5" style="239" customWidth="1"/>
    <col min="10501" max="10501" width="23" style="239" customWidth="1"/>
    <col min="10502" max="10502" width="22" style="239" customWidth="1"/>
    <col min="10503" max="10503" width="27" style="239" customWidth="1"/>
    <col min="10504" max="10504" width="21.33203125" style="239" customWidth="1"/>
    <col min="10505" max="10505" width="23.6640625" style="239" customWidth="1"/>
    <col min="10506" max="10506" width="21.6640625" style="239" customWidth="1"/>
    <col min="10507" max="10509" width="4.5" style="239" customWidth="1"/>
    <col min="10510" max="10752" width="9.33203125" style="239"/>
    <col min="10753" max="10753" width="31.6640625" style="239" customWidth="1"/>
    <col min="10754" max="10756" width="27.5" style="239" customWidth="1"/>
    <col min="10757" max="10757" width="23" style="239" customWidth="1"/>
    <col min="10758" max="10758" width="22" style="239" customWidth="1"/>
    <col min="10759" max="10759" width="27" style="239" customWidth="1"/>
    <col min="10760" max="10760" width="21.33203125" style="239" customWidth="1"/>
    <col min="10761" max="10761" width="23.6640625" style="239" customWidth="1"/>
    <col min="10762" max="10762" width="21.6640625" style="239" customWidth="1"/>
    <col min="10763" max="10765" width="4.5" style="239" customWidth="1"/>
    <col min="10766" max="11008" width="9.33203125" style="239"/>
    <col min="11009" max="11009" width="31.6640625" style="239" customWidth="1"/>
    <col min="11010" max="11012" width="27.5" style="239" customWidth="1"/>
    <col min="11013" max="11013" width="23" style="239" customWidth="1"/>
    <col min="11014" max="11014" width="22" style="239" customWidth="1"/>
    <col min="11015" max="11015" width="27" style="239" customWidth="1"/>
    <col min="11016" max="11016" width="21.33203125" style="239" customWidth="1"/>
    <col min="11017" max="11017" width="23.6640625" style="239" customWidth="1"/>
    <col min="11018" max="11018" width="21.6640625" style="239" customWidth="1"/>
    <col min="11019" max="11021" width="4.5" style="239" customWidth="1"/>
    <col min="11022" max="11264" width="9.33203125" style="239"/>
    <col min="11265" max="11265" width="31.6640625" style="239" customWidth="1"/>
    <col min="11266" max="11268" width="27.5" style="239" customWidth="1"/>
    <col min="11269" max="11269" width="23" style="239" customWidth="1"/>
    <col min="11270" max="11270" width="22" style="239" customWidth="1"/>
    <col min="11271" max="11271" width="27" style="239" customWidth="1"/>
    <col min="11272" max="11272" width="21.33203125" style="239" customWidth="1"/>
    <col min="11273" max="11273" width="23.6640625" style="239" customWidth="1"/>
    <col min="11274" max="11274" width="21.6640625" style="239" customWidth="1"/>
    <col min="11275" max="11277" width="4.5" style="239" customWidth="1"/>
    <col min="11278" max="11520" width="9.33203125" style="239"/>
    <col min="11521" max="11521" width="31.6640625" style="239" customWidth="1"/>
    <col min="11522" max="11524" width="27.5" style="239" customWidth="1"/>
    <col min="11525" max="11525" width="23" style="239" customWidth="1"/>
    <col min="11526" max="11526" width="22" style="239" customWidth="1"/>
    <col min="11527" max="11527" width="27" style="239" customWidth="1"/>
    <col min="11528" max="11528" width="21.33203125" style="239" customWidth="1"/>
    <col min="11529" max="11529" width="23.6640625" style="239" customWidth="1"/>
    <col min="11530" max="11530" width="21.6640625" style="239" customWidth="1"/>
    <col min="11531" max="11533" width="4.5" style="239" customWidth="1"/>
    <col min="11534" max="11776" width="9.33203125" style="239"/>
    <col min="11777" max="11777" width="31.6640625" style="239" customWidth="1"/>
    <col min="11778" max="11780" width="27.5" style="239" customWidth="1"/>
    <col min="11781" max="11781" width="23" style="239" customWidth="1"/>
    <col min="11782" max="11782" width="22" style="239" customWidth="1"/>
    <col min="11783" max="11783" width="27" style="239" customWidth="1"/>
    <col min="11784" max="11784" width="21.33203125" style="239" customWidth="1"/>
    <col min="11785" max="11785" width="23.6640625" style="239" customWidth="1"/>
    <col min="11786" max="11786" width="21.6640625" style="239" customWidth="1"/>
    <col min="11787" max="11789" width="4.5" style="239" customWidth="1"/>
    <col min="11790" max="12032" width="9.33203125" style="239"/>
    <col min="12033" max="12033" width="31.6640625" style="239" customWidth="1"/>
    <col min="12034" max="12036" width="27.5" style="239" customWidth="1"/>
    <col min="12037" max="12037" width="23" style="239" customWidth="1"/>
    <col min="12038" max="12038" width="22" style="239" customWidth="1"/>
    <col min="12039" max="12039" width="27" style="239" customWidth="1"/>
    <col min="12040" max="12040" width="21.33203125" style="239" customWidth="1"/>
    <col min="12041" max="12041" width="23.6640625" style="239" customWidth="1"/>
    <col min="12042" max="12042" width="21.6640625" style="239" customWidth="1"/>
    <col min="12043" max="12045" width="4.5" style="239" customWidth="1"/>
    <col min="12046" max="12288" width="9.33203125" style="239"/>
    <col min="12289" max="12289" width="31.6640625" style="239" customWidth="1"/>
    <col min="12290" max="12292" width="27.5" style="239" customWidth="1"/>
    <col min="12293" max="12293" width="23" style="239" customWidth="1"/>
    <col min="12294" max="12294" width="22" style="239" customWidth="1"/>
    <col min="12295" max="12295" width="27" style="239" customWidth="1"/>
    <col min="12296" max="12296" width="21.33203125" style="239" customWidth="1"/>
    <col min="12297" max="12297" width="23.6640625" style="239" customWidth="1"/>
    <col min="12298" max="12298" width="21.6640625" style="239" customWidth="1"/>
    <col min="12299" max="12301" width="4.5" style="239" customWidth="1"/>
    <col min="12302" max="12544" width="9.33203125" style="239"/>
    <col min="12545" max="12545" width="31.6640625" style="239" customWidth="1"/>
    <col min="12546" max="12548" width="27.5" style="239" customWidth="1"/>
    <col min="12549" max="12549" width="23" style="239" customWidth="1"/>
    <col min="12550" max="12550" width="22" style="239" customWidth="1"/>
    <col min="12551" max="12551" width="27" style="239" customWidth="1"/>
    <col min="12552" max="12552" width="21.33203125" style="239" customWidth="1"/>
    <col min="12553" max="12553" width="23.6640625" style="239" customWidth="1"/>
    <col min="12554" max="12554" width="21.6640625" style="239" customWidth="1"/>
    <col min="12555" max="12557" width="4.5" style="239" customWidth="1"/>
    <col min="12558" max="12800" width="9.33203125" style="239"/>
    <col min="12801" max="12801" width="31.6640625" style="239" customWidth="1"/>
    <col min="12802" max="12804" width="27.5" style="239" customWidth="1"/>
    <col min="12805" max="12805" width="23" style="239" customWidth="1"/>
    <col min="12806" max="12806" width="22" style="239" customWidth="1"/>
    <col min="12807" max="12807" width="27" style="239" customWidth="1"/>
    <col min="12808" max="12808" width="21.33203125" style="239" customWidth="1"/>
    <col min="12809" max="12809" width="23.6640625" style="239" customWidth="1"/>
    <col min="12810" max="12810" width="21.6640625" style="239" customWidth="1"/>
    <col min="12811" max="12813" width="4.5" style="239" customWidth="1"/>
    <col min="12814" max="13056" width="9.33203125" style="239"/>
    <col min="13057" max="13057" width="31.6640625" style="239" customWidth="1"/>
    <col min="13058" max="13060" width="27.5" style="239" customWidth="1"/>
    <col min="13061" max="13061" width="23" style="239" customWidth="1"/>
    <col min="13062" max="13062" width="22" style="239" customWidth="1"/>
    <col min="13063" max="13063" width="27" style="239" customWidth="1"/>
    <col min="13064" max="13064" width="21.33203125" style="239" customWidth="1"/>
    <col min="13065" max="13065" width="23.6640625" style="239" customWidth="1"/>
    <col min="13066" max="13066" width="21.6640625" style="239" customWidth="1"/>
    <col min="13067" max="13069" width="4.5" style="239" customWidth="1"/>
    <col min="13070" max="13312" width="9.33203125" style="239"/>
    <col min="13313" max="13313" width="31.6640625" style="239" customWidth="1"/>
    <col min="13314" max="13316" width="27.5" style="239" customWidth="1"/>
    <col min="13317" max="13317" width="23" style="239" customWidth="1"/>
    <col min="13318" max="13318" width="22" style="239" customWidth="1"/>
    <col min="13319" max="13319" width="27" style="239" customWidth="1"/>
    <col min="13320" max="13320" width="21.33203125" style="239" customWidth="1"/>
    <col min="13321" max="13321" width="23.6640625" style="239" customWidth="1"/>
    <col min="13322" max="13322" width="21.6640625" style="239" customWidth="1"/>
    <col min="13323" max="13325" width="4.5" style="239" customWidth="1"/>
    <col min="13326" max="13568" width="9.33203125" style="239"/>
    <col min="13569" max="13569" width="31.6640625" style="239" customWidth="1"/>
    <col min="13570" max="13572" width="27.5" style="239" customWidth="1"/>
    <col min="13573" max="13573" width="23" style="239" customWidth="1"/>
    <col min="13574" max="13574" width="22" style="239" customWidth="1"/>
    <col min="13575" max="13575" width="27" style="239" customWidth="1"/>
    <col min="13576" max="13576" width="21.33203125" style="239" customWidth="1"/>
    <col min="13577" max="13577" width="23.6640625" style="239" customWidth="1"/>
    <col min="13578" max="13578" width="21.6640625" style="239" customWidth="1"/>
    <col min="13579" max="13581" width="4.5" style="239" customWidth="1"/>
    <col min="13582" max="13824" width="9.33203125" style="239"/>
    <col min="13825" max="13825" width="31.6640625" style="239" customWidth="1"/>
    <col min="13826" max="13828" width="27.5" style="239" customWidth="1"/>
    <col min="13829" max="13829" width="23" style="239" customWidth="1"/>
    <col min="13830" max="13830" width="22" style="239" customWidth="1"/>
    <col min="13831" max="13831" width="27" style="239" customWidth="1"/>
    <col min="13832" max="13832" width="21.33203125" style="239" customWidth="1"/>
    <col min="13833" max="13833" width="23.6640625" style="239" customWidth="1"/>
    <col min="13834" max="13834" width="21.6640625" style="239" customWidth="1"/>
    <col min="13835" max="13837" width="4.5" style="239" customWidth="1"/>
    <col min="13838" max="14080" width="9.33203125" style="239"/>
    <col min="14081" max="14081" width="31.6640625" style="239" customWidth="1"/>
    <col min="14082" max="14084" width="27.5" style="239" customWidth="1"/>
    <col min="14085" max="14085" width="23" style="239" customWidth="1"/>
    <col min="14086" max="14086" width="22" style="239" customWidth="1"/>
    <col min="14087" max="14087" width="27" style="239" customWidth="1"/>
    <col min="14088" max="14088" width="21.33203125" style="239" customWidth="1"/>
    <col min="14089" max="14089" width="23.6640625" style="239" customWidth="1"/>
    <col min="14090" max="14090" width="21.6640625" style="239" customWidth="1"/>
    <col min="14091" max="14093" width="4.5" style="239" customWidth="1"/>
    <col min="14094" max="14336" width="9.33203125" style="239"/>
    <col min="14337" max="14337" width="31.6640625" style="239" customWidth="1"/>
    <col min="14338" max="14340" width="27.5" style="239" customWidth="1"/>
    <col min="14341" max="14341" width="23" style="239" customWidth="1"/>
    <col min="14342" max="14342" width="22" style="239" customWidth="1"/>
    <col min="14343" max="14343" width="27" style="239" customWidth="1"/>
    <col min="14344" max="14344" width="21.33203125" style="239" customWidth="1"/>
    <col min="14345" max="14345" width="23.6640625" style="239" customWidth="1"/>
    <col min="14346" max="14346" width="21.6640625" style="239" customWidth="1"/>
    <col min="14347" max="14349" width="4.5" style="239" customWidth="1"/>
    <col min="14350" max="14592" width="9.33203125" style="239"/>
    <col min="14593" max="14593" width="31.6640625" style="239" customWidth="1"/>
    <col min="14594" max="14596" width="27.5" style="239" customWidth="1"/>
    <col min="14597" max="14597" width="23" style="239" customWidth="1"/>
    <col min="14598" max="14598" width="22" style="239" customWidth="1"/>
    <col min="14599" max="14599" width="27" style="239" customWidth="1"/>
    <col min="14600" max="14600" width="21.33203125" style="239" customWidth="1"/>
    <col min="14601" max="14601" width="23.6640625" style="239" customWidth="1"/>
    <col min="14602" max="14602" width="21.6640625" style="239" customWidth="1"/>
    <col min="14603" max="14605" width="4.5" style="239" customWidth="1"/>
    <col min="14606" max="14848" width="9.33203125" style="239"/>
    <col min="14849" max="14849" width="31.6640625" style="239" customWidth="1"/>
    <col min="14850" max="14852" width="27.5" style="239" customWidth="1"/>
    <col min="14853" max="14853" width="23" style="239" customWidth="1"/>
    <col min="14854" max="14854" width="22" style="239" customWidth="1"/>
    <col min="14855" max="14855" width="27" style="239" customWidth="1"/>
    <col min="14856" max="14856" width="21.33203125" style="239" customWidth="1"/>
    <col min="14857" max="14857" width="23.6640625" style="239" customWidth="1"/>
    <col min="14858" max="14858" width="21.6640625" style="239" customWidth="1"/>
    <col min="14859" max="14861" width="4.5" style="239" customWidth="1"/>
    <col min="14862" max="15104" width="9.33203125" style="239"/>
    <col min="15105" max="15105" width="31.6640625" style="239" customWidth="1"/>
    <col min="15106" max="15108" width="27.5" style="239" customWidth="1"/>
    <col min="15109" max="15109" width="23" style="239" customWidth="1"/>
    <col min="15110" max="15110" width="22" style="239" customWidth="1"/>
    <col min="15111" max="15111" width="27" style="239" customWidth="1"/>
    <col min="15112" max="15112" width="21.33203125" style="239" customWidth="1"/>
    <col min="15113" max="15113" width="23.6640625" style="239" customWidth="1"/>
    <col min="15114" max="15114" width="21.6640625" style="239" customWidth="1"/>
    <col min="15115" max="15117" width="4.5" style="239" customWidth="1"/>
    <col min="15118" max="15360" width="9.33203125" style="239"/>
    <col min="15361" max="15361" width="31.6640625" style="239" customWidth="1"/>
    <col min="15362" max="15364" width="27.5" style="239" customWidth="1"/>
    <col min="15365" max="15365" width="23" style="239" customWidth="1"/>
    <col min="15366" max="15366" width="22" style="239" customWidth="1"/>
    <col min="15367" max="15367" width="27" style="239" customWidth="1"/>
    <col min="15368" max="15368" width="21.33203125" style="239" customWidth="1"/>
    <col min="15369" max="15369" width="23.6640625" style="239" customWidth="1"/>
    <col min="15370" max="15370" width="21.6640625" style="239" customWidth="1"/>
    <col min="15371" max="15373" width="4.5" style="239" customWidth="1"/>
    <col min="15374" max="15616" width="9.33203125" style="239"/>
    <col min="15617" max="15617" width="31.6640625" style="239" customWidth="1"/>
    <col min="15618" max="15620" width="27.5" style="239" customWidth="1"/>
    <col min="15621" max="15621" width="23" style="239" customWidth="1"/>
    <col min="15622" max="15622" width="22" style="239" customWidth="1"/>
    <col min="15623" max="15623" width="27" style="239" customWidth="1"/>
    <col min="15624" max="15624" width="21.33203125" style="239" customWidth="1"/>
    <col min="15625" max="15625" width="23.6640625" style="239" customWidth="1"/>
    <col min="15626" max="15626" width="21.6640625" style="239" customWidth="1"/>
    <col min="15627" max="15629" width="4.5" style="239" customWidth="1"/>
    <col min="15630" max="15872" width="9.33203125" style="239"/>
    <col min="15873" max="15873" width="31.6640625" style="239" customWidth="1"/>
    <col min="15874" max="15876" width="27.5" style="239" customWidth="1"/>
    <col min="15877" max="15877" width="23" style="239" customWidth="1"/>
    <col min="15878" max="15878" width="22" style="239" customWidth="1"/>
    <col min="15879" max="15879" width="27" style="239" customWidth="1"/>
    <col min="15880" max="15880" width="21.33203125" style="239" customWidth="1"/>
    <col min="15881" max="15881" width="23.6640625" style="239" customWidth="1"/>
    <col min="15882" max="15882" width="21.6640625" style="239" customWidth="1"/>
    <col min="15883" max="15885" width="4.5" style="239" customWidth="1"/>
    <col min="15886" max="16128" width="9.33203125" style="239"/>
    <col min="16129" max="16129" width="31.6640625" style="239" customWidth="1"/>
    <col min="16130" max="16132" width="27.5" style="239" customWidth="1"/>
    <col min="16133" max="16133" width="23" style="239" customWidth="1"/>
    <col min="16134" max="16134" width="22" style="239" customWidth="1"/>
    <col min="16135" max="16135" width="27" style="239" customWidth="1"/>
    <col min="16136" max="16136" width="21.33203125" style="239" customWidth="1"/>
    <col min="16137" max="16137" width="23.6640625" style="239" customWidth="1"/>
    <col min="16138" max="16138" width="21.6640625" style="239" customWidth="1"/>
    <col min="16139" max="16141" width="4.5" style="239" customWidth="1"/>
    <col min="16142" max="16384" width="9.33203125" style="239"/>
  </cols>
  <sheetData>
    <row r="1" spans="1:10" ht="18" x14ac:dyDescent="0.25">
      <c r="A1" s="308" t="s">
        <v>2692</v>
      </c>
      <c r="B1" s="308"/>
      <c r="C1" s="308"/>
      <c r="D1" s="308"/>
      <c r="E1" s="308"/>
      <c r="F1" s="308"/>
      <c r="G1" s="308"/>
      <c r="H1" s="308"/>
      <c r="I1" s="308"/>
    </row>
    <row r="2" spans="1:10" ht="18" x14ac:dyDescent="0.25">
      <c r="A2" s="308" t="s">
        <v>2693</v>
      </c>
      <c r="B2" s="308"/>
      <c r="C2" s="308"/>
      <c r="D2" s="308"/>
      <c r="E2" s="308"/>
      <c r="F2" s="308"/>
      <c r="G2" s="308"/>
      <c r="H2" s="308"/>
      <c r="I2" s="308"/>
    </row>
    <row r="3" spans="1:10" ht="18" x14ac:dyDescent="0.25">
      <c r="A3" s="308" t="s">
        <v>2694</v>
      </c>
      <c r="B3" s="308"/>
      <c r="C3" s="308"/>
      <c r="D3" s="308"/>
      <c r="E3" s="308"/>
      <c r="F3" s="308"/>
      <c r="G3" s="308"/>
      <c r="H3" s="308"/>
      <c r="I3" s="308"/>
    </row>
    <row r="5" spans="1:10" s="241" customFormat="1" ht="25.5" x14ac:dyDescent="0.2">
      <c r="A5" s="240"/>
      <c r="B5" s="240" t="s">
        <v>67</v>
      </c>
      <c r="C5" s="240" t="s">
        <v>41</v>
      </c>
      <c r="D5" s="240" t="s">
        <v>76</v>
      </c>
      <c r="E5" s="240" t="s">
        <v>30</v>
      </c>
      <c r="F5" s="240" t="s">
        <v>85</v>
      </c>
      <c r="G5" s="240" t="s">
        <v>2695</v>
      </c>
      <c r="H5" s="240" t="s">
        <v>2696</v>
      </c>
      <c r="I5" s="240" t="s">
        <v>2697</v>
      </c>
    </row>
    <row r="6" spans="1:10" ht="15.75" x14ac:dyDescent="0.2">
      <c r="A6" s="242" t="s">
        <v>2791</v>
      </c>
      <c r="B6" s="243">
        <f>'2023-2027'!N719</f>
        <v>44021050.859665044</v>
      </c>
      <c r="C6" s="243">
        <f>'2023-2027'!N720</f>
        <v>30996747.901759673</v>
      </c>
      <c r="D6" s="243">
        <f>'2023-2027'!N702</f>
        <v>1760473.5199999996</v>
      </c>
      <c r="E6" s="243">
        <f>'2023-2027'!N721</f>
        <v>63458.656666666662</v>
      </c>
      <c r="F6" s="243">
        <f>'2023-2027'!N709</f>
        <v>113987.62732933332</v>
      </c>
      <c r="G6" s="243">
        <f>'2023-2027'!N705</f>
        <v>2556609.5456789401</v>
      </c>
      <c r="H6" s="243">
        <f>'2023-2027'!N706</f>
        <v>439854.21266846271</v>
      </c>
      <c r="I6" s="243">
        <f t="shared" ref="I6:I11" si="0">SUM(B6:H6)</f>
        <v>79952182.323768124</v>
      </c>
      <c r="J6" s="244">
        <f>I6-'2023-2027'!N697</f>
        <v>0</v>
      </c>
    </row>
    <row r="7" spans="1:10" ht="15.75" x14ac:dyDescent="0.2">
      <c r="A7" s="242" t="s">
        <v>2792</v>
      </c>
      <c r="B7" s="243">
        <f>'2023-2027'!AC719</f>
        <v>38490302.39208515</v>
      </c>
      <c r="C7" s="243">
        <f>'2023-2027'!AC720</f>
        <v>32966468.744884729</v>
      </c>
      <c r="D7" s="243">
        <f>'2023-2027'!AC702</f>
        <v>1765364.0399999998</v>
      </c>
      <c r="E7" s="243">
        <f>'2023-2027'!AC721</f>
        <v>1718512.3795952378</v>
      </c>
      <c r="F7" s="243">
        <f>'2023-2027'!AC709</f>
        <v>112242.67732933334</v>
      </c>
      <c r="G7" s="243">
        <f>'2023-2027'!AC705</f>
        <v>2236685.2167106858</v>
      </c>
      <c r="H7" s="243">
        <f>'2023-2027'!AC706</f>
        <v>433105.56266846269</v>
      </c>
      <c r="I7" s="243">
        <f t="shared" si="0"/>
        <v>77722681.013273597</v>
      </c>
      <c r="J7" s="244">
        <f>I7-'2023-2027'!AC697</f>
        <v>0</v>
      </c>
    </row>
    <row r="8" spans="1:10" ht="15.75" x14ac:dyDescent="0.2">
      <c r="A8" s="242" t="s">
        <v>2793</v>
      </c>
      <c r="B8" s="243">
        <f>'2023-2027'!AT719</f>
        <v>32015910.645918481</v>
      </c>
      <c r="C8" s="243">
        <f>'2023-2027'!AT720</f>
        <v>35699706.036095843</v>
      </c>
      <c r="D8" s="243">
        <f>'2023-2027'!AT702</f>
        <v>3385145.7860317458</v>
      </c>
      <c r="E8" s="243">
        <f>'2023-2027'!AT721</f>
        <v>19751625.027142856</v>
      </c>
      <c r="F8" s="243">
        <f>'2023-2027'!AT709</f>
        <v>111422.11732933333</v>
      </c>
      <c r="G8" s="243">
        <f>'2023-2027'!AT705</f>
        <v>2028601.523139257</v>
      </c>
      <c r="H8" s="243">
        <f>'2023-2027'!AT706</f>
        <v>449302.20266846271</v>
      </c>
      <c r="I8" s="243">
        <f t="shared" si="0"/>
        <v>93441713.338325962</v>
      </c>
      <c r="J8" s="244">
        <f>I8-'2023-2027'!AT697</f>
        <v>0</v>
      </c>
    </row>
    <row r="9" spans="1:10" ht="15.75" x14ac:dyDescent="0.2">
      <c r="A9" s="242" t="s">
        <v>2794</v>
      </c>
      <c r="B9" s="243">
        <f>'2023-2027'!BI719</f>
        <v>30421900.870918479</v>
      </c>
      <c r="C9" s="243">
        <f>'2023-2027'!BI720</f>
        <v>40759488.021211348</v>
      </c>
      <c r="D9" s="243">
        <f>'2023-2027'!BI702</f>
        <v>3669608.4252380952</v>
      </c>
      <c r="E9" s="243">
        <f>'2023-2027'!BI721</f>
        <v>19751625.027142841</v>
      </c>
      <c r="F9" s="243">
        <f>'2023-2027'!BI709</f>
        <v>110271.91732933333</v>
      </c>
      <c r="G9" s="243">
        <f>'2023-2027'!BI705</f>
        <v>1471923.1717106858</v>
      </c>
      <c r="H9" s="243">
        <f>'2023-2027'!BI706</f>
        <v>429750.86266846268</v>
      </c>
      <c r="I9" s="243">
        <f t="shared" si="0"/>
        <v>96614568.29621923</v>
      </c>
      <c r="J9" s="244">
        <f>I9-'2023-2027'!BI697</f>
        <v>0</v>
      </c>
    </row>
    <row r="10" spans="1:10" ht="15.75" x14ac:dyDescent="0.2">
      <c r="A10" s="242" t="s">
        <v>2795</v>
      </c>
      <c r="B10" s="243">
        <f>'2023-2027'!BX719</f>
        <v>29717716.650918491</v>
      </c>
      <c r="C10" s="243">
        <f>'2023-2027'!BX720</f>
        <v>40525255.791209735</v>
      </c>
      <c r="D10" s="243">
        <f>'2023-2027'!BX702</f>
        <v>3357077.3652380956</v>
      </c>
      <c r="E10" s="243">
        <f>'2023-2027'!BX721</f>
        <v>19751625.027142841</v>
      </c>
      <c r="F10" s="243">
        <f>'2023-2027'!BX709</f>
        <v>110271.91732933333</v>
      </c>
      <c r="G10" s="243">
        <f>'2023-2027'!BX705</f>
        <v>1349726.7017106859</v>
      </c>
      <c r="H10" s="243">
        <f>'2023-2027'!BX706</f>
        <v>426396.12266846269</v>
      </c>
      <c r="I10" s="243">
        <f t="shared" si="0"/>
        <v>95238069.576217636</v>
      </c>
      <c r="J10" s="244">
        <f>I10-'2023-2027'!BX697</f>
        <v>0</v>
      </c>
    </row>
    <row r="11" spans="1:10" ht="15.75" x14ac:dyDescent="0.2">
      <c r="A11" s="242" t="s">
        <v>2796</v>
      </c>
      <c r="B11" s="243">
        <f>'2023-2027'!CM719</f>
        <v>28332325.700922493</v>
      </c>
      <c r="C11" s="243">
        <f>'2023-2027'!CM720</f>
        <v>40324596.361209728</v>
      </c>
      <c r="D11" s="243">
        <f>'2023-2027'!CM702</f>
        <v>3261713.4552380955</v>
      </c>
      <c r="E11" s="243">
        <f>'2023-2027'!CM721</f>
        <v>19751625.027142841</v>
      </c>
      <c r="F11" s="243">
        <f>'2023-2027'!CM709</f>
        <v>110271.91732933333</v>
      </c>
      <c r="G11" s="243">
        <f>'2023-2027'!CM705</f>
        <v>1319244.0417106859</v>
      </c>
      <c r="H11" s="243">
        <f>'2023-2027'!CM706</f>
        <v>426396.12266846269</v>
      </c>
      <c r="I11" s="243">
        <f t="shared" si="0"/>
        <v>93526172.626221627</v>
      </c>
      <c r="J11" s="244">
        <f>I11-'2023-2027'!CM697</f>
        <v>0</v>
      </c>
    </row>
    <row r="14" spans="1:10" ht="18" x14ac:dyDescent="0.25">
      <c r="A14" s="308" t="s">
        <v>2698</v>
      </c>
      <c r="B14" s="308"/>
      <c r="C14" s="308"/>
      <c r="D14" s="308"/>
      <c r="E14" s="308"/>
      <c r="F14" s="308"/>
      <c r="G14" s="308"/>
      <c r="H14" s="308"/>
      <c r="I14" s="308"/>
    </row>
    <row r="15" spans="1:10" ht="18" x14ac:dyDescent="0.25">
      <c r="A15" s="308" t="s">
        <v>2693</v>
      </c>
      <c r="B15" s="308"/>
      <c r="C15" s="308"/>
      <c r="D15" s="308"/>
      <c r="E15" s="308"/>
      <c r="F15" s="308"/>
      <c r="G15" s="308"/>
      <c r="H15" s="308"/>
      <c r="I15" s="308"/>
    </row>
    <row r="16" spans="1:10" ht="18" x14ac:dyDescent="0.25">
      <c r="A16" s="308" t="s">
        <v>2694</v>
      </c>
      <c r="B16" s="308"/>
      <c r="C16" s="308"/>
      <c r="D16" s="308"/>
      <c r="E16" s="308"/>
      <c r="F16" s="308"/>
      <c r="G16" s="308"/>
      <c r="H16" s="308"/>
      <c r="I16" s="308"/>
    </row>
    <row r="18" spans="1:10" ht="25.5" x14ac:dyDescent="0.2">
      <c r="A18" s="240"/>
      <c r="B18" s="240" t="s">
        <v>67</v>
      </c>
      <c r="C18" s="240" t="s">
        <v>41</v>
      </c>
      <c r="D18" s="240" t="s">
        <v>76</v>
      </c>
      <c r="E18" s="240" t="s">
        <v>30</v>
      </c>
      <c r="F18" s="240" t="s">
        <v>85</v>
      </c>
      <c r="G18" s="240" t="s">
        <v>2695</v>
      </c>
      <c r="H18" s="240" t="s">
        <v>2696</v>
      </c>
      <c r="I18" s="240" t="s">
        <v>2697</v>
      </c>
    </row>
    <row r="19" spans="1:10" ht="15.75" x14ac:dyDescent="0.2">
      <c r="A19" s="242" t="s">
        <v>2791</v>
      </c>
      <c r="B19" s="243">
        <f>'2023-2027'!AA719</f>
        <v>7089669.3502336517</v>
      </c>
      <c r="C19" s="243">
        <f>'2023-2027'!AA720</f>
        <v>9389539.0676191449</v>
      </c>
      <c r="D19" s="243">
        <f>'2023-2027'!AA702</f>
        <v>25222.522160000004</v>
      </c>
      <c r="E19" s="243">
        <f>'2023-2027'!AA721</f>
        <v>0</v>
      </c>
      <c r="F19" s="243">
        <f>'2023-2027'!AA709</f>
        <v>18378.115108726739</v>
      </c>
      <c r="G19" s="243">
        <f>'2023-2027'!AA705</f>
        <v>515073.40502383327</v>
      </c>
      <c r="H19" s="243">
        <f>'2023-2027'!AA706</f>
        <v>125482.63314398022</v>
      </c>
      <c r="I19" s="243">
        <f t="shared" ref="I19:I24" si="1">SUM(B19:H19)</f>
        <v>17163365.093289334</v>
      </c>
      <c r="J19" s="244">
        <f>I19-'2023-2027'!AA697</f>
        <v>0</v>
      </c>
    </row>
    <row r="20" spans="1:10" ht="15.75" x14ac:dyDescent="0.2">
      <c r="A20" s="242" t="s">
        <v>2792</v>
      </c>
      <c r="B20" s="243">
        <f>'2023-2027'!AP719</f>
        <v>6611589.6473128768</v>
      </c>
      <c r="C20" s="243">
        <f>'2023-2027'!AP720</f>
        <v>9846816.6187145244</v>
      </c>
      <c r="D20" s="243">
        <f>'2023-2027'!AP702</f>
        <v>23347.551920000009</v>
      </c>
      <c r="E20" s="243">
        <f>'2023-2027'!AP721</f>
        <v>0</v>
      </c>
      <c r="F20" s="243">
        <f>'2023-2027'!AP709</f>
        <v>16857.844417465312</v>
      </c>
      <c r="G20" s="243">
        <f>'2023-2027'!AP705</f>
        <v>499055.98382383294</v>
      </c>
      <c r="H20" s="243">
        <f>'2023-2027'!AP706</f>
        <v>116356.91223194063</v>
      </c>
      <c r="I20" s="243">
        <f t="shared" si="1"/>
        <v>17114024.558420643</v>
      </c>
      <c r="J20" s="244">
        <f>I20-'2023-2027'!AP697</f>
        <v>0</v>
      </c>
    </row>
    <row r="21" spans="1:10" ht="15.75" x14ac:dyDescent="0.2">
      <c r="A21" s="242" t="s">
        <v>2793</v>
      </c>
      <c r="B21" s="243">
        <f>'2023-2027'!BG719</f>
        <v>6134646.7023808714</v>
      </c>
      <c r="C21" s="243">
        <f>'2023-2027'!BG720</f>
        <v>11144563.489158237</v>
      </c>
      <c r="D21" s="243">
        <f>'2023-2027'!BG702</f>
        <v>21472.581680000018</v>
      </c>
      <c r="E21" s="243">
        <f>'2023-2027'!BG721</f>
        <v>0</v>
      </c>
      <c r="F21" s="243">
        <f>'2023-2027'!BG709</f>
        <v>15356.836540630225</v>
      </c>
      <c r="G21" s="243">
        <f>'2023-2027'!BG705</f>
        <v>483654.40385152487</v>
      </c>
      <c r="H21" s="243">
        <f>'2023-2027'!BG706</f>
        <v>107231.19131990103</v>
      </c>
      <c r="I21" s="243">
        <f t="shared" si="1"/>
        <v>17906925.204931166</v>
      </c>
      <c r="J21" s="244">
        <f>I21-'2023-2027'!BG697</f>
        <v>0</v>
      </c>
    </row>
    <row r="22" spans="1:10" ht="15.75" x14ac:dyDescent="0.2">
      <c r="A22" s="242" t="s">
        <v>2794</v>
      </c>
      <c r="B22" s="243">
        <f>'2023-2027'!BV719</f>
        <v>5650309.500072469</v>
      </c>
      <c r="C22" s="243">
        <f>'2023-2027'!BV720</f>
        <v>11335218.302803043</v>
      </c>
      <c r="D22" s="243">
        <f>'2023-2027'!BV702</f>
        <v>19597.611440000026</v>
      </c>
      <c r="E22" s="243">
        <f>'2023-2027'!BV721</f>
        <v>0</v>
      </c>
      <c r="F22" s="243">
        <f>'2023-2027'!BV709</f>
        <v>13887.231497641291</v>
      </c>
      <c r="G22" s="243">
        <f>'2023-2027'!BV705</f>
        <v>469354.43964195199</v>
      </c>
      <c r="H22" s="243">
        <f>'2023-2027'!BV706</f>
        <v>98105.470407861474</v>
      </c>
      <c r="I22" s="243">
        <f t="shared" si="1"/>
        <v>17586472.555862967</v>
      </c>
      <c r="J22" s="244">
        <f>I22-'2023-2027'!BV697</f>
        <v>0</v>
      </c>
    </row>
    <row r="23" spans="1:10" ht="15.75" x14ac:dyDescent="0.2">
      <c r="A23" s="242" t="s">
        <v>2795</v>
      </c>
      <c r="B23" s="243">
        <f>'2023-2027'!CK719</f>
        <v>5168780.0853316048</v>
      </c>
      <c r="C23" s="243">
        <f>'2023-2027'!CK720</f>
        <v>10555724.23293364</v>
      </c>
      <c r="D23" s="243">
        <f>'2023-2027'!CK702</f>
        <v>17722.641200000038</v>
      </c>
      <c r="E23" s="243">
        <f>'2023-2027'!CK721</f>
        <v>0</v>
      </c>
      <c r="F23" s="243">
        <f>'2023-2027'!CK709</f>
        <v>12425.416417729279</v>
      </c>
      <c r="G23" s="243">
        <f>'2023-2027'!CK705</f>
        <v>459713.91854112578</v>
      </c>
      <c r="H23" s="243">
        <f>'2023-2027'!CK706</f>
        <v>88979.749495821889</v>
      </c>
      <c r="I23" s="243">
        <f t="shared" si="1"/>
        <v>16303346.043919921</v>
      </c>
      <c r="J23" s="244">
        <f>I23-'2023-2027'!CK697</f>
        <v>0</v>
      </c>
    </row>
    <row r="24" spans="1:10" ht="15.75" x14ac:dyDescent="0.2">
      <c r="A24" s="242" t="s">
        <v>2796</v>
      </c>
      <c r="B24" s="243">
        <f>'2023-2027'!CZ719</f>
        <v>4688165.3538919715</v>
      </c>
      <c r="C24" s="243">
        <f>'2023-2027'!CZ720</f>
        <v>9777706.4157484528</v>
      </c>
      <c r="D24" s="243">
        <f>'2023-2027'!CZ702</f>
        <v>15847.670960000049</v>
      </c>
      <c r="E24" s="243">
        <f>'2023-2027'!CZ721</f>
        <v>0</v>
      </c>
      <c r="F24" s="243">
        <f>'2023-2027'!CZ709</f>
        <v>10963.601337817272</v>
      </c>
      <c r="G24" s="243">
        <f>'2023-2027'!CZ705</f>
        <v>445653.98034111655</v>
      </c>
      <c r="H24" s="243">
        <f>'2023-2027'!CZ706</f>
        <v>79854.028583782332</v>
      </c>
      <c r="I24" s="243">
        <f t="shared" si="1"/>
        <v>15018191.050863137</v>
      </c>
      <c r="J24" s="244">
        <f>I24-'2023-2027'!CZ697</f>
        <v>-1.4901161193847656E-8</v>
      </c>
    </row>
  </sheetData>
  <mergeCells count="6">
    <mergeCell ref="A16:I16"/>
    <mergeCell ref="A1:I1"/>
    <mergeCell ref="A2:I2"/>
    <mergeCell ref="A3:I3"/>
    <mergeCell ref="A14:I14"/>
    <mergeCell ref="A15:I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BW681"/>
  <sheetViews>
    <sheetView zoomScale="126" zoomScaleNormal="126" workbookViewId="0">
      <pane xSplit="8" ySplit="4" topLeftCell="I8" activePane="bottomRight" state="frozen"/>
      <selection activeCell="AC672" sqref="AC672"/>
      <selection pane="topRight" activeCell="AC672" sqref="AC672"/>
      <selection pane="bottomLeft" activeCell="AC672" sqref="AC672"/>
      <selection pane="bottomRight" activeCell="AC672" sqref="AC672"/>
    </sheetView>
  </sheetViews>
  <sheetFormatPr defaultRowHeight="11.25" outlineLevelCol="1" x14ac:dyDescent="0.2"/>
  <cols>
    <col min="1" max="1" width="30.6640625" style="105" customWidth="1"/>
    <col min="2" max="3" width="12.5" style="106" customWidth="1"/>
    <col min="4" max="4" width="15.5" style="106" customWidth="1"/>
    <col min="5" max="5" width="9.5" style="106" customWidth="1"/>
    <col min="6" max="6" width="16.5" style="106" customWidth="1"/>
    <col min="7" max="7" width="15.6640625" style="106" customWidth="1"/>
    <col min="8" max="8" width="11.33203125" style="106" customWidth="1"/>
    <col min="9" max="9" width="18.1640625" style="106" customWidth="1"/>
    <col min="10" max="10" width="15" style="106" customWidth="1"/>
    <col min="11" max="11" width="15.6640625" style="106" customWidth="1"/>
    <col min="12" max="12" width="11.1640625" style="108" customWidth="1"/>
    <col min="13" max="13" width="15.83203125" style="108" customWidth="1"/>
    <col min="14" max="14" width="15.5" style="106" customWidth="1"/>
    <col min="15" max="15" width="17" style="106" customWidth="1" outlineLevel="1"/>
    <col min="16" max="25" width="13.83203125" style="106" customWidth="1" outlineLevel="1"/>
    <col min="26" max="26" width="16.83203125" style="106" customWidth="1"/>
    <col min="27" max="27" width="14.33203125" style="106" customWidth="1"/>
    <col min="28" max="28" width="9.33203125" style="106" customWidth="1"/>
    <col min="29" max="29" width="15.6640625" style="106" bestFit="1" customWidth="1"/>
    <col min="30" max="33" width="13.83203125" style="106" customWidth="1" outlineLevel="1"/>
    <col min="34" max="40" width="16.83203125" style="106" customWidth="1" outlineLevel="1"/>
    <col min="41" max="41" width="16.83203125" style="106" customWidth="1"/>
    <col min="42" max="42" width="14.33203125" style="106" customWidth="1"/>
    <col min="43" max="43" width="8.83203125" style="106" customWidth="1"/>
    <col min="44" max="44" width="15.6640625" style="106" customWidth="1"/>
    <col min="45" max="45" width="16" style="106" customWidth="1" outlineLevel="1"/>
    <col min="46" max="46" width="16.83203125" style="106" customWidth="1" outlineLevel="1"/>
    <col min="47" max="47" width="17.83203125" style="106" customWidth="1" outlineLevel="1"/>
    <col min="48" max="48" width="18.5" style="106" customWidth="1" outlineLevel="1"/>
    <col min="49" max="49" width="18.1640625" style="106" customWidth="1" outlineLevel="1"/>
    <col min="50" max="50" width="18.5" style="106" customWidth="1" outlineLevel="1"/>
    <col min="51" max="51" width="16" style="106" customWidth="1" outlineLevel="1"/>
    <col min="52" max="52" width="19.33203125" style="106" customWidth="1" outlineLevel="1"/>
    <col min="53" max="53" width="19" style="106" customWidth="1" outlineLevel="1"/>
    <col min="54" max="54" width="15.5" style="106" customWidth="1" outlineLevel="1"/>
    <col min="55" max="55" width="16.1640625" style="106" customWidth="1" outlineLevel="1"/>
    <col min="56" max="56" width="16.83203125" style="106" customWidth="1"/>
    <col min="57" max="57" width="13.6640625" style="106" customWidth="1"/>
    <col min="58" max="60" width="13.83203125" style="106" bestFit="1" customWidth="1"/>
    <col min="61" max="61" width="15.6640625" style="106" customWidth="1"/>
    <col min="62" max="65" width="13.83203125" style="106" customWidth="1" outlineLevel="1"/>
    <col min="66" max="72" width="13.83203125" style="106" hidden="1" customWidth="1" outlineLevel="1"/>
    <col min="73" max="74" width="13.83203125" style="106" bestFit="1" customWidth="1"/>
    <col min="75" max="75" width="16" style="106" customWidth="1"/>
    <col min="76" max="16384" width="9.33203125" style="106"/>
  </cols>
  <sheetData>
    <row r="1" spans="1:75" x14ac:dyDescent="0.2">
      <c r="J1" s="107"/>
      <c r="K1" s="107"/>
      <c r="L1" s="107"/>
    </row>
    <row r="2" spans="1:75" ht="12.75" customHeight="1" x14ac:dyDescent="0.2">
      <c r="A2" s="311" t="s">
        <v>0</v>
      </c>
      <c r="B2" s="311" t="s">
        <v>1</v>
      </c>
      <c r="C2" s="178"/>
      <c r="D2" s="311" t="s">
        <v>2</v>
      </c>
      <c r="E2" s="311"/>
      <c r="F2" s="311" t="s">
        <v>3</v>
      </c>
      <c r="G2" s="311" t="s">
        <v>4</v>
      </c>
      <c r="H2" s="311" t="s">
        <v>5</v>
      </c>
      <c r="I2" s="312" t="s">
        <v>6</v>
      </c>
      <c r="J2" s="312"/>
      <c r="K2" s="312"/>
      <c r="L2" s="313" t="s">
        <v>7</v>
      </c>
      <c r="M2" s="314" t="s">
        <v>8</v>
      </c>
      <c r="N2" s="309" t="s">
        <v>9</v>
      </c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10">
        <v>2.1999999999999999E-2</v>
      </c>
      <c r="AB2" s="109"/>
      <c r="AC2" s="309" t="s">
        <v>10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10">
        <v>2.1999999999999999E-2</v>
      </c>
      <c r="AQ2" s="109"/>
      <c r="AR2" s="309" t="s">
        <v>11</v>
      </c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10">
        <v>2.1999999999999999E-2</v>
      </c>
      <c r="BG2" s="111"/>
      <c r="BI2" s="310"/>
      <c r="BV2" s="111"/>
    </row>
    <row r="3" spans="1:75" ht="63" customHeight="1" x14ac:dyDescent="0.2">
      <c r="A3" s="311"/>
      <c r="B3" s="311"/>
      <c r="C3" s="178"/>
      <c r="D3" s="311"/>
      <c r="E3" s="311"/>
      <c r="F3" s="311"/>
      <c r="G3" s="311"/>
      <c r="H3" s="311"/>
      <c r="I3" s="112" t="s">
        <v>12</v>
      </c>
      <c r="J3" s="112" t="s">
        <v>13</v>
      </c>
      <c r="K3" s="113" t="s">
        <v>14</v>
      </c>
      <c r="L3" s="313"/>
      <c r="M3" s="315"/>
      <c r="N3" s="309"/>
      <c r="O3" s="114">
        <v>44593</v>
      </c>
      <c r="P3" s="114">
        <v>44621</v>
      </c>
      <c r="Q3" s="114">
        <v>44652</v>
      </c>
      <c r="R3" s="114">
        <v>44682</v>
      </c>
      <c r="S3" s="114">
        <v>44713</v>
      </c>
      <c r="T3" s="114">
        <v>44743</v>
      </c>
      <c r="U3" s="114">
        <v>44774</v>
      </c>
      <c r="V3" s="114">
        <v>44805</v>
      </c>
      <c r="W3" s="114">
        <v>44835</v>
      </c>
      <c r="X3" s="114">
        <v>44866</v>
      </c>
      <c r="Y3" s="114">
        <v>44896</v>
      </c>
      <c r="Z3" s="114">
        <v>44927</v>
      </c>
      <c r="AA3" s="109" t="s">
        <v>15</v>
      </c>
      <c r="AB3" s="109"/>
      <c r="AC3" s="309"/>
      <c r="AD3" s="114">
        <v>44958</v>
      </c>
      <c r="AE3" s="114">
        <v>44986</v>
      </c>
      <c r="AF3" s="114">
        <v>45017</v>
      </c>
      <c r="AG3" s="114">
        <v>45047</v>
      </c>
      <c r="AH3" s="114">
        <v>45078</v>
      </c>
      <c r="AI3" s="114">
        <v>45108</v>
      </c>
      <c r="AJ3" s="114">
        <v>45139</v>
      </c>
      <c r="AK3" s="114">
        <v>45170</v>
      </c>
      <c r="AL3" s="114">
        <v>45200</v>
      </c>
      <c r="AM3" s="114">
        <v>45231</v>
      </c>
      <c r="AN3" s="114">
        <v>45261</v>
      </c>
      <c r="AO3" s="114">
        <v>45292</v>
      </c>
      <c r="AP3" s="109" t="s">
        <v>16</v>
      </c>
      <c r="AQ3" s="109"/>
      <c r="AR3" s="309"/>
      <c r="AS3" s="114">
        <v>45323</v>
      </c>
      <c r="AT3" s="114">
        <v>45352</v>
      </c>
      <c r="AU3" s="114">
        <v>45383</v>
      </c>
      <c r="AV3" s="114">
        <v>45413</v>
      </c>
      <c r="AW3" s="114">
        <v>45444</v>
      </c>
      <c r="AX3" s="114">
        <v>45474</v>
      </c>
      <c r="AY3" s="114">
        <v>45505</v>
      </c>
      <c r="AZ3" s="114">
        <v>45536</v>
      </c>
      <c r="BA3" s="114">
        <v>45566</v>
      </c>
      <c r="BB3" s="114">
        <v>45597</v>
      </c>
      <c r="BC3" s="114">
        <v>45627</v>
      </c>
      <c r="BD3" s="114">
        <v>45658</v>
      </c>
      <c r="BE3" s="109" t="s">
        <v>17</v>
      </c>
      <c r="BF3" s="115"/>
      <c r="BG3" s="116"/>
      <c r="BI3" s="310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6"/>
    </row>
    <row r="4" spans="1:75" s="121" customFormat="1" ht="23.25" hidden="1" customHeight="1" x14ac:dyDescent="0.2">
      <c r="A4" s="117" t="s">
        <v>67</v>
      </c>
      <c r="B4" s="117"/>
      <c r="C4" s="117"/>
      <c r="D4" s="117"/>
      <c r="E4" s="117"/>
      <c r="F4" s="117"/>
      <c r="G4" s="117"/>
      <c r="H4" s="117"/>
      <c r="I4" s="118">
        <f>SUM(I5:I154)+I588+I589+I590+I615+I622+I631</f>
        <v>1104824873.4400024</v>
      </c>
      <c r="J4" s="118">
        <f t="shared" ref="J4:BE4" si="0">SUM(J5:J154)+J588+J589+J590+J615+J622+J631</f>
        <v>498183865.25657839</v>
      </c>
      <c r="K4" s="118">
        <f t="shared" si="0"/>
        <v>605801520.84081185</v>
      </c>
      <c r="L4" s="118"/>
      <c r="M4" s="118">
        <f t="shared" si="0"/>
        <v>4165841.2989283814</v>
      </c>
      <c r="N4" s="118">
        <f t="shared" si="0"/>
        <v>49254832.710545331</v>
      </c>
      <c r="O4" s="118">
        <f t="shared" si="0"/>
        <v>474662082.93628722</v>
      </c>
      <c r="P4" s="118">
        <f t="shared" si="0"/>
        <v>470501998.59176415</v>
      </c>
      <c r="Q4" s="118">
        <f t="shared" si="0"/>
        <v>466387639.24724019</v>
      </c>
      <c r="R4" s="118">
        <f t="shared" si="0"/>
        <v>462293153.66081136</v>
      </c>
      <c r="S4" s="118">
        <f t="shared" si="0"/>
        <v>458321693.60272837</v>
      </c>
      <c r="T4" s="118">
        <f t="shared" si="0"/>
        <v>454165442.37614512</v>
      </c>
      <c r="U4" s="118">
        <f t="shared" si="0"/>
        <v>450010339.07314581</v>
      </c>
      <c r="V4" s="118">
        <f t="shared" si="0"/>
        <v>445855235.94747871</v>
      </c>
      <c r="W4" s="118">
        <f t="shared" si="0"/>
        <v>441770754.11448002</v>
      </c>
      <c r="X4" s="118">
        <f t="shared" si="0"/>
        <v>437688309.65481257</v>
      </c>
      <c r="Y4" s="118">
        <f t="shared" si="0"/>
        <v>433605865.4051469</v>
      </c>
      <c r="Z4" s="118">
        <f t="shared" si="0"/>
        <v>429529962.48214674</v>
      </c>
      <c r="AA4" s="118">
        <f t="shared" si="0"/>
        <v>7023780.6526923459</v>
      </c>
      <c r="AB4" s="118">
        <f t="shared" si="0"/>
        <v>0</v>
      </c>
      <c r="AC4" s="118">
        <f t="shared" si="0"/>
        <v>57243894.009214208</v>
      </c>
      <c r="AD4" s="118">
        <f t="shared" si="0"/>
        <v>425894842.24501932</v>
      </c>
      <c r="AE4" s="118">
        <f t="shared" si="0"/>
        <v>422128076.23690516</v>
      </c>
      <c r="AF4" s="118">
        <f t="shared" si="0"/>
        <v>418315369.95578963</v>
      </c>
      <c r="AG4" s="118">
        <f t="shared" si="0"/>
        <v>414504026.46834189</v>
      </c>
      <c r="AH4" s="118">
        <f t="shared" si="0"/>
        <v>411169416.45043558</v>
      </c>
      <c r="AI4" s="118">
        <f t="shared" si="0"/>
        <v>407832946.06889391</v>
      </c>
      <c r="AJ4" s="118">
        <f t="shared" si="0"/>
        <v>404497304.08735085</v>
      </c>
      <c r="AK4" s="118">
        <f t="shared" si="0"/>
        <v>401161662.10580915</v>
      </c>
      <c r="AL4" s="118">
        <f t="shared" si="0"/>
        <v>397766549.98641968</v>
      </c>
      <c r="AM4" s="118">
        <f t="shared" si="0"/>
        <v>394610083.35069489</v>
      </c>
      <c r="AN4" s="118">
        <f t="shared" si="0"/>
        <v>391454273.59996909</v>
      </c>
      <c r="AO4" s="118">
        <f t="shared" si="0"/>
        <v>389707384.85924298</v>
      </c>
      <c r="AP4" s="118">
        <f t="shared" si="0"/>
        <v>6511964.4941057581</v>
      </c>
      <c r="AQ4" s="118">
        <f t="shared" si="0"/>
        <v>0</v>
      </c>
      <c r="AR4" s="118">
        <f t="shared" si="0"/>
        <v>30371885.30839305</v>
      </c>
      <c r="AS4" s="118">
        <f t="shared" si="0"/>
        <v>386786395.35851765</v>
      </c>
      <c r="AT4" s="118">
        <f t="shared" si="0"/>
        <v>383865405.8577916</v>
      </c>
      <c r="AU4" s="118">
        <f t="shared" si="0"/>
        <v>381238236.6880672</v>
      </c>
      <c r="AV4" s="118">
        <f t="shared" si="0"/>
        <v>378611067.96067417</v>
      </c>
      <c r="AW4" s="118">
        <f t="shared" si="0"/>
        <v>375990666.49567163</v>
      </c>
      <c r="AX4" s="118">
        <f t="shared" si="0"/>
        <v>373418342.2842232</v>
      </c>
      <c r="AY4" s="118">
        <f t="shared" si="0"/>
        <v>370846018.07277572</v>
      </c>
      <c r="AZ4" s="118">
        <f t="shared" si="0"/>
        <v>368273693.86932766</v>
      </c>
      <c r="BA4" s="118">
        <f t="shared" si="0"/>
        <v>365703263.85987931</v>
      </c>
      <c r="BB4" s="118">
        <f t="shared" si="0"/>
        <v>363132833.84776562</v>
      </c>
      <c r="BC4" s="118">
        <f t="shared" si="0"/>
        <v>360562403.83565062</v>
      </c>
      <c r="BD4" s="118">
        <f t="shared" si="0"/>
        <v>357991973.82353675</v>
      </c>
      <c r="BE4" s="118">
        <f t="shared" si="0"/>
        <v>6000257.46039302</v>
      </c>
      <c r="BF4" s="119"/>
      <c r="BG4" s="120"/>
      <c r="BI4" s="122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20"/>
    </row>
    <row r="5" spans="1:75" ht="22.5" hidden="1" x14ac:dyDescent="0.2">
      <c r="A5" s="123" t="str">
        <f>'[2]2021 УГРЦТ'!A7</f>
        <v>2 очередь реконст. электрост. Здание ГТЭС-18 2010г</v>
      </c>
      <c r="B5" s="124" t="str">
        <f>'[2]2021 УГРЦТ'!B7</f>
        <v>00001166</v>
      </c>
      <c r="C5" s="124" t="str">
        <f>VLOOKUP(A:A,'2023-2027'!A:L,1,+FALSE)</f>
        <v>2 очередь реконст. электрост. Здание ГТЭС-18 2010г</v>
      </c>
      <c r="D5" s="124" t="str">
        <f>'[2]2021 УГРЦТ'!C7</f>
        <v>ПРОИЗВОДСТВО</v>
      </c>
      <c r="E5" s="124" t="str">
        <f>'[2]2021 УГРЦТ'!D7</f>
        <v>Здания</v>
      </c>
      <c r="F5" s="124" t="str">
        <f>'[2]2021 УГРЦТ'!E7</f>
        <v>31.03.2010</v>
      </c>
      <c r="G5" s="124" t="str">
        <f>'[2]2021 УГРЦТ'!F7</f>
        <v>Газотурбинный цех</v>
      </c>
      <c r="H5" s="124">
        <f>'[2]2021 УГРЦТ'!AC7</f>
        <v>600</v>
      </c>
      <c r="I5" s="107">
        <v>217511750.34</v>
      </c>
      <c r="J5" s="107">
        <v>51115260.826800004</v>
      </c>
      <c r="K5" s="107">
        <v>166396489.51319999</v>
      </c>
      <c r="L5" s="125" t="e">
        <f>SUMIF([2]облаг!$B$2:$B$259,B5,[2]облаг!$D$2:$D$259)</f>
        <v>#VALUE!</v>
      </c>
      <c r="M5" s="107">
        <f>I5/H5</f>
        <v>362519.58390000003</v>
      </c>
      <c r="N5" s="107">
        <f>M5*12</f>
        <v>4350235.0068000006</v>
      </c>
      <c r="O5" s="107">
        <f>K5-M5</f>
        <v>166033969.92929998</v>
      </c>
      <c r="P5" s="107">
        <f>O5-M5</f>
        <v>165671450.34539998</v>
      </c>
      <c r="Q5" s="107">
        <f>P5-M5</f>
        <v>165308930.76149997</v>
      </c>
      <c r="R5" s="107">
        <f>Q5-M5</f>
        <v>164946411.17759997</v>
      </c>
      <c r="S5" s="107">
        <f>R5-M5</f>
        <v>164583891.59369996</v>
      </c>
      <c r="T5" s="107">
        <f>S5-M5</f>
        <v>164221372.00979996</v>
      </c>
      <c r="U5" s="107">
        <f>T5-M5</f>
        <v>163858852.42589995</v>
      </c>
      <c r="V5" s="107">
        <f>U5-M5</f>
        <v>163496332.84199995</v>
      </c>
      <c r="W5" s="107">
        <f>V5-M5</f>
        <v>163133813.25809994</v>
      </c>
      <c r="X5" s="107">
        <f>W5-M5</f>
        <v>162771293.67419994</v>
      </c>
      <c r="Y5" s="107">
        <f>X5-M5</f>
        <v>162408774.09029993</v>
      </c>
      <c r="Z5" s="107">
        <f>Y5-M5</f>
        <v>162046254.50639993</v>
      </c>
      <c r="AA5" s="107">
        <f>SUM(O5:Z5,K5)/13*$AA$2</f>
        <v>3612870.1842155997</v>
      </c>
      <c r="AB5" s="107"/>
      <c r="AC5" s="107">
        <f>M5*12</f>
        <v>4350235.0068000006</v>
      </c>
      <c r="AD5" s="107">
        <f>Z5-M5</f>
        <v>161683734.92249992</v>
      </c>
      <c r="AE5" s="107">
        <f>AD5-M5</f>
        <v>161321215.33859992</v>
      </c>
      <c r="AF5" s="107">
        <f>AE5-M5</f>
        <v>160958695.75469992</v>
      </c>
      <c r="AG5" s="107">
        <f>AF5-M5</f>
        <v>160596176.17079991</v>
      </c>
      <c r="AH5" s="107">
        <f>AG5-M5</f>
        <v>160233656.58689991</v>
      </c>
      <c r="AI5" s="107">
        <f>AH5-M5</f>
        <v>159871137.0029999</v>
      </c>
      <c r="AJ5" s="107">
        <f>AI5-M5</f>
        <v>159508617.4190999</v>
      </c>
      <c r="AK5" s="107">
        <f>AJ5-M5</f>
        <v>159146097.83519989</v>
      </c>
      <c r="AL5" s="107">
        <f>AK5-M5</f>
        <v>158783578.25129989</v>
      </c>
      <c r="AM5" s="107">
        <f>AL5-M5</f>
        <v>158421058.66739988</v>
      </c>
      <c r="AN5" s="107">
        <f>AM5-M5</f>
        <v>158058539.08349988</v>
      </c>
      <c r="AO5" s="107">
        <f>AN5-M5</f>
        <v>157696019.49959987</v>
      </c>
      <c r="AP5" s="107">
        <f>SUM(AD5:AO5,Z5)/13*$AP$2</f>
        <v>3517165.0140659977</v>
      </c>
      <c r="AQ5" s="126"/>
      <c r="AR5" s="107">
        <f>M5*12</f>
        <v>4350235.0068000006</v>
      </c>
      <c r="AS5" s="107">
        <f t="shared" ref="AS5:AS13" si="1">AO5-M5</f>
        <v>157333499.91569987</v>
      </c>
      <c r="AT5" s="107">
        <f t="shared" ref="AT5:AT13" si="2">AS5-M5</f>
        <v>156970980.33179986</v>
      </c>
      <c r="AU5" s="107">
        <f t="shared" ref="AU5:AU13" si="3">AT5-M5</f>
        <v>156608460.74789986</v>
      </c>
      <c r="AV5" s="107">
        <f t="shared" ref="AV5:AV13" si="4">AU5-M5</f>
        <v>156245941.16399986</v>
      </c>
      <c r="AW5" s="107">
        <f t="shared" ref="AW5:AW13" si="5">AV5-M5</f>
        <v>155883421.58009985</v>
      </c>
      <c r="AX5" s="107">
        <f t="shared" ref="AX5:AX13" si="6">AW5-M5</f>
        <v>155520901.99619985</v>
      </c>
      <c r="AY5" s="107">
        <f t="shared" ref="AY5:AY13" si="7">AX5-M5</f>
        <v>155158382.41229984</v>
      </c>
      <c r="AZ5" s="107">
        <f t="shared" ref="AZ5:AZ13" si="8">AY5-M5</f>
        <v>154795862.82839984</v>
      </c>
      <c r="BA5" s="107">
        <f t="shared" ref="BA5:BA13" si="9">AZ5-M5</f>
        <v>154433343.24449983</v>
      </c>
      <c r="BB5" s="107">
        <f t="shared" ref="BB5:BB13" si="10">BA5-M5</f>
        <v>154070823.66059983</v>
      </c>
      <c r="BC5" s="107">
        <f t="shared" ref="BC5:BC13" si="11">BB5-M5</f>
        <v>153708304.07669982</v>
      </c>
      <c r="BD5" s="107">
        <f t="shared" ref="BD5:BD13" si="12">BC5-M5</f>
        <v>153345784.49279982</v>
      </c>
      <c r="BE5" s="107">
        <f>SUM(AS5:BD5,AO5)/13*$BE$2</f>
        <v>3421459.8439163971</v>
      </c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</row>
    <row r="6" spans="1:75" ht="22.5" hidden="1" x14ac:dyDescent="0.2">
      <c r="A6" s="123" t="str">
        <f>'[2]2021 УГРЦТ'!A8</f>
        <v>3х-фазный т/огр РТСТГ-10-250-0,025 УЗ №2</v>
      </c>
      <c r="B6" s="124" t="str">
        <f>'[2]2021 УГРЦТ'!B8</f>
        <v>00001173</v>
      </c>
      <c r="C6" s="124" t="str">
        <f>VLOOKUP(A:A,'2023-2027'!A:L,1,+FALSE)</f>
        <v>3х-фазный т/огр РТСТГ-10-250-0,025 УЗ №2</v>
      </c>
      <c r="D6" s="124" t="str">
        <f>'[2]2021 УГРЦТ'!C8</f>
        <v>ПРОИЗВОДСТВО</v>
      </c>
      <c r="E6" s="124" t="str">
        <f>'[2]2021 УГРЦТ'!D8</f>
        <v>Машины и оборудование (кроме офисного)</v>
      </c>
      <c r="F6" s="124" t="str">
        <f>'[2]2021 УГРЦТ'!E8</f>
        <v>31.03.2010</v>
      </c>
      <c r="G6" s="124" t="str">
        <f>'[2]2021 УГРЦТ'!F8</f>
        <v>Газотурбинный цех</v>
      </c>
      <c r="H6" s="124">
        <f>'[2]2021 УГРЦТ'!AC8</f>
        <v>240</v>
      </c>
      <c r="I6" s="107">
        <v>2926500</v>
      </c>
      <c r="J6" s="107">
        <v>1719318.75</v>
      </c>
      <c r="K6" s="107">
        <v>1207181.25</v>
      </c>
      <c r="L6" s="125" t="e">
        <f>SUMIF([2]облаг!$B$2:$B$259,B6,[2]облаг!$D$2:$D$259)</f>
        <v>#VALUE!</v>
      </c>
      <c r="M6" s="107">
        <f t="shared" ref="M6:M69" si="13">I6/H6</f>
        <v>12193.75</v>
      </c>
      <c r="N6" s="107">
        <f t="shared" ref="N6:N69" si="14">M6*12</f>
        <v>146325</v>
      </c>
      <c r="O6" s="107">
        <f t="shared" ref="O6:O69" si="15">K6-M6</f>
        <v>1194987.5</v>
      </c>
      <c r="P6" s="107">
        <f t="shared" ref="P6:P69" si="16">O6-M6</f>
        <v>1182793.75</v>
      </c>
      <c r="Q6" s="107">
        <f t="shared" ref="Q6:Q69" si="17">P6-M6</f>
        <v>1170600</v>
      </c>
      <c r="R6" s="107">
        <f t="shared" ref="R6:R69" si="18">Q6-M6</f>
        <v>1158406.25</v>
      </c>
      <c r="S6" s="107">
        <f t="shared" ref="S6:S69" si="19">R6-M6</f>
        <v>1146212.5</v>
      </c>
      <c r="T6" s="107">
        <f t="shared" ref="T6:T69" si="20">S6-M6</f>
        <v>1134018.75</v>
      </c>
      <c r="U6" s="107">
        <f t="shared" ref="U6:U69" si="21">T6-M6</f>
        <v>1121825</v>
      </c>
      <c r="V6" s="107">
        <f t="shared" ref="V6:V69" si="22">U6-M6</f>
        <v>1109631.25</v>
      </c>
      <c r="W6" s="107">
        <f t="shared" ref="W6:W69" si="23">V6-M6</f>
        <v>1097437.5</v>
      </c>
      <c r="X6" s="107">
        <f t="shared" ref="X6:X69" si="24">W6-M6</f>
        <v>1085243.75</v>
      </c>
      <c r="Y6" s="107">
        <f t="shared" ref="Y6:Y69" si="25">X6-M6</f>
        <v>1073050</v>
      </c>
      <c r="Z6" s="107">
        <f t="shared" ref="Z6:Z69" si="26">Y6-M6</f>
        <v>1060856.25</v>
      </c>
      <c r="AA6" s="107"/>
      <c r="AB6" s="107"/>
      <c r="AC6" s="107">
        <f t="shared" ref="AC6:AC69" si="27">M6*12</f>
        <v>146325</v>
      </c>
      <c r="AD6" s="107">
        <f t="shared" ref="AD6:AD69" si="28">Z6-M6</f>
        <v>1048662.5</v>
      </c>
      <c r="AE6" s="107">
        <f t="shared" ref="AE6:AE69" si="29">AD6-M6</f>
        <v>1036468.75</v>
      </c>
      <c r="AF6" s="107">
        <f t="shared" ref="AF6:AF69" si="30">AE6-M6</f>
        <v>1024275</v>
      </c>
      <c r="AG6" s="107">
        <f t="shared" ref="AG6:AG69" si="31">AF6-M6</f>
        <v>1012081.25</v>
      </c>
      <c r="AH6" s="107">
        <f t="shared" ref="AH6:AH69" si="32">AG6-M6</f>
        <v>999887.5</v>
      </c>
      <c r="AI6" s="107">
        <f t="shared" ref="AI6:AI69" si="33">AH6-M6</f>
        <v>987693.75</v>
      </c>
      <c r="AJ6" s="107">
        <f t="shared" ref="AJ6:AJ69" si="34">AI6-M6</f>
        <v>975500</v>
      </c>
      <c r="AK6" s="107">
        <f t="shared" ref="AK6:AK69" si="35">AJ6-M6</f>
        <v>963306.25</v>
      </c>
      <c r="AL6" s="107">
        <f t="shared" ref="AL6:AL69" si="36">AK6-M6</f>
        <v>951112.5</v>
      </c>
      <c r="AM6" s="107">
        <f t="shared" ref="AM6:AM69" si="37">AL6-M6</f>
        <v>938918.75</v>
      </c>
      <c r="AN6" s="107">
        <f t="shared" ref="AN6:AN69" si="38">AM6-M6</f>
        <v>926725</v>
      </c>
      <c r="AO6" s="107">
        <f t="shared" ref="AO6:AO69" si="39">AN6-M6</f>
        <v>914531.25</v>
      </c>
      <c r="AP6" s="107"/>
      <c r="AQ6" s="126"/>
      <c r="AR6" s="107">
        <f t="shared" ref="AR6:AR69" si="40">M6*12</f>
        <v>146325</v>
      </c>
      <c r="AS6" s="107">
        <f t="shared" si="1"/>
        <v>902337.5</v>
      </c>
      <c r="AT6" s="107">
        <f t="shared" si="2"/>
        <v>890143.75</v>
      </c>
      <c r="AU6" s="107">
        <f t="shared" si="3"/>
        <v>877950</v>
      </c>
      <c r="AV6" s="107">
        <f t="shared" si="4"/>
        <v>865756.25</v>
      </c>
      <c r="AW6" s="107">
        <f t="shared" si="5"/>
        <v>853562.5</v>
      </c>
      <c r="AX6" s="107">
        <f t="shared" si="6"/>
        <v>841368.75</v>
      </c>
      <c r="AY6" s="107">
        <f t="shared" si="7"/>
        <v>829175</v>
      </c>
      <c r="AZ6" s="107">
        <f t="shared" si="8"/>
        <v>816981.25</v>
      </c>
      <c r="BA6" s="107">
        <f t="shared" si="9"/>
        <v>804787.5</v>
      </c>
      <c r="BB6" s="107">
        <f t="shared" si="10"/>
        <v>792593.75</v>
      </c>
      <c r="BC6" s="107">
        <f t="shared" si="11"/>
        <v>780400</v>
      </c>
      <c r="BD6" s="107">
        <f t="shared" si="12"/>
        <v>768206.25</v>
      </c>
      <c r="BE6" s="10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</row>
    <row r="7" spans="1:75" ht="22.5" hidden="1" x14ac:dyDescent="0.2">
      <c r="A7" s="123" t="str">
        <f>'[2]2021 УГРЦТ'!A9</f>
        <v>3х-фазный т/огр РТСТГ-10-250-0,025УЗ №1</v>
      </c>
      <c r="B7" s="124" t="str">
        <f>'[2]2021 УГРЦТ'!B9</f>
        <v>00001172</v>
      </c>
      <c r="C7" s="124" t="str">
        <f>VLOOKUP(A:A,'2023-2027'!A:L,1,+FALSE)</f>
        <v>3х-фазный т/огр РТСТГ-10-250-0,025УЗ №1</v>
      </c>
      <c r="D7" s="124" t="str">
        <f>'[2]2021 УГРЦТ'!C9</f>
        <v>ПРОИЗВОДСТВО</v>
      </c>
      <c r="E7" s="124" t="str">
        <f>'[2]2021 УГРЦТ'!D9</f>
        <v>Машины и оборудование (кроме офисного)</v>
      </c>
      <c r="F7" s="124" t="str">
        <f>'[2]2021 УГРЦТ'!E9</f>
        <v>31.03.2010</v>
      </c>
      <c r="G7" s="124" t="str">
        <f>'[2]2021 УГРЦТ'!F9</f>
        <v>Газотурбинный цех</v>
      </c>
      <c r="H7" s="124">
        <f>'[2]2021 УГРЦТ'!AC9</f>
        <v>240</v>
      </c>
      <c r="I7" s="107">
        <v>2926500</v>
      </c>
      <c r="J7" s="107">
        <v>1719318.75</v>
      </c>
      <c r="K7" s="107">
        <v>1207181.25</v>
      </c>
      <c r="L7" s="125" t="e">
        <f>SUMIF([2]облаг!$B$2:$B$259,B7,[2]облаг!$D$2:$D$259)</f>
        <v>#VALUE!</v>
      </c>
      <c r="M7" s="107">
        <f t="shared" si="13"/>
        <v>12193.75</v>
      </c>
      <c r="N7" s="107">
        <f t="shared" si="14"/>
        <v>146325</v>
      </c>
      <c r="O7" s="107">
        <f t="shared" si="15"/>
        <v>1194987.5</v>
      </c>
      <c r="P7" s="107">
        <f t="shared" si="16"/>
        <v>1182793.75</v>
      </c>
      <c r="Q7" s="107">
        <f t="shared" si="17"/>
        <v>1170600</v>
      </c>
      <c r="R7" s="107">
        <f t="shared" si="18"/>
        <v>1158406.25</v>
      </c>
      <c r="S7" s="107">
        <f t="shared" si="19"/>
        <v>1146212.5</v>
      </c>
      <c r="T7" s="107">
        <f t="shared" si="20"/>
        <v>1134018.75</v>
      </c>
      <c r="U7" s="107">
        <f t="shared" si="21"/>
        <v>1121825</v>
      </c>
      <c r="V7" s="107">
        <f t="shared" si="22"/>
        <v>1109631.25</v>
      </c>
      <c r="W7" s="107">
        <f t="shared" si="23"/>
        <v>1097437.5</v>
      </c>
      <c r="X7" s="107">
        <f t="shared" si="24"/>
        <v>1085243.75</v>
      </c>
      <c r="Y7" s="107">
        <f t="shared" si="25"/>
        <v>1073050</v>
      </c>
      <c r="Z7" s="107">
        <f t="shared" si="26"/>
        <v>1060856.25</v>
      </c>
      <c r="AA7" s="107"/>
      <c r="AB7" s="107"/>
      <c r="AC7" s="107">
        <f t="shared" si="27"/>
        <v>146325</v>
      </c>
      <c r="AD7" s="107">
        <f t="shared" si="28"/>
        <v>1048662.5</v>
      </c>
      <c r="AE7" s="107">
        <f t="shared" si="29"/>
        <v>1036468.75</v>
      </c>
      <c r="AF7" s="107">
        <f t="shared" si="30"/>
        <v>1024275</v>
      </c>
      <c r="AG7" s="107">
        <f t="shared" si="31"/>
        <v>1012081.25</v>
      </c>
      <c r="AH7" s="107">
        <f t="shared" si="32"/>
        <v>999887.5</v>
      </c>
      <c r="AI7" s="107">
        <f t="shared" si="33"/>
        <v>987693.75</v>
      </c>
      <c r="AJ7" s="107">
        <f t="shared" si="34"/>
        <v>975500</v>
      </c>
      <c r="AK7" s="107">
        <f t="shared" si="35"/>
        <v>963306.25</v>
      </c>
      <c r="AL7" s="107">
        <f t="shared" si="36"/>
        <v>951112.5</v>
      </c>
      <c r="AM7" s="107">
        <f t="shared" si="37"/>
        <v>938918.75</v>
      </c>
      <c r="AN7" s="107">
        <f t="shared" si="38"/>
        <v>926725</v>
      </c>
      <c r="AO7" s="107">
        <f t="shared" si="39"/>
        <v>914531.25</v>
      </c>
      <c r="AP7" s="107"/>
      <c r="AQ7" s="126"/>
      <c r="AR7" s="107">
        <f t="shared" si="40"/>
        <v>146325</v>
      </c>
      <c r="AS7" s="107">
        <f t="shared" si="1"/>
        <v>902337.5</v>
      </c>
      <c r="AT7" s="107">
        <f t="shared" si="2"/>
        <v>890143.75</v>
      </c>
      <c r="AU7" s="107">
        <f t="shared" si="3"/>
        <v>877950</v>
      </c>
      <c r="AV7" s="107">
        <f t="shared" si="4"/>
        <v>865756.25</v>
      </c>
      <c r="AW7" s="107">
        <f t="shared" si="5"/>
        <v>853562.5</v>
      </c>
      <c r="AX7" s="107">
        <f t="shared" si="6"/>
        <v>841368.75</v>
      </c>
      <c r="AY7" s="107">
        <f t="shared" si="7"/>
        <v>829175</v>
      </c>
      <c r="AZ7" s="107">
        <f t="shared" si="8"/>
        <v>816981.25</v>
      </c>
      <c r="BA7" s="107">
        <f t="shared" si="9"/>
        <v>804787.5</v>
      </c>
      <c r="BB7" s="107">
        <f t="shared" si="10"/>
        <v>792593.75</v>
      </c>
      <c r="BC7" s="107">
        <f t="shared" si="11"/>
        <v>780400</v>
      </c>
      <c r="BD7" s="107">
        <f t="shared" si="12"/>
        <v>768206.25</v>
      </c>
      <c r="BE7" s="10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</row>
    <row r="8" spans="1:75" ht="45" hidden="1" x14ac:dyDescent="0.2">
      <c r="A8" s="123" t="str">
        <f>'[2]2021 УГРЦТ'!A10</f>
        <v>TIP-HOL-MT-7 - Универсальный монитор-тестер AHD/CVI/TVI/CVBS/SDI и IP-видеосистем</v>
      </c>
      <c r="B8" s="124" t="str">
        <f>'[2]2021 УГРЦТ'!B10</f>
        <v>000001855</v>
      </c>
      <c r="C8" s="124" t="str">
        <f>VLOOKUP(A:A,'2023-2027'!A:L,1,+FALSE)</f>
        <v>TIP-HOL-MT-7 - Универсальный монитор-тестер AHD/CVI/TVI/CVBS/SDI и IP-видеосистем</v>
      </c>
      <c r="D8" s="124" t="str">
        <f>'[2]2021 УГРЦТ'!C10</f>
        <v>ПРОИЗВОДСТВО</v>
      </c>
      <c r="E8" s="124" t="str">
        <f>'[2]2021 УГРЦТ'!D10</f>
        <v>Машины и оборудование (кроме офисного)</v>
      </c>
      <c r="F8" s="124" t="str">
        <f>'[2]2021 УГРЦТ'!E10</f>
        <v>23.06.2021</v>
      </c>
      <c r="G8" s="124" t="str">
        <f>'[2]2021 УГРЦТ'!F10</f>
        <v>Электрический цех</v>
      </c>
      <c r="H8" s="124">
        <f>'[2]2021 УГРЦТ'!AC10</f>
        <v>84</v>
      </c>
      <c r="I8" s="107">
        <f>'[2]2021 УГРЦТ'!X10</f>
        <v>82366.67</v>
      </c>
      <c r="J8" s="107">
        <f>'[2]2021 УГРЦТ'!Y10</f>
        <v>5883.3335714285713</v>
      </c>
      <c r="K8" s="107">
        <f>'[2]2021 УГРЦТ'!Z10</f>
        <v>76483.336428571434</v>
      </c>
      <c r="L8" s="125" t="e">
        <f>SUMIF([2]облаг!$B$2:$B$259,B8,[2]облаг!$D$2:$D$259)</f>
        <v>#VALUE!</v>
      </c>
      <c r="M8" s="107">
        <f t="shared" si="13"/>
        <v>980.55559523809518</v>
      </c>
      <c r="N8" s="107">
        <f t="shared" si="14"/>
        <v>11766.667142857143</v>
      </c>
      <c r="O8" s="107">
        <f t="shared" si="15"/>
        <v>75502.780833333338</v>
      </c>
      <c r="P8" s="107">
        <f t="shared" si="16"/>
        <v>74522.225238095241</v>
      </c>
      <c r="Q8" s="107">
        <f t="shared" si="17"/>
        <v>73541.669642857145</v>
      </c>
      <c r="R8" s="107">
        <f t="shared" si="18"/>
        <v>72561.114047619049</v>
      </c>
      <c r="S8" s="107">
        <f t="shared" si="19"/>
        <v>71580.558452380952</v>
      </c>
      <c r="T8" s="107">
        <f t="shared" si="20"/>
        <v>70600.002857142856</v>
      </c>
      <c r="U8" s="107">
        <f t="shared" si="21"/>
        <v>69619.447261904759</v>
      </c>
      <c r="V8" s="107">
        <f t="shared" si="22"/>
        <v>68638.891666666663</v>
      </c>
      <c r="W8" s="107">
        <f t="shared" si="23"/>
        <v>67658.336071428566</v>
      </c>
      <c r="X8" s="107">
        <f t="shared" si="24"/>
        <v>66677.78047619047</v>
      </c>
      <c r="Y8" s="107">
        <f t="shared" si="25"/>
        <v>65697.224880952373</v>
      </c>
      <c r="Z8" s="107">
        <f t="shared" si="26"/>
        <v>64716.669285714277</v>
      </c>
      <c r="AA8" s="107"/>
      <c r="AB8" s="107"/>
      <c r="AC8" s="107">
        <f t="shared" si="27"/>
        <v>11766.667142857143</v>
      </c>
      <c r="AD8" s="107">
        <f t="shared" si="28"/>
        <v>63736.113690476181</v>
      </c>
      <c r="AE8" s="107">
        <f t="shared" si="29"/>
        <v>62755.558095238084</v>
      </c>
      <c r="AF8" s="107">
        <f t="shared" si="30"/>
        <v>61775.002499999988</v>
      </c>
      <c r="AG8" s="107">
        <f t="shared" si="31"/>
        <v>60794.446904761891</v>
      </c>
      <c r="AH8" s="107">
        <f t="shared" si="32"/>
        <v>59813.891309523795</v>
      </c>
      <c r="AI8" s="107">
        <f t="shared" si="33"/>
        <v>58833.335714285698</v>
      </c>
      <c r="AJ8" s="107">
        <f t="shared" si="34"/>
        <v>57852.780119047602</v>
      </c>
      <c r="AK8" s="107">
        <f t="shared" si="35"/>
        <v>56872.224523809506</v>
      </c>
      <c r="AL8" s="107">
        <f t="shared" si="36"/>
        <v>55891.668928571409</v>
      </c>
      <c r="AM8" s="107">
        <f t="shared" si="37"/>
        <v>54911.113333333313</v>
      </c>
      <c r="AN8" s="107">
        <f t="shared" si="38"/>
        <v>53930.557738095216</v>
      </c>
      <c r="AO8" s="107">
        <f t="shared" si="39"/>
        <v>52950.00214285712</v>
      </c>
      <c r="AP8" s="107"/>
      <c r="AQ8" s="126"/>
      <c r="AR8" s="107">
        <f t="shared" si="40"/>
        <v>11766.667142857143</v>
      </c>
      <c r="AS8" s="107">
        <f t="shared" si="1"/>
        <v>51969.446547619023</v>
      </c>
      <c r="AT8" s="107">
        <f t="shared" si="2"/>
        <v>50988.890952380927</v>
      </c>
      <c r="AU8" s="107">
        <f t="shared" si="3"/>
        <v>50008.335357142831</v>
      </c>
      <c r="AV8" s="107">
        <f t="shared" si="4"/>
        <v>49027.779761904734</v>
      </c>
      <c r="AW8" s="107">
        <f t="shared" si="5"/>
        <v>48047.224166666638</v>
      </c>
      <c r="AX8" s="107">
        <f t="shared" si="6"/>
        <v>47066.668571428541</v>
      </c>
      <c r="AY8" s="107">
        <f t="shared" si="7"/>
        <v>46086.112976190445</v>
      </c>
      <c r="AZ8" s="107">
        <f t="shared" si="8"/>
        <v>45105.557380952348</v>
      </c>
      <c r="BA8" s="107">
        <f t="shared" si="9"/>
        <v>44125.001785714252</v>
      </c>
      <c r="BB8" s="107">
        <f t="shared" si="10"/>
        <v>43144.446190476156</v>
      </c>
      <c r="BC8" s="107">
        <f t="shared" si="11"/>
        <v>42163.890595238059</v>
      </c>
      <c r="BD8" s="107">
        <f t="shared" si="12"/>
        <v>41183.334999999963</v>
      </c>
      <c r="BE8" s="10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</row>
    <row r="9" spans="1:75" ht="22.5" hidden="1" x14ac:dyDescent="0.2">
      <c r="A9" s="123" t="str">
        <f>'[2]2021 УГРЦТ'!A11</f>
        <v>Аппарат для испытания масла "ВОЛНА-АИМ90В"</v>
      </c>
      <c r="B9" s="124" t="str">
        <f>'[2]2021 УГРЦТ'!B11</f>
        <v>000001705</v>
      </c>
      <c r="C9" s="124" t="str">
        <f>VLOOKUP(A:A,'2023-2027'!A:L,1,+FALSE)</f>
        <v>Аппарат для испытания масла "ВОЛНА-АИМ90В"</v>
      </c>
      <c r="D9" s="124" t="str">
        <f>'[2]2021 УГРЦТ'!C11</f>
        <v>ПРОИЗВОДСТВО</v>
      </c>
      <c r="E9" s="124" t="str">
        <f>'[2]2021 УГРЦТ'!D11</f>
        <v>Машины и оборудование (кроме офисного)</v>
      </c>
      <c r="F9" s="124" t="str">
        <f>'[2]2021 УГРЦТ'!E11</f>
        <v>18.07.2017</v>
      </c>
      <c r="G9" s="124" t="str">
        <f>'[2]2021 УГРЦТ'!F11</f>
        <v>Электрический цех</v>
      </c>
      <c r="H9" s="124">
        <f>'[2]2021 УГРЦТ'!AC11</f>
        <v>120</v>
      </c>
      <c r="I9" s="107">
        <f>'[2]2021 УГРЦТ'!X11</f>
        <v>142372.88</v>
      </c>
      <c r="J9" s="107">
        <f>'[2]2021 УГРЦТ'!Y11</f>
        <v>62881.328000000001</v>
      </c>
      <c r="K9" s="107">
        <f>'[2]2021 УГРЦТ'!Z11</f>
        <v>79491.551999999996</v>
      </c>
      <c r="L9" s="125" t="e">
        <f>SUMIF([2]облаг!$B$2:$B$259,B9,[2]облаг!$D$2:$D$259)</f>
        <v>#VALUE!</v>
      </c>
      <c r="M9" s="107">
        <f t="shared" si="13"/>
        <v>1186.4406666666666</v>
      </c>
      <c r="N9" s="107">
        <f t="shared" si="14"/>
        <v>14237.288</v>
      </c>
      <c r="O9" s="107">
        <f t="shared" si="15"/>
        <v>78305.111333333334</v>
      </c>
      <c r="P9" s="107">
        <f t="shared" si="16"/>
        <v>77118.670666666672</v>
      </c>
      <c r="Q9" s="107">
        <f t="shared" si="17"/>
        <v>75932.23000000001</v>
      </c>
      <c r="R9" s="107">
        <f t="shared" si="18"/>
        <v>74745.789333333349</v>
      </c>
      <c r="S9" s="107">
        <f t="shared" si="19"/>
        <v>73559.348666666687</v>
      </c>
      <c r="T9" s="107">
        <f t="shared" si="20"/>
        <v>72372.908000000025</v>
      </c>
      <c r="U9" s="107">
        <f t="shared" si="21"/>
        <v>71186.467333333363</v>
      </c>
      <c r="V9" s="107">
        <f t="shared" si="22"/>
        <v>70000.026666666701</v>
      </c>
      <c r="W9" s="107">
        <f t="shared" si="23"/>
        <v>68813.586000000039</v>
      </c>
      <c r="X9" s="107">
        <f t="shared" si="24"/>
        <v>67627.145333333377</v>
      </c>
      <c r="Y9" s="107">
        <f t="shared" si="25"/>
        <v>66440.704666666716</v>
      </c>
      <c r="Z9" s="107">
        <f t="shared" si="26"/>
        <v>65254.264000000047</v>
      </c>
      <c r="AA9" s="107"/>
      <c r="AB9" s="107"/>
      <c r="AC9" s="107">
        <f t="shared" si="27"/>
        <v>14237.288</v>
      </c>
      <c r="AD9" s="107">
        <f t="shared" si="28"/>
        <v>64067.823333333377</v>
      </c>
      <c r="AE9" s="107">
        <f t="shared" si="29"/>
        <v>62881.382666666708</v>
      </c>
      <c r="AF9" s="107">
        <f t="shared" si="30"/>
        <v>61694.942000000039</v>
      </c>
      <c r="AG9" s="107">
        <f t="shared" si="31"/>
        <v>60508.50133333337</v>
      </c>
      <c r="AH9" s="107">
        <f t="shared" si="32"/>
        <v>59322.060666666701</v>
      </c>
      <c r="AI9" s="107">
        <f t="shared" si="33"/>
        <v>58135.620000000032</v>
      </c>
      <c r="AJ9" s="107">
        <f t="shared" si="34"/>
        <v>56949.179333333363</v>
      </c>
      <c r="AK9" s="107">
        <f t="shared" si="35"/>
        <v>55762.738666666693</v>
      </c>
      <c r="AL9" s="107">
        <f t="shared" si="36"/>
        <v>54576.298000000024</v>
      </c>
      <c r="AM9" s="107">
        <f t="shared" si="37"/>
        <v>53389.857333333355</v>
      </c>
      <c r="AN9" s="107">
        <f t="shared" si="38"/>
        <v>52203.416666666686</v>
      </c>
      <c r="AO9" s="107">
        <f t="shared" si="39"/>
        <v>51016.976000000017</v>
      </c>
      <c r="AP9" s="107"/>
      <c r="AQ9" s="126"/>
      <c r="AR9" s="107">
        <f t="shared" si="40"/>
        <v>14237.288</v>
      </c>
      <c r="AS9" s="107">
        <f t="shared" si="1"/>
        <v>49830.535333333348</v>
      </c>
      <c r="AT9" s="107">
        <f t="shared" si="2"/>
        <v>48644.094666666679</v>
      </c>
      <c r="AU9" s="107">
        <f t="shared" si="3"/>
        <v>47457.65400000001</v>
      </c>
      <c r="AV9" s="107">
        <f t="shared" si="4"/>
        <v>46271.21333333334</v>
      </c>
      <c r="AW9" s="107">
        <f t="shared" si="5"/>
        <v>45084.772666666671</v>
      </c>
      <c r="AX9" s="107">
        <f t="shared" si="6"/>
        <v>43898.332000000002</v>
      </c>
      <c r="AY9" s="107">
        <f t="shared" si="7"/>
        <v>42711.891333333333</v>
      </c>
      <c r="AZ9" s="107">
        <f t="shared" si="8"/>
        <v>41525.450666666664</v>
      </c>
      <c r="BA9" s="107">
        <f t="shared" si="9"/>
        <v>40339.009999999995</v>
      </c>
      <c r="BB9" s="107">
        <f t="shared" si="10"/>
        <v>39152.569333333326</v>
      </c>
      <c r="BC9" s="107">
        <f t="shared" si="11"/>
        <v>37966.128666666656</v>
      </c>
      <c r="BD9" s="107">
        <f t="shared" si="12"/>
        <v>36779.687999999987</v>
      </c>
      <c r="BE9" s="10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</row>
    <row r="10" spans="1:75" ht="22.5" hidden="1" x14ac:dyDescent="0.2">
      <c r="A10" s="123" t="str">
        <f>'[2]2021 УГРЦТ'!A12</f>
        <v>Аппаратура виброконтроля СВКА 1-2-06</v>
      </c>
      <c r="B10" s="124" t="str">
        <f>'[2]2021 УГРЦТ'!B12</f>
        <v>000001824</v>
      </c>
      <c r="C10" s="124" t="str">
        <f>VLOOKUP(A:A,'2023-2027'!A:L,1,+FALSE)</f>
        <v>Аппаратура виброконтроля СВКА 1-2-06</v>
      </c>
      <c r="D10" s="124" t="str">
        <f>'[2]2021 УГРЦТ'!C12</f>
        <v>ПРОИЗВОДСТВО</v>
      </c>
      <c r="E10" s="124" t="str">
        <f>'[2]2021 УГРЦТ'!D12</f>
        <v>Машины и оборудование (кроме офисного)</v>
      </c>
      <c r="F10" s="124" t="str">
        <f>'[2]2021 УГРЦТ'!E12</f>
        <v>02.11.2020</v>
      </c>
      <c r="G10" s="124" t="str">
        <f>'[2]2021 УГРЦТ'!F12</f>
        <v>Газотурбинный цех</v>
      </c>
      <c r="H10" s="124">
        <f>'[2]2021 УГРЦТ'!AC12</f>
        <v>84</v>
      </c>
      <c r="I10" s="107">
        <f>'[2]2021 УГРЦТ'!X12</f>
        <v>821895</v>
      </c>
      <c r="J10" s="107">
        <f>'[2]2021 УГРЦТ'!Y12</f>
        <v>127198.03142857147</v>
      </c>
      <c r="K10" s="107">
        <f>'[2]2021 УГРЦТ'!Z12</f>
        <v>694696.96857142856</v>
      </c>
      <c r="L10" s="125" t="e">
        <f>SUMIF([2]облаг!$B$2:$B$259,B10,[2]облаг!$D$2:$D$259)</f>
        <v>#VALUE!</v>
      </c>
      <c r="M10" s="107">
        <f t="shared" si="13"/>
        <v>9784.4642857142862</v>
      </c>
      <c r="N10" s="107">
        <f t="shared" si="14"/>
        <v>117413.57142857143</v>
      </c>
      <c r="O10" s="107">
        <f t="shared" si="15"/>
        <v>684912.50428571424</v>
      </c>
      <c r="P10" s="107">
        <f t="shared" si="16"/>
        <v>675128.03999999992</v>
      </c>
      <c r="Q10" s="107">
        <f t="shared" si="17"/>
        <v>665343.5757142856</v>
      </c>
      <c r="R10" s="107">
        <f t="shared" si="18"/>
        <v>655559.11142857128</v>
      </c>
      <c r="S10" s="107">
        <f t="shared" si="19"/>
        <v>645774.64714285696</v>
      </c>
      <c r="T10" s="107">
        <f t="shared" si="20"/>
        <v>635990.18285714264</v>
      </c>
      <c r="U10" s="107">
        <f t="shared" si="21"/>
        <v>626205.71857142833</v>
      </c>
      <c r="V10" s="107">
        <f t="shared" si="22"/>
        <v>616421.25428571401</v>
      </c>
      <c r="W10" s="107">
        <f t="shared" si="23"/>
        <v>606636.78999999969</v>
      </c>
      <c r="X10" s="107">
        <f t="shared" si="24"/>
        <v>596852.32571428537</v>
      </c>
      <c r="Y10" s="107">
        <f t="shared" si="25"/>
        <v>587067.86142857105</v>
      </c>
      <c r="Z10" s="107">
        <f t="shared" si="26"/>
        <v>577283.39714285673</v>
      </c>
      <c r="AA10" s="107"/>
      <c r="AB10" s="107"/>
      <c r="AC10" s="107">
        <f t="shared" si="27"/>
        <v>117413.57142857143</v>
      </c>
      <c r="AD10" s="107">
        <f t="shared" si="28"/>
        <v>567498.93285714241</v>
      </c>
      <c r="AE10" s="107">
        <f t="shared" si="29"/>
        <v>557714.46857142809</v>
      </c>
      <c r="AF10" s="107">
        <f t="shared" si="30"/>
        <v>547930.00428571377</v>
      </c>
      <c r="AG10" s="107">
        <f t="shared" si="31"/>
        <v>538145.53999999946</v>
      </c>
      <c r="AH10" s="107">
        <f t="shared" si="32"/>
        <v>528361.07571428514</v>
      </c>
      <c r="AI10" s="107">
        <f t="shared" si="33"/>
        <v>518576.61142857088</v>
      </c>
      <c r="AJ10" s="107">
        <f t="shared" si="34"/>
        <v>508792.14714285661</v>
      </c>
      <c r="AK10" s="107">
        <f t="shared" si="35"/>
        <v>499007.68285714235</v>
      </c>
      <c r="AL10" s="107">
        <f t="shared" si="36"/>
        <v>489223.21857142809</v>
      </c>
      <c r="AM10" s="107">
        <f t="shared" si="37"/>
        <v>479438.75428571383</v>
      </c>
      <c r="AN10" s="107">
        <f t="shared" si="38"/>
        <v>469654.28999999957</v>
      </c>
      <c r="AO10" s="107">
        <f t="shared" si="39"/>
        <v>459869.82571428531</v>
      </c>
      <c r="AP10" s="107"/>
      <c r="AQ10" s="126"/>
      <c r="AR10" s="107">
        <f t="shared" si="40"/>
        <v>117413.57142857143</v>
      </c>
      <c r="AS10" s="107">
        <f t="shared" si="1"/>
        <v>450085.36142857105</v>
      </c>
      <c r="AT10" s="107">
        <f t="shared" si="2"/>
        <v>440300.89714285679</v>
      </c>
      <c r="AU10" s="107">
        <f t="shared" si="3"/>
        <v>430516.43285714253</v>
      </c>
      <c r="AV10" s="107">
        <f t="shared" si="4"/>
        <v>420731.96857142827</v>
      </c>
      <c r="AW10" s="107">
        <f t="shared" si="5"/>
        <v>410947.50428571401</v>
      </c>
      <c r="AX10" s="107">
        <f t="shared" si="6"/>
        <v>401163.03999999975</v>
      </c>
      <c r="AY10" s="107">
        <f t="shared" si="7"/>
        <v>391378.57571428549</v>
      </c>
      <c r="AZ10" s="107">
        <f t="shared" si="8"/>
        <v>381594.11142857122</v>
      </c>
      <c r="BA10" s="107">
        <f t="shared" si="9"/>
        <v>371809.64714285696</v>
      </c>
      <c r="BB10" s="107">
        <f t="shared" si="10"/>
        <v>362025.1828571427</v>
      </c>
      <c r="BC10" s="107">
        <f t="shared" si="11"/>
        <v>352240.71857142844</v>
      </c>
      <c r="BD10" s="107">
        <f t="shared" si="12"/>
        <v>342456.25428571418</v>
      </c>
      <c r="BE10" s="10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</row>
    <row r="11" spans="1:75" ht="22.5" hidden="1" x14ac:dyDescent="0.2">
      <c r="A11" s="123" t="str">
        <f>'[2]2021 УГРЦТ'!A13</f>
        <v>Блок управления БУШ ДГ-011 №960811011058</v>
      </c>
      <c r="B11" s="124" t="str">
        <f>'[2]2021 УГРЦТ'!B13</f>
        <v>00001378</v>
      </c>
      <c r="C11" s="124" t="str">
        <f>VLOOKUP(A:A,'2023-2027'!A:L,1,+FALSE)</f>
        <v>Блок управления БУШ ДГ-011 №960811011058</v>
      </c>
      <c r="D11" s="124" t="str">
        <f>'[2]2021 УГРЦТ'!C13</f>
        <v>ПРОИЗВОДСТВО</v>
      </c>
      <c r="E11" s="124" t="str">
        <f>'[2]2021 УГРЦТ'!D13</f>
        <v>Машины и оборудование (кроме офисного)</v>
      </c>
      <c r="F11" s="124" t="str">
        <f>'[2]2021 УГРЦТ'!E13</f>
        <v>18.10.2011</v>
      </c>
      <c r="G11" s="124" t="str">
        <f>'[2]2021 УГРЦТ'!F13</f>
        <v>Газотурбинный цех</v>
      </c>
      <c r="H11" s="124">
        <f>'[2]2021 УГРЦТ'!AC13</f>
        <v>120</v>
      </c>
      <c r="I11" s="107">
        <f>'[2]2021 УГРЦТ'!X13</f>
        <v>315000</v>
      </c>
      <c r="J11" s="107">
        <f>'[2]2021 УГРЦТ'!Y13</f>
        <v>315000</v>
      </c>
      <c r="K11" s="107">
        <f>'[2]2021 УГРЦТ'!Z13</f>
        <v>0</v>
      </c>
      <c r="L11" s="125" t="e">
        <f>SUMIF([2]облаг!$B$2:$B$259,B11,[2]облаг!$D$2:$D$259)</f>
        <v>#VALUE!</v>
      </c>
      <c r="M11" s="107">
        <v>0</v>
      </c>
      <c r="N11" s="107">
        <v>0</v>
      </c>
      <c r="O11" s="107">
        <f t="shared" si="15"/>
        <v>0</v>
      </c>
      <c r="P11" s="107">
        <f t="shared" si="16"/>
        <v>0</v>
      </c>
      <c r="Q11" s="107">
        <f t="shared" si="17"/>
        <v>0</v>
      </c>
      <c r="R11" s="107">
        <f t="shared" si="18"/>
        <v>0</v>
      </c>
      <c r="S11" s="107">
        <f t="shared" si="19"/>
        <v>0</v>
      </c>
      <c r="T11" s="107">
        <f t="shared" si="20"/>
        <v>0</v>
      </c>
      <c r="U11" s="107">
        <f t="shared" si="21"/>
        <v>0</v>
      </c>
      <c r="V11" s="107">
        <f t="shared" si="22"/>
        <v>0</v>
      </c>
      <c r="W11" s="107">
        <f t="shared" si="23"/>
        <v>0</v>
      </c>
      <c r="X11" s="107">
        <f t="shared" si="24"/>
        <v>0</v>
      </c>
      <c r="Y11" s="107">
        <f t="shared" si="25"/>
        <v>0</v>
      </c>
      <c r="Z11" s="107">
        <f t="shared" si="26"/>
        <v>0</v>
      </c>
      <c r="AA11" s="107"/>
      <c r="AB11" s="107"/>
      <c r="AC11" s="107">
        <f t="shared" si="27"/>
        <v>0</v>
      </c>
      <c r="AD11" s="107">
        <f t="shared" si="28"/>
        <v>0</v>
      </c>
      <c r="AE11" s="107">
        <f t="shared" si="29"/>
        <v>0</v>
      </c>
      <c r="AF11" s="107">
        <f t="shared" si="30"/>
        <v>0</v>
      </c>
      <c r="AG11" s="107">
        <f t="shared" si="31"/>
        <v>0</v>
      </c>
      <c r="AH11" s="107">
        <f t="shared" si="32"/>
        <v>0</v>
      </c>
      <c r="AI11" s="107">
        <f t="shared" si="33"/>
        <v>0</v>
      </c>
      <c r="AJ11" s="107">
        <f t="shared" si="34"/>
        <v>0</v>
      </c>
      <c r="AK11" s="107">
        <f t="shared" si="35"/>
        <v>0</v>
      </c>
      <c r="AL11" s="107">
        <f t="shared" si="36"/>
        <v>0</v>
      </c>
      <c r="AM11" s="107">
        <f t="shared" si="37"/>
        <v>0</v>
      </c>
      <c r="AN11" s="107">
        <f t="shared" si="38"/>
        <v>0</v>
      </c>
      <c r="AO11" s="107">
        <f t="shared" si="39"/>
        <v>0</v>
      </c>
      <c r="AP11" s="107"/>
      <c r="AQ11" s="126"/>
      <c r="AR11" s="107">
        <f t="shared" si="40"/>
        <v>0</v>
      </c>
      <c r="AS11" s="107">
        <f t="shared" si="1"/>
        <v>0</v>
      </c>
      <c r="AT11" s="107">
        <f t="shared" si="2"/>
        <v>0</v>
      </c>
      <c r="AU11" s="107">
        <f t="shared" si="3"/>
        <v>0</v>
      </c>
      <c r="AV11" s="107">
        <f t="shared" si="4"/>
        <v>0</v>
      </c>
      <c r="AW11" s="107">
        <f t="shared" si="5"/>
        <v>0</v>
      </c>
      <c r="AX11" s="107">
        <f t="shared" si="6"/>
        <v>0</v>
      </c>
      <c r="AY11" s="107">
        <f t="shared" si="7"/>
        <v>0</v>
      </c>
      <c r="AZ11" s="107">
        <f t="shared" si="8"/>
        <v>0</v>
      </c>
      <c r="BA11" s="107">
        <f t="shared" si="9"/>
        <v>0</v>
      </c>
      <c r="BB11" s="107">
        <f t="shared" si="10"/>
        <v>0</v>
      </c>
      <c r="BC11" s="107">
        <f t="shared" si="11"/>
        <v>0</v>
      </c>
      <c r="BD11" s="107">
        <f t="shared" si="12"/>
        <v>0</v>
      </c>
      <c r="BE11" s="124"/>
    </row>
    <row r="12" spans="1:75" ht="33.75" hidden="1" x14ac:dyDescent="0.2">
      <c r="A12" s="123" t="str">
        <f>'[2]2021 УГРЦТ'!A14</f>
        <v>Видеоэндоскоп jProbe VJ-ADV, диаметр рабочей части 6,9 мм, длин. зонда -3м</v>
      </c>
      <c r="B12" s="124" t="str">
        <f>'[2]2021 УГРЦТ'!B14</f>
        <v>000001640</v>
      </c>
      <c r="C12" s="124" t="str">
        <f>VLOOKUP(A:A,'2023-2027'!A:L,1,+FALSE)</f>
        <v>Видеоэндоскоп jProbe VJ-ADV, диаметр рабочей части 6,9 мм, длин. зонда -3м</v>
      </c>
      <c r="D12" s="124" t="str">
        <f>'[2]2021 УГРЦТ'!C14</f>
        <v>ПРОИЗВОДСТВО</v>
      </c>
      <c r="E12" s="124" t="str">
        <f>'[2]2021 УГРЦТ'!D14</f>
        <v>Машины и оборудование (кроме офисного)</v>
      </c>
      <c r="F12" s="124" t="str">
        <f>'[2]2021 УГРЦТ'!E14</f>
        <v>31.07.2014</v>
      </c>
      <c r="G12" s="124" t="str">
        <f>'[2]2021 УГРЦТ'!F14</f>
        <v>Газотурбинный цех</v>
      </c>
      <c r="H12" s="124">
        <f>'[2]2021 УГРЦТ'!AC14</f>
        <v>84</v>
      </c>
      <c r="I12" s="107">
        <f>'[2]2021 УГРЦТ'!X14</f>
        <v>338983.05</v>
      </c>
      <c r="J12" s="107">
        <f>'[2]2021 УГРЦТ'!Y14</f>
        <v>338983.05</v>
      </c>
      <c r="K12" s="107">
        <f>'[2]2021 УГРЦТ'!Z14</f>
        <v>0</v>
      </c>
      <c r="L12" s="125" t="e">
        <f>SUMIF([2]облаг!$B$2:$B$259,B12,[2]облаг!$D$2:$D$259)</f>
        <v>#VALUE!</v>
      </c>
      <c r="M12" s="107">
        <v>0</v>
      </c>
      <c r="N12" s="107">
        <f t="shared" si="14"/>
        <v>0</v>
      </c>
      <c r="O12" s="107">
        <f t="shared" si="15"/>
        <v>0</v>
      </c>
      <c r="P12" s="107">
        <f t="shared" si="16"/>
        <v>0</v>
      </c>
      <c r="Q12" s="107">
        <f t="shared" si="17"/>
        <v>0</v>
      </c>
      <c r="R12" s="107">
        <f t="shared" si="18"/>
        <v>0</v>
      </c>
      <c r="S12" s="107">
        <f t="shared" si="19"/>
        <v>0</v>
      </c>
      <c r="T12" s="107">
        <f t="shared" si="20"/>
        <v>0</v>
      </c>
      <c r="U12" s="107">
        <f t="shared" si="21"/>
        <v>0</v>
      </c>
      <c r="V12" s="107">
        <f t="shared" si="22"/>
        <v>0</v>
      </c>
      <c r="W12" s="107">
        <f t="shared" si="23"/>
        <v>0</v>
      </c>
      <c r="X12" s="107">
        <f t="shared" si="24"/>
        <v>0</v>
      </c>
      <c r="Y12" s="107">
        <f t="shared" si="25"/>
        <v>0</v>
      </c>
      <c r="Z12" s="107">
        <f t="shared" si="26"/>
        <v>0</v>
      </c>
      <c r="AA12" s="107"/>
      <c r="AB12" s="107"/>
      <c r="AC12" s="107">
        <f t="shared" si="27"/>
        <v>0</v>
      </c>
      <c r="AD12" s="107">
        <f t="shared" si="28"/>
        <v>0</v>
      </c>
      <c r="AE12" s="107">
        <f t="shared" si="29"/>
        <v>0</v>
      </c>
      <c r="AF12" s="107">
        <f t="shared" si="30"/>
        <v>0</v>
      </c>
      <c r="AG12" s="107">
        <f t="shared" si="31"/>
        <v>0</v>
      </c>
      <c r="AH12" s="107">
        <f t="shared" si="32"/>
        <v>0</v>
      </c>
      <c r="AI12" s="107">
        <f t="shared" si="33"/>
        <v>0</v>
      </c>
      <c r="AJ12" s="107">
        <f t="shared" si="34"/>
        <v>0</v>
      </c>
      <c r="AK12" s="107">
        <f t="shared" si="35"/>
        <v>0</v>
      </c>
      <c r="AL12" s="107">
        <f t="shared" si="36"/>
        <v>0</v>
      </c>
      <c r="AM12" s="107">
        <f t="shared" si="37"/>
        <v>0</v>
      </c>
      <c r="AN12" s="107">
        <f t="shared" si="38"/>
        <v>0</v>
      </c>
      <c r="AO12" s="107">
        <f t="shared" si="39"/>
        <v>0</v>
      </c>
      <c r="AP12" s="107"/>
      <c r="AQ12" s="126"/>
      <c r="AR12" s="107">
        <f t="shared" si="40"/>
        <v>0</v>
      </c>
      <c r="AS12" s="107">
        <f t="shared" si="1"/>
        <v>0</v>
      </c>
      <c r="AT12" s="107">
        <f t="shared" si="2"/>
        <v>0</v>
      </c>
      <c r="AU12" s="107">
        <f t="shared" si="3"/>
        <v>0</v>
      </c>
      <c r="AV12" s="107">
        <f t="shared" si="4"/>
        <v>0</v>
      </c>
      <c r="AW12" s="107">
        <f t="shared" si="5"/>
        <v>0</v>
      </c>
      <c r="AX12" s="107">
        <f t="shared" si="6"/>
        <v>0</v>
      </c>
      <c r="AY12" s="107">
        <f t="shared" si="7"/>
        <v>0</v>
      </c>
      <c r="AZ12" s="107">
        <f t="shared" si="8"/>
        <v>0</v>
      </c>
      <c r="BA12" s="107">
        <f t="shared" si="9"/>
        <v>0</v>
      </c>
      <c r="BB12" s="107">
        <f t="shared" si="10"/>
        <v>0</v>
      </c>
      <c r="BC12" s="107">
        <f t="shared" si="11"/>
        <v>0</v>
      </c>
      <c r="BD12" s="107">
        <f t="shared" si="12"/>
        <v>0</v>
      </c>
      <c r="BE12" s="124"/>
    </row>
    <row r="13" spans="1:75" ht="22.5" hidden="1" x14ac:dyDescent="0.2">
      <c r="A13" s="123" t="str">
        <f>'[2]2021 УГРЦТ'!A15</f>
        <v>Воздушная линия 0,4 кВ (ТУ 487 от 02.07.20)</v>
      </c>
      <c r="B13" s="124" t="str">
        <f>'[2]2021 УГРЦТ'!B15</f>
        <v>000001867</v>
      </c>
      <c r="C13" s="124" t="str">
        <f>VLOOKUP(A:A,'2023-2027'!A:L,1,+FALSE)</f>
        <v>Воздушная линия 0,4 кВ (ТУ 487 от 02.07.20)</v>
      </c>
      <c r="D13" s="124" t="str">
        <f>'[2]2021 УГРЦТ'!C15</f>
        <v>ПРОИЗВОДСТВО</v>
      </c>
      <c r="E13" s="124" t="str">
        <f>'[2]2021 УГРЦТ'!D15</f>
        <v>Сооружения</v>
      </c>
      <c r="F13" s="124" t="str">
        <f>'[2]2021 УГРЦТ'!E15</f>
        <v>21.10.2021</v>
      </c>
      <c r="G13" s="124" t="str">
        <f>'[2]2021 УГРЦТ'!F15</f>
        <v>ДЭС п.Красное</v>
      </c>
      <c r="H13" s="124">
        <f>'[2]2021 УГРЦТ'!AC15</f>
        <v>480</v>
      </c>
      <c r="I13" s="107">
        <f>'[2]2021 УГРЦТ'!X15</f>
        <v>205964.57</v>
      </c>
      <c r="J13" s="107">
        <f>'[2]2021 УГРЦТ'!Y15</f>
        <v>858.18570833333331</v>
      </c>
      <c r="K13" s="107">
        <f>'[2]2021 УГРЦТ'!Z15</f>
        <v>205106.38429166668</v>
      </c>
      <c r="L13" s="125" t="e">
        <f>SUMIF([2]облаг!$B$2:$B$259,B13,[2]облаг!$D$2:$D$259)</f>
        <v>#VALUE!</v>
      </c>
      <c r="M13" s="107">
        <f t="shared" si="13"/>
        <v>429.09285416666665</v>
      </c>
      <c r="N13" s="107">
        <f t="shared" si="14"/>
        <v>5149.1142499999996</v>
      </c>
      <c r="O13" s="107">
        <f t="shared" si="15"/>
        <v>204677.29143750001</v>
      </c>
      <c r="P13" s="107">
        <f t="shared" si="16"/>
        <v>204248.19858333335</v>
      </c>
      <c r="Q13" s="107">
        <f t="shared" si="17"/>
        <v>203819.10572916668</v>
      </c>
      <c r="R13" s="107">
        <f t="shared" si="18"/>
        <v>203390.01287500001</v>
      </c>
      <c r="S13" s="107">
        <f t="shared" si="19"/>
        <v>202960.92002083335</v>
      </c>
      <c r="T13" s="107">
        <f t="shared" si="20"/>
        <v>202531.82716666668</v>
      </c>
      <c r="U13" s="107">
        <f t="shared" si="21"/>
        <v>202102.73431250002</v>
      </c>
      <c r="V13" s="107">
        <f t="shared" si="22"/>
        <v>201673.64145833335</v>
      </c>
      <c r="W13" s="107">
        <f t="shared" si="23"/>
        <v>201244.54860416669</v>
      </c>
      <c r="X13" s="107">
        <f t="shared" si="24"/>
        <v>200815.45575000002</v>
      </c>
      <c r="Y13" s="107">
        <f t="shared" si="25"/>
        <v>200386.36289583336</v>
      </c>
      <c r="Z13" s="107">
        <f t="shared" si="26"/>
        <v>199957.27004166669</v>
      </c>
      <c r="AA13" s="107">
        <f>SUM(O13:Z13,K13)/13*$AA$2</f>
        <v>4455.700197666667</v>
      </c>
      <c r="AB13" s="107"/>
      <c r="AC13" s="107">
        <f t="shared" si="27"/>
        <v>5149.1142499999996</v>
      </c>
      <c r="AD13" s="107">
        <f t="shared" si="28"/>
        <v>199528.17718750003</v>
      </c>
      <c r="AE13" s="107">
        <f t="shared" si="29"/>
        <v>199099.08433333336</v>
      </c>
      <c r="AF13" s="107">
        <f t="shared" si="30"/>
        <v>198669.9914791667</v>
      </c>
      <c r="AG13" s="107">
        <f t="shared" si="31"/>
        <v>198240.89862500003</v>
      </c>
      <c r="AH13" s="107">
        <f t="shared" si="32"/>
        <v>197811.80577083337</v>
      </c>
      <c r="AI13" s="107">
        <f t="shared" si="33"/>
        <v>197382.7129166667</v>
      </c>
      <c r="AJ13" s="107">
        <f t="shared" si="34"/>
        <v>196953.62006250003</v>
      </c>
      <c r="AK13" s="107">
        <f t="shared" si="35"/>
        <v>196524.52720833337</v>
      </c>
      <c r="AL13" s="107">
        <f t="shared" si="36"/>
        <v>196095.4343541667</v>
      </c>
      <c r="AM13" s="107">
        <f t="shared" si="37"/>
        <v>195666.34150000004</v>
      </c>
      <c r="AN13" s="107">
        <f t="shared" si="38"/>
        <v>195237.24864583337</v>
      </c>
      <c r="AO13" s="107">
        <f t="shared" si="39"/>
        <v>194808.15579166671</v>
      </c>
      <c r="AP13" s="107">
        <f>SUM(AD13:AO13,Z13)/13*$AP$2</f>
        <v>4342.4196841666671</v>
      </c>
      <c r="AQ13" s="126"/>
      <c r="AR13" s="107">
        <f t="shared" si="40"/>
        <v>5149.1142499999996</v>
      </c>
      <c r="AS13" s="107">
        <f t="shared" si="1"/>
        <v>194379.06293750004</v>
      </c>
      <c r="AT13" s="107">
        <f t="shared" si="2"/>
        <v>193949.97008333338</v>
      </c>
      <c r="AU13" s="107">
        <f t="shared" si="3"/>
        <v>193520.87722916671</v>
      </c>
      <c r="AV13" s="107">
        <f t="shared" si="4"/>
        <v>193091.78437500005</v>
      </c>
      <c r="AW13" s="107">
        <f t="shared" si="5"/>
        <v>192662.69152083338</v>
      </c>
      <c r="AX13" s="107">
        <f t="shared" si="6"/>
        <v>192233.59866666672</v>
      </c>
      <c r="AY13" s="107">
        <f t="shared" si="7"/>
        <v>191804.50581250005</v>
      </c>
      <c r="AZ13" s="107">
        <f t="shared" si="8"/>
        <v>191375.41295833339</v>
      </c>
      <c r="BA13" s="107">
        <f t="shared" si="9"/>
        <v>190946.32010416672</v>
      </c>
      <c r="BB13" s="107">
        <f t="shared" si="10"/>
        <v>190517.22725000005</v>
      </c>
      <c r="BC13" s="107">
        <f t="shared" si="11"/>
        <v>190088.13439583339</v>
      </c>
      <c r="BD13" s="107">
        <f t="shared" si="12"/>
        <v>189659.04154166672</v>
      </c>
      <c r="BE13" s="107">
        <f>SUM(AS13:BD13,AO13)/13*$BE$2</f>
        <v>4229.1391706666673</v>
      </c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</row>
    <row r="14" spans="1:75" ht="22.5" hidden="1" x14ac:dyDescent="0.2">
      <c r="A14" s="123" t="str">
        <f>'[2]2021 УГРЦТ'!A16</f>
        <v>Вольтамперфазометр РЕТОМЕТР-М2 (НПП "ДИНАМИКА")</v>
      </c>
      <c r="B14" s="124" t="str">
        <f>'[2]2021 УГРЦТ'!B16</f>
        <v>000001719</v>
      </c>
      <c r="C14" s="124" t="str">
        <f>VLOOKUP(A:A,'2023-2027'!A:L,1,+FALSE)</f>
        <v>Вольтамперфазометр РЕТОМЕТР-М2 (НПП "ДИНАМИКА")</v>
      </c>
      <c r="D14" s="124" t="str">
        <f>'[2]2021 УГРЦТ'!C16</f>
        <v>ПРОИЗВОДСТВО</v>
      </c>
      <c r="E14" s="124" t="str">
        <f>'[2]2021 УГРЦТ'!D16</f>
        <v>Машины и оборудование (кроме офисного)</v>
      </c>
      <c r="F14" s="124" t="str">
        <f>'[2]2021 УГРЦТ'!E16</f>
        <v>28.04.2018</v>
      </c>
      <c r="G14" s="124" t="str">
        <f>'[2]2021 УГРЦТ'!F16</f>
        <v>Электрический цех</v>
      </c>
      <c r="H14" s="124">
        <f>'[2]2021 УГРЦТ'!AC16</f>
        <v>60</v>
      </c>
      <c r="I14" s="107">
        <f>'[2]2021 УГРЦТ'!X16</f>
        <v>63431.72</v>
      </c>
      <c r="J14" s="107">
        <f>'[2]2021 УГРЦТ'!Y16</f>
        <v>46516.743999999999</v>
      </c>
      <c r="K14" s="107">
        <f>'[2]2021 УГРЦТ'!Z16</f>
        <v>16914.976000000002</v>
      </c>
      <c r="L14" s="125" t="e">
        <f>SUMIF([2]облаг!$B$2:$B$259,B14,[2]облаг!$D$2:$D$259)</f>
        <v>#VALUE!</v>
      </c>
      <c r="M14" s="107">
        <f t="shared" si="13"/>
        <v>1057.1953333333333</v>
      </c>
      <c r="N14" s="107">
        <f t="shared" si="14"/>
        <v>12686.344000000001</v>
      </c>
      <c r="O14" s="107">
        <f t="shared" si="15"/>
        <v>15857.780666666669</v>
      </c>
      <c r="P14" s="107">
        <f t="shared" si="16"/>
        <v>14800.585333333336</v>
      </c>
      <c r="Q14" s="107">
        <f t="shared" si="17"/>
        <v>13743.390000000003</v>
      </c>
      <c r="R14" s="107">
        <f t="shared" si="18"/>
        <v>12686.19466666667</v>
      </c>
      <c r="S14" s="107">
        <f t="shared" si="19"/>
        <v>11628.999333333337</v>
      </c>
      <c r="T14" s="107">
        <f t="shared" si="20"/>
        <v>10571.804000000004</v>
      </c>
      <c r="U14" s="107">
        <f t="shared" si="21"/>
        <v>9514.6086666666706</v>
      </c>
      <c r="V14" s="107">
        <f t="shared" si="22"/>
        <v>8457.4133333333375</v>
      </c>
      <c r="W14" s="107">
        <f t="shared" si="23"/>
        <v>7400.2180000000044</v>
      </c>
      <c r="X14" s="107">
        <f t="shared" si="24"/>
        <v>6343.0226666666713</v>
      </c>
      <c r="Y14" s="107">
        <f t="shared" si="25"/>
        <v>5285.8273333333382</v>
      </c>
      <c r="Z14" s="107">
        <f t="shared" si="26"/>
        <v>4228.6320000000051</v>
      </c>
      <c r="AA14" s="107"/>
      <c r="AB14" s="107"/>
      <c r="AC14" s="107">
        <f>AD14</f>
        <v>3171.436666666672</v>
      </c>
      <c r="AD14" s="107">
        <f t="shared" si="28"/>
        <v>3171.436666666672</v>
      </c>
      <c r="AE14" s="107">
        <f t="shared" si="29"/>
        <v>2114.2413333333388</v>
      </c>
      <c r="AF14" s="107">
        <f t="shared" si="30"/>
        <v>1057.0460000000055</v>
      </c>
      <c r="AG14" s="107">
        <v>0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/>
      <c r="AQ14" s="126"/>
      <c r="AR14" s="107">
        <v>0</v>
      </c>
      <c r="AS14" s="107">
        <v>0</v>
      </c>
      <c r="AT14" s="107">
        <v>0</v>
      </c>
      <c r="AU14" s="107">
        <v>0</v>
      </c>
      <c r="AV14" s="107">
        <v>0</v>
      </c>
      <c r="AW14" s="107">
        <v>0</v>
      </c>
      <c r="AX14" s="107">
        <v>0</v>
      </c>
      <c r="AY14" s="107">
        <v>0</v>
      </c>
      <c r="AZ14" s="107">
        <v>0</v>
      </c>
      <c r="BA14" s="107">
        <v>0</v>
      </c>
      <c r="BB14" s="107">
        <v>0</v>
      </c>
      <c r="BC14" s="107">
        <v>0</v>
      </c>
      <c r="BD14" s="107">
        <v>0</v>
      </c>
      <c r="BE14" s="124"/>
    </row>
    <row r="15" spans="1:75" ht="22.5" hidden="1" x14ac:dyDescent="0.2">
      <c r="A15" s="123" t="str">
        <f>'[2]2021 УГРЦТ'!A17</f>
        <v>Выпрямитель для стац аккум установок №1</v>
      </c>
      <c r="B15" s="124" t="str">
        <f>'[2]2021 УГРЦТ'!B17</f>
        <v>00001177</v>
      </c>
      <c r="C15" s="124" t="str">
        <f>VLOOKUP(A:A,'2023-2027'!A:L,1,+FALSE)</f>
        <v>Выпрямитель для стац аккум установок №1</v>
      </c>
      <c r="D15" s="124" t="str">
        <f>'[2]2021 УГРЦТ'!C17</f>
        <v>ПРОИЗВОДСТВО</v>
      </c>
      <c r="E15" s="124" t="str">
        <f>'[2]2021 УГРЦТ'!D17</f>
        <v>Машины и оборудование (кроме офисного)</v>
      </c>
      <c r="F15" s="124" t="str">
        <f>'[2]2021 УГРЦТ'!E17</f>
        <v>31.03.2010</v>
      </c>
      <c r="G15" s="124" t="str">
        <f>'[2]2021 УГРЦТ'!F17</f>
        <v>Газотурбинный цех</v>
      </c>
      <c r="H15" s="124">
        <f>'[2]2021 УГРЦТ'!AC17</f>
        <v>240</v>
      </c>
      <c r="I15" s="107">
        <v>474500</v>
      </c>
      <c r="J15" s="107">
        <v>278768.32</v>
      </c>
      <c r="K15" s="107">
        <v>195731.68</v>
      </c>
      <c r="L15" s="125" t="e">
        <f>SUMIF([2]облаг!$B$2:$B$259,B15,[2]облаг!$D$2:$D$259)</f>
        <v>#VALUE!</v>
      </c>
      <c r="M15" s="107">
        <f t="shared" si="13"/>
        <v>1977.0833333333333</v>
      </c>
      <c r="N15" s="107">
        <f t="shared" si="14"/>
        <v>23725</v>
      </c>
      <c r="O15" s="107">
        <f t="shared" si="15"/>
        <v>193754.59666666665</v>
      </c>
      <c r="P15" s="107">
        <f t="shared" si="16"/>
        <v>191777.51333333331</v>
      </c>
      <c r="Q15" s="107">
        <f t="shared" si="17"/>
        <v>189800.42999999996</v>
      </c>
      <c r="R15" s="107">
        <f t="shared" si="18"/>
        <v>187823.34666666662</v>
      </c>
      <c r="S15" s="107">
        <f t="shared" si="19"/>
        <v>185846.26333333328</v>
      </c>
      <c r="T15" s="107">
        <f t="shared" si="20"/>
        <v>183869.17999999993</v>
      </c>
      <c r="U15" s="107">
        <f t="shared" si="21"/>
        <v>181892.09666666659</v>
      </c>
      <c r="V15" s="107">
        <f t="shared" si="22"/>
        <v>179915.01333333325</v>
      </c>
      <c r="W15" s="107">
        <f t="shared" si="23"/>
        <v>177937.92999999991</v>
      </c>
      <c r="X15" s="107">
        <f t="shared" si="24"/>
        <v>175960.84666666656</v>
      </c>
      <c r="Y15" s="107">
        <f t="shared" si="25"/>
        <v>173983.76333333322</v>
      </c>
      <c r="Z15" s="107">
        <f t="shared" si="26"/>
        <v>172006.67999999988</v>
      </c>
      <c r="AA15" s="107"/>
      <c r="AB15" s="107"/>
      <c r="AC15" s="107">
        <f t="shared" si="27"/>
        <v>23725</v>
      </c>
      <c r="AD15" s="107">
        <f t="shared" si="28"/>
        <v>170029.59666666653</v>
      </c>
      <c r="AE15" s="107">
        <f t="shared" si="29"/>
        <v>168052.51333333319</v>
      </c>
      <c r="AF15" s="107">
        <f t="shared" si="30"/>
        <v>166075.42999999985</v>
      </c>
      <c r="AG15" s="107">
        <f t="shared" si="31"/>
        <v>164098.3466666665</v>
      </c>
      <c r="AH15" s="107">
        <f t="shared" si="32"/>
        <v>162121.26333333316</v>
      </c>
      <c r="AI15" s="107">
        <f t="shared" si="33"/>
        <v>160144.17999999982</v>
      </c>
      <c r="AJ15" s="107">
        <f t="shared" si="34"/>
        <v>158167.09666666648</v>
      </c>
      <c r="AK15" s="107">
        <f t="shared" si="35"/>
        <v>156190.01333333313</v>
      </c>
      <c r="AL15" s="107">
        <f t="shared" si="36"/>
        <v>154212.92999999979</v>
      </c>
      <c r="AM15" s="107">
        <f t="shared" si="37"/>
        <v>152235.84666666645</v>
      </c>
      <c r="AN15" s="107">
        <f t="shared" si="38"/>
        <v>150258.7633333331</v>
      </c>
      <c r="AO15" s="107">
        <f t="shared" si="39"/>
        <v>148281.67999999976</v>
      </c>
      <c r="AP15" s="107"/>
      <c r="AQ15" s="126"/>
      <c r="AR15" s="107">
        <f t="shared" si="40"/>
        <v>23725</v>
      </c>
      <c r="AS15" s="107">
        <f>AO15-M15</f>
        <v>146304.59666666642</v>
      </c>
      <c r="AT15" s="107">
        <f>AS15-M15</f>
        <v>144327.51333333307</v>
      </c>
      <c r="AU15" s="107">
        <f>AT15-M15</f>
        <v>142350.42999999973</v>
      </c>
      <c r="AV15" s="107">
        <f>AU15-M15</f>
        <v>140373.34666666639</v>
      </c>
      <c r="AW15" s="107">
        <f>AV15-M15</f>
        <v>138396.26333333305</v>
      </c>
      <c r="AX15" s="107">
        <f>AW15-M15</f>
        <v>136419.1799999997</v>
      </c>
      <c r="AY15" s="107">
        <f>AX15-M15</f>
        <v>134442.09666666636</v>
      </c>
      <c r="AZ15" s="107">
        <f>AY15-M15</f>
        <v>132465.01333333302</v>
      </c>
      <c r="BA15" s="107">
        <f>AZ15-M15</f>
        <v>130487.92999999969</v>
      </c>
      <c r="BB15" s="107">
        <f>BA15-M15</f>
        <v>128510.84666666636</v>
      </c>
      <c r="BC15" s="107">
        <f>BB15-M15</f>
        <v>126533.76333333303</v>
      </c>
      <c r="BD15" s="107">
        <f>BC15-M15</f>
        <v>124556.6799999997</v>
      </c>
      <c r="BE15" s="10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</row>
    <row r="16" spans="1:75" ht="22.5" hidden="1" x14ac:dyDescent="0.2">
      <c r="A16" s="123" t="str">
        <f>'[2]2021 УГРЦТ'!A18</f>
        <v>Выпрямитель для стац аккум установок №2</v>
      </c>
      <c r="B16" s="124" t="str">
        <f>'[2]2021 УГРЦТ'!B18</f>
        <v>00001178</v>
      </c>
      <c r="C16" s="124" t="str">
        <f>VLOOKUP(A:A,'2023-2027'!A:L,1,+FALSE)</f>
        <v>Выпрямитель для стац аккум установок №2</v>
      </c>
      <c r="D16" s="124" t="str">
        <f>'[2]2021 УГРЦТ'!C18</f>
        <v>ПРОИЗВОДСТВО</v>
      </c>
      <c r="E16" s="124" t="str">
        <f>'[2]2021 УГРЦТ'!D18</f>
        <v>Машины и оборудование (кроме офисного)</v>
      </c>
      <c r="F16" s="124" t="str">
        <f>'[2]2021 УГРЦТ'!E18</f>
        <v>31.03.2010</v>
      </c>
      <c r="G16" s="124" t="str">
        <f>'[2]2021 УГРЦТ'!F18</f>
        <v>Газотурбинный цех</v>
      </c>
      <c r="H16" s="124">
        <f>'[2]2021 УГРЦТ'!AC18</f>
        <v>240</v>
      </c>
      <c r="I16" s="107">
        <v>474500</v>
      </c>
      <c r="J16" s="107">
        <v>278768.32</v>
      </c>
      <c r="K16" s="107">
        <v>195731.68</v>
      </c>
      <c r="L16" s="125" t="e">
        <f>SUMIF([2]облаг!$B$2:$B$259,B16,[2]облаг!$D$2:$D$259)</f>
        <v>#VALUE!</v>
      </c>
      <c r="M16" s="107">
        <f t="shared" si="13"/>
        <v>1977.0833333333333</v>
      </c>
      <c r="N16" s="107">
        <f t="shared" si="14"/>
        <v>23725</v>
      </c>
      <c r="O16" s="107">
        <f t="shared" si="15"/>
        <v>193754.59666666665</v>
      </c>
      <c r="P16" s="107">
        <f t="shared" si="16"/>
        <v>191777.51333333331</v>
      </c>
      <c r="Q16" s="107">
        <f t="shared" si="17"/>
        <v>189800.42999999996</v>
      </c>
      <c r="R16" s="107">
        <f t="shared" si="18"/>
        <v>187823.34666666662</v>
      </c>
      <c r="S16" s="107">
        <f t="shared" si="19"/>
        <v>185846.26333333328</v>
      </c>
      <c r="T16" s="107">
        <f t="shared" si="20"/>
        <v>183869.17999999993</v>
      </c>
      <c r="U16" s="107">
        <f t="shared" si="21"/>
        <v>181892.09666666659</v>
      </c>
      <c r="V16" s="107">
        <f t="shared" si="22"/>
        <v>179915.01333333325</v>
      </c>
      <c r="W16" s="107">
        <f t="shared" si="23"/>
        <v>177937.92999999991</v>
      </c>
      <c r="X16" s="107">
        <f t="shared" si="24"/>
        <v>175960.84666666656</v>
      </c>
      <c r="Y16" s="107">
        <f t="shared" si="25"/>
        <v>173983.76333333322</v>
      </c>
      <c r="Z16" s="107">
        <f t="shared" si="26"/>
        <v>172006.67999999988</v>
      </c>
      <c r="AA16" s="107"/>
      <c r="AB16" s="107"/>
      <c r="AC16" s="107">
        <f t="shared" si="27"/>
        <v>23725</v>
      </c>
      <c r="AD16" s="107">
        <f t="shared" si="28"/>
        <v>170029.59666666653</v>
      </c>
      <c r="AE16" s="107">
        <f t="shared" si="29"/>
        <v>168052.51333333319</v>
      </c>
      <c r="AF16" s="107">
        <f t="shared" si="30"/>
        <v>166075.42999999985</v>
      </c>
      <c r="AG16" s="107">
        <f t="shared" si="31"/>
        <v>164098.3466666665</v>
      </c>
      <c r="AH16" s="107">
        <f t="shared" si="32"/>
        <v>162121.26333333316</v>
      </c>
      <c r="AI16" s="107">
        <f t="shared" si="33"/>
        <v>160144.17999999982</v>
      </c>
      <c r="AJ16" s="107">
        <f t="shared" si="34"/>
        <v>158167.09666666648</v>
      </c>
      <c r="AK16" s="107">
        <f t="shared" si="35"/>
        <v>156190.01333333313</v>
      </c>
      <c r="AL16" s="107">
        <f t="shared" si="36"/>
        <v>154212.92999999979</v>
      </c>
      <c r="AM16" s="107">
        <f t="shared" si="37"/>
        <v>152235.84666666645</v>
      </c>
      <c r="AN16" s="107">
        <f t="shared" si="38"/>
        <v>150258.7633333331</v>
      </c>
      <c r="AO16" s="107">
        <f t="shared" si="39"/>
        <v>148281.67999999976</v>
      </c>
      <c r="AP16" s="107"/>
      <c r="AQ16" s="126"/>
      <c r="AR16" s="107">
        <f t="shared" si="40"/>
        <v>23725</v>
      </c>
      <c r="AS16" s="107">
        <f>AO16-M16</f>
        <v>146304.59666666642</v>
      </c>
      <c r="AT16" s="107">
        <f>AS16-M16</f>
        <v>144327.51333333307</v>
      </c>
      <c r="AU16" s="107">
        <f>AT16-M16</f>
        <v>142350.42999999973</v>
      </c>
      <c r="AV16" s="107">
        <f>AU16-M16</f>
        <v>140373.34666666639</v>
      </c>
      <c r="AW16" s="107">
        <f>AV16-M16</f>
        <v>138396.26333333305</v>
      </c>
      <c r="AX16" s="107">
        <f>AW16-M16</f>
        <v>136419.1799999997</v>
      </c>
      <c r="AY16" s="107">
        <f>AX16-M16</f>
        <v>134442.09666666636</v>
      </c>
      <c r="AZ16" s="107">
        <f>AY16-M16</f>
        <v>132465.01333333302</v>
      </c>
      <c r="BA16" s="107">
        <f>AZ16-M16</f>
        <v>130487.92999999969</v>
      </c>
      <c r="BB16" s="107">
        <f>BA16-M16</f>
        <v>128510.84666666636</v>
      </c>
      <c r="BC16" s="107">
        <f>BB16-M16</f>
        <v>126533.76333333303</v>
      </c>
      <c r="BD16" s="107">
        <f>BC16-M16</f>
        <v>124556.6799999997</v>
      </c>
      <c r="BE16" s="10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</row>
    <row r="17" spans="1:75" ht="56.25" hidden="1" x14ac:dyDescent="0.2">
      <c r="A17" s="123" t="str">
        <f>'[2]2021 УГРЦТ'!A19</f>
        <v>Высоковольтная установка для испытания кабелей из сшитого полиэтилена (СПЭ) повышенным напряжением сверхнизкой частоты (СНЧ/VLF) АИСТ СНЧ 36</v>
      </c>
      <c r="B17" s="124" t="str">
        <f>'[2]2021 УГРЦТ'!B19</f>
        <v>000001818</v>
      </c>
      <c r="C17" s="124" t="str">
        <f>VLOOKUP(A:A,'2023-2027'!A:L,1,+FALSE)</f>
        <v>Высоковольтная установка для испытания кабелей из сшитого полиэтилена (СПЭ) повышенным напряжением сверхнизкой частоты (СНЧ/VLF) АИСТ СНЧ 36</v>
      </c>
      <c r="D17" s="124" t="str">
        <f>'[2]2021 УГРЦТ'!C19</f>
        <v>ПРОИЗВОДСТВО</v>
      </c>
      <c r="E17" s="124" t="str">
        <f>'[2]2021 УГРЦТ'!D19</f>
        <v>Машины и оборудование (кроме офисного)</v>
      </c>
      <c r="F17" s="124" t="str">
        <f>'[2]2021 УГРЦТ'!E19</f>
        <v>29.06.2020</v>
      </c>
      <c r="G17" s="124" t="str">
        <f>'[2]2021 УГРЦТ'!F19</f>
        <v>Электрический цех</v>
      </c>
      <c r="H17" s="124">
        <f>'[2]2021 УГРЦТ'!AC19</f>
        <v>84</v>
      </c>
      <c r="I17" s="107">
        <f>'[2]2021 УГРЦТ'!X19</f>
        <v>564250</v>
      </c>
      <c r="J17" s="107">
        <f>'[2]2021 УГРЦТ'!Y19</f>
        <v>120910.70285714288</v>
      </c>
      <c r="K17" s="107">
        <f>'[2]2021 УГРЦТ'!Z19</f>
        <v>443339.2971428571</v>
      </c>
      <c r="L17" s="125" t="e">
        <f>SUMIF([2]облаг!$B$2:$B$259,B17,[2]облаг!$D$2:$D$259)</f>
        <v>#VALUE!</v>
      </c>
      <c r="M17" s="107">
        <f t="shared" si="13"/>
        <v>6717.2619047619046</v>
      </c>
      <c r="N17" s="107">
        <f t="shared" si="14"/>
        <v>80607.142857142855</v>
      </c>
      <c r="O17" s="107">
        <f t="shared" si="15"/>
        <v>436622.03523809521</v>
      </c>
      <c r="P17" s="107">
        <f t="shared" si="16"/>
        <v>429904.77333333332</v>
      </c>
      <c r="Q17" s="107">
        <f t="shared" si="17"/>
        <v>423187.51142857142</v>
      </c>
      <c r="R17" s="107">
        <f t="shared" si="18"/>
        <v>416470.24952380953</v>
      </c>
      <c r="S17" s="107">
        <f t="shared" si="19"/>
        <v>409752.98761904764</v>
      </c>
      <c r="T17" s="107">
        <f t="shared" si="20"/>
        <v>403035.72571428574</v>
      </c>
      <c r="U17" s="107">
        <f t="shared" si="21"/>
        <v>396318.46380952385</v>
      </c>
      <c r="V17" s="107">
        <f t="shared" si="22"/>
        <v>389601.20190476195</v>
      </c>
      <c r="W17" s="107">
        <f t="shared" si="23"/>
        <v>382883.94000000006</v>
      </c>
      <c r="X17" s="107">
        <f t="shared" si="24"/>
        <v>376166.67809523817</v>
      </c>
      <c r="Y17" s="107">
        <f t="shared" si="25"/>
        <v>369449.41619047627</v>
      </c>
      <c r="Z17" s="107">
        <f t="shared" si="26"/>
        <v>362732.15428571438</v>
      </c>
      <c r="AA17" s="107"/>
      <c r="AB17" s="107"/>
      <c r="AC17" s="107">
        <f t="shared" si="27"/>
        <v>80607.142857142855</v>
      </c>
      <c r="AD17" s="107">
        <f t="shared" si="28"/>
        <v>356014.89238095249</v>
      </c>
      <c r="AE17" s="107">
        <f t="shared" si="29"/>
        <v>349297.63047619059</v>
      </c>
      <c r="AF17" s="107">
        <f t="shared" si="30"/>
        <v>342580.3685714287</v>
      </c>
      <c r="AG17" s="107">
        <f t="shared" si="31"/>
        <v>335863.1066666668</v>
      </c>
      <c r="AH17" s="107">
        <f t="shared" si="32"/>
        <v>329145.84476190491</v>
      </c>
      <c r="AI17" s="107">
        <f t="shared" si="33"/>
        <v>322428.58285714302</v>
      </c>
      <c r="AJ17" s="107">
        <f t="shared" si="34"/>
        <v>315711.32095238112</v>
      </c>
      <c r="AK17" s="107">
        <f t="shared" si="35"/>
        <v>308994.05904761923</v>
      </c>
      <c r="AL17" s="107">
        <f t="shared" si="36"/>
        <v>302276.79714285734</v>
      </c>
      <c r="AM17" s="107">
        <f t="shared" si="37"/>
        <v>295559.53523809544</v>
      </c>
      <c r="AN17" s="107">
        <f t="shared" si="38"/>
        <v>288842.27333333355</v>
      </c>
      <c r="AO17" s="107">
        <f t="shared" si="39"/>
        <v>282125.01142857166</v>
      </c>
      <c r="AP17" s="107"/>
      <c r="AQ17" s="126"/>
      <c r="AR17" s="107">
        <f t="shared" si="40"/>
        <v>80607.142857142855</v>
      </c>
      <c r="AS17" s="107">
        <f>AO17-M17</f>
        <v>275407.74952380976</v>
      </c>
      <c r="AT17" s="107">
        <f>AS17-M17</f>
        <v>268690.48761904787</v>
      </c>
      <c r="AU17" s="107">
        <f>AT17-M17</f>
        <v>261973.22571428597</v>
      </c>
      <c r="AV17" s="107">
        <f>AU17-M17</f>
        <v>255255.96380952408</v>
      </c>
      <c r="AW17" s="107">
        <f>AV17-M17</f>
        <v>248538.70190476219</v>
      </c>
      <c r="AX17" s="107">
        <f>AW17-M17</f>
        <v>241821.44000000029</v>
      </c>
      <c r="AY17" s="107">
        <f>AX17-M17</f>
        <v>235104.1780952384</v>
      </c>
      <c r="AZ17" s="107">
        <f>AY17-M17</f>
        <v>228386.91619047651</v>
      </c>
      <c r="BA17" s="107">
        <f>AZ17-M17</f>
        <v>221669.65428571461</v>
      </c>
      <c r="BB17" s="107">
        <f>BA17-M17</f>
        <v>214952.39238095272</v>
      </c>
      <c r="BC17" s="107">
        <f>BB17-M17</f>
        <v>208235.13047619082</v>
      </c>
      <c r="BD17" s="107">
        <f>BC17-M17</f>
        <v>201517.86857142893</v>
      </c>
      <c r="BE17" s="10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</row>
    <row r="18" spans="1:75" hidden="1" x14ac:dyDescent="0.2">
      <c r="A18" s="123" t="str">
        <f>'[2]2021 УГРЦТ'!A20</f>
        <v>Газоанализатор СГОЭС (метан)</v>
      </c>
      <c r="B18" s="124" t="str">
        <f>'[2]2021 УГРЦТ'!B20</f>
        <v>000001757</v>
      </c>
      <c r="C18" s="124" t="str">
        <f>VLOOKUP(A:A,'2023-2027'!A:L,1,+FALSE)</f>
        <v>Газоанализатор СГОЭС (метан)</v>
      </c>
      <c r="D18" s="124" t="str">
        <f>'[2]2021 УГРЦТ'!C20</f>
        <v>ПРОИЗВОДСТВО</v>
      </c>
      <c r="E18" s="124" t="str">
        <f>'[2]2021 УГРЦТ'!D20</f>
        <v>Машины и оборудование (кроме офисного)</v>
      </c>
      <c r="F18" s="124" t="str">
        <f>'[2]2021 УГРЦТ'!E20</f>
        <v>27.02.2019</v>
      </c>
      <c r="G18" s="124" t="str">
        <f>'[2]2021 УГРЦТ'!F20</f>
        <v>Газотурбинный цех</v>
      </c>
      <c r="H18" s="124">
        <f>'[2]2021 УГРЦТ'!AC20</f>
        <v>60</v>
      </c>
      <c r="I18" s="107">
        <f>'[2]2021 УГРЦТ'!X20</f>
        <v>71300</v>
      </c>
      <c r="J18" s="107">
        <f>'[2]2021 УГРЦТ'!Y20</f>
        <v>40403.26</v>
      </c>
      <c r="K18" s="107">
        <f>'[2]2021 УГРЦТ'!Z20</f>
        <v>30896.739999999998</v>
      </c>
      <c r="L18" s="125" t="e">
        <f>SUMIF([2]облаг!$B$2:$B$259,B18,[2]облаг!$D$2:$D$259)</f>
        <v>#VALUE!</v>
      </c>
      <c r="M18" s="107">
        <f t="shared" si="13"/>
        <v>1188.3333333333333</v>
      </c>
      <c r="N18" s="107">
        <f t="shared" si="14"/>
        <v>14260</v>
      </c>
      <c r="O18" s="107">
        <f t="shared" si="15"/>
        <v>29708.406666666666</v>
      </c>
      <c r="P18" s="107">
        <f t="shared" si="16"/>
        <v>28520.073333333334</v>
      </c>
      <c r="Q18" s="107">
        <f t="shared" si="17"/>
        <v>27331.74</v>
      </c>
      <c r="R18" s="107">
        <f t="shared" si="18"/>
        <v>26143.406666666669</v>
      </c>
      <c r="S18" s="107">
        <f t="shared" si="19"/>
        <v>24955.073333333337</v>
      </c>
      <c r="T18" s="107">
        <f t="shared" si="20"/>
        <v>23766.740000000005</v>
      </c>
      <c r="U18" s="107">
        <f t="shared" si="21"/>
        <v>22578.406666666673</v>
      </c>
      <c r="V18" s="107">
        <f t="shared" si="22"/>
        <v>21390.073333333341</v>
      </c>
      <c r="W18" s="107">
        <f t="shared" si="23"/>
        <v>20201.740000000009</v>
      </c>
      <c r="X18" s="107">
        <f t="shared" si="24"/>
        <v>19013.406666666677</v>
      </c>
      <c r="Y18" s="107">
        <f t="shared" si="25"/>
        <v>17825.073333333345</v>
      </c>
      <c r="Z18" s="107">
        <f t="shared" si="26"/>
        <v>16636.740000000013</v>
      </c>
      <c r="AA18" s="107"/>
      <c r="AB18" s="107"/>
      <c r="AC18" s="107">
        <f t="shared" si="27"/>
        <v>14260</v>
      </c>
      <c r="AD18" s="107">
        <f t="shared" si="28"/>
        <v>15448.406666666679</v>
      </c>
      <c r="AE18" s="107">
        <f t="shared" si="29"/>
        <v>14260.073333333345</v>
      </c>
      <c r="AF18" s="107">
        <f t="shared" si="30"/>
        <v>13071.740000000011</v>
      </c>
      <c r="AG18" s="107">
        <f t="shared" si="31"/>
        <v>11883.406666666677</v>
      </c>
      <c r="AH18" s="107">
        <f t="shared" si="32"/>
        <v>10695.073333333343</v>
      </c>
      <c r="AI18" s="107">
        <f t="shared" si="33"/>
        <v>9506.7400000000089</v>
      </c>
      <c r="AJ18" s="107">
        <f t="shared" si="34"/>
        <v>8318.4066666666749</v>
      </c>
      <c r="AK18" s="107">
        <f t="shared" si="35"/>
        <v>7130.0733333333419</v>
      </c>
      <c r="AL18" s="107">
        <f t="shared" si="36"/>
        <v>5941.7400000000089</v>
      </c>
      <c r="AM18" s="107">
        <f t="shared" si="37"/>
        <v>4753.4066666666758</v>
      </c>
      <c r="AN18" s="107">
        <f t="shared" si="38"/>
        <v>3565.0733333333428</v>
      </c>
      <c r="AO18" s="107">
        <f t="shared" si="39"/>
        <v>2376.7400000000098</v>
      </c>
      <c r="AP18" s="107"/>
      <c r="AQ18" s="126"/>
      <c r="AR18" s="107">
        <f>AS18</f>
        <v>1188.4066666666765</v>
      </c>
      <c r="AS18" s="107">
        <f>AO18-M18</f>
        <v>1188.4066666666765</v>
      </c>
      <c r="AT18" s="107">
        <f>AS18-M18</f>
        <v>7.3333333343271079E-2</v>
      </c>
      <c r="AU18" s="107">
        <v>0</v>
      </c>
      <c r="AV18" s="107">
        <v>0</v>
      </c>
      <c r="AW18" s="107">
        <v>0</v>
      </c>
      <c r="AX18" s="107">
        <v>0</v>
      </c>
      <c r="AY18" s="107">
        <v>0</v>
      </c>
      <c r="AZ18" s="107">
        <v>0</v>
      </c>
      <c r="BA18" s="107">
        <v>0</v>
      </c>
      <c r="BB18" s="107">
        <v>0</v>
      </c>
      <c r="BC18" s="107">
        <v>0</v>
      </c>
      <c r="BD18" s="107">
        <v>0</v>
      </c>
      <c r="BE18" s="107"/>
    </row>
    <row r="19" spans="1:75" ht="22.5" hidden="1" x14ac:dyDescent="0.2">
      <c r="A19" s="123" t="str">
        <f>'[2]2021 УГРЦТ'!A21</f>
        <v>Газоанализатор СГОЭС метан ЖСКФ</v>
      </c>
      <c r="B19" s="124" t="str">
        <f>'[2]2021 УГРЦТ'!B21</f>
        <v>000001744</v>
      </c>
      <c r="C19" s="124" t="str">
        <f>VLOOKUP(A:A,'2023-2027'!A:L,1,+FALSE)</f>
        <v>Газоанализатор СГОЭС метан ЖСКФ</v>
      </c>
      <c r="D19" s="124" t="str">
        <f>'[2]2021 УГРЦТ'!C21</f>
        <v>ПРОИЗВОДСТВО</v>
      </c>
      <c r="E19" s="124" t="str">
        <f>'[2]2021 УГРЦТ'!D21</f>
        <v>Машины и оборудование (кроме офисного)</v>
      </c>
      <c r="F19" s="124" t="str">
        <f>'[2]2021 УГРЦТ'!E21</f>
        <v>28.08.2018</v>
      </c>
      <c r="G19" s="124" t="str">
        <f>'[2]2021 УГРЦТ'!F21</f>
        <v>Газотурбинный цех</v>
      </c>
      <c r="H19" s="124">
        <f>'[2]2021 УГРЦТ'!AC21</f>
        <v>60</v>
      </c>
      <c r="I19" s="107">
        <f>'[2]2021 УГРЦТ'!X21</f>
        <v>120511.36</v>
      </c>
      <c r="J19" s="107">
        <f>'[2]2021 УГРЦТ'!Y21</f>
        <v>80340.832000000009</v>
      </c>
      <c r="K19" s="107">
        <f>'[2]2021 УГРЦТ'!Z21</f>
        <v>40170.527999999991</v>
      </c>
      <c r="L19" s="125" t="e">
        <f>SUMIF([2]облаг!$B$2:$B$259,B19,[2]облаг!$D$2:$D$259)</f>
        <v>#VALUE!</v>
      </c>
      <c r="M19" s="107">
        <f t="shared" si="13"/>
        <v>2008.5226666666667</v>
      </c>
      <c r="N19" s="107">
        <f t="shared" si="14"/>
        <v>24102.272000000001</v>
      </c>
      <c r="O19" s="107">
        <f t="shared" si="15"/>
        <v>38162.005333333327</v>
      </c>
      <c r="P19" s="107">
        <f t="shared" si="16"/>
        <v>36153.482666666663</v>
      </c>
      <c r="Q19" s="107">
        <f t="shared" si="17"/>
        <v>34144.959999999999</v>
      </c>
      <c r="R19" s="107">
        <f t="shared" si="18"/>
        <v>32136.437333333331</v>
      </c>
      <c r="S19" s="107">
        <f t="shared" si="19"/>
        <v>30127.914666666664</v>
      </c>
      <c r="T19" s="107">
        <f t="shared" si="20"/>
        <v>28119.391999999996</v>
      </c>
      <c r="U19" s="107">
        <f t="shared" si="21"/>
        <v>26110.869333333329</v>
      </c>
      <c r="V19" s="107">
        <f t="shared" si="22"/>
        <v>24102.346666666661</v>
      </c>
      <c r="W19" s="107">
        <f t="shared" si="23"/>
        <v>22093.823999999993</v>
      </c>
      <c r="X19" s="107">
        <f t="shared" si="24"/>
        <v>20085.301333333326</v>
      </c>
      <c r="Y19" s="107">
        <f t="shared" si="25"/>
        <v>18076.778666666658</v>
      </c>
      <c r="Z19" s="107">
        <f t="shared" si="26"/>
        <v>16068.25599999999</v>
      </c>
      <c r="AA19" s="107"/>
      <c r="AB19" s="107"/>
      <c r="AC19" s="107">
        <f>AD19</f>
        <v>14059.733333333323</v>
      </c>
      <c r="AD19" s="107">
        <f t="shared" si="28"/>
        <v>14059.733333333323</v>
      </c>
      <c r="AE19" s="107">
        <f t="shared" si="29"/>
        <v>12051.210666666655</v>
      </c>
      <c r="AF19" s="107">
        <f t="shared" si="30"/>
        <v>10042.687999999987</v>
      </c>
      <c r="AG19" s="107">
        <f t="shared" si="31"/>
        <v>8034.1653333333206</v>
      </c>
      <c r="AH19" s="107">
        <f t="shared" si="32"/>
        <v>6025.6426666666539</v>
      </c>
      <c r="AI19" s="107">
        <f t="shared" si="33"/>
        <v>4017.1199999999872</v>
      </c>
      <c r="AJ19" s="107">
        <f t="shared" si="34"/>
        <v>2008.5973333333204</v>
      </c>
      <c r="AK19" s="107">
        <f t="shared" si="35"/>
        <v>7.4666666653683933E-2</v>
      </c>
      <c r="AL19" s="107">
        <v>0</v>
      </c>
      <c r="AM19" s="107">
        <v>0</v>
      </c>
      <c r="AN19" s="107">
        <v>0</v>
      </c>
      <c r="AO19" s="107">
        <v>0</v>
      </c>
      <c r="AP19" s="107"/>
      <c r="AQ19" s="126"/>
      <c r="AR19" s="107">
        <v>0</v>
      </c>
      <c r="AS19" s="107">
        <v>0</v>
      </c>
      <c r="AT19" s="107">
        <v>0</v>
      </c>
      <c r="AU19" s="107">
        <v>0</v>
      </c>
      <c r="AV19" s="107">
        <v>0</v>
      </c>
      <c r="AW19" s="107">
        <v>0</v>
      </c>
      <c r="AX19" s="107">
        <v>0</v>
      </c>
      <c r="AY19" s="107">
        <v>0</v>
      </c>
      <c r="AZ19" s="107">
        <v>0</v>
      </c>
      <c r="BA19" s="107">
        <v>0</v>
      </c>
      <c r="BB19" s="107">
        <v>0</v>
      </c>
      <c r="BC19" s="107">
        <v>0</v>
      </c>
      <c r="BD19" s="107">
        <v>0</v>
      </c>
      <c r="BE19" s="124"/>
    </row>
    <row r="20" spans="1:75" s="133" customFormat="1" hidden="1" x14ac:dyDescent="0.2">
      <c r="A20" s="128" t="str">
        <f>'[2]2021 УГРЦТ'!A22</f>
        <v>Газон 600 м2  в районе ГТЭС-18</v>
      </c>
      <c r="B20" s="129" t="str">
        <f>'[2]2021 УГРЦТ'!B22</f>
        <v>00001147</v>
      </c>
      <c r="C20" s="124" t="str">
        <f>VLOOKUP(A:A,'2023-2027'!A:L,1,+FALSE)</f>
        <v>Газон 600 м2  в районе ГТЭС-18</v>
      </c>
      <c r="D20" s="129" t="str">
        <f>'[2]2021 УГРЦТ'!C22</f>
        <v>ПРОИЗВОДСТВО</v>
      </c>
      <c r="E20" s="129" t="str">
        <f>'[2]2021 УГРЦТ'!D22</f>
        <v>Машины и оборудование (кроме офисного)</v>
      </c>
      <c r="F20" s="129" t="str">
        <f>'[2]2021 УГРЦТ'!E22</f>
        <v>30.10.2009</v>
      </c>
      <c r="G20" s="129" t="str">
        <f>'[2]2021 УГРЦТ'!F22</f>
        <v>Газотурбинный цех</v>
      </c>
      <c r="H20" s="129">
        <f>'[2]2021 УГРЦТ'!AC22</f>
        <v>60</v>
      </c>
      <c r="I20" s="130">
        <f>'[2]2021 УГРЦТ'!X22</f>
        <v>325875.88</v>
      </c>
      <c r="J20" s="130">
        <f>'[2]2021 УГРЦТ'!Y22</f>
        <v>325875.88</v>
      </c>
      <c r="K20" s="130">
        <v>0</v>
      </c>
      <c r="L20" s="125" t="e">
        <f>SUMIF([2]облаг!$B$2:$B$259,B20,[2]облаг!$D$2:$D$259)</f>
        <v>#VALUE!</v>
      </c>
      <c r="M20" s="107">
        <v>0</v>
      </c>
      <c r="N20" s="107">
        <f t="shared" si="14"/>
        <v>0</v>
      </c>
      <c r="O20" s="107">
        <f t="shared" si="15"/>
        <v>0</v>
      </c>
      <c r="P20" s="107">
        <f t="shared" si="16"/>
        <v>0</v>
      </c>
      <c r="Q20" s="107">
        <f t="shared" si="17"/>
        <v>0</v>
      </c>
      <c r="R20" s="107">
        <f t="shared" si="18"/>
        <v>0</v>
      </c>
      <c r="S20" s="107">
        <f t="shared" si="19"/>
        <v>0</v>
      </c>
      <c r="T20" s="107">
        <f t="shared" si="20"/>
        <v>0</v>
      </c>
      <c r="U20" s="107">
        <f t="shared" si="21"/>
        <v>0</v>
      </c>
      <c r="V20" s="107">
        <f t="shared" si="22"/>
        <v>0</v>
      </c>
      <c r="W20" s="107">
        <f t="shared" si="23"/>
        <v>0</v>
      </c>
      <c r="X20" s="107">
        <f t="shared" si="24"/>
        <v>0</v>
      </c>
      <c r="Y20" s="107">
        <f t="shared" si="25"/>
        <v>0</v>
      </c>
      <c r="Z20" s="107">
        <f t="shared" si="26"/>
        <v>0</v>
      </c>
      <c r="AA20" s="130"/>
      <c r="AB20" s="130"/>
      <c r="AC20" s="107">
        <f t="shared" si="27"/>
        <v>0</v>
      </c>
      <c r="AD20" s="107">
        <f t="shared" si="28"/>
        <v>0</v>
      </c>
      <c r="AE20" s="107">
        <f t="shared" si="29"/>
        <v>0</v>
      </c>
      <c r="AF20" s="107">
        <f t="shared" si="30"/>
        <v>0</v>
      </c>
      <c r="AG20" s="107">
        <f t="shared" si="31"/>
        <v>0</v>
      </c>
      <c r="AH20" s="107">
        <f t="shared" si="32"/>
        <v>0</v>
      </c>
      <c r="AI20" s="107">
        <f t="shared" si="33"/>
        <v>0</v>
      </c>
      <c r="AJ20" s="107">
        <f t="shared" si="34"/>
        <v>0</v>
      </c>
      <c r="AK20" s="107">
        <f t="shared" si="35"/>
        <v>0</v>
      </c>
      <c r="AL20" s="107">
        <f t="shared" si="36"/>
        <v>0</v>
      </c>
      <c r="AM20" s="107">
        <f t="shared" si="37"/>
        <v>0</v>
      </c>
      <c r="AN20" s="107">
        <f t="shared" si="38"/>
        <v>0</v>
      </c>
      <c r="AO20" s="107">
        <f t="shared" si="39"/>
        <v>0</v>
      </c>
      <c r="AP20" s="130"/>
      <c r="AQ20" s="131"/>
      <c r="AR20" s="107">
        <f t="shared" si="40"/>
        <v>0</v>
      </c>
      <c r="AS20" s="107">
        <f>AO20-M20</f>
        <v>0</v>
      </c>
      <c r="AT20" s="107">
        <f>AS20-M20</f>
        <v>0</v>
      </c>
      <c r="AU20" s="107">
        <f>AT20-M20</f>
        <v>0</v>
      </c>
      <c r="AV20" s="107">
        <f>AU20-M20</f>
        <v>0</v>
      </c>
      <c r="AW20" s="107">
        <f>AV20-M20</f>
        <v>0</v>
      </c>
      <c r="AX20" s="107">
        <f>AW20-M20</f>
        <v>0</v>
      </c>
      <c r="AY20" s="107">
        <f>AX20-M20</f>
        <v>0</v>
      </c>
      <c r="AZ20" s="107">
        <f>AY20-M20</f>
        <v>0</v>
      </c>
      <c r="BA20" s="107">
        <f>AZ20-M20</f>
        <v>0</v>
      </c>
      <c r="BB20" s="107">
        <f>BA20-M20</f>
        <v>0</v>
      </c>
      <c r="BC20" s="107">
        <f>BB20-M20</f>
        <v>0</v>
      </c>
      <c r="BD20" s="107">
        <f>BC20-M20</f>
        <v>0</v>
      </c>
      <c r="BE20" s="130"/>
      <c r="BF20" s="132"/>
      <c r="BG20" s="132"/>
      <c r="BH20" s="127"/>
      <c r="BI20" s="127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27"/>
    </row>
    <row r="21" spans="1:75" s="133" customFormat="1" hidden="1" x14ac:dyDescent="0.2">
      <c r="A21" s="128" t="str">
        <f>'[2]2021 УГРЦТ'!A23</f>
        <v>Газон в районе основного здания</v>
      </c>
      <c r="B21" s="129" t="str">
        <f>'[2]2021 УГРЦТ'!B23</f>
        <v>00001236</v>
      </c>
      <c r="C21" s="124" t="str">
        <f>VLOOKUP(A:A,'2023-2027'!A:L,1,+FALSE)</f>
        <v>Газон в районе основного здания</v>
      </c>
      <c r="D21" s="129" t="str">
        <f>'[2]2021 УГРЦТ'!C23</f>
        <v>ПРОИЗВОДСТВО</v>
      </c>
      <c r="E21" s="129" t="str">
        <f>'[2]2021 УГРЦТ'!D23</f>
        <v>Машины и оборудование (кроме офисного)</v>
      </c>
      <c r="F21" s="129" t="str">
        <f>'[2]2021 УГРЦТ'!E23</f>
        <v>10.10.2010</v>
      </c>
      <c r="G21" s="129" t="str">
        <f>'[2]2021 УГРЦТ'!F23</f>
        <v>Тепломеханический цех</v>
      </c>
      <c r="H21" s="129">
        <f>'[2]2021 УГРЦТ'!AC23</f>
        <v>60</v>
      </c>
      <c r="I21" s="130">
        <f>'[2]2021 УГРЦТ'!X23</f>
        <v>33100</v>
      </c>
      <c r="J21" s="130">
        <f>'[2]2021 УГРЦТ'!Y23</f>
        <v>33100</v>
      </c>
      <c r="K21" s="130">
        <v>0</v>
      </c>
      <c r="L21" s="125" t="e">
        <f>SUMIF([2]облаг!$B$2:$B$259,B21,[2]облаг!$D$2:$D$259)</f>
        <v>#VALUE!</v>
      </c>
      <c r="M21" s="107">
        <v>0</v>
      </c>
      <c r="N21" s="107">
        <f t="shared" si="14"/>
        <v>0</v>
      </c>
      <c r="O21" s="107">
        <f t="shared" si="15"/>
        <v>0</v>
      </c>
      <c r="P21" s="107">
        <f t="shared" si="16"/>
        <v>0</v>
      </c>
      <c r="Q21" s="107">
        <f t="shared" si="17"/>
        <v>0</v>
      </c>
      <c r="R21" s="107">
        <f t="shared" si="18"/>
        <v>0</v>
      </c>
      <c r="S21" s="107">
        <f t="shared" si="19"/>
        <v>0</v>
      </c>
      <c r="T21" s="107">
        <f t="shared" si="20"/>
        <v>0</v>
      </c>
      <c r="U21" s="107">
        <f t="shared" si="21"/>
        <v>0</v>
      </c>
      <c r="V21" s="107">
        <f t="shared" si="22"/>
        <v>0</v>
      </c>
      <c r="W21" s="107">
        <f t="shared" si="23"/>
        <v>0</v>
      </c>
      <c r="X21" s="107">
        <f t="shared" si="24"/>
        <v>0</v>
      </c>
      <c r="Y21" s="107">
        <f t="shared" si="25"/>
        <v>0</v>
      </c>
      <c r="Z21" s="107">
        <f t="shared" si="26"/>
        <v>0</v>
      </c>
      <c r="AA21" s="130"/>
      <c r="AB21" s="130"/>
      <c r="AC21" s="107">
        <f t="shared" si="27"/>
        <v>0</v>
      </c>
      <c r="AD21" s="107">
        <f t="shared" si="28"/>
        <v>0</v>
      </c>
      <c r="AE21" s="107">
        <f t="shared" si="29"/>
        <v>0</v>
      </c>
      <c r="AF21" s="107">
        <f t="shared" si="30"/>
        <v>0</v>
      </c>
      <c r="AG21" s="107">
        <f t="shared" si="31"/>
        <v>0</v>
      </c>
      <c r="AH21" s="107">
        <f t="shared" si="32"/>
        <v>0</v>
      </c>
      <c r="AI21" s="107">
        <f t="shared" si="33"/>
        <v>0</v>
      </c>
      <c r="AJ21" s="107">
        <f t="shared" si="34"/>
        <v>0</v>
      </c>
      <c r="AK21" s="107">
        <f t="shared" si="35"/>
        <v>0</v>
      </c>
      <c r="AL21" s="107">
        <f t="shared" si="36"/>
        <v>0</v>
      </c>
      <c r="AM21" s="107">
        <f t="shared" si="37"/>
        <v>0</v>
      </c>
      <c r="AN21" s="107">
        <f t="shared" si="38"/>
        <v>0</v>
      </c>
      <c r="AO21" s="107">
        <f t="shared" si="39"/>
        <v>0</v>
      </c>
      <c r="AP21" s="130"/>
      <c r="AQ21" s="131"/>
      <c r="AR21" s="107">
        <f t="shared" si="40"/>
        <v>0</v>
      </c>
      <c r="AS21" s="107">
        <f>AO21-M21</f>
        <v>0</v>
      </c>
      <c r="AT21" s="107">
        <f>AS21-M21</f>
        <v>0</v>
      </c>
      <c r="AU21" s="107">
        <f>AT21-M21</f>
        <v>0</v>
      </c>
      <c r="AV21" s="107">
        <f>AU21-M21</f>
        <v>0</v>
      </c>
      <c r="AW21" s="107">
        <f>AV21-M21</f>
        <v>0</v>
      </c>
      <c r="AX21" s="107">
        <f>AW21-M21</f>
        <v>0</v>
      </c>
      <c r="AY21" s="107">
        <f>AX21-M21</f>
        <v>0</v>
      </c>
      <c r="AZ21" s="107">
        <f>AY21-M21</f>
        <v>0</v>
      </c>
      <c r="BA21" s="107">
        <f>AZ21-M21</f>
        <v>0</v>
      </c>
      <c r="BB21" s="107">
        <f>BA21-M21</f>
        <v>0</v>
      </c>
      <c r="BC21" s="107">
        <f>BB21-M21</f>
        <v>0</v>
      </c>
      <c r="BD21" s="107">
        <f>BC21-M21</f>
        <v>0</v>
      </c>
      <c r="BE21" s="130"/>
      <c r="BF21" s="132"/>
      <c r="BG21" s="132"/>
      <c r="BH21" s="127"/>
      <c r="BI21" s="127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27"/>
    </row>
    <row r="22" spans="1:75" ht="22.5" hidden="1" x14ac:dyDescent="0.2">
      <c r="A22" s="123" t="str">
        <f>'[2]2021 УГРЦТ'!A24</f>
        <v>Газопровод выс. давления(наружный) 2003г</v>
      </c>
      <c r="B22" s="124" t="str">
        <f>'[2]2021 УГРЦТ'!B24</f>
        <v>00000596</v>
      </c>
      <c r="C22" s="124" t="str">
        <f>VLOOKUP(A:A,'2023-2027'!A:L,1,+FALSE)</f>
        <v>Газопровод выс. давления(наружный) 2003г</v>
      </c>
      <c r="D22" s="124" t="str">
        <f>'[2]2021 УГРЦТ'!C24</f>
        <v>ПРОИЗВОДСТВО</v>
      </c>
      <c r="E22" s="124" t="str">
        <f>'[2]2021 УГРЦТ'!D24</f>
        <v>Сооружения</v>
      </c>
      <c r="F22" s="124" t="str">
        <f>'[2]2021 УГРЦТ'!E24</f>
        <v>01.10.2003</v>
      </c>
      <c r="G22" s="124" t="str">
        <f>'[2]2021 УГРЦТ'!F24</f>
        <v>Газотурбинный цех</v>
      </c>
      <c r="H22" s="124">
        <f>'[2]2021 УГРЦТ'!AC24</f>
        <v>300</v>
      </c>
      <c r="I22" s="107">
        <v>538189.19999999995</v>
      </c>
      <c r="J22" s="107">
        <v>391083.37800000003</v>
      </c>
      <c r="K22" s="107">
        <v>147105.82199999993</v>
      </c>
      <c r="L22" s="125" t="e">
        <f>SUMIF([2]облаг!$B$2:$B$259,B22,[2]облаг!$D$2:$D$259)</f>
        <v>#VALUE!</v>
      </c>
      <c r="M22" s="107">
        <f t="shared" si="13"/>
        <v>1793.9639999999999</v>
      </c>
      <c r="N22" s="107">
        <f t="shared" si="14"/>
        <v>21527.567999999999</v>
      </c>
      <c r="O22" s="107">
        <f t="shared" si="15"/>
        <v>145311.85799999992</v>
      </c>
      <c r="P22" s="107">
        <f t="shared" si="16"/>
        <v>143517.89399999991</v>
      </c>
      <c r="Q22" s="107">
        <f t="shared" si="17"/>
        <v>141723.92999999991</v>
      </c>
      <c r="R22" s="107">
        <f t="shared" si="18"/>
        <v>139929.9659999999</v>
      </c>
      <c r="S22" s="107">
        <f t="shared" si="19"/>
        <v>138136.00199999989</v>
      </c>
      <c r="T22" s="107">
        <f t="shared" si="20"/>
        <v>136342.03799999988</v>
      </c>
      <c r="U22" s="107">
        <f t="shared" si="21"/>
        <v>134548.07399999988</v>
      </c>
      <c r="V22" s="107">
        <f t="shared" si="22"/>
        <v>132754.10999999987</v>
      </c>
      <c r="W22" s="107">
        <f t="shared" si="23"/>
        <v>130960.14599999986</v>
      </c>
      <c r="X22" s="107">
        <f t="shared" si="24"/>
        <v>129166.18199999986</v>
      </c>
      <c r="Y22" s="107">
        <f t="shared" si="25"/>
        <v>127372.21799999985</v>
      </c>
      <c r="Z22" s="107">
        <f t="shared" si="26"/>
        <v>125578.25399999984</v>
      </c>
      <c r="AA22" s="107">
        <f>SUM(O22:Z22,K22)/13*$AA$2</f>
        <v>2999.5248359999973</v>
      </c>
      <c r="AB22" s="107"/>
      <c r="AC22" s="107">
        <f t="shared" si="27"/>
        <v>21527.567999999999</v>
      </c>
      <c r="AD22" s="107">
        <f t="shared" si="28"/>
        <v>123784.28999999983</v>
      </c>
      <c r="AE22" s="107">
        <f t="shared" si="29"/>
        <v>121990.32599999983</v>
      </c>
      <c r="AF22" s="107">
        <f t="shared" si="30"/>
        <v>120196.36199999982</v>
      </c>
      <c r="AG22" s="107">
        <f t="shared" si="31"/>
        <v>118402.39799999981</v>
      </c>
      <c r="AH22" s="107">
        <f t="shared" si="32"/>
        <v>116608.4339999998</v>
      </c>
      <c r="AI22" s="107">
        <f t="shared" si="33"/>
        <v>114814.4699999998</v>
      </c>
      <c r="AJ22" s="107">
        <f t="shared" si="34"/>
        <v>113020.50599999979</v>
      </c>
      <c r="AK22" s="107">
        <f t="shared" si="35"/>
        <v>111226.54199999978</v>
      </c>
      <c r="AL22" s="107">
        <f t="shared" si="36"/>
        <v>109432.57799999978</v>
      </c>
      <c r="AM22" s="107">
        <f t="shared" si="37"/>
        <v>107638.61399999977</v>
      </c>
      <c r="AN22" s="107">
        <f t="shared" si="38"/>
        <v>105844.64999999976</v>
      </c>
      <c r="AO22" s="107">
        <f t="shared" si="39"/>
        <v>104050.68599999975</v>
      </c>
      <c r="AP22" s="107">
        <f>SUM(AD22:AO22,Z22)/13*$AP$2</f>
        <v>2525.9183399999956</v>
      </c>
      <c r="AQ22" s="126"/>
      <c r="AR22" s="107">
        <f t="shared" si="40"/>
        <v>21527.567999999999</v>
      </c>
      <c r="AS22" s="107">
        <f>AO22-M22</f>
        <v>102256.72199999975</v>
      </c>
      <c r="AT22" s="107">
        <f>AS22-M22</f>
        <v>100462.75799999974</v>
      </c>
      <c r="AU22" s="107">
        <f>AT22-M22</f>
        <v>98668.793999999732</v>
      </c>
      <c r="AV22" s="107">
        <f>AU22-M22</f>
        <v>96874.829999999725</v>
      </c>
      <c r="AW22" s="107">
        <f>AV22-M22</f>
        <v>95080.865999999718</v>
      </c>
      <c r="AX22" s="107">
        <f>AW22-M22</f>
        <v>93286.901999999711</v>
      </c>
      <c r="AY22" s="107">
        <f>AX22-M22</f>
        <v>91492.937999999704</v>
      </c>
      <c r="AZ22" s="107">
        <f>AY22-M22</f>
        <v>89698.973999999696</v>
      </c>
      <c r="BA22" s="107">
        <f>AZ22-M22</f>
        <v>87905.009999999689</v>
      </c>
      <c r="BB22" s="107">
        <f>BA22-M22</f>
        <v>86111.045999999682</v>
      </c>
      <c r="BC22" s="107">
        <f>BB22-M22</f>
        <v>84317.081999999675</v>
      </c>
      <c r="BD22" s="107">
        <f>BC22-M22</f>
        <v>82523.117999999668</v>
      </c>
      <c r="BE22" s="107">
        <f>SUM(AS22:BD22,AO22)/13*$BE$2</f>
        <v>2052.311843999993</v>
      </c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</row>
    <row r="23" spans="1:75" s="133" customFormat="1" ht="22.5" hidden="1" x14ac:dyDescent="0.2">
      <c r="A23" s="123" t="str">
        <f>'[2]2021 УГРЦТ'!A25</f>
        <v>Газотурбинный агрегат ГТА-6РМ №1</v>
      </c>
      <c r="B23" s="129" t="str">
        <f>'[2]2021 УГРЦТ'!B25</f>
        <v>00001168</v>
      </c>
      <c r="C23" s="124" t="str">
        <f>VLOOKUP(A:A,'2023-2027'!A:L,1,+FALSE)</f>
        <v>Газотурбинный агрегат ГТА-6РМ №1</v>
      </c>
      <c r="D23" s="129" t="str">
        <f>'[2]2021 УГРЦТ'!C25</f>
        <v>ПРОИЗВОДСТВО</v>
      </c>
      <c r="E23" s="129" t="str">
        <f>'[2]2021 УГРЦТ'!D25</f>
        <v>Машины и оборудование (кроме офисного)</v>
      </c>
      <c r="F23" s="129" t="str">
        <f>'[2]2021 УГРЦТ'!E25</f>
        <v>31.03.2010</v>
      </c>
      <c r="G23" s="129" t="str">
        <f>'[2]2021 УГРЦТ'!F25</f>
        <v>Газотурбинный цех</v>
      </c>
      <c r="H23" s="129">
        <f>'[2]2021 УГРЦТ'!AC25</f>
        <v>180</v>
      </c>
      <c r="I23" s="130">
        <v>63489676.780000001</v>
      </c>
      <c r="J23" s="130">
        <v>0</v>
      </c>
      <c r="K23" s="130">
        <v>63489676.780000001</v>
      </c>
      <c r="L23" s="125" t="e">
        <f>SUMIF([2]облаг!$B$2:$B$259,B23,[2]облаг!$D$2:$D$259)</f>
        <v>#VALUE!</v>
      </c>
      <c r="M23" s="107">
        <v>0</v>
      </c>
      <c r="N23" s="107">
        <f t="shared" si="14"/>
        <v>0</v>
      </c>
      <c r="O23" s="107">
        <v>0</v>
      </c>
      <c r="P23" s="107">
        <v>0</v>
      </c>
      <c r="Q23" s="107">
        <v>0</v>
      </c>
      <c r="R23" s="107">
        <f t="shared" si="18"/>
        <v>0</v>
      </c>
      <c r="S23" s="107">
        <f t="shared" si="19"/>
        <v>0</v>
      </c>
      <c r="T23" s="107">
        <f t="shared" si="20"/>
        <v>0</v>
      </c>
      <c r="U23" s="107">
        <f t="shared" si="21"/>
        <v>0</v>
      </c>
      <c r="V23" s="107">
        <f t="shared" si="22"/>
        <v>0</v>
      </c>
      <c r="W23" s="107">
        <f t="shared" si="23"/>
        <v>0</v>
      </c>
      <c r="X23" s="107">
        <f t="shared" si="24"/>
        <v>0</v>
      </c>
      <c r="Y23" s="107">
        <f t="shared" si="25"/>
        <v>0</v>
      </c>
      <c r="Z23" s="107">
        <f t="shared" si="26"/>
        <v>0</v>
      </c>
      <c r="AA23" s="130"/>
      <c r="AB23" s="130"/>
      <c r="AC23" s="107">
        <f t="shared" si="27"/>
        <v>0</v>
      </c>
      <c r="AD23" s="107">
        <f t="shared" si="28"/>
        <v>0</v>
      </c>
      <c r="AE23" s="107">
        <f t="shared" si="29"/>
        <v>0</v>
      </c>
      <c r="AF23" s="107">
        <f t="shared" si="30"/>
        <v>0</v>
      </c>
      <c r="AG23" s="107">
        <f t="shared" si="31"/>
        <v>0</v>
      </c>
      <c r="AH23" s="107">
        <f t="shared" si="32"/>
        <v>0</v>
      </c>
      <c r="AI23" s="107">
        <f t="shared" si="33"/>
        <v>0</v>
      </c>
      <c r="AJ23" s="107">
        <f t="shared" si="34"/>
        <v>0</v>
      </c>
      <c r="AK23" s="107">
        <f t="shared" si="35"/>
        <v>0</v>
      </c>
      <c r="AL23" s="107">
        <f t="shared" si="36"/>
        <v>0</v>
      </c>
      <c r="AM23" s="107">
        <f t="shared" si="37"/>
        <v>0</v>
      </c>
      <c r="AN23" s="107">
        <f t="shared" si="38"/>
        <v>0</v>
      </c>
      <c r="AO23" s="107">
        <f t="shared" si="39"/>
        <v>0</v>
      </c>
      <c r="AP23" s="130"/>
      <c r="AQ23" s="131"/>
      <c r="AR23" s="107">
        <f t="shared" si="40"/>
        <v>0</v>
      </c>
      <c r="AS23" s="107">
        <f t="shared" ref="AS23:AS28" si="41">AO23-M23</f>
        <v>0</v>
      </c>
      <c r="AT23" s="107">
        <f t="shared" ref="AT23:AT28" si="42">AS23-M23</f>
        <v>0</v>
      </c>
      <c r="AU23" s="107">
        <f t="shared" ref="AU23:AU28" si="43">AT23-M23</f>
        <v>0</v>
      </c>
      <c r="AV23" s="107">
        <f t="shared" ref="AV23:AV28" si="44">AU23-M23</f>
        <v>0</v>
      </c>
      <c r="AW23" s="107">
        <f t="shared" ref="AW23:AW28" si="45">AV23-M23</f>
        <v>0</v>
      </c>
      <c r="AX23" s="107">
        <f t="shared" ref="AX23:AX28" si="46">AW23-M23</f>
        <v>0</v>
      </c>
      <c r="AY23" s="107">
        <f t="shared" ref="AY23:AY28" si="47">AX23-M23</f>
        <v>0</v>
      </c>
      <c r="AZ23" s="107">
        <f t="shared" ref="AZ23:AZ28" si="48">AY23-M23</f>
        <v>0</v>
      </c>
      <c r="BA23" s="107">
        <f t="shared" ref="BA23:BA28" si="49">AZ23-M23</f>
        <v>0</v>
      </c>
      <c r="BB23" s="107">
        <f t="shared" ref="BB23:BB28" si="50">BA23-M23</f>
        <v>0</v>
      </c>
      <c r="BC23" s="107">
        <f t="shared" ref="BC23:BC28" si="51">BB23-M23</f>
        <v>0</v>
      </c>
      <c r="BD23" s="107">
        <f t="shared" ref="BD23:BD28" si="52">BC23-M23</f>
        <v>0</v>
      </c>
      <c r="BE23" s="130"/>
      <c r="BF23" s="132"/>
      <c r="BG23" s="132"/>
      <c r="BH23" s="127"/>
      <c r="BI23" s="127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27"/>
    </row>
    <row r="24" spans="1:75" s="133" customFormat="1" ht="22.5" hidden="1" x14ac:dyDescent="0.2">
      <c r="A24" s="123" t="str">
        <f>'[2]2021 УГРЦТ'!A26</f>
        <v>Газотурбинный агрегат ГТА-6РМ №1</v>
      </c>
      <c r="B24" s="129">
        <f>'[2]2021 УГРЦТ'!B26</f>
        <v>0</v>
      </c>
      <c r="C24" s="124" t="str">
        <f>VLOOKUP(A:A,'2023-2027'!A:L,1,+FALSE)</f>
        <v>Газотурбинный агрегат ГТА-6РМ №1</v>
      </c>
      <c r="D24" s="129" t="str">
        <f>'[2]2021 УГРЦТ'!C26</f>
        <v>ПРОИЗВОДСТВО</v>
      </c>
      <c r="E24" s="129" t="str">
        <f>'[2]2021 УГРЦТ'!D26</f>
        <v>Машины и оборудование (кроме офисного)</v>
      </c>
      <c r="F24" s="129">
        <f>'[2]2021 УГРЦТ'!E26</f>
        <v>0</v>
      </c>
      <c r="G24" s="129" t="str">
        <f>'[2]2021 УГРЦТ'!F26</f>
        <v>Газотурбинный цех</v>
      </c>
      <c r="H24" s="129">
        <f>'[2]2021 УГРЦТ'!AC26</f>
        <v>100</v>
      </c>
      <c r="I24" s="130">
        <f>'[2]2021 УГРЦТ'!X26</f>
        <v>37399701.020000003</v>
      </c>
      <c r="J24" s="130">
        <f>'[2]2021 УГРЦТ'!Y26</f>
        <v>29415400.995200001</v>
      </c>
      <c r="K24" s="130">
        <f>'[2]2021 УГРЦТ'!Z26</f>
        <v>7984300.0248000035</v>
      </c>
      <c r="L24" s="125" t="e">
        <f>SUMIF([2]облаг!$B$2:$B$259,B24,[2]облаг!$D$2:$D$259)</f>
        <v>#VALUE!</v>
      </c>
      <c r="M24" s="132">
        <f>'[2]2021 УГРЦТ'!AG28</f>
        <v>80649.5</v>
      </c>
      <c r="N24" s="107">
        <f t="shared" si="14"/>
        <v>967794</v>
      </c>
      <c r="O24" s="107">
        <f t="shared" si="15"/>
        <v>7903650.5248000035</v>
      </c>
      <c r="P24" s="107">
        <f t="shared" si="16"/>
        <v>7823001.0248000035</v>
      </c>
      <c r="Q24" s="107">
        <f t="shared" si="17"/>
        <v>7742351.5248000035</v>
      </c>
      <c r="R24" s="107">
        <f t="shared" si="18"/>
        <v>7661702.0248000035</v>
      </c>
      <c r="S24" s="107">
        <f t="shared" si="19"/>
        <v>7581052.5248000035</v>
      </c>
      <c r="T24" s="107">
        <f t="shared" si="20"/>
        <v>7500403.0248000035</v>
      </c>
      <c r="U24" s="107">
        <f t="shared" si="21"/>
        <v>7419753.5248000035</v>
      </c>
      <c r="V24" s="107">
        <f t="shared" si="22"/>
        <v>7339104.0248000035</v>
      </c>
      <c r="W24" s="107">
        <f t="shared" si="23"/>
        <v>7258454.5248000035</v>
      </c>
      <c r="X24" s="107">
        <f t="shared" si="24"/>
        <v>7177805.0248000035</v>
      </c>
      <c r="Y24" s="107">
        <f t="shared" si="25"/>
        <v>7097155.5248000035</v>
      </c>
      <c r="Z24" s="107">
        <f t="shared" si="26"/>
        <v>7016506.0248000035</v>
      </c>
      <c r="AA24" s="130"/>
      <c r="AB24" s="130"/>
      <c r="AC24" s="107">
        <f>AD24</f>
        <v>6935856.5248000035</v>
      </c>
      <c r="AD24" s="107">
        <f t="shared" si="28"/>
        <v>6935856.5248000035</v>
      </c>
      <c r="AE24" s="107">
        <f t="shared" si="29"/>
        <v>6855207.0248000035</v>
      </c>
      <c r="AF24" s="107">
        <f t="shared" si="30"/>
        <v>6774557.5248000035</v>
      </c>
      <c r="AG24" s="107">
        <f t="shared" si="31"/>
        <v>6693908.0248000035</v>
      </c>
      <c r="AH24" s="107">
        <f t="shared" si="32"/>
        <v>6613258.5248000035</v>
      </c>
      <c r="AI24" s="107">
        <f t="shared" si="33"/>
        <v>6532609.0248000035</v>
      </c>
      <c r="AJ24" s="107">
        <f t="shared" si="34"/>
        <v>6451959.5248000035</v>
      </c>
      <c r="AK24" s="107">
        <f t="shared" si="35"/>
        <v>6371310.0248000035</v>
      </c>
      <c r="AL24" s="107">
        <f t="shared" si="36"/>
        <v>6290660.5248000035</v>
      </c>
      <c r="AM24" s="107">
        <f t="shared" si="37"/>
        <v>6210011.0248000035</v>
      </c>
      <c r="AN24" s="107">
        <f t="shared" si="38"/>
        <v>6129361.5248000035</v>
      </c>
      <c r="AO24" s="107">
        <f t="shared" si="39"/>
        <v>6048712.0248000035</v>
      </c>
      <c r="AP24" s="130"/>
      <c r="AQ24" s="131"/>
      <c r="AR24" s="107">
        <f t="shared" si="40"/>
        <v>967794</v>
      </c>
      <c r="AS24" s="107">
        <f t="shared" si="41"/>
        <v>5968062.5248000035</v>
      </c>
      <c r="AT24" s="107">
        <f t="shared" si="42"/>
        <v>5887413.0248000035</v>
      </c>
      <c r="AU24" s="107">
        <f t="shared" si="43"/>
        <v>5806763.5248000035</v>
      </c>
      <c r="AV24" s="107">
        <f t="shared" si="44"/>
        <v>5726114.0248000035</v>
      </c>
      <c r="AW24" s="107">
        <f t="shared" si="45"/>
        <v>5645464.5248000035</v>
      </c>
      <c r="AX24" s="107">
        <f t="shared" si="46"/>
        <v>5564815.0248000035</v>
      </c>
      <c r="AY24" s="107">
        <f t="shared" si="47"/>
        <v>5484165.5248000035</v>
      </c>
      <c r="AZ24" s="107">
        <f t="shared" si="48"/>
        <v>5403516.0248000035</v>
      </c>
      <c r="BA24" s="107">
        <f t="shared" si="49"/>
        <v>5322866.5248000035</v>
      </c>
      <c r="BB24" s="107">
        <f t="shared" si="50"/>
        <v>5242217.0248000035</v>
      </c>
      <c r="BC24" s="107">
        <f t="shared" si="51"/>
        <v>5161567.5248000035</v>
      </c>
      <c r="BD24" s="107">
        <f t="shared" si="52"/>
        <v>5080918.0248000035</v>
      </c>
      <c r="BE24" s="130"/>
      <c r="BF24" s="132"/>
      <c r="BG24" s="132"/>
      <c r="BH24" s="127"/>
      <c r="BI24" s="127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27"/>
    </row>
    <row r="25" spans="1:75" s="133" customFormat="1" ht="22.5" hidden="1" x14ac:dyDescent="0.2">
      <c r="A25" s="123" t="str">
        <f>'[2]2021 УГРЦТ'!A27</f>
        <v>Газотурбинный агрегат ГТА-6РМ №2</v>
      </c>
      <c r="B25" s="129" t="str">
        <f>'[2]2021 УГРЦТ'!B27</f>
        <v>00001169</v>
      </c>
      <c r="C25" s="124" t="str">
        <f>VLOOKUP(A:A,'2023-2027'!A:L,1,+FALSE)</f>
        <v>Газотурбинный агрегат ГТА-6РМ №2</v>
      </c>
      <c r="D25" s="129" t="str">
        <f>'[2]2021 УГРЦТ'!C27</f>
        <v>ПРОИЗВОДСТВО</v>
      </c>
      <c r="E25" s="129" t="str">
        <f>'[2]2021 УГРЦТ'!D27</f>
        <v>Машины и оборудование (кроме офисного)</v>
      </c>
      <c r="F25" s="129" t="str">
        <f>'[2]2021 УГРЦТ'!E27</f>
        <v>31.03.2010</v>
      </c>
      <c r="G25" s="129" t="str">
        <f>'[2]2021 УГРЦТ'!F27</f>
        <v>Газотурбинный цех</v>
      </c>
      <c r="H25" s="129">
        <f>'[2]2021 УГРЦТ'!AC27</f>
        <v>180</v>
      </c>
      <c r="I25" s="130">
        <v>63489676.780000001</v>
      </c>
      <c r="J25" s="130">
        <v>0</v>
      </c>
      <c r="K25" s="130">
        <v>63489676.780000001</v>
      </c>
      <c r="L25" s="125" t="e">
        <f>SUMIF([2]облаг!$B$2:$B$259,B25,[2]облаг!$D$2:$D$259)</f>
        <v>#VALUE!</v>
      </c>
      <c r="M25" s="132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7">
        <v>0</v>
      </c>
      <c r="Z25" s="107">
        <v>0</v>
      </c>
      <c r="AA25" s="107">
        <v>0</v>
      </c>
      <c r="AB25" s="107">
        <v>0</v>
      </c>
      <c r="AC25" s="107">
        <v>0</v>
      </c>
      <c r="AD25" s="107">
        <v>0</v>
      </c>
      <c r="AE25" s="107">
        <v>0</v>
      </c>
      <c r="AF25" s="107">
        <v>0</v>
      </c>
      <c r="AG25" s="107">
        <v>0</v>
      </c>
      <c r="AH25" s="107">
        <v>0</v>
      </c>
      <c r="AI25" s="107">
        <v>0</v>
      </c>
      <c r="AJ25" s="107">
        <v>0</v>
      </c>
      <c r="AK25" s="107">
        <v>0</v>
      </c>
      <c r="AL25" s="107">
        <v>0</v>
      </c>
      <c r="AM25" s="107">
        <f t="shared" si="37"/>
        <v>0</v>
      </c>
      <c r="AN25" s="107">
        <f t="shared" si="38"/>
        <v>0</v>
      </c>
      <c r="AO25" s="107">
        <f t="shared" si="39"/>
        <v>0</v>
      </c>
      <c r="AP25" s="107">
        <v>0</v>
      </c>
      <c r="AQ25" s="107"/>
      <c r="AR25" s="107">
        <f t="shared" si="40"/>
        <v>0</v>
      </c>
      <c r="AS25" s="107">
        <f t="shared" si="41"/>
        <v>0</v>
      </c>
      <c r="AT25" s="107">
        <f t="shared" si="42"/>
        <v>0</v>
      </c>
      <c r="AU25" s="107">
        <f t="shared" si="43"/>
        <v>0</v>
      </c>
      <c r="AV25" s="107">
        <f t="shared" si="44"/>
        <v>0</v>
      </c>
      <c r="AW25" s="107">
        <f t="shared" si="45"/>
        <v>0</v>
      </c>
      <c r="AX25" s="107">
        <f t="shared" si="46"/>
        <v>0</v>
      </c>
      <c r="AY25" s="107">
        <f t="shared" si="47"/>
        <v>0</v>
      </c>
      <c r="AZ25" s="107">
        <f t="shared" si="48"/>
        <v>0</v>
      </c>
      <c r="BA25" s="107">
        <f t="shared" si="49"/>
        <v>0</v>
      </c>
      <c r="BB25" s="107">
        <f t="shared" si="50"/>
        <v>0</v>
      </c>
      <c r="BC25" s="107">
        <f t="shared" si="51"/>
        <v>0</v>
      </c>
      <c r="BD25" s="107">
        <f t="shared" si="52"/>
        <v>0</v>
      </c>
      <c r="BE25" s="130"/>
      <c r="BF25" s="132"/>
      <c r="BG25" s="132"/>
      <c r="BH25" s="127"/>
      <c r="BI25" s="127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27"/>
    </row>
    <row r="26" spans="1:75" s="133" customFormat="1" ht="22.5" hidden="1" x14ac:dyDescent="0.2">
      <c r="A26" s="123" t="str">
        <f>'[2]2021 УГРЦТ'!A28</f>
        <v>Газотурбинный агрегат ГТА-6РМ №2</v>
      </c>
      <c r="B26" s="129">
        <f>'[2]2021 УГРЦТ'!B28</f>
        <v>0</v>
      </c>
      <c r="C26" s="124" t="str">
        <f>VLOOKUP(A:A,'2023-2027'!A:L,1,+FALSE)</f>
        <v>Газотурбинный агрегат ГТА-6РМ №2</v>
      </c>
      <c r="D26" s="129" t="str">
        <f>'[2]2021 УГРЦТ'!C28</f>
        <v>ПРОИЗВОДСТВО</v>
      </c>
      <c r="E26" s="129" t="str">
        <f>'[2]2021 УГРЦТ'!D28</f>
        <v>Машины и оборудование (кроме офисного)</v>
      </c>
      <c r="F26" s="129">
        <f>'[2]2021 УГРЦТ'!E28</f>
        <v>0</v>
      </c>
      <c r="G26" s="129" t="str">
        <f>'[2]2021 УГРЦТ'!F28</f>
        <v>Газотурбинный цех</v>
      </c>
      <c r="H26" s="129">
        <f>'[2]2021 УГРЦТ'!AC28</f>
        <v>100</v>
      </c>
      <c r="I26" s="130">
        <f>'[2]2021 УГРЦТ'!X28</f>
        <v>37399701.020000003</v>
      </c>
      <c r="J26" s="130">
        <f>'[2]2021 УГРЦТ'!Y28</f>
        <v>29415400.995200001</v>
      </c>
      <c r="K26" s="130">
        <f>'[2]2021 УГРЦТ'!Z28</f>
        <v>7984300.0248000035</v>
      </c>
      <c r="L26" s="125" t="e">
        <f>SUMIF([2]облаг!$B$2:$B$259,B26,[2]облаг!$D$2:$D$259)</f>
        <v>#VALUE!</v>
      </c>
      <c r="M26" s="132">
        <v>80649.5</v>
      </c>
      <c r="N26" s="107">
        <f>M26*12</f>
        <v>967794</v>
      </c>
      <c r="O26" s="107">
        <f t="shared" si="15"/>
        <v>7903650.5248000035</v>
      </c>
      <c r="P26" s="107">
        <f t="shared" si="16"/>
        <v>7823001.0248000035</v>
      </c>
      <c r="Q26" s="107">
        <f t="shared" si="17"/>
        <v>7742351.5248000035</v>
      </c>
      <c r="R26" s="107">
        <f t="shared" si="18"/>
        <v>7661702.0248000035</v>
      </c>
      <c r="S26" s="107">
        <f t="shared" si="19"/>
        <v>7581052.5248000035</v>
      </c>
      <c r="T26" s="107">
        <f t="shared" si="20"/>
        <v>7500403.0248000035</v>
      </c>
      <c r="U26" s="107">
        <f t="shared" si="21"/>
        <v>7419753.5248000035</v>
      </c>
      <c r="V26" s="107">
        <f t="shared" si="22"/>
        <v>7339104.0248000035</v>
      </c>
      <c r="W26" s="107">
        <f t="shared" si="23"/>
        <v>7258454.5248000035</v>
      </c>
      <c r="X26" s="107">
        <f t="shared" si="24"/>
        <v>7177805.0248000035</v>
      </c>
      <c r="Y26" s="107">
        <f t="shared" si="25"/>
        <v>7097155.5248000035</v>
      </c>
      <c r="Z26" s="107">
        <f t="shared" si="26"/>
        <v>7016506.0248000035</v>
      </c>
      <c r="AA26" s="130"/>
      <c r="AB26" s="130"/>
      <c r="AC26" s="107">
        <f>AD26</f>
        <v>6935856.5248000035</v>
      </c>
      <c r="AD26" s="107">
        <f t="shared" si="28"/>
        <v>6935856.5248000035</v>
      </c>
      <c r="AE26" s="107">
        <f t="shared" si="29"/>
        <v>6855207.0248000035</v>
      </c>
      <c r="AF26" s="107">
        <f t="shared" si="30"/>
        <v>6774557.5248000035</v>
      </c>
      <c r="AG26" s="107">
        <f t="shared" si="31"/>
        <v>6693908.0248000035</v>
      </c>
      <c r="AH26" s="107">
        <f t="shared" si="32"/>
        <v>6613258.5248000035</v>
      </c>
      <c r="AI26" s="107">
        <f t="shared" si="33"/>
        <v>6532609.0248000035</v>
      </c>
      <c r="AJ26" s="107">
        <f t="shared" si="34"/>
        <v>6451959.5248000035</v>
      </c>
      <c r="AK26" s="107">
        <f t="shared" si="35"/>
        <v>6371310.0248000035</v>
      </c>
      <c r="AL26" s="107">
        <f t="shared" si="36"/>
        <v>6290660.5248000035</v>
      </c>
      <c r="AM26" s="107">
        <f t="shared" si="37"/>
        <v>6210011.0248000035</v>
      </c>
      <c r="AN26" s="107">
        <f t="shared" si="38"/>
        <v>6129361.5248000035</v>
      </c>
      <c r="AO26" s="107">
        <f t="shared" si="39"/>
        <v>6048712.0248000035</v>
      </c>
      <c r="AP26" s="130"/>
      <c r="AQ26" s="131"/>
      <c r="AR26" s="107">
        <f t="shared" si="40"/>
        <v>967794</v>
      </c>
      <c r="AS26" s="107">
        <f t="shared" si="41"/>
        <v>5968062.5248000035</v>
      </c>
      <c r="AT26" s="107">
        <f t="shared" si="42"/>
        <v>5887413.0248000035</v>
      </c>
      <c r="AU26" s="107">
        <f t="shared" si="43"/>
        <v>5806763.5248000035</v>
      </c>
      <c r="AV26" s="107">
        <f t="shared" si="44"/>
        <v>5726114.0248000035</v>
      </c>
      <c r="AW26" s="107">
        <f t="shared" si="45"/>
        <v>5645464.5248000035</v>
      </c>
      <c r="AX26" s="107">
        <f t="shared" si="46"/>
        <v>5564815.0248000035</v>
      </c>
      <c r="AY26" s="107">
        <f t="shared" si="47"/>
        <v>5484165.5248000035</v>
      </c>
      <c r="AZ26" s="107">
        <f t="shared" si="48"/>
        <v>5403516.0248000035</v>
      </c>
      <c r="BA26" s="107">
        <f t="shared" si="49"/>
        <v>5322866.5248000035</v>
      </c>
      <c r="BB26" s="107">
        <f t="shared" si="50"/>
        <v>5242217.0248000035</v>
      </c>
      <c r="BC26" s="107">
        <f t="shared" si="51"/>
        <v>5161567.5248000035</v>
      </c>
      <c r="BD26" s="107">
        <f t="shared" si="52"/>
        <v>5080918.0248000035</v>
      </c>
      <c r="BE26" s="130"/>
      <c r="BF26" s="132"/>
      <c r="BG26" s="132"/>
      <c r="BH26" s="127"/>
      <c r="BI26" s="127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27"/>
    </row>
    <row r="27" spans="1:75" s="133" customFormat="1" ht="22.5" hidden="1" x14ac:dyDescent="0.2">
      <c r="A27" s="123" t="str">
        <f>'[2]2021 УГРЦТ'!A29</f>
        <v>Газотурбинный агрегат ГТА-6РМ №3</v>
      </c>
      <c r="B27" s="129" t="str">
        <f>'[2]2021 УГРЦТ'!B29</f>
        <v>00001170</v>
      </c>
      <c r="C27" s="124" t="str">
        <f>VLOOKUP(A:A,'2023-2027'!A:L,1,+FALSE)</f>
        <v>Газотурбинный агрегат ГТА-6РМ №3</v>
      </c>
      <c r="D27" s="129" t="str">
        <f>'[2]2021 УГРЦТ'!C29</f>
        <v>ПРОИЗВОДСТВО</v>
      </c>
      <c r="E27" s="129" t="str">
        <f>'[2]2021 УГРЦТ'!D29</f>
        <v>Машины и оборудование (кроме офисного)</v>
      </c>
      <c r="F27" s="129" t="str">
        <f>'[2]2021 УГРЦТ'!E29</f>
        <v>31.03.2010</v>
      </c>
      <c r="G27" s="129" t="str">
        <f>'[2]2021 УГРЦТ'!F29</f>
        <v>Газотурбинный цех</v>
      </c>
      <c r="H27" s="129">
        <f>'[2]2021 УГРЦТ'!AC29</f>
        <v>180</v>
      </c>
      <c r="I27" s="130">
        <v>63230670</v>
      </c>
      <c r="J27" s="130">
        <v>0</v>
      </c>
      <c r="K27" s="130">
        <v>63230670</v>
      </c>
      <c r="L27" s="125" t="e">
        <f>SUMIF([2]облаг!$B$2:$B$259,B27,[2]облаг!$D$2:$D$259)</f>
        <v>#VALUE!</v>
      </c>
      <c r="M27" s="132">
        <v>0</v>
      </c>
      <c r="N27" s="107">
        <f t="shared" si="14"/>
        <v>0</v>
      </c>
      <c r="O27" s="107">
        <f t="shared" si="15"/>
        <v>63230670</v>
      </c>
      <c r="P27" s="107">
        <f t="shared" si="16"/>
        <v>63230670</v>
      </c>
      <c r="Q27" s="107">
        <f t="shared" si="17"/>
        <v>63230670</v>
      </c>
      <c r="R27" s="107">
        <f t="shared" si="18"/>
        <v>63230670</v>
      </c>
      <c r="S27" s="107">
        <f t="shared" si="19"/>
        <v>63230670</v>
      </c>
      <c r="T27" s="107">
        <f t="shared" si="20"/>
        <v>63230670</v>
      </c>
      <c r="U27" s="107">
        <f t="shared" si="21"/>
        <v>63230670</v>
      </c>
      <c r="V27" s="107">
        <f t="shared" si="22"/>
        <v>63230670</v>
      </c>
      <c r="W27" s="107">
        <f t="shared" si="23"/>
        <v>63230670</v>
      </c>
      <c r="X27" s="107">
        <f t="shared" si="24"/>
        <v>63230670</v>
      </c>
      <c r="Y27" s="107">
        <f t="shared" si="25"/>
        <v>63230670</v>
      </c>
      <c r="Z27" s="107">
        <f t="shared" si="26"/>
        <v>63230670</v>
      </c>
      <c r="AA27" s="130"/>
      <c r="AB27" s="130"/>
      <c r="AC27" s="107">
        <f t="shared" si="27"/>
        <v>0</v>
      </c>
      <c r="AD27" s="107">
        <f t="shared" si="28"/>
        <v>63230670</v>
      </c>
      <c r="AE27" s="107">
        <f t="shared" si="29"/>
        <v>63230670</v>
      </c>
      <c r="AF27" s="107">
        <f t="shared" si="30"/>
        <v>63230670</v>
      </c>
      <c r="AG27" s="107">
        <f t="shared" si="31"/>
        <v>63230670</v>
      </c>
      <c r="AH27" s="107">
        <f t="shared" si="32"/>
        <v>63230670</v>
      </c>
      <c r="AI27" s="107">
        <f t="shared" si="33"/>
        <v>63230670</v>
      </c>
      <c r="AJ27" s="107">
        <f t="shared" si="34"/>
        <v>63230670</v>
      </c>
      <c r="AK27" s="107">
        <f t="shared" si="35"/>
        <v>63230670</v>
      </c>
      <c r="AL27" s="107">
        <f t="shared" si="36"/>
        <v>63230670</v>
      </c>
      <c r="AM27" s="107">
        <f t="shared" si="37"/>
        <v>63230670</v>
      </c>
      <c r="AN27" s="107">
        <f t="shared" si="38"/>
        <v>63230670</v>
      </c>
      <c r="AO27" s="107">
        <f t="shared" si="39"/>
        <v>63230670</v>
      </c>
      <c r="AP27" s="130"/>
      <c r="AQ27" s="131"/>
      <c r="AR27" s="107">
        <f t="shared" si="40"/>
        <v>0</v>
      </c>
      <c r="AS27" s="107">
        <f t="shared" si="41"/>
        <v>63230670</v>
      </c>
      <c r="AT27" s="107">
        <f t="shared" si="42"/>
        <v>63230670</v>
      </c>
      <c r="AU27" s="107">
        <f t="shared" si="43"/>
        <v>63230670</v>
      </c>
      <c r="AV27" s="107">
        <f t="shared" si="44"/>
        <v>63230670</v>
      </c>
      <c r="AW27" s="107">
        <f t="shared" si="45"/>
        <v>63230670</v>
      </c>
      <c r="AX27" s="107">
        <f t="shared" si="46"/>
        <v>63230670</v>
      </c>
      <c r="AY27" s="107">
        <f t="shared" si="47"/>
        <v>63230670</v>
      </c>
      <c r="AZ27" s="107">
        <f t="shared" si="48"/>
        <v>63230670</v>
      </c>
      <c r="BA27" s="107">
        <f t="shared" si="49"/>
        <v>63230670</v>
      </c>
      <c r="BB27" s="107">
        <f t="shared" si="50"/>
        <v>63230670</v>
      </c>
      <c r="BC27" s="107">
        <f t="shared" si="51"/>
        <v>63230670</v>
      </c>
      <c r="BD27" s="107">
        <f t="shared" si="52"/>
        <v>63230670</v>
      </c>
      <c r="BE27" s="130"/>
      <c r="BF27" s="132"/>
      <c r="BG27" s="132"/>
      <c r="BH27" s="127"/>
      <c r="BI27" s="127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27"/>
    </row>
    <row r="28" spans="1:75" s="133" customFormat="1" ht="22.5" hidden="1" x14ac:dyDescent="0.2">
      <c r="A28" s="123" t="str">
        <f>'[2]2021 УГРЦТ'!A30</f>
        <v>Газотурбинный агрегат ГТА-6РМ №3</v>
      </c>
      <c r="B28" s="129">
        <f>'[2]2021 УГРЦТ'!B30</f>
        <v>0</v>
      </c>
      <c r="C28" s="124" t="str">
        <f>VLOOKUP(A:A,'2023-2027'!A:L,1,+FALSE)</f>
        <v>Газотурбинный агрегат ГТА-6РМ №3</v>
      </c>
      <c r="D28" s="129" t="str">
        <f>'[2]2021 УГРЦТ'!C30</f>
        <v>ПРОИЗВОДСТВО</v>
      </c>
      <c r="E28" s="129" t="str">
        <f>'[2]2021 УГРЦТ'!D30</f>
        <v>Машины и оборудование (кроме офисного)</v>
      </c>
      <c r="F28" s="129">
        <f>'[2]2021 УГРЦТ'!E30</f>
        <v>0</v>
      </c>
      <c r="G28" s="129" t="str">
        <f>'[2]2021 УГРЦТ'!F30</f>
        <v>Газотурбинный цех</v>
      </c>
      <c r="H28" s="129">
        <f>'[2]2021 УГРЦТ'!AC30</f>
        <v>100</v>
      </c>
      <c r="I28" s="130">
        <f>'[2]2021 УГРЦТ'!X30</f>
        <v>37140694.240000002</v>
      </c>
      <c r="J28" s="130">
        <f>'[2]2021 УГРЦТ'!Y30</f>
        <v>28969741.476400003</v>
      </c>
      <c r="K28" s="130">
        <f>'[2]2021 УГРЦТ'!Z30</f>
        <v>8170952.7636000002</v>
      </c>
      <c r="L28" s="125" t="e">
        <f>SUMIF([2]облаг!$B$2:$B$259,B28,[2]облаг!$D$2:$D$259)</f>
        <v>#VALUE!</v>
      </c>
      <c r="M28" s="132">
        <v>82534.880000000005</v>
      </c>
      <c r="N28" s="107">
        <f t="shared" si="14"/>
        <v>990418.56</v>
      </c>
      <c r="O28" s="107">
        <f t="shared" si="15"/>
        <v>8088417.8836000003</v>
      </c>
      <c r="P28" s="107">
        <f t="shared" si="16"/>
        <v>8005883.0036000004</v>
      </c>
      <c r="Q28" s="107">
        <f t="shared" si="17"/>
        <v>7923348.1236000005</v>
      </c>
      <c r="R28" s="107">
        <f t="shared" si="18"/>
        <v>7840813.2436000006</v>
      </c>
      <c r="S28" s="107">
        <f t="shared" si="19"/>
        <v>7758278.3636000007</v>
      </c>
      <c r="T28" s="107">
        <f t="shared" si="20"/>
        <v>7675743.4836000009</v>
      </c>
      <c r="U28" s="107">
        <f t="shared" si="21"/>
        <v>7593208.603600001</v>
      </c>
      <c r="V28" s="107">
        <f t="shared" si="22"/>
        <v>7510673.7236000011</v>
      </c>
      <c r="W28" s="107">
        <f t="shared" si="23"/>
        <v>7428138.8436000012</v>
      </c>
      <c r="X28" s="107">
        <f t="shared" si="24"/>
        <v>7345603.9636000013</v>
      </c>
      <c r="Y28" s="107">
        <f t="shared" si="25"/>
        <v>7263069.0836000014</v>
      </c>
      <c r="Z28" s="107">
        <f t="shared" si="26"/>
        <v>7180534.2036000015</v>
      </c>
      <c r="AA28" s="130"/>
      <c r="AB28" s="130"/>
      <c r="AC28" s="107">
        <f>AD28</f>
        <v>7097999.3236000016</v>
      </c>
      <c r="AD28" s="107">
        <f t="shared" si="28"/>
        <v>7097999.3236000016</v>
      </c>
      <c r="AE28" s="107">
        <f t="shared" si="29"/>
        <v>7015464.4436000017</v>
      </c>
      <c r="AF28" s="107">
        <f t="shared" si="30"/>
        <v>6932929.5636000019</v>
      </c>
      <c r="AG28" s="107">
        <f t="shared" si="31"/>
        <v>6850394.683600002</v>
      </c>
      <c r="AH28" s="107">
        <f t="shared" si="32"/>
        <v>6767859.8036000021</v>
      </c>
      <c r="AI28" s="107">
        <f t="shared" si="33"/>
        <v>6685324.9236000022</v>
      </c>
      <c r="AJ28" s="107">
        <f t="shared" si="34"/>
        <v>6602790.0436000023</v>
      </c>
      <c r="AK28" s="107">
        <f t="shared" si="35"/>
        <v>6520255.1636000024</v>
      </c>
      <c r="AL28" s="107">
        <f t="shared" si="36"/>
        <v>6437720.2836000025</v>
      </c>
      <c r="AM28" s="107">
        <f t="shared" si="37"/>
        <v>6355185.4036000026</v>
      </c>
      <c r="AN28" s="107">
        <f t="shared" si="38"/>
        <v>6272650.5236000028</v>
      </c>
      <c r="AO28" s="107">
        <f t="shared" si="39"/>
        <v>6190115.6436000029</v>
      </c>
      <c r="AP28" s="130"/>
      <c r="AQ28" s="131"/>
      <c r="AR28" s="107">
        <v>0</v>
      </c>
      <c r="AS28" s="107">
        <f t="shared" si="41"/>
        <v>6107580.763600003</v>
      </c>
      <c r="AT28" s="107">
        <f t="shared" si="42"/>
        <v>6025045.8836000031</v>
      </c>
      <c r="AU28" s="107">
        <f t="shared" si="43"/>
        <v>5942511.0036000032</v>
      </c>
      <c r="AV28" s="107">
        <f t="shared" si="44"/>
        <v>5859976.1236000033</v>
      </c>
      <c r="AW28" s="107">
        <f t="shared" si="45"/>
        <v>5777441.2436000034</v>
      </c>
      <c r="AX28" s="107">
        <f t="shared" si="46"/>
        <v>5694906.3636000035</v>
      </c>
      <c r="AY28" s="107">
        <f t="shared" si="47"/>
        <v>5612371.4836000036</v>
      </c>
      <c r="AZ28" s="107">
        <f t="shared" si="48"/>
        <v>5529836.6036000038</v>
      </c>
      <c r="BA28" s="107">
        <f t="shared" si="49"/>
        <v>5447301.7236000039</v>
      </c>
      <c r="BB28" s="107">
        <f t="shared" si="50"/>
        <v>5364766.843600004</v>
      </c>
      <c r="BC28" s="107">
        <f t="shared" si="51"/>
        <v>5282231.9636000041</v>
      </c>
      <c r="BD28" s="107">
        <f t="shared" si="52"/>
        <v>5199697.0836000042</v>
      </c>
      <c r="BE28" s="130"/>
      <c r="BF28" s="132"/>
      <c r="BG28" s="132"/>
      <c r="BH28" s="127"/>
      <c r="BI28" s="127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27"/>
    </row>
    <row r="29" spans="1:75" hidden="1" x14ac:dyDescent="0.2">
      <c r="A29" s="123" t="str">
        <f>'[2]2021 УГРЦТ'!A31</f>
        <v>Гараж на 5 машин  1989г</v>
      </c>
      <c r="B29" s="124" t="str">
        <f>'[2]2021 УГРЦТ'!B31</f>
        <v>00000514</v>
      </c>
      <c r="C29" s="124" t="str">
        <f>VLOOKUP(A:A,'2023-2027'!A:L,1,+FALSE)</f>
        <v>Гараж на 5 машин  1989г</v>
      </c>
      <c r="D29" s="124" t="str">
        <f>'[2]2021 УГРЦТ'!C31</f>
        <v>ПРОИЗВОДСТВО</v>
      </c>
      <c r="E29" s="124" t="str">
        <f>'[2]2021 УГРЦТ'!D31</f>
        <v>Здания</v>
      </c>
      <c r="F29" s="124" t="str">
        <f>'[2]2021 УГРЦТ'!E31</f>
        <v>31.12.2003</v>
      </c>
      <c r="G29" s="124" t="str">
        <f>'[2]2021 УГРЦТ'!F31</f>
        <v>Тепломеханический цех</v>
      </c>
      <c r="H29" s="124">
        <f>'[2]2021 УГРЦТ'!AC31</f>
        <v>480</v>
      </c>
      <c r="I29" s="107">
        <f>'[2]2021 УГРЦТ'!X31</f>
        <v>1449374.74</v>
      </c>
      <c r="J29" s="107">
        <f>'[2]2021 УГРЦТ'!Y31</f>
        <v>536104.95999999996</v>
      </c>
      <c r="K29" s="107">
        <f>'[2]2021 УГРЦТ'!Z31</f>
        <v>913269.78</v>
      </c>
      <c r="L29" s="125" t="e">
        <f>SUMIF([2]облаг!$B$2:$B$259,B29,[2]облаг!$D$2:$D$259)</f>
        <v>#VALUE!</v>
      </c>
      <c r="M29" s="107">
        <f t="shared" si="13"/>
        <v>3019.5307083333332</v>
      </c>
      <c r="N29" s="107">
        <f t="shared" si="14"/>
        <v>36234.368499999997</v>
      </c>
      <c r="O29" s="107">
        <f t="shared" si="15"/>
        <v>910250.24929166667</v>
      </c>
      <c r="P29" s="107">
        <f t="shared" si="16"/>
        <v>907230.71858333331</v>
      </c>
      <c r="Q29" s="107">
        <f t="shared" si="17"/>
        <v>904211.18787499995</v>
      </c>
      <c r="R29" s="107">
        <f t="shared" si="18"/>
        <v>901191.65716666658</v>
      </c>
      <c r="S29" s="107">
        <f t="shared" si="19"/>
        <v>898172.12645833322</v>
      </c>
      <c r="T29" s="107">
        <f t="shared" si="20"/>
        <v>895152.59574999986</v>
      </c>
      <c r="U29" s="107">
        <f t="shared" si="21"/>
        <v>892133.0650416665</v>
      </c>
      <c r="V29" s="107">
        <f t="shared" si="22"/>
        <v>889113.53433333314</v>
      </c>
      <c r="W29" s="107">
        <f t="shared" si="23"/>
        <v>886094.00362499978</v>
      </c>
      <c r="X29" s="107">
        <f t="shared" si="24"/>
        <v>883074.47291666642</v>
      </c>
      <c r="Y29" s="107">
        <f t="shared" si="25"/>
        <v>880054.94220833306</v>
      </c>
      <c r="Z29" s="107">
        <f t="shared" si="26"/>
        <v>877035.4114999997</v>
      </c>
      <c r="AA29" s="107">
        <f>SUM(O29:Z29,K29)/13*$AA$2</f>
        <v>19693.357106499992</v>
      </c>
      <c r="AB29" s="107"/>
      <c r="AC29" s="107">
        <f t="shared" si="27"/>
        <v>36234.368499999997</v>
      </c>
      <c r="AD29" s="107">
        <f t="shared" si="28"/>
        <v>874015.88079166634</v>
      </c>
      <c r="AE29" s="107">
        <f t="shared" si="29"/>
        <v>870996.35008333297</v>
      </c>
      <c r="AF29" s="107">
        <f t="shared" si="30"/>
        <v>867976.81937499961</v>
      </c>
      <c r="AG29" s="107">
        <f t="shared" si="31"/>
        <v>864957.28866666625</v>
      </c>
      <c r="AH29" s="107">
        <f t="shared" si="32"/>
        <v>861937.75795833289</v>
      </c>
      <c r="AI29" s="107">
        <f t="shared" si="33"/>
        <v>858918.22724999953</v>
      </c>
      <c r="AJ29" s="107">
        <f t="shared" si="34"/>
        <v>855898.69654166617</v>
      </c>
      <c r="AK29" s="107">
        <f t="shared" si="35"/>
        <v>852879.16583333281</v>
      </c>
      <c r="AL29" s="107">
        <f t="shared" si="36"/>
        <v>849859.63512499945</v>
      </c>
      <c r="AM29" s="107">
        <f t="shared" si="37"/>
        <v>846840.10441666609</v>
      </c>
      <c r="AN29" s="107">
        <f t="shared" si="38"/>
        <v>843820.57370833273</v>
      </c>
      <c r="AO29" s="107">
        <f t="shared" si="39"/>
        <v>840801.04299999936</v>
      </c>
      <c r="AP29" s="107">
        <f t="shared" ref="AP29:AP30" si="53">SUM(AD29:AO29,Z29)/13*$AP$2</f>
        <v>18896.200999499986</v>
      </c>
      <c r="AQ29" s="126"/>
      <c r="AR29" s="107">
        <f t="shared" si="40"/>
        <v>36234.368499999997</v>
      </c>
      <c r="AS29" s="107">
        <f>AO29-M29</f>
        <v>837781.512291666</v>
      </c>
      <c r="AT29" s="107">
        <f>AS29-M29</f>
        <v>834761.98158333264</v>
      </c>
      <c r="AU29" s="107">
        <f>AT29-M29</f>
        <v>831742.45087499928</v>
      </c>
      <c r="AV29" s="107">
        <f>AU29-M29</f>
        <v>828722.92016666592</v>
      </c>
      <c r="AW29" s="107">
        <f>AV29-M29</f>
        <v>825703.38945833256</v>
      </c>
      <c r="AX29" s="107">
        <f>AW29-M29</f>
        <v>822683.8587499992</v>
      </c>
      <c r="AY29" s="107">
        <f>AX29-M29</f>
        <v>819664.32804166584</v>
      </c>
      <c r="AZ29" s="107">
        <f>AY29-M29</f>
        <v>816644.79733333248</v>
      </c>
      <c r="BA29" s="107">
        <f>AZ29-M29</f>
        <v>813625.26662499912</v>
      </c>
      <c r="BB29" s="107">
        <f>BA29-M29</f>
        <v>810605.73591666576</v>
      </c>
      <c r="BC29" s="107">
        <f>BB29-M29</f>
        <v>807586.20520833239</v>
      </c>
      <c r="BD29" s="107">
        <f>BC29-M29</f>
        <v>804566.67449999903</v>
      </c>
      <c r="BE29" s="107">
        <f>SUM(AS29:BD29,AO29)/13*$BE$2</f>
        <v>18099.044892499984</v>
      </c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</row>
    <row r="30" spans="1:75" hidden="1" x14ac:dyDescent="0.2">
      <c r="A30" s="123" t="str">
        <f>'[2]2021 УГРЦТ'!A32</f>
        <v>Градирня (бассейн)</v>
      </c>
      <c r="B30" s="124" t="str">
        <f>'[2]2021 УГРЦТ'!B32</f>
        <v>00000280</v>
      </c>
      <c r="C30" s="124" t="str">
        <f>VLOOKUP(A:A,'2023-2027'!A:L,1,+FALSE)</f>
        <v>Градирня (бассейн)</v>
      </c>
      <c r="D30" s="124" t="str">
        <f>'[2]2021 УГРЦТ'!C32</f>
        <v>ПРОИЗВОДСТВО</v>
      </c>
      <c r="E30" s="124" t="str">
        <f>'[2]2021 УГРЦТ'!D32</f>
        <v>Сооружения</v>
      </c>
      <c r="F30" s="124" t="str">
        <f>'[2]2021 УГРЦТ'!E32</f>
        <v>30.01.1974</v>
      </c>
      <c r="G30" s="124" t="str">
        <f>'[2]2021 УГРЦТ'!F32</f>
        <v>Тепломеханический цех</v>
      </c>
      <c r="H30" s="124">
        <f>'[2]2021 УГРЦТ'!AC32</f>
        <v>600</v>
      </c>
      <c r="I30" s="107">
        <f>'[2]2021 УГРЦТ'!X32</f>
        <v>191276.19</v>
      </c>
      <c r="J30" s="107">
        <f>'[2]2021 УГРЦТ'!Y32</f>
        <v>159145.69999999998</v>
      </c>
      <c r="K30" s="107">
        <f>'[2]2021 УГРЦТ'!Z32</f>
        <v>32130.49000000002</v>
      </c>
      <c r="L30" s="125" t="e">
        <f>SUMIF([2]облаг!$B$2:$B$259,B30,[2]облаг!$D$2:$D$259)</f>
        <v>#VALUE!</v>
      </c>
      <c r="M30" s="107">
        <f t="shared" si="13"/>
        <v>318.79365000000001</v>
      </c>
      <c r="N30" s="107">
        <f t="shared" si="14"/>
        <v>3825.5237999999999</v>
      </c>
      <c r="O30" s="107">
        <f t="shared" si="15"/>
        <v>31811.69635000002</v>
      </c>
      <c r="P30" s="107">
        <f t="shared" si="16"/>
        <v>31492.902700000021</v>
      </c>
      <c r="Q30" s="107">
        <f t="shared" si="17"/>
        <v>31174.109050000021</v>
      </c>
      <c r="R30" s="107">
        <f t="shared" si="18"/>
        <v>30855.315400000021</v>
      </c>
      <c r="S30" s="107">
        <f t="shared" si="19"/>
        <v>30536.521750000022</v>
      </c>
      <c r="T30" s="107">
        <f t="shared" si="20"/>
        <v>30217.728100000022</v>
      </c>
      <c r="U30" s="107">
        <f t="shared" si="21"/>
        <v>29898.934450000022</v>
      </c>
      <c r="V30" s="107">
        <f t="shared" si="22"/>
        <v>29580.140800000023</v>
      </c>
      <c r="W30" s="107">
        <f t="shared" si="23"/>
        <v>29261.347150000023</v>
      </c>
      <c r="X30" s="107">
        <f t="shared" si="24"/>
        <v>28942.553500000024</v>
      </c>
      <c r="Y30" s="107">
        <f t="shared" si="25"/>
        <v>28623.759850000024</v>
      </c>
      <c r="Z30" s="107">
        <f t="shared" si="26"/>
        <v>28304.966200000024</v>
      </c>
      <c r="AA30" s="107">
        <f>SUM(O30:Z30,K30)/13*$AA$2</f>
        <v>664.79001820000065</v>
      </c>
      <c r="AB30" s="107"/>
      <c r="AC30" s="107">
        <f t="shared" si="27"/>
        <v>3825.5237999999999</v>
      </c>
      <c r="AD30" s="107">
        <f t="shared" si="28"/>
        <v>27986.172550000025</v>
      </c>
      <c r="AE30" s="107">
        <f t="shared" si="29"/>
        <v>27667.378900000025</v>
      </c>
      <c r="AF30" s="107">
        <f t="shared" si="30"/>
        <v>27348.585250000026</v>
      </c>
      <c r="AG30" s="107">
        <f t="shared" si="31"/>
        <v>27029.791600000026</v>
      </c>
      <c r="AH30" s="107">
        <f t="shared" si="32"/>
        <v>26710.997950000026</v>
      </c>
      <c r="AI30" s="107">
        <f t="shared" si="33"/>
        <v>26392.204300000027</v>
      </c>
      <c r="AJ30" s="107">
        <f t="shared" si="34"/>
        <v>26073.410650000027</v>
      </c>
      <c r="AK30" s="107">
        <f t="shared" si="35"/>
        <v>25754.617000000027</v>
      </c>
      <c r="AL30" s="107">
        <f t="shared" si="36"/>
        <v>25435.823350000028</v>
      </c>
      <c r="AM30" s="107">
        <f t="shared" si="37"/>
        <v>25117.029700000028</v>
      </c>
      <c r="AN30" s="107">
        <f t="shared" si="38"/>
        <v>24798.236050000029</v>
      </c>
      <c r="AO30" s="107">
        <f t="shared" si="39"/>
        <v>24479.442400000029</v>
      </c>
      <c r="AP30" s="107">
        <f t="shared" si="53"/>
        <v>580.62849460000052</v>
      </c>
      <c r="AQ30" s="126"/>
      <c r="AR30" s="107">
        <f t="shared" si="40"/>
        <v>3825.5237999999999</v>
      </c>
      <c r="AS30" s="107">
        <f>AO30-M30</f>
        <v>24160.648750000029</v>
      </c>
      <c r="AT30" s="107">
        <f>AS30-M30</f>
        <v>23841.85510000003</v>
      </c>
      <c r="AU30" s="107">
        <f>AT30-M30</f>
        <v>23523.06145000003</v>
      </c>
      <c r="AV30" s="107">
        <f>AU30-M30</f>
        <v>23204.267800000031</v>
      </c>
      <c r="AW30" s="107">
        <f>AV30-M30</f>
        <v>22885.474150000031</v>
      </c>
      <c r="AX30" s="107">
        <f>AW30-M30</f>
        <v>22566.680500000031</v>
      </c>
      <c r="AY30" s="107">
        <f>AX30-M30</f>
        <v>22247.886850000032</v>
      </c>
      <c r="AZ30" s="107">
        <f>AY30-M30</f>
        <v>21929.093200000032</v>
      </c>
      <c r="BA30" s="107">
        <f>AZ30-M30</f>
        <v>21610.299550000032</v>
      </c>
      <c r="BB30" s="107">
        <f>BA30-M30</f>
        <v>21291.505900000033</v>
      </c>
      <c r="BC30" s="107">
        <f>BB30-M30</f>
        <v>20972.712250000033</v>
      </c>
      <c r="BD30" s="107">
        <f>BC30-M30</f>
        <v>20653.918600000034</v>
      </c>
      <c r="BE30" s="107">
        <f>SUM(AS30:BD30,AO30)/13*$BE$2</f>
        <v>496.46697100000074</v>
      </c>
      <c r="BG30" s="127"/>
      <c r="BV30" s="127"/>
    </row>
    <row r="31" spans="1:75" ht="22.5" hidden="1" x14ac:dyDescent="0.2">
      <c r="A31" s="123" t="str">
        <f>'[2]2021 УГРЦТ'!A33</f>
        <v>ГТА-6 РМ №1 (газотурбинная энергетич установка)</v>
      </c>
      <c r="B31" s="124" t="str">
        <f>'[2]2021 УГРЦТ'!B33</f>
        <v>00000505</v>
      </c>
      <c r="C31" s="124" t="str">
        <f>VLOOKUP(A:A,'2023-2027'!A:L,1,+FALSE)</f>
        <v>ГТА-6 РМ №1 (газотурбинная энергетич установка)</v>
      </c>
      <c r="D31" s="124" t="str">
        <f>'[2]2021 УГРЦТ'!C33</f>
        <v>ПРОИЗВОДСТВО</v>
      </c>
      <c r="E31" s="124" t="str">
        <f>'[2]2021 УГРЦТ'!D33</f>
        <v>Машины и оборудование (кроме офисного)</v>
      </c>
      <c r="F31" s="124" t="str">
        <f>'[2]2021 УГРЦТ'!E33</f>
        <v>30.09.2005</v>
      </c>
      <c r="G31" s="124" t="str">
        <f>'[2]2021 УГРЦТ'!F33</f>
        <v>Газотурбинный цех</v>
      </c>
      <c r="H31" s="124">
        <f>'[2]2021 УГРЦТ'!AC33</f>
        <v>132</v>
      </c>
      <c r="I31" s="107">
        <f>'[2]2021 УГРЦТ'!X33</f>
        <v>30784100.07</v>
      </c>
      <c r="J31" s="107">
        <f>'[2]2021 УГРЦТ'!Y33</f>
        <v>27031031.52</v>
      </c>
      <c r="K31" s="107">
        <f>'[2]2021 УГРЦТ'!Z33</f>
        <v>3753068.5500000007</v>
      </c>
      <c r="L31" s="125" t="e">
        <f>SUMIF([2]облаг!$B$2:$B$259,B31,[2]облаг!$D$2:$D$259)</f>
        <v>#VALUE!</v>
      </c>
      <c r="M31" s="107">
        <f t="shared" si="13"/>
        <v>233212.87931818183</v>
      </c>
      <c r="N31" s="107">
        <f t="shared" si="14"/>
        <v>2798554.5518181818</v>
      </c>
      <c r="O31" s="107">
        <f t="shared" si="15"/>
        <v>3519855.6706818189</v>
      </c>
      <c r="P31" s="107">
        <f t="shared" si="16"/>
        <v>3286642.791363637</v>
      </c>
      <c r="Q31" s="107">
        <f t="shared" si="17"/>
        <v>3053429.9120454551</v>
      </c>
      <c r="R31" s="107">
        <f t="shared" si="18"/>
        <v>2820217.0327272732</v>
      </c>
      <c r="S31" s="107">
        <f t="shared" si="19"/>
        <v>2587004.1534090913</v>
      </c>
      <c r="T31" s="107">
        <f t="shared" si="20"/>
        <v>2353791.2740909094</v>
      </c>
      <c r="U31" s="107">
        <f t="shared" si="21"/>
        <v>2120578.3947727275</v>
      </c>
      <c r="V31" s="107">
        <f t="shared" si="22"/>
        <v>1887365.5154545456</v>
      </c>
      <c r="W31" s="107">
        <f t="shared" si="23"/>
        <v>1654152.6361363637</v>
      </c>
      <c r="X31" s="107">
        <f t="shared" si="24"/>
        <v>1420939.7568181818</v>
      </c>
      <c r="Y31" s="107">
        <f t="shared" si="25"/>
        <v>1187726.8774999999</v>
      </c>
      <c r="Z31" s="107">
        <f t="shared" si="26"/>
        <v>954513.99818181805</v>
      </c>
      <c r="AA31" s="107"/>
      <c r="AB31" s="107"/>
      <c r="AC31" s="107">
        <f>AD31</f>
        <v>721301.11886363616</v>
      </c>
      <c r="AD31" s="107">
        <f t="shared" si="28"/>
        <v>721301.11886363616</v>
      </c>
      <c r="AE31" s="107">
        <f t="shared" si="29"/>
        <v>488088.23954545433</v>
      </c>
      <c r="AF31" s="107">
        <f t="shared" si="30"/>
        <v>254875.3602272725</v>
      </c>
      <c r="AG31" s="107">
        <f t="shared" si="31"/>
        <v>21662.480909090664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/>
      <c r="AQ31" s="126"/>
      <c r="AR31" s="107">
        <v>0</v>
      </c>
      <c r="AS31" s="107">
        <v>0</v>
      </c>
      <c r="AT31" s="107">
        <v>0</v>
      </c>
      <c r="AU31" s="107">
        <v>0</v>
      </c>
      <c r="AV31" s="107">
        <v>0</v>
      </c>
      <c r="AW31" s="107">
        <v>0</v>
      </c>
      <c r="AX31" s="107">
        <v>0</v>
      </c>
      <c r="AY31" s="107">
        <v>0</v>
      </c>
      <c r="AZ31" s="107">
        <v>0</v>
      </c>
      <c r="BA31" s="107">
        <v>0</v>
      </c>
      <c r="BB31" s="107">
        <v>0</v>
      </c>
      <c r="BC31" s="107">
        <v>0</v>
      </c>
      <c r="BD31" s="107">
        <v>0</v>
      </c>
      <c r="BE31" s="10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</row>
    <row r="32" spans="1:75" hidden="1" x14ac:dyDescent="0.2">
      <c r="A32" s="123" t="str">
        <f>'[2]2021 УГРЦТ'!A34</f>
        <v>ГТА-6РМ №2</v>
      </c>
      <c r="B32" s="124" t="str">
        <f>'[2]2021 УГРЦТ'!B34</f>
        <v>00000534</v>
      </c>
      <c r="C32" s="124" t="str">
        <f>VLOOKUP(A:A,'2023-2027'!A:L,1,+FALSE)</f>
        <v>ГТА-6РМ №2</v>
      </c>
      <c r="D32" s="124" t="str">
        <f>'[2]2021 УГРЦТ'!C34</f>
        <v>ПРОИЗВОДСТВО</v>
      </c>
      <c r="E32" s="124" t="str">
        <f>'[2]2021 УГРЦТ'!D34</f>
        <v>Машины и оборудование (кроме офисного)</v>
      </c>
      <c r="F32" s="124" t="str">
        <f>'[2]2021 УГРЦТ'!E34</f>
        <v>30.09.2005</v>
      </c>
      <c r="G32" s="124" t="str">
        <f>'[2]2021 УГРЦТ'!F34</f>
        <v>Газотурбинный цех</v>
      </c>
      <c r="H32" s="124">
        <f>'[2]2021 УГРЦТ'!AC34</f>
        <v>132</v>
      </c>
      <c r="I32" s="107">
        <f>'[2]2021 УГРЦТ'!X34</f>
        <v>30784121.07</v>
      </c>
      <c r="J32" s="107">
        <f>'[2]2021 УГРЦТ'!Y34</f>
        <v>27031043.629999999</v>
      </c>
      <c r="K32" s="107">
        <f>'[2]2021 УГРЦТ'!Z34</f>
        <v>3753077.4400000013</v>
      </c>
      <c r="L32" s="125" t="e">
        <f>SUMIF([2]облаг!$B$2:$B$259,B32,[2]облаг!$D$2:$D$259)</f>
        <v>#VALUE!</v>
      </c>
      <c r="M32" s="107">
        <f t="shared" si="13"/>
        <v>233213.03840909092</v>
      </c>
      <c r="N32" s="107">
        <f t="shared" si="14"/>
        <v>2798556.4609090909</v>
      </c>
      <c r="O32" s="107">
        <f t="shared" si="15"/>
        <v>3519864.4015909103</v>
      </c>
      <c r="P32" s="107">
        <f t="shared" si="16"/>
        <v>3286651.3631818192</v>
      </c>
      <c r="Q32" s="107">
        <f t="shared" si="17"/>
        <v>3053438.3247727281</v>
      </c>
      <c r="R32" s="107">
        <f t="shared" si="18"/>
        <v>2820225.2863636371</v>
      </c>
      <c r="S32" s="107">
        <f t="shared" si="19"/>
        <v>2587012.247954546</v>
      </c>
      <c r="T32" s="107">
        <f t="shared" si="20"/>
        <v>2353799.2095454549</v>
      </c>
      <c r="U32" s="107">
        <f t="shared" si="21"/>
        <v>2120586.1711363639</v>
      </c>
      <c r="V32" s="107">
        <f t="shared" si="22"/>
        <v>1887373.132727273</v>
      </c>
      <c r="W32" s="107">
        <f t="shared" si="23"/>
        <v>1654160.0943181822</v>
      </c>
      <c r="X32" s="107">
        <f t="shared" si="24"/>
        <v>1420947.0559090914</v>
      </c>
      <c r="Y32" s="107">
        <f t="shared" si="25"/>
        <v>1187734.0175000005</v>
      </c>
      <c r="Z32" s="107">
        <f t="shared" si="26"/>
        <v>954520.97909090959</v>
      </c>
      <c r="AA32" s="107"/>
      <c r="AB32" s="107"/>
      <c r="AC32" s="107">
        <f>AD32</f>
        <v>721307.94068181864</v>
      </c>
      <c r="AD32" s="107">
        <f t="shared" si="28"/>
        <v>721307.94068181864</v>
      </c>
      <c r="AE32" s="107">
        <f t="shared" si="29"/>
        <v>488094.90227272769</v>
      </c>
      <c r="AF32" s="107">
        <f t="shared" si="30"/>
        <v>254881.86386363677</v>
      </c>
      <c r="AG32" s="107">
        <f t="shared" si="31"/>
        <v>21668.825454545848</v>
      </c>
      <c r="AH32" s="107">
        <v>0</v>
      </c>
      <c r="AI32" s="107">
        <v>0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/>
      <c r="AQ32" s="126"/>
      <c r="AR32" s="107">
        <v>0</v>
      </c>
      <c r="AS32" s="107">
        <v>0</v>
      </c>
      <c r="AT32" s="107">
        <v>0</v>
      </c>
      <c r="AU32" s="107">
        <v>0</v>
      </c>
      <c r="AV32" s="107">
        <v>0</v>
      </c>
      <c r="AW32" s="107">
        <v>0</v>
      </c>
      <c r="AX32" s="107">
        <v>0</v>
      </c>
      <c r="AY32" s="107">
        <v>0</v>
      </c>
      <c r="AZ32" s="107">
        <v>0</v>
      </c>
      <c r="BA32" s="107">
        <v>0</v>
      </c>
      <c r="BB32" s="107">
        <v>0</v>
      </c>
      <c r="BC32" s="107">
        <v>0</v>
      </c>
      <c r="BD32" s="107">
        <v>0</v>
      </c>
      <c r="BE32" s="10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</row>
    <row r="33" spans="1:75" ht="22.5" hidden="1" x14ac:dyDescent="0.2">
      <c r="A33" s="123" t="str">
        <f>'[2]2021 УГРЦТ'!A35</f>
        <v>Двигатель газотурбинный резервный ГТД-6/РМ (2007г)</v>
      </c>
      <c r="B33" s="124" t="str">
        <f>'[2]2021 УГРЦТ'!B35</f>
        <v>00001025</v>
      </c>
      <c r="C33" s="124" t="str">
        <f>VLOOKUP(A:A,'2023-2027'!A:L,1,+FALSE)</f>
        <v>Двигатель газотурбинный резервный ГТД-6/РМ (2007г)</v>
      </c>
      <c r="D33" s="124" t="str">
        <f>'[2]2021 УГРЦТ'!C35</f>
        <v>ПРОИЗВОДСТВО</v>
      </c>
      <c r="E33" s="124" t="str">
        <f>'[2]2021 УГРЦТ'!D35</f>
        <v>Машины и оборудование (кроме офисного)</v>
      </c>
      <c r="F33" s="124" t="str">
        <f>'[2]2021 УГРЦТ'!E35</f>
        <v>28.02.2007</v>
      </c>
      <c r="G33" s="124" t="str">
        <f>'[2]2021 УГРЦТ'!F35</f>
        <v>Газотурбинный цех</v>
      </c>
      <c r="H33" s="124">
        <f>'[2]2021 УГРЦТ'!AC35</f>
        <v>190</v>
      </c>
      <c r="I33" s="107">
        <f>'[2]2021 УГРЦТ'!X35</f>
        <v>26107350.57</v>
      </c>
      <c r="J33" s="107">
        <f>'[2]2021 УГРЦТ'!Y35</f>
        <v>23296462.640000001</v>
      </c>
      <c r="K33" s="107">
        <f>'[2]2021 УГРЦТ'!Z35</f>
        <v>2810887.9299999997</v>
      </c>
      <c r="L33" s="125" t="e">
        <f>SUMIF([2]облаг!$B$2:$B$259,B33,[2]облаг!$D$2:$D$259)</f>
        <v>#VALUE!</v>
      </c>
      <c r="M33" s="107">
        <v>128915.41999999998</v>
      </c>
      <c r="N33" s="107">
        <f t="shared" si="14"/>
        <v>1546985.0399999998</v>
      </c>
      <c r="O33" s="107">
        <f t="shared" si="15"/>
        <v>2681972.5099999998</v>
      </c>
      <c r="P33" s="107">
        <f t="shared" si="16"/>
        <v>2553057.09</v>
      </c>
      <c r="Q33" s="107">
        <f t="shared" si="17"/>
        <v>2424141.67</v>
      </c>
      <c r="R33" s="107">
        <f t="shared" si="18"/>
        <v>2295226.25</v>
      </c>
      <c r="S33" s="107">
        <f t="shared" si="19"/>
        <v>2166310.83</v>
      </c>
      <c r="T33" s="107">
        <f t="shared" si="20"/>
        <v>2037395.4100000001</v>
      </c>
      <c r="U33" s="107">
        <f t="shared" si="21"/>
        <v>1908479.9900000002</v>
      </c>
      <c r="V33" s="107">
        <f t="shared" si="22"/>
        <v>1779564.5700000003</v>
      </c>
      <c r="W33" s="107">
        <f t="shared" si="23"/>
        <v>1650649.1500000004</v>
      </c>
      <c r="X33" s="107">
        <f t="shared" si="24"/>
        <v>1521733.7300000004</v>
      </c>
      <c r="Y33" s="107">
        <f t="shared" si="25"/>
        <v>1392818.3100000005</v>
      </c>
      <c r="Z33" s="107">
        <f t="shared" si="26"/>
        <v>1263902.8900000006</v>
      </c>
      <c r="AA33" s="107"/>
      <c r="AB33" s="107"/>
      <c r="AC33" s="107">
        <f>AD33</f>
        <v>1134987.4700000007</v>
      </c>
      <c r="AD33" s="107">
        <f t="shared" si="28"/>
        <v>1134987.4700000007</v>
      </c>
      <c r="AE33" s="107">
        <f t="shared" si="29"/>
        <v>1006072.0500000007</v>
      </c>
      <c r="AF33" s="107">
        <f t="shared" si="30"/>
        <v>877156.63000000082</v>
      </c>
      <c r="AG33" s="107">
        <f t="shared" si="31"/>
        <v>748241.21000000089</v>
      </c>
      <c r="AH33" s="107">
        <f t="shared" si="32"/>
        <v>619325.79000000097</v>
      </c>
      <c r="AI33" s="107">
        <f t="shared" si="33"/>
        <v>490410.37000000098</v>
      </c>
      <c r="AJ33" s="107">
        <f t="shared" si="34"/>
        <v>361494.950000001</v>
      </c>
      <c r="AK33" s="107">
        <f t="shared" si="35"/>
        <v>232579.53000000102</v>
      </c>
      <c r="AL33" s="107">
        <v>0</v>
      </c>
      <c r="AM33" s="107">
        <v>0</v>
      </c>
      <c r="AN33" s="107">
        <v>0</v>
      </c>
      <c r="AO33" s="107">
        <v>0</v>
      </c>
      <c r="AP33" s="107"/>
      <c r="AQ33" s="126"/>
      <c r="AR33" s="107">
        <v>0</v>
      </c>
      <c r="AS33" s="107">
        <v>0</v>
      </c>
      <c r="AT33" s="107">
        <v>0</v>
      </c>
      <c r="AU33" s="107">
        <v>0</v>
      </c>
      <c r="AV33" s="107">
        <v>0</v>
      </c>
      <c r="AW33" s="107">
        <v>0</v>
      </c>
      <c r="AX33" s="107">
        <v>0</v>
      </c>
      <c r="AY33" s="107">
        <v>0</v>
      </c>
      <c r="AZ33" s="107">
        <v>0</v>
      </c>
      <c r="BA33" s="107">
        <v>0</v>
      </c>
      <c r="BB33" s="107">
        <v>0</v>
      </c>
      <c r="BC33" s="107">
        <v>0</v>
      </c>
      <c r="BD33" s="107">
        <v>0</v>
      </c>
      <c r="BE33" s="124"/>
      <c r="BF33" s="115">
        <v>41274</v>
      </c>
    </row>
    <row r="34" spans="1:75" hidden="1" x14ac:dyDescent="0.2">
      <c r="A34" s="123" t="str">
        <f>'[2]2021 УГРЦТ'!A36</f>
        <v>Двигатель ГТД-6РМ № В6-17</v>
      </c>
      <c r="B34" s="124" t="str">
        <f>'[2]2021 УГРЦТ'!B36</f>
        <v>00000928</v>
      </c>
      <c r="C34" s="124" t="str">
        <f>VLOOKUP(A:A,'2023-2027'!A:L,1,+FALSE)</f>
        <v>Двигатель ГТД-6РМ № В6-17</v>
      </c>
      <c r="D34" s="124" t="str">
        <f>'[2]2021 УГРЦТ'!C36</f>
        <v>ПРОИЗВОДСТВО</v>
      </c>
      <c r="E34" s="124" t="str">
        <f>'[2]2021 УГРЦТ'!D36</f>
        <v>Машины и оборудование (кроме офисного)</v>
      </c>
      <c r="F34" s="124" t="str">
        <f>'[2]2021 УГРЦТ'!E36</f>
        <v>30.09.2005</v>
      </c>
      <c r="G34" s="124" t="str">
        <f>'[2]2021 УГРЦТ'!F36</f>
        <v>Газотурбинный цех</v>
      </c>
      <c r="H34" s="124">
        <f>'[2]2021 УГРЦТ'!AC36</f>
        <v>180</v>
      </c>
      <c r="I34" s="107">
        <f>'[2]2021 УГРЦТ'!X36</f>
        <v>32415718.690000001</v>
      </c>
      <c r="J34" s="107">
        <f>'[2]2021 УГРЦТ'!Y36</f>
        <v>28188953.699999999</v>
      </c>
      <c r="K34" s="107">
        <f>'[2]2021 УГРЦТ'!Z36</f>
        <v>4226764.9900000021</v>
      </c>
      <c r="L34" s="125" t="e">
        <f>SUMIF([2]облаг!$B$2:$B$259,B34,[2]облаг!$D$2:$D$259)</f>
        <v>#VALUE!</v>
      </c>
      <c r="M34" s="107">
        <v>234820.25</v>
      </c>
      <c r="N34" s="107">
        <f t="shared" si="14"/>
        <v>2817843</v>
      </c>
      <c r="O34" s="107">
        <f t="shared" si="15"/>
        <v>3991944.7400000021</v>
      </c>
      <c r="P34" s="107">
        <f t="shared" si="16"/>
        <v>3757124.4900000021</v>
      </c>
      <c r="Q34" s="107">
        <f t="shared" si="17"/>
        <v>3522304.2400000021</v>
      </c>
      <c r="R34" s="107">
        <f t="shared" si="18"/>
        <v>3287483.9900000021</v>
      </c>
      <c r="S34" s="107">
        <f t="shared" si="19"/>
        <v>3052663.7400000021</v>
      </c>
      <c r="T34" s="107">
        <f t="shared" si="20"/>
        <v>2817843.4900000021</v>
      </c>
      <c r="U34" s="107">
        <f t="shared" si="21"/>
        <v>2583023.2400000021</v>
      </c>
      <c r="V34" s="107">
        <f t="shared" si="22"/>
        <v>2348202.9900000021</v>
      </c>
      <c r="W34" s="107">
        <f t="shared" si="23"/>
        <v>2113382.7400000021</v>
      </c>
      <c r="X34" s="107">
        <f t="shared" si="24"/>
        <v>1878562.4900000021</v>
      </c>
      <c r="Y34" s="107">
        <f t="shared" si="25"/>
        <v>1643742.2400000021</v>
      </c>
      <c r="Z34" s="107">
        <f t="shared" si="26"/>
        <v>1408921.9900000021</v>
      </c>
      <c r="AA34" s="107"/>
      <c r="AB34" s="107"/>
      <c r="AC34" s="107">
        <f>AD34</f>
        <v>1174101.7400000021</v>
      </c>
      <c r="AD34" s="107">
        <f t="shared" si="28"/>
        <v>1174101.7400000021</v>
      </c>
      <c r="AE34" s="107">
        <f t="shared" si="29"/>
        <v>939281.49000000209</v>
      </c>
      <c r="AF34" s="107">
        <f t="shared" si="30"/>
        <v>704461.24000000209</v>
      </c>
      <c r="AG34" s="107">
        <f t="shared" si="31"/>
        <v>469640.99000000209</v>
      </c>
      <c r="AH34" s="107">
        <f t="shared" si="32"/>
        <v>234820.74000000209</v>
      </c>
      <c r="AI34" s="107">
        <f t="shared" si="33"/>
        <v>0.49000000208616257</v>
      </c>
      <c r="AJ34" s="107">
        <f t="shared" si="34"/>
        <v>-234819.75999999791</v>
      </c>
      <c r="AK34" s="107">
        <f t="shared" si="35"/>
        <v>-469640.00999999791</v>
      </c>
      <c r="AL34" s="107">
        <f t="shared" si="36"/>
        <v>-704460.25999999791</v>
      </c>
      <c r="AM34" s="107">
        <f t="shared" si="37"/>
        <v>-939280.50999999791</v>
      </c>
      <c r="AN34" s="107">
        <f t="shared" si="38"/>
        <v>-1174100.7599999979</v>
      </c>
      <c r="AO34" s="107">
        <v>0</v>
      </c>
      <c r="AP34" s="107"/>
      <c r="AQ34" s="126"/>
      <c r="AR34" s="107">
        <v>0</v>
      </c>
      <c r="AS34" s="107">
        <v>0</v>
      </c>
      <c r="AT34" s="107">
        <v>0</v>
      </c>
      <c r="AU34" s="107">
        <v>0</v>
      </c>
      <c r="AV34" s="107">
        <v>0</v>
      </c>
      <c r="AW34" s="107">
        <v>0</v>
      </c>
      <c r="AX34" s="107">
        <v>0</v>
      </c>
      <c r="AY34" s="107">
        <v>0</v>
      </c>
      <c r="AZ34" s="107">
        <v>0</v>
      </c>
      <c r="BA34" s="107">
        <v>0</v>
      </c>
      <c r="BB34" s="107">
        <v>0</v>
      </c>
      <c r="BC34" s="107">
        <v>0</v>
      </c>
      <c r="BD34" s="107">
        <v>0</v>
      </c>
      <c r="BE34" s="124"/>
      <c r="BF34" s="115">
        <v>40451</v>
      </c>
    </row>
    <row r="35" spans="1:75" hidden="1" x14ac:dyDescent="0.2">
      <c r="A35" s="123" t="str">
        <f>'[2]2021 УГРЦТ'!A37</f>
        <v>Двигатель ГТД-6РМ №В6-11</v>
      </c>
      <c r="B35" s="124" t="str">
        <f>'[2]2021 УГРЦТ'!B37</f>
        <v>00000929</v>
      </c>
      <c r="C35" s="124" t="str">
        <f>VLOOKUP(A:A,'2023-2027'!A:L,1,+FALSE)</f>
        <v>Двигатель ГТД-6РМ №В6-11</v>
      </c>
      <c r="D35" s="124" t="str">
        <f>'[2]2021 УГРЦТ'!C37</f>
        <v>ПРОИЗВОДСТВО</v>
      </c>
      <c r="E35" s="124" t="str">
        <f>'[2]2021 УГРЦТ'!D37</f>
        <v>Машины и оборудование (кроме офисного)</v>
      </c>
      <c r="F35" s="124" t="str">
        <f>'[2]2021 УГРЦТ'!E37</f>
        <v>30.09.2005</v>
      </c>
      <c r="G35" s="124" t="str">
        <f>'[2]2021 УГРЦТ'!F37</f>
        <v>Газотурбинный цех</v>
      </c>
      <c r="H35" s="124">
        <f>'[2]2021 УГРЦТ'!AC37</f>
        <v>180</v>
      </c>
      <c r="I35" s="107">
        <f>'[2]2021 УГРЦТ'!X37</f>
        <v>12711864.41</v>
      </c>
      <c r="J35" s="107">
        <f>'[2]2021 УГРЦТ'!Y37</f>
        <v>12146892.827333333</v>
      </c>
      <c r="K35" s="107">
        <f>'[2]2021 УГРЦТ'!Z37</f>
        <v>564971.58266666718</v>
      </c>
      <c r="L35" s="125" t="e">
        <f>SUMIF([2]облаг!$B$2:$B$259,B35,[2]облаг!$D$2:$D$259)</f>
        <v>#VALUE!</v>
      </c>
      <c r="M35" s="107">
        <v>70621.469999999987</v>
      </c>
      <c r="N35" s="107">
        <f>O35</f>
        <v>494350.11266666721</v>
      </c>
      <c r="O35" s="107">
        <f t="shared" si="15"/>
        <v>494350.11266666721</v>
      </c>
      <c r="P35" s="107">
        <f t="shared" si="16"/>
        <v>423728.64266666723</v>
      </c>
      <c r="Q35" s="107">
        <f t="shared" si="17"/>
        <v>353107.17266666726</v>
      </c>
      <c r="R35" s="107">
        <f t="shared" si="18"/>
        <v>282485.70266666729</v>
      </c>
      <c r="S35" s="107">
        <f t="shared" si="19"/>
        <v>211864.23266666732</v>
      </c>
      <c r="T35" s="107">
        <f t="shared" si="20"/>
        <v>141242.76266666735</v>
      </c>
      <c r="U35" s="107">
        <f t="shared" si="21"/>
        <v>70621.292666667359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/>
      <c r="AB35" s="107"/>
      <c r="AC35" s="107">
        <v>0</v>
      </c>
      <c r="AD35" s="107">
        <v>0</v>
      </c>
      <c r="AE35" s="107">
        <v>0</v>
      </c>
      <c r="AF35" s="107">
        <v>0</v>
      </c>
      <c r="AG35" s="107">
        <v>0</v>
      </c>
      <c r="AH35" s="107">
        <v>0</v>
      </c>
      <c r="AI35" s="107">
        <v>0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/>
      <c r="AQ35" s="126"/>
      <c r="AR35" s="107">
        <v>0</v>
      </c>
      <c r="AS35" s="107">
        <v>0</v>
      </c>
      <c r="AT35" s="107">
        <v>0</v>
      </c>
      <c r="AU35" s="107">
        <v>0</v>
      </c>
      <c r="AV35" s="107">
        <v>0</v>
      </c>
      <c r="AW35" s="107">
        <v>0</v>
      </c>
      <c r="AX35" s="107">
        <v>0</v>
      </c>
      <c r="AY35" s="107">
        <v>0</v>
      </c>
      <c r="AZ35" s="107">
        <v>0</v>
      </c>
      <c r="BA35" s="107">
        <v>0</v>
      </c>
      <c r="BB35" s="107">
        <v>0</v>
      </c>
      <c r="BC35" s="107">
        <v>0</v>
      </c>
      <c r="BD35" s="107">
        <v>0</v>
      </c>
      <c r="BE35" s="124"/>
    </row>
    <row r="36" spans="1:75" hidden="1" x14ac:dyDescent="0.2">
      <c r="A36" s="123" t="str">
        <f>'[2]2021 УГРЦТ'!A38</f>
        <v>Двигатель ГТД-6РМ №В6-44</v>
      </c>
      <c r="B36" s="124" t="str">
        <f>'[2]2021 УГРЦТ'!B38</f>
        <v>000001872</v>
      </c>
      <c r="C36" s="124" t="str">
        <f>VLOOKUP(A:A,'2023-2027'!A:L,1,+FALSE)</f>
        <v>Двигатель ГТД-6РМ №В6-44</v>
      </c>
      <c r="D36" s="124" t="str">
        <f>'[2]2021 УГРЦТ'!C38</f>
        <v>ПРОИЗВОДСТВО</v>
      </c>
      <c r="E36" s="124" t="str">
        <f>'[2]2021 УГРЦТ'!D38</f>
        <v>Машины и оборудование (кроме офисного)</v>
      </c>
      <c r="F36" s="134">
        <f>'[2]2021 УГРЦТ'!E38</f>
        <v>44530</v>
      </c>
      <c r="G36" s="124" t="str">
        <f>'[2]2021 УГРЦТ'!F38</f>
        <v>Газотурбинный цех</v>
      </c>
      <c r="H36" s="124">
        <f>'[2]2021 УГРЦТ'!AC38</f>
        <v>100</v>
      </c>
      <c r="I36" s="107">
        <v>5797772.3600000003</v>
      </c>
      <c r="J36" s="107">
        <v>57977.723600000005</v>
      </c>
      <c r="K36" s="107">
        <v>5739794.6364000002</v>
      </c>
      <c r="L36" s="125" t="e">
        <f>SUMIF([2]облаг!$B$2:$B$259,B36,[2]облаг!$D$2:$D$259)</f>
        <v>#VALUE!</v>
      </c>
      <c r="M36" s="107">
        <v>57977.72</v>
      </c>
      <c r="N36" s="107">
        <f t="shared" si="14"/>
        <v>695732.64</v>
      </c>
      <c r="O36" s="107">
        <f t="shared" si="15"/>
        <v>5681816.9164000005</v>
      </c>
      <c r="P36" s="107">
        <f t="shared" si="16"/>
        <v>5623839.1964000007</v>
      </c>
      <c r="Q36" s="107">
        <f t="shared" si="17"/>
        <v>5565861.476400001</v>
      </c>
      <c r="R36" s="107">
        <f t="shared" si="18"/>
        <v>5507883.7564000012</v>
      </c>
      <c r="S36" s="107">
        <f t="shared" si="19"/>
        <v>5449906.0364000015</v>
      </c>
      <c r="T36" s="107">
        <f t="shared" si="20"/>
        <v>5391928.3164000018</v>
      </c>
      <c r="U36" s="107">
        <f t="shared" si="21"/>
        <v>5333950.596400002</v>
      </c>
      <c r="V36" s="107">
        <f t="shared" si="22"/>
        <v>5275972.8764000023</v>
      </c>
      <c r="W36" s="107">
        <f t="shared" si="23"/>
        <v>5217995.1564000025</v>
      </c>
      <c r="X36" s="107">
        <f t="shared" si="24"/>
        <v>5160017.4364000028</v>
      </c>
      <c r="Y36" s="107">
        <f t="shared" si="25"/>
        <v>5102039.7164000031</v>
      </c>
      <c r="Z36" s="107">
        <f t="shared" si="26"/>
        <v>5044061.9964000033</v>
      </c>
      <c r="AA36" s="107"/>
      <c r="AB36" s="107"/>
      <c r="AC36" s="107">
        <f t="shared" si="27"/>
        <v>695732.64</v>
      </c>
      <c r="AD36" s="107">
        <f t="shared" si="28"/>
        <v>4986084.2764000036</v>
      </c>
      <c r="AE36" s="107">
        <f t="shared" si="29"/>
        <v>4928106.5564000038</v>
      </c>
      <c r="AF36" s="107">
        <f t="shared" si="30"/>
        <v>4870128.8364000041</v>
      </c>
      <c r="AG36" s="107">
        <f t="shared" si="31"/>
        <v>4812151.1164000044</v>
      </c>
      <c r="AH36" s="107">
        <f t="shared" si="32"/>
        <v>4754173.3964000046</v>
      </c>
      <c r="AI36" s="107">
        <f t="shared" si="33"/>
        <v>4696195.6764000049</v>
      </c>
      <c r="AJ36" s="107">
        <f t="shared" si="34"/>
        <v>4638217.9564000051</v>
      </c>
      <c r="AK36" s="107">
        <f t="shared" si="35"/>
        <v>4580240.2364000054</v>
      </c>
      <c r="AL36" s="107">
        <f t="shared" si="36"/>
        <v>4522262.5164000057</v>
      </c>
      <c r="AM36" s="107">
        <f t="shared" si="37"/>
        <v>4464284.7964000059</v>
      </c>
      <c r="AN36" s="107">
        <f t="shared" si="38"/>
        <v>4406307.0764000062</v>
      </c>
      <c r="AO36" s="107">
        <f t="shared" si="39"/>
        <v>4348329.3564000065</v>
      </c>
      <c r="AP36" s="107"/>
      <c r="AQ36" s="126"/>
      <c r="AR36" s="107">
        <f t="shared" si="40"/>
        <v>695732.64</v>
      </c>
      <c r="AS36" s="107">
        <f>AO36-M36</f>
        <v>4290351.6364000067</v>
      </c>
      <c r="AT36" s="107">
        <f>AS36-M36</f>
        <v>4232373.916400007</v>
      </c>
      <c r="AU36" s="107">
        <f>AT36-M36</f>
        <v>4174396.1964000068</v>
      </c>
      <c r="AV36" s="107">
        <f>AU36-M36</f>
        <v>4116418.4764000066</v>
      </c>
      <c r="AW36" s="107">
        <f>AV36-M36</f>
        <v>4058440.7564000064</v>
      </c>
      <c r="AX36" s="107">
        <f>AW36-M36</f>
        <v>4000463.0364000062</v>
      </c>
      <c r="AY36" s="107">
        <f>AX36-M36</f>
        <v>3942485.3164000059</v>
      </c>
      <c r="AZ36" s="107">
        <f>AY36-M36</f>
        <v>3884507.5964000057</v>
      </c>
      <c r="BA36" s="107">
        <f>AZ36-M36</f>
        <v>3826529.8764000055</v>
      </c>
      <c r="BB36" s="107">
        <f>BA36-M36</f>
        <v>3768552.1564000053</v>
      </c>
      <c r="BC36" s="107">
        <f>BB36-M36</f>
        <v>3710574.4364000051</v>
      </c>
      <c r="BD36" s="107">
        <f>BC36-M36</f>
        <v>3652596.7164000049</v>
      </c>
      <c r="BE36" s="10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</row>
    <row r="37" spans="1:75" hidden="1" x14ac:dyDescent="0.2">
      <c r="A37" s="123" t="str">
        <f>'[2]2021 УГРЦТ'!A39</f>
        <v>Двигатель ГТД-6РМ №В6-45</v>
      </c>
      <c r="B37" s="124" t="str">
        <f>'[2]2021 УГРЦТ'!B39</f>
        <v>000001871</v>
      </c>
      <c r="C37" s="124" t="str">
        <f>VLOOKUP(A:A,'2023-2027'!A:L,1,+FALSE)</f>
        <v>Двигатель ГТД-6РМ №В6-45</v>
      </c>
      <c r="D37" s="124" t="str">
        <f>'[2]2021 УГРЦТ'!C39</f>
        <v>ПРОИЗВОДСТВО</v>
      </c>
      <c r="E37" s="124" t="str">
        <f>'[2]2021 УГРЦТ'!D39</f>
        <v>Машины и оборудование (кроме офисного)</v>
      </c>
      <c r="F37" s="134">
        <f>'[2]2021 УГРЦТ'!E39</f>
        <v>44530</v>
      </c>
      <c r="G37" s="124" t="str">
        <f>'[2]2021 УГРЦТ'!F39</f>
        <v>Газотурбинный цех</v>
      </c>
      <c r="H37" s="124">
        <f>'[2]2021 УГРЦТ'!AC39</f>
        <v>100</v>
      </c>
      <c r="I37" s="107">
        <v>5797772.3600000003</v>
      </c>
      <c r="J37" s="107">
        <v>57977.723600000005</v>
      </c>
      <c r="K37" s="107">
        <v>5739794.6364000002</v>
      </c>
      <c r="L37" s="125" t="e">
        <f>SUMIF([2]облаг!$B$2:$B$259,B37,[2]облаг!$D$2:$D$259)</f>
        <v>#VALUE!</v>
      </c>
      <c r="M37" s="107">
        <v>57977.72</v>
      </c>
      <c r="N37" s="107">
        <f t="shared" si="14"/>
        <v>695732.64</v>
      </c>
      <c r="O37" s="107">
        <f t="shared" si="15"/>
        <v>5681816.9164000005</v>
      </c>
      <c r="P37" s="107">
        <f t="shared" si="16"/>
        <v>5623839.1964000007</v>
      </c>
      <c r="Q37" s="107">
        <f t="shared" si="17"/>
        <v>5565861.476400001</v>
      </c>
      <c r="R37" s="107">
        <f t="shared" si="18"/>
        <v>5507883.7564000012</v>
      </c>
      <c r="S37" s="107">
        <f t="shared" si="19"/>
        <v>5449906.0364000015</v>
      </c>
      <c r="T37" s="107">
        <f t="shared" si="20"/>
        <v>5391928.3164000018</v>
      </c>
      <c r="U37" s="107">
        <f t="shared" si="21"/>
        <v>5333950.596400002</v>
      </c>
      <c r="V37" s="107">
        <f t="shared" si="22"/>
        <v>5275972.8764000023</v>
      </c>
      <c r="W37" s="107">
        <f t="shared" si="23"/>
        <v>5217995.1564000025</v>
      </c>
      <c r="X37" s="107">
        <f t="shared" si="24"/>
        <v>5160017.4364000028</v>
      </c>
      <c r="Y37" s="107">
        <f t="shared" si="25"/>
        <v>5102039.7164000031</v>
      </c>
      <c r="Z37" s="107">
        <f t="shared" si="26"/>
        <v>5044061.9964000033</v>
      </c>
      <c r="AA37" s="107"/>
      <c r="AB37" s="107"/>
      <c r="AC37" s="107">
        <f t="shared" si="27"/>
        <v>695732.64</v>
      </c>
      <c r="AD37" s="107">
        <f t="shared" si="28"/>
        <v>4986084.2764000036</v>
      </c>
      <c r="AE37" s="107">
        <f t="shared" si="29"/>
        <v>4928106.5564000038</v>
      </c>
      <c r="AF37" s="107">
        <f t="shared" si="30"/>
        <v>4870128.8364000041</v>
      </c>
      <c r="AG37" s="107">
        <f t="shared" si="31"/>
        <v>4812151.1164000044</v>
      </c>
      <c r="AH37" s="107">
        <f t="shared" si="32"/>
        <v>4754173.3964000046</v>
      </c>
      <c r="AI37" s="107">
        <f t="shared" si="33"/>
        <v>4696195.6764000049</v>
      </c>
      <c r="AJ37" s="107">
        <f t="shared" si="34"/>
        <v>4638217.9564000051</v>
      </c>
      <c r="AK37" s="107">
        <f t="shared" si="35"/>
        <v>4580240.2364000054</v>
      </c>
      <c r="AL37" s="107">
        <f t="shared" si="36"/>
        <v>4522262.5164000057</v>
      </c>
      <c r="AM37" s="107">
        <f t="shared" si="37"/>
        <v>4464284.7964000059</v>
      </c>
      <c r="AN37" s="107">
        <f t="shared" si="38"/>
        <v>4406307.0764000062</v>
      </c>
      <c r="AO37" s="107">
        <f t="shared" si="39"/>
        <v>4348329.3564000065</v>
      </c>
      <c r="AP37" s="107"/>
      <c r="AQ37" s="126"/>
      <c r="AR37" s="107">
        <f t="shared" si="40"/>
        <v>695732.64</v>
      </c>
      <c r="AS37" s="107">
        <f>AO37-M37</f>
        <v>4290351.6364000067</v>
      </c>
      <c r="AT37" s="107">
        <f>AS37-M37</f>
        <v>4232373.916400007</v>
      </c>
      <c r="AU37" s="107">
        <f>AT37-M37</f>
        <v>4174396.1964000068</v>
      </c>
      <c r="AV37" s="107">
        <f>AU37-M37</f>
        <v>4116418.4764000066</v>
      </c>
      <c r="AW37" s="107">
        <f>AV37-M37</f>
        <v>4058440.7564000064</v>
      </c>
      <c r="AX37" s="107">
        <f>AW37-M37</f>
        <v>4000463.0364000062</v>
      </c>
      <c r="AY37" s="107">
        <f>AX37-M37</f>
        <v>3942485.3164000059</v>
      </c>
      <c r="AZ37" s="107">
        <f>AY37-M37</f>
        <v>3884507.5964000057</v>
      </c>
      <c r="BA37" s="107">
        <f>AZ37-M37</f>
        <v>3826529.8764000055</v>
      </c>
      <c r="BB37" s="107">
        <f>BA37-M37</f>
        <v>3768552.1564000053</v>
      </c>
      <c r="BC37" s="107">
        <f>BB37-M37</f>
        <v>3710574.4364000051</v>
      </c>
      <c r="BD37" s="107">
        <f>BC37-M37</f>
        <v>3652596.7164000049</v>
      </c>
      <c r="BE37" s="10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</row>
    <row r="38" spans="1:75" hidden="1" x14ac:dyDescent="0.2">
      <c r="A38" s="123" t="str">
        <f>'[2]2021 УГРЦТ'!A40</f>
        <v>Двигатель ГТД-6РМ №В6-47</v>
      </c>
      <c r="B38" s="124" t="str">
        <f>'[2]2021 УГРЦТ'!B40</f>
        <v>000001870</v>
      </c>
      <c r="C38" s="124" t="str">
        <f>VLOOKUP(A:A,'2023-2027'!A:L,1,+FALSE)</f>
        <v>Двигатель ГТД-6РМ №В6-47</v>
      </c>
      <c r="D38" s="124" t="str">
        <f>'[2]2021 УГРЦТ'!C40</f>
        <v>ПРОИЗВОДСТВО</v>
      </c>
      <c r="E38" s="124" t="str">
        <f>'[2]2021 УГРЦТ'!D40</f>
        <v>Машины и оборудование (кроме офисного)</v>
      </c>
      <c r="F38" s="134">
        <f>'[2]2021 УГРЦТ'!E40</f>
        <v>44530</v>
      </c>
      <c r="G38" s="124" t="str">
        <f>'[2]2021 УГРЦТ'!F40</f>
        <v>Газотурбинный цех</v>
      </c>
      <c r="H38" s="124">
        <f>'[2]2021 УГРЦТ'!AC40</f>
        <v>100</v>
      </c>
      <c r="I38" s="107">
        <v>5797772.3600000003</v>
      </c>
      <c r="J38" s="107">
        <v>57977.723600000005</v>
      </c>
      <c r="K38" s="107">
        <v>5739794.6364000002</v>
      </c>
      <c r="L38" s="125" t="e">
        <f>SUMIF([2]облаг!$B$2:$B$259,B38,[2]облаг!$D$2:$D$259)</f>
        <v>#VALUE!</v>
      </c>
      <c r="M38" s="107">
        <v>57977.72</v>
      </c>
      <c r="N38" s="107">
        <f t="shared" si="14"/>
        <v>695732.64</v>
      </c>
      <c r="O38" s="107">
        <f t="shared" si="15"/>
        <v>5681816.9164000005</v>
      </c>
      <c r="P38" s="107">
        <f t="shared" si="16"/>
        <v>5623839.1964000007</v>
      </c>
      <c r="Q38" s="107">
        <f t="shared" si="17"/>
        <v>5565861.476400001</v>
      </c>
      <c r="R38" s="107">
        <f t="shared" si="18"/>
        <v>5507883.7564000012</v>
      </c>
      <c r="S38" s="107">
        <f t="shared" si="19"/>
        <v>5449906.0364000015</v>
      </c>
      <c r="T38" s="107">
        <f t="shared" si="20"/>
        <v>5391928.3164000018</v>
      </c>
      <c r="U38" s="107">
        <f t="shared" si="21"/>
        <v>5333950.596400002</v>
      </c>
      <c r="V38" s="107">
        <f t="shared" si="22"/>
        <v>5275972.8764000023</v>
      </c>
      <c r="W38" s="107">
        <f t="shared" si="23"/>
        <v>5217995.1564000025</v>
      </c>
      <c r="X38" s="107">
        <f t="shared" si="24"/>
        <v>5160017.4364000028</v>
      </c>
      <c r="Y38" s="107">
        <f t="shared" si="25"/>
        <v>5102039.7164000031</v>
      </c>
      <c r="Z38" s="107">
        <f t="shared" si="26"/>
        <v>5044061.9964000033</v>
      </c>
      <c r="AA38" s="107"/>
      <c r="AB38" s="107"/>
      <c r="AC38" s="107">
        <f t="shared" si="27"/>
        <v>695732.64</v>
      </c>
      <c r="AD38" s="107">
        <f t="shared" si="28"/>
        <v>4986084.2764000036</v>
      </c>
      <c r="AE38" s="107">
        <f t="shared" si="29"/>
        <v>4928106.5564000038</v>
      </c>
      <c r="AF38" s="107">
        <f t="shared" si="30"/>
        <v>4870128.8364000041</v>
      </c>
      <c r="AG38" s="107">
        <f t="shared" si="31"/>
        <v>4812151.1164000044</v>
      </c>
      <c r="AH38" s="107">
        <f t="shared" si="32"/>
        <v>4754173.3964000046</v>
      </c>
      <c r="AI38" s="107">
        <f t="shared" si="33"/>
        <v>4696195.6764000049</v>
      </c>
      <c r="AJ38" s="107">
        <f t="shared" si="34"/>
        <v>4638217.9564000051</v>
      </c>
      <c r="AK38" s="107">
        <f t="shared" si="35"/>
        <v>4580240.2364000054</v>
      </c>
      <c r="AL38" s="107">
        <f t="shared" si="36"/>
        <v>4522262.5164000057</v>
      </c>
      <c r="AM38" s="107">
        <f t="shared" si="37"/>
        <v>4464284.7964000059</v>
      </c>
      <c r="AN38" s="107">
        <f t="shared" si="38"/>
        <v>4406307.0764000062</v>
      </c>
      <c r="AO38" s="107">
        <f t="shared" si="39"/>
        <v>4348329.3564000065</v>
      </c>
      <c r="AP38" s="107"/>
      <c r="AQ38" s="126"/>
      <c r="AR38" s="107">
        <f t="shared" si="40"/>
        <v>695732.64</v>
      </c>
      <c r="AS38" s="107">
        <f>AO38-M38</f>
        <v>4290351.6364000067</v>
      </c>
      <c r="AT38" s="107">
        <f>AS38-M38</f>
        <v>4232373.916400007</v>
      </c>
      <c r="AU38" s="107">
        <f>AT38-M38</f>
        <v>4174396.1964000068</v>
      </c>
      <c r="AV38" s="107">
        <f>AU38-M38</f>
        <v>4116418.4764000066</v>
      </c>
      <c r="AW38" s="107">
        <f>AV38-M38</f>
        <v>4058440.7564000064</v>
      </c>
      <c r="AX38" s="107">
        <f>AW38-M38</f>
        <v>4000463.0364000062</v>
      </c>
      <c r="AY38" s="107">
        <f>AX38-M38</f>
        <v>3942485.3164000059</v>
      </c>
      <c r="AZ38" s="107">
        <f>AY38-M38</f>
        <v>3884507.5964000057</v>
      </c>
      <c r="BA38" s="107">
        <f>AZ38-M38</f>
        <v>3826529.8764000055</v>
      </c>
      <c r="BB38" s="107">
        <f>BA38-M38</f>
        <v>3768552.1564000053</v>
      </c>
      <c r="BC38" s="107">
        <f>BB38-M38</f>
        <v>3710574.4364000051</v>
      </c>
      <c r="BD38" s="107">
        <f>BC38-M38</f>
        <v>3652596.7164000049</v>
      </c>
      <c r="BE38" s="10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</row>
    <row r="39" spans="1:75" ht="22.5" hidden="1" x14ac:dyDescent="0.2">
      <c r="A39" s="123" t="str">
        <f>'[2]2021 УГРЦТ'!A41</f>
        <v>Двигатель ГТД-6РМ зав. №В6-69 на раме №163-069</v>
      </c>
      <c r="B39" s="124" t="str">
        <f>'[2]2021 УГРЦТ'!B41</f>
        <v>000001566</v>
      </c>
      <c r="C39" s="124" t="str">
        <f>VLOOKUP(A:A,'2023-2027'!A:L,1,+FALSE)</f>
        <v>Двигатель ГТД-6РМ зав. №В6-69 на раме №163-069</v>
      </c>
      <c r="D39" s="124" t="str">
        <f>'[2]2021 УГРЦТ'!C41</f>
        <v>ПРОИЗВОДСТВО</v>
      </c>
      <c r="E39" s="124" t="str">
        <f>'[2]2021 УГРЦТ'!D41</f>
        <v>Машины и оборудование (кроме офисного)</v>
      </c>
      <c r="F39" s="124" t="str">
        <f>'[2]2021 УГРЦТ'!E41</f>
        <v>30.11.2013</v>
      </c>
      <c r="G39" s="124" t="str">
        <f>'[2]2021 УГРЦТ'!F41</f>
        <v>Газотурбинный цех</v>
      </c>
      <c r="H39" s="124">
        <f>'[2]2021 УГРЦТ'!AC41</f>
        <v>120</v>
      </c>
      <c r="I39" s="107">
        <f>'[2]2021 УГРЦТ'!X41</f>
        <v>35115893.210000001</v>
      </c>
      <c r="J39" s="107">
        <f>'[2]2021 УГРЦТ'!Y41</f>
        <v>27507449.400999997</v>
      </c>
      <c r="K39" s="107">
        <f>'[2]2021 УГРЦТ'!Z41</f>
        <v>7608443.8090000041</v>
      </c>
      <c r="L39" s="125" t="e">
        <f>SUMIF([2]облаг!$B$2:$B$259,B39,[2]облаг!$D$2:$D$259)</f>
        <v>#VALUE!</v>
      </c>
      <c r="M39" s="107">
        <v>292632.44</v>
      </c>
      <c r="N39" s="107">
        <f t="shared" si="14"/>
        <v>3511589.2800000003</v>
      </c>
      <c r="O39" s="107">
        <f t="shared" si="15"/>
        <v>7315811.3690000037</v>
      </c>
      <c r="P39" s="107">
        <f t="shared" si="16"/>
        <v>7023178.9290000033</v>
      </c>
      <c r="Q39" s="107">
        <f t="shared" si="17"/>
        <v>6730546.4890000029</v>
      </c>
      <c r="R39" s="107">
        <f t="shared" si="18"/>
        <v>6437914.0490000024</v>
      </c>
      <c r="S39" s="107">
        <f t="shared" si="19"/>
        <v>6145281.609000002</v>
      </c>
      <c r="T39" s="107">
        <f t="shared" si="20"/>
        <v>5852649.1690000016</v>
      </c>
      <c r="U39" s="107">
        <f t="shared" si="21"/>
        <v>5560016.7290000012</v>
      </c>
      <c r="V39" s="107">
        <f t="shared" si="22"/>
        <v>5267384.2890000008</v>
      </c>
      <c r="W39" s="107">
        <f t="shared" si="23"/>
        <v>4974751.8490000004</v>
      </c>
      <c r="X39" s="107">
        <f t="shared" si="24"/>
        <v>4682119.409</v>
      </c>
      <c r="Y39" s="107">
        <f t="shared" si="25"/>
        <v>4389486.9689999996</v>
      </c>
      <c r="Z39" s="107">
        <f t="shared" si="26"/>
        <v>4096854.5289999996</v>
      </c>
      <c r="AA39" s="107"/>
      <c r="AB39" s="107"/>
      <c r="AC39" s="107">
        <f t="shared" si="27"/>
        <v>3511589.2800000003</v>
      </c>
      <c r="AD39" s="107">
        <f t="shared" si="28"/>
        <v>3804222.0889999997</v>
      </c>
      <c r="AE39" s="107">
        <f t="shared" si="29"/>
        <v>3511589.6489999997</v>
      </c>
      <c r="AF39" s="107">
        <f t="shared" si="30"/>
        <v>3218957.2089999998</v>
      </c>
      <c r="AG39" s="107">
        <f t="shared" si="31"/>
        <v>2926324.7689999999</v>
      </c>
      <c r="AH39" s="107">
        <f t="shared" si="32"/>
        <v>2633692.3289999999</v>
      </c>
      <c r="AI39" s="107">
        <f t="shared" si="33"/>
        <v>2341059.889</v>
      </c>
      <c r="AJ39" s="107">
        <f t="shared" si="34"/>
        <v>2048427.449</v>
      </c>
      <c r="AK39" s="107">
        <f t="shared" si="35"/>
        <v>1755795.0090000001</v>
      </c>
      <c r="AL39" s="107">
        <f t="shared" si="36"/>
        <v>1463162.5690000001</v>
      </c>
      <c r="AM39" s="107">
        <f t="shared" si="37"/>
        <v>1170530.1290000002</v>
      </c>
      <c r="AN39" s="107">
        <f t="shared" si="38"/>
        <v>877897.68900000025</v>
      </c>
      <c r="AO39" s="107">
        <f t="shared" si="39"/>
        <v>585265.2490000003</v>
      </c>
      <c r="AP39" s="107"/>
      <c r="AQ39" s="126"/>
      <c r="AR39" s="107">
        <f>AS39</f>
        <v>292632.8090000003</v>
      </c>
      <c r="AS39" s="107">
        <f>AO39-M39</f>
        <v>292632.8090000003</v>
      </c>
      <c r="AT39" s="107">
        <f>AS39-M39</f>
        <v>0.3690000002970919</v>
      </c>
      <c r="AU39" s="107">
        <v>0</v>
      </c>
      <c r="AV39" s="107">
        <v>0</v>
      </c>
      <c r="AW39" s="107">
        <v>0</v>
      </c>
      <c r="AX39" s="107">
        <v>0</v>
      </c>
      <c r="AY39" s="107">
        <v>0</v>
      </c>
      <c r="AZ39" s="107">
        <v>0</v>
      </c>
      <c r="BA39" s="107">
        <v>0</v>
      </c>
      <c r="BB39" s="107">
        <v>0</v>
      </c>
      <c r="BC39" s="107">
        <v>0</v>
      </c>
      <c r="BD39" s="107">
        <v>0</v>
      </c>
      <c r="BE39" s="107"/>
    </row>
    <row r="40" spans="1:75" ht="33.75" hidden="1" x14ac:dyDescent="0.2">
      <c r="A40" s="123" t="str">
        <f>'[2]2021 УГРЦТ'!A42</f>
        <v>Дизель электростанция ДЭС электроснабжение объекта "Ненецкая СББЖ г.Нарьян-Мара"</v>
      </c>
      <c r="B40" s="124" t="str">
        <f>'[2]2021 УГРЦТ'!B42</f>
        <v>000001669</v>
      </c>
      <c r="C40" s="124" t="str">
        <f>VLOOKUP(A:A,'2023-2027'!A:L,1,+FALSE)</f>
        <v>Дизель электростанция ДЭС электроснабжение объекта "Ненецкая СББЖ г.Нарьян-Мара"</v>
      </c>
      <c r="D40" s="124" t="str">
        <f>'[2]2021 УГРЦТ'!C42</f>
        <v>ПРОИЗВОДСТВО</v>
      </c>
      <c r="E40" s="124" t="str">
        <f>'[2]2021 УГРЦТ'!D42</f>
        <v>Машины и оборудование (кроме офисного)</v>
      </c>
      <c r="F40" s="124" t="str">
        <f>'[2]2021 УГРЦТ'!E42</f>
        <v>31.12.2015</v>
      </c>
      <c r="G40" s="124" t="str">
        <f>'[2]2021 УГРЦТ'!F42</f>
        <v>Тепломеханический цех</v>
      </c>
      <c r="H40" s="124">
        <f>'[2]2021 УГРЦТ'!AC42</f>
        <v>84</v>
      </c>
      <c r="I40" s="107">
        <v>2404272.6</v>
      </c>
      <c r="J40" s="107">
        <v>2060804.9142857143</v>
      </c>
      <c r="K40" s="107">
        <v>343467.68571428582</v>
      </c>
      <c r="L40" s="125" t="e">
        <f>SUMIF([2]облаг!$B$2:$B$259,B40,[2]облаг!$D$2:$D$259)</f>
        <v>#VALUE!</v>
      </c>
      <c r="M40" s="107">
        <f t="shared" si="13"/>
        <v>28622.292857142857</v>
      </c>
      <c r="N40" s="107">
        <f>O40</f>
        <v>314845.39285714296</v>
      </c>
      <c r="O40" s="107">
        <f t="shared" si="15"/>
        <v>314845.39285714296</v>
      </c>
      <c r="P40" s="107">
        <f t="shared" si="16"/>
        <v>286223.10000000009</v>
      </c>
      <c r="Q40" s="107">
        <f t="shared" si="17"/>
        <v>257600.80714285723</v>
      </c>
      <c r="R40" s="107">
        <f t="shared" si="18"/>
        <v>228978.51428571437</v>
      </c>
      <c r="S40" s="107">
        <f t="shared" si="19"/>
        <v>200356.2214285715</v>
      </c>
      <c r="T40" s="107">
        <f t="shared" si="20"/>
        <v>171733.92857142864</v>
      </c>
      <c r="U40" s="107">
        <f t="shared" si="21"/>
        <v>143111.63571428577</v>
      </c>
      <c r="V40" s="107">
        <f t="shared" si="22"/>
        <v>114489.34285714291</v>
      </c>
      <c r="W40" s="107">
        <f t="shared" si="23"/>
        <v>85867.050000000047</v>
      </c>
      <c r="X40" s="107">
        <f t="shared" si="24"/>
        <v>57244.75714285719</v>
      </c>
      <c r="Y40" s="107">
        <f t="shared" si="25"/>
        <v>28622.464285714334</v>
      </c>
      <c r="Z40" s="107">
        <f t="shared" si="26"/>
        <v>0.17142857147700852</v>
      </c>
      <c r="AA40" s="107"/>
      <c r="AB40" s="107"/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7">
        <v>0</v>
      </c>
      <c r="AI40" s="107">
        <v>0</v>
      </c>
      <c r="AJ40" s="107">
        <v>0</v>
      </c>
      <c r="AK40" s="107">
        <v>0</v>
      </c>
      <c r="AL40" s="107">
        <v>0</v>
      </c>
      <c r="AM40" s="107">
        <v>0</v>
      </c>
      <c r="AN40" s="107">
        <v>0</v>
      </c>
      <c r="AO40" s="107">
        <v>0</v>
      </c>
      <c r="AP40" s="107"/>
      <c r="AQ40" s="126"/>
      <c r="AR40" s="107">
        <v>0</v>
      </c>
      <c r="AS40" s="107">
        <v>0</v>
      </c>
      <c r="AT40" s="107">
        <v>0</v>
      </c>
      <c r="AU40" s="107">
        <v>0</v>
      </c>
      <c r="AV40" s="107">
        <v>0</v>
      </c>
      <c r="AW40" s="107">
        <v>0</v>
      </c>
      <c r="AX40" s="107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7">
        <v>0</v>
      </c>
      <c r="BE40" s="124"/>
    </row>
    <row r="41" spans="1:75" ht="22.5" hidden="1" x14ac:dyDescent="0.2">
      <c r="A41" s="123" t="str">
        <f>'[2]2021 УГРЦТ'!A43</f>
        <v>Дизель-генератор ДГР 630/1000 с пневмопуском 2009г</v>
      </c>
      <c r="B41" s="124" t="str">
        <f>'[2]2021 УГРЦТ'!B43</f>
        <v>00001109</v>
      </c>
      <c r="C41" s="124" t="str">
        <f>VLOOKUP(A:A,'2023-2027'!A:L,1,+FALSE)</f>
        <v>Дизель-генератор ДГР 630/1000 с пневмопуском 2009г</v>
      </c>
      <c r="D41" s="124" t="str">
        <f>'[2]2021 УГРЦТ'!C43</f>
        <v>ПРОИЗВОДСТВО</v>
      </c>
      <c r="E41" s="124" t="str">
        <f>'[2]2021 УГРЦТ'!D43</f>
        <v>Машины и оборудование (кроме офисного)</v>
      </c>
      <c r="F41" s="124" t="str">
        <f>'[2]2021 УГРЦТ'!E43</f>
        <v>31.01.2009</v>
      </c>
      <c r="G41" s="124" t="str">
        <f>'[2]2021 УГРЦТ'!F43</f>
        <v>Тепломеханический цех</v>
      </c>
      <c r="H41" s="124">
        <f>'[2]2021 УГРЦТ'!AC43</f>
        <v>180</v>
      </c>
      <c r="I41" s="107">
        <f>'[2]2021 УГРЦТ'!X43</f>
        <v>9872012.8699999992</v>
      </c>
      <c r="J41" s="107">
        <f>'[2]2021 УГРЦТ'!Y43</f>
        <v>8288289.1699999999</v>
      </c>
      <c r="K41" s="107">
        <f>'[2]2021 УГРЦТ'!Z43</f>
        <v>1583723.6999999993</v>
      </c>
      <c r="L41" s="125" t="e">
        <f>SUMIF([2]облаг!$B$2:$B$259,B41,[2]облаг!$D$2:$D$259)</f>
        <v>#VALUE!</v>
      </c>
      <c r="M41" s="107">
        <f t="shared" si="13"/>
        <v>54844.515944444443</v>
      </c>
      <c r="N41" s="107">
        <f t="shared" si="14"/>
        <v>658134.19133333326</v>
      </c>
      <c r="O41" s="107">
        <f t="shared" si="15"/>
        <v>1528879.1840555549</v>
      </c>
      <c r="P41" s="107">
        <f t="shared" si="16"/>
        <v>1474034.6681111106</v>
      </c>
      <c r="Q41" s="107">
        <f t="shared" si="17"/>
        <v>1419190.1521666662</v>
      </c>
      <c r="R41" s="107">
        <f t="shared" si="18"/>
        <v>1364345.6362222219</v>
      </c>
      <c r="S41" s="107">
        <f t="shared" si="19"/>
        <v>1309501.1202777775</v>
      </c>
      <c r="T41" s="107">
        <f t="shared" si="20"/>
        <v>1254656.6043333332</v>
      </c>
      <c r="U41" s="107">
        <f t="shared" si="21"/>
        <v>1199812.0883888889</v>
      </c>
      <c r="V41" s="107">
        <f t="shared" si="22"/>
        <v>1144967.5724444445</v>
      </c>
      <c r="W41" s="107">
        <f t="shared" si="23"/>
        <v>1090123.0565000002</v>
      </c>
      <c r="X41" s="107">
        <f t="shared" si="24"/>
        <v>1035278.5405555557</v>
      </c>
      <c r="Y41" s="107">
        <f t="shared" si="25"/>
        <v>980434.02461111126</v>
      </c>
      <c r="Z41" s="107">
        <f t="shared" si="26"/>
        <v>925589.50866666681</v>
      </c>
      <c r="AA41" s="107"/>
      <c r="AB41" s="107"/>
      <c r="AC41" s="107">
        <f t="shared" si="27"/>
        <v>658134.19133333326</v>
      </c>
      <c r="AD41" s="107">
        <f t="shared" si="28"/>
        <v>870744.99272222235</v>
      </c>
      <c r="AE41" s="107">
        <f t="shared" si="29"/>
        <v>815900.47677777789</v>
      </c>
      <c r="AF41" s="107">
        <f t="shared" si="30"/>
        <v>761055.96083333343</v>
      </c>
      <c r="AG41" s="107">
        <f t="shared" si="31"/>
        <v>706211.44488888897</v>
      </c>
      <c r="AH41" s="107">
        <f t="shared" si="32"/>
        <v>651366.92894444452</v>
      </c>
      <c r="AI41" s="107">
        <f t="shared" si="33"/>
        <v>596522.41300000006</v>
      </c>
      <c r="AJ41" s="107">
        <f t="shared" si="34"/>
        <v>541677.8970555556</v>
      </c>
      <c r="AK41" s="107">
        <f t="shared" si="35"/>
        <v>486833.38111111114</v>
      </c>
      <c r="AL41" s="107">
        <f t="shared" si="36"/>
        <v>431988.86516666668</v>
      </c>
      <c r="AM41" s="107">
        <f t="shared" si="37"/>
        <v>377144.34922222223</v>
      </c>
      <c r="AN41" s="107">
        <f t="shared" si="38"/>
        <v>322299.83327777777</v>
      </c>
      <c r="AO41" s="107">
        <f t="shared" si="39"/>
        <v>267455.31733333331</v>
      </c>
      <c r="AP41" s="107"/>
      <c r="AQ41" s="126"/>
      <c r="AR41" s="107">
        <f>AS41</f>
        <v>212610.80138888885</v>
      </c>
      <c r="AS41" s="107">
        <f>AO41-M41</f>
        <v>212610.80138888885</v>
      </c>
      <c r="AT41" s="107">
        <f>AS41-M41</f>
        <v>157766.28544444439</v>
      </c>
      <c r="AU41" s="107">
        <f>AT41-M41</f>
        <v>102921.76949999995</v>
      </c>
      <c r="AV41" s="107">
        <f>AU41-M41</f>
        <v>48077.253555555508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/>
      <c r="BF41" s="115">
        <v>41639</v>
      </c>
    </row>
    <row r="42" spans="1:75" ht="33.75" hidden="1" x14ac:dyDescent="0.2">
      <c r="A42" s="123" t="str">
        <f>'[2]2021 УГРЦТ'!A44</f>
        <v>Дизель-генераторная установка Caterpillar 3516BHD с двутопливной системой</v>
      </c>
      <c r="B42" s="124" t="str">
        <f>'[2]2021 УГРЦТ'!B44</f>
        <v>000001506</v>
      </c>
      <c r="C42" s="124" t="str">
        <f>VLOOKUP(A:A,'2023-2027'!A:L,1,+FALSE)</f>
        <v>Дизель-генераторная установка Caterpillar 3516BHD с двутопливной системой</v>
      </c>
      <c r="D42" s="124" t="str">
        <f>'[2]2021 УГРЦТ'!C44</f>
        <v>ПРОИЗВОДСТВО</v>
      </c>
      <c r="E42" s="124" t="str">
        <f>'[2]2021 УГРЦТ'!D44</f>
        <v>Машины и оборудование (кроме офисного)</v>
      </c>
      <c r="F42" s="124" t="str">
        <f>'[2]2021 УГРЦТ'!E44</f>
        <v>19.12.2012</v>
      </c>
      <c r="G42" s="124" t="str">
        <f>'[2]2021 УГРЦТ'!F44</f>
        <v>Тепломеханический цех</v>
      </c>
      <c r="H42" s="124">
        <f>'[2]2021 УГРЦТ'!AC44</f>
        <v>120</v>
      </c>
      <c r="I42" s="107">
        <f>'[2]2021 УГРЦТ'!X44</f>
        <v>28190060.440000001</v>
      </c>
      <c r="J42" s="107">
        <f>'[2]2021 УГРЦТ'!Y44</f>
        <v>25370787.973999999</v>
      </c>
      <c r="K42" s="107">
        <f>'[2]2021 УГРЦТ'!Z44</f>
        <v>2819272.4660000019</v>
      </c>
      <c r="L42" s="125" t="e">
        <f>SUMIF([2]облаг!$B$2:$B$259,B42,[2]облаг!$D$2:$D$259)</f>
        <v>#VALUE!</v>
      </c>
      <c r="M42" s="107">
        <f t="shared" si="13"/>
        <v>234917.17033333334</v>
      </c>
      <c r="N42" s="107">
        <f>O42</f>
        <v>2584355.2956666686</v>
      </c>
      <c r="O42" s="107">
        <f t="shared" si="15"/>
        <v>2584355.2956666686</v>
      </c>
      <c r="P42" s="107">
        <f t="shared" si="16"/>
        <v>2349438.1253333353</v>
      </c>
      <c r="Q42" s="107">
        <f t="shared" si="17"/>
        <v>2114520.9550000019</v>
      </c>
      <c r="R42" s="107">
        <f t="shared" si="18"/>
        <v>1879603.7846666686</v>
      </c>
      <c r="S42" s="107">
        <f t="shared" si="19"/>
        <v>1644686.6143333353</v>
      </c>
      <c r="T42" s="107">
        <f t="shared" si="20"/>
        <v>1409769.444000002</v>
      </c>
      <c r="U42" s="107">
        <f t="shared" si="21"/>
        <v>1174852.2736666687</v>
      </c>
      <c r="V42" s="107">
        <f t="shared" si="22"/>
        <v>939935.10333333537</v>
      </c>
      <c r="W42" s="107">
        <f t="shared" si="23"/>
        <v>705017.93300000206</v>
      </c>
      <c r="X42" s="107">
        <f t="shared" si="24"/>
        <v>470100.76266666874</v>
      </c>
      <c r="Y42" s="107">
        <f t="shared" si="25"/>
        <v>235183.5923333354</v>
      </c>
      <c r="Z42" s="107">
        <f t="shared" si="26"/>
        <v>266.42200000205776</v>
      </c>
      <c r="AA42" s="107"/>
      <c r="AB42" s="107"/>
      <c r="AC42" s="107">
        <v>0</v>
      </c>
      <c r="AD42" s="107">
        <v>0</v>
      </c>
      <c r="AE42" s="107">
        <v>0</v>
      </c>
      <c r="AF42" s="107">
        <v>0</v>
      </c>
      <c r="AG42" s="107">
        <v>0</v>
      </c>
      <c r="AH42" s="107">
        <v>0</v>
      </c>
      <c r="AI42" s="107">
        <v>0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/>
      <c r="AQ42" s="126"/>
      <c r="AR42" s="107">
        <v>0</v>
      </c>
      <c r="AS42" s="107">
        <v>0</v>
      </c>
      <c r="AT42" s="107">
        <v>0</v>
      </c>
      <c r="AU42" s="107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7">
        <v>0</v>
      </c>
      <c r="BB42" s="107">
        <v>0</v>
      </c>
      <c r="BC42" s="107">
        <v>0</v>
      </c>
      <c r="BD42" s="107">
        <v>0</v>
      </c>
      <c r="BE42" s="124"/>
    </row>
    <row r="43" spans="1:75" ht="22.5" hidden="1" x14ac:dyDescent="0.2">
      <c r="A43" s="123" t="str">
        <f>'[2]2021 УГРЦТ'!A45</f>
        <v>Дизельная электростанция АДК 500.2-Baltic</v>
      </c>
      <c r="B43" s="124" t="str">
        <f>'[2]2021 УГРЦТ'!B45</f>
        <v>000001836</v>
      </c>
      <c r="C43" s="124" t="str">
        <f>VLOOKUP(A:A,'2023-2027'!A:L,1,+FALSE)</f>
        <v>Дизельная электростанция АДК 500.2-Baltic</v>
      </c>
      <c r="D43" s="124" t="str">
        <f>'[2]2021 УГРЦТ'!C45</f>
        <v>ПРОИЗВОДСТВО</v>
      </c>
      <c r="E43" s="124" t="str">
        <f>'[2]2021 УГРЦТ'!D45</f>
        <v>Здания</v>
      </c>
      <c r="F43" s="124" t="str">
        <f>'[2]2021 УГРЦТ'!E45</f>
        <v>30.12.2020</v>
      </c>
      <c r="G43" s="124" t="str">
        <f>'[2]2021 УГРЦТ'!F45</f>
        <v>ДЭС п.Красное</v>
      </c>
      <c r="H43" s="124">
        <f>'[2]2021 УГРЦТ'!AC45</f>
        <v>360</v>
      </c>
      <c r="I43" s="107">
        <f>'[2]2021 УГРЦТ'!X45</f>
        <v>2315429.2200000002</v>
      </c>
      <c r="J43" s="107">
        <f>'[2]2021 УГРЦТ'!Y45</f>
        <v>77180.974000000002</v>
      </c>
      <c r="K43" s="107">
        <f>'[2]2021 УГРЦТ'!Z45</f>
        <v>2238248.2460000003</v>
      </c>
      <c r="L43" s="125" t="e">
        <f>SUMIF([2]облаг!$B$2:$B$259,B43,[2]облаг!$D$2:$D$259)</f>
        <v>#VALUE!</v>
      </c>
      <c r="M43" s="107">
        <f t="shared" si="13"/>
        <v>6431.7478333333338</v>
      </c>
      <c r="N43" s="107">
        <f t="shared" si="14"/>
        <v>77180.974000000002</v>
      </c>
      <c r="O43" s="107">
        <f t="shared" si="15"/>
        <v>2231816.4981666668</v>
      </c>
      <c r="P43" s="107">
        <f t="shared" si="16"/>
        <v>2225384.7503333334</v>
      </c>
      <c r="Q43" s="107">
        <f t="shared" si="17"/>
        <v>2218953.0024999999</v>
      </c>
      <c r="R43" s="107">
        <f t="shared" si="18"/>
        <v>2212521.2546666665</v>
      </c>
      <c r="S43" s="107">
        <f t="shared" si="19"/>
        <v>2206089.5068333331</v>
      </c>
      <c r="T43" s="107">
        <f t="shared" si="20"/>
        <v>2199657.7589999996</v>
      </c>
      <c r="U43" s="107">
        <f t="shared" si="21"/>
        <v>2193226.0111666662</v>
      </c>
      <c r="V43" s="107">
        <f t="shared" si="22"/>
        <v>2186794.2633333327</v>
      </c>
      <c r="W43" s="107">
        <f t="shared" si="23"/>
        <v>2180362.5154999993</v>
      </c>
      <c r="X43" s="107">
        <f t="shared" si="24"/>
        <v>2173930.7676666658</v>
      </c>
      <c r="Y43" s="107">
        <f t="shared" si="25"/>
        <v>2167499.0198333324</v>
      </c>
      <c r="Z43" s="107">
        <f t="shared" si="26"/>
        <v>2161067.2719999989</v>
      </c>
      <c r="AA43" s="107">
        <f>SUM(O43:Z43,K43)/13*$AA$2</f>
        <v>48392.470697999976</v>
      </c>
      <c r="AB43" s="107"/>
      <c r="AC43" s="107">
        <f t="shared" si="27"/>
        <v>77180.974000000002</v>
      </c>
      <c r="AD43" s="107">
        <f t="shared" si="28"/>
        <v>2154635.5241666655</v>
      </c>
      <c r="AE43" s="107">
        <f t="shared" si="29"/>
        <v>2148203.7763333321</v>
      </c>
      <c r="AF43" s="107">
        <f t="shared" si="30"/>
        <v>2141772.0284999986</v>
      </c>
      <c r="AG43" s="107">
        <f t="shared" si="31"/>
        <v>2135340.2806666652</v>
      </c>
      <c r="AH43" s="107">
        <f t="shared" si="32"/>
        <v>2128908.5328333317</v>
      </c>
      <c r="AI43" s="107">
        <f t="shared" si="33"/>
        <v>2122476.7849999983</v>
      </c>
      <c r="AJ43" s="107">
        <f t="shared" si="34"/>
        <v>2116045.0371666648</v>
      </c>
      <c r="AK43" s="107">
        <f t="shared" si="35"/>
        <v>2109613.2893333314</v>
      </c>
      <c r="AL43" s="107">
        <f t="shared" si="36"/>
        <v>2103181.541499998</v>
      </c>
      <c r="AM43" s="107">
        <f t="shared" si="37"/>
        <v>2096749.7936666645</v>
      </c>
      <c r="AN43" s="107">
        <f t="shared" si="38"/>
        <v>2090318.0458333311</v>
      </c>
      <c r="AO43" s="107">
        <f t="shared" si="39"/>
        <v>2083886.2979999976</v>
      </c>
      <c r="AP43" s="107">
        <f>SUM(AD43:AO43,Z43)/13*$AP$2</f>
        <v>46694.489269999962</v>
      </c>
      <c r="AQ43" s="126"/>
      <c r="AR43" s="107">
        <f t="shared" si="40"/>
        <v>77180.974000000002</v>
      </c>
      <c r="AS43" s="107">
        <f>AO43-M43</f>
        <v>2077454.5501666642</v>
      </c>
      <c r="AT43" s="107">
        <f>AS43-M43</f>
        <v>2071022.8023333307</v>
      </c>
      <c r="AU43" s="107">
        <f>AT43-M43</f>
        <v>2064591.0544999973</v>
      </c>
      <c r="AV43" s="107">
        <f>AU43-M43</f>
        <v>2058159.3066666638</v>
      </c>
      <c r="AW43" s="107">
        <f>AV43-M43</f>
        <v>2051727.5588333304</v>
      </c>
      <c r="AX43" s="107">
        <f>AW43-M43</f>
        <v>2045295.810999997</v>
      </c>
      <c r="AY43" s="107">
        <f>AX43-M43</f>
        <v>2038864.0631666635</v>
      </c>
      <c r="AZ43" s="107">
        <f>AY43-M43</f>
        <v>2032432.3153333301</v>
      </c>
      <c r="BA43" s="107">
        <f>AZ43-M43</f>
        <v>2026000.5674999966</v>
      </c>
      <c r="BB43" s="107">
        <f>BA43-M43</f>
        <v>2019568.8196666632</v>
      </c>
      <c r="BC43" s="107">
        <f>BB43-M43</f>
        <v>2013137.0718333297</v>
      </c>
      <c r="BD43" s="107">
        <f>BC43-M43</f>
        <v>2006705.3239999963</v>
      </c>
      <c r="BE43" s="107">
        <f>SUM(AS43:BD43,AO43)/13*$BE$2</f>
        <v>44996.507841999926</v>
      </c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</row>
    <row r="44" spans="1:75" ht="33.75" hidden="1" x14ac:dyDescent="0.2">
      <c r="A44" s="123" t="str">
        <f>'[2]2021 УГРЦТ'!A46</f>
        <v>Зарядное с автоматическим циклом зарядки 24В, 35А СТЕК МХТS 70</v>
      </c>
      <c r="B44" s="124" t="str">
        <f>'[2]2021 УГРЦТ'!B46</f>
        <v>000001548</v>
      </c>
      <c r="C44" s="124" t="str">
        <f>VLOOKUP(A:A,'2023-2027'!A:L,1,+FALSE)</f>
        <v>Зарядное с автоматическим циклом зарядки 24В, 35А СТЕК МХТS 70</v>
      </c>
      <c r="D44" s="124" t="str">
        <f>'[2]2021 УГРЦТ'!C46</f>
        <v>ПРОИЗВОДСТВО</v>
      </c>
      <c r="E44" s="124" t="str">
        <f>'[2]2021 УГРЦТ'!D46</f>
        <v>Машины и оборудование (кроме офисного)</v>
      </c>
      <c r="F44" s="124" t="str">
        <f>'[2]2021 УГРЦТ'!E46</f>
        <v>30.09.2013</v>
      </c>
      <c r="G44" s="124" t="str">
        <f>'[2]2021 УГРЦТ'!F46</f>
        <v>Тепломеханический цех</v>
      </c>
      <c r="H44" s="124">
        <f>'[2]2021 УГРЦТ'!AC46</f>
        <v>180</v>
      </c>
      <c r="I44" s="107">
        <f>'[2]2021 УГРЦТ'!X46</f>
        <v>58050.85</v>
      </c>
      <c r="J44" s="107">
        <f>'[2]2021 УГРЦТ'!Y46</f>
        <v>31927.556666666664</v>
      </c>
      <c r="K44" s="107">
        <f>'[2]2021 УГРЦТ'!Z46</f>
        <v>26123.293333333335</v>
      </c>
      <c r="L44" s="125" t="e">
        <f>SUMIF([2]облаг!$B$2:$B$259,B44,[2]облаг!$D$2:$D$259)</f>
        <v>#VALUE!</v>
      </c>
      <c r="M44" s="107">
        <f t="shared" si="13"/>
        <v>322.5047222222222</v>
      </c>
      <c r="N44" s="107">
        <f t="shared" si="14"/>
        <v>3870.0566666666664</v>
      </c>
      <c r="O44" s="107">
        <f t="shared" si="15"/>
        <v>25800.788611111111</v>
      </c>
      <c r="P44" s="107">
        <f t="shared" si="16"/>
        <v>25478.283888888887</v>
      </c>
      <c r="Q44" s="107">
        <f t="shared" si="17"/>
        <v>25155.779166666664</v>
      </c>
      <c r="R44" s="107">
        <f t="shared" si="18"/>
        <v>24833.27444444444</v>
      </c>
      <c r="S44" s="107">
        <f t="shared" si="19"/>
        <v>24510.769722222216</v>
      </c>
      <c r="T44" s="107">
        <f t="shared" si="20"/>
        <v>24188.264999999992</v>
      </c>
      <c r="U44" s="107">
        <f t="shared" si="21"/>
        <v>23865.760277777768</v>
      </c>
      <c r="V44" s="107">
        <f t="shared" si="22"/>
        <v>23543.255555555545</v>
      </c>
      <c r="W44" s="107">
        <f t="shared" si="23"/>
        <v>23220.750833333321</v>
      </c>
      <c r="X44" s="107">
        <f t="shared" si="24"/>
        <v>22898.246111111097</v>
      </c>
      <c r="Y44" s="107">
        <f t="shared" si="25"/>
        <v>22575.741388888873</v>
      </c>
      <c r="Z44" s="107">
        <f t="shared" si="26"/>
        <v>22253.236666666649</v>
      </c>
      <c r="AA44" s="107"/>
      <c r="AB44" s="107"/>
      <c r="AC44" s="107">
        <f t="shared" si="27"/>
        <v>3870.0566666666664</v>
      </c>
      <c r="AD44" s="107">
        <f t="shared" si="28"/>
        <v>21930.731944444426</v>
      </c>
      <c r="AE44" s="107">
        <f t="shared" si="29"/>
        <v>21608.227222222202</v>
      </c>
      <c r="AF44" s="107">
        <f t="shared" si="30"/>
        <v>21285.722499999978</v>
      </c>
      <c r="AG44" s="107">
        <f t="shared" si="31"/>
        <v>20963.217777777754</v>
      </c>
      <c r="AH44" s="107">
        <f t="shared" si="32"/>
        <v>20640.71305555553</v>
      </c>
      <c r="AI44" s="107">
        <f t="shared" si="33"/>
        <v>20318.208333333307</v>
      </c>
      <c r="AJ44" s="107">
        <f t="shared" si="34"/>
        <v>19995.703611111083</v>
      </c>
      <c r="AK44" s="107">
        <f t="shared" si="35"/>
        <v>19673.198888888859</v>
      </c>
      <c r="AL44" s="107">
        <f t="shared" si="36"/>
        <v>19350.694166666635</v>
      </c>
      <c r="AM44" s="107">
        <f t="shared" si="37"/>
        <v>19028.189444444411</v>
      </c>
      <c r="AN44" s="107">
        <f t="shared" si="38"/>
        <v>18705.684722222188</v>
      </c>
      <c r="AO44" s="107">
        <f t="shared" si="39"/>
        <v>18383.179999999964</v>
      </c>
      <c r="AP44" s="107"/>
      <c r="AQ44" s="126"/>
      <c r="AR44" s="107">
        <f t="shared" si="40"/>
        <v>3870.0566666666664</v>
      </c>
      <c r="AS44" s="107">
        <f>AO44-M44</f>
        <v>18060.67527777774</v>
      </c>
      <c r="AT44" s="107">
        <f>AS44-M44</f>
        <v>17738.170555555516</v>
      </c>
      <c r="AU44" s="107">
        <f>AT44-M44</f>
        <v>17415.665833333293</v>
      </c>
      <c r="AV44" s="107">
        <f>AU44-M44</f>
        <v>17093.161111111069</v>
      </c>
      <c r="AW44" s="107">
        <f>AV44-M44</f>
        <v>16770.656388888845</v>
      </c>
      <c r="AX44" s="107">
        <f>AW44-M44</f>
        <v>16448.151666666621</v>
      </c>
      <c r="AY44" s="107">
        <f>AX44-M44</f>
        <v>16125.646944444399</v>
      </c>
      <c r="AZ44" s="107">
        <f>AY44-M44</f>
        <v>15803.142222222177</v>
      </c>
      <c r="BA44" s="107">
        <f>AZ44-M44</f>
        <v>15480.637499999955</v>
      </c>
      <c r="BB44" s="107">
        <f>BA44-M44</f>
        <v>15158.132777777733</v>
      </c>
      <c r="BC44" s="107">
        <f>BB44-M44</f>
        <v>14835.628055555511</v>
      </c>
      <c r="BD44" s="107">
        <f>BC44-M44</f>
        <v>14513.123333333289</v>
      </c>
      <c r="BE44" s="10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</row>
    <row r="45" spans="1:75" hidden="1" x14ac:dyDescent="0.2">
      <c r="A45" s="123" t="str">
        <f>'[2]2021 УГРЦТ'!A47</f>
        <v>Здание ГТЭС-12 2003г</v>
      </c>
      <c r="B45" s="124" t="str">
        <f>'[2]2021 УГРЦТ'!B47</f>
        <v>00000498</v>
      </c>
      <c r="C45" s="124" t="str">
        <f>VLOOKUP(A:A,'2023-2027'!A:L,1,+FALSE)</f>
        <v>Здание ГТЭС-12 2003г</v>
      </c>
      <c r="D45" s="124" t="str">
        <f>'[2]2021 УГРЦТ'!C47</f>
        <v>ПРОИЗВОДСТВО</v>
      </c>
      <c r="E45" s="124" t="str">
        <f>'[2]2021 УГРЦТ'!D47</f>
        <v>Здания</v>
      </c>
      <c r="F45" s="124" t="str">
        <f>'[2]2021 УГРЦТ'!E47</f>
        <v>02.10.2003</v>
      </c>
      <c r="G45" s="124" t="str">
        <f>'[2]2021 УГРЦТ'!F47</f>
        <v>Газотурбинный цех</v>
      </c>
      <c r="H45" s="124">
        <f>'[2]2021 УГРЦТ'!AC47</f>
        <v>180</v>
      </c>
      <c r="I45" s="107">
        <v>40120052.619999997</v>
      </c>
      <c r="J45" s="107">
        <v>14622810.040000001</v>
      </c>
      <c r="K45" s="107">
        <f>I45-J45</f>
        <v>25497242.579999998</v>
      </c>
      <c r="L45" s="125" t="e">
        <f>SUMIF([2]облаг!$B$2:$B$259,B45,[2]облаг!$D$2:$D$259)</f>
        <v>#VALUE!</v>
      </c>
      <c r="M45" s="107">
        <f t="shared" si="13"/>
        <v>222889.18122222222</v>
      </c>
      <c r="N45" s="107">
        <f t="shared" si="14"/>
        <v>2674670.1746666664</v>
      </c>
      <c r="O45" s="107">
        <f t="shared" si="15"/>
        <v>25274353.398777775</v>
      </c>
      <c r="P45" s="107">
        <f t="shared" si="16"/>
        <v>25051464.217555553</v>
      </c>
      <c r="Q45" s="107">
        <f t="shared" si="17"/>
        <v>24828575.03633333</v>
      </c>
      <c r="R45" s="107">
        <f t="shared" si="18"/>
        <v>24605685.855111107</v>
      </c>
      <c r="S45" s="107">
        <f t="shared" si="19"/>
        <v>24382796.673888884</v>
      </c>
      <c r="T45" s="107">
        <f t="shared" si="20"/>
        <v>24159907.492666662</v>
      </c>
      <c r="U45" s="107">
        <f t="shared" si="21"/>
        <v>23937018.311444439</v>
      </c>
      <c r="V45" s="107">
        <f t="shared" si="22"/>
        <v>23714129.130222216</v>
      </c>
      <c r="W45" s="107">
        <f t="shared" si="23"/>
        <v>23491239.948999994</v>
      </c>
      <c r="X45" s="107">
        <f t="shared" si="24"/>
        <v>23268350.767777771</v>
      </c>
      <c r="Y45" s="107">
        <f t="shared" si="25"/>
        <v>23045461.586555548</v>
      </c>
      <c r="Z45" s="107">
        <f t="shared" si="26"/>
        <v>22822572.405333325</v>
      </c>
      <c r="AA45" s="107">
        <f>SUM(O45:Z45,K45)/13*$AA$2</f>
        <v>531517.96483866649</v>
      </c>
      <c r="AB45" s="107"/>
      <c r="AC45" s="107">
        <f t="shared" si="27"/>
        <v>2674670.1746666664</v>
      </c>
      <c r="AD45" s="107">
        <f t="shared" si="28"/>
        <v>22599683.224111103</v>
      </c>
      <c r="AE45" s="107">
        <f t="shared" si="29"/>
        <v>22376794.04288888</v>
      </c>
      <c r="AF45" s="107">
        <f t="shared" si="30"/>
        <v>22153904.861666657</v>
      </c>
      <c r="AG45" s="107">
        <f t="shared" si="31"/>
        <v>21931015.680444434</v>
      </c>
      <c r="AH45" s="107">
        <f t="shared" si="32"/>
        <v>21708126.499222212</v>
      </c>
      <c r="AI45" s="107">
        <f t="shared" si="33"/>
        <v>21485237.317999989</v>
      </c>
      <c r="AJ45" s="107">
        <f t="shared" si="34"/>
        <v>21262348.136777766</v>
      </c>
      <c r="AK45" s="107">
        <f t="shared" si="35"/>
        <v>21039458.955555543</v>
      </c>
      <c r="AL45" s="107">
        <f t="shared" si="36"/>
        <v>20816569.774333321</v>
      </c>
      <c r="AM45" s="107">
        <f t="shared" si="37"/>
        <v>20593680.593111098</v>
      </c>
      <c r="AN45" s="107">
        <f t="shared" si="38"/>
        <v>20370791.411888875</v>
      </c>
      <c r="AO45" s="107">
        <f t="shared" si="39"/>
        <v>20147902.230666652</v>
      </c>
      <c r="AP45" s="107">
        <f>SUM(AD45:AO45,Z45)/13*$AP$2</f>
        <v>472675.22099599964</v>
      </c>
      <c r="AQ45" s="126"/>
      <c r="AR45" s="107">
        <f t="shared" si="40"/>
        <v>2674670.1746666664</v>
      </c>
      <c r="AS45" s="107">
        <f>AO45-M45</f>
        <v>19925013.04944443</v>
      </c>
      <c r="AT45" s="107">
        <f>AS45-M45</f>
        <v>19702123.868222207</v>
      </c>
      <c r="AU45" s="107">
        <f>AT45-M45</f>
        <v>19479234.686999984</v>
      </c>
      <c r="AV45" s="107">
        <f>AU45-M45</f>
        <v>19256345.505777761</v>
      </c>
      <c r="AW45" s="107">
        <f>AV45-M45</f>
        <v>19033456.324555539</v>
      </c>
      <c r="AX45" s="107">
        <f>AW45-M45</f>
        <v>18810567.143333316</v>
      </c>
      <c r="AY45" s="107">
        <f>AX45-M45</f>
        <v>18587677.962111093</v>
      </c>
      <c r="AZ45" s="107">
        <f>AY45-M45</f>
        <v>18364788.78088887</v>
      </c>
      <c r="BA45" s="107">
        <f>AZ45-M45</f>
        <v>18141899.599666648</v>
      </c>
      <c r="BB45" s="107">
        <f>BA45-M45</f>
        <v>17919010.418444425</v>
      </c>
      <c r="BC45" s="107">
        <f>BB45-M45</f>
        <v>17696121.237222202</v>
      </c>
      <c r="BD45" s="107">
        <f>BC45-M45</f>
        <v>17473232.055999979</v>
      </c>
      <c r="BE45" s="107">
        <f>SUM(AS45:BD45,AO45)/13*$BE$2</f>
        <v>413832.47715333285</v>
      </c>
      <c r="BF45" s="127"/>
      <c r="BG45" s="127"/>
      <c r="BH45" s="127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</row>
    <row r="46" spans="1:75" ht="22.5" hidden="1" x14ac:dyDescent="0.2">
      <c r="A46" s="123" t="str">
        <f>'[2]2021 УГРЦТ'!A48</f>
        <v>Измеритель сопротивления заземления Metrel MI3123</v>
      </c>
      <c r="B46" s="124" t="str">
        <f>'[2]2021 УГРЦТ'!B48</f>
        <v>000001777</v>
      </c>
      <c r="C46" s="124" t="str">
        <f>VLOOKUP(A:A,'2023-2027'!A:L,1,+FALSE)</f>
        <v>Измеритель сопротивления заземления Metrel MI3123</v>
      </c>
      <c r="D46" s="124" t="str">
        <f>'[2]2021 УГРЦТ'!C48</f>
        <v>ПРОИЗВОДСТВО</v>
      </c>
      <c r="E46" s="124" t="str">
        <f>'[2]2021 УГРЦТ'!D48</f>
        <v>Машины и оборудование (кроме офисного)</v>
      </c>
      <c r="F46" s="124" t="str">
        <f>'[2]2021 УГРЦТ'!E48</f>
        <v>19.08.2019</v>
      </c>
      <c r="G46" s="124" t="str">
        <f>'[2]2021 УГРЦТ'!F48</f>
        <v>Электрический цех</v>
      </c>
      <c r="H46" s="124">
        <f>'[2]2021 УГРЦТ'!AC48</f>
        <v>60</v>
      </c>
      <c r="I46" s="107">
        <f>'[2]2021 УГРЦТ'!X48</f>
        <v>48921.57</v>
      </c>
      <c r="J46" s="107">
        <f>'[2]2021 УГРЦТ'!Y48</f>
        <v>22830.074000000001</v>
      </c>
      <c r="K46" s="107">
        <f>'[2]2021 УГРЦТ'!Z48</f>
        <v>26091.495999999999</v>
      </c>
      <c r="L46" s="125" t="e">
        <f>SUMIF([2]облаг!$B$2:$B$259,B46,[2]облаг!$D$2:$D$259)</f>
        <v>#VALUE!</v>
      </c>
      <c r="M46" s="107">
        <f t="shared" si="13"/>
        <v>815.35950000000003</v>
      </c>
      <c r="N46" s="107">
        <f t="shared" si="14"/>
        <v>9784.3140000000003</v>
      </c>
      <c r="O46" s="107">
        <f t="shared" si="15"/>
        <v>25276.136500000001</v>
      </c>
      <c r="P46" s="107">
        <f t="shared" si="16"/>
        <v>24460.777000000002</v>
      </c>
      <c r="Q46" s="107">
        <f t="shared" si="17"/>
        <v>23645.417500000003</v>
      </c>
      <c r="R46" s="107">
        <f t="shared" si="18"/>
        <v>22830.058000000005</v>
      </c>
      <c r="S46" s="107">
        <f t="shared" si="19"/>
        <v>22014.698500000006</v>
      </c>
      <c r="T46" s="107">
        <f t="shared" si="20"/>
        <v>21199.339000000007</v>
      </c>
      <c r="U46" s="107">
        <f t="shared" si="21"/>
        <v>20383.979500000009</v>
      </c>
      <c r="V46" s="107">
        <f t="shared" si="22"/>
        <v>19568.62000000001</v>
      </c>
      <c r="W46" s="107">
        <f t="shared" si="23"/>
        <v>18753.260500000011</v>
      </c>
      <c r="X46" s="107">
        <f t="shared" si="24"/>
        <v>17937.901000000013</v>
      </c>
      <c r="Y46" s="107">
        <f t="shared" si="25"/>
        <v>17122.541500000014</v>
      </c>
      <c r="Z46" s="107">
        <f t="shared" si="26"/>
        <v>16307.182000000013</v>
      </c>
      <c r="AA46" s="107"/>
      <c r="AB46" s="107"/>
      <c r="AC46" s="107">
        <f t="shared" si="27"/>
        <v>9784.3140000000003</v>
      </c>
      <c r="AD46" s="107">
        <f t="shared" si="28"/>
        <v>15491.822500000013</v>
      </c>
      <c r="AE46" s="107">
        <f t="shared" si="29"/>
        <v>14676.463000000012</v>
      </c>
      <c r="AF46" s="107">
        <f t="shared" si="30"/>
        <v>13861.103500000012</v>
      </c>
      <c r="AG46" s="107">
        <f t="shared" si="31"/>
        <v>13045.744000000012</v>
      </c>
      <c r="AH46" s="107">
        <f t="shared" si="32"/>
        <v>12230.384500000011</v>
      </c>
      <c r="AI46" s="107">
        <f t="shared" si="33"/>
        <v>11415.025000000011</v>
      </c>
      <c r="AJ46" s="107">
        <f t="shared" si="34"/>
        <v>10599.66550000001</v>
      </c>
      <c r="AK46" s="107">
        <f t="shared" si="35"/>
        <v>9784.3060000000096</v>
      </c>
      <c r="AL46" s="107">
        <f t="shared" si="36"/>
        <v>8968.9465000000091</v>
      </c>
      <c r="AM46" s="107">
        <f t="shared" si="37"/>
        <v>8153.5870000000086</v>
      </c>
      <c r="AN46" s="107">
        <f t="shared" si="38"/>
        <v>7338.2275000000081</v>
      </c>
      <c r="AO46" s="107">
        <f t="shared" si="39"/>
        <v>6522.8680000000077</v>
      </c>
      <c r="AP46" s="107"/>
      <c r="AQ46" s="126"/>
      <c r="AR46" s="107">
        <f>AS46</f>
        <v>5707.5085000000072</v>
      </c>
      <c r="AS46" s="107">
        <f>AO46-M46</f>
        <v>5707.5085000000072</v>
      </c>
      <c r="AT46" s="107">
        <f>AS46-M46</f>
        <v>4892.1490000000067</v>
      </c>
      <c r="AU46" s="107">
        <f>AT46-M46</f>
        <v>4076.7895000000067</v>
      </c>
      <c r="AV46" s="107">
        <f>AU46-M46</f>
        <v>3261.4300000000067</v>
      </c>
      <c r="AW46" s="107">
        <f>AV46-M46</f>
        <v>2446.0705000000066</v>
      </c>
      <c r="AX46" s="107">
        <f>AW46-M46</f>
        <v>1630.7110000000066</v>
      </c>
      <c r="AY46" s="107">
        <f>AX46-M46</f>
        <v>815.35150000000658</v>
      </c>
      <c r="AZ46" s="107">
        <v>0</v>
      </c>
      <c r="BA46" s="107">
        <v>0</v>
      </c>
      <c r="BB46" s="107">
        <v>0</v>
      </c>
      <c r="BC46" s="107">
        <v>0</v>
      </c>
      <c r="BD46" s="107">
        <v>0</v>
      </c>
      <c r="BE46" s="107"/>
    </row>
    <row r="47" spans="1:75" ht="33.75" hidden="1" x14ac:dyDescent="0.2">
      <c r="A47" s="123" t="str">
        <f>'[2]2021 УГРЦТ'!A49</f>
        <v>Инвертор плазменной резки Nelwin Superior Plasma 60 HF 400V</v>
      </c>
      <c r="B47" s="124" t="str">
        <f>'[2]2021 УГРЦТ'!B49</f>
        <v>000001619</v>
      </c>
      <c r="C47" s="124" t="str">
        <f>VLOOKUP(A:A,'2023-2027'!A:L,1,+FALSE)</f>
        <v>Инвертор плазменной резки Nelwin Superior Plasma 60 HF 400V</v>
      </c>
      <c r="D47" s="124" t="str">
        <f>'[2]2021 УГРЦТ'!C49</f>
        <v>ПРОИЗВОДСТВО</v>
      </c>
      <c r="E47" s="124" t="str">
        <f>'[2]2021 УГРЦТ'!D49</f>
        <v>Другие виды основных средств</v>
      </c>
      <c r="F47" s="124" t="str">
        <f>'[2]2021 УГРЦТ'!E49</f>
        <v>30.04.2014</v>
      </c>
      <c r="G47" s="124" t="str">
        <f>'[2]2021 УГРЦТ'!F49</f>
        <v>Тепломеханический цех</v>
      </c>
      <c r="H47" s="124">
        <f>'[2]2021 УГРЦТ'!AC49</f>
        <v>84</v>
      </c>
      <c r="I47" s="107">
        <f>'[2]2021 УГРЦТ'!X49</f>
        <v>85000</v>
      </c>
      <c r="J47" s="107">
        <f>'[2]2021 УГРЦТ'!Y49</f>
        <v>85000</v>
      </c>
      <c r="K47" s="107">
        <f>'[2]2021 УГРЦТ'!Z49</f>
        <v>0</v>
      </c>
      <c r="L47" s="125" t="e">
        <f>SUMIF([2]облаг!$B$2:$B$259,B47,[2]облаг!$D$2:$D$259)</f>
        <v>#VALUE!</v>
      </c>
      <c r="M47" s="107">
        <v>0</v>
      </c>
      <c r="N47" s="107">
        <f t="shared" si="14"/>
        <v>0</v>
      </c>
      <c r="O47" s="107">
        <f t="shared" si="15"/>
        <v>0</v>
      </c>
      <c r="P47" s="107">
        <f t="shared" si="16"/>
        <v>0</v>
      </c>
      <c r="Q47" s="107">
        <f t="shared" si="17"/>
        <v>0</v>
      </c>
      <c r="R47" s="107">
        <f t="shared" si="18"/>
        <v>0</v>
      </c>
      <c r="S47" s="107">
        <f t="shared" si="19"/>
        <v>0</v>
      </c>
      <c r="T47" s="107">
        <f t="shared" si="20"/>
        <v>0</v>
      </c>
      <c r="U47" s="107">
        <f t="shared" si="21"/>
        <v>0</v>
      </c>
      <c r="V47" s="107">
        <f t="shared" si="22"/>
        <v>0</v>
      </c>
      <c r="W47" s="107">
        <f t="shared" si="23"/>
        <v>0</v>
      </c>
      <c r="X47" s="107">
        <f t="shared" si="24"/>
        <v>0</v>
      </c>
      <c r="Y47" s="107">
        <f t="shared" si="25"/>
        <v>0</v>
      </c>
      <c r="Z47" s="107">
        <f t="shared" si="26"/>
        <v>0</v>
      </c>
      <c r="AA47" s="107"/>
      <c r="AB47" s="107"/>
      <c r="AC47" s="107">
        <f t="shared" si="27"/>
        <v>0</v>
      </c>
      <c r="AD47" s="107">
        <f t="shared" si="28"/>
        <v>0</v>
      </c>
      <c r="AE47" s="107">
        <f t="shared" si="29"/>
        <v>0</v>
      </c>
      <c r="AF47" s="107">
        <f t="shared" si="30"/>
        <v>0</v>
      </c>
      <c r="AG47" s="107">
        <f t="shared" si="31"/>
        <v>0</v>
      </c>
      <c r="AH47" s="107">
        <f t="shared" si="32"/>
        <v>0</v>
      </c>
      <c r="AI47" s="107">
        <f t="shared" si="33"/>
        <v>0</v>
      </c>
      <c r="AJ47" s="107">
        <f t="shared" si="34"/>
        <v>0</v>
      </c>
      <c r="AK47" s="107">
        <f t="shared" si="35"/>
        <v>0</v>
      </c>
      <c r="AL47" s="107">
        <f t="shared" si="36"/>
        <v>0</v>
      </c>
      <c r="AM47" s="107">
        <f t="shared" si="37"/>
        <v>0</v>
      </c>
      <c r="AN47" s="107">
        <f t="shared" si="38"/>
        <v>0</v>
      </c>
      <c r="AO47" s="107">
        <f t="shared" si="39"/>
        <v>0</v>
      </c>
      <c r="AP47" s="107"/>
      <c r="AQ47" s="126"/>
      <c r="AR47" s="107">
        <f t="shared" si="40"/>
        <v>0</v>
      </c>
      <c r="AS47" s="107">
        <f>AO47-M47</f>
        <v>0</v>
      </c>
      <c r="AT47" s="107">
        <f>AS47-M47</f>
        <v>0</v>
      </c>
      <c r="AU47" s="107">
        <f>AT47-M47</f>
        <v>0</v>
      </c>
      <c r="AV47" s="107">
        <f>AU47-M47</f>
        <v>0</v>
      </c>
      <c r="AW47" s="107">
        <f>AV47-M47</f>
        <v>0</v>
      </c>
      <c r="AX47" s="107">
        <f>AW47-M47</f>
        <v>0</v>
      </c>
      <c r="AY47" s="107">
        <f>AX47-M47</f>
        <v>0</v>
      </c>
      <c r="AZ47" s="107">
        <f>AY47-M47</f>
        <v>0</v>
      </c>
      <c r="BA47" s="107">
        <f>AZ47-M47</f>
        <v>0</v>
      </c>
      <c r="BB47" s="107">
        <f>BA47-M47</f>
        <v>0</v>
      </c>
      <c r="BC47" s="107">
        <f>BB47-M47</f>
        <v>0</v>
      </c>
      <c r="BD47" s="107">
        <f>BC47-M47</f>
        <v>0</v>
      </c>
      <c r="BE47" s="124"/>
    </row>
    <row r="48" spans="1:75" ht="22.5" hidden="1" x14ac:dyDescent="0.2">
      <c r="A48" s="123" t="str">
        <f>'[2]2021 УГРЦТ'!A50</f>
        <v>Испытательное устройство РЕТОМ-21 НПП "Динамика"</v>
      </c>
      <c r="B48" s="124" t="str">
        <f>'[2]2021 УГРЦТ'!B50</f>
        <v>000001720</v>
      </c>
      <c r="C48" s="124" t="str">
        <f>VLOOKUP(A:A,'2023-2027'!A:L,1,+FALSE)</f>
        <v>Испытательное устройство РЕТОМ-21 НПП "Динамика"</v>
      </c>
      <c r="D48" s="124" t="str">
        <f>'[2]2021 УГРЦТ'!C50</f>
        <v>ПРОИЗВОДСТВО</v>
      </c>
      <c r="E48" s="124" t="str">
        <f>'[2]2021 УГРЦТ'!D50</f>
        <v>Машины и оборудование (кроме офисного)</v>
      </c>
      <c r="F48" s="124" t="str">
        <f>'[2]2021 УГРЦТ'!E50</f>
        <v>28.04.2018</v>
      </c>
      <c r="G48" s="124" t="str">
        <f>'[2]2021 УГРЦТ'!F50</f>
        <v>Электрический цех</v>
      </c>
      <c r="H48" s="124">
        <f>'[2]2021 УГРЦТ'!AC50</f>
        <v>60</v>
      </c>
      <c r="I48" s="107">
        <f>'[2]2021 УГРЦТ'!X50</f>
        <v>475686.44</v>
      </c>
      <c r="J48" s="107">
        <f>'[2]2021 УГРЦТ'!Y50</f>
        <v>348836.80799999996</v>
      </c>
      <c r="K48" s="107">
        <f>'[2]2021 УГРЦТ'!Z50</f>
        <v>126849.63200000004</v>
      </c>
      <c r="L48" s="125" t="e">
        <f>SUMIF([2]облаг!$B$2:$B$259,B48,[2]облаг!$D$2:$D$259)</f>
        <v>#VALUE!</v>
      </c>
      <c r="M48" s="107">
        <f t="shared" si="13"/>
        <v>7928.1073333333334</v>
      </c>
      <c r="N48" s="107">
        <f t="shared" si="14"/>
        <v>95137.288</v>
      </c>
      <c r="O48" s="107">
        <f t="shared" si="15"/>
        <v>118921.52466666671</v>
      </c>
      <c r="P48" s="107">
        <f t="shared" si="16"/>
        <v>110993.41733333337</v>
      </c>
      <c r="Q48" s="107">
        <f t="shared" si="17"/>
        <v>103065.31000000004</v>
      </c>
      <c r="R48" s="107">
        <f t="shared" si="18"/>
        <v>95137.202666666708</v>
      </c>
      <c r="S48" s="107">
        <f t="shared" si="19"/>
        <v>87209.095333333375</v>
      </c>
      <c r="T48" s="107">
        <f t="shared" si="20"/>
        <v>79280.988000000041</v>
      </c>
      <c r="U48" s="107">
        <f t="shared" si="21"/>
        <v>71352.880666666708</v>
      </c>
      <c r="V48" s="107">
        <f t="shared" si="22"/>
        <v>63424.773333333374</v>
      </c>
      <c r="W48" s="107">
        <f t="shared" si="23"/>
        <v>55496.666000000041</v>
      </c>
      <c r="X48" s="107">
        <f t="shared" si="24"/>
        <v>47568.558666666708</v>
      </c>
      <c r="Y48" s="107">
        <f t="shared" si="25"/>
        <v>39640.451333333374</v>
      </c>
      <c r="Z48" s="107">
        <f t="shared" si="26"/>
        <v>31712.344000000041</v>
      </c>
      <c r="AA48" s="107"/>
      <c r="AB48" s="107"/>
      <c r="AC48" s="107">
        <f>AD48</f>
        <v>23784.236666666708</v>
      </c>
      <c r="AD48" s="107">
        <f t="shared" si="28"/>
        <v>23784.236666666708</v>
      </c>
      <c r="AE48" s="107">
        <f t="shared" si="29"/>
        <v>15856.129333333374</v>
      </c>
      <c r="AF48" s="107">
        <f t="shared" si="30"/>
        <v>7928.0220000000409</v>
      </c>
      <c r="AG48" s="107">
        <v>0</v>
      </c>
      <c r="AH48" s="107">
        <v>0</v>
      </c>
      <c r="AI48" s="107">
        <v>0</v>
      </c>
      <c r="AJ48" s="107">
        <v>0</v>
      </c>
      <c r="AK48" s="107">
        <v>0</v>
      </c>
      <c r="AL48" s="107">
        <v>0</v>
      </c>
      <c r="AM48" s="107">
        <v>0</v>
      </c>
      <c r="AN48" s="107">
        <v>0</v>
      </c>
      <c r="AO48" s="107">
        <v>0</v>
      </c>
      <c r="AP48" s="107"/>
      <c r="AQ48" s="126"/>
      <c r="AR48" s="107">
        <v>0</v>
      </c>
      <c r="AS48" s="107">
        <v>0</v>
      </c>
      <c r="AT48" s="107">
        <v>0</v>
      </c>
      <c r="AU48" s="107">
        <v>0</v>
      </c>
      <c r="AV48" s="107">
        <v>0</v>
      </c>
      <c r="AW48" s="107">
        <v>0</v>
      </c>
      <c r="AX48" s="107">
        <v>0</v>
      </c>
      <c r="AY48" s="107">
        <v>0</v>
      </c>
      <c r="AZ48" s="107">
        <v>0</v>
      </c>
      <c r="BA48" s="107">
        <v>0</v>
      </c>
      <c r="BB48" s="107">
        <v>0</v>
      </c>
      <c r="BC48" s="107">
        <v>0</v>
      </c>
      <c r="BD48" s="107">
        <v>0</v>
      </c>
      <c r="BE48" s="124"/>
    </row>
    <row r="49" spans="1:75" ht="22.5" hidden="1" x14ac:dyDescent="0.2">
      <c r="A49" s="123" t="str">
        <f>'[2]2021 УГРЦТ'!A51</f>
        <v>Кабель н/в от главного здания  400м 1955г.</v>
      </c>
      <c r="B49" s="124" t="str">
        <f>'[2]2021 УГРЦТ'!B51</f>
        <v>00000034</v>
      </c>
      <c r="C49" s="124" t="str">
        <f>VLOOKUP(A:A,'2023-2027'!A:L,1,+FALSE)</f>
        <v>Кабель н/в от главного здания  400м 1955г.</v>
      </c>
      <c r="D49" s="124" t="str">
        <f>'[2]2021 УГРЦТ'!C51</f>
        <v>ПРОИЗВОДСТВО</v>
      </c>
      <c r="E49" s="124" t="str">
        <f>'[2]2021 УГРЦТ'!D51</f>
        <v>Сооружения</v>
      </c>
      <c r="F49" s="124" t="str">
        <f>'[2]2021 УГРЦТ'!E51</f>
        <v>01.01.1955</v>
      </c>
      <c r="G49" s="124" t="str">
        <f>'[2]2021 УГРЦТ'!F51</f>
        <v>Электрический цех</v>
      </c>
      <c r="H49" s="124">
        <f>'[2]2021 УГРЦТ'!AC51</f>
        <v>360</v>
      </c>
      <c r="I49" s="107">
        <f>'[2]2021 УГРЦТ'!X51</f>
        <v>483624.2</v>
      </c>
      <c r="J49" s="107">
        <f>'[2]2021 УГРЦТ'!Y51</f>
        <v>125810.16</v>
      </c>
      <c r="K49" s="107">
        <f>'[2]2021 УГРЦТ'!Z51</f>
        <v>357814.04000000004</v>
      </c>
      <c r="L49" s="125" t="e">
        <f>SUMIF([2]облаг!$B$2:$B$259,B49,[2]облаг!$D$2:$D$259)</f>
        <v>#VALUE!</v>
      </c>
      <c r="M49" s="107">
        <f t="shared" si="13"/>
        <v>1343.4005555555557</v>
      </c>
      <c r="N49" s="107">
        <f t="shared" si="14"/>
        <v>16120.806666666667</v>
      </c>
      <c r="O49" s="107">
        <f t="shared" si="15"/>
        <v>356470.6394444445</v>
      </c>
      <c r="P49" s="107">
        <f t="shared" si="16"/>
        <v>355127.23888888897</v>
      </c>
      <c r="Q49" s="107">
        <f t="shared" si="17"/>
        <v>353783.83833333344</v>
      </c>
      <c r="R49" s="107">
        <f t="shared" si="18"/>
        <v>352440.4377777779</v>
      </c>
      <c r="S49" s="107">
        <f t="shared" si="19"/>
        <v>351097.03722222237</v>
      </c>
      <c r="T49" s="107">
        <f t="shared" si="20"/>
        <v>349753.63666666683</v>
      </c>
      <c r="U49" s="107">
        <f t="shared" si="21"/>
        <v>348410.2361111113</v>
      </c>
      <c r="V49" s="107">
        <f t="shared" si="22"/>
        <v>347066.83555555576</v>
      </c>
      <c r="W49" s="107">
        <f t="shared" si="23"/>
        <v>345723.43500000023</v>
      </c>
      <c r="X49" s="107">
        <f t="shared" si="24"/>
        <v>344380.0344444447</v>
      </c>
      <c r="Y49" s="107">
        <f t="shared" si="25"/>
        <v>343036.63388888916</v>
      </c>
      <c r="Z49" s="107">
        <f t="shared" si="26"/>
        <v>341693.23333333363</v>
      </c>
      <c r="AA49" s="107">
        <f>SUM(O49:Z49,K49)/13*$AA$2</f>
        <v>7694.5800066666698</v>
      </c>
      <c r="AB49" s="107"/>
      <c r="AC49" s="107">
        <f t="shared" si="27"/>
        <v>16120.806666666667</v>
      </c>
      <c r="AD49" s="107">
        <f t="shared" si="28"/>
        <v>340349.83277777809</v>
      </c>
      <c r="AE49" s="107">
        <f t="shared" si="29"/>
        <v>339006.43222222256</v>
      </c>
      <c r="AF49" s="107">
        <f t="shared" si="30"/>
        <v>337663.03166666703</v>
      </c>
      <c r="AG49" s="107">
        <f t="shared" si="31"/>
        <v>336319.63111111149</v>
      </c>
      <c r="AH49" s="107">
        <f t="shared" si="32"/>
        <v>334976.23055555596</v>
      </c>
      <c r="AI49" s="107">
        <f t="shared" si="33"/>
        <v>333632.83000000042</v>
      </c>
      <c r="AJ49" s="107">
        <f t="shared" si="34"/>
        <v>332289.42944444489</v>
      </c>
      <c r="AK49" s="107">
        <f t="shared" si="35"/>
        <v>330946.02888888936</v>
      </c>
      <c r="AL49" s="107">
        <f t="shared" si="36"/>
        <v>329602.62833333382</v>
      </c>
      <c r="AM49" s="107">
        <f t="shared" si="37"/>
        <v>328259.22777777829</v>
      </c>
      <c r="AN49" s="107">
        <f t="shared" si="38"/>
        <v>326915.82722222275</v>
      </c>
      <c r="AO49" s="107">
        <f t="shared" si="39"/>
        <v>325572.42666666722</v>
      </c>
      <c r="AP49" s="107">
        <f t="shared" ref="AP49:AP51" si="54">SUM(AD49:AO49,Z49)/13*$AP$2</f>
        <v>7339.9222600000085</v>
      </c>
      <c r="AQ49" s="126"/>
      <c r="AR49" s="107">
        <f t="shared" si="40"/>
        <v>16120.806666666667</v>
      </c>
      <c r="AS49" s="107">
        <f t="shared" ref="AS49:AS97" si="55">AO49-M49</f>
        <v>324229.02611111169</v>
      </c>
      <c r="AT49" s="107">
        <f t="shared" ref="AT49:AT97" si="56">AS49-M49</f>
        <v>322885.62555555615</v>
      </c>
      <c r="AU49" s="107">
        <f t="shared" ref="AU49:AU97" si="57">AT49-M49</f>
        <v>321542.22500000062</v>
      </c>
      <c r="AV49" s="107">
        <f t="shared" ref="AV49:AV97" si="58">AU49-M49</f>
        <v>320198.82444444508</v>
      </c>
      <c r="AW49" s="107">
        <f t="shared" ref="AW49:AW97" si="59">AV49-M49</f>
        <v>318855.42388888955</v>
      </c>
      <c r="AX49" s="107">
        <f t="shared" ref="AX49:AX97" si="60">AW49-M49</f>
        <v>317512.02333333401</v>
      </c>
      <c r="AY49" s="107">
        <f t="shared" ref="AY49:AY97" si="61">AX49-M49</f>
        <v>316168.62277777848</v>
      </c>
      <c r="AZ49" s="107">
        <f t="shared" ref="AZ49:AZ97" si="62">AY49-M49</f>
        <v>314825.22222222295</v>
      </c>
      <c r="BA49" s="107">
        <f t="shared" ref="BA49:BA59" si="63">AZ49-M49</f>
        <v>313481.82166666741</v>
      </c>
      <c r="BB49" s="107">
        <f t="shared" ref="BB49:BB59" si="64">BA49-M49</f>
        <v>312138.42111111188</v>
      </c>
      <c r="BC49" s="107">
        <f t="shared" ref="BC49:BC59" si="65">BB49-M49</f>
        <v>310795.02055555634</v>
      </c>
      <c r="BD49" s="107">
        <f t="shared" ref="BD49:BD59" si="66">BC49-M49</f>
        <v>309451.62000000081</v>
      </c>
      <c r="BE49" s="107">
        <f>SUM(AS49:BD49,AO49)/13*$BE$2</f>
        <v>6985.2645133333481</v>
      </c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</row>
    <row r="50" spans="1:75" hidden="1" x14ac:dyDescent="0.2">
      <c r="A50" s="123" t="str">
        <f>'[2]2021 УГРЦТ'!A52</f>
        <v>Кабельные линии 6 кв 2003г.</v>
      </c>
      <c r="B50" s="124" t="str">
        <f>'[2]2021 УГРЦТ'!B52</f>
        <v>00000597</v>
      </c>
      <c r="C50" s="124" t="str">
        <f>VLOOKUP(A:A,'2023-2027'!A:L,1,+FALSE)</f>
        <v>Кабельные линии 6 кв 2003г.</v>
      </c>
      <c r="D50" s="124" t="str">
        <f>'[2]2021 УГРЦТ'!C52</f>
        <v>ПРОИЗВОДСТВО</v>
      </c>
      <c r="E50" s="124" t="str">
        <f>'[2]2021 УГРЦТ'!D52</f>
        <v>Сооружения</v>
      </c>
      <c r="F50" s="124" t="str">
        <f>'[2]2021 УГРЦТ'!E52</f>
        <v>01.10.2003</v>
      </c>
      <c r="G50" s="124" t="str">
        <f>'[2]2021 УГРЦТ'!F52</f>
        <v>Электрический цех</v>
      </c>
      <c r="H50" s="124">
        <f>'[2]2021 УГРЦТ'!AC52</f>
        <v>300</v>
      </c>
      <c r="I50" s="107">
        <v>659676</v>
      </c>
      <c r="J50" s="107">
        <v>479364.56</v>
      </c>
      <c r="K50" s="107">
        <v>180311.44</v>
      </c>
      <c r="L50" s="125" t="e">
        <f>SUMIF([2]облаг!$B$2:$B$259,B50,[2]облаг!$D$2:$D$259)</f>
        <v>#VALUE!</v>
      </c>
      <c r="M50" s="107">
        <f t="shared" si="13"/>
        <v>2198.92</v>
      </c>
      <c r="N50" s="107">
        <f t="shared" si="14"/>
        <v>26387.040000000001</v>
      </c>
      <c r="O50" s="107">
        <f t="shared" si="15"/>
        <v>178112.52</v>
      </c>
      <c r="P50" s="107">
        <f t="shared" si="16"/>
        <v>175913.59999999998</v>
      </c>
      <c r="Q50" s="107">
        <f t="shared" si="17"/>
        <v>173714.67999999996</v>
      </c>
      <c r="R50" s="107">
        <f t="shared" si="18"/>
        <v>171515.75999999995</v>
      </c>
      <c r="S50" s="107">
        <f t="shared" si="19"/>
        <v>169316.83999999994</v>
      </c>
      <c r="T50" s="107">
        <f t="shared" si="20"/>
        <v>167117.91999999993</v>
      </c>
      <c r="U50" s="107">
        <f t="shared" si="21"/>
        <v>164918.99999999991</v>
      </c>
      <c r="V50" s="107">
        <f t="shared" si="22"/>
        <v>162720.0799999999</v>
      </c>
      <c r="W50" s="107">
        <f t="shared" si="23"/>
        <v>160521.15999999989</v>
      </c>
      <c r="X50" s="107">
        <f t="shared" si="24"/>
        <v>158322.23999999987</v>
      </c>
      <c r="Y50" s="107">
        <f t="shared" si="25"/>
        <v>156123.31999999986</v>
      </c>
      <c r="Z50" s="107">
        <f t="shared" si="26"/>
        <v>153924.39999999985</v>
      </c>
      <c r="AA50" s="107">
        <f>SUM(O50:Z50,K50)/13*$AA$2</f>
        <v>3676.5942399999981</v>
      </c>
      <c r="AB50" s="107"/>
      <c r="AC50" s="107">
        <f t="shared" si="27"/>
        <v>26387.040000000001</v>
      </c>
      <c r="AD50" s="107">
        <f t="shared" si="28"/>
        <v>151725.47999999984</v>
      </c>
      <c r="AE50" s="107">
        <f t="shared" si="29"/>
        <v>149526.55999999982</v>
      </c>
      <c r="AF50" s="107">
        <f t="shared" si="30"/>
        <v>147327.63999999981</v>
      </c>
      <c r="AG50" s="107">
        <f t="shared" si="31"/>
        <v>145128.7199999998</v>
      </c>
      <c r="AH50" s="107">
        <f t="shared" si="32"/>
        <v>142929.79999999978</v>
      </c>
      <c r="AI50" s="107">
        <f t="shared" si="33"/>
        <v>140730.87999999977</v>
      </c>
      <c r="AJ50" s="107">
        <f t="shared" si="34"/>
        <v>138531.95999999976</v>
      </c>
      <c r="AK50" s="107">
        <f t="shared" si="35"/>
        <v>136333.03999999975</v>
      </c>
      <c r="AL50" s="107">
        <f t="shared" si="36"/>
        <v>134134.11999999973</v>
      </c>
      <c r="AM50" s="107">
        <f t="shared" si="37"/>
        <v>131935.19999999972</v>
      </c>
      <c r="AN50" s="107">
        <f t="shared" si="38"/>
        <v>129736.27999999972</v>
      </c>
      <c r="AO50" s="107">
        <f t="shared" si="39"/>
        <v>127537.35999999972</v>
      </c>
      <c r="AP50" s="107">
        <f t="shared" si="54"/>
        <v>3096.0793599999947</v>
      </c>
      <c r="AQ50" s="126"/>
      <c r="AR50" s="107">
        <f t="shared" si="40"/>
        <v>26387.040000000001</v>
      </c>
      <c r="AS50" s="107">
        <f t="shared" si="55"/>
        <v>125338.43999999973</v>
      </c>
      <c r="AT50" s="107">
        <f t="shared" si="56"/>
        <v>123139.51999999973</v>
      </c>
      <c r="AU50" s="107">
        <f t="shared" si="57"/>
        <v>120940.59999999973</v>
      </c>
      <c r="AV50" s="107">
        <f t="shared" si="58"/>
        <v>118741.67999999973</v>
      </c>
      <c r="AW50" s="107">
        <f t="shared" si="59"/>
        <v>116542.75999999973</v>
      </c>
      <c r="AX50" s="107">
        <f t="shared" si="60"/>
        <v>114343.83999999973</v>
      </c>
      <c r="AY50" s="107">
        <f t="shared" si="61"/>
        <v>112144.91999999974</v>
      </c>
      <c r="AZ50" s="107">
        <f t="shared" si="62"/>
        <v>109945.99999999974</v>
      </c>
      <c r="BA50" s="107">
        <f t="shared" si="63"/>
        <v>107747.07999999974</v>
      </c>
      <c r="BB50" s="107">
        <f t="shared" si="64"/>
        <v>105548.15999999974</v>
      </c>
      <c r="BC50" s="107">
        <f t="shared" si="65"/>
        <v>103349.23999999974</v>
      </c>
      <c r="BD50" s="107">
        <f t="shared" si="66"/>
        <v>101150.31999999975</v>
      </c>
      <c r="BE50" s="107">
        <f>SUM(AS50:BD50,AO50)/13*$BE$2</f>
        <v>2515.5644799999945</v>
      </c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</row>
    <row r="51" spans="1:75" ht="22.5" hidden="1" x14ac:dyDescent="0.2">
      <c r="A51" s="123" t="str">
        <f>'[2]2021 УГРЦТ'!A53</f>
        <v>КЛ 0,4 кВ "РШ-8-РЩ"Гараж. Новый бокс"</v>
      </c>
      <c r="B51" s="124" t="str">
        <f>'[2]2021 УГРЦТ'!B53</f>
        <v>000001647</v>
      </c>
      <c r="C51" s="124" t="str">
        <f>VLOOKUP(A:A,'2023-2027'!A:L,1,+FALSE)</f>
        <v>КЛ 0,4 кВ "РШ-8-РЩ"Гараж. Новый бокс"</v>
      </c>
      <c r="D51" s="124" t="str">
        <f>'[2]2021 УГРЦТ'!C53</f>
        <v>ПРОИЗВОДСТВО</v>
      </c>
      <c r="E51" s="124" t="str">
        <f>'[2]2021 УГРЦТ'!D53</f>
        <v>Сооружения</v>
      </c>
      <c r="F51" s="124" t="str">
        <f>'[2]2021 УГРЦТ'!E53</f>
        <v>31.12.2014</v>
      </c>
      <c r="G51" s="124" t="str">
        <f>'[2]2021 УГРЦТ'!F53</f>
        <v>Электрический цех</v>
      </c>
      <c r="H51" s="124">
        <f>'[2]2021 УГРЦТ'!AC53</f>
        <v>300</v>
      </c>
      <c r="I51" s="107">
        <f>'[2]2021 УГРЦТ'!X53</f>
        <v>45504.01</v>
      </c>
      <c r="J51" s="107">
        <f>'[2]2021 УГРЦТ'!Y53</f>
        <v>12741.1204</v>
      </c>
      <c r="K51" s="107">
        <f>'[2]2021 УГРЦТ'!Z53</f>
        <v>32762.889600000002</v>
      </c>
      <c r="L51" s="125" t="e">
        <f>SUMIF([2]облаг!$B$2:$B$259,B51,[2]облаг!$D$2:$D$259)</f>
        <v>#VALUE!</v>
      </c>
      <c r="M51" s="107">
        <f t="shared" si="13"/>
        <v>151.68003333333334</v>
      </c>
      <c r="N51" s="107">
        <f t="shared" si="14"/>
        <v>1820.1604000000002</v>
      </c>
      <c r="O51" s="107">
        <f t="shared" si="15"/>
        <v>32611.209566666668</v>
      </c>
      <c r="P51" s="107">
        <f t="shared" si="16"/>
        <v>32459.529533333334</v>
      </c>
      <c r="Q51" s="107">
        <f t="shared" si="17"/>
        <v>32307.8495</v>
      </c>
      <c r="R51" s="107">
        <f t="shared" si="18"/>
        <v>32156.169466666666</v>
      </c>
      <c r="S51" s="107">
        <f t="shared" si="19"/>
        <v>32004.489433333332</v>
      </c>
      <c r="T51" s="107">
        <f t="shared" si="20"/>
        <v>31852.809399999998</v>
      </c>
      <c r="U51" s="107">
        <f t="shared" si="21"/>
        <v>31701.129366666664</v>
      </c>
      <c r="V51" s="107">
        <f t="shared" si="22"/>
        <v>31549.44933333333</v>
      </c>
      <c r="W51" s="107">
        <f t="shared" si="23"/>
        <v>31397.769299999996</v>
      </c>
      <c r="X51" s="107">
        <f t="shared" si="24"/>
        <v>31246.089266666662</v>
      </c>
      <c r="Y51" s="107">
        <f t="shared" si="25"/>
        <v>31094.409233333328</v>
      </c>
      <c r="Z51" s="107">
        <f t="shared" si="26"/>
        <v>30942.729199999994</v>
      </c>
      <c r="AA51" s="107">
        <f>SUM(O51:Z51,K51)/13*$AA$2</f>
        <v>700.76180679999982</v>
      </c>
      <c r="AB51" s="107"/>
      <c r="AC51" s="107">
        <f t="shared" si="27"/>
        <v>1820.1604000000002</v>
      </c>
      <c r="AD51" s="107">
        <f t="shared" si="28"/>
        <v>30791.04916666666</v>
      </c>
      <c r="AE51" s="107">
        <f t="shared" si="29"/>
        <v>30639.369133333326</v>
      </c>
      <c r="AF51" s="107">
        <f t="shared" si="30"/>
        <v>30487.689099999992</v>
      </c>
      <c r="AG51" s="107">
        <f t="shared" si="31"/>
        <v>30336.009066666658</v>
      </c>
      <c r="AH51" s="107">
        <f t="shared" si="32"/>
        <v>30184.329033333324</v>
      </c>
      <c r="AI51" s="107">
        <f t="shared" si="33"/>
        <v>30032.64899999999</v>
      </c>
      <c r="AJ51" s="107">
        <f t="shared" si="34"/>
        <v>29880.968966666656</v>
      </c>
      <c r="AK51" s="107">
        <f t="shared" si="35"/>
        <v>29729.288933333322</v>
      </c>
      <c r="AL51" s="107">
        <f t="shared" si="36"/>
        <v>29577.608899999988</v>
      </c>
      <c r="AM51" s="107">
        <f t="shared" si="37"/>
        <v>29425.928866666654</v>
      </c>
      <c r="AN51" s="107">
        <f t="shared" si="38"/>
        <v>29274.24883333332</v>
      </c>
      <c r="AO51" s="107">
        <f t="shared" si="39"/>
        <v>29122.568799999986</v>
      </c>
      <c r="AP51" s="107">
        <f t="shared" si="54"/>
        <v>660.71827799999983</v>
      </c>
      <c r="AQ51" s="126"/>
      <c r="AR51" s="107">
        <f t="shared" si="40"/>
        <v>1820.1604000000002</v>
      </c>
      <c r="AS51" s="107">
        <f t="shared" si="55"/>
        <v>28970.888766666652</v>
      </c>
      <c r="AT51" s="107">
        <f t="shared" si="56"/>
        <v>28819.208733333318</v>
      </c>
      <c r="AU51" s="107">
        <f t="shared" si="57"/>
        <v>28667.528699999984</v>
      </c>
      <c r="AV51" s="107">
        <f t="shared" si="58"/>
        <v>28515.84866666665</v>
      </c>
      <c r="AW51" s="107">
        <f t="shared" si="59"/>
        <v>28364.168633333316</v>
      </c>
      <c r="AX51" s="107">
        <f t="shared" si="60"/>
        <v>28212.488599999982</v>
      </c>
      <c r="AY51" s="107">
        <f t="shared" si="61"/>
        <v>28060.808566666648</v>
      </c>
      <c r="AZ51" s="107">
        <f t="shared" si="62"/>
        <v>27909.128533333314</v>
      </c>
      <c r="BA51" s="107">
        <f t="shared" si="63"/>
        <v>27757.44849999998</v>
      </c>
      <c r="BB51" s="107">
        <f t="shared" si="64"/>
        <v>27605.768466666646</v>
      </c>
      <c r="BC51" s="107">
        <f t="shared" si="65"/>
        <v>27454.088433333312</v>
      </c>
      <c r="BD51" s="107">
        <f t="shared" si="66"/>
        <v>27302.408399999978</v>
      </c>
      <c r="BE51" s="107">
        <f>SUM(AS51:BD51,AO51)/13*$BE$2</f>
        <v>620.67474919999961</v>
      </c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</row>
    <row r="52" spans="1:75" ht="22.5" hidden="1" x14ac:dyDescent="0.2">
      <c r="A52" s="123" t="str">
        <f>'[2]2021 УГРЦТ'!A54</f>
        <v>Комплекс измерительно-поисковый КИП-2Т</v>
      </c>
      <c r="B52" s="124" t="str">
        <f>'[2]2021 УГРЦТ'!B54</f>
        <v>000001812</v>
      </c>
      <c r="C52" s="124" t="str">
        <f>VLOOKUP(A:A,'2023-2027'!A:L,1,+FALSE)</f>
        <v>Комплекс измерительно-поисковый КИП-2Т</v>
      </c>
      <c r="D52" s="124" t="str">
        <f>'[2]2021 УГРЦТ'!C54</f>
        <v>ПРОИЗВОДСТВО</v>
      </c>
      <c r="E52" s="124" t="str">
        <f>'[2]2021 УГРЦТ'!D54</f>
        <v>Машины и оборудование (кроме офисного)</v>
      </c>
      <c r="F52" s="124" t="str">
        <f>'[2]2021 УГРЦТ'!E54</f>
        <v>15.06.2020</v>
      </c>
      <c r="G52" s="124" t="str">
        <f>'[2]2021 УГРЦТ'!F54</f>
        <v>Электрический цех</v>
      </c>
      <c r="H52" s="124">
        <f>'[2]2021 УГРЦТ'!AC54</f>
        <v>84</v>
      </c>
      <c r="I52" s="107">
        <f>'[2]2021 УГРЦТ'!X54</f>
        <v>188333.33</v>
      </c>
      <c r="J52" s="107">
        <f>'[2]2021 УГРЦТ'!Y54</f>
        <v>40357.121428571438</v>
      </c>
      <c r="K52" s="107">
        <f>'[2]2021 УГРЦТ'!Z54</f>
        <v>147976.20857142855</v>
      </c>
      <c r="L52" s="125" t="e">
        <f>SUMIF([2]облаг!$B$2:$B$259,B52,[2]облаг!$D$2:$D$259)</f>
        <v>#VALUE!</v>
      </c>
      <c r="M52" s="107">
        <f t="shared" si="13"/>
        <v>2242.0634523809522</v>
      </c>
      <c r="N52" s="107">
        <f t="shared" si="14"/>
        <v>26904.761428571426</v>
      </c>
      <c r="O52" s="107">
        <f t="shared" si="15"/>
        <v>145734.14511904761</v>
      </c>
      <c r="P52" s="107">
        <f t="shared" si="16"/>
        <v>143492.08166666667</v>
      </c>
      <c r="Q52" s="107">
        <f t="shared" si="17"/>
        <v>141250.01821428572</v>
      </c>
      <c r="R52" s="107">
        <f t="shared" si="18"/>
        <v>139007.95476190478</v>
      </c>
      <c r="S52" s="107">
        <f t="shared" si="19"/>
        <v>136765.89130952384</v>
      </c>
      <c r="T52" s="107">
        <f t="shared" si="20"/>
        <v>134523.8278571429</v>
      </c>
      <c r="U52" s="107">
        <f t="shared" si="21"/>
        <v>132281.76440476195</v>
      </c>
      <c r="V52" s="107">
        <f t="shared" si="22"/>
        <v>130039.700952381</v>
      </c>
      <c r="W52" s="107">
        <f t="shared" si="23"/>
        <v>127797.63750000004</v>
      </c>
      <c r="X52" s="107">
        <f t="shared" si="24"/>
        <v>125555.57404761908</v>
      </c>
      <c r="Y52" s="107">
        <f t="shared" si="25"/>
        <v>123313.51059523813</v>
      </c>
      <c r="Z52" s="107">
        <f t="shared" si="26"/>
        <v>121071.44714285717</v>
      </c>
      <c r="AA52" s="107"/>
      <c r="AB52" s="107"/>
      <c r="AC52" s="107">
        <f t="shared" si="27"/>
        <v>26904.761428571426</v>
      </c>
      <c r="AD52" s="107">
        <f t="shared" si="28"/>
        <v>118829.38369047621</v>
      </c>
      <c r="AE52" s="107">
        <f t="shared" si="29"/>
        <v>116587.32023809526</v>
      </c>
      <c r="AF52" s="107">
        <f t="shared" si="30"/>
        <v>114345.2567857143</v>
      </c>
      <c r="AG52" s="107">
        <f t="shared" si="31"/>
        <v>112103.19333333334</v>
      </c>
      <c r="AH52" s="107">
        <f t="shared" si="32"/>
        <v>109861.12988095239</v>
      </c>
      <c r="AI52" s="107">
        <f t="shared" si="33"/>
        <v>107619.06642857143</v>
      </c>
      <c r="AJ52" s="107">
        <f t="shared" si="34"/>
        <v>105377.00297619047</v>
      </c>
      <c r="AK52" s="107">
        <f t="shared" si="35"/>
        <v>103134.93952380952</v>
      </c>
      <c r="AL52" s="107">
        <f t="shared" si="36"/>
        <v>100892.87607142856</v>
      </c>
      <c r="AM52" s="107">
        <f t="shared" si="37"/>
        <v>98650.812619047603</v>
      </c>
      <c r="AN52" s="107">
        <f t="shared" si="38"/>
        <v>96408.749166666646</v>
      </c>
      <c r="AO52" s="107">
        <f t="shared" si="39"/>
        <v>94166.68571428569</v>
      </c>
      <c r="AP52" s="107"/>
      <c r="AQ52" s="126"/>
      <c r="AR52" s="107">
        <f t="shared" si="40"/>
        <v>26904.761428571426</v>
      </c>
      <c r="AS52" s="107">
        <f t="shared" si="55"/>
        <v>91924.622261904733</v>
      </c>
      <c r="AT52" s="107">
        <f t="shared" si="56"/>
        <v>89682.558809523776</v>
      </c>
      <c r="AU52" s="107">
        <f t="shared" si="57"/>
        <v>87440.49535714282</v>
      </c>
      <c r="AV52" s="107">
        <f t="shared" si="58"/>
        <v>85198.431904761863</v>
      </c>
      <c r="AW52" s="107">
        <f t="shared" si="59"/>
        <v>82956.368452380906</v>
      </c>
      <c r="AX52" s="107">
        <f t="shared" si="60"/>
        <v>80714.304999999949</v>
      </c>
      <c r="AY52" s="107">
        <f t="shared" si="61"/>
        <v>78472.241547618993</v>
      </c>
      <c r="AZ52" s="107">
        <f t="shared" si="62"/>
        <v>76230.178095238036</v>
      </c>
      <c r="BA52" s="107">
        <f t="shared" si="63"/>
        <v>73988.114642857079</v>
      </c>
      <c r="BB52" s="107">
        <f t="shared" si="64"/>
        <v>71746.051190476122</v>
      </c>
      <c r="BC52" s="107">
        <f t="shared" si="65"/>
        <v>69503.987738095166</v>
      </c>
      <c r="BD52" s="107">
        <f t="shared" si="66"/>
        <v>67261.924285714209</v>
      </c>
      <c r="BE52" s="10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</row>
    <row r="53" spans="1:75" hidden="1" x14ac:dyDescent="0.2">
      <c r="A53" s="123" t="str">
        <f>'[2]2021 УГРЦТ'!A55</f>
        <v>Комплект офисной мебели</v>
      </c>
      <c r="B53" s="124" t="str">
        <f>'[2]2021 УГРЦТ'!B55</f>
        <v>00001503</v>
      </c>
      <c r="C53" s="124" t="str">
        <f>VLOOKUP(A:A,'2023-2027'!A:L,1,+FALSE)</f>
        <v>Комплект офисной мебели</v>
      </c>
      <c r="D53" s="124" t="str">
        <f>'[2]2021 УГРЦТ'!C55</f>
        <v>ПРОИЗВОДСТВО</v>
      </c>
      <c r="E53" s="124" t="str">
        <f>'[2]2021 УГРЦТ'!D55</f>
        <v>Офисное оборудование</v>
      </c>
      <c r="F53" s="124" t="str">
        <f>'[2]2021 УГРЦТ'!E55</f>
        <v>06.04.2012</v>
      </c>
      <c r="G53" s="124" t="str">
        <f>'[2]2021 УГРЦТ'!F55</f>
        <v>Электрический цех</v>
      </c>
      <c r="H53" s="124">
        <f>'[2]2021 УГРЦТ'!AC55</f>
        <v>84</v>
      </c>
      <c r="I53" s="107">
        <f>'[2]2021 УГРЦТ'!X55</f>
        <v>68750</v>
      </c>
      <c r="J53" s="107">
        <f>'[2]2021 УГРЦТ'!Y55</f>
        <v>68750</v>
      </c>
      <c r="K53" s="107">
        <f>'[2]2021 УГРЦТ'!Z55</f>
        <v>0</v>
      </c>
      <c r="L53" s="125" t="e">
        <f>SUMIF([2]облаг!$B$2:$B$259,B53,[2]облаг!$D$2:$D$259)</f>
        <v>#VALUE!</v>
      </c>
      <c r="M53" s="107">
        <v>0</v>
      </c>
      <c r="N53" s="107">
        <f t="shared" si="14"/>
        <v>0</v>
      </c>
      <c r="O53" s="107">
        <f t="shared" si="15"/>
        <v>0</v>
      </c>
      <c r="P53" s="107">
        <f t="shared" si="16"/>
        <v>0</v>
      </c>
      <c r="Q53" s="107">
        <f t="shared" si="17"/>
        <v>0</v>
      </c>
      <c r="R53" s="107">
        <f t="shared" si="18"/>
        <v>0</v>
      </c>
      <c r="S53" s="107">
        <f t="shared" si="19"/>
        <v>0</v>
      </c>
      <c r="T53" s="107">
        <f t="shared" si="20"/>
        <v>0</v>
      </c>
      <c r="U53" s="107">
        <f t="shared" si="21"/>
        <v>0</v>
      </c>
      <c r="V53" s="107">
        <f t="shared" si="22"/>
        <v>0</v>
      </c>
      <c r="W53" s="107">
        <f t="shared" si="23"/>
        <v>0</v>
      </c>
      <c r="X53" s="107">
        <f t="shared" si="24"/>
        <v>0</v>
      </c>
      <c r="Y53" s="107">
        <f t="shared" si="25"/>
        <v>0</v>
      </c>
      <c r="Z53" s="107">
        <f t="shared" si="26"/>
        <v>0</v>
      </c>
      <c r="AA53" s="107">
        <f>SUM(O53:Z53,K53)/13*$AA$2</f>
        <v>0</v>
      </c>
      <c r="AB53" s="107"/>
      <c r="AC53" s="107">
        <f t="shared" si="27"/>
        <v>0</v>
      </c>
      <c r="AD53" s="107">
        <f t="shared" si="28"/>
        <v>0</v>
      </c>
      <c r="AE53" s="107">
        <f t="shared" si="29"/>
        <v>0</v>
      </c>
      <c r="AF53" s="107">
        <f t="shared" si="30"/>
        <v>0</v>
      </c>
      <c r="AG53" s="107">
        <f t="shared" si="31"/>
        <v>0</v>
      </c>
      <c r="AH53" s="107">
        <f t="shared" si="32"/>
        <v>0</v>
      </c>
      <c r="AI53" s="107">
        <f t="shared" si="33"/>
        <v>0</v>
      </c>
      <c r="AJ53" s="107">
        <f t="shared" si="34"/>
        <v>0</v>
      </c>
      <c r="AK53" s="107">
        <f t="shared" si="35"/>
        <v>0</v>
      </c>
      <c r="AL53" s="107">
        <f t="shared" si="36"/>
        <v>0</v>
      </c>
      <c r="AM53" s="107">
        <f t="shared" si="37"/>
        <v>0</v>
      </c>
      <c r="AN53" s="107">
        <f t="shared" si="38"/>
        <v>0</v>
      </c>
      <c r="AO53" s="107">
        <f t="shared" si="39"/>
        <v>0</v>
      </c>
      <c r="AP53" s="107">
        <f>SUM(AD53:AO53,Z53)/13*$AP$2</f>
        <v>0</v>
      </c>
      <c r="AQ53" s="126"/>
      <c r="AR53" s="107">
        <f t="shared" si="40"/>
        <v>0</v>
      </c>
      <c r="AS53" s="107">
        <f t="shared" si="55"/>
        <v>0</v>
      </c>
      <c r="AT53" s="107">
        <f t="shared" si="56"/>
        <v>0</v>
      </c>
      <c r="AU53" s="107">
        <f t="shared" si="57"/>
        <v>0</v>
      </c>
      <c r="AV53" s="107">
        <f t="shared" si="58"/>
        <v>0</v>
      </c>
      <c r="AW53" s="107">
        <f t="shared" si="59"/>
        <v>0</v>
      </c>
      <c r="AX53" s="107">
        <f t="shared" si="60"/>
        <v>0</v>
      </c>
      <c r="AY53" s="107">
        <f t="shared" si="61"/>
        <v>0</v>
      </c>
      <c r="AZ53" s="107">
        <f t="shared" si="62"/>
        <v>0</v>
      </c>
      <c r="BA53" s="107">
        <f t="shared" si="63"/>
        <v>0</v>
      </c>
      <c r="BB53" s="107">
        <f t="shared" si="64"/>
        <v>0</v>
      </c>
      <c r="BC53" s="107">
        <f t="shared" si="65"/>
        <v>0</v>
      </c>
      <c r="BD53" s="107">
        <f t="shared" si="66"/>
        <v>0</v>
      </c>
      <c r="BE53" s="107">
        <f>SUM(AS53:BD53,AO53)/13*$BE$2</f>
        <v>0</v>
      </c>
      <c r="BG53" s="127"/>
      <c r="BV53" s="127"/>
    </row>
    <row r="54" spans="1:75" ht="33.75" hidden="1" x14ac:dyDescent="0.2">
      <c r="A54" s="123" t="str">
        <f>'[2]2021 УГРЦТ'!A56</f>
        <v xml:space="preserve">Комплект трассо-дефектоискателя Поиск-510 Мастер (с генератором МК-510) </v>
      </c>
      <c r="B54" s="124" t="str">
        <f>'[2]2021 УГРЦТ'!B56</f>
        <v>000001804</v>
      </c>
      <c r="C54" s="124" t="str">
        <f>VLOOKUP(A:A,'2023-2027'!A:L,1,+FALSE)</f>
        <v xml:space="preserve">Комплект трассо-дефектоискателя Поиск-510 Мастер (с генератором МК-510) </v>
      </c>
      <c r="D54" s="124" t="str">
        <f>'[2]2021 УГРЦТ'!C56</f>
        <v>ПРОИЗВОДСТВО</v>
      </c>
      <c r="E54" s="124" t="str">
        <f>'[2]2021 УГРЦТ'!D56</f>
        <v>Машины и оборудование (кроме офисного)</v>
      </c>
      <c r="F54" s="124" t="str">
        <f>'[2]2021 УГРЦТ'!E56</f>
        <v>24.03.2020</v>
      </c>
      <c r="G54" s="124" t="str">
        <f>'[2]2021 УГРЦТ'!F56</f>
        <v>ДЭС п.Красное</v>
      </c>
      <c r="H54" s="124">
        <f>'[2]2021 УГРЦТ'!AC56</f>
        <v>84</v>
      </c>
      <c r="I54" s="107">
        <f>'[2]2021 УГРЦТ'!X56</f>
        <v>45323.25</v>
      </c>
      <c r="J54" s="107">
        <f>'[2]2021 УГРЦТ'!Y56</f>
        <v>11330.79</v>
      </c>
      <c r="K54" s="107">
        <f>'[2]2021 УГРЦТ'!Z56</f>
        <v>33992.46</v>
      </c>
      <c r="L54" s="125" t="e">
        <f>SUMIF([2]облаг!$B$2:$B$259,B54,[2]облаг!$D$2:$D$259)</f>
        <v>#VALUE!</v>
      </c>
      <c r="M54" s="107">
        <f t="shared" si="13"/>
        <v>539.5625</v>
      </c>
      <c r="N54" s="107">
        <f t="shared" si="14"/>
        <v>6474.75</v>
      </c>
      <c r="O54" s="107">
        <f t="shared" si="15"/>
        <v>33452.897499999999</v>
      </c>
      <c r="P54" s="107">
        <f t="shared" si="16"/>
        <v>32913.334999999999</v>
      </c>
      <c r="Q54" s="107">
        <f t="shared" si="17"/>
        <v>32373.772499999999</v>
      </c>
      <c r="R54" s="107">
        <f t="shared" si="18"/>
        <v>31834.21</v>
      </c>
      <c r="S54" s="107">
        <f t="shared" si="19"/>
        <v>31294.647499999999</v>
      </c>
      <c r="T54" s="107">
        <f t="shared" si="20"/>
        <v>30755.084999999999</v>
      </c>
      <c r="U54" s="107">
        <f t="shared" si="21"/>
        <v>30215.522499999999</v>
      </c>
      <c r="V54" s="107">
        <f t="shared" si="22"/>
        <v>29675.96</v>
      </c>
      <c r="W54" s="107">
        <f t="shared" si="23"/>
        <v>29136.397499999999</v>
      </c>
      <c r="X54" s="107">
        <f t="shared" si="24"/>
        <v>28596.834999999999</v>
      </c>
      <c r="Y54" s="107">
        <f t="shared" si="25"/>
        <v>28057.272499999999</v>
      </c>
      <c r="Z54" s="107">
        <f t="shared" si="26"/>
        <v>27517.71</v>
      </c>
      <c r="AA54" s="107"/>
      <c r="AB54" s="107"/>
      <c r="AC54" s="107">
        <f t="shared" si="27"/>
        <v>6474.75</v>
      </c>
      <c r="AD54" s="107">
        <f t="shared" si="28"/>
        <v>26978.147499999999</v>
      </c>
      <c r="AE54" s="107">
        <f t="shared" si="29"/>
        <v>26438.584999999999</v>
      </c>
      <c r="AF54" s="107">
        <f t="shared" si="30"/>
        <v>25899.022499999999</v>
      </c>
      <c r="AG54" s="107">
        <f t="shared" si="31"/>
        <v>25359.46</v>
      </c>
      <c r="AH54" s="107">
        <f t="shared" si="32"/>
        <v>24819.897499999999</v>
      </c>
      <c r="AI54" s="107">
        <f t="shared" si="33"/>
        <v>24280.334999999999</v>
      </c>
      <c r="AJ54" s="107">
        <f t="shared" si="34"/>
        <v>23740.772499999999</v>
      </c>
      <c r="AK54" s="107">
        <f t="shared" si="35"/>
        <v>23201.21</v>
      </c>
      <c r="AL54" s="107">
        <f t="shared" si="36"/>
        <v>22661.647499999999</v>
      </c>
      <c r="AM54" s="107">
        <f t="shared" si="37"/>
        <v>22122.084999999999</v>
      </c>
      <c r="AN54" s="107">
        <f t="shared" si="38"/>
        <v>21582.522499999999</v>
      </c>
      <c r="AO54" s="107">
        <f t="shared" si="39"/>
        <v>21042.959999999999</v>
      </c>
      <c r="AP54" s="107"/>
      <c r="AQ54" s="126"/>
      <c r="AR54" s="107">
        <f t="shared" si="40"/>
        <v>6474.75</v>
      </c>
      <c r="AS54" s="107">
        <f t="shared" si="55"/>
        <v>20503.397499999999</v>
      </c>
      <c r="AT54" s="107">
        <f t="shared" si="56"/>
        <v>19963.834999999999</v>
      </c>
      <c r="AU54" s="107">
        <f t="shared" si="57"/>
        <v>19424.272499999999</v>
      </c>
      <c r="AV54" s="107">
        <f t="shared" si="58"/>
        <v>18884.71</v>
      </c>
      <c r="AW54" s="107">
        <f t="shared" si="59"/>
        <v>18345.147499999999</v>
      </c>
      <c r="AX54" s="107">
        <f t="shared" si="60"/>
        <v>17805.584999999999</v>
      </c>
      <c r="AY54" s="107">
        <f t="shared" si="61"/>
        <v>17266.022499999999</v>
      </c>
      <c r="AZ54" s="107">
        <f t="shared" si="62"/>
        <v>16726.46</v>
      </c>
      <c r="BA54" s="107">
        <f t="shared" si="63"/>
        <v>16186.897499999999</v>
      </c>
      <c r="BB54" s="107">
        <f t="shared" si="64"/>
        <v>15647.334999999999</v>
      </c>
      <c r="BC54" s="107">
        <f t="shared" si="65"/>
        <v>15107.772499999999</v>
      </c>
      <c r="BD54" s="107">
        <f t="shared" si="66"/>
        <v>14568.21</v>
      </c>
      <c r="BE54" s="10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</row>
    <row r="55" spans="1:75" ht="33.75" hidden="1" x14ac:dyDescent="0.2">
      <c r="A55" s="123" t="str">
        <f>'[2]2021 УГРЦТ'!A57</f>
        <v>Комплектная трансформаторная подстанция 2КТП(М)-630-6/0,4-УХЛ1</v>
      </c>
      <c r="B55" s="124" t="str">
        <f>'[2]2021 УГРЦТ'!B57</f>
        <v>000001835</v>
      </c>
      <c r="C55" s="124" t="str">
        <f>VLOOKUP(A:A,'2023-2027'!A:L,1,+FALSE)</f>
        <v>Комплектная трансформаторная подстанция 2КТП(М)-630-6/0,4-УХЛ1</v>
      </c>
      <c r="D55" s="124" t="str">
        <f>'[2]2021 УГРЦТ'!C57</f>
        <v>ПРОИЗВОДСТВО</v>
      </c>
      <c r="E55" s="124" t="str">
        <f>'[2]2021 УГРЦТ'!D57</f>
        <v>Здания</v>
      </c>
      <c r="F55" s="124" t="str">
        <f>'[2]2021 УГРЦТ'!E57</f>
        <v>30.12.2020</v>
      </c>
      <c r="G55" s="124" t="str">
        <f>'[2]2021 УГРЦТ'!F57</f>
        <v>ДЭС п.Красное</v>
      </c>
      <c r="H55" s="124">
        <f>'[2]2021 УГРЦТ'!AC57</f>
        <v>360</v>
      </c>
      <c r="I55" s="107">
        <f>'[2]2021 УГРЦТ'!X57</f>
        <v>19015901.02</v>
      </c>
      <c r="J55" s="107">
        <f>'[2]2021 УГРЦТ'!Y57</f>
        <v>633863.36733333347</v>
      </c>
      <c r="K55" s="107">
        <f>'[2]2021 УГРЦТ'!Z57</f>
        <v>18382037.652666666</v>
      </c>
      <c r="L55" s="125" t="e">
        <f>SUMIF([2]облаг!$B$2:$B$259,B55,[2]облаг!$D$2:$D$259)</f>
        <v>#VALUE!</v>
      </c>
      <c r="M55" s="107">
        <f t="shared" si="13"/>
        <v>52821.947277777777</v>
      </c>
      <c r="N55" s="107">
        <f t="shared" si="14"/>
        <v>633863.36733333336</v>
      </c>
      <c r="O55" s="107">
        <f t="shared" si="15"/>
        <v>18329215.705388889</v>
      </c>
      <c r="P55" s="107">
        <f t="shared" si="16"/>
        <v>18276393.758111112</v>
      </c>
      <c r="Q55" s="107">
        <f t="shared" si="17"/>
        <v>18223571.810833335</v>
      </c>
      <c r="R55" s="107">
        <f t="shared" si="18"/>
        <v>18170749.863555558</v>
      </c>
      <c r="S55" s="107">
        <f t="shared" si="19"/>
        <v>18117927.916277781</v>
      </c>
      <c r="T55" s="107">
        <f t="shared" si="20"/>
        <v>18065105.969000004</v>
      </c>
      <c r="U55" s="107">
        <f t="shared" si="21"/>
        <v>18012284.021722227</v>
      </c>
      <c r="V55" s="107">
        <f t="shared" si="22"/>
        <v>17959462.07444445</v>
      </c>
      <c r="W55" s="107">
        <f t="shared" si="23"/>
        <v>17906640.127166674</v>
      </c>
      <c r="X55" s="107">
        <f t="shared" si="24"/>
        <v>17853818.179888897</v>
      </c>
      <c r="Y55" s="107">
        <f t="shared" si="25"/>
        <v>17800996.23261112</v>
      </c>
      <c r="Z55" s="107">
        <f t="shared" si="26"/>
        <v>17748174.285333343</v>
      </c>
      <c r="AA55" s="107">
        <f>SUM(O55:Z55,K55)/13*$AA$2</f>
        <v>397432.3313180001</v>
      </c>
      <c r="AB55" s="107"/>
      <c r="AC55" s="107">
        <f t="shared" si="27"/>
        <v>633863.36733333336</v>
      </c>
      <c r="AD55" s="107">
        <f t="shared" si="28"/>
        <v>17695352.338055566</v>
      </c>
      <c r="AE55" s="107">
        <f t="shared" si="29"/>
        <v>17642530.390777789</v>
      </c>
      <c r="AF55" s="107">
        <f t="shared" si="30"/>
        <v>17589708.443500012</v>
      </c>
      <c r="AG55" s="107">
        <f t="shared" si="31"/>
        <v>17536886.496222235</v>
      </c>
      <c r="AH55" s="107">
        <f t="shared" si="32"/>
        <v>17484064.548944458</v>
      </c>
      <c r="AI55" s="107">
        <f t="shared" si="33"/>
        <v>17431242.601666681</v>
      </c>
      <c r="AJ55" s="107">
        <f t="shared" si="34"/>
        <v>17378420.654388905</v>
      </c>
      <c r="AK55" s="107">
        <f t="shared" si="35"/>
        <v>17325598.707111128</v>
      </c>
      <c r="AL55" s="107">
        <f t="shared" si="36"/>
        <v>17272776.759833351</v>
      </c>
      <c r="AM55" s="107">
        <f t="shared" si="37"/>
        <v>17219954.812555574</v>
      </c>
      <c r="AN55" s="107">
        <f t="shared" si="38"/>
        <v>17167132.865277797</v>
      </c>
      <c r="AO55" s="107">
        <f t="shared" si="39"/>
        <v>17114310.91800002</v>
      </c>
      <c r="AP55" s="107">
        <f>SUM(AD55:AO55,Z55)/13*$AP$2</f>
        <v>383487.33723666699</v>
      </c>
      <c r="AQ55" s="126"/>
      <c r="AR55" s="107">
        <f t="shared" si="40"/>
        <v>633863.36733333336</v>
      </c>
      <c r="AS55" s="107">
        <f t="shared" si="55"/>
        <v>17061488.970722243</v>
      </c>
      <c r="AT55" s="107">
        <f t="shared" si="56"/>
        <v>17008667.023444466</v>
      </c>
      <c r="AU55" s="107">
        <f t="shared" si="57"/>
        <v>16955845.076166689</v>
      </c>
      <c r="AV55" s="107">
        <f t="shared" si="58"/>
        <v>16903023.128888912</v>
      </c>
      <c r="AW55" s="107">
        <f t="shared" si="59"/>
        <v>16850201.181611136</v>
      </c>
      <c r="AX55" s="107">
        <f t="shared" si="60"/>
        <v>16797379.234333359</v>
      </c>
      <c r="AY55" s="107">
        <f t="shared" si="61"/>
        <v>16744557.287055582</v>
      </c>
      <c r="AZ55" s="107">
        <f t="shared" si="62"/>
        <v>16691735.339777805</v>
      </c>
      <c r="BA55" s="107">
        <f t="shared" si="63"/>
        <v>16638913.392500028</v>
      </c>
      <c r="BB55" s="107">
        <f t="shared" si="64"/>
        <v>16586091.445222251</v>
      </c>
      <c r="BC55" s="107">
        <f t="shared" si="65"/>
        <v>16533269.497944474</v>
      </c>
      <c r="BD55" s="107">
        <f t="shared" si="66"/>
        <v>16480447.550666697</v>
      </c>
      <c r="BE55" s="107">
        <f>SUM(AS55:BD55,AO55)/13*$BE$2</f>
        <v>369542.34315533389</v>
      </c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</row>
    <row r="56" spans="1:75" hidden="1" x14ac:dyDescent="0.2">
      <c r="A56" s="123" t="str">
        <f>'[2]2021 УГРЦТ'!A58</f>
        <v>Компрессор REMEZA BP 10-30</v>
      </c>
      <c r="B56" s="124" t="str">
        <f>'[2]2021 УГРЦТ'!B58</f>
        <v>000001771</v>
      </c>
      <c r="C56" s="124" t="str">
        <f>VLOOKUP(A:A,'2023-2027'!A:L,1,+FALSE)</f>
        <v>Компрессор REMEZA BP 10-30</v>
      </c>
      <c r="D56" s="124" t="str">
        <f>'[2]2021 УГРЦТ'!C58</f>
        <v>ПРОИЗВОДСТВО</v>
      </c>
      <c r="E56" s="124" t="str">
        <f>'[2]2021 УГРЦТ'!D58</f>
        <v>Машины и оборудование (кроме офисного)</v>
      </c>
      <c r="F56" s="124" t="str">
        <f>'[2]2021 УГРЦТ'!E58</f>
        <v>25.06.2019</v>
      </c>
      <c r="G56" s="124" t="str">
        <f>'[2]2021 УГРЦТ'!F58</f>
        <v>Тепломеханический цех</v>
      </c>
      <c r="H56" s="124">
        <f>'[2]2021 УГРЦТ'!AC58</f>
        <v>240</v>
      </c>
      <c r="I56" s="107">
        <f>'[2]2021 УГРЦТ'!X58</f>
        <v>239750</v>
      </c>
      <c r="J56" s="107">
        <f>'[2]2021 УГРЦТ'!Y58</f>
        <v>29968.78</v>
      </c>
      <c r="K56" s="107">
        <f>'[2]2021 УГРЦТ'!Z58</f>
        <v>209781.22</v>
      </c>
      <c r="L56" s="125" t="e">
        <f>SUMIF([2]облаг!$B$2:$B$259,B56,[2]облаг!$D$2:$D$259)</f>
        <v>#VALUE!</v>
      </c>
      <c r="M56" s="107">
        <f t="shared" si="13"/>
        <v>998.95833333333337</v>
      </c>
      <c r="N56" s="107">
        <f t="shared" si="14"/>
        <v>11987.5</v>
      </c>
      <c r="O56" s="107">
        <f t="shared" si="15"/>
        <v>208782.26166666666</v>
      </c>
      <c r="P56" s="107">
        <f t="shared" si="16"/>
        <v>207783.30333333332</v>
      </c>
      <c r="Q56" s="107">
        <f t="shared" si="17"/>
        <v>206784.34499999997</v>
      </c>
      <c r="R56" s="107">
        <f t="shared" si="18"/>
        <v>205785.38666666663</v>
      </c>
      <c r="S56" s="107">
        <f t="shared" si="19"/>
        <v>204786.42833333329</v>
      </c>
      <c r="T56" s="107">
        <f t="shared" si="20"/>
        <v>203787.46999999994</v>
      </c>
      <c r="U56" s="107">
        <f t="shared" si="21"/>
        <v>202788.5116666666</v>
      </c>
      <c r="V56" s="107">
        <f t="shared" si="22"/>
        <v>201789.55333333326</v>
      </c>
      <c r="W56" s="107">
        <f t="shared" si="23"/>
        <v>200790.59499999991</v>
      </c>
      <c r="X56" s="107">
        <f t="shared" si="24"/>
        <v>199791.63666666657</v>
      </c>
      <c r="Y56" s="107">
        <f t="shared" si="25"/>
        <v>198792.67833333323</v>
      </c>
      <c r="Z56" s="107">
        <f t="shared" si="26"/>
        <v>197793.71999999988</v>
      </c>
      <c r="AA56" s="107"/>
      <c r="AB56" s="107"/>
      <c r="AC56" s="107">
        <f t="shared" si="27"/>
        <v>11987.5</v>
      </c>
      <c r="AD56" s="107">
        <f t="shared" si="28"/>
        <v>196794.76166666654</v>
      </c>
      <c r="AE56" s="107">
        <f t="shared" si="29"/>
        <v>195795.8033333332</v>
      </c>
      <c r="AF56" s="107">
        <f t="shared" si="30"/>
        <v>194796.84499999986</v>
      </c>
      <c r="AG56" s="107">
        <f t="shared" si="31"/>
        <v>193797.88666666651</v>
      </c>
      <c r="AH56" s="107">
        <f t="shared" si="32"/>
        <v>192798.92833333317</v>
      </c>
      <c r="AI56" s="107">
        <f t="shared" si="33"/>
        <v>191799.96999999983</v>
      </c>
      <c r="AJ56" s="107">
        <f t="shared" si="34"/>
        <v>190801.01166666648</v>
      </c>
      <c r="AK56" s="107">
        <f t="shared" si="35"/>
        <v>189802.05333333314</v>
      </c>
      <c r="AL56" s="107">
        <f t="shared" si="36"/>
        <v>188803.0949999998</v>
      </c>
      <c r="AM56" s="107">
        <f t="shared" si="37"/>
        <v>187804.13666666645</v>
      </c>
      <c r="AN56" s="107">
        <f t="shared" si="38"/>
        <v>186805.17833333311</v>
      </c>
      <c r="AO56" s="107">
        <f t="shared" si="39"/>
        <v>185806.21999999977</v>
      </c>
      <c r="AP56" s="107"/>
      <c r="AQ56" s="126"/>
      <c r="AR56" s="107">
        <f t="shared" si="40"/>
        <v>11987.5</v>
      </c>
      <c r="AS56" s="107">
        <f t="shared" si="55"/>
        <v>184807.26166666643</v>
      </c>
      <c r="AT56" s="107">
        <f t="shared" si="56"/>
        <v>183808.30333333308</v>
      </c>
      <c r="AU56" s="107">
        <f t="shared" si="57"/>
        <v>182809.34499999974</v>
      </c>
      <c r="AV56" s="107">
        <f t="shared" si="58"/>
        <v>181810.3866666664</v>
      </c>
      <c r="AW56" s="107">
        <f t="shared" si="59"/>
        <v>180811.42833333305</v>
      </c>
      <c r="AX56" s="107">
        <f t="shared" si="60"/>
        <v>179812.46999999971</v>
      </c>
      <c r="AY56" s="107">
        <f t="shared" si="61"/>
        <v>178813.51166666637</v>
      </c>
      <c r="AZ56" s="107">
        <f t="shared" si="62"/>
        <v>177814.55333333302</v>
      </c>
      <c r="BA56" s="107">
        <f t="shared" si="63"/>
        <v>176815.59499999968</v>
      </c>
      <c r="BB56" s="107">
        <f t="shared" si="64"/>
        <v>175816.63666666634</v>
      </c>
      <c r="BC56" s="107">
        <f t="shared" si="65"/>
        <v>174817.67833333299</v>
      </c>
      <c r="BD56" s="107">
        <f t="shared" si="66"/>
        <v>173818.71999999965</v>
      </c>
      <c r="BE56" s="10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</row>
    <row r="57" spans="1:75" hidden="1" x14ac:dyDescent="0.2">
      <c r="A57" s="123" t="str">
        <f>'[2]2021 УГРЦТ'!A59</f>
        <v>Контейнер 20 ф №1</v>
      </c>
      <c r="B57" s="124" t="str">
        <f>'[2]2021 УГРЦТ'!B59</f>
        <v>000001521</v>
      </c>
      <c r="C57" s="124" t="str">
        <f>VLOOKUP(A:A,'2023-2027'!A:L,1,+FALSE)</f>
        <v>Контейнер 20 ф №1</v>
      </c>
      <c r="D57" s="124" t="str">
        <f>'[2]2021 УГРЦТ'!C59</f>
        <v>ПРОИЗВОДСТВО</v>
      </c>
      <c r="E57" s="124" t="str">
        <f>'[2]2021 УГРЦТ'!D59</f>
        <v>Другие виды основных средств</v>
      </c>
      <c r="F57" s="124" t="str">
        <f>'[2]2021 УГРЦТ'!E59</f>
        <v>10.04.2013</v>
      </c>
      <c r="G57" s="124" t="str">
        <f>'[2]2021 УГРЦТ'!F59</f>
        <v>Тепломеханический цех</v>
      </c>
      <c r="H57" s="124">
        <f>'[2]2021 УГРЦТ'!AC59</f>
        <v>180</v>
      </c>
      <c r="I57" s="107">
        <f>'[2]2021 УГРЦТ'!X59</f>
        <v>0</v>
      </c>
      <c r="J57" s="107">
        <f>'[2]2021 УГРЦТ'!Y59</f>
        <v>28813.93888888889</v>
      </c>
      <c r="K57" s="107">
        <f>'[2]2021 УГРЦТ'!Z59</f>
        <v>0</v>
      </c>
      <c r="L57" s="125" t="e">
        <f>SUMIF([2]облаг!$B$2:$B$259,B57,[2]облаг!$D$2:$D$259)</f>
        <v>#VALUE!</v>
      </c>
      <c r="M57" s="107">
        <f t="shared" si="13"/>
        <v>0</v>
      </c>
      <c r="N57" s="107">
        <f t="shared" si="14"/>
        <v>0</v>
      </c>
      <c r="O57" s="107">
        <f t="shared" si="15"/>
        <v>0</v>
      </c>
      <c r="P57" s="107">
        <f t="shared" si="16"/>
        <v>0</v>
      </c>
      <c r="Q57" s="107">
        <f t="shared" si="17"/>
        <v>0</v>
      </c>
      <c r="R57" s="107">
        <f t="shared" si="18"/>
        <v>0</v>
      </c>
      <c r="S57" s="107">
        <f t="shared" si="19"/>
        <v>0</v>
      </c>
      <c r="T57" s="107">
        <f t="shared" si="20"/>
        <v>0</v>
      </c>
      <c r="U57" s="107">
        <f t="shared" si="21"/>
        <v>0</v>
      </c>
      <c r="V57" s="107">
        <f t="shared" si="22"/>
        <v>0</v>
      </c>
      <c r="W57" s="107">
        <f t="shared" si="23"/>
        <v>0</v>
      </c>
      <c r="X57" s="107">
        <f t="shared" si="24"/>
        <v>0</v>
      </c>
      <c r="Y57" s="107">
        <f t="shared" si="25"/>
        <v>0</v>
      </c>
      <c r="Z57" s="107">
        <f t="shared" si="26"/>
        <v>0</v>
      </c>
      <c r="AA57" s="107"/>
      <c r="AB57" s="107"/>
      <c r="AC57" s="107">
        <f t="shared" si="27"/>
        <v>0</v>
      </c>
      <c r="AD57" s="107">
        <f t="shared" si="28"/>
        <v>0</v>
      </c>
      <c r="AE57" s="107">
        <f t="shared" si="29"/>
        <v>0</v>
      </c>
      <c r="AF57" s="107">
        <f t="shared" si="30"/>
        <v>0</v>
      </c>
      <c r="AG57" s="107">
        <f t="shared" si="31"/>
        <v>0</v>
      </c>
      <c r="AH57" s="107">
        <f t="shared" si="32"/>
        <v>0</v>
      </c>
      <c r="AI57" s="107">
        <f t="shared" si="33"/>
        <v>0</v>
      </c>
      <c r="AJ57" s="107">
        <f t="shared" si="34"/>
        <v>0</v>
      </c>
      <c r="AK57" s="107">
        <f t="shared" si="35"/>
        <v>0</v>
      </c>
      <c r="AL57" s="107">
        <f t="shared" si="36"/>
        <v>0</v>
      </c>
      <c r="AM57" s="107">
        <f t="shared" si="37"/>
        <v>0</v>
      </c>
      <c r="AN57" s="107">
        <f t="shared" si="38"/>
        <v>0</v>
      </c>
      <c r="AO57" s="107">
        <f t="shared" si="39"/>
        <v>0</v>
      </c>
      <c r="AP57" s="107"/>
      <c r="AQ57" s="126"/>
      <c r="AR57" s="107">
        <f t="shared" si="40"/>
        <v>0</v>
      </c>
      <c r="AS57" s="107">
        <f t="shared" si="55"/>
        <v>0</v>
      </c>
      <c r="AT57" s="107">
        <f t="shared" si="56"/>
        <v>0</v>
      </c>
      <c r="AU57" s="107">
        <f t="shared" si="57"/>
        <v>0</v>
      </c>
      <c r="AV57" s="107">
        <f t="shared" si="58"/>
        <v>0</v>
      </c>
      <c r="AW57" s="107">
        <f t="shared" si="59"/>
        <v>0</v>
      </c>
      <c r="AX57" s="107">
        <f t="shared" si="60"/>
        <v>0</v>
      </c>
      <c r="AY57" s="107">
        <f t="shared" si="61"/>
        <v>0</v>
      </c>
      <c r="AZ57" s="107">
        <f t="shared" si="62"/>
        <v>0</v>
      </c>
      <c r="BA57" s="107">
        <f t="shared" si="63"/>
        <v>0</v>
      </c>
      <c r="BB57" s="107">
        <f t="shared" si="64"/>
        <v>0</v>
      </c>
      <c r="BC57" s="107">
        <f t="shared" si="65"/>
        <v>0</v>
      </c>
      <c r="BD57" s="107">
        <f t="shared" si="66"/>
        <v>0</v>
      </c>
      <c r="BE57" s="124"/>
    </row>
    <row r="58" spans="1:75" hidden="1" x14ac:dyDescent="0.2">
      <c r="A58" s="123" t="str">
        <f>'[2]2021 УГРЦТ'!A60</f>
        <v>Контейнер 20 ф №2</v>
      </c>
      <c r="B58" s="124" t="str">
        <f>'[2]2021 УГРЦТ'!B60</f>
        <v>000001522</v>
      </c>
      <c r="C58" s="124" t="str">
        <f>VLOOKUP(A:A,'2023-2027'!A:L,1,+FALSE)</f>
        <v>Контейнер 20 ф №2</v>
      </c>
      <c r="D58" s="124" t="str">
        <f>'[2]2021 УГРЦТ'!C60</f>
        <v>ПРОИЗВОДСТВО</v>
      </c>
      <c r="E58" s="124" t="str">
        <f>'[2]2021 УГРЦТ'!D60</f>
        <v>Другие виды основных средств</v>
      </c>
      <c r="F58" s="124" t="str">
        <f>'[2]2021 УГРЦТ'!E60</f>
        <v>10.04.2013</v>
      </c>
      <c r="G58" s="124" t="str">
        <f>'[2]2021 УГРЦТ'!F60</f>
        <v>Тепломеханический цех</v>
      </c>
      <c r="H58" s="124">
        <f>'[2]2021 УГРЦТ'!AC60</f>
        <v>180</v>
      </c>
      <c r="I58" s="107">
        <f>'[2]2021 УГРЦТ'!X60</f>
        <v>50847.46</v>
      </c>
      <c r="J58" s="107">
        <f>'[2]2021 УГРЦТ'!Y60</f>
        <v>29378.91066666667</v>
      </c>
      <c r="K58" s="107">
        <f>'[2]2021 УГРЦТ'!Z60</f>
        <v>21468.549333333329</v>
      </c>
      <c r="L58" s="125" t="e">
        <f>SUMIF([2]облаг!$B$2:$B$259,B58,[2]облаг!$D$2:$D$259)</f>
        <v>#VALUE!</v>
      </c>
      <c r="M58" s="107">
        <f t="shared" si="13"/>
        <v>282.48588888888889</v>
      </c>
      <c r="N58" s="107">
        <f t="shared" si="14"/>
        <v>3389.8306666666667</v>
      </c>
      <c r="O58" s="107">
        <f t="shared" si="15"/>
        <v>21186.06344444444</v>
      </c>
      <c r="P58" s="107">
        <f t="shared" si="16"/>
        <v>20903.577555555552</v>
      </c>
      <c r="Q58" s="107">
        <f t="shared" si="17"/>
        <v>20621.091666666664</v>
      </c>
      <c r="R58" s="107">
        <f t="shared" si="18"/>
        <v>20338.605777777775</v>
      </c>
      <c r="S58" s="107">
        <f t="shared" si="19"/>
        <v>20056.119888888887</v>
      </c>
      <c r="T58" s="107">
        <f t="shared" si="20"/>
        <v>19773.633999999998</v>
      </c>
      <c r="U58" s="107">
        <f t="shared" si="21"/>
        <v>19491.14811111111</v>
      </c>
      <c r="V58" s="107">
        <f t="shared" si="22"/>
        <v>19208.662222222221</v>
      </c>
      <c r="W58" s="107">
        <f t="shared" si="23"/>
        <v>18926.176333333333</v>
      </c>
      <c r="X58" s="107">
        <f t="shared" si="24"/>
        <v>18643.690444444444</v>
      </c>
      <c r="Y58" s="107">
        <f t="shared" si="25"/>
        <v>18361.204555555556</v>
      </c>
      <c r="Z58" s="107">
        <f t="shared" si="26"/>
        <v>18078.718666666668</v>
      </c>
      <c r="AA58" s="107"/>
      <c r="AB58" s="107"/>
      <c r="AC58" s="107">
        <f t="shared" si="27"/>
        <v>3389.8306666666667</v>
      </c>
      <c r="AD58" s="107">
        <f t="shared" si="28"/>
        <v>17796.232777777779</v>
      </c>
      <c r="AE58" s="107">
        <f t="shared" si="29"/>
        <v>17513.746888888891</v>
      </c>
      <c r="AF58" s="107">
        <f t="shared" si="30"/>
        <v>17231.261000000002</v>
      </c>
      <c r="AG58" s="107">
        <f t="shared" si="31"/>
        <v>16948.775111111114</v>
      </c>
      <c r="AH58" s="107">
        <f t="shared" si="32"/>
        <v>16666.289222222225</v>
      </c>
      <c r="AI58" s="107">
        <f t="shared" si="33"/>
        <v>16383.803333333337</v>
      </c>
      <c r="AJ58" s="107">
        <f t="shared" si="34"/>
        <v>16101.317444444448</v>
      </c>
      <c r="AK58" s="107">
        <f t="shared" si="35"/>
        <v>15818.83155555556</v>
      </c>
      <c r="AL58" s="107">
        <f t="shared" si="36"/>
        <v>15536.345666666672</v>
      </c>
      <c r="AM58" s="107">
        <f t="shared" si="37"/>
        <v>15253.859777777783</v>
      </c>
      <c r="AN58" s="107">
        <f t="shared" si="38"/>
        <v>14971.373888888895</v>
      </c>
      <c r="AO58" s="107">
        <f t="shared" si="39"/>
        <v>14688.888000000006</v>
      </c>
      <c r="AP58" s="107"/>
      <c r="AQ58" s="126"/>
      <c r="AR58" s="107">
        <f t="shared" si="40"/>
        <v>3389.8306666666667</v>
      </c>
      <c r="AS58" s="107">
        <f t="shared" si="55"/>
        <v>14406.402111111118</v>
      </c>
      <c r="AT58" s="107">
        <f t="shared" si="56"/>
        <v>14123.916222222229</v>
      </c>
      <c r="AU58" s="107">
        <f t="shared" si="57"/>
        <v>13841.430333333341</v>
      </c>
      <c r="AV58" s="107">
        <f t="shared" si="58"/>
        <v>13558.944444444453</v>
      </c>
      <c r="AW58" s="107">
        <f t="shared" si="59"/>
        <v>13276.458555555564</v>
      </c>
      <c r="AX58" s="107">
        <f t="shared" si="60"/>
        <v>12993.972666666676</v>
      </c>
      <c r="AY58" s="107">
        <f t="shared" si="61"/>
        <v>12711.486777777787</v>
      </c>
      <c r="AZ58" s="107">
        <f t="shared" si="62"/>
        <v>12429.000888888899</v>
      </c>
      <c r="BA58" s="107">
        <f t="shared" si="63"/>
        <v>12146.51500000001</v>
      </c>
      <c r="BB58" s="107">
        <f t="shared" si="64"/>
        <v>11864.029111111122</v>
      </c>
      <c r="BC58" s="107">
        <f t="shared" si="65"/>
        <v>11581.543222222233</v>
      </c>
      <c r="BD58" s="107">
        <f t="shared" si="66"/>
        <v>11299.057333333345</v>
      </c>
      <c r="BE58" s="10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</row>
    <row r="59" spans="1:75" hidden="1" x14ac:dyDescent="0.2">
      <c r="A59" s="123" t="str">
        <f>'[2]2021 УГРЦТ'!A61</f>
        <v>Контейнер 20т DC FSCU7393953</v>
      </c>
      <c r="B59" s="124" t="str">
        <f>'[2]2021 УГРЦТ'!B61</f>
        <v>000001537</v>
      </c>
      <c r="C59" s="124" t="str">
        <f>VLOOKUP(A:A,'2023-2027'!A:L,1,+FALSE)</f>
        <v>Контейнер 20т DC FSCU7393953</v>
      </c>
      <c r="D59" s="124" t="str">
        <f>'[2]2021 УГРЦТ'!C61</f>
        <v>ПРОИЗВОДСТВО</v>
      </c>
      <c r="E59" s="124" t="str">
        <f>'[2]2021 УГРЦТ'!D61</f>
        <v>Машины и оборудование (кроме офисного)</v>
      </c>
      <c r="F59" s="124" t="str">
        <f>'[2]2021 УГРЦТ'!E61</f>
        <v>01.08.2013</v>
      </c>
      <c r="G59" s="124" t="str">
        <f>'[2]2021 УГРЦТ'!F61</f>
        <v>Электрический цех</v>
      </c>
      <c r="H59" s="124">
        <f>'[2]2021 УГРЦТ'!AC61</f>
        <v>180</v>
      </c>
      <c r="I59" s="107">
        <f>'[2]2021 УГРЦТ'!X61</f>
        <v>88203</v>
      </c>
      <c r="J59" s="107">
        <f>'[2]2021 УГРЦТ'!Y61</f>
        <v>49001.96</v>
      </c>
      <c r="K59" s="107">
        <f>'[2]2021 УГРЦТ'!Z61</f>
        <v>39201.040000000001</v>
      </c>
      <c r="L59" s="125" t="e">
        <f>SUMIF([2]облаг!$B$2:$B$259,B59,[2]облаг!$D$2:$D$259)</f>
        <v>#VALUE!</v>
      </c>
      <c r="M59" s="107">
        <f t="shared" si="13"/>
        <v>490.01666666666665</v>
      </c>
      <c r="N59" s="107">
        <f t="shared" si="14"/>
        <v>5880.2</v>
      </c>
      <c r="O59" s="107">
        <f t="shared" si="15"/>
        <v>38711.023333333331</v>
      </c>
      <c r="P59" s="107">
        <f t="shared" si="16"/>
        <v>38221.006666666661</v>
      </c>
      <c r="Q59" s="107">
        <f t="shared" si="17"/>
        <v>37730.989999999991</v>
      </c>
      <c r="R59" s="107">
        <f t="shared" si="18"/>
        <v>37240.973333333321</v>
      </c>
      <c r="S59" s="107">
        <f t="shared" si="19"/>
        <v>36750.956666666651</v>
      </c>
      <c r="T59" s="107">
        <f t="shared" si="20"/>
        <v>36260.939999999981</v>
      </c>
      <c r="U59" s="107">
        <f t="shared" si="21"/>
        <v>35770.92333333331</v>
      </c>
      <c r="V59" s="107">
        <f t="shared" si="22"/>
        <v>35280.90666666664</v>
      </c>
      <c r="W59" s="107">
        <f t="shared" si="23"/>
        <v>34790.88999999997</v>
      </c>
      <c r="X59" s="107">
        <f t="shared" si="24"/>
        <v>34300.8733333333</v>
      </c>
      <c r="Y59" s="107">
        <f t="shared" si="25"/>
        <v>33810.85666666663</v>
      </c>
      <c r="Z59" s="107">
        <f t="shared" si="26"/>
        <v>33320.83999999996</v>
      </c>
      <c r="AA59" s="107"/>
      <c r="AB59" s="107"/>
      <c r="AC59" s="107">
        <f t="shared" si="27"/>
        <v>5880.2</v>
      </c>
      <c r="AD59" s="107">
        <f t="shared" si="28"/>
        <v>32830.82333333329</v>
      </c>
      <c r="AE59" s="107">
        <f t="shared" si="29"/>
        <v>32340.806666666624</v>
      </c>
      <c r="AF59" s="107">
        <f t="shared" si="30"/>
        <v>31850.789999999957</v>
      </c>
      <c r="AG59" s="107">
        <f t="shared" si="31"/>
        <v>31360.773333333291</v>
      </c>
      <c r="AH59" s="107">
        <f t="shared" si="32"/>
        <v>30870.756666666624</v>
      </c>
      <c r="AI59" s="107">
        <f t="shared" si="33"/>
        <v>30380.739999999958</v>
      </c>
      <c r="AJ59" s="107">
        <f t="shared" si="34"/>
        <v>29890.723333333292</v>
      </c>
      <c r="AK59" s="107">
        <f t="shared" si="35"/>
        <v>29400.706666666625</v>
      </c>
      <c r="AL59" s="107">
        <f t="shared" si="36"/>
        <v>28910.689999999959</v>
      </c>
      <c r="AM59" s="107">
        <f t="shared" si="37"/>
        <v>28420.673333333292</v>
      </c>
      <c r="AN59" s="107">
        <f t="shared" si="38"/>
        <v>27930.656666666626</v>
      </c>
      <c r="AO59" s="107">
        <f t="shared" si="39"/>
        <v>27440.639999999959</v>
      </c>
      <c r="AP59" s="107"/>
      <c r="AQ59" s="126"/>
      <c r="AR59" s="107">
        <f t="shared" si="40"/>
        <v>5880.2</v>
      </c>
      <c r="AS59" s="107">
        <f t="shared" si="55"/>
        <v>26950.623333333293</v>
      </c>
      <c r="AT59" s="107">
        <f t="shared" si="56"/>
        <v>26460.606666666627</v>
      </c>
      <c r="AU59" s="107">
        <f t="shared" si="57"/>
        <v>25970.58999999996</v>
      </c>
      <c r="AV59" s="107">
        <f t="shared" si="58"/>
        <v>25480.573333333294</v>
      </c>
      <c r="AW59" s="107">
        <f t="shared" si="59"/>
        <v>24990.556666666627</v>
      </c>
      <c r="AX59" s="107">
        <f t="shared" si="60"/>
        <v>24500.539999999961</v>
      </c>
      <c r="AY59" s="107">
        <f t="shared" si="61"/>
        <v>24010.523333333294</v>
      </c>
      <c r="AZ59" s="107">
        <f t="shared" si="62"/>
        <v>23520.506666666628</v>
      </c>
      <c r="BA59" s="107">
        <f t="shared" si="63"/>
        <v>23030.489999999962</v>
      </c>
      <c r="BB59" s="107">
        <f t="shared" si="64"/>
        <v>22540.473333333295</v>
      </c>
      <c r="BC59" s="107">
        <f t="shared" si="65"/>
        <v>22050.456666666629</v>
      </c>
      <c r="BD59" s="107">
        <f t="shared" si="66"/>
        <v>21560.439999999962</v>
      </c>
      <c r="BE59" s="10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</row>
    <row r="60" spans="1:75" hidden="1" x14ac:dyDescent="0.2">
      <c r="A60" s="123" t="str">
        <f>'[2]2021 УГРЦТ'!A62</f>
        <v>Микроомметр Metrel MI3242</v>
      </c>
      <c r="B60" s="124" t="str">
        <f>'[2]2021 УГРЦТ'!B62</f>
        <v>000001778</v>
      </c>
      <c r="C60" s="124" t="str">
        <f>VLOOKUP(A:A,'2023-2027'!A:L,1,+FALSE)</f>
        <v>Микроомметр Metrel MI3242</v>
      </c>
      <c r="D60" s="124" t="str">
        <f>'[2]2021 УГРЦТ'!C62</f>
        <v>ПРОИЗВОДСТВО</v>
      </c>
      <c r="E60" s="124" t="str">
        <f>'[2]2021 УГРЦТ'!D62</f>
        <v>Машины и оборудование (кроме офисного)</v>
      </c>
      <c r="F60" s="124" t="str">
        <f>'[2]2021 УГРЦТ'!E62</f>
        <v>19.08.2019</v>
      </c>
      <c r="G60" s="124" t="str">
        <f>'[2]2021 УГРЦТ'!F62</f>
        <v>Электрический цех</v>
      </c>
      <c r="H60" s="124">
        <f>'[2]2021 УГРЦТ'!AC62</f>
        <v>60</v>
      </c>
      <c r="I60" s="107">
        <f>'[2]2021 УГРЦТ'!X62</f>
        <v>64730.39</v>
      </c>
      <c r="J60" s="107">
        <f>'[2]2021 УГРЦТ'!Y62</f>
        <v>30207.517999999996</v>
      </c>
      <c r="K60" s="107">
        <f>'[2]2021 УГРЦТ'!Z62</f>
        <v>34522.872000000003</v>
      </c>
      <c r="L60" s="125" t="e">
        <f>SUMIF([2]облаг!$B$2:$B$259,B60,[2]облаг!$D$2:$D$259)</f>
        <v>#VALUE!</v>
      </c>
      <c r="M60" s="107">
        <f t="shared" si="13"/>
        <v>1078.8398333333332</v>
      </c>
      <c r="N60" s="107">
        <f t="shared" si="14"/>
        <v>12946.077999999998</v>
      </c>
      <c r="O60" s="107">
        <f t="shared" si="15"/>
        <v>33444.032166666671</v>
      </c>
      <c r="P60" s="107">
        <f t="shared" si="16"/>
        <v>32365.19233333334</v>
      </c>
      <c r="Q60" s="107">
        <f t="shared" si="17"/>
        <v>31286.352500000008</v>
      </c>
      <c r="R60" s="107">
        <f t="shared" si="18"/>
        <v>30207.512666666677</v>
      </c>
      <c r="S60" s="107">
        <f t="shared" si="19"/>
        <v>29128.672833333345</v>
      </c>
      <c r="T60" s="107">
        <f t="shared" si="20"/>
        <v>28049.833000000013</v>
      </c>
      <c r="U60" s="107">
        <f t="shared" si="21"/>
        <v>26970.993166666682</v>
      </c>
      <c r="V60" s="107">
        <f t="shared" si="22"/>
        <v>25892.15333333335</v>
      </c>
      <c r="W60" s="107">
        <f t="shared" si="23"/>
        <v>24813.313500000018</v>
      </c>
      <c r="X60" s="107">
        <f t="shared" si="24"/>
        <v>23734.473666666687</v>
      </c>
      <c r="Y60" s="107">
        <f t="shared" si="25"/>
        <v>22655.633833333355</v>
      </c>
      <c r="Z60" s="107">
        <f t="shared" si="26"/>
        <v>21576.794000000024</v>
      </c>
      <c r="AA60" s="107"/>
      <c r="AB60" s="107"/>
      <c r="AC60" s="107">
        <f t="shared" si="27"/>
        <v>12946.077999999998</v>
      </c>
      <c r="AD60" s="107">
        <f t="shared" si="28"/>
        <v>20497.954166666692</v>
      </c>
      <c r="AE60" s="107">
        <f t="shared" si="29"/>
        <v>19419.11433333336</v>
      </c>
      <c r="AF60" s="107">
        <f t="shared" si="30"/>
        <v>18340.274500000029</v>
      </c>
      <c r="AG60" s="107">
        <f t="shared" si="31"/>
        <v>17261.434666666697</v>
      </c>
      <c r="AH60" s="107">
        <f t="shared" si="32"/>
        <v>16182.594833333364</v>
      </c>
      <c r="AI60" s="107">
        <f t="shared" si="33"/>
        <v>15103.75500000003</v>
      </c>
      <c r="AJ60" s="107">
        <f t="shared" si="34"/>
        <v>14024.915166666697</v>
      </c>
      <c r="AK60" s="107">
        <f t="shared" si="35"/>
        <v>12946.075333333363</v>
      </c>
      <c r="AL60" s="107">
        <f t="shared" si="36"/>
        <v>11867.23550000003</v>
      </c>
      <c r="AM60" s="107">
        <f t="shared" si="37"/>
        <v>10788.395666666696</v>
      </c>
      <c r="AN60" s="107">
        <f t="shared" si="38"/>
        <v>9709.5558333333629</v>
      </c>
      <c r="AO60" s="107">
        <f t="shared" si="39"/>
        <v>8630.7160000000295</v>
      </c>
      <c r="AP60" s="107"/>
      <c r="AQ60" s="126"/>
      <c r="AR60" s="107">
        <f>AS60</f>
        <v>7551.876166666696</v>
      </c>
      <c r="AS60" s="107">
        <f t="shared" si="55"/>
        <v>7551.876166666696</v>
      </c>
      <c r="AT60" s="107">
        <f t="shared" si="56"/>
        <v>6473.0363333333626</v>
      </c>
      <c r="AU60" s="107">
        <f t="shared" si="57"/>
        <v>5394.1965000000291</v>
      </c>
      <c r="AV60" s="107">
        <f t="shared" si="58"/>
        <v>4315.3566666666957</v>
      </c>
      <c r="AW60" s="107">
        <f t="shared" si="59"/>
        <v>3236.5168333333622</v>
      </c>
      <c r="AX60" s="107">
        <f t="shared" si="60"/>
        <v>2157.6770000000288</v>
      </c>
      <c r="AY60" s="107">
        <f t="shared" si="61"/>
        <v>1078.8371666666956</v>
      </c>
      <c r="AZ60" s="107">
        <f t="shared" si="62"/>
        <v>-2.6666666376513604E-3</v>
      </c>
      <c r="BA60" s="107">
        <v>0</v>
      </c>
      <c r="BB60" s="107">
        <v>0</v>
      </c>
      <c r="BC60" s="107">
        <v>0</v>
      </c>
      <c r="BD60" s="107">
        <v>0</v>
      </c>
      <c r="BE60" s="107"/>
    </row>
    <row r="61" spans="1:75" hidden="1" x14ac:dyDescent="0.2">
      <c r="A61" s="123" t="str">
        <f>'[2]2021 УГРЦТ'!A63</f>
        <v>Мини козловой кран г/п 1000 кг</v>
      </c>
      <c r="B61" s="124" t="str">
        <f>'[2]2021 УГРЦТ'!B63</f>
        <v>000001852</v>
      </c>
      <c r="C61" s="124" t="str">
        <f>VLOOKUP(A:A,'2023-2027'!A:L,1,+FALSE)</f>
        <v>Мини козловой кран г/п 1000 кг</v>
      </c>
      <c r="D61" s="124" t="str">
        <f>'[2]2021 УГРЦТ'!C63</f>
        <v>ПРОИЗВОДСТВО</v>
      </c>
      <c r="E61" s="124" t="str">
        <f>'[2]2021 УГРЦТ'!D63</f>
        <v>Машины и оборудование (кроме офисного)</v>
      </c>
      <c r="F61" s="124" t="str">
        <f>'[2]2021 УГРЦТ'!E63</f>
        <v>23.06.2021</v>
      </c>
      <c r="G61" s="124" t="str">
        <f>'[2]2021 УГРЦТ'!F63</f>
        <v>Электрический цех</v>
      </c>
      <c r="H61" s="124">
        <f>'[2]2021 УГРЦТ'!AC63</f>
        <v>120</v>
      </c>
      <c r="I61" s="107">
        <f>'[2]2021 УГРЦТ'!X63</f>
        <v>161666.67000000001</v>
      </c>
      <c r="J61" s="107">
        <f>'[2]2021 УГРЦТ'!Y63</f>
        <v>8083.3334999999997</v>
      </c>
      <c r="K61" s="107">
        <f>'[2]2021 УГРЦТ'!Z63</f>
        <v>153583.3365</v>
      </c>
      <c r="L61" s="125" t="e">
        <f>SUMIF([2]облаг!$B$2:$B$259,B61,[2]облаг!$D$2:$D$259)</f>
        <v>#VALUE!</v>
      </c>
      <c r="M61" s="107">
        <f t="shared" si="13"/>
        <v>1347.22225</v>
      </c>
      <c r="N61" s="107">
        <f t="shared" si="14"/>
        <v>16166.667000000001</v>
      </c>
      <c r="O61" s="107">
        <f t="shared" si="15"/>
        <v>152236.11425000001</v>
      </c>
      <c r="P61" s="107">
        <f t="shared" si="16"/>
        <v>150888.89200000002</v>
      </c>
      <c r="Q61" s="107">
        <f t="shared" si="17"/>
        <v>149541.66975000003</v>
      </c>
      <c r="R61" s="107">
        <f t="shared" si="18"/>
        <v>148194.44750000004</v>
      </c>
      <c r="S61" s="107">
        <f t="shared" si="19"/>
        <v>146847.22525000005</v>
      </c>
      <c r="T61" s="107">
        <f t="shared" si="20"/>
        <v>145500.00300000006</v>
      </c>
      <c r="U61" s="107">
        <f t="shared" si="21"/>
        <v>144152.78075000006</v>
      </c>
      <c r="V61" s="107">
        <f t="shared" si="22"/>
        <v>142805.55850000007</v>
      </c>
      <c r="W61" s="107">
        <f t="shared" si="23"/>
        <v>141458.33625000008</v>
      </c>
      <c r="X61" s="107">
        <f t="shared" si="24"/>
        <v>140111.11400000009</v>
      </c>
      <c r="Y61" s="107">
        <f t="shared" si="25"/>
        <v>138763.8917500001</v>
      </c>
      <c r="Z61" s="107">
        <f t="shared" si="26"/>
        <v>137416.66950000011</v>
      </c>
      <c r="AA61" s="107"/>
      <c r="AB61" s="107"/>
      <c r="AC61" s="107">
        <f t="shared" si="27"/>
        <v>16166.667000000001</v>
      </c>
      <c r="AD61" s="107">
        <f t="shared" si="28"/>
        <v>136069.44725000011</v>
      </c>
      <c r="AE61" s="107">
        <f t="shared" si="29"/>
        <v>134722.22500000012</v>
      </c>
      <c r="AF61" s="107">
        <f t="shared" si="30"/>
        <v>133375.00275000013</v>
      </c>
      <c r="AG61" s="107">
        <f t="shared" si="31"/>
        <v>132027.78050000014</v>
      </c>
      <c r="AH61" s="107">
        <f t="shared" si="32"/>
        <v>130680.55825000013</v>
      </c>
      <c r="AI61" s="107">
        <f t="shared" si="33"/>
        <v>129333.33600000013</v>
      </c>
      <c r="AJ61" s="107">
        <f t="shared" si="34"/>
        <v>127986.11375000012</v>
      </c>
      <c r="AK61" s="107">
        <f t="shared" si="35"/>
        <v>126638.89150000011</v>
      </c>
      <c r="AL61" s="107">
        <f t="shared" si="36"/>
        <v>125291.66925000011</v>
      </c>
      <c r="AM61" s="107">
        <f t="shared" si="37"/>
        <v>123944.4470000001</v>
      </c>
      <c r="AN61" s="107">
        <f t="shared" si="38"/>
        <v>122597.2247500001</v>
      </c>
      <c r="AO61" s="107">
        <f t="shared" si="39"/>
        <v>121250.00250000009</v>
      </c>
      <c r="AP61" s="107"/>
      <c r="AQ61" s="126"/>
      <c r="AR61" s="107">
        <f t="shared" si="40"/>
        <v>16166.667000000001</v>
      </c>
      <c r="AS61" s="107">
        <f t="shared" si="55"/>
        <v>119902.78025000008</v>
      </c>
      <c r="AT61" s="107">
        <f t="shared" si="56"/>
        <v>118555.55800000008</v>
      </c>
      <c r="AU61" s="107">
        <f t="shared" si="57"/>
        <v>117208.33575000007</v>
      </c>
      <c r="AV61" s="107">
        <f t="shared" si="58"/>
        <v>115861.11350000006</v>
      </c>
      <c r="AW61" s="107">
        <f t="shared" si="59"/>
        <v>114513.89125000006</v>
      </c>
      <c r="AX61" s="107">
        <f t="shared" si="60"/>
        <v>113166.66900000005</v>
      </c>
      <c r="AY61" s="107">
        <f t="shared" si="61"/>
        <v>111819.44675000005</v>
      </c>
      <c r="AZ61" s="107">
        <f t="shared" si="62"/>
        <v>110472.22450000004</v>
      </c>
      <c r="BA61" s="107">
        <f t="shared" ref="BA61:BA97" si="67">AZ61-M61</f>
        <v>109125.00225000003</v>
      </c>
      <c r="BB61" s="107">
        <f t="shared" ref="BB61:BB97" si="68">BA61-M61</f>
        <v>107777.78000000003</v>
      </c>
      <c r="BC61" s="107">
        <f t="shared" ref="BC61:BC97" si="69">BB61-M61</f>
        <v>106430.55775000002</v>
      </c>
      <c r="BD61" s="107">
        <f t="shared" ref="BD61:BD97" si="70">BC61-M61</f>
        <v>105083.33550000002</v>
      </c>
      <c r="BE61" s="107"/>
      <c r="BF61" s="127"/>
      <c r="BG61" s="127"/>
      <c r="BH61" s="127"/>
      <c r="BI61" s="127"/>
      <c r="BJ61" s="127"/>
      <c r="BK61" s="127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</row>
    <row r="62" spans="1:75" hidden="1" x14ac:dyDescent="0.2">
      <c r="A62" s="123" t="str">
        <f>'[2]2021 УГРЦТ'!A64</f>
        <v>Мини козловой кран г/п 5000 кг</v>
      </c>
      <c r="B62" s="124" t="str">
        <f>'[2]2021 УГРЦТ'!B64</f>
        <v>000001853</v>
      </c>
      <c r="C62" s="124" t="str">
        <f>VLOOKUP(A:A,'2023-2027'!A:L,1,+FALSE)</f>
        <v>Мини козловой кран г/п 5000 кг</v>
      </c>
      <c r="D62" s="124" t="str">
        <f>'[2]2021 УГРЦТ'!C64</f>
        <v>ПРОИЗВОДСТВО</v>
      </c>
      <c r="E62" s="124" t="str">
        <f>'[2]2021 УГРЦТ'!D64</f>
        <v>Машины и оборудование (кроме офисного)</v>
      </c>
      <c r="F62" s="124" t="str">
        <f>'[2]2021 УГРЦТ'!E64</f>
        <v>23.06.2021</v>
      </c>
      <c r="G62" s="124" t="str">
        <f>'[2]2021 УГРЦТ'!F64</f>
        <v>Электрический цех</v>
      </c>
      <c r="H62" s="124">
        <f>'[2]2021 УГРЦТ'!AC64</f>
        <v>120</v>
      </c>
      <c r="I62" s="107">
        <f>'[2]2021 УГРЦТ'!X64</f>
        <v>227500</v>
      </c>
      <c r="J62" s="107">
        <f>'[2]2021 УГРЦТ'!Y64</f>
        <v>11375</v>
      </c>
      <c r="K62" s="107">
        <f>'[2]2021 УГРЦТ'!Z64</f>
        <v>216125</v>
      </c>
      <c r="L62" s="125" t="e">
        <f>SUMIF([2]облаг!$B$2:$B$259,B62,[2]облаг!$D$2:$D$259)</f>
        <v>#VALUE!</v>
      </c>
      <c r="M62" s="107">
        <f t="shared" si="13"/>
        <v>1895.8333333333333</v>
      </c>
      <c r="N62" s="107">
        <f t="shared" si="14"/>
        <v>22750</v>
      </c>
      <c r="O62" s="107">
        <f t="shared" si="15"/>
        <v>214229.16666666666</v>
      </c>
      <c r="P62" s="107">
        <f t="shared" si="16"/>
        <v>212333.33333333331</v>
      </c>
      <c r="Q62" s="107">
        <f t="shared" si="17"/>
        <v>210437.49999999997</v>
      </c>
      <c r="R62" s="107">
        <f t="shared" si="18"/>
        <v>208541.66666666663</v>
      </c>
      <c r="S62" s="107">
        <f t="shared" si="19"/>
        <v>206645.83333333328</v>
      </c>
      <c r="T62" s="107">
        <f t="shared" si="20"/>
        <v>204749.99999999994</v>
      </c>
      <c r="U62" s="107">
        <f t="shared" si="21"/>
        <v>202854.1666666666</v>
      </c>
      <c r="V62" s="107">
        <f t="shared" si="22"/>
        <v>200958.33333333326</v>
      </c>
      <c r="W62" s="107">
        <f t="shared" si="23"/>
        <v>199062.49999999991</v>
      </c>
      <c r="X62" s="107">
        <f t="shared" si="24"/>
        <v>197166.66666666657</v>
      </c>
      <c r="Y62" s="107">
        <f t="shared" si="25"/>
        <v>195270.83333333323</v>
      </c>
      <c r="Z62" s="107">
        <f t="shared" si="26"/>
        <v>193374.99999999988</v>
      </c>
      <c r="AA62" s="107"/>
      <c r="AB62" s="107"/>
      <c r="AC62" s="107">
        <f t="shared" si="27"/>
        <v>22750</v>
      </c>
      <c r="AD62" s="107">
        <f t="shared" si="28"/>
        <v>191479.16666666654</v>
      </c>
      <c r="AE62" s="107">
        <f t="shared" si="29"/>
        <v>189583.3333333332</v>
      </c>
      <c r="AF62" s="107">
        <f t="shared" si="30"/>
        <v>187687.49999999985</v>
      </c>
      <c r="AG62" s="107">
        <f t="shared" si="31"/>
        <v>185791.66666666651</v>
      </c>
      <c r="AH62" s="107">
        <f t="shared" si="32"/>
        <v>183895.83333333317</v>
      </c>
      <c r="AI62" s="107">
        <f t="shared" si="33"/>
        <v>181999.99999999983</v>
      </c>
      <c r="AJ62" s="107">
        <f t="shared" si="34"/>
        <v>180104.16666666648</v>
      </c>
      <c r="AK62" s="107">
        <f t="shared" si="35"/>
        <v>178208.33333333314</v>
      </c>
      <c r="AL62" s="107">
        <f t="shared" si="36"/>
        <v>176312.4999999998</v>
      </c>
      <c r="AM62" s="107">
        <f t="shared" si="37"/>
        <v>174416.66666666645</v>
      </c>
      <c r="AN62" s="107">
        <f t="shared" si="38"/>
        <v>172520.83333333311</v>
      </c>
      <c r="AO62" s="107">
        <f t="shared" si="39"/>
        <v>170624.99999999977</v>
      </c>
      <c r="AP62" s="107"/>
      <c r="AQ62" s="126"/>
      <c r="AR62" s="107">
        <f t="shared" si="40"/>
        <v>22750</v>
      </c>
      <c r="AS62" s="107">
        <f t="shared" si="55"/>
        <v>168729.16666666642</v>
      </c>
      <c r="AT62" s="107">
        <f t="shared" si="56"/>
        <v>166833.33333333308</v>
      </c>
      <c r="AU62" s="107">
        <f t="shared" si="57"/>
        <v>164937.49999999974</v>
      </c>
      <c r="AV62" s="107">
        <f t="shared" si="58"/>
        <v>163041.6666666664</v>
      </c>
      <c r="AW62" s="107">
        <f t="shared" si="59"/>
        <v>161145.83333333305</v>
      </c>
      <c r="AX62" s="107">
        <f t="shared" si="60"/>
        <v>159249.99999999971</v>
      </c>
      <c r="AY62" s="107">
        <f t="shared" si="61"/>
        <v>157354.16666666637</v>
      </c>
      <c r="AZ62" s="107">
        <f t="shared" si="62"/>
        <v>155458.33333333302</v>
      </c>
      <c r="BA62" s="107">
        <f t="shared" si="67"/>
        <v>153562.49999999968</v>
      </c>
      <c r="BB62" s="107">
        <f t="shared" si="68"/>
        <v>151666.66666666634</v>
      </c>
      <c r="BC62" s="107">
        <f t="shared" si="69"/>
        <v>149770.83333333299</v>
      </c>
      <c r="BD62" s="107">
        <f t="shared" si="70"/>
        <v>147874.99999999965</v>
      </c>
      <c r="BE62" s="10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</row>
    <row r="63" spans="1:75" hidden="1" x14ac:dyDescent="0.2">
      <c r="A63" s="123" t="str">
        <f>'[2]2021 УГРЦТ'!A65</f>
        <v>Мини козловой кран г/п 5000 кг</v>
      </c>
      <c r="B63" s="124" t="str">
        <f>'[2]2021 УГРЦТ'!B65</f>
        <v>000001854</v>
      </c>
      <c r="C63" s="124" t="str">
        <f>VLOOKUP(A:A,'2023-2027'!A:L,1,+FALSE)</f>
        <v>Мини козловой кран г/п 5000 кг</v>
      </c>
      <c r="D63" s="124" t="str">
        <f>'[2]2021 УГРЦТ'!C65</f>
        <v>ПРОИЗВОДСТВО</v>
      </c>
      <c r="E63" s="124" t="str">
        <f>'[2]2021 УГРЦТ'!D65</f>
        <v>Машины и оборудование (кроме офисного)</v>
      </c>
      <c r="F63" s="124" t="str">
        <f>'[2]2021 УГРЦТ'!E65</f>
        <v>23.06.2021</v>
      </c>
      <c r="G63" s="124" t="str">
        <f>'[2]2021 УГРЦТ'!F65</f>
        <v>Электрический цех</v>
      </c>
      <c r="H63" s="124">
        <f>'[2]2021 УГРЦТ'!AC65</f>
        <v>120</v>
      </c>
      <c r="I63" s="107">
        <f>'[2]2021 УГРЦТ'!X65</f>
        <v>227500</v>
      </c>
      <c r="J63" s="107">
        <f>'[2]2021 УГРЦТ'!Y65</f>
        <v>11375</v>
      </c>
      <c r="K63" s="107">
        <f>'[2]2021 УГРЦТ'!Z65</f>
        <v>216125</v>
      </c>
      <c r="L63" s="125" t="e">
        <f>SUMIF([2]облаг!$B$2:$B$259,B63,[2]облаг!$D$2:$D$259)</f>
        <v>#VALUE!</v>
      </c>
      <c r="M63" s="107">
        <f t="shared" si="13"/>
        <v>1895.8333333333333</v>
      </c>
      <c r="N63" s="107">
        <f t="shared" si="14"/>
        <v>22750</v>
      </c>
      <c r="O63" s="107">
        <f t="shared" si="15"/>
        <v>214229.16666666666</v>
      </c>
      <c r="P63" s="107">
        <f t="shared" si="16"/>
        <v>212333.33333333331</v>
      </c>
      <c r="Q63" s="107">
        <f t="shared" si="17"/>
        <v>210437.49999999997</v>
      </c>
      <c r="R63" s="107">
        <f t="shared" si="18"/>
        <v>208541.66666666663</v>
      </c>
      <c r="S63" s="107">
        <f t="shared" si="19"/>
        <v>206645.83333333328</v>
      </c>
      <c r="T63" s="107">
        <f t="shared" si="20"/>
        <v>204749.99999999994</v>
      </c>
      <c r="U63" s="107">
        <f t="shared" si="21"/>
        <v>202854.1666666666</v>
      </c>
      <c r="V63" s="107">
        <f t="shared" si="22"/>
        <v>200958.33333333326</v>
      </c>
      <c r="W63" s="107">
        <f t="shared" si="23"/>
        <v>199062.49999999991</v>
      </c>
      <c r="X63" s="107">
        <f t="shared" si="24"/>
        <v>197166.66666666657</v>
      </c>
      <c r="Y63" s="107">
        <f t="shared" si="25"/>
        <v>195270.83333333323</v>
      </c>
      <c r="Z63" s="107">
        <f t="shared" si="26"/>
        <v>193374.99999999988</v>
      </c>
      <c r="AA63" s="107"/>
      <c r="AB63" s="107"/>
      <c r="AC63" s="107">
        <f t="shared" si="27"/>
        <v>22750</v>
      </c>
      <c r="AD63" s="107">
        <f t="shared" si="28"/>
        <v>191479.16666666654</v>
      </c>
      <c r="AE63" s="107">
        <f t="shared" si="29"/>
        <v>189583.3333333332</v>
      </c>
      <c r="AF63" s="107">
        <f t="shared" si="30"/>
        <v>187687.49999999985</v>
      </c>
      <c r="AG63" s="107">
        <f t="shared" si="31"/>
        <v>185791.66666666651</v>
      </c>
      <c r="AH63" s="107">
        <f t="shared" si="32"/>
        <v>183895.83333333317</v>
      </c>
      <c r="AI63" s="107">
        <f t="shared" si="33"/>
        <v>181999.99999999983</v>
      </c>
      <c r="AJ63" s="107">
        <f t="shared" si="34"/>
        <v>180104.16666666648</v>
      </c>
      <c r="AK63" s="107">
        <f t="shared" si="35"/>
        <v>178208.33333333314</v>
      </c>
      <c r="AL63" s="107">
        <f t="shared" si="36"/>
        <v>176312.4999999998</v>
      </c>
      <c r="AM63" s="107">
        <f t="shared" si="37"/>
        <v>174416.66666666645</v>
      </c>
      <c r="AN63" s="107">
        <f t="shared" si="38"/>
        <v>172520.83333333311</v>
      </c>
      <c r="AO63" s="107">
        <f t="shared" si="39"/>
        <v>170624.99999999977</v>
      </c>
      <c r="AP63" s="107"/>
      <c r="AQ63" s="126"/>
      <c r="AR63" s="107">
        <f t="shared" si="40"/>
        <v>22750</v>
      </c>
      <c r="AS63" s="107">
        <f t="shared" si="55"/>
        <v>168729.16666666642</v>
      </c>
      <c r="AT63" s="107">
        <f t="shared" si="56"/>
        <v>166833.33333333308</v>
      </c>
      <c r="AU63" s="107">
        <f t="shared" si="57"/>
        <v>164937.49999999974</v>
      </c>
      <c r="AV63" s="107">
        <f t="shared" si="58"/>
        <v>163041.6666666664</v>
      </c>
      <c r="AW63" s="107">
        <f t="shared" si="59"/>
        <v>161145.83333333305</v>
      </c>
      <c r="AX63" s="107">
        <f t="shared" si="60"/>
        <v>159249.99999999971</v>
      </c>
      <c r="AY63" s="107">
        <f t="shared" si="61"/>
        <v>157354.16666666637</v>
      </c>
      <c r="AZ63" s="107">
        <f t="shared" si="62"/>
        <v>155458.33333333302</v>
      </c>
      <c r="BA63" s="107">
        <f t="shared" si="67"/>
        <v>153562.49999999968</v>
      </c>
      <c r="BB63" s="107">
        <f t="shared" si="68"/>
        <v>151666.66666666634</v>
      </c>
      <c r="BC63" s="107">
        <f t="shared" si="69"/>
        <v>149770.83333333299</v>
      </c>
      <c r="BD63" s="107">
        <f t="shared" si="70"/>
        <v>147874.99999999965</v>
      </c>
      <c r="BE63" s="10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</row>
    <row r="64" spans="1:75" ht="22.5" hidden="1" x14ac:dyDescent="0.2">
      <c r="A64" s="123" t="str">
        <f>'[2]2021 УГРЦТ'!A66</f>
        <v>Молниеотвод с прожекторами, МОГК</v>
      </c>
      <c r="B64" s="124" t="str">
        <f>'[2]2021 УГРЦТ'!B66</f>
        <v>000001830</v>
      </c>
      <c r="C64" s="124" t="str">
        <f>VLOOKUP(A:A,'2023-2027'!A:L,1,+FALSE)</f>
        <v>Молниеотвод с прожекторами, МОГК</v>
      </c>
      <c r="D64" s="124" t="str">
        <f>'[2]2021 УГРЦТ'!C66</f>
        <v>ПРОИЗВОДСТВО</v>
      </c>
      <c r="E64" s="124" t="str">
        <f>'[2]2021 УГРЦТ'!D66</f>
        <v>Сооружения</v>
      </c>
      <c r="F64" s="124" t="str">
        <f>'[2]2021 УГРЦТ'!E66</f>
        <v>30.12.2020</v>
      </c>
      <c r="G64" s="124" t="str">
        <f>'[2]2021 УГРЦТ'!F66</f>
        <v>ДЭС п.Красное</v>
      </c>
      <c r="H64" s="124">
        <f>'[2]2021 УГРЦТ'!AC66</f>
        <v>360</v>
      </c>
      <c r="I64" s="107">
        <f>'[2]2021 УГРЦТ'!X66</f>
        <v>1566507.35</v>
      </c>
      <c r="J64" s="107">
        <f>'[2]2021 УГРЦТ'!Y66</f>
        <v>52216.911666666674</v>
      </c>
      <c r="K64" s="107">
        <f>'[2]2021 УГРЦТ'!Z66</f>
        <v>1514290.4383333335</v>
      </c>
      <c r="L64" s="125" t="e">
        <f>SUMIF([2]облаг!$B$2:$B$259,B64,[2]облаг!$D$2:$D$259)</f>
        <v>#VALUE!</v>
      </c>
      <c r="M64" s="107">
        <f t="shared" si="13"/>
        <v>4351.4093055555559</v>
      </c>
      <c r="N64" s="107">
        <f t="shared" si="14"/>
        <v>52216.911666666667</v>
      </c>
      <c r="O64" s="107">
        <f t="shared" si="15"/>
        <v>1509939.029027778</v>
      </c>
      <c r="P64" s="107">
        <f t="shared" si="16"/>
        <v>1505587.6197222224</v>
      </c>
      <c r="Q64" s="107">
        <f t="shared" si="17"/>
        <v>1501236.2104166669</v>
      </c>
      <c r="R64" s="107">
        <f t="shared" si="18"/>
        <v>1496884.8011111114</v>
      </c>
      <c r="S64" s="107">
        <f t="shared" si="19"/>
        <v>1492533.3918055559</v>
      </c>
      <c r="T64" s="107">
        <f t="shared" si="20"/>
        <v>1488181.9825000004</v>
      </c>
      <c r="U64" s="107">
        <f t="shared" si="21"/>
        <v>1483830.5731944449</v>
      </c>
      <c r="V64" s="107">
        <f t="shared" si="22"/>
        <v>1479479.1638888894</v>
      </c>
      <c r="W64" s="107">
        <f t="shared" si="23"/>
        <v>1475127.7545833339</v>
      </c>
      <c r="X64" s="107">
        <f t="shared" si="24"/>
        <v>1470776.3452777783</v>
      </c>
      <c r="Y64" s="107">
        <f t="shared" si="25"/>
        <v>1466424.9359722228</v>
      </c>
      <c r="Z64" s="107">
        <f t="shared" si="26"/>
        <v>1462073.5266666673</v>
      </c>
      <c r="AA64" s="107">
        <f t="shared" ref="AA64:AA72" si="71">SUM(O64:Z64,K64)/13*$AA$2</f>
        <v>32740.003615000005</v>
      </c>
      <c r="AB64" s="107"/>
      <c r="AC64" s="107">
        <f t="shared" si="27"/>
        <v>52216.911666666667</v>
      </c>
      <c r="AD64" s="107">
        <f t="shared" si="28"/>
        <v>1457722.1173611118</v>
      </c>
      <c r="AE64" s="107">
        <f t="shared" si="29"/>
        <v>1453370.7080555563</v>
      </c>
      <c r="AF64" s="107">
        <f t="shared" si="30"/>
        <v>1449019.2987500008</v>
      </c>
      <c r="AG64" s="107">
        <f t="shared" si="31"/>
        <v>1444667.8894444453</v>
      </c>
      <c r="AH64" s="107">
        <f t="shared" si="32"/>
        <v>1440316.4801388897</v>
      </c>
      <c r="AI64" s="107">
        <f t="shared" si="33"/>
        <v>1435965.0708333342</v>
      </c>
      <c r="AJ64" s="107">
        <f t="shared" si="34"/>
        <v>1431613.6615277787</v>
      </c>
      <c r="AK64" s="107">
        <f t="shared" si="35"/>
        <v>1427262.2522222232</v>
      </c>
      <c r="AL64" s="107">
        <f t="shared" si="36"/>
        <v>1422910.8429166677</v>
      </c>
      <c r="AM64" s="107">
        <f t="shared" si="37"/>
        <v>1418559.4336111122</v>
      </c>
      <c r="AN64" s="107">
        <f t="shared" si="38"/>
        <v>1414208.0243055567</v>
      </c>
      <c r="AO64" s="107">
        <f t="shared" si="39"/>
        <v>1409856.6150000012</v>
      </c>
      <c r="AP64" s="107">
        <f t="shared" ref="AP64:AP72" si="72">SUM(AD64:AO64,Z64)/13*$AP$2</f>
        <v>31591.231558333351</v>
      </c>
      <c r="AQ64" s="126"/>
      <c r="AR64" s="107">
        <f t="shared" si="40"/>
        <v>52216.911666666667</v>
      </c>
      <c r="AS64" s="107">
        <f t="shared" si="55"/>
        <v>1405505.2056944456</v>
      </c>
      <c r="AT64" s="107">
        <f t="shared" si="56"/>
        <v>1401153.7963888901</v>
      </c>
      <c r="AU64" s="107">
        <f t="shared" si="57"/>
        <v>1396802.3870833346</v>
      </c>
      <c r="AV64" s="107">
        <f t="shared" si="58"/>
        <v>1392450.9777777791</v>
      </c>
      <c r="AW64" s="107">
        <f t="shared" si="59"/>
        <v>1388099.5684722236</v>
      </c>
      <c r="AX64" s="107">
        <f t="shared" si="60"/>
        <v>1383748.1591666681</v>
      </c>
      <c r="AY64" s="107">
        <f t="shared" si="61"/>
        <v>1379396.7498611126</v>
      </c>
      <c r="AZ64" s="107">
        <f t="shared" si="62"/>
        <v>1375045.340555557</v>
      </c>
      <c r="BA64" s="107">
        <f t="shared" si="67"/>
        <v>1370693.9312500015</v>
      </c>
      <c r="BB64" s="107">
        <f t="shared" si="68"/>
        <v>1366342.521944446</v>
      </c>
      <c r="BC64" s="107">
        <f t="shared" si="69"/>
        <v>1361991.1126388905</v>
      </c>
      <c r="BD64" s="107">
        <f t="shared" si="70"/>
        <v>1357639.703333335</v>
      </c>
      <c r="BE64" s="107">
        <f t="shared" ref="BE64:BE72" si="73">SUM(AS64:BD64,AO64)/13*$BE$2</f>
        <v>30442.459501666697</v>
      </c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</row>
    <row r="65" spans="1:75" ht="22.5" hidden="1" x14ac:dyDescent="0.2">
      <c r="A65" s="123" t="str">
        <f>'[2]2021 УГРЦТ'!A67</f>
        <v>Наружные сети электроснабжения (п. Красное)</v>
      </c>
      <c r="B65" s="124" t="str">
        <f>'[2]2021 УГРЦТ'!B67</f>
        <v>000001674</v>
      </c>
      <c r="C65" s="124" t="str">
        <f>VLOOKUP(A:A,'2023-2027'!A:L,1,+FALSE)</f>
        <v>Наружные сети электроснабжения (п. Красное)</v>
      </c>
      <c r="D65" s="124" t="str">
        <f>'[2]2021 УГРЦТ'!C67</f>
        <v>ПРОИЗВОДСТВО</v>
      </c>
      <c r="E65" s="124" t="str">
        <f>'[2]2021 УГРЦТ'!D67</f>
        <v>Сооружения</v>
      </c>
      <c r="F65" s="124" t="str">
        <f>'[2]2021 УГРЦТ'!E67</f>
        <v>20.01.2016</v>
      </c>
      <c r="G65" s="124" t="str">
        <f>'[2]2021 УГРЦТ'!F67</f>
        <v>ДЭС п.Красное</v>
      </c>
      <c r="H65" s="124">
        <f>'[2]2021 УГРЦТ'!AC67</f>
        <v>180</v>
      </c>
      <c r="I65" s="107">
        <f>'[2]2021 УГРЦТ'!X67</f>
        <v>40883.46</v>
      </c>
      <c r="J65" s="107">
        <f>'[2]2021 УГРЦТ'!Y67</f>
        <v>16126.234</v>
      </c>
      <c r="K65" s="107">
        <f>'[2]2021 УГРЦТ'!Z67</f>
        <v>24757.225999999999</v>
      </c>
      <c r="L65" s="125" t="e">
        <f>SUMIF([2]облаг!$B$2:$B$259,B65,[2]облаг!$D$2:$D$259)</f>
        <v>#VALUE!</v>
      </c>
      <c r="M65" s="107">
        <f t="shared" si="13"/>
        <v>227.13033333333334</v>
      </c>
      <c r="N65" s="107">
        <f t="shared" si="14"/>
        <v>2725.5640000000003</v>
      </c>
      <c r="O65" s="107">
        <f t="shared" si="15"/>
        <v>24530.095666666664</v>
      </c>
      <c r="P65" s="107">
        <f t="shared" si="16"/>
        <v>24302.96533333333</v>
      </c>
      <c r="Q65" s="107">
        <f t="shared" si="17"/>
        <v>24075.834999999995</v>
      </c>
      <c r="R65" s="107">
        <f t="shared" si="18"/>
        <v>23848.704666666661</v>
      </c>
      <c r="S65" s="107">
        <f t="shared" si="19"/>
        <v>23621.574333333327</v>
      </c>
      <c r="T65" s="107">
        <f t="shared" si="20"/>
        <v>23394.443999999992</v>
      </c>
      <c r="U65" s="107">
        <f t="shared" si="21"/>
        <v>23167.313666666658</v>
      </c>
      <c r="V65" s="107">
        <f t="shared" si="22"/>
        <v>22940.183333333323</v>
      </c>
      <c r="W65" s="107">
        <f t="shared" si="23"/>
        <v>22713.052999999989</v>
      </c>
      <c r="X65" s="107">
        <f t="shared" si="24"/>
        <v>22485.922666666655</v>
      </c>
      <c r="Y65" s="107">
        <f t="shared" si="25"/>
        <v>22258.79233333332</v>
      </c>
      <c r="Z65" s="107">
        <f t="shared" si="26"/>
        <v>22031.661999999986</v>
      </c>
      <c r="AA65" s="107">
        <f t="shared" si="71"/>
        <v>514.6777679999999</v>
      </c>
      <c r="AB65" s="107"/>
      <c r="AC65" s="107">
        <f t="shared" si="27"/>
        <v>2725.5640000000003</v>
      </c>
      <c r="AD65" s="107">
        <f t="shared" si="28"/>
        <v>21804.531666666651</v>
      </c>
      <c r="AE65" s="107">
        <f t="shared" si="29"/>
        <v>21577.401333333317</v>
      </c>
      <c r="AF65" s="107">
        <f t="shared" si="30"/>
        <v>21350.270999999982</v>
      </c>
      <c r="AG65" s="107">
        <f t="shared" si="31"/>
        <v>21123.140666666648</v>
      </c>
      <c r="AH65" s="107">
        <f t="shared" si="32"/>
        <v>20896.010333333314</v>
      </c>
      <c r="AI65" s="107">
        <f t="shared" si="33"/>
        <v>20668.879999999979</v>
      </c>
      <c r="AJ65" s="107">
        <f t="shared" si="34"/>
        <v>20441.749666666645</v>
      </c>
      <c r="AK65" s="107">
        <f t="shared" si="35"/>
        <v>20214.61933333331</v>
      </c>
      <c r="AL65" s="107">
        <f t="shared" si="36"/>
        <v>19987.488999999976</v>
      </c>
      <c r="AM65" s="107">
        <f t="shared" si="37"/>
        <v>19760.358666666642</v>
      </c>
      <c r="AN65" s="107">
        <f t="shared" si="38"/>
        <v>19533.228333333307</v>
      </c>
      <c r="AO65" s="107">
        <f t="shared" si="39"/>
        <v>19306.097999999973</v>
      </c>
      <c r="AP65" s="107">
        <f t="shared" si="72"/>
        <v>454.71535999999952</v>
      </c>
      <c r="AQ65" s="126"/>
      <c r="AR65" s="107">
        <f t="shared" si="40"/>
        <v>2725.5640000000003</v>
      </c>
      <c r="AS65" s="107">
        <f t="shared" si="55"/>
        <v>19078.967666666638</v>
      </c>
      <c r="AT65" s="107">
        <f t="shared" si="56"/>
        <v>18851.837333333304</v>
      </c>
      <c r="AU65" s="107">
        <f t="shared" si="57"/>
        <v>18624.706999999969</v>
      </c>
      <c r="AV65" s="107">
        <f t="shared" si="58"/>
        <v>18397.576666666635</v>
      </c>
      <c r="AW65" s="107">
        <f t="shared" si="59"/>
        <v>18170.446333333301</v>
      </c>
      <c r="AX65" s="107">
        <f t="shared" si="60"/>
        <v>17943.315999999966</v>
      </c>
      <c r="AY65" s="107">
        <f t="shared" si="61"/>
        <v>17716.185666666632</v>
      </c>
      <c r="AZ65" s="107">
        <f t="shared" si="62"/>
        <v>17489.055333333297</v>
      </c>
      <c r="BA65" s="107">
        <f t="shared" si="67"/>
        <v>17261.924999999963</v>
      </c>
      <c r="BB65" s="107">
        <f t="shared" si="68"/>
        <v>17034.794666666628</v>
      </c>
      <c r="BC65" s="107">
        <f t="shared" si="69"/>
        <v>16807.664333333294</v>
      </c>
      <c r="BD65" s="107">
        <f t="shared" si="70"/>
        <v>16580.53399999996</v>
      </c>
      <c r="BE65" s="107">
        <f t="shared" si="73"/>
        <v>394.75295199999925</v>
      </c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</row>
    <row r="66" spans="1:75" ht="33.75" hidden="1" x14ac:dyDescent="0.2">
      <c r="A66" s="123" t="str">
        <f>'[2]2021 УГРЦТ'!A68</f>
        <v>Наружные сети электроснабжения 0,4 кВ ( НАО п. Красное)</v>
      </c>
      <c r="B66" s="124" t="str">
        <f>'[2]2021 УГРЦТ'!B68</f>
        <v>000001684</v>
      </c>
      <c r="C66" s="124" t="str">
        <f>VLOOKUP(A:A,'2023-2027'!A:L,1,+FALSE)</f>
        <v>Наружные сети электроснабжения 0,4 кВ ( НАО п. Красное)</v>
      </c>
      <c r="D66" s="124" t="str">
        <f>'[2]2021 УГРЦТ'!C68</f>
        <v>ПРОИЗВОДСТВО</v>
      </c>
      <c r="E66" s="124" t="str">
        <f>'[2]2021 УГРЦТ'!D68</f>
        <v>Сооружения</v>
      </c>
      <c r="F66" s="124" t="str">
        <f>'[2]2021 УГРЦТ'!E68</f>
        <v>10.06.2016</v>
      </c>
      <c r="G66" s="124" t="str">
        <f>'[2]2021 УГРЦТ'!F68</f>
        <v>ДЭС п.Красное</v>
      </c>
      <c r="H66" s="124">
        <f>'[2]2021 УГРЦТ'!AC68</f>
        <v>180</v>
      </c>
      <c r="I66" s="107">
        <v>239099</v>
      </c>
      <c r="J66" s="107">
        <v>87669.753333333341</v>
      </c>
      <c r="K66" s="107">
        <v>151429.24666666664</v>
      </c>
      <c r="L66" s="125" t="e">
        <f>SUMIF([2]облаг!$B$2:$B$259,B66,[2]облаг!$D$2:$D$259)</f>
        <v>#VALUE!</v>
      </c>
      <c r="M66" s="107">
        <f t="shared" si="13"/>
        <v>1328.3277777777778</v>
      </c>
      <c r="N66" s="107">
        <f t="shared" si="14"/>
        <v>15939.933333333334</v>
      </c>
      <c r="O66" s="107">
        <f t="shared" si="15"/>
        <v>150100.91888888887</v>
      </c>
      <c r="P66" s="107">
        <f t="shared" si="16"/>
        <v>148772.59111111111</v>
      </c>
      <c r="Q66" s="107">
        <f t="shared" si="17"/>
        <v>147444.26333333334</v>
      </c>
      <c r="R66" s="107">
        <f t="shared" si="18"/>
        <v>146115.93555555557</v>
      </c>
      <c r="S66" s="107">
        <f t="shared" si="19"/>
        <v>144787.6077777778</v>
      </c>
      <c r="T66" s="107">
        <f t="shared" si="20"/>
        <v>143459.28000000003</v>
      </c>
      <c r="U66" s="107">
        <f t="shared" si="21"/>
        <v>142130.95222222226</v>
      </c>
      <c r="V66" s="107">
        <f t="shared" si="22"/>
        <v>140802.62444444449</v>
      </c>
      <c r="W66" s="107">
        <f t="shared" si="23"/>
        <v>139474.29666666672</v>
      </c>
      <c r="X66" s="107">
        <f t="shared" si="24"/>
        <v>138145.96888888895</v>
      </c>
      <c r="Y66" s="107">
        <f t="shared" si="25"/>
        <v>136817.64111111118</v>
      </c>
      <c r="Z66" s="107">
        <f t="shared" si="26"/>
        <v>135489.31333333341</v>
      </c>
      <c r="AA66" s="107">
        <f t="shared" si="71"/>
        <v>3156.1041599999999</v>
      </c>
      <c r="AB66" s="107"/>
      <c r="AC66" s="107">
        <f t="shared" si="27"/>
        <v>15939.933333333334</v>
      </c>
      <c r="AD66" s="107">
        <f t="shared" si="28"/>
        <v>134160.98555555564</v>
      </c>
      <c r="AE66" s="107">
        <f t="shared" si="29"/>
        <v>132832.65777777787</v>
      </c>
      <c r="AF66" s="107">
        <f t="shared" si="30"/>
        <v>131504.3300000001</v>
      </c>
      <c r="AG66" s="107">
        <f t="shared" si="31"/>
        <v>130176.00222222232</v>
      </c>
      <c r="AH66" s="107">
        <f t="shared" si="32"/>
        <v>128847.67444444454</v>
      </c>
      <c r="AI66" s="107">
        <f t="shared" si="33"/>
        <v>127519.34666666675</v>
      </c>
      <c r="AJ66" s="107">
        <f t="shared" si="34"/>
        <v>126191.01888888897</v>
      </c>
      <c r="AK66" s="107">
        <f t="shared" si="35"/>
        <v>124862.69111111118</v>
      </c>
      <c r="AL66" s="107">
        <f t="shared" si="36"/>
        <v>123534.3633333334</v>
      </c>
      <c r="AM66" s="107">
        <f t="shared" si="37"/>
        <v>122206.03555555562</v>
      </c>
      <c r="AN66" s="107">
        <f t="shared" si="38"/>
        <v>120877.70777777783</v>
      </c>
      <c r="AO66" s="107">
        <f t="shared" si="39"/>
        <v>119549.38000000005</v>
      </c>
      <c r="AP66" s="107">
        <f t="shared" si="72"/>
        <v>2805.4256266666689</v>
      </c>
      <c r="AQ66" s="126"/>
      <c r="AR66" s="107">
        <f t="shared" si="40"/>
        <v>15939.933333333334</v>
      </c>
      <c r="AS66" s="107">
        <f t="shared" si="55"/>
        <v>118221.05222222226</v>
      </c>
      <c r="AT66" s="107">
        <f t="shared" si="56"/>
        <v>116892.72444444448</v>
      </c>
      <c r="AU66" s="107">
        <f t="shared" si="57"/>
        <v>115564.3966666667</v>
      </c>
      <c r="AV66" s="107">
        <f t="shared" si="58"/>
        <v>114236.06888888891</v>
      </c>
      <c r="AW66" s="107">
        <f t="shared" si="59"/>
        <v>112907.74111111113</v>
      </c>
      <c r="AX66" s="107">
        <f t="shared" si="60"/>
        <v>111579.41333333334</v>
      </c>
      <c r="AY66" s="107">
        <f t="shared" si="61"/>
        <v>110251.08555555556</v>
      </c>
      <c r="AZ66" s="107">
        <f t="shared" si="62"/>
        <v>108922.75777777778</v>
      </c>
      <c r="BA66" s="107">
        <f t="shared" si="67"/>
        <v>107594.43</v>
      </c>
      <c r="BB66" s="107">
        <f t="shared" si="68"/>
        <v>106266.10222222221</v>
      </c>
      <c r="BC66" s="107">
        <f t="shared" si="69"/>
        <v>104937.77444444443</v>
      </c>
      <c r="BD66" s="107">
        <f t="shared" si="70"/>
        <v>103609.44666666664</v>
      </c>
      <c r="BE66" s="107">
        <f t="shared" si="73"/>
        <v>2454.7470933333329</v>
      </c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</row>
    <row r="67" spans="1:75" ht="33.75" hidden="1" x14ac:dyDescent="0.2">
      <c r="A67" s="123" t="str">
        <f>'[2]2021 УГРЦТ'!A69</f>
        <v>Наружные сети электроснабжения 0,4 кВ ( НАО п. Красное)</v>
      </c>
      <c r="B67" s="124" t="str">
        <f>'[2]2021 УГРЦТ'!B69</f>
        <v>000001685</v>
      </c>
      <c r="C67" s="124" t="str">
        <f>VLOOKUP(A:A,'2023-2027'!A:L,1,+FALSE)</f>
        <v>Наружные сети электроснабжения 0,4 кВ ( НАО п. Красное)</v>
      </c>
      <c r="D67" s="124" t="str">
        <f>'[2]2021 УГРЦТ'!C69</f>
        <v>ПРОИЗВОДСТВО</v>
      </c>
      <c r="E67" s="124" t="str">
        <f>'[2]2021 УГРЦТ'!D69</f>
        <v>Сооружения</v>
      </c>
      <c r="F67" s="124" t="str">
        <f>'[2]2021 УГРЦТ'!E69</f>
        <v>10.06.2016</v>
      </c>
      <c r="G67" s="124" t="str">
        <f>'[2]2021 УГРЦТ'!F69</f>
        <v>ДЭС п.Красное</v>
      </c>
      <c r="H67" s="124">
        <f>'[2]2021 УГРЦТ'!AC69</f>
        <v>180</v>
      </c>
      <c r="I67" s="107">
        <f>'[2]2021 УГРЦТ'!X69</f>
        <v>87099</v>
      </c>
      <c r="J67" s="107">
        <f>'[2]2021 УГРЦТ'!Y69</f>
        <v>31936.12</v>
      </c>
      <c r="K67" s="107">
        <f>'[2]2021 УГРЦТ'!Z69</f>
        <v>55162.880000000005</v>
      </c>
      <c r="L67" s="125" t="e">
        <f>SUMIF([2]облаг!$B$2:$B$259,B67,[2]облаг!$D$2:$D$259)</f>
        <v>#VALUE!</v>
      </c>
      <c r="M67" s="107">
        <f t="shared" si="13"/>
        <v>483.88333333333333</v>
      </c>
      <c r="N67" s="107">
        <f t="shared" si="14"/>
        <v>5806.6</v>
      </c>
      <c r="O67" s="107">
        <f t="shared" si="15"/>
        <v>54678.996666666673</v>
      </c>
      <c r="P67" s="107">
        <f t="shared" si="16"/>
        <v>54195.113333333342</v>
      </c>
      <c r="Q67" s="107">
        <f t="shared" si="17"/>
        <v>53711.23000000001</v>
      </c>
      <c r="R67" s="107">
        <f t="shared" si="18"/>
        <v>53227.346666666679</v>
      </c>
      <c r="S67" s="107">
        <f t="shared" si="19"/>
        <v>52743.463333333348</v>
      </c>
      <c r="T67" s="107">
        <f t="shared" si="20"/>
        <v>52259.580000000016</v>
      </c>
      <c r="U67" s="107">
        <f t="shared" si="21"/>
        <v>51775.696666666685</v>
      </c>
      <c r="V67" s="107">
        <f t="shared" si="22"/>
        <v>51291.813333333354</v>
      </c>
      <c r="W67" s="107">
        <f t="shared" si="23"/>
        <v>50807.930000000022</v>
      </c>
      <c r="X67" s="107">
        <f t="shared" si="24"/>
        <v>50324.046666666691</v>
      </c>
      <c r="Y67" s="107">
        <f t="shared" si="25"/>
        <v>49840.163333333359</v>
      </c>
      <c r="Z67" s="107">
        <f t="shared" si="26"/>
        <v>49356.280000000028</v>
      </c>
      <c r="AA67" s="107">
        <f t="shared" si="71"/>
        <v>1149.7107600000002</v>
      </c>
      <c r="AB67" s="107"/>
      <c r="AC67" s="107">
        <f t="shared" si="27"/>
        <v>5806.6</v>
      </c>
      <c r="AD67" s="107">
        <f t="shared" si="28"/>
        <v>48872.396666666697</v>
      </c>
      <c r="AE67" s="107">
        <f t="shared" si="29"/>
        <v>48388.513333333365</v>
      </c>
      <c r="AF67" s="107">
        <f t="shared" si="30"/>
        <v>47904.630000000034</v>
      </c>
      <c r="AG67" s="107">
        <f t="shared" si="31"/>
        <v>47420.746666666702</v>
      </c>
      <c r="AH67" s="107">
        <f t="shared" si="32"/>
        <v>46936.863333333371</v>
      </c>
      <c r="AI67" s="107">
        <f t="shared" si="33"/>
        <v>46452.98000000004</v>
      </c>
      <c r="AJ67" s="107">
        <f t="shared" si="34"/>
        <v>45969.096666666708</v>
      </c>
      <c r="AK67" s="107">
        <f t="shared" si="35"/>
        <v>45485.213333333377</v>
      </c>
      <c r="AL67" s="107">
        <f t="shared" si="36"/>
        <v>45001.330000000045</v>
      </c>
      <c r="AM67" s="107">
        <f t="shared" si="37"/>
        <v>44517.446666666714</v>
      </c>
      <c r="AN67" s="107">
        <f t="shared" si="38"/>
        <v>44033.563333333383</v>
      </c>
      <c r="AO67" s="107">
        <f t="shared" si="39"/>
        <v>43549.680000000051</v>
      </c>
      <c r="AP67" s="107">
        <f t="shared" si="72"/>
        <v>1021.965560000001</v>
      </c>
      <c r="AQ67" s="126"/>
      <c r="AR67" s="107">
        <f t="shared" si="40"/>
        <v>5806.6</v>
      </c>
      <c r="AS67" s="107">
        <f t="shared" si="55"/>
        <v>43065.79666666672</v>
      </c>
      <c r="AT67" s="107">
        <f t="shared" si="56"/>
        <v>42581.913333333388</v>
      </c>
      <c r="AU67" s="107">
        <f t="shared" si="57"/>
        <v>42098.030000000057</v>
      </c>
      <c r="AV67" s="107">
        <f t="shared" si="58"/>
        <v>41614.146666666726</v>
      </c>
      <c r="AW67" s="107">
        <f t="shared" si="59"/>
        <v>41130.263333333394</v>
      </c>
      <c r="AX67" s="107">
        <f t="shared" si="60"/>
        <v>40646.380000000063</v>
      </c>
      <c r="AY67" s="107">
        <f t="shared" si="61"/>
        <v>40162.496666666731</v>
      </c>
      <c r="AZ67" s="107">
        <f t="shared" si="62"/>
        <v>39678.6133333334</v>
      </c>
      <c r="BA67" s="107">
        <f t="shared" si="67"/>
        <v>39194.730000000069</v>
      </c>
      <c r="BB67" s="107">
        <f t="shared" si="68"/>
        <v>38710.846666666737</v>
      </c>
      <c r="BC67" s="107">
        <f t="shared" si="69"/>
        <v>38226.963333333406</v>
      </c>
      <c r="BD67" s="107">
        <f t="shared" si="70"/>
        <v>37743.080000000075</v>
      </c>
      <c r="BE67" s="107">
        <f t="shared" si="73"/>
        <v>894.22036000000151</v>
      </c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</row>
    <row r="68" spans="1:75" ht="33.75" hidden="1" x14ac:dyDescent="0.2">
      <c r="A68" s="123" t="str">
        <f>'[2]2021 УГРЦТ'!A70</f>
        <v>Наружные сети электроснабжения 0,4 кВ (НАО, п. Красное)</v>
      </c>
      <c r="B68" s="124" t="str">
        <f>'[2]2021 УГРЦТ'!B70</f>
        <v>000001687</v>
      </c>
      <c r="C68" s="124" t="str">
        <f>VLOOKUP(A:A,'2023-2027'!A:L,1,+FALSE)</f>
        <v>Наружные сети электроснабжения 0,4 кВ (НАО, п. Красное)</v>
      </c>
      <c r="D68" s="124" t="str">
        <f>'[2]2021 УГРЦТ'!C70</f>
        <v>ПРОИЗВОДСТВО</v>
      </c>
      <c r="E68" s="124" t="str">
        <f>'[2]2021 УГРЦТ'!D70</f>
        <v>Сооружения</v>
      </c>
      <c r="F68" s="124" t="str">
        <f>'[2]2021 УГРЦТ'!E70</f>
        <v>29.06.2016</v>
      </c>
      <c r="G68" s="124" t="str">
        <f>'[2]2021 УГРЦТ'!F70</f>
        <v>ДЭС п.Красное</v>
      </c>
      <c r="H68" s="124">
        <f>'[2]2021 УГРЦТ'!AC70</f>
        <v>180</v>
      </c>
      <c r="I68" s="107">
        <f>'[2]2021 УГРЦТ'!X70</f>
        <v>25447</v>
      </c>
      <c r="J68" s="107">
        <f>'[2]2021 УГРЦТ'!Y70</f>
        <v>9330.4466666666667</v>
      </c>
      <c r="K68" s="107">
        <f>'[2]2021 УГРЦТ'!Z70</f>
        <v>16116.553333333333</v>
      </c>
      <c r="L68" s="125" t="e">
        <f>SUMIF([2]облаг!$B$2:$B$259,B68,[2]облаг!$D$2:$D$259)</f>
        <v>#VALUE!</v>
      </c>
      <c r="M68" s="107">
        <f t="shared" si="13"/>
        <v>141.37222222222223</v>
      </c>
      <c r="N68" s="107">
        <f t="shared" si="14"/>
        <v>1696.4666666666667</v>
      </c>
      <c r="O68" s="107">
        <f t="shared" si="15"/>
        <v>15975.181111111111</v>
      </c>
      <c r="P68" s="107">
        <f t="shared" si="16"/>
        <v>15833.808888888889</v>
      </c>
      <c r="Q68" s="107">
        <f t="shared" si="17"/>
        <v>15692.436666666666</v>
      </c>
      <c r="R68" s="107">
        <f t="shared" si="18"/>
        <v>15551.064444444444</v>
      </c>
      <c r="S68" s="107">
        <f t="shared" si="19"/>
        <v>15409.692222222222</v>
      </c>
      <c r="T68" s="107">
        <f t="shared" si="20"/>
        <v>15268.32</v>
      </c>
      <c r="U68" s="107">
        <f t="shared" si="21"/>
        <v>15126.947777777777</v>
      </c>
      <c r="V68" s="107">
        <f t="shared" si="22"/>
        <v>14985.575555555555</v>
      </c>
      <c r="W68" s="107">
        <f t="shared" si="23"/>
        <v>14844.203333333333</v>
      </c>
      <c r="X68" s="107">
        <f t="shared" si="24"/>
        <v>14702.831111111111</v>
      </c>
      <c r="Y68" s="107">
        <f t="shared" si="25"/>
        <v>14561.458888888888</v>
      </c>
      <c r="Z68" s="107">
        <f t="shared" si="26"/>
        <v>14420.086666666666</v>
      </c>
      <c r="AA68" s="107">
        <f t="shared" si="71"/>
        <v>335.90303999999992</v>
      </c>
      <c r="AB68" s="107"/>
      <c r="AC68" s="107">
        <f t="shared" si="27"/>
        <v>1696.4666666666667</v>
      </c>
      <c r="AD68" s="107">
        <f t="shared" si="28"/>
        <v>14278.714444444444</v>
      </c>
      <c r="AE68" s="107">
        <f t="shared" si="29"/>
        <v>14137.342222222222</v>
      </c>
      <c r="AF68" s="107">
        <f t="shared" si="30"/>
        <v>13995.97</v>
      </c>
      <c r="AG68" s="107">
        <f t="shared" si="31"/>
        <v>13854.597777777777</v>
      </c>
      <c r="AH68" s="107">
        <f t="shared" si="32"/>
        <v>13713.225555555555</v>
      </c>
      <c r="AI68" s="107">
        <f t="shared" si="33"/>
        <v>13571.853333333333</v>
      </c>
      <c r="AJ68" s="107">
        <f t="shared" si="34"/>
        <v>13430.48111111111</v>
      </c>
      <c r="AK68" s="107">
        <f t="shared" si="35"/>
        <v>13289.108888888888</v>
      </c>
      <c r="AL68" s="107">
        <f t="shared" si="36"/>
        <v>13147.736666666666</v>
      </c>
      <c r="AM68" s="107">
        <f t="shared" si="37"/>
        <v>13006.364444444444</v>
      </c>
      <c r="AN68" s="107">
        <f t="shared" si="38"/>
        <v>12864.992222222221</v>
      </c>
      <c r="AO68" s="107">
        <f t="shared" si="39"/>
        <v>12723.619999999999</v>
      </c>
      <c r="AP68" s="107">
        <f t="shared" si="72"/>
        <v>298.5807733333333</v>
      </c>
      <c r="AQ68" s="126"/>
      <c r="AR68" s="107">
        <f t="shared" si="40"/>
        <v>1696.4666666666667</v>
      </c>
      <c r="AS68" s="107">
        <f t="shared" si="55"/>
        <v>12582.247777777777</v>
      </c>
      <c r="AT68" s="107">
        <f t="shared" si="56"/>
        <v>12440.875555555554</v>
      </c>
      <c r="AU68" s="107">
        <f t="shared" si="57"/>
        <v>12299.503333333332</v>
      </c>
      <c r="AV68" s="107">
        <f t="shared" si="58"/>
        <v>12158.13111111111</v>
      </c>
      <c r="AW68" s="107">
        <f t="shared" si="59"/>
        <v>12016.758888888888</v>
      </c>
      <c r="AX68" s="107">
        <f t="shared" si="60"/>
        <v>11875.386666666665</v>
      </c>
      <c r="AY68" s="107">
        <f t="shared" si="61"/>
        <v>11734.014444444443</v>
      </c>
      <c r="AZ68" s="107">
        <f t="shared" si="62"/>
        <v>11592.642222222221</v>
      </c>
      <c r="BA68" s="107">
        <f t="shared" si="67"/>
        <v>11451.269999999999</v>
      </c>
      <c r="BB68" s="107">
        <f t="shared" si="68"/>
        <v>11309.897777777776</v>
      </c>
      <c r="BC68" s="107">
        <f t="shared" si="69"/>
        <v>11168.525555555554</v>
      </c>
      <c r="BD68" s="107">
        <f t="shared" si="70"/>
        <v>11027.153333333332</v>
      </c>
      <c r="BE68" s="107">
        <f t="shared" si="73"/>
        <v>261.25850666666662</v>
      </c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</row>
    <row r="69" spans="1:75" ht="33.75" hidden="1" x14ac:dyDescent="0.2">
      <c r="A69" s="123" t="str">
        <f>'[2]2021 УГРЦТ'!A71</f>
        <v>Наружные сети электроснабжения 0,4 кВ (НАО, п. Красное)</v>
      </c>
      <c r="B69" s="124" t="str">
        <f>'[2]2021 УГРЦТ'!B71</f>
        <v>000001688</v>
      </c>
      <c r="C69" s="124" t="str">
        <f>VLOOKUP(A:A,'2023-2027'!A:L,1,+FALSE)</f>
        <v>Наружные сети электроснабжения 0,4 кВ (НАО, п. Красное)</v>
      </c>
      <c r="D69" s="124" t="str">
        <f>'[2]2021 УГРЦТ'!C71</f>
        <v>ПРОИЗВОДСТВО</v>
      </c>
      <c r="E69" s="124" t="str">
        <f>'[2]2021 УГРЦТ'!D71</f>
        <v>Сооружения</v>
      </c>
      <c r="F69" s="124" t="str">
        <f>'[2]2021 УГРЦТ'!E71</f>
        <v>29.06.2016</v>
      </c>
      <c r="G69" s="124" t="str">
        <f>'[2]2021 УГРЦТ'!F71</f>
        <v>ДЭС п.Красное</v>
      </c>
      <c r="H69" s="124">
        <f>'[2]2021 УГРЦТ'!AC71</f>
        <v>180</v>
      </c>
      <c r="I69" s="107">
        <f>'[2]2021 УГРЦТ'!X71</f>
        <v>36352</v>
      </c>
      <c r="J69" s="107">
        <f>'[2]2021 УГРЦТ'!Y71</f>
        <v>13329.306666666667</v>
      </c>
      <c r="K69" s="107">
        <f>'[2]2021 УГРЦТ'!Z71</f>
        <v>23022.693333333333</v>
      </c>
      <c r="L69" s="125" t="e">
        <f>SUMIF([2]облаг!$B$2:$B$259,B69,[2]облаг!$D$2:$D$259)</f>
        <v>#VALUE!</v>
      </c>
      <c r="M69" s="107">
        <f t="shared" si="13"/>
        <v>201.95555555555555</v>
      </c>
      <c r="N69" s="107">
        <f t="shared" si="14"/>
        <v>2423.4666666666667</v>
      </c>
      <c r="O69" s="107">
        <f t="shared" si="15"/>
        <v>22820.737777777777</v>
      </c>
      <c r="P69" s="107">
        <f t="shared" si="16"/>
        <v>22618.78222222222</v>
      </c>
      <c r="Q69" s="107">
        <f t="shared" si="17"/>
        <v>22416.826666666664</v>
      </c>
      <c r="R69" s="107">
        <f t="shared" si="18"/>
        <v>22214.871111111108</v>
      </c>
      <c r="S69" s="107">
        <f t="shared" si="19"/>
        <v>22012.915555555552</v>
      </c>
      <c r="T69" s="107">
        <f t="shared" si="20"/>
        <v>21810.959999999995</v>
      </c>
      <c r="U69" s="107">
        <f t="shared" si="21"/>
        <v>21609.004444444439</v>
      </c>
      <c r="V69" s="107">
        <f t="shared" si="22"/>
        <v>21407.048888888883</v>
      </c>
      <c r="W69" s="107">
        <f t="shared" si="23"/>
        <v>21205.093333333327</v>
      </c>
      <c r="X69" s="107">
        <f t="shared" si="24"/>
        <v>21003.137777777771</v>
      </c>
      <c r="Y69" s="107">
        <f t="shared" si="25"/>
        <v>20801.182222222214</v>
      </c>
      <c r="Z69" s="107">
        <f t="shared" si="26"/>
        <v>20599.226666666658</v>
      </c>
      <c r="AA69" s="107">
        <f t="shared" si="71"/>
        <v>479.84111999999988</v>
      </c>
      <c r="AB69" s="107"/>
      <c r="AC69" s="107">
        <f t="shared" si="27"/>
        <v>2423.4666666666667</v>
      </c>
      <c r="AD69" s="107">
        <f t="shared" si="28"/>
        <v>20397.271111111102</v>
      </c>
      <c r="AE69" s="107">
        <f t="shared" si="29"/>
        <v>20195.315555555546</v>
      </c>
      <c r="AF69" s="107">
        <f t="shared" si="30"/>
        <v>19993.35999999999</v>
      </c>
      <c r="AG69" s="107">
        <f t="shared" si="31"/>
        <v>19791.404444444433</v>
      </c>
      <c r="AH69" s="107">
        <f t="shared" si="32"/>
        <v>19589.448888888877</v>
      </c>
      <c r="AI69" s="107">
        <f t="shared" si="33"/>
        <v>19387.493333333321</v>
      </c>
      <c r="AJ69" s="107">
        <f t="shared" si="34"/>
        <v>19185.537777777765</v>
      </c>
      <c r="AK69" s="107">
        <f t="shared" si="35"/>
        <v>18983.582222222209</v>
      </c>
      <c r="AL69" s="107">
        <f t="shared" si="36"/>
        <v>18781.626666666652</v>
      </c>
      <c r="AM69" s="107">
        <f t="shared" si="37"/>
        <v>18579.671111111096</v>
      </c>
      <c r="AN69" s="107">
        <f t="shared" si="38"/>
        <v>18377.71555555554</v>
      </c>
      <c r="AO69" s="107">
        <f t="shared" si="39"/>
        <v>18175.759999999984</v>
      </c>
      <c r="AP69" s="107">
        <f t="shared" si="72"/>
        <v>426.52485333333306</v>
      </c>
      <c r="AQ69" s="126"/>
      <c r="AR69" s="107">
        <f t="shared" si="40"/>
        <v>2423.4666666666667</v>
      </c>
      <c r="AS69" s="107">
        <f t="shared" si="55"/>
        <v>17973.804444444428</v>
      </c>
      <c r="AT69" s="107">
        <f t="shared" si="56"/>
        <v>17771.848888888871</v>
      </c>
      <c r="AU69" s="107">
        <f t="shared" si="57"/>
        <v>17569.893333333315</v>
      </c>
      <c r="AV69" s="107">
        <f t="shared" si="58"/>
        <v>17367.937777777759</v>
      </c>
      <c r="AW69" s="107">
        <f t="shared" si="59"/>
        <v>17165.982222222203</v>
      </c>
      <c r="AX69" s="107">
        <f t="shared" si="60"/>
        <v>16964.026666666647</v>
      </c>
      <c r="AY69" s="107">
        <f t="shared" si="61"/>
        <v>16762.07111111109</v>
      </c>
      <c r="AZ69" s="107">
        <f t="shared" si="62"/>
        <v>16560.115555555534</v>
      </c>
      <c r="BA69" s="107">
        <f t="shared" si="67"/>
        <v>16358.159999999978</v>
      </c>
      <c r="BB69" s="107">
        <f t="shared" si="68"/>
        <v>16156.204444444422</v>
      </c>
      <c r="BC69" s="107">
        <f t="shared" si="69"/>
        <v>15954.248888888866</v>
      </c>
      <c r="BD69" s="107">
        <f t="shared" si="70"/>
        <v>15752.293333333309</v>
      </c>
      <c r="BE69" s="107">
        <f t="shared" si="73"/>
        <v>373.20858666666618</v>
      </c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</row>
    <row r="70" spans="1:75" ht="33.75" hidden="1" x14ac:dyDescent="0.2">
      <c r="A70" s="123" t="str">
        <f>'[2]2021 УГРЦТ'!A72</f>
        <v>Наружные сети электроснабжения 0,4 кВ п. Красное</v>
      </c>
      <c r="B70" s="124" t="str">
        <f>'[2]2021 УГРЦТ'!B72</f>
        <v>000001675</v>
      </c>
      <c r="C70" s="124" t="str">
        <f>VLOOKUP(A:A,'2023-2027'!A:L,1,+FALSE)</f>
        <v>Наружные сети электроснабжения 0,4 кВ п. Красное</v>
      </c>
      <c r="D70" s="124" t="str">
        <f>'[2]2021 УГРЦТ'!C72</f>
        <v>ПРОИЗВОДСТВО</v>
      </c>
      <c r="E70" s="124" t="str">
        <f>'[2]2021 УГРЦТ'!D72</f>
        <v>Сооружения</v>
      </c>
      <c r="F70" s="124" t="str">
        <f>'[2]2021 УГРЦТ'!E72</f>
        <v>20.01.2016</v>
      </c>
      <c r="G70" s="124" t="str">
        <f>'[2]2021 УГРЦТ'!F72</f>
        <v>ДЭС п.Красное</v>
      </c>
      <c r="H70" s="124">
        <f>'[2]2021 УГРЦТ'!AC72</f>
        <v>180</v>
      </c>
      <c r="I70" s="107">
        <v>347860.46</v>
      </c>
      <c r="J70" s="107">
        <v>137211.73733333332</v>
      </c>
      <c r="K70" s="107">
        <v>210648.7226666667</v>
      </c>
      <c r="L70" s="125" t="e">
        <f>SUMIF([2]облаг!$B$2:$B$259,B70,[2]облаг!$D$2:$D$259)</f>
        <v>#VALUE!</v>
      </c>
      <c r="M70" s="107">
        <f t="shared" ref="M70:M133" si="74">I70/H70</f>
        <v>1932.5581111111112</v>
      </c>
      <c r="N70" s="107">
        <f t="shared" ref="N70:N133" si="75">M70*12</f>
        <v>23190.697333333334</v>
      </c>
      <c r="O70" s="107">
        <f t="shared" ref="O70:O133" si="76">K70-M70</f>
        <v>208716.16455555559</v>
      </c>
      <c r="P70" s="107">
        <f t="shared" ref="P70:P133" si="77">O70-M70</f>
        <v>206783.60644444448</v>
      </c>
      <c r="Q70" s="107">
        <f t="shared" ref="Q70:Q133" si="78">P70-M70</f>
        <v>204851.04833333337</v>
      </c>
      <c r="R70" s="107">
        <f t="shared" ref="R70:R133" si="79">Q70-M70</f>
        <v>202918.49022222226</v>
      </c>
      <c r="S70" s="107">
        <f t="shared" ref="S70:S133" si="80">R70-M70</f>
        <v>200985.93211111115</v>
      </c>
      <c r="T70" s="107">
        <f t="shared" ref="T70:T133" si="81">S70-M70</f>
        <v>199053.37400000004</v>
      </c>
      <c r="U70" s="107">
        <f t="shared" ref="U70:U133" si="82">T70-M70</f>
        <v>197120.81588888893</v>
      </c>
      <c r="V70" s="107">
        <f t="shared" ref="V70:V133" si="83">U70-M70</f>
        <v>195188.25777777782</v>
      </c>
      <c r="W70" s="107">
        <f t="shared" ref="W70:W133" si="84">V70-M70</f>
        <v>193255.69966666671</v>
      </c>
      <c r="X70" s="107">
        <f t="shared" ref="X70:X133" si="85">W70-M70</f>
        <v>191323.1415555556</v>
      </c>
      <c r="Y70" s="107">
        <f t="shared" ref="Y70:Y133" si="86">X70-M70</f>
        <v>189390.58344444449</v>
      </c>
      <c r="Z70" s="107">
        <f t="shared" ref="Z70:Z133" si="87">Y70-M70</f>
        <v>187458.02533333338</v>
      </c>
      <c r="AA70" s="107">
        <f t="shared" si="71"/>
        <v>4379.1742280000008</v>
      </c>
      <c r="AB70" s="107"/>
      <c r="AC70" s="107">
        <f t="shared" ref="AC70:AC133" si="88">M70*12</f>
        <v>23190.697333333334</v>
      </c>
      <c r="AD70" s="107">
        <f t="shared" ref="AD70:AD133" si="89">Z70-M70</f>
        <v>185525.46722222227</v>
      </c>
      <c r="AE70" s="107">
        <f t="shared" ref="AE70:AE133" si="90">AD70-M70</f>
        <v>183592.90911111116</v>
      </c>
      <c r="AF70" s="107">
        <f t="shared" ref="AF70:AF133" si="91">AE70-M70</f>
        <v>181660.35100000005</v>
      </c>
      <c r="AG70" s="107">
        <f t="shared" ref="AG70:AG133" si="92">AF70-M70</f>
        <v>179727.79288888894</v>
      </c>
      <c r="AH70" s="107">
        <f t="shared" ref="AH70:AH133" si="93">AG70-M70</f>
        <v>177795.23477777783</v>
      </c>
      <c r="AI70" s="107">
        <f t="shared" ref="AI70:AI133" si="94">AH70-M70</f>
        <v>175862.67666666672</v>
      </c>
      <c r="AJ70" s="107">
        <f t="shared" ref="AJ70:AJ133" si="95">AI70-M70</f>
        <v>173930.11855555561</v>
      </c>
      <c r="AK70" s="107">
        <f t="shared" ref="AK70:AK133" si="96">AJ70-M70</f>
        <v>171997.56044444451</v>
      </c>
      <c r="AL70" s="107">
        <f t="shared" ref="AL70:AL133" si="97">AK70-M70</f>
        <v>170065.0023333334</v>
      </c>
      <c r="AM70" s="107">
        <f t="shared" ref="AM70:AM133" si="98">AL70-M70</f>
        <v>168132.44422222229</v>
      </c>
      <c r="AN70" s="107">
        <f t="shared" ref="AN70:AN133" si="99">AM70-M70</f>
        <v>166199.88611111118</v>
      </c>
      <c r="AO70" s="107">
        <f t="shared" ref="AO70:AO133" si="100">AN70-M70</f>
        <v>164267.32800000007</v>
      </c>
      <c r="AP70" s="107">
        <f t="shared" si="72"/>
        <v>3868.9788866666677</v>
      </c>
      <c r="AQ70" s="126"/>
      <c r="AR70" s="107">
        <f t="shared" ref="AR70:AR133" si="101">M70*12</f>
        <v>23190.697333333334</v>
      </c>
      <c r="AS70" s="107">
        <f t="shared" si="55"/>
        <v>162334.76988888896</v>
      </c>
      <c r="AT70" s="107">
        <f t="shared" si="56"/>
        <v>160402.21177777785</v>
      </c>
      <c r="AU70" s="107">
        <f t="shared" si="57"/>
        <v>158469.65366666674</v>
      </c>
      <c r="AV70" s="107">
        <f t="shared" si="58"/>
        <v>156537.09555555563</v>
      </c>
      <c r="AW70" s="107">
        <f t="shared" si="59"/>
        <v>154604.53744444452</v>
      </c>
      <c r="AX70" s="107">
        <f t="shared" si="60"/>
        <v>152671.97933333341</v>
      </c>
      <c r="AY70" s="107">
        <f t="shared" si="61"/>
        <v>150739.4212222223</v>
      </c>
      <c r="AZ70" s="107">
        <f t="shared" si="62"/>
        <v>148806.86311111119</v>
      </c>
      <c r="BA70" s="107">
        <f t="shared" si="67"/>
        <v>146874.30500000008</v>
      </c>
      <c r="BB70" s="107">
        <f t="shared" si="68"/>
        <v>144941.74688888897</v>
      </c>
      <c r="BC70" s="107">
        <f t="shared" si="69"/>
        <v>143009.18877777786</v>
      </c>
      <c r="BD70" s="107">
        <f t="shared" si="70"/>
        <v>141076.63066666675</v>
      </c>
      <c r="BE70" s="107">
        <f t="shared" si="73"/>
        <v>3358.7835453333346</v>
      </c>
      <c r="BF70" s="127"/>
      <c r="BG70" s="127"/>
      <c r="BH70" s="127"/>
      <c r="BI70" s="127"/>
      <c r="BJ70" s="127"/>
      <c r="BK70" s="127"/>
      <c r="BL70" s="127"/>
      <c r="BM70" s="127"/>
      <c r="BN70" s="127"/>
      <c r="BO70" s="127"/>
      <c r="BP70" s="127"/>
      <c r="BQ70" s="127"/>
      <c r="BR70" s="127"/>
      <c r="BS70" s="127"/>
      <c r="BT70" s="127"/>
      <c r="BU70" s="127"/>
      <c r="BV70" s="127"/>
      <c r="BW70" s="127"/>
    </row>
    <row r="71" spans="1:75" ht="33.75" hidden="1" x14ac:dyDescent="0.2">
      <c r="A71" s="123" t="str">
        <f>'[2]2021 УГРЦТ'!A73</f>
        <v>Наружные сети электроснабжения 0,4 кВ п. Красное</v>
      </c>
      <c r="B71" s="124" t="str">
        <f>'[2]2021 УГРЦТ'!B73</f>
        <v>000001676</v>
      </c>
      <c r="C71" s="124" t="str">
        <f>VLOOKUP(A:A,'2023-2027'!A:L,1,+FALSE)</f>
        <v>Наружные сети электроснабжения 0,4 кВ п. Красное</v>
      </c>
      <c r="D71" s="124" t="str">
        <f>'[2]2021 УГРЦТ'!C73</f>
        <v>ПРОИЗВОДСТВО</v>
      </c>
      <c r="E71" s="124" t="str">
        <f>'[2]2021 УГРЦТ'!D73</f>
        <v>Сооружения</v>
      </c>
      <c r="F71" s="124" t="str">
        <f>'[2]2021 УГРЦТ'!E73</f>
        <v>20.01.2016</v>
      </c>
      <c r="G71" s="124" t="str">
        <f>'[2]2021 УГРЦТ'!F73</f>
        <v>ДЭС п.Красное</v>
      </c>
      <c r="H71" s="124">
        <f>'[2]2021 УГРЦТ'!AC73</f>
        <v>180</v>
      </c>
      <c r="I71" s="107">
        <f>'[2]2021 УГРЦТ'!X73</f>
        <v>65865.240000000005</v>
      </c>
      <c r="J71" s="107">
        <f>'[2]2021 УГРЦТ'!Y73</f>
        <v>25980.295999999998</v>
      </c>
      <c r="K71" s="107">
        <f>'[2]2021 УГРЦТ'!Z73</f>
        <v>39884.944000000003</v>
      </c>
      <c r="L71" s="125" t="e">
        <f>SUMIF([2]облаг!$B$2:$B$259,B71,[2]облаг!$D$2:$D$259)</f>
        <v>#VALUE!</v>
      </c>
      <c r="M71" s="107">
        <f t="shared" si="74"/>
        <v>365.91800000000001</v>
      </c>
      <c r="N71" s="107">
        <f t="shared" si="75"/>
        <v>4391.0159999999996</v>
      </c>
      <c r="O71" s="107">
        <f t="shared" si="76"/>
        <v>39519.026000000005</v>
      </c>
      <c r="P71" s="107">
        <f t="shared" si="77"/>
        <v>39153.108000000007</v>
      </c>
      <c r="Q71" s="107">
        <f t="shared" si="78"/>
        <v>38787.19000000001</v>
      </c>
      <c r="R71" s="107">
        <f t="shared" si="79"/>
        <v>38421.272000000012</v>
      </c>
      <c r="S71" s="107">
        <f t="shared" si="80"/>
        <v>38055.354000000014</v>
      </c>
      <c r="T71" s="107">
        <f t="shared" si="81"/>
        <v>37689.436000000016</v>
      </c>
      <c r="U71" s="107">
        <f t="shared" si="82"/>
        <v>37323.518000000018</v>
      </c>
      <c r="V71" s="107">
        <f t="shared" si="83"/>
        <v>36957.60000000002</v>
      </c>
      <c r="W71" s="107">
        <f t="shared" si="84"/>
        <v>36591.682000000023</v>
      </c>
      <c r="X71" s="107">
        <f t="shared" si="85"/>
        <v>36225.764000000025</v>
      </c>
      <c r="Y71" s="107">
        <f t="shared" si="86"/>
        <v>35859.846000000027</v>
      </c>
      <c r="Z71" s="107">
        <f t="shared" si="87"/>
        <v>35493.928000000029</v>
      </c>
      <c r="AA71" s="107">
        <f t="shared" si="71"/>
        <v>829.16759200000035</v>
      </c>
      <c r="AB71" s="107"/>
      <c r="AC71" s="107">
        <f t="shared" si="88"/>
        <v>4391.0159999999996</v>
      </c>
      <c r="AD71" s="107">
        <f t="shared" si="89"/>
        <v>35128.010000000031</v>
      </c>
      <c r="AE71" s="107">
        <f t="shared" si="90"/>
        <v>34762.092000000033</v>
      </c>
      <c r="AF71" s="107">
        <f t="shared" si="91"/>
        <v>34396.174000000035</v>
      </c>
      <c r="AG71" s="107">
        <f t="shared" si="92"/>
        <v>34030.256000000038</v>
      </c>
      <c r="AH71" s="107">
        <f t="shared" si="93"/>
        <v>33664.33800000004</v>
      </c>
      <c r="AI71" s="107">
        <f t="shared" si="94"/>
        <v>33298.420000000042</v>
      </c>
      <c r="AJ71" s="107">
        <f t="shared" si="95"/>
        <v>32932.502000000044</v>
      </c>
      <c r="AK71" s="107">
        <f t="shared" si="96"/>
        <v>32566.584000000043</v>
      </c>
      <c r="AL71" s="107">
        <f t="shared" si="97"/>
        <v>32200.666000000041</v>
      </c>
      <c r="AM71" s="107">
        <f t="shared" si="98"/>
        <v>31834.74800000004</v>
      </c>
      <c r="AN71" s="107">
        <f t="shared" si="99"/>
        <v>31468.830000000038</v>
      </c>
      <c r="AO71" s="107">
        <f t="shared" si="100"/>
        <v>31102.912000000037</v>
      </c>
      <c r="AP71" s="107">
        <f t="shared" si="72"/>
        <v>732.56524000000059</v>
      </c>
      <c r="AQ71" s="126"/>
      <c r="AR71" s="107">
        <f t="shared" si="101"/>
        <v>4391.0159999999996</v>
      </c>
      <c r="AS71" s="107">
        <f t="shared" si="55"/>
        <v>30736.994000000035</v>
      </c>
      <c r="AT71" s="107">
        <f t="shared" si="56"/>
        <v>30371.076000000034</v>
      </c>
      <c r="AU71" s="107">
        <f t="shared" si="57"/>
        <v>30005.158000000032</v>
      </c>
      <c r="AV71" s="107">
        <f t="shared" si="58"/>
        <v>29639.240000000031</v>
      </c>
      <c r="AW71" s="107">
        <f t="shared" si="59"/>
        <v>29273.322000000029</v>
      </c>
      <c r="AX71" s="107">
        <f t="shared" si="60"/>
        <v>28907.404000000028</v>
      </c>
      <c r="AY71" s="107">
        <f t="shared" si="61"/>
        <v>28541.486000000026</v>
      </c>
      <c r="AZ71" s="107">
        <f t="shared" si="62"/>
        <v>28175.568000000025</v>
      </c>
      <c r="BA71" s="107">
        <f t="shared" si="67"/>
        <v>27809.650000000023</v>
      </c>
      <c r="BB71" s="107">
        <f t="shared" si="68"/>
        <v>27443.732000000022</v>
      </c>
      <c r="BC71" s="107">
        <f t="shared" si="69"/>
        <v>27077.81400000002</v>
      </c>
      <c r="BD71" s="107">
        <f t="shared" si="70"/>
        <v>26711.896000000019</v>
      </c>
      <c r="BE71" s="107">
        <f t="shared" si="73"/>
        <v>635.96288800000048</v>
      </c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  <c r="BQ71" s="127"/>
      <c r="BR71" s="127"/>
      <c r="BS71" s="127"/>
      <c r="BT71" s="127"/>
      <c r="BU71" s="127"/>
      <c r="BV71" s="127"/>
      <c r="BW71" s="127"/>
    </row>
    <row r="72" spans="1:75" ht="45" hidden="1" x14ac:dyDescent="0.2">
      <c r="A72" s="123" t="str">
        <f>'[2]2021 УГРЦТ'!A74</f>
        <v>Наружные сети электроснабжения 6 кВт, адрес: Ненецкий АО, Заполярный р-н, Красное п, Мира ул</v>
      </c>
      <c r="B72" s="124" t="str">
        <f>'[2]2021 УГРЦТ'!B74</f>
        <v>000001722</v>
      </c>
      <c r="C72" s="124" t="str">
        <f>VLOOKUP(A:A,'2023-2027'!A:L,1,+FALSE)</f>
        <v>Наружные сети электроснабжения 6 кВт, адрес: Ненецкий АО, Заполярный р-н, Красное п, Мира ул</v>
      </c>
      <c r="D72" s="124" t="str">
        <f>'[2]2021 УГРЦТ'!C74</f>
        <v>ПРОИЗВОДСТВО</v>
      </c>
      <c r="E72" s="124" t="str">
        <f>'[2]2021 УГРЦТ'!D74</f>
        <v>Сооружения</v>
      </c>
      <c r="F72" s="124" t="str">
        <f>'[2]2021 УГРЦТ'!E74</f>
        <v>03.05.2018</v>
      </c>
      <c r="G72" s="124" t="str">
        <f>'[2]2021 УГРЦТ'!F74</f>
        <v>ДЭС п.Красное</v>
      </c>
      <c r="H72" s="124">
        <f>'[2]2021 УГРЦТ'!AC74</f>
        <v>360</v>
      </c>
      <c r="I72" s="107">
        <v>2193414</v>
      </c>
      <c r="J72" s="107">
        <v>261991.22000000003</v>
      </c>
      <c r="K72" s="107">
        <v>1931422.78</v>
      </c>
      <c r="L72" s="125" t="e">
        <f>SUMIF([2]облаг!$B$2:$B$259,B72,[2]облаг!$D$2:$D$259)</f>
        <v>#VALUE!</v>
      </c>
      <c r="M72" s="107">
        <f t="shared" si="74"/>
        <v>6092.8166666666666</v>
      </c>
      <c r="N72" s="107">
        <f t="shared" si="75"/>
        <v>73113.8</v>
      </c>
      <c r="O72" s="107">
        <f t="shared" si="76"/>
        <v>1925329.9633333334</v>
      </c>
      <c r="P72" s="107">
        <f t="shared" si="77"/>
        <v>1919237.1466666667</v>
      </c>
      <c r="Q72" s="107">
        <f t="shared" si="78"/>
        <v>1913144.33</v>
      </c>
      <c r="R72" s="107">
        <f t="shared" si="79"/>
        <v>1907051.5133333334</v>
      </c>
      <c r="S72" s="107">
        <f t="shared" si="80"/>
        <v>1900958.6966666668</v>
      </c>
      <c r="T72" s="107">
        <f t="shared" si="81"/>
        <v>1894865.8800000001</v>
      </c>
      <c r="U72" s="107">
        <f t="shared" si="82"/>
        <v>1888773.0633333335</v>
      </c>
      <c r="V72" s="107">
        <f t="shared" si="83"/>
        <v>1882680.2466666668</v>
      </c>
      <c r="W72" s="107">
        <f t="shared" si="84"/>
        <v>1876587.4300000002</v>
      </c>
      <c r="X72" s="107">
        <f t="shared" si="85"/>
        <v>1870494.6133333335</v>
      </c>
      <c r="Y72" s="107">
        <f t="shared" si="86"/>
        <v>1864401.7966666669</v>
      </c>
      <c r="Z72" s="107">
        <f t="shared" si="87"/>
        <v>1858308.9800000002</v>
      </c>
      <c r="AA72" s="107">
        <f t="shared" si="71"/>
        <v>41687.049359999997</v>
      </c>
      <c r="AB72" s="107"/>
      <c r="AC72" s="107">
        <f t="shared" si="88"/>
        <v>73113.8</v>
      </c>
      <c r="AD72" s="107">
        <f t="shared" si="89"/>
        <v>1852216.1633333336</v>
      </c>
      <c r="AE72" s="107">
        <f t="shared" si="90"/>
        <v>1846123.3466666669</v>
      </c>
      <c r="AF72" s="107">
        <f t="shared" si="91"/>
        <v>1840030.5300000003</v>
      </c>
      <c r="AG72" s="107">
        <f t="shared" si="92"/>
        <v>1833937.7133333336</v>
      </c>
      <c r="AH72" s="107">
        <f t="shared" si="93"/>
        <v>1827844.896666667</v>
      </c>
      <c r="AI72" s="107">
        <f t="shared" si="94"/>
        <v>1821752.0800000003</v>
      </c>
      <c r="AJ72" s="107">
        <f t="shared" si="95"/>
        <v>1815659.2633333337</v>
      </c>
      <c r="AK72" s="107">
        <f t="shared" si="96"/>
        <v>1809566.446666667</v>
      </c>
      <c r="AL72" s="107">
        <f t="shared" si="97"/>
        <v>1803473.6300000004</v>
      </c>
      <c r="AM72" s="107">
        <f t="shared" si="98"/>
        <v>1797380.8133333337</v>
      </c>
      <c r="AN72" s="107">
        <f t="shared" si="99"/>
        <v>1791287.9966666671</v>
      </c>
      <c r="AO72" s="107">
        <f t="shared" si="100"/>
        <v>1785195.1800000004</v>
      </c>
      <c r="AP72" s="107">
        <f t="shared" si="72"/>
        <v>40078.545760000001</v>
      </c>
      <c r="AQ72" s="126"/>
      <c r="AR72" s="107">
        <f t="shared" si="101"/>
        <v>73113.8</v>
      </c>
      <c r="AS72" s="107">
        <f t="shared" si="55"/>
        <v>1779102.3633333337</v>
      </c>
      <c r="AT72" s="107">
        <f t="shared" si="56"/>
        <v>1773009.5466666671</v>
      </c>
      <c r="AU72" s="107">
        <f t="shared" si="57"/>
        <v>1766916.7300000004</v>
      </c>
      <c r="AV72" s="107">
        <f t="shared" si="58"/>
        <v>1760823.9133333338</v>
      </c>
      <c r="AW72" s="107">
        <f t="shared" si="59"/>
        <v>1754731.0966666671</v>
      </c>
      <c r="AX72" s="107">
        <f t="shared" si="60"/>
        <v>1748638.2800000005</v>
      </c>
      <c r="AY72" s="107">
        <f t="shared" si="61"/>
        <v>1742545.4633333338</v>
      </c>
      <c r="AZ72" s="107">
        <f t="shared" si="62"/>
        <v>1736452.6466666672</v>
      </c>
      <c r="BA72" s="107">
        <f t="shared" si="67"/>
        <v>1730359.8300000005</v>
      </c>
      <c r="BB72" s="107">
        <f t="shared" si="68"/>
        <v>1724267.0133333339</v>
      </c>
      <c r="BC72" s="107">
        <f t="shared" si="69"/>
        <v>1718174.1966666672</v>
      </c>
      <c r="BD72" s="107">
        <f t="shared" si="70"/>
        <v>1712081.3800000006</v>
      </c>
      <c r="BE72" s="107">
        <f t="shared" si="73"/>
        <v>38470.042160000005</v>
      </c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P72" s="127"/>
      <c r="BQ72" s="127"/>
      <c r="BR72" s="127"/>
      <c r="BS72" s="127"/>
      <c r="BT72" s="127"/>
      <c r="BU72" s="127"/>
      <c r="BV72" s="127"/>
      <c r="BW72" s="127"/>
    </row>
    <row r="73" spans="1:75" hidden="1" x14ac:dyDescent="0.2">
      <c r="A73" s="123" t="str">
        <f>'[2]2021 УГРЦТ'!A75</f>
        <v>Насос агрегатный  1994г.</v>
      </c>
      <c r="B73" s="124" t="str">
        <f>'[2]2021 УГРЦТ'!B75</f>
        <v>00000589</v>
      </c>
      <c r="C73" s="124" t="str">
        <f>VLOOKUP(A:A,'2023-2027'!A:L,1,+FALSE)</f>
        <v>Насос агрегатный  1994г.</v>
      </c>
      <c r="D73" s="124" t="str">
        <f>'[2]2021 УГРЦТ'!C75</f>
        <v>ПРОИЗВОДСТВО</v>
      </c>
      <c r="E73" s="124" t="str">
        <f>'[2]2021 УГРЦТ'!D75</f>
        <v>Машины и оборудование (кроме офисного)</v>
      </c>
      <c r="F73" s="124" t="str">
        <f>'[2]2021 УГРЦТ'!E75</f>
        <v>01.07.1994</v>
      </c>
      <c r="G73" s="124" t="str">
        <f>'[2]2021 УГРЦТ'!F75</f>
        <v>Тепломеханический цех</v>
      </c>
      <c r="H73" s="124">
        <f>'[2]2021 УГРЦТ'!AC75</f>
        <v>324</v>
      </c>
      <c r="I73" s="107">
        <f>'[2]2021 УГРЦТ'!X75</f>
        <v>5528</v>
      </c>
      <c r="J73" s="107">
        <f>'[2]2021 УГРЦТ'!Y75</f>
        <v>5527.9990123456791</v>
      </c>
      <c r="K73" s="107">
        <f>'[2]2021 УГРЦТ'!Z75</f>
        <v>9.876543208520161E-4</v>
      </c>
      <c r="L73" s="125" t="e">
        <f>SUMIF([2]облаг!$B$2:$B$259,B73,[2]облаг!$D$2:$D$259)</f>
        <v>#VALUE!</v>
      </c>
      <c r="M73" s="107">
        <v>0</v>
      </c>
      <c r="N73" s="107">
        <f t="shared" si="75"/>
        <v>0</v>
      </c>
      <c r="O73" s="107">
        <f t="shared" si="76"/>
        <v>9.876543208520161E-4</v>
      </c>
      <c r="P73" s="107">
        <f t="shared" si="77"/>
        <v>9.876543208520161E-4</v>
      </c>
      <c r="Q73" s="107">
        <f t="shared" si="78"/>
        <v>9.876543208520161E-4</v>
      </c>
      <c r="R73" s="107">
        <f t="shared" si="79"/>
        <v>9.876543208520161E-4</v>
      </c>
      <c r="S73" s="107">
        <f t="shared" si="80"/>
        <v>9.876543208520161E-4</v>
      </c>
      <c r="T73" s="107">
        <f t="shared" si="81"/>
        <v>9.876543208520161E-4</v>
      </c>
      <c r="U73" s="107">
        <f t="shared" si="82"/>
        <v>9.876543208520161E-4</v>
      </c>
      <c r="V73" s="107">
        <f t="shared" si="83"/>
        <v>9.876543208520161E-4</v>
      </c>
      <c r="W73" s="107">
        <f t="shared" si="84"/>
        <v>9.876543208520161E-4</v>
      </c>
      <c r="X73" s="107">
        <f t="shared" si="85"/>
        <v>9.876543208520161E-4</v>
      </c>
      <c r="Y73" s="107">
        <f t="shared" si="86"/>
        <v>9.876543208520161E-4</v>
      </c>
      <c r="Z73" s="107">
        <f t="shared" si="87"/>
        <v>9.876543208520161E-4</v>
      </c>
      <c r="AA73" s="107"/>
      <c r="AB73" s="107"/>
      <c r="AC73" s="107">
        <f t="shared" si="88"/>
        <v>0</v>
      </c>
      <c r="AD73" s="107">
        <f t="shared" si="89"/>
        <v>9.876543208520161E-4</v>
      </c>
      <c r="AE73" s="107">
        <f t="shared" si="90"/>
        <v>9.876543208520161E-4</v>
      </c>
      <c r="AF73" s="107">
        <f t="shared" si="91"/>
        <v>9.876543208520161E-4</v>
      </c>
      <c r="AG73" s="107">
        <f t="shared" si="92"/>
        <v>9.876543208520161E-4</v>
      </c>
      <c r="AH73" s="107">
        <f t="shared" si="93"/>
        <v>9.876543208520161E-4</v>
      </c>
      <c r="AI73" s="107">
        <f t="shared" si="94"/>
        <v>9.876543208520161E-4</v>
      </c>
      <c r="AJ73" s="107">
        <f t="shared" si="95"/>
        <v>9.876543208520161E-4</v>
      </c>
      <c r="AK73" s="107">
        <f t="shared" si="96"/>
        <v>9.876543208520161E-4</v>
      </c>
      <c r="AL73" s="107">
        <f t="shared" si="97"/>
        <v>9.876543208520161E-4</v>
      </c>
      <c r="AM73" s="107">
        <f t="shared" si="98"/>
        <v>9.876543208520161E-4</v>
      </c>
      <c r="AN73" s="107">
        <f t="shared" si="99"/>
        <v>9.876543208520161E-4</v>
      </c>
      <c r="AO73" s="107">
        <f t="shared" si="100"/>
        <v>9.876543208520161E-4</v>
      </c>
      <c r="AP73" s="107"/>
      <c r="AQ73" s="126"/>
      <c r="AR73" s="107">
        <f t="shared" si="101"/>
        <v>0</v>
      </c>
      <c r="AS73" s="107">
        <f t="shared" si="55"/>
        <v>9.876543208520161E-4</v>
      </c>
      <c r="AT73" s="107">
        <f t="shared" si="56"/>
        <v>9.876543208520161E-4</v>
      </c>
      <c r="AU73" s="107">
        <f t="shared" si="57"/>
        <v>9.876543208520161E-4</v>
      </c>
      <c r="AV73" s="107">
        <f t="shared" si="58"/>
        <v>9.876543208520161E-4</v>
      </c>
      <c r="AW73" s="107">
        <f t="shared" si="59"/>
        <v>9.876543208520161E-4</v>
      </c>
      <c r="AX73" s="107">
        <f t="shared" si="60"/>
        <v>9.876543208520161E-4</v>
      </c>
      <c r="AY73" s="107">
        <f t="shared" si="61"/>
        <v>9.876543208520161E-4</v>
      </c>
      <c r="AZ73" s="107">
        <f t="shared" si="62"/>
        <v>9.876543208520161E-4</v>
      </c>
      <c r="BA73" s="107">
        <f t="shared" si="67"/>
        <v>9.876543208520161E-4</v>
      </c>
      <c r="BB73" s="107">
        <f t="shared" si="68"/>
        <v>9.876543208520161E-4</v>
      </c>
      <c r="BC73" s="107">
        <f t="shared" si="69"/>
        <v>9.876543208520161E-4</v>
      </c>
      <c r="BD73" s="107">
        <f t="shared" si="70"/>
        <v>9.876543208520161E-4</v>
      </c>
      <c r="BE73" s="124"/>
    </row>
    <row r="74" spans="1:75" hidden="1" x14ac:dyDescent="0.2">
      <c r="A74" s="123" t="str">
        <f>'[2]2021 УГРЦТ'!A76</f>
        <v>Насосная дизельного топлива</v>
      </c>
      <c r="B74" s="124" t="str">
        <f>'[2]2021 УГРЦТ'!B76</f>
        <v>000001833</v>
      </c>
      <c r="C74" s="124" t="str">
        <f>VLOOKUP(A:A,'2023-2027'!A:L,1,+FALSE)</f>
        <v>Насосная дизельного топлива</v>
      </c>
      <c r="D74" s="124" t="str">
        <f>'[2]2021 УГРЦТ'!C76</f>
        <v>ПРОИЗВОДСТВО</v>
      </c>
      <c r="E74" s="124" t="str">
        <f>'[2]2021 УГРЦТ'!D76</f>
        <v>Сооружения</v>
      </c>
      <c r="F74" s="124" t="str">
        <f>'[2]2021 УГРЦТ'!E76</f>
        <v>30.12.2020</v>
      </c>
      <c r="G74" s="124" t="str">
        <f>'[2]2021 УГРЦТ'!F76</f>
        <v>ДЭС п.Красное</v>
      </c>
      <c r="H74" s="124">
        <f>'[2]2021 УГРЦТ'!AC76</f>
        <v>180</v>
      </c>
      <c r="I74" s="107">
        <f>'[2]2021 УГРЦТ'!X76</f>
        <v>1044745.03</v>
      </c>
      <c r="J74" s="107">
        <f>'[2]2021 УГРЦТ'!Y76</f>
        <v>69649.668666666665</v>
      </c>
      <c r="K74" s="107">
        <f>'[2]2021 УГРЦТ'!Z76</f>
        <v>975095.36133333342</v>
      </c>
      <c r="L74" s="125" t="e">
        <f>SUMIF([2]облаг!$B$2:$B$259,B74,[2]облаг!$D$2:$D$259)</f>
        <v>#VALUE!</v>
      </c>
      <c r="M74" s="107">
        <f t="shared" si="74"/>
        <v>5804.1390555555554</v>
      </c>
      <c r="N74" s="107">
        <f t="shared" si="75"/>
        <v>69649.668666666665</v>
      </c>
      <c r="O74" s="107">
        <f t="shared" si="76"/>
        <v>969291.22227777785</v>
      </c>
      <c r="P74" s="107">
        <f t="shared" si="77"/>
        <v>963487.08322222228</v>
      </c>
      <c r="Q74" s="107">
        <f t="shared" si="78"/>
        <v>957682.94416666671</v>
      </c>
      <c r="R74" s="107">
        <f t="shared" si="79"/>
        <v>951878.80511111114</v>
      </c>
      <c r="S74" s="107">
        <f t="shared" si="80"/>
        <v>946074.66605555557</v>
      </c>
      <c r="T74" s="107">
        <f t="shared" si="81"/>
        <v>940270.527</v>
      </c>
      <c r="U74" s="107">
        <f t="shared" si="82"/>
        <v>934466.38794444443</v>
      </c>
      <c r="V74" s="107">
        <f t="shared" si="83"/>
        <v>928662.24888888886</v>
      </c>
      <c r="W74" s="107">
        <f t="shared" si="84"/>
        <v>922858.10983333329</v>
      </c>
      <c r="X74" s="107">
        <f t="shared" si="85"/>
        <v>917053.97077777772</v>
      </c>
      <c r="Y74" s="107">
        <f t="shared" si="86"/>
        <v>911249.83172222215</v>
      </c>
      <c r="Z74" s="107">
        <f t="shared" si="87"/>
        <v>905445.69266666658</v>
      </c>
      <c r="AA74" s="107">
        <f>SUM(O74:Z74,K74)/13*$AA$2</f>
        <v>20685.951593999998</v>
      </c>
      <c r="AB74" s="107"/>
      <c r="AC74" s="107">
        <f t="shared" si="88"/>
        <v>69649.668666666665</v>
      </c>
      <c r="AD74" s="107">
        <f t="shared" si="89"/>
        <v>899641.55361111101</v>
      </c>
      <c r="AE74" s="107">
        <f t="shared" si="90"/>
        <v>893837.41455555544</v>
      </c>
      <c r="AF74" s="107">
        <f t="shared" si="91"/>
        <v>888033.27549999987</v>
      </c>
      <c r="AG74" s="107">
        <f t="shared" si="92"/>
        <v>882229.1364444443</v>
      </c>
      <c r="AH74" s="107">
        <f t="shared" si="93"/>
        <v>876424.99738888873</v>
      </c>
      <c r="AI74" s="107">
        <f t="shared" si="94"/>
        <v>870620.85833333316</v>
      </c>
      <c r="AJ74" s="107">
        <f t="shared" si="95"/>
        <v>864816.71927777759</v>
      </c>
      <c r="AK74" s="107">
        <f t="shared" si="96"/>
        <v>859012.58022222202</v>
      </c>
      <c r="AL74" s="107">
        <f t="shared" si="97"/>
        <v>853208.44116666645</v>
      </c>
      <c r="AM74" s="107">
        <f t="shared" si="98"/>
        <v>847404.30211111088</v>
      </c>
      <c r="AN74" s="107">
        <f t="shared" si="99"/>
        <v>841600.16305555531</v>
      </c>
      <c r="AO74" s="107">
        <f t="shared" si="100"/>
        <v>835796.02399999974</v>
      </c>
      <c r="AP74" s="107">
        <f>SUM(AD74:AO74,Z74)/13*$AP$2</f>
        <v>19153.65888333333</v>
      </c>
      <c r="AQ74" s="126"/>
      <c r="AR74" s="107">
        <f t="shared" si="101"/>
        <v>69649.668666666665</v>
      </c>
      <c r="AS74" s="107">
        <f t="shared" si="55"/>
        <v>829991.88494444417</v>
      </c>
      <c r="AT74" s="107">
        <f t="shared" si="56"/>
        <v>824187.7458888886</v>
      </c>
      <c r="AU74" s="107">
        <f t="shared" si="57"/>
        <v>818383.60683333303</v>
      </c>
      <c r="AV74" s="107">
        <f t="shared" si="58"/>
        <v>812579.46777777746</v>
      </c>
      <c r="AW74" s="107">
        <f t="shared" si="59"/>
        <v>806775.32872222189</v>
      </c>
      <c r="AX74" s="107">
        <f t="shared" si="60"/>
        <v>800971.18966666632</v>
      </c>
      <c r="AY74" s="107">
        <f t="shared" si="61"/>
        <v>795167.05061111075</v>
      </c>
      <c r="AZ74" s="107">
        <f t="shared" si="62"/>
        <v>789362.91155555518</v>
      </c>
      <c r="BA74" s="107">
        <f t="shared" si="67"/>
        <v>783558.77249999961</v>
      </c>
      <c r="BB74" s="107">
        <f t="shared" si="68"/>
        <v>777754.63344444404</v>
      </c>
      <c r="BC74" s="107">
        <f t="shared" si="69"/>
        <v>771950.49438888847</v>
      </c>
      <c r="BD74" s="107">
        <f t="shared" si="70"/>
        <v>766146.3553333329</v>
      </c>
      <c r="BE74" s="107">
        <f>SUM(AS74:BD74,AO74)/13*$BE$2</f>
        <v>17621.366172666658</v>
      </c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</row>
    <row r="75" spans="1:75" ht="33.75" hidden="1" x14ac:dyDescent="0.2">
      <c r="A75" s="123" t="str">
        <f>'[2]2021 УГРЦТ'!A77</f>
        <v>Насосный агрегат НМШ 5-25-4,0/25Б-1У3 с дв.5,5/1500  №7р198</v>
      </c>
      <c r="B75" s="124" t="str">
        <f>'[2]2021 УГРЦТ'!B77</f>
        <v>000001639</v>
      </c>
      <c r="C75" s="124" t="str">
        <f>VLOOKUP(A:A,'2023-2027'!A:L,1,+FALSE)</f>
        <v>Насосный агрегат НМШ 5-25-4,0/25Б-1У3 с дв.5,5/1500  №7р198</v>
      </c>
      <c r="D75" s="124" t="str">
        <f>'[2]2021 УГРЦТ'!C77</f>
        <v>ПРОИЗВОДСТВО</v>
      </c>
      <c r="E75" s="124" t="str">
        <f>'[2]2021 УГРЦТ'!D77</f>
        <v>Машины и оборудование (кроме офисного)</v>
      </c>
      <c r="F75" s="124" t="str">
        <f>'[2]2021 УГРЦТ'!E77</f>
        <v>22.09.2014</v>
      </c>
      <c r="G75" s="124" t="str">
        <f>'[2]2021 УГРЦТ'!F77</f>
        <v>Газотурбинный цех</v>
      </c>
      <c r="H75" s="124">
        <f>'[2]2021 УГРЦТ'!AC77</f>
        <v>84</v>
      </c>
      <c r="I75" s="107">
        <f>'[2]2021 УГРЦТ'!X77</f>
        <v>57245.760000000002</v>
      </c>
      <c r="J75" s="107">
        <f>'[2]2021 УГРЦТ'!Y77</f>
        <v>57245.760000000002</v>
      </c>
      <c r="K75" s="107">
        <f>'[2]2021 УГРЦТ'!Z77</f>
        <v>0</v>
      </c>
      <c r="L75" s="125" t="e">
        <f>SUMIF([2]облаг!$B$2:$B$259,B75,[2]облаг!$D$2:$D$259)</f>
        <v>#VALUE!</v>
      </c>
      <c r="M75" s="107">
        <v>0</v>
      </c>
      <c r="N75" s="107">
        <f t="shared" si="75"/>
        <v>0</v>
      </c>
      <c r="O75" s="107">
        <f t="shared" si="76"/>
        <v>0</v>
      </c>
      <c r="P75" s="107">
        <f t="shared" si="77"/>
        <v>0</v>
      </c>
      <c r="Q75" s="107">
        <f t="shared" si="78"/>
        <v>0</v>
      </c>
      <c r="R75" s="107">
        <f t="shared" si="79"/>
        <v>0</v>
      </c>
      <c r="S75" s="107">
        <f t="shared" si="80"/>
        <v>0</v>
      </c>
      <c r="T75" s="107">
        <f t="shared" si="81"/>
        <v>0</v>
      </c>
      <c r="U75" s="107">
        <f t="shared" si="82"/>
        <v>0</v>
      </c>
      <c r="V75" s="107">
        <f t="shared" si="83"/>
        <v>0</v>
      </c>
      <c r="W75" s="107">
        <f t="shared" si="84"/>
        <v>0</v>
      </c>
      <c r="X75" s="107">
        <f t="shared" si="85"/>
        <v>0</v>
      </c>
      <c r="Y75" s="107">
        <f t="shared" si="86"/>
        <v>0</v>
      </c>
      <c r="Z75" s="107">
        <f t="shared" si="87"/>
        <v>0</v>
      </c>
      <c r="AA75" s="107"/>
      <c r="AB75" s="107"/>
      <c r="AC75" s="107">
        <f t="shared" si="88"/>
        <v>0</v>
      </c>
      <c r="AD75" s="107">
        <f t="shared" si="89"/>
        <v>0</v>
      </c>
      <c r="AE75" s="107">
        <f t="shared" si="90"/>
        <v>0</v>
      </c>
      <c r="AF75" s="107">
        <f t="shared" si="91"/>
        <v>0</v>
      </c>
      <c r="AG75" s="107">
        <f t="shared" si="92"/>
        <v>0</v>
      </c>
      <c r="AH75" s="107">
        <f t="shared" si="93"/>
        <v>0</v>
      </c>
      <c r="AI75" s="107">
        <f t="shared" si="94"/>
        <v>0</v>
      </c>
      <c r="AJ75" s="107">
        <f t="shared" si="95"/>
        <v>0</v>
      </c>
      <c r="AK75" s="107">
        <f t="shared" si="96"/>
        <v>0</v>
      </c>
      <c r="AL75" s="107">
        <f t="shared" si="97"/>
        <v>0</v>
      </c>
      <c r="AM75" s="107">
        <f t="shared" si="98"/>
        <v>0</v>
      </c>
      <c r="AN75" s="107">
        <f t="shared" si="99"/>
        <v>0</v>
      </c>
      <c r="AO75" s="107">
        <f t="shared" si="100"/>
        <v>0</v>
      </c>
      <c r="AP75" s="107"/>
      <c r="AQ75" s="126"/>
      <c r="AR75" s="107">
        <f t="shared" si="101"/>
        <v>0</v>
      </c>
      <c r="AS75" s="107">
        <f t="shared" si="55"/>
        <v>0</v>
      </c>
      <c r="AT75" s="107">
        <f t="shared" si="56"/>
        <v>0</v>
      </c>
      <c r="AU75" s="107">
        <f t="shared" si="57"/>
        <v>0</v>
      </c>
      <c r="AV75" s="107">
        <f t="shared" si="58"/>
        <v>0</v>
      </c>
      <c r="AW75" s="107">
        <f t="shared" si="59"/>
        <v>0</v>
      </c>
      <c r="AX75" s="107">
        <f t="shared" si="60"/>
        <v>0</v>
      </c>
      <c r="AY75" s="107">
        <f t="shared" si="61"/>
        <v>0</v>
      </c>
      <c r="AZ75" s="107">
        <f t="shared" si="62"/>
        <v>0</v>
      </c>
      <c r="BA75" s="107">
        <f t="shared" si="67"/>
        <v>0</v>
      </c>
      <c r="BB75" s="107">
        <f t="shared" si="68"/>
        <v>0</v>
      </c>
      <c r="BC75" s="107">
        <f t="shared" si="69"/>
        <v>0</v>
      </c>
      <c r="BD75" s="107">
        <f t="shared" si="70"/>
        <v>0</v>
      </c>
      <c r="BE75" s="124"/>
    </row>
    <row r="76" spans="1:75" ht="33.75" hidden="1" x14ac:dyDescent="0.2">
      <c r="A76" s="123" t="str">
        <f>'[2]2021 УГРЦТ'!A78</f>
        <v>Новый технологический трубопровод для перекачки дизельного топлива</v>
      </c>
      <c r="B76" s="124" t="str">
        <f>'[2]2021 УГРЦТ'!B78</f>
        <v>000001666</v>
      </c>
      <c r="C76" s="124" t="str">
        <f>VLOOKUP(A:A,'2023-2027'!A:L,1,+FALSE)</f>
        <v>Новый технологический трубопровод для перекачки дизельного топлива</v>
      </c>
      <c r="D76" s="124" t="str">
        <f>'[2]2021 УГРЦТ'!C78</f>
        <v>ПРОИЗВОДСТВО</v>
      </c>
      <c r="E76" s="124" t="str">
        <f>'[2]2021 УГРЦТ'!D78</f>
        <v>Сооружения</v>
      </c>
      <c r="F76" s="124" t="str">
        <f>'[2]2021 УГРЦТ'!E78</f>
        <v>31.12.2015</v>
      </c>
      <c r="G76" s="124" t="str">
        <f>'[2]2021 УГРЦТ'!F78</f>
        <v>Тепломеханический цех</v>
      </c>
      <c r="H76" s="124">
        <f>'[2]2021 УГРЦТ'!AC78</f>
        <v>180</v>
      </c>
      <c r="I76" s="107">
        <f>'[2]2021 УГРЦТ'!X78</f>
        <v>3443108.29</v>
      </c>
      <c r="J76" s="107">
        <f>'[2]2021 УГРЦТ'!Y78</f>
        <v>1377243.3526666667</v>
      </c>
      <c r="K76" s="107">
        <f>'[2]2021 УГРЦТ'!Z78</f>
        <v>2065864.9373333333</v>
      </c>
      <c r="L76" s="125" t="e">
        <f>SUMIF([2]облаг!$B$2:$B$259,B76,[2]облаг!$D$2:$D$259)</f>
        <v>#VALUE!</v>
      </c>
      <c r="M76" s="107">
        <f t="shared" si="74"/>
        <v>19128.37938888889</v>
      </c>
      <c r="N76" s="107">
        <f t="shared" si="75"/>
        <v>229540.55266666668</v>
      </c>
      <c r="O76" s="107">
        <f t="shared" si="76"/>
        <v>2046736.5579444445</v>
      </c>
      <c r="P76" s="107">
        <f t="shared" si="77"/>
        <v>2027608.1785555556</v>
      </c>
      <c r="Q76" s="107">
        <f t="shared" si="78"/>
        <v>2008479.7991666668</v>
      </c>
      <c r="R76" s="107">
        <f t="shared" si="79"/>
        <v>1989351.419777778</v>
      </c>
      <c r="S76" s="107">
        <f t="shared" si="80"/>
        <v>1970223.0403888891</v>
      </c>
      <c r="T76" s="107">
        <f t="shared" si="81"/>
        <v>1951094.6610000003</v>
      </c>
      <c r="U76" s="107">
        <f t="shared" si="82"/>
        <v>1931966.2816111115</v>
      </c>
      <c r="V76" s="107">
        <f t="shared" si="83"/>
        <v>1912837.9022222226</v>
      </c>
      <c r="W76" s="107">
        <f t="shared" si="84"/>
        <v>1893709.5228333338</v>
      </c>
      <c r="X76" s="107">
        <f t="shared" si="85"/>
        <v>1874581.143444445</v>
      </c>
      <c r="Y76" s="107">
        <f t="shared" si="86"/>
        <v>1855452.7640555562</v>
      </c>
      <c r="Z76" s="107">
        <f t="shared" si="87"/>
        <v>1836324.3846666673</v>
      </c>
      <c r="AA76" s="107">
        <f t="shared" ref="AA76:AA81" si="102">SUM(O76:Z76,K76)/13*$AA$2</f>
        <v>42924.082541999996</v>
      </c>
      <c r="AB76" s="107"/>
      <c r="AC76" s="107">
        <f t="shared" si="88"/>
        <v>229540.55266666668</v>
      </c>
      <c r="AD76" s="107">
        <f t="shared" si="89"/>
        <v>1817196.0052777785</v>
      </c>
      <c r="AE76" s="107">
        <f t="shared" si="90"/>
        <v>1798067.6258888897</v>
      </c>
      <c r="AF76" s="107">
        <f t="shared" si="91"/>
        <v>1778939.2465000008</v>
      </c>
      <c r="AG76" s="107">
        <f t="shared" si="92"/>
        <v>1759810.867111112</v>
      </c>
      <c r="AH76" s="107">
        <f t="shared" si="93"/>
        <v>1740682.4877222232</v>
      </c>
      <c r="AI76" s="107">
        <f t="shared" si="94"/>
        <v>1721554.1083333343</v>
      </c>
      <c r="AJ76" s="107">
        <f t="shared" si="95"/>
        <v>1702425.7289444455</v>
      </c>
      <c r="AK76" s="107">
        <f t="shared" si="96"/>
        <v>1683297.3495555567</v>
      </c>
      <c r="AL76" s="107">
        <f t="shared" si="97"/>
        <v>1664168.9701666678</v>
      </c>
      <c r="AM76" s="107">
        <f t="shared" si="98"/>
        <v>1645040.590777779</v>
      </c>
      <c r="AN76" s="107">
        <f t="shared" si="99"/>
        <v>1625912.2113888902</v>
      </c>
      <c r="AO76" s="107">
        <f t="shared" si="100"/>
        <v>1606783.8320000013</v>
      </c>
      <c r="AP76" s="107">
        <f t="shared" ref="AP76:AP81" si="103">SUM(AD76:AO76,Z76)/13*$AP$2</f>
        <v>37874.190383333349</v>
      </c>
      <c r="AQ76" s="126"/>
      <c r="AR76" s="107">
        <f t="shared" si="101"/>
        <v>229540.55266666668</v>
      </c>
      <c r="AS76" s="107">
        <f t="shared" si="55"/>
        <v>1587655.4526111125</v>
      </c>
      <c r="AT76" s="107">
        <f t="shared" si="56"/>
        <v>1568527.0732222237</v>
      </c>
      <c r="AU76" s="107">
        <f t="shared" si="57"/>
        <v>1549398.6938333348</v>
      </c>
      <c r="AV76" s="107">
        <f t="shared" si="58"/>
        <v>1530270.314444446</v>
      </c>
      <c r="AW76" s="107">
        <f t="shared" si="59"/>
        <v>1511141.9350555572</v>
      </c>
      <c r="AX76" s="107">
        <f t="shared" si="60"/>
        <v>1492013.5556666683</v>
      </c>
      <c r="AY76" s="107">
        <f t="shared" si="61"/>
        <v>1472885.1762777795</v>
      </c>
      <c r="AZ76" s="107">
        <f t="shared" si="62"/>
        <v>1453756.7968888907</v>
      </c>
      <c r="BA76" s="107">
        <f t="shared" si="67"/>
        <v>1434628.4175000018</v>
      </c>
      <c r="BB76" s="107">
        <f t="shared" si="68"/>
        <v>1415500.038111113</v>
      </c>
      <c r="BC76" s="107">
        <f t="shared" si="69"/>
        <v>1396371.6587222242</v>
      </c>
      <c r="BD76" s="107">
        <f t="shared" si="70"/>
        <v>1377243.2793333353</v>
      </c>
      <c r="BE76" s="107">
        <f t="shared" ref="BE76:BE81" si="104">SUM(AS76:BD76,AO76)/13*$BE$2</f>
        <v>32824.298224666694</v>
      </c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</row>
    <row r="77" spans="1:75" ht="22.5" hidden="1" x14ac:dyDescent="0.2">
      <c r="A77" s="123" t="str">
        <f>'[2]2021 УГРЦТ'!A79</f>
        <v>Пристройка к маслосепараторной 1997г</v>
      </c>
      <c r="B77" s="124" t="str">
        <f>'[2]2021 УГРЦТ'!B79</f>
        <v>00000091</v>
      </c>
      <c r="C77" s="124" t="str">
        <f>VLOOKUP(A:A,'2023-2027'!A:L,1,+FALSE)</f>
        <v>Пристройка к маслосепараторной 1997г</v>
      </c>
      <c r="D77" s="124" t="str">
        <f>'[2]2021 УГРЦТ'!C79</f>
        <v>ПРОИЗВОДСТВО</v>
      </c>
      <c r="E77" s="124" t="str">
        <f>'[2]2021 УГРЦТ'!D79</f>
        <v>Здания</v>
      </c>
      <c r="F77" s="124" t="str">
        <f>'[2]2021 УГРЦТ'!E79</f>
        <v>01.07.1997</v>
      </c>
      <c r="G77" s="124" t="str">
        <f>'[2]2021 УГРЦТ'!F79</f>
        <v>Электрический цех</v>
      </c>
      <c r="H77" s="124">
        <f>'[2]2021 УГРЦТ'!AC79</f>
        <v>480</v>
      </c>
      <c r="I77" s="107">
        <f>'[2]2021 УГРЦТ'!X79</f>
        <v>126170</v>
      </c>
      <c r="J77" s="107">
        <f>'[2]2021 УГРЦТ'!Y79</f>
        <v>75704.62</v>
      </c>
      <c r="K77" s="107">
        <f>'[2]2021 УГРЦТ'!Z79</f>
        <v>50465.380000000005</v>
      </c>
      <c r="L77" s="125" t="e">
        <f>SUMIF([2]облаг!$B$2:$B$259,B77,[2]облаг!$D$2:$D$259)</f>
        <v>#VALUE!</v>
      </c>
      <c r="M77" s="107">
        <f t="shared" si="74"/>
        <v>262.85416666666669</v>
      </c>
      <c r="N77" s="107">
        <f t="shared" si="75"/>
        <v>3154.25</v>
      </c>
      <c r="O77" s="107">
        <f t="shared" si="76"/>
        <v>50202.52583333334</v>
      </c>
      <c r="P77" s="107">
        <f t="shared" si="77"/>
        <v>49939.671666666676</v>
      </c>
      <c r="Q77" s="107">
        <f t="shared" si="78"/>
        <v>49676.817500000012</v>
      </c>
      <c r="R77" s="107">
        <f t="shared" si="79"/>
        <v>49413.963333333348</v>
      </c>
      <c r="S77" s="107">
        <f t="shared" si="80"/>
        <v>49151.109166666683</v>
      </c>
      <c r="T77" s="107">
        <f t="shared" si="81"/>
        <v>48888.255000000019</v>
      </c>
      <c r="U77" s="107">
        <f t="shared" si="82"/>
        <v>48625.400833333355</v>
      </c>
      <c r="V77" s="107">
        <f t="shared" si="83"/>
        <v>48362.546666666691</v>
      </c>
      <c r="W77" s="107">
        <f t="shared" si="84"/>
        <v>48099.692500000026</v>
      </c>
      <c r="X77" s="107">
        <f t="shared" si="85"/>
        <v>47836.838333333362</v>
      </c>
      <c r="Y77" s="107">
        <f t="shared" si="86"/>
        <v>47573.984166666698</v>
      </c>
      <c r="Z77" s="107">
        <f t="shared" si="87"/>
        <v>47311.130000000034</v>
      </c>
      <c r="AA77" s="107">
        <f t="shared" si="102"/>
        <v>1075.5416100000004</v>
      </c>
      <c r="AB77" s="107"/>
      <c r="AC77" s="107">
        <f t="shared" si="88"/>
        <v>3154.25</v>
      </c>
      <c r="AD77" s="107">
        <f t="shared" si="89"/>
        <v>47048.27583333337</v>
      </c>
      <c r="AE77" s="107">
        <f t="shared" si="90"/>
        <v>46785.421666666705</v>
      </c>
      <c r="AF77" s="107">
        <f t="shared" si="91"/>
        <v>46522.567500000041</v>
      </c>
      <c r="AG77" s="107">
        <f t="shared" si="92"/>
        <v>46259.713333333377</v>
      </c>
      <c r="AH77" s="107">
        <f t="shared" si="93"/>
        <v>45996.859166666713</v>
      </c>
      <c r="AI77" s="107">
        <f t="shared" si="94"/>
        <v>45734.005000000048</v>
      </c>
      <c r="AJ77" s="107">
        <f t="shared" si="95"/>
        <v>45471.150833333384</v>
      </c>
      <c r="AK77" s="107">
        <f t="shared" si="96"/>
        <v>45208.29666666672</v>
      </c>
      <c r="AL77" s="107">
        <f t="shared" si="97"/>
        <v>44945.442500000056</v>
      </c>
      <c r="AM77" s="107">
        <f t="shared" si="98"/>
        <v>44682.588333333391</v>
      </c>
      <c r="AN77" s="107">
        <f t="shared" si="99"/>
        <v>44419.734166666727</v>
      </c>
      <c r="AO77" s="107">
        <f t="shared" si="100"/>
        <v>44156.880000000063</v>
      </c>
      <c r="AP77" s="107">
        <f t="shared" si="103"/>
        <v>1006.148110000001</v>
      </c>
      <c r="AQ77" s="126"/>
      <c r="AR77" s="107">
        <f t="shared" si="101"/>
        <v>3154.25</v>
      </c>
      <c r="AS77" s="107">
        <f t="shared" si="55"/>
        <v>43894.025833333399</v>
      </c>
      <c r="AT77" s="107">
        <f t="shared" si="56"/>
        <v>43631.171666666734</v>
      </c>
      <c r="AU77" s="107">
        <f t="shared" si="57"/>
        <v>43368.31750000007</v>
      </c>
      <c r="AV77" s="107">
        <f t="shared" si="58"/>
        <v>43105.463333333406</v>
      </c>
      <c r="AW77" s="107">
        <f t="shared" si="59"/>
        <v>42842.609166666742</v>
      </c>
      <c r="AX77" s="107">
        <f t="shared" si="60"/>
        <v>42579.755000000077</v>
      </c>
      <c r="AY77" s="107">
        <f t="shared" si="61"/>
        <v>42316.900833333413</v>
      </c>
      <c r="AZ77" s="107">
        <f t="shared" si="62"/>
        <v>42054.046666666749</v>
      </c>
      <c r="BA77" s="107">
        <f t="shared" si="67"/>
        <v>41791.192500000085</v>
      </c>
      <c r="BB77" s="107">
        <f t="shared" si="68"/>
        <v>41528.33833333342</v>
      </c>
      <c r="BC77" s="107">
        <f t="shared" si="69"/>
        <v>41265.484166666756</v>
      </c>
      <c r="BD77" s="107">
        <f t="shared" si="70"/>
        <v>41002.630000000092</v>
      </c>
      <c r="BE77" s="107">
        <f t="shared" si="104"/>
        <v>936.75461000000178</v>
      </c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</row>
    <row r="78" spans="1:75" hidden="1" x14ac:dyDescent="0.2">
      <c r="A78" s="123" t="str">
        <f>'[2]2021 УГРЦТ'!A80</f>
        <v>Пристройка к РУ-6кВТ</v>
      </c>
      <c r="B78" s="124" t="str">
        <f>'[2]2021 УГРЦТ'!B80</f>
        <v>00001051</v>
      </c>
      <c r="C78" s="124" t="str">
        <f>VLOOKUP(A:A,'2023-2027'!A:L,1,+FALSE)</f>
        <v>Пристройка к РУ-6кВТ</v>
      </c>
      <c r="D78" s="124" t="str">
        <f>'[2]2021 УГРЦТ'!C80</f>
        <v>ПРОИЗВОДСТВО</v>
      </c>
      <c r="E78" s="124" t="str">
        <f>'[2]2021 УГРЦТ'!D80</f>
        <v>Здания</v>
      </c>
      <c r="F78" s="124" t="str">
        <f>'[2]2021 УГРЦТ'!E80</f>
        <v>30.09.2007</v>
      </c>
      <c r="G78" s="124" t="str">
        <f>'[2]2021 УГРЦТ'!F80</f>
        <v>Электрический цех</v>
      </c>
      <c r="H78" s="124">
        <f>'[2]2021 УГРЦТ'!AC80</f>
        <v>300</v>
      </c>
      <c r="I78" s="107">
        <f>'[2]2021 УГРЦТ'!X80</f>
        <v>590228.09</v>
      </c>
      <c r="J78" s="107">
        <f>'[2]2021 УГРЦТ'!Y80</f>
        <v>336430.49359999999</v>
      </c>
      <c r="K78" s="107">
        <f>'[2]2021 УГРЦТ'!Z80</f>
        <v>253797.59639999998</v>
      </c>
      <c r="L78" s="125" t="e">
        <f>SUMIF([2]облаг!$B$2:$B$259,B78,[2]облаг!$D$2:$D$259)</f>
        <v>#VALUE!</v>
      </c>
      <c r="M78" s="107">
        <f t="shared" si="74"/>
        <v>1967.4269666666667</v>
      </c>
      <c r="N78" s="107">
        <f t="shared" si="75"/>
        <v>23609.123599999999</v>
      </c>
      <c r="O78" s="107">
        <f t="shared" si="76"/>
        <v>251830.1694333333</v>
      </c>
      <c r="P78" s="107">
        <f t="shared" si="77"/>
        <v>249862.74246666662</v>
      </c>
      <c r="Q78" s="107">
        <f t="shared" si="78"/>
        <v>247895.31549999994</v>
      </c>
      <c r="R78" s="107">
        <f t="shared" si="79"/>
        <v>245927.88853333326</v>
      </c>
      <c r="S78" s="107">
        <f t="shared" si="80"/>
        <v>243960.46156666658</v>
      </c>
      <c r="T78" s="107">
        <f t="shared" si="81"/>
        <v>241993.0345999999</v>
      </c>
      <c r="U78" s="107">
        <f t="shared" si="82"/>
        <v>240025.60763333322</v>
      </c>
      <c r="V78" s="107">
        <f t="shared" si="83"/>
        <v>238058.18066666654</v>
      </c>
      <c r="W78" s="107">
        <f t="shared" si="84"/>
        <v>236090.75369999986</v>
      </c>
      <c r="X78" s="107">
        <f t="shared" si="85"/>
        <v>234123.32673333318</v>
      </c>
      <c r="Y78" s="107">
        <f t="shared" si="86"/>
        <v>232155.89976666649</v>
      </c>
      <c r="Z78" s="107">
        <f t="shared" si="87"/>
        <v>230188.47279999981</v>
      </c>
      <c r="AA78" s="107">
        <f t="shared" si="102"/>
        <v>5323.8467611999968</v>
      </c>
      <c r="AB78" s="107"/>
      <c r="AC78" s="107">
        <f t="shared" si="88"/>
        <v>23609.123599999999</v>
      </c>
      <c r="AD78" s="107">
        <f t="shared" si="89"/>
        <v>228221.04583333313</v>
      </c>
      <c r="AE78" s="107">
        <f t="shared" si="90"/>
        <v>226253.61886666645</v>
      </c>
      <c r="AF78" s="107">
        <f t="shared" si="91"/>
        <v>224286.19189999977</v>
      </c>
      <c r="AG78" s="107">
        <f t="shared" si="92"/>
        <v>222318.76493333309</v>
      </c>
      <c r="AH78" s="107">
        <f t="shared" si="93"/>
        <v>220351.33796666641</v>
      </c>
      <c r="AI78" s="107">
        <f t="shared" si="94"/>
        <v>218383.91099999973</v>
      </c>
      <c r="AJ78" s="107">
        <f t="shared" si="95"/>
        <v>216416.48403333305</v>
      </c>
      <c r="AK78" s="107">
        <f t="shared" si="96"/>
        <v>214449.05706666637</v>
      </c>
      <c r="AL78" s="107">
        <f t="shared" si="97"/>
        <v>212481.63009999969</v>
      </c>
      <c r="AM78" s="107">
        <f t="shared" si="98"/>
        <v>210514.20313333301</v>
      </c>
      <c r="AN78" s="107">
        <f t="shared" si="99"/>
        <v>208546.77616666633</v>
      </c>
      <c r="AO78" s="107">
        <f t="shared" si="100"/>
        <v>206579.34919999965</v>
      </c>
      <c r="AP78" s="107">
        <f t="shared" si="103"/>
        <v>4804.4460419999932</v>
      </c>
      <c r="AQ78" s="126"/>
      <c r="AR78" s="107">
        <f t="shared" si="101"/>
        <v>23609.123599999999</v>
      </c>
      <c r="AS78" s="107">
        <f t="shared" si="55"/>
        <v>204611.92223333297</v>
      </c>
      <c r="AT78" s="107">
        <f t="shared" si="56"/>
        <v>202644.49526666629</v>
      </c>
      <c r="AU78" s="107">
        <f t="shared" si="57"/>
        <v>200677.06829999961</v>
      </c>
      <c r="AV78" s="107">
        <f t="shared" si="58"/>
        <v>198709.64133333293</v>
      </c>
      <c r="AW78" s="107">
        <f t="shared" si="59"/>
        <v>196742.21436666625</v>
      </c>
      <c r="AX78" s="107">
        <f t="shared" si="60"/>
        <v>194774.78739999956</v>
      </c>
      <c r="AY78" s="107">
        <f t="shared" si="61"/>
        <v>192807.36043333288</v>
      </c>
      <c r="AZ78" s="107">
        <f t="shared" si="62"/>
        <v>190839.9334666662</v>
      </c>
      <c r="BA78" s="107">
        <f t="shared" si="67"/>
        <v>188872.50649999952</v>
      </c>
      <c r="BB78" s="107">
        <f t="shared" si="68"/>
        <v>186905.07953333284</v>
      </c>
      <c r="BC78" s="107">
        <f t="shared" si="69"/>
        <v>184937.65256666616</v>
      </c>
      <c r="BD78" s="107">
        <f t="shared" si="70"/>
        <v>182970.22559999948</v>
      </c>
      <c r="BE78" s="107">
        <f t="shared" si="104"/>
        <v>4285.0453227999897</v>
      </c>
      <c r="BF78" s="127"/>
      <c r="BG78" s="127"/>
      <c r="BH78" s="127"/>
      <c r="BI78" s="127"/>
      <c r="BJ78" s="127"/>
      <c r="BK78" s="127"/>
      <c r="BL78" s="127"/>
      <c r="BM78" s="127"/>
      <c r="BN78" s="127"/>
      <c r="BO78" s="127"/>
      <c r="BP78" s="127"/>
      <c r="BQ78" s="127"/>
      <c r="BR78" s="127"/>
      <c r="BS78" s="127"/>
      <c r="BT78" s="127"/>
      <c r="BU78" s="127"/>
      <c r="BV78" s="127"/>
      <c r="BW78" s="127"/>
    </row>
    <row r="79" spans="1:75" hidden="1" x14ac:dyDescent="0.2">
      <c r="A79" s="123" t="str">
        <f>'[2]2021 УГРЦТ'!A81</f>
        <v>Пристройка к цеху ГТУ</v>
      </c>
      <c r="B79" s="124" t="str">
        <f>'[2]2021 УГРЦТ'!B81</f>
        <v>00000376</v>
      </c>
      <c r="C79" s="124" t="str">
        <f>VLOOKUP(A:A,'2023-2027'!A:L,1,+FALSE)</f>
        <v>Пристройка к цеху ГТУ</v>
      </c>
      <c r="D79" s="124" t="str">
        <f>'[2]2021 УГРЦТ'!C81</f>
        <v>ПРОИЗВОДСТВО</v>
      </c>
      <c r="E79" s="124" t="str">
        <f>'[2]2021 УГРЦТ'!D81</f>
        <v>Здания</v>
      </c>
      <c r="F79" s="124" t="str">
        <f>'[2]2021 УГРЦТ'!E81</f>
        <v>29.12.2001</v>
      </c>
      <c r="G79" s="124" t="str">
        <f>'[2]2021 УГРЦТ'!F81</f>
        <v>Газотурбинный цех</v>
      </c>
      <c r="H79" s="124">
        <f>'[2]2021 УГРЦТ'!AC81</f>
        <v>240</v>
      </c>
      <c r="I79" s="107">
        <f>'[2]2021 УГРЦТ'!X81</f>
        <v>55891.5</v>
      </c>
      <c r="J79" s="107">
        <f>'[2]2021 УГРЦТ'!Y81</f>
        <v>45877.375</v>
      </c>
      <c r="K79" s="107">
        <f>'[2]2021 УГРЦТ'!Z81</f>
        <v>10014.125</v>
      </c>
      <c r="L79" s="125" t="e">
        <f>SUMIF([2]облаг!$B$2:$B$259,B79,[2]облаг!$D$2:$D$259)</f>
        <v>#VALUE!</v>
      </c>
      <c r="M79" s="107">
        <f t="shared" si="74"/>
        <v>232.88124999999999</v>
      </c>
      <c r="N79" s="107">
        <f t="shared" si="75"/>
        <v>2794.5749999999998</v>
      </c>
      <c r="O79" s="107">
        <f t="shared" si="76"/>
        <v>9781.2437499999996</v>
      </c>
      <c r="P79" s="107">
        <f t="shared" si="77"/>
        <v>9548.3624999999993</v>
      </c>
      <c r="Q79" s="107">
        <f t="shared" si="78"/>
        <v>9315.4812499999989</v>
      </c>
      <c r="R79" s="107">
        <f t="shared" si="79"/>
        <v>9082.5999999999985</v>
      </c>
      <c r="S79" s="107">
        <f t="shared" si="80"/>
        <v>8849.7187499999982</v>
      </c>
      <c r="T79" s="107">
        <f t="shared" si="81"/>
        <v>8616.8374999999978</v>
      </c>
      <c r="U79" s="107">
        <f t="shared" si="82"/>
        <v>8383.9562499999975</v>
      </c>
      <c r="V79" s="107">
        <f t="shared" si="83"/>
        <v>8151.0749999999971</v>
      </c>
      <c r="W79" s="107">
        <f t="shared" si="84"/>
        <v>7918.1937499999967</v>
      </c>
      <c r="X79" s="107">
        <f t="shared" si="85"/>
        <v>7685.3124999999964</v>
      </c>
      <c r="Y79" s="107">
        <f t="shared" si="86"/>
        <v>7452.431249999996</v>
      </c>
      <c r="Z79" s="107">
        <f t="shared" si="87"/>
        <v>7219.5499999999956</v>
      </c>
      <c r="AA79" s="107">
        <f t="shared" si="102"/>
        <v>189.57042499999994</v>
      </c>
      <c r="AB79" s="107"/>
      <c r="AC79" s="107">
        <f t="shared" si="88"/>
        <v>2794.5749999999998</v>
      </c>
      <c r="AD79" s="107">
        <f t="shared" si="89"/>
        <v>6986.6687499999953</v>
      </c>
      <c r="AE79" s="107">
        <f t="shared" si="90"/>
        <v>6753.7874999999949</v>
      </c>
      <c r="AF79" s="107">
        <f t="shared" si="91"/>
        <v>6520.9062499999945</v>
      </c>
      <c r="AG79" s="107">
        <f t="shared" si="92"/>
        <v>6288.0249999999942</v>
      </c>
      <c r="AH79" s="107">
        <f t="shared" si="93"/>
        <v>6055.1437499999938</v>
      </c>
      <c r="AI79" s="107">
        <f t="shared" si="94"/>
        <v>5822.2624999999935</v>
      </c>
      <c r="AJ79" s="107">
        <f t="shared" si="95"/>
        <v>5589.3812499999931</v>
      </c>
      <c r="AK79" s="107">
        <f t="shared" si="96"/>
        <v>5356.4999999999927</v>
      </c>
      <c r="AL79" s="107">
        <f t="shared" si="97"/>
        <v>5123.6187499999924</v>
      </c>
      <c r="AM79" s="107">
        <f t="shared" si="98"/>
        <v>4890.737499999992</v>
      </c>
      <c r="AN79" s="107">
        <f t="shared" si="99"/>
        <v>4657.8562499999916</v>
      </c>
      <c r="AO79" s="107">
        <f t="shared" si="100"/>
        <v>4424.9749999999913</v>
      </c>
      <c r="AP79" s="107">
        <f t="shared" si="103"/>
        <v>128.08977499999986</v>
      </c>
      <c r="AQ79" s="126"/>
      <c r="AR79" s="107">
        <f t="shared" si="101"/>
        <v>2794.5749999999998</v>
      </c>
      <c r="AS79" s="107">
        <f t="shared" si="55"/>
        <v>4192.0937499999909</v>
      </c>
      <c r="AT79" s="107">
        <f t="shared" si="56"/>
        <v>3959.212499999991</v>
      </c>
      <c r="AU79" s="107">
        <f t="shared" si="57"/>
        <v>3726.3312499999911</v>
      </c>
      <c r="AV79" s="107">
        <f t="shared" si="58"/>
        <v>3493.4499999999912</v>
      </c>
      <c r="AW79" s="107">
        <f t="shared" si="59"/>
        <v>3260.5687499999913</v>
      </c>
      <c r="AX79" s="107">
        <f t="shared" si="60"/>
        <v>3027.6874999999914</v>
      </c>
      <c r="AY79" s="107">
        <f t="shared" si="61"/>
        <v>2794.8062499999915</v>
      </c>
      <c r="AZ79" s="107">
        <f t="shared" si="62"/>
        <v>2561.9249999999915</v>
      </c>
      <c r="BA79" s="107">
        <f t="shared" si="67"/>
        <v>2329.0437499999916</v>
      </c>
      <c r="BB79" s="107">
        <f t="shared" si="68"/>
        <v>2096.1624999999917</v>
      </c>
      <c r="BC79" s="107">
        <f t="shared" si="69"/>
        <v>1863.2812499999918</v>
      </c>
      <c r="BD79" s="107">
        <f t="shared" si="70"/>
        <v>1630.3999999999919</v>
      </c>
      <c r="BE79" s="107">
        <f t="shared" si="104"/>
        <v>66.609124999999821</v>
      </c>
      <c r="BF79" s="127"/>
      <c r="BG79" s="127"/>
      <c r="BI79" s="127"/>
      <c r="BJ79" s="127"/>
      <c r="BK79" s="127"/>
      <c r="BL79" s="127"/>
      <c r="BM79" s="127"/>
      <c r="BN79" s="127"/>
      <c r="BO79" s="127"/>
      <c r="BP79" s="127"/>
      <c r="BQ79" s="127"/>
      <c r="BR79" s="127"/>
      <c r="BS79" s="127"/>
      <c r="BT79" s="127"/>
      <c r="BU79" s="127"/>
      <c r="BV79" s="127"/>
    </row>
    <row r="80" spans="1:75" ht="22.5" hidden="1" x14ac:dyDescent="0.2">
      <c r="A80" s="123" t="str">
        <f>'[2]2021 УГРЦТ'!A82</f>
        <v>Пункт персонала энергокомплекса</v>
      </c>
      <c r="B80" s="124" t="str">
        <f>'[2]2021 УГРЦТ'!B82</f>
        <v>000001837</v>
      </c>
      <c r="C80" s="124" t="str">
        <f>VLOOKUP(A:A,'2023-2027'!A:L,1,+FALSE)</f>
        <v>Пункт персонала энергокомплекса</v>
      </c>
      <c r="D80" s="124" t="str">
        <f>'[2]2021 УГРЦТ'!C82</f>
        <v>ПРОИЗВОДСТВО</v>
      </c>
      <c r="E80" s="124" t="str">
        <f>'[2]2021 УГРЦТ'!D82</f>
        <v>Здания</v>
      </c>
      <c r="F80" s="124" t="str">
        <f>'[2]2021 УГРЦТ'!E82</f>
        <v>30.12.2020</v>
      </c>
      <c r="G80" s="124" t="str">
        <f>'[2]2021 УГРЦТ'!F82</f>
        <v>ДЭС п.Красное</v>
      </c>
      <c r="H80" s="124">
        <f>'[2]2021 УГРЦТ'!AC82</f>
        <v>240</v>
      </c>
      <c r="I80" s="107">
        <f>'[2]2021 УГРЦТ'!X82</f>
        <v>2322997.36</v>
      </c>
      <c r="J80" s="107">
        <f>'[2]2021 УГРЦТ'!Y82</f>
        <v>116149.86799999996</v>
      </c>
      <c r="K80" s="107">
        <f>'[2]2021 УГРЦТ'!Z82</f>
        <v>2206847.4920000001</v>
      </c>
      <c r="L80" s="125" t="e">
        <f>SUMIF([2]облаг!$B$2:$B$259,B80,[2]облаг!$D$2:$D$259)</f>
        <v>#VALUE!</v>
      </c>
      <c r="M80" s="107">
        <f t="shared" si="74"/>
        <v>9679.1556666666656</v>
      </c>
      <c r="N80" s="107">
        <f t="shared" si="75"/>
        <v>116149.86799999999</v>
      </c>
      <c r="O80" s="107">
        <f t="shared" si="76"/>
        <v>2197168.3363333335</v>
      </c>
      <c r="P80" s="107">
        <f t="shared" si="77"/>
        <v>2187489.1806666669</v>
      </c>
      <c r="Q80" s="107">
        <f t="shared" si="78"/>
        <v>2177810.0250000004</v>
      </c>
      <c r="R80" s="107">
        <f t="shared" si="79"/>
        <v>2168130.8693333338</v>
      </c>
      <c r="S80" s="107">
        <f t="shared" si="80"/>
        <v>2158451.7136666672</v>
      </c>
      <c r="T80" s="107">
        <f t="shared" si="81"/>
        <v>2148772.5580000007</v>
      </c>
      <c r="U80" s="107">
        <f t="shared" si="82"/>
        <v>2139093.4023333341</v>
      </c>
      <c r="V80" s="107">
        <f t="shared" si="83"/>
        <v>2129414.2466666675</v>
      </c>
      <c r="W80" s="107">
        <f t="shared" si="84"/>
        <v>2119735.0910000009</v>
      </c>
      <c r="X80" s="107">
        <f t="shared" si="85"/>
        <v>2110055.9353333344</v>
      </c>
      <c r="Y80" s="107">
        <f t="shared" si="86"/>
        <v>2100376.7796666678</v>
      </c>
      <c r="Z80" s="107">
        <f t="shared" si="87"/>
        <v>2090697.6240000012</v>
      </c>
      <c r="AA80" s="107">
        <f t="shared" si="102"/>
        <v>47272.99627600002</v>
      </c>
      <c r="AB80" s="107"/>
      <c r="AC80" s="107">
        <f t="shared" si="88"/>
        <v>116149.86799999999</v>
      </c>
      <c r="AD80" s="107">
        <f t="shared" si="89"/>
        <v>2081018.4683333347</v>
      </c>
      <c r="AE80" s="107">
        <f t="shared" si="90"/>
        <v>2071339.3126666681</v>
      </c>
      <c r="AF80" s="107">
        <f t="shared" si="91"/>
        <v>2061660.1570000015</v>
      </c>
      <c r="AG80" s="107">
        <f t="shared" si="92"/>
        <v>2051981.0013333349</v>
      </c>
      <c r="AH80" s="107">
        <f t="shared" si="93"/>
        <v>2042301.8456666684</v>
      </c>
      <c r="AI80" s="107">
        <f t="shared" si="94"/>
        <v>2032622.6900000018</v>
      </c>
      <c r="AJ80" s="107">
        <f t="shared" si="95"/>
        <v>2022943.5343333352</v>
      </c>
      <c r="AK80" s="107">
        <f t="shared" si="96"/>
        <v>2013264.3786666687</v>
      </c>
      <c r="AL80" s="107">
        <f t="shared" si="97"/>
        <v>2003585.2230000021</v>
      </c>
      <c r="AM80" s="107">
        <f t="shared" si="98"/>
        <v>1993906.0673333355</v>
      </c>
      <c r="AN80" s="107">
        <f t="shared" si="99"/>
        <v>1984226.911666669</v>
      </c>
      <c r="AO80" s="107">
        <f t="shared" si="100"/>
        <v>1974547.7560000024</v>
      </c>
      <c r="AP80" s="107">
        <f t="shared" si="103"/>
        <v>44717.69918000004</v>
      </c>
      <c r="AQ80" s="126"/>
      <c r="AR80" s="107">
        <f t="shared" si="101"/>
        <v>116149.86799999999</v>
      </c>
      <c r="AS80" s="107">
        <f t="shared" si="55"/>
        <v>1964868.6003333358</v>
      </c>
      <c r="AT80" s="107">
        <f t="shared" si="56"/>
        <v>1955189.4446666692</v>
      </c>
      <c r="AU80" s="107">
        <f t="shared" si="57"/>
        <v>1945510.2890000027</v>
      </c>
      <c r="AV80" s="107">
        <f t="shared" si="58"/>
        <v>1935831.1333333361</v>
      </c>
      <c r="AW80" s="107">
        <f t="shared" si="59"/>
        <v>1926151.9776666695</v>
      </c>
      <c r="AX80" s="107">
        <f t="shared" si="60"/>
        <v>1916472.822000003</v>
      </c>
      <c r="AY80" s="107">
        <f t="shared" si="61"/>
        <v>1906793.6663333364</v>
      </c>
      <c r="AZ80" s="107">
        <f t="shared" si="62"/>
        <v>1897114.5106666698</v>
      </c>
      <c r="BA80" s="107">
        <f t="shared" si="67"/>
        <v>1887435.3550000032</v>
      </c>
      <c r="BB80" s="107">
        <f t="shared" si="68"/>
        <v>1877756.1993333367</v>
      </c>
      <c r="BC80" s="107">
        <f t="shared" si="69"/>
        <v>1868077.0436666701</v>
      </c>
      <c r="BD80" s="107">
        <f t="shared" si="70"/>
        <v>1858397.8880000035</v>
      </c>
      <c r="BE80" s="107">
        <f t="shared" si="104"/>
        <v>42162.402084000059</v>
      </c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</row>
    <row r="81" spans="1:75" hidden="1" x14ac:dyDescent="0.2">
      <c r="A81" s="123" t="str">
        <f>'[2]2021 УГРЦТ'!A83</f>
        <v>Пункт учета газа  1983г.</v>
      </c>
      <c r="B81" s="124" t="str">
        <f>'[2]2021 УГРЦТ'!B83</f>
        <v>00000075</v>
      </c>
      <c r="C81" s="124" t="str">
        <f>VLOOKUP(A:A,'2023-2027'!A:L,1,+FALSE)</f>
        <v>Пункт учета газа  1983г.</v>
      </c>
      <c r="D81" s="124" t="str">
        <f>'[2]2021 УГРЦТ'!C83</f>
        <v>ПРОИЗВОДСТВО</v>
      </c>
      <c r="E81" s="124" t="str">
        <f>'[2]2021 УГРЦТ'!D83</f>
        <v>Здания</v>
      </c>
      <c r="F81" s="124" t="str">
        <f>'[2]2021 УГРЦТ'!E83</f>
        <v>01.01.1983</v>
      </c>
      <c r="G81" s="124" t="str">
        <f>'[2]2021 УГРЦТ'!F83</f>
        <v>Газотурбинный цех</v>
      </c>
      <c r="H81" s="124">
        <f>'[2]2021 УГРЦТ'!AC83</f>
        <v>708</v>
      </c>
      <c r="I81" s="107">
        <f>'[2]2021 УГРЦТ'!X83</f>
        <v>182797.25</v>
      </c>
      <c r="J81" s="107">
        <f>'[2]2021 УГРЦТ'!Y83</f>
        <v>50163.42689265537</v>
      </c>
      <c r="K81" s="107">
        <f>'[2]2021 УГРЦТ'!Z83</f>
        <v>132633.82310734462</v>
      </c>
      <c r="L81" s="125" t="e">
        <f>SUMIF([2]облаг!$B$2:$B$259,B81,[2]облаг!$D$2:$D$259)</f>
        <v>#VALUE!</v>
      </c>
      <c r="M81" s="107">
        <f t="shared" si="74"/>
        <v>258.18820621468927</v>
      </c>
      <c r="N81" s="107">
        <f t="shared" si="75"/>
        <v>3098.2584745762715</v>
      </c>
      <c r="O81" s="107">
        <f t="shared" si="76"/>
        <v>132375.63490112993</v>
      </c>
      <c r="P81" s="107">
        <f t="shared" si="77"/>
        <v>132117.44669491524</v>
      </c>
      <c r="Q81" s="107">
        <f t="shared" si="78"/>
        <v>131859.25848870055</v>
      </c>
      <c r="R81" s="107">
        <f t="shared" si="79"/>
        <v>131601.07028248586</v>
      </c>
      <c r="S81" s="107">
        <f t="shared" si="80"/>
        <v>131342.88207627117</v>
      </c>
      <c r="T81" s="107">
        <f t="shared" si="81"/>
        <v>131084.69387005648</v>
      </c>
      <c r="U81" s="107">
        <f t="shared" si="82"/>
        <v>130826.50566384179</v>
      </c>
      <c r="V81" s="107">
        <f t="shared" si="83"/>
        <v>130568.3174576271</v>
      </c>
      <c r="W81" s="107">
        <f t="shared" si="84"/>
        <v>130310.12925141241</v>
      </c>
      <c r="X81" s="107">
        <f t="shared" si="85"/>
        <v>130051.94104519772</v>
      </c>
      <c r="Y81" s="107">
        <f t="shared" si="86"/>
        <v>129793.75283898303</v>
      </c>
      <c r="Z81" s="107">
        <f t="shared" si="87"/>
        <v>129535.56463276834</v>
      </c>
      <c r="AA81" s="107">
        <f t="shared" si="102"/>
        <v>2883.8632651412418</v>
      </c>
      <c r="AB81" s="107"/>
      <c r="AC81" s="107">
        <f t="shared" si="88"/>
        <v>3098.2584745762715</v>
      </c>
      <c r="AD81" s="107">
        <f t="shared" si="89"/>
        <v>129277.37642655364</v>
      </c>
      <c r="AE81" s="107">
        <f t="shared" si="90"/>
        <v>129019.18822033895</v>
      </c>
      <c r="AF81" s="107">
        <f t="shared" si="91"/>
        <v>128761.00001412426</v>
      </c>
      <c r="AG81" s="107">
        <f t="shared" si="92"/>
        <v>128502.81180790957</v>
      </c>
      <c r="AH81" s="107">
        <f t="shared" si="93"/>
        <v>128244.62360169488</v>
      </c>
      <c r="AI81" s="107">
        <f t="shared" si="94"/>
        <v>127986.43539548019</v>
      </c>
      <c r="AJ81" s="107">
        <f t="shared" si="95"/>
        <v>127728.2471892655</v>
      </c>
      <c r="AK81" s="107">
        <f t="shared" si="96"/>
        <v>127470.05898305081</v>
      </c>
      <c r="AL81" s="107">
        <f t="shared" si="97"/>
        <v>127211.87077683612</v>
      </c>
      <c r="AM81" s="107">
        <f t="shared" si="98"/>
        <v>126953.68257062143</v>
      </c>
      <c r="AN81" s="107">
        <f t="shared" si="99"/>
        <v>126695.49436440674</v>
      </c>
      <c r="AO81" s="107">
        <f t="shared" si="100"/>
        <v>126437.30615819205</v>
      </c>
      <c r="AP81" s="107">
        <f t="shared" si="103"/>
        <v>2815.701578700563</v>
      </c>
      <c r="AQ81" s="126"/>
      <c r="AR81" s="107">
        <f t="shared" si="101"/>
        <v>3098.2584745762715</v>
      </c>
      <c r="AS81" s="107">
        <f t="shared" si="55"/>
        <v>126179.11795197736</v>
      </c>
      <c r="AT81" s="107">
        <f t="shared" si="56"/>
        <v>125920.92974576267</v>
      </c>
      <c r="AU81" s="107">
        <f t="shared" si="57"/>
        <v>125662.74153954798</v>
      </c>
      <c r="AV81" s="107">
        <f t="shared" si="58"/>
        <v>125404.55333333329</v>
      </c>
      <c r="AW81" s="107">
        <f t="shared" si="59"/>
        <v>125146.3651271186</v>
      </c>
      <c r="AX81" s="107">
        <f t="shared" si="60"/>
        <v>124888.1769209039</v>
      </c>
      <c r="AY81" s="107">
        <f t="shared" si="61"/>
        <v>124629.98871468921</v>
      </c>
      <c r="AZ81" s="107">
        <f t="shared" si="62"/>
        <v>124371.80050847452</v>
      </c>
      <c r="BA81" s="107">
        <f t="shared" si="67"/>
        <v>124113.61230225983</v>
      </c>
      <c r="BB81" s="107">
        <f t="shared" si="68"/>
        <v>123855.42409604514</v>
      </c>
      <c r="BC81" s="107">
        <f t="shared" si="69"/>
        <v>123597.23588983045</v>
      </c>
      <c r="BD81" s="107">
        <f t="shared" si="70"/>
        <v>123339.04768361576</v>
      </c>
      <c r="BE81" s="107">
        <f t="shared" si="104"/>
        <v>2747.5398922598847</v>
      </c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</row>
    <row r="82" spans="1:75" ht="22.5" hidden="1" x14ac:dyDescent="0.2">
      <c r="A82" s="123" t="str">
        <f>'[2]2021 УГРЦТ'!A84</f>
        <v>Распределительный .шкаф РШ-1 (ДГ №1)</v>
      </c>
      <c r="B82" s="124" t="str">
        <f>'[2]2021 УГРЦТ'!B84</f>
        <v>000001600</v>
      </c>
      <c r="C82" s="124" t="str">
        <f>VLOOKUP(A:A,'2023-2027'!A:L,1,+FALSE)</f>
        <v>Распределительный .шкаф РШ-1 (ДГ №1)</v>
      </c>
      <c r="D82" s="124" t="str">
        <f>'[2]2021 УГРЦТ'!C84</f>
        <v>ПРОИЗВОДСТВО</v>
      </c>
      <c r="E82" s="124" t="str">
        <f>'[2]2021 УГРЦТ'!D84</f>
        <v>Машины и оборудование (кроме офисного)</v>
      </c>
      <c r="F82" s="124" t="str">
        <f>'[2]2021 УГРЦТ'!E84</f>
        <v>31.12.2013</v>
      </c>
      <c r="G82" s="124" t="str">
        <f>'[2]2021 УГРЦТ'!F84</f>
        <v>Электрический цех</v>
      </c>
      <c r="H82" s="124">
        <f>'[2]2021 УГРЦТ'!AC84</f>
        <v>180</v>
      </c>
      <c r="I82" s="107">
        <f>'[2]2021 УГРЦТ'!X84</f>
        <v>145652.98000000001</v>
      </c>
      <c r="J82" s="107">
        <f>'[2]2021 УГРЦТ'!Y84</f>
        <v>77681.318666666659</v>
      </c>
      <c r="K82" s="107">
        <f>'[2]2021 УГРЦТ'!Z84</f>
        <v>67971.661333333352</v>
      </c>
      <c r="L82" s="125" t="e">
        <f>SUMIF([2]облаг!$B$2:$B$259,B82,[2]облаг!$D$2:$D$259)</f>
        <v>#VALUE!</v>
      </c>
      <c r="M82" s="107">
        <f t="shared" si="74"/>
        <v>809.1832222222223</v>
      </c>
      <c r="N82" s="107">
        <f t="shared" si="75"/>
        <v>9710.1986666666671</v>
      </c>
      <c r="O82" s="107">
        <f t="shared" si="76"/>
        <v>67162.478111111122</v>
      </c>
      <c r="P82" s="107">
        <f t="shared" si="77"/>
        <v>66353.294888888893</v>
      </c>
      <c r="Q82" s="107">
        <f t="shared" si="78"/>
        <v>65544.111666666664</v>
      </c>
      <c r="R82" s="107">
        <f t="shared" si="79"/>
        <v>64734.928444444442</v>
      </c>
      <c r="S82" s="107">
        <f t="shared" si="80"/>
        <v>63925.74522222222</v>
      </c>
      <c r="T82" s="107">
        <f t="shared" si="81"/>
        <v>63116.561999999998</v>
      </c>
      <c r="U82" s="107">
        <f t="shared" si="82"/>
        <v>62307.378777777776</v>
      </c>
      <c r="V82" s="107">
        <f t="shared" si="83"/>
        <v>61498.195555555554</v>
      </c>
      <c r="W82" s="107">
        <f t="shared" si="84"/>
        <v>60689.012333333332</v>
      </c>
      <c r="X82" s="107">
        <f t="shared" si="85"/>
        <v>59879.82911111111</v>
      </c>
      <c r="Y82" s="107">
        <f t="shared" si="86"/>
        <v>59070.645888888888</v>
      </c>
      <c r="Z82" s="107">
        <f t="shared" si="87"/>
        <v>58261.462666666666</v>
      </c>
      <c r="AA82" s="107"/>
      <c r="AB82" s="107"/>
      <c r="AC82" s="107">
        <f t="shared" si="88"/>
        <v>9710.1986666666671</v>
      </c>
      <c r="AD82" s="107">
        <f t="shared" si="89"/>
        <v>57452.279444444444</v>
      </c>
      <c r="AE82" s="107">
        <f t="shared" si="90"/>
        <v>56643.096222222222</v>
      </c>
      <c r="AF82" s="107">
        <f t="shared" si="91"/>
        <v>55833.913</v>
      </c>
      <c r="AG82" s="107">
        <f t="shared" si="92"/>
        <v>55024.729777777779</v>
      </c>
      <c r="AH82" s="107">
        <f t="shared" si="93"/>
        <v>54215.546555555557</v>
      </c>
      <c r="AI82" s="107">
        <f t="shared" si="94"/>
        <v>53406.363333333335</v>
      </c>
      <c r="AJ82" s="107">
        <f t="shared" si="95"/>
        <v>52597.180111111113</v>
      </c>
      <c r="AK82" s="107">
        <f t="shared" si="96"/>
        <v>51787.996888888891</v>
      </c>
      <c r="AL82" s="107">
        <f t="shared" si="97"/>
        <v>50978.813666666669</v>
      </c>
      <c r="AM82" s="107">
        <f t="shared" si="98"/>
        <v>50169.630444444447</v>
      </c>
      <c r="AN82" s="107">
        <f t="shared" si="99"/>
        <v>49360.447222222225</v>
      </c>
      <c r="AO82" s="107">
        <f t="shared" si="100"/>
        <v>48551.264000000003</v>
      </c>
      <c r="AP82" s="107"/>
      <c r="AQ82" s="126"/>
      <c r="AR82" s="107">
        <f t="shared" si="101"/>
        <v>9710.1986666666671</v>
      </c>
      <c r="AS82" s="107">
        <f t="shared" si="55"/>
        <v>47742.080777777781</v>
      </c>
      <c r="AT82" s="107">
        <f t="shared" si="56"/>
        <v>46932.897555555559</v>
      </c>
      <c r="AU82" s="107">
        <f t="shared" si="57"/>
        <v>46123.714333333337</v>
      </c>
      <c r="AV82" s="107">
        <f t="shared" si="58"/>
        <v>45314.531111111115</v>
      </c>
      <c r="AW82" s="107">
        <f t="shared" si="59"/>
        <v>44505.347888888893</v>
      </c>
      <c r="AX82" s="107">
        <f t="shared" si="60"/>
        <v>43696.164666666671</v>
      </c>
      <c r="AY82" s="107">
        <f t="shared" si="61"/>
        <v>42886.981444444449</v>
      </c>
      <c r="AZ82" s="107">
        <f t="shared" si="62"/>
        <v>42077.798222222227</v>
      </c>
      <c r="BA82" s="107">
        <f t="shared" si="67"/>
        <v>41268.615000000005</v>
      </c>
      <c r="BB82" s="107">
        <f t="shared" si="68"/>
        <v>40459.431777777783</v>
      </c>
      <c r="BC82" s="107">
        <f t="shared" si="69"/>
        <v>39650.248555555561</v>
      </c>
      <c r="BD82" s="107">
        <f t="shared" si="70"/>
        <v>38841.065333333339</v>
      </c>
      <c r="BE82" s="10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27"/>
    </row>
    <row r="83" spans="1:75" ht="22.5" hidden="1" x14ac:dyDescent="0.2">
      <c r="A83" s="123" t="str">
        <f>'[2]2021 УГРЦТ'!A85</f>
        <v>Распределительный шкаф (Токоприемники ДГ №4)</v>
      </c>
      <c r="B83" s="124" t="str">
        <f>'[2]2021 УГРЦТ'!B85</f>
        <v>000001605</v>
      </c>
      <c r="C83" s="124" t="str">
        <f>VLOOKUP(A:A,'2023-2027'!A:L,1,+FALSE)</f>
        <v>Распределительный шкаф (Токоприемники ДГ №4)</v>
      </c>
      <c r="D83" s="124" t="str">
        <f>'[2]2021 УГРЦТ'!C85</f>
        <v>ПРОИЗВОДСТВО</v>
      </c>
      <c r="E83" s="124" t="str">
        <f>'[2]2021 УГРЦТ'!D85</f>
        <v>Машины и оборудование (кроме офисного)</v>
      </c>
      <c r="F83" s="124" t="str">
        <f>'[2]2021 УГРЦТ'!E85</f>
        <v>31.12.2013</v>
      </c>
      <c r="G83" s="124" t="str">
        <f>'[2]2021 УГРЦТ'!F85</f>
        <v>Электрический цех</v>
      </c>
      <c r="H83" s="124">
        <f>'[2]2021 УГРЦТ'!AC85</f>
        <v>180</v>
      </c>
      <c r="I83" s="107">
        <f>'[2]2021 УГРЦТ'!X85</f>
        <v>145652.98000000001</v>
      </c>
      <c r="J83" s="107">
        <f>'[2]2021 УГРЦТ'!Y85</f>
        <v>77681.318666666659</v>
      </c>
      <c r="K83" s="107">
        <f>'[2]2021 УГРЦТ'!Z85</f>
        <v>67971.661333333352</v>
      </c>
      <c r="L83" s="125" t="e">
        <f>SUMIF([2]облаг!$B$2:$B$259,B83,[2]облаг!$D$2:$D$259)</f>
        <v>#VALUE!</v>
      </c>
      <c r="M83" s="107">
        <f t="shared" si="74"/>
        <v>809.1832222222223</v>
      </c>
      <c r="N83" s="107">
        <f t="shared" si="75"/>
        <v>9710.1986666666671</v>
      </c>
      <c r="O83" s="107">
        <f t="shared" si="76"/>
        <v>67162.478111111122</v>
      </c>
      <c r="P83" s="107">
        <f t="shared" si="77"/>
        <v>66353.294888888893</v>
      </c>
      <c r="Q83" s="107">
        <f t="shared" si="78"/>
        <v>65544.111666666664</v>
      </c>
      <c r="R83" s="107">
        <f t="shared" si="79"/>
        <v>64734.928444444442</v>
      </c>
      <c r="S83" s="107">
        <f t="shared" si="80"/>
        <v>63925.74522222222</v>
      </c>
      <c r="T83" s="107">
        <f t="shared" si="81"/>
        <v>63116.561999999998</v>
      </c>
      <c r="U83" s="107">
        <f t="shared" si="82"/>
        <v>62307.378777777776</v>
      </c>
      <c r="V83" s="107">
        <f t="shared" si="83"/>
        <v>61498.195555555554</v>
      </c>
      <c r="W83" s="107">
        <f t="shared" si="84"/>
        <v>60689.012333333332</v>
      </c>
      <c r="X83" s="107">
        <f t="shared" si="85"/>
        <v>59879.82911111111</v>
      </c>
      <c r="Y83" s="107">
        <f t="shared" si="86"/>
        <v>59070.645888888888</v>
      </c>
      <c r="Z83" s="107">
        <f t="shared" si="87"/>
        <v>58261.462666666666</v>
      </c>
      <c r="AA83" s="107"/>
      <c r="AB83" s="107"/>
      <c r="AC83" s="107">
        <f t="shared" si="88"/>
        <v>9710.1986666666671</v>
      </c>
      <c r="AD83" s="107">
        <f t="shared" si="89"/>
        <v>57452.279444444444</v>
      </c>
      <c r="AE83" s="107">
        <f t="shared" si="90"/>
        <v>56643.096222222222</v>
      </c>
      <c r="AF83" s="107">
        <f t="shared" si="91"/>
        <v>55833.913</v>
      </c>
      <c r="AG83" s="107">
        <f t="shared" si="92"/>
        <v>55024.729777777779</v>
      </c>
      <c r="AH83" s="107">
        <f t="shared" si="93"/>
        <v>54215.546555555557</v>
      </c>
      <c r="AI83" s="107">
        <f t="shared" si="94"/>
        <v>53406.363333333335</v>
      </c>
      <c r="AJ83" s="107">
        <f t="shared" si="95"/>
        <v>52597.180111111113</v>
      </c>
      <c r="AK83" s="107">
        <f t="shared" si="96"/>
        <v>51787.996888888891</v>
      </c>
      <c r="AL83" s="107">
        <f t="shared" si="97"/>
        <v>50978.813666666669</v>
      </c>
      <c r="AM83" s="107">
        <f t="shared" si="98"/>
        <v>50169.630444444447</v>
      </c>
      <c r="AN83" s="107">
        <f t="shared" si="99"/>
        <v>49360.447222222225</v>
      </c>
      <c r="AO83" s="107">
        <f t="shared" si="100"/>
        <v>48551.264000000003</v>
      </c>
      <c r="AP83" s="107"/>
      <c r="AQ83" s="126"/>
      <c r="AR83" s="107">
        <f t="shared" si="101"/>
        <v>9710.1986666666671</v>
      </c>
      <c r="AS83" s="107">
        <f t="shared" si="55"/>
        <v>47742.080777777781</v>
      </c>
      <c r="AT83" s="107">
        <f t="shared" si="56"/>
        <v>46932.897555555559</v>
      </c>
      <c r="AU83" s="107">
        <f t="shared" si="57"/>
        <v>46123.714333333337</v>
      </c>
      <c r="AV83" s="107">
        <f t="shared" si="58"/>
        <v>45314.531111111115</v>
      </c>
      <c r="AW83" s="107">
        <f t="shared" si="59"/>
        <v>44505.347888888893</v>
      </c>
      <c r="AX83" s="107">
        <f t="shared" si="60"/>
        <v>43696.164666666671</v>
      </c>
      <c r="AY83" s="107">
        <f t="shared" si="61"/>
        <v>42886.981444444449</v>
      </c>
      <c r="AZ83" s="107">
        <f t="shared" si="62"/>
        <v>42077.798222222227</v>
      </c>
      <c r="BA83" s="107">
        <f t="shared" si="67"/>
        <v>41268.615000000005</v>
      </c>
      <c r="BB83" s="107">
        <f t="shared" si="68"/>
        <v>40459.431777777783</v>
      </c>
      <c r="BC83" s="107">
        <f t="shared" si="69"/>
        <v>39650.248555555561</v>
      </c>
      <c r="BD83" s="107">
        <f t="shared" si="70"/>
        <v>38841.065333333339</v>
      </c>
      <c r="BE83" s="107"/>
      <c r="BF83" s="127"/>
      <c r="BG83" s="127"/>
      <c r="BH83" s="127"/>
      <c r="BI83" s="127"/>
      <c r="BJ83" s="127"/>
      <c r="BK83" s="127"/>
      <c r="BL83" s="127"/>
      <c r="BM83" s="127"/>
      <c r="BN83" s="127"/>
      <c r="BO83" s="127"/>
      <c r="BP83" s="127"/>
      <c r="BQ83" s="127"/>
      <c r="BR83" s="127"/>
      <c r="BS83" s="127"/>
      <c r="BT83" s="127"/>
      <c r="BU83" s="127"/>
      <c r="BV83" s="127"/>
      <c r="BW83" s="127"/>
    </row>
    <row r="84" spans="1:75" ht="33.75" hidden="1" x14ac:dyDescent="0.2">
      <c r="A84" s="123" t="str">
        <f>'[2]2021 УГРЦТ'!A86</f>
        <v>Распределительный шкаф РШ-10 (Береговая водонасосная станция)</v>
      </c>
      <c r="B84" s="124" t="str">
        <f>'[2]2021 УГРЦТ'!B86</f>
        <v>000001661</v>
      </c>
      <c r="C84" s="124" t="str">
        <f>VLOOKUP(A:A,'2023-2027'!A:L,1,+FALSE)</f>
        <v>Распределительный шкаф РШ-10 (Береговая водонасосная станция)</v>
      </c>
      <c r="D84" s="124" t="str">
        <f>'[2]2021 УГРЦТ'!C86</f>
        <v>ПРОИЗВОДСТВО</v>
      </c>
      <c r="E84" s="124" t="str">
        <f>'[2]2021 УГРЦТ'!D86</f>
        <v>Машины и оборудование (кроме офисного)</v>
      </c>
      <c r="F84" s="124" t="str">
        <f>'[2]2021 УГРЦТ'!E86</f>
        <v>31.07.2015</v>
      </c>
      <c r="G84" s="124" t="str">
        <f>'[2]2021 УГРЦТ'!F86</f>
        <v>Электрический цех</v>
      </c>
      <c r="H84" s="124">
        <f>'[2]2021 УГРЦТ'!AC86</f>
        <v>180</v>
      </c>
      <c r="I84" s="107">
        <f>'[2]2021 УГРЦТ'!X86</f>
        <v>190397.71</v>
      </c>
      <c r="J84" s="107">
        <f>'[2]2021 УГРЦТ'!Y86</f>
        <v>81448.23066666667</v>
      </c>
      <c r="K84" s="107">
        <f>'[2]2021 УГРЦТ'!Z86</f>
        <v>108949.47933333332</v>
      </c>
      <c r="L84" s="125" t="e">
        <f>SUMIF([2]облаг!$B$2:$B$259,B84,[2]облаг!$D$2:$D$259)</f>
        <v>#VALUE!</v>
      </c>
      <c r="M84" s="107">
        <f t="shared" si="74"/>
        <v>1057.7650555555556</v>
      </c>
      <c r="N84" s="107">
        <f t="shared" si="75"/>
        <v>12693.180666666667</v>
      </c>
      <c r="O84" s="107">
        <f t="shared" si="76"/>
        <v>107891.71427777776</v>
      </c>
      <c r="P84" s="107">
        <f t="shared" si="77"/>
        <v>106833.9492222222</v>
      </c>
      <c r="Q84" s="107">
        <f t="shared" si="78"/>
        <v>105776.18416666664</v>
      </c>
      <c r="R84" s="107">
        <f t="shared" si="79"/>
        <v>104718.41911111108</v>
      </c>
      <c r="S84" s="107">
        <f t="shared" si="80"/>
        <v>103660.65405555553</v>
      </c>
      <c r="T84" s="107">
        <f t="shared" si="81"/>
        <v>102602.88899999997</v>
      </c>
      <c r="U84" s="107">
        <f t="shared" si="82"/>
        <v>101545.12394444441</v>
      </c>
      <c r="V84" s="107">
        <f t="shared" si="83"/>
        <v>100487.35888888885</v>
      </c>
      <c r="W84" s="107">
        <f t="shared" si="84"/>
        <v>99429.593833333289</v>
      </c>
      <c r="X84" s="107">
        <f t="shared" si="85"/>
        <v>98371.82877777773</v>
      </c>
      <c r="Y84" s="107">
        <f t="shared" si="86"/>
        <v>97314.06372222217</v>
      </c>
      <c r="Z84" s="107">
        <f t="shared" si="87"/>
        <v>96256.298666666611</v>
      </c>
      <c r="AA84" s="107"/>
      <c r="AB84" s="107"/>
      <c r="AC84" s="107">
        <f t="shared" si="88"/>
        <v>12693.180666666667</v>
      </c>
      <c r="AD84" s="107">
        <f t="shared" si="89"/>
        <v>95198.533611111052</v>
      </c>
      <c r="AE84" s="107">
        <f t="shared" si="90"/>
        <v>94140.768555555493</v>
      </c>
      <c r="AF84" s="107">
        <f t="shared" si="91"/>
        <v>93083.003499999933</v>
      </c>
      <c r="AG84" s="107">
        <f t="shared" si="92"/>
        <v>92025.238444444374</v>
      </c>
      <c r="AH84" s="107">
        <f t="shared" si="93"/>
        <v>90967.473388888815</v>
      </c>
      <c r="AI84" s="107">
        <f t="shared" si="94"/>
        <v>89909.708333333256</v>
      </c>
      <c r="AJ84" s="107">
        <f t="shared" si="95"/>
        <v>88851.943277777696</v>
      </c>
      <c r="AK84" s="107">
        <f t="shared" si="96"/>
        <v>87794.178222222137</v>
      </c>
      <c r="AL84" s="107">
        <f t="shared" si="97"/>
        <v>86736.413166666578</v>
      </c>
      <c r="AM84" s="107">
        <f t="shared" si="98"/>
        <v>85678.648111111019</v>
      </c>
      <c r="AN84" s="107">
        <f t="shared" si="99"/>
        <v>84620.88305555546</v>
      </c>
      <c r="AO84" s="107">
        <f t="shared" si="100"/>
        <v>83563.1179999999</v>
      </c>
      <c r="AP84" s="107"/>
      <c r="AQ84" s="126"/>
      <c r="AR84" s="107">
        <f t="shared" si="101"/>
        <v>12693.180666666667</v>
      </c>
      <c r="AS84" s="107">
        <f t="shared" si="55"/>
        <v>82505.352944444341</v>
      </c>
      <c r="AT84" s="107">
        <f t="shared" si="56"/>
        <v>81447.587888888782</v>
      </c>
      <c r="AU84" s="107">
        <f t="shared" si="57"/>
        <v>80389.822833333223</v>
      </c>
      <c r="AV84" s="107">
        <f t="shared" si="58"/>
        <v>79332.057777777663</v>
      </c>
      <c r="AW84" s="107">
        <f t="shared" si="59"/>
        <v>78274.292722222104</v>
      </c>
      <c r="AX84" s="107">
        <f t="shared" si="60"/>
        <v>77216.527666666545</v>
      </c>
      <c r="AY84" s="107">
        <f t="shared" si="61"/>
        <v>76158.762611110986</v>
      </c>
      <c r="AZ84" s="107">
        <f t="shared" si="62"/>
        <v>75100.997555555427</v>
      </c>
      <c r="BA84" s="107">
        <f t="shared" si="67"/>
        <v>74043.232499999867</v>
      </c>
      <c r="BB84" s="107">
        <f t="shared" si="68"/>
        <v>72985.467444444308</v>
      </c>
      <c r="BC84" s="107">
        <f t="shared" si="69"/>
        <v>71927.702388888749</v>
      </c>
      <c r="BD84" s="107">
        <f t="shared" si="70"/>
        <v>70869.93733333319</v>
      </c>
      <c r="BE84" s="10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</row>
    <row r="85" spans="1:75" ht="22.5" hidden="1" x14ac:dyDescent="0.2">
      <c r="A85" s="123" t="str">
        <f>'[2]2021 УГРЦТ'!A87</f>
        <v>Распределительный шкаф РШ-11 ( Водонасосная (новая)</v>
      </c>
      <c r="B85" s="124" t="str">
        <f>'[2]2021 УГРЦТ'!B87</f>
        <v>000001606</v>
      </c>
      <c r="C85" s="124" t="str">
        <f>VLOOKUP(A:A,'2023-2027'!A:L,1,+FALSE)</f>
        <v>Распределительный шкаф РШ-11 ( Водонасосная (новая)</v>
      </c>
      <c r="D85" s="124" t="str">
        <f>'[2]2021 УГРЦТ'!C87</f>
        <v>ПРОИЗВОДСТВО</v>
      </c>
      <c r="E85" s="124" t="str">
        <f>'[2]2021 УГРЦТ'!D87</f>
        <v>Машины и оборудование (кроме офисного)</v>
      </c>
      <c r="F85" s="124" t="str">
        <f>'[2]2021 УГРЦТ'!E87</f>
        <v>31.12.2013</v>
      </c>
      <c r="G85" s="124" t="str">
        <f>'[2]2021 УГРЦТ'!F87</f>
        <v>Электрический цех</v>
      </c>
      <c r="H85" s="124">
        <f>'[2]2021 УГРЦТ'!AC87</f>
        <v>180</v>
      </c>
      <c r="I85" s="107">
        <f>'[2]2021 УГРЦТ'!X87</f>
        <v>145653.01999999999</v>
      </c>
      <c r="J85" s="107">
        <f>'[2]2021 УГРЦТ'!Y87</f>
        <v>77681.321333333326</v>
      </c>
      <c r="K85" s="107">
        <f>'[2]2021 УГРЦТ'!Z87</f>
        <v>67971.698666666663</v>
      </c>
      <c r="L85" s="125" t="e">
        <f>SUMIF([2]облаг!$B$2:$B$259,B85,[2]облаг!$D$2:$D$259)</f>
        <v>#VALUE!</v>
      </c>
      <c r="M85" s="107">
        <f t="shared" si="74"/>
        <v>809.18344444444438</v>
      </c>
      <c r="N85" s="107">
        <f t="shared" si="75"/>
        <v>9710.2013333333325</v>
      </c>
      <c r="O85" s="107">
        <f t="shared" si="76"/>
        <v>67162.515222222224</v>
      </c>
      <c r="P85" s="107">
        <f t="shared" si="77"/>
        <v>66353.331777777785</v>
      </c>
      <c r="Q85" s="107">
        <f t="shared" si="78"/>
        <v>65544.148333333345</v>
      </c>
      <c r="R85" s="107">
        <f t="shared" si="79"/>
        <v>64734.964888888899</v>
      </c>
      <c r="S85" s="107">
        <f t="shared" si="80"/>
        <v>63925.781444444452</v>
      </c>
      <c r="T85" s="107">
        <f t="shared" si="81"/>
        <v>63116.598000000005</v>
      </c>
      <c r="U85" s="107">
        <f t="shared" si="82"/>
        <v>62307.414555555559</v>
      </c>
      <c r="V85" s="107">
        <f t="shared" si="83"/>
        <v>61498.231111111112</v>
      </c>
      <c r="W85" s="107">
        <f t="shared" si="84"/>
        <v>60689.047666666665</v>
      </c>
      <c r="X85" s="107">
        <f t="shared" si="85"/>
        <v>59879.864222222219</v>
      </c>
      <c r="Y85" s="107">
        <f t="shared" si="86"/>
        <v>59070.680777777772</v>
      </c>
      <c r="Z85" s="107">
        <f t="shared" si="87"/>
        <v>58261.497333333326</v>
      </c>
      <c r="AA85" s="107"/>
      <c r="AB85" s="107"/>
      <c r="AC85" s="107">
        <f t="shared" si="88"/>
        <v>9710.2013333333325</v>
      </c>
      <c r="AD85" s="107">
        <f t="shared" si="89"/>
        <v>57452.313888888879</v>
      </c>
      <c r="AE85" s="107">
        <f t="shared" si="90"/>
        <v>56643.130444444432</v>
      </c>
      <c r="AF85" s="107">
        <f t="shared" si="91"/>
        <v>55833.946999999986</v>
      </c>
      <c r="AG85" s="107">
        <f t="shared" si="92"/>
        <v>55024.763555555539</v>
      </c>
      <c r="AH85" s="107">
        <f t="shared" si="93"/>
        <v>54215.580111111092</v>
      </c>
      <c r="AI85" s="107">
        <f t="shared" si="94"/>
        <v>53406.396666666646</v>
      </c>
      <c r="AJ85" s="107">
        <f t="shared" si="95"/>
        <v>52597.213222222199</v>
      </c>
      <c r="AK85" s="107">
        <f t="shared" si="96"/>
        <v>51788.029777777752</v>
      </c>
      <c r="AL85" s="107">
        <f t="shared" si="97"/>
        <v>50978.846333333306</v>
      </c>
      <c r="AM85" s="107">
        <f t="shared" si="98"/>
        <v>50169.662888888859</v>
      </c>
      <c r="AN85" s="107">
        <f t="shared" si="99"/>
        <v>49360.479444444412</v>
      </c>
      <c r="AO85" s="107">
        <f t="shared" si="100"/>
        <v>48551.295999999966</v>
      </c>
      <c r="AP85" s="107"/>
      <c r="AQ85" s="126"/>
      <c r="AR85" s="107">
        <f t="shared" si="101"/>
        <v>9710.2013333333325</v>
      </c>
      <c r="AS85" s="107">
        <f t="shared" si="55"/>
        <v>47742.112555555519</v>
      </c>
      <c r="AT85" s="107">
        <f t="shared" si="56"/>
        <v>46932.929111111072</v>
      </c>
      <c r="AU85" s="107">
        <f t="shared" si="57"/>
        <v>46123.745666666626</v>
      </c>
      <c r="AV85" s="107">
        <f t="shared" si="58"/>
        <v>45314.562222222179</v>
      </c>
      <c r="AW85" s="107">
        <f t="shared" si="59"/>
        <v>44505.378777777732</v>
      </c>
      <c r="AX85" s="107">
        <f t="shared" si="60"/>
        <v>43696.195333333286</v>
      </c>
      <c r="AY85" s="107">
        <f t="shared" si="61"/>
        <v>42887.011888888839</v>
      </c>
      <c r="AZ85" s="107">
        <f t="shared" si="62"/>
        <v>42077.828444444393</v>
      </c>
      <c r="BA85" s="107">
        <f t="shared" si="67"/>
        <v>41268.644999999946</v>
      </c>
      <c r="BB85" s="107">
        <f t="shared" si="68"/>
        <v>40459.461555555499</v>
      </c>
      <c r="BC85" s="107">
        <f t="shared" si="69"/>
        <v>39650.278111111053</v>
      </c>
      <c r="BD85" s="107">
        <f t="shared" si="70"/>
        <v>38841.094666666606</v>
      </c>
      <c r="BE85" s="10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/>
      <c r="BU85" s="127"/>
      <c r="BV85" s="127"/>
      <c r="BW85" s="127"/>
    </row>
    <row r="86" spans="1:75" ht="22.5" hidden="1" x14ac:dyDescent="0.2">
      <c r="A86" s="123" t="str">
        <f>'[2]2021 УГРЦТ'!A88</f>
        <v>Распределительный шкаф РШ-2 ( ЭЦ)</v>
      </c>
      <c r="B86" s="124" t="str">
        <f>'[2]2021 УГРЦТ'!B88</f>
        <v>000001601</v>
      </c>
      <c r="C86" s="124" t="str">
        <f>VLOOKUP(A:A,'2023-2027'!A:L,1,+FALSE)</f>
        <v>Распределительный шкаф РШ-2 ( ЭЦ)</v>
      </c>
      <c r="D86" s="124" t="str">
        <f>'[2]2021 УГРЦТ'!C88</f>
        <v>ПРОИЗВОДСТВО</v>
      </c>
      <c r="E86" s="124" t="str">
        <f>'[2]2021 УГРЦТ'!D88</f>
        <v>Машины и оборудование (кроме офисного)</v>
      </c>
      <c r="F86" s="124" t="str">
        <f>'[2]2021 УГРЦТ'!E88</f>
        <v>31.12.2013</v>
      </c>
      <c r="G86" s="124" t="str">
        <f>'[2]2021 УГРЦТ'!F88</f>
        <v>Электрический цех</v>
      </c>
      <c r="H86" s="124">
        <f>'[2]2021 УГРЦТ'!AC88</f>
        <v>180</v>
      </c>
      <c r="I86" s="107">
        <f>'[2]2021 УГРЦТ'!X88</f>
        <v>145652.98000000001</v>
      </c>
      <c r="J86" s="107">
        <f>'[2]2021 УГРЦТ'!Y88</f>
        <v>77681.318666666659</v>
      </c>
      <c r="K86" s="107">
        <f>'[2]2021 УГРЦТ'!Z88</f>
        <v>67971.661333333352</v>
      </c>
      <c r="L86" s="125" t="e">
        <f>SUMIF([2]облаг!$B$2:$B$259,B86,[2]облаг!$D$2:$D$259)</f>
        <v>#VALUE!</v>
      </c>
      <c r="M86" s="107">
        <f t="shared" si="74"/>
        <v>809.1832222222223</v>
      </c>
      <c r="N86" s="107">
        <f t="shared" si="75"/>
        <v>9710.1986666666671</v>
      </c>
      <c r="O86" s="107">
        <f t="shared" si="76"/>
        <v>67162.478111111122</v>
      </c>
      <c r="P86" s="107">
        <f t="shared" si="77"/>
        <v>66353.294888888893</v>
      </c>
      <c r="Q86" s="107">
        <f t="shared" si="78"/>
        <v>65544.111666666664</v>
      </c>
      <c r="R86" s="107">
        <f t="shared" si="79"/>
        <v>64734.928444444442</v>
      </c>
      <c r="S86" s="107">
        <f t="shared" si="80"/>
        <v>63925.74522222222</v>
      </c>
      <c r="T86" s="107">
        <f t="shared" si="81"/>
        <v>63116.561999999998</v>
      </c>
      <c r="U86" s="107">
        <f t="shared" si="82"/>
        <v>62307.378777777776</v>
      </c>
      <c r="V86" s="107">
        <f t="shared" si="83"/>
        <v>61498.195555555554</v>
      </c>
      <c r="W86" s="107">
        <f t="shared" si="84"/>
        <v>60689.012333333332</v>
      </c>
      <c r="X86" s="107">
        <f t="shared" si="85"/>
        <v>59879.82911111111</v>
      </c>
      <c r="Y86" s="107">
        <f t="shared" si="86"/>
        <v>59070.645888888888</v>
      </c>
      <c r="Z86" s="107">
        <f t="shared" si="87"/>
        <v>58261.462666666666</v>
      </c>
      <c r="AA86" s="107"/>
      <c r="AB86" s="107"/>
      <c r="AC86" s="107">
        <f t="shared" si="88"/>
        <v>9710.1986666666671</v>
      </c>
      <c r="AD86" s="107">
        <f t="shared" si="89"/>
        <v>57452.279444444444</v>
      </c>
      <c r="AE86" s="107">
        <f t="shared" si="90"/>
        <v>56643.096222222222</v>
      </c>
      <c r="AF86" s="107">
        <f t="shared" si="91"/>
        <v>55833.913</v>
      </c>
      <c r="AG86" s="107">
        <f t="shared" si="92"/>
        <v>55024.729777777779</v>
      </c>
      <c r="AH86" s="107">
        <f t="shared" si="93"/>
        <v>54215.546555555557</v>
      </c>
      <c r="AI86" s="107">
        <f t="shared" si="94"/>
        <v>53406.363333333335</v>
      </c>
      <c r="AJ86" s="107">
        <f t="shared" si="95"/>
        <v>52597.180111111113</v>
      </c>
      <c r="AK86" s="107">
        <f t="shared" si="96"/>
        <v>51787.996888888891</v>
      </c>
      <c r="AL86" s="107">
        <f t="shared" si="97"/>
        <v>50978.813666666669</v>
      </c>
      <c r="AM86" s="107">
        <f t="shared" si="98"/>
        <v>50169.630444444447</v>
      </c>
      <c r="AN86" s="107">
        <f t="shared" si="99"/>
        <v>49360.447222222225</v>
      </c>
      <c r="AO86" s="107">
        <f t="shared" si="100"/>
        <v>48551.264000000003</v>
      </c>
      <c r="AP86" s="107"/>
      <c r="AQ86" s="126"/>
      <c r="AR86" s="107">
        <f t="shared" si="101"/>
        <v>9710.1986666666671</v>
      </c>
      <c r="AS86" s="107">
        <f t="shared" si="55"/>
        <v>47742.080777777781</v>
      </c>
      <c r="AT86" s="107">
        <f t="shared" si="56"/>
        <v>46932.897555555559</v>
      </c>
      <c r="AU86" s="107">
        <f t="shared" si="57"/>
        <v>46123.714333333337</v>
      </c>
      <c r="AV86" s="107">
        <f t="shared" si="58"/>
        <v>45314.531111111115</v>
      </c>
      <c r="AW86" s="107">
        <f t="shared" si="59"/>
        <v>44505.347888888893</v>
      </c>
      <c r="AX86" s="107">
        <f t="shared" si="60"/>
        <v>43696.164666666671</v>
      </c>
      <c r="AY86" s="107">
        <f t="shared" si="61"/>
        <v>42886.981444444449</v>
      </c>
      <c r="AZ86" s="107">
        <f t="shared" si="62"/>
        <v>42077.798222222227</v>
      </c>
      <c r="BA86" s="107">
        <f t="shared" si="67"/>
        <v>41268.615000000005</v>
      </c>
      <c r="BB86" s="107">
        <f t="shared" si="68"/>
        <v>40459.431777777783</v>
      </c>
      <c r="BC86" s="107">
        <f t="shared" si="69"/>
        <v>39650.248555555561</v>
      </c>
      <c r="BD86" s="107">
        <f t="shared" si="70"/>
        <v>38841.065333333339</v>
      </c>
      <c r="BE86" s="107"/>
      <c r="BF86" s="127"/>
      <c r="BG86" s="127"/>
      <c r="BH86" s="127"/>
      <c r="BI86" s="127"/>
      <c r="BJ86" s="127"/>
      <c r="BK86" s="127"/>
      <c r="BL86" s="127"/>
      <c r="BM86" s="127"/>
      <c r="BN86" s="127"/>
      <c r="BO86" s="127"/>
      <c r="BP86" s="127"/>
      <c r="BQ86" s="127"/>
      <c r="BR86" s="127"/>
      <c r="BS86" s="127"/>
      <c r="BT86" s="127"/>
      <c r="BU86" s="127"/>
      <c r="BV86" s="127"/>
      <c r="BW86" s="127"/>
    </row>
    <row r="87" spans="1:75" ht="22.5" hidden="1" x14ac:dyDescent="0.2">
      <c r="A87" s="123" t="str">
        <f>'[2]2021 УГРЦТ'!A89</f>
        <v>Распределительный шкаф РШ-3 ( ДГ № 3)</v>
      </c>
      <c r="B87" s="124" t="str">
        <f>'[2]2021 УГРЦТ'!B89</f>
        <v>000001602</v>
      </c>
      <c r="C87" s="124" t="str">
        <f>VLOOKUP(A:A,'2023-2027'!A:L,1,+FALSE)</f>
        <v>Распределительный шкаф РШ-3 ( ДГ № 3)</v>
      </c>
      <c r="D87" s="124" t="str">
        <f>'[2]2021 УГРЦТ'!C89</f>
        <v>ПРОИЗВОДСТВО</v>
      </c>
      <c r="E87" s="124" t="str">
        <f>'[2]2021 УГРЦТ'!D89</f>
        <v>Машины и оборудование (кроме офисного)</v>
      </c>
      <c r="F87" s="124" t="str">
        <f>'[2]2021 УГРЦТ'!E89</f>
        <v>31.12.2013</v>
      </c>
      <c r="G87" s="124" t="str">
        <f>'[2]2021 УГРЦТ'!F89</f>
        <v>Электрический цех</v>
      </c>
      <c r="H87" s="124">
        <f>'[2]2021 УГРЦТ'!AC89</f>
        <v>180</v>
      </c>
      <c r="I87" s="107">
        <f>'[2]2021 УГРЦТ'!X89</f>
        <v>145652.98000000001</v>
      </c>
      <c r="J87" s="107">
        <f>'[2]2021 УГРЦТ'!Y89</f>
        <v>77681.318666666659</v>
      </c>
      <c r="K87" s="107">
        <f>'[2]2021 УГРЦТ'!Z89</f>
        <v>67971.661333333352</v>
      </c>
      <c r="L87" s="125" t="e">
        <f>SUMIF([2]облаг!$B$2:$B$259,B87,[2]облаг!$D$2:$D$259)</f>
        <v>#VALUE!</v>
      </c>
      <c r="M87" s="107">
        <f t="shared" si="74"/>
        <v>809.1832222222223</v>
      </c>
      <c r="N87" s="107">
        <f t="shared" si="75"/>
        <v>9710.1986666666671</v>
      </c>
      <c r="O87" s="107">
        <f t="shared" si="76"/>
        <v>67162.478111111122</v>
      </c>
      <c r="P87" s="107">
        <f t="shared" si="77"/>
        <v>66353.294888888893</v>
      </c>
      <c r="Q87" s="107">
        <f t="shared" si="78"/>
        <v>65544.111666666664</v>
      </c>
      <c r="R87" s="107">
        <f t="shared" si="79"/>
        <v>64734.928444444442</v>
      </c>
      <c r="S87" s="107">
        <f t="shared" si="80"/>
        <v>63925.74522222222</v>
      </c>
      <c r="T87" s="107">
        <f t="shared" si="81"/>
        <v>63116.561999999998</v>
      </c>
      <c r="U87" s="107">
        <f t="shared" si="82"/>
        <v>62307.378777777776</v>
      </c>
      <c r="V87" s="107">
        <f t="shared" si="83"/>
        <v>61498.195555555554</v>
      </c>
      <c r="W87" s="107">
        <f t="shared" si="84"/>
        <v>60689.012333333332</v>
      </c>
      <c r="X87" s="107">
        <f t="shared" si="85"/>
        <v>59879.82911111111</v>
      </c>
      <c r="Y87" s="107">
        <f t="shared" si="86"/>
        <v>59070.645888888888</v>
      </c>
      <c r="Z87" s="107">
        <f t="shared" si="87"/>
        <v>58261.462666666666</v>
      </c>
      <c r="AA87" s="107"/>
      <c r="AB87" s="107"/>
      <c r="AC87" s="107">
        <f t="shared" si="88"/>
        <v>9710.1986666666671</v>
      </c>
      <c r="AD87" s="107">
        <f t="shared" si="89"/>
        <v>57452.279444444444</v>
      </c>
      <c r="AE87" s="107">
        <f t="shared" si="90"/>
        <v>56643.096222222222</v>
      </c>
      <c r="AF87" s="107">
        <f t="shared" si="91"/>
        <v>55833.913</v>
      </c>
      <c r="AG87" s="107">
        <f t="shared" si="92"/>
        <v>55024.729777777779</v>
      </c>
      <c r="AH87" s="107">
        <f t="shared" si="93"/>
        <v>54215.546555555557</v>
      </c>
      <c r="AI87" s="107">
        <f t="shared" si="94"/>
        <v>53406.363333333335</v>
      </c>
      <c r="AJ87" s="107">
        <f t="shared" si="95"/>
        <v>52597.180111111113</v>
      </c>
      <c r="AK87" s="107">
        <f t="shared" si="96"/>
        <v>51787.996888888891</v>
      </c>
      <c r="AL87" s="107">
        <f t="shared" si="97"/>
        <v>50978.813666666669</v>
      </c>
      <c r="AM87" s="107">
        <f t="shared" si="98"/>
        <v>50169.630444444447</v>
      </c>
      <c r="AN87" s="107">
        <f t="shared" si="99"/>
        <v>49360.447222222225</v>
      </c>
      <c r="AO87" s="107">
        <f t="shared" si="100"/>
        <v>48551.264000000003</v>
      </c>
      <c r="AP87" s="107"/>
      <c r="AQ87" s="126"/>
      <c r="AR87" s="107">
        <f t="shared" si="101"/>
        <v>9710.1986666666671</v>
      </c>
      <c r="AS87" s="107">
        <f t="shared" si="55"/>
        <v>47742.080777777781</v>
      </c>
      <c r="AT87" s="107">
        <f t="shared" si="56"/>
        <v>46932.897555555559</v>
      </c>
      <c r="AU87" s="107">
        <f t="shared" si="57"/>
        <v>46123.714333333337</v>
      </c>
      <c r="AV87" s="107">
        <f t="shared" si="58"/>
        <v>45314.531111111115</v>
      </c>
      <c r="AW87" s="107">
        <f t="shared" si="59"/>
        <v>44505.347888888893</v>
      </c>
      <c r="AX87" s="107">
        <f t="shared" si="60"/>
        <v>43696.164666666671</v>
      </c>
      <c r="AY87" s="107">
        <f t="shared" si="61"/>
        <v>42886.981444444449</v>
      </c>
      <c r="AZ87" s="107">
        <f t="shared" si="62"/>
        <v>42077.798222222227</v>
      </c>
      <c r="BA87" s="107">
        <f t="shared" si="67"/>
        <v>41268.615000000005</v>
      </c>
      <c r="BB87" s="107">
        <f t="shared" si="68"/>
        <v>40459.431777777783</v>
      </c>
      <c r="BC87" s="107">
        <f t="shared" si="69"/>
        <v>39650.248555555561</v>
      </c>
      <c r="BD87" s="107">
        <f t="shared" si="70"/>
        <v>38841.065333333339</v>
      </c>
      <c r="BE87" s="107"/>
      <c r="BF87" s="127"/>
      <c r="BG87" s="127"/>
      <c r="BH87" s="127"/>
      <c r="BI87" s="127"/>
      <c r="BJ87" s="127"/>
      <c r="BK87" s="127"/>
      <c r="BL87" s="127"/>
      <c r="BM87" s="127"/>
      <c r="BN87" s="127"/>
      <c r="BO87" s="127"/>
      <c r="BP87" s="127"/>
      <c r="BQ87" s="127"/>
      <c r="BR87" s="127"/>
      <c r="BS87" s="127"/>
      <c r="BT87" s="127"/>
      <c r="BU87" s="127"/>
      <c r="BV87" s="127"/>
      <c r="BW87" s="127"/>
    </row>
    <row r="88" spans="1:75" ht="22.5" hidden="1" x14ac:dyDescent="0.2">
      <c r="A88" s="123" t="str">
        <f>'[2]2021 УГРЦТ'!A90</f>
        <v>Распределительный шкаф РШ-4 ( Слесарка)</v>
      </c>
      <c r="B88" s="124" t="str">
        <f>'[2]2021 УГРЦТ'!B90</f>
        <v>000001603</v>
      </c>
      <c r="C88" s="124" t="str">
        <f>VLOOKUP(A:A,'2023-2027'!A:L,1,+FALSE)</f>
        <v>Распределительный шкаф РШ-4 ( Слесарка)</v>
      </c>
      <c r="D88" s="124" t="str">
        <f>'[2]2021 УГРЦТ'!C90</f>
        <v>ПРОИЗВОДСТВО</v>
      </c>
      <c r="E88" s="124" t="str">
        <f>'[2]2021 УГРЦТ'!D90</f>
        <v>Машины и оборудование (кроме офисного)</v>
      </c>
      <c r="F88" s="124" t="str">
        <f>'[2]2021 УГРЦТ'!E90</f>
        <v>31.12.2013</v>
      </c>
      <c r="G88" s="124" t="str">
        <f>'[2]2021 УГРЦТ'!F90</f>
        <v>Электрический цех</v>
      </c>
      <c r="H88" s="124">
        <f>'[2]2021 УГРЦТ'!AC90</f>
        <v>180</v>
      </c>
      <c r="I88" s="107">
        <f>'[2]2021 УГРЦТ'!X90</f>
        <v>145652.98000000001</v>
      </c>
      <c r="J88" s="107">
        <f>'[2]2021 УГРЦТ'!Y90</f>
        <v>77681.318666666659</v>
      </c>
      <c r="K88" s="107">
        <f>'[2]2021 УГРЦТ'!Z90</f>
        <v>67971.661333333352</v>
      </c>
      <c r="L88" s="125" t="e">
        <f>SUMIF([2]облаг!$B$2:$B$259,B88,[2]облаг!$D$2:$D$259)</f>
        <v>#VALUE!</v>
      </c>
      <c r="M88" s="107">
        <f t="shared" si="74"/>
        <v>809.1832222222223</v>
      </c>
      <c r="N88" s="107">
        <f t="shared" si="75"/>
        <v>9710.1986666666671</v>
      </c>
      <c r="O88" s="107">
        <f t="shared" si="76"/>
        <v>67162.478111111122</v>
      </c>
      <c r="P88" s="107">
        <f t="shared" si="77"/>
        <v>66353.294888888893</v>
      </c>
      <c r="Q88" s="107">
        <f t="shared" si="78"/>
        <v>65544.111666666664</v>
      </c>
      <c r="R88" s="107">
        <f t="shared" si="79"/>
        <v>64734.928444444442</v>
      </c>
      <c r="S88" s="107">
        <f t="shared" si="80"/>
        <v>63925.74522222222</v>
      </c>
      <c r="T88" s="107">
        <f t="shared" si="81"/>
        <v>63116.561999999998</v>
      </c>
      <c r="U88" s="107">
        <f t="shared" si="82"/>
        <v>62307.378777777776</v>
      </c>
      <c r="V88" s="107">
        <f t="shared" si="83"/>
        <v>61498.195555555554</v>
      </c>
      <c r="W88" s="107">
        <f t="shared" si="84"/>
        <v>60689.012333333332</v>
      </c>
      <c r="X88" s="107">
        <f t="shared" si="85"/>
        <v>59879.82911111111</v>
      </c>
      <c r="Y88" s="107">
        <f t="shared" si="86"/>
        <v>59070.645888888888</v>
      </c>
      <c r="Z88" s="107">
        <f t="shared" si="87"/>
        <v>58261.462666666666</v>
      </c>
      <c r="AA88" s="107"/>
      <c r="AB88" s="107"/>
      <c r="AC88" s="107">
        <f t="shared" si="88"/>
        <v>9710.1986666666671</v>
      </c>
      <c r="AD88" s="107">
        <f t="shared" si="89"/>
        <v>57452.279444444444</v>
      </c>
      <c r="AE88" s="107">
        <f t="shared" si="90"/>
        <v>56643.096222222222</v>
      </c>
      <c r="AF88" s="107">
        <f t="shared" si="91"/>
        <v>55833.913</v>
      </c>
      <c r="AG88" s="107">
        <f t="shared" si="92"/>
        <v>55024.729777777779</v>
      </c>
      <c r="AH88" s="107">
        <f t="shared" si="93"/>
        <v>54215.546555555557</v>
      </c>
      <c r="AI88" s="107">
        <f t="shared" si="94"/>
        <v>53406.363333333335</v>
      </c>
      <c r="AJ88" s="107">
        <f t="shared" si="95"/>
        <v>52597.180111111113</v>
      </c>
      <c r="AK88" s="107">
        <f t="shared" si="96"/>
        <v>51787.996888888891</v>
      </c>
      <c r="AL88" s="107">
        <f t="shared" si="97"/>
        <v>50978.813666666669</v>
      </c>
      <c r="AM88" s="107">
        <f t="shared" si="98"/>
        <v>50169.630444444447</v>
      </c>
      <c r="AN88" s="107">
        <f t="shared" si="99"/>
        <v>49360.447222222225</v>
      </c>
      <c r="AO88" s="107">
        <f t="shared" si="100"/>
        <v>48551.264000000003</v>
      </c>
      <c r="AP88" s="107"/>
      <c r="AQ88" s="126"/>
      <c r="AR88" s="107">
        <f t="shared" si="101"/>
        <v>9710.1986666666671</v>
      </c>
      <c r="AS88" s="107">
        <f t="shared" si="55"/>
        <v>47742.080777777781</v>
      </c>
      <c r="AT88" s="107">
        <f t="shared" si="56"/>
        <v>46932.897555555559</v>
      </c>
      <c r="AU88" s="107">
        <f t="shared" si="57"/>
        <v>46123.714333333337</v>
      </c>
      <c r="AV88" s="107">
        <f t="shared" si="58"/>
        <v>45314.531111111115</v>
      </c>
      <c r="AW88" s="107">
        <f t="shared" si="59"/>
        <v>44505.347888888893</v>
      </c>
      <c r="AX88" s="107">
        <f t="shared" si="60"/>
        <v>43696.164666666671</v>
      </c>
      <c r="AY88" s="107">
        <f t="shared" si="61"/>
        <v>42886.981444444449</v>
      </c>
      <c r="AZ88" s="107">
        <f t="shared" si="62"/>
        <v>42077.798222222227</v>
      </c>
      <c r="BA88" s="107">
        <f t="shared" si="67"/>
        <v>41268.615000000005</v>
      </c>
      <c r="BB88" s="107">
        <f t="shared" si="68"/>
        <v>40459.431777777783</v>
      </c>
      <c r="BC88" s="107">
        <f t="shared" si="69"/>
        <v>39650.248555555561</v>
      </c>
      <c r="BD88" s="107">
        <f t="shared" si="70"/>
        <v>38841.065333333339</v>
      </c>
      <c r="BE88" s="10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</row>
    <row r="89" spans="1:75" ht="22.5" hidden="1" x14ac:dyDescent="0.2">
      <c r="A89" s="123" t="str">
        <f>'[2]2021 УГРЦТ'!A91</f>
        <v>Распределительный шкаф РШ-5 ( ДГ №3)</v>
      </c>
      <c r="B89" s="124" t="str">
        <f>'[2]2021 УГРЦТ'!B91</f>
        <v>000001604</v>
      </c>
      <c r="C89" s="124" t="str">
        <f>VLOOKUP(A:A,'2023-2027'!A:L,1,+FALSE)</f>
        <v>Распределительный шкаф РШ-5 ( ДГ №3)</v>
      </c>
      <c r="D89" s="124" t="str">
        <f>'[2]2021 УГРЦТ'!C91</f>
        <v>ПРОИЗВОДСТВО</v>
      </c>
      <c r="E89" s="124" t="str">
        <f>'[2]2021 УГРЦТ'!D91</f>
        <v>Машины и оборудование (кроме офисного)</v>
      </c>
      <c r="F89" s="124" t="str">
        <f>'[2]2021 УГРЦТ'!E91</f>
        <v>31.12.2013</v>
      </c>
      <c r="G89" s="124" t="str">
        <f>'[2]2021 УГРЦТ'!F91</f>
        <v>Электрический цех</v>
      </c>
      <c r="H89" s="124">
        <f>'[2]2021 УГРЦТ'!AC91</f>
        <v>180</v>
      </c>
      <c r="I89" s="107">
        <f>'[2]2021 УГРЦТ'!X91</f>
        <v>145652.98000000001</v>
      </c>
      <c r="J89" s="107">
        <f>'[2]2021 УГРЦТ'!Y91</f>
        <v>77681.318666666659</v>
      </c>
      <c r="K89" s="107">
        <f>'[2]2021 УГРЦТ'!Z91</f>
        <v>67971.661333333352</v>
      </c>
      <c r="L89" s="125" t="e">
        <f>SUMIF([2]облаг!$B$2:$B$259,B89,[2]облаг!$D$2:$D$259)</f>
        <v>#VALUE!</v>
      </c>
      <c r="M89" s="107">
        <f t="shared" si="74"/>
        <v>809.1832222222223</v>
      </c>
      <c r="N89" s="107">
        <f t="shared" si="75"/>
        <v>9710.1986666666671</v>
      </c>
      <c r="O89" s="107">
        <f t="shared" si="76"/>
        <v>67162.478111111122</v>
      </c>
      <c r="P89" s="107">
        <f t="shared" si="77"/>
        <v>66353.294888888893</v>
      </c>
      <c r="Q89" s="107">
        <f t="shared" si="78"/>
        <v>65544.111666666664</v>
      </c>
      <c r="R89" s="107">
        <f t="shared" si="79"/>
        <v>64734.928444444442</v>
      </c>
      <c r="S89" s="107">
        <f t="shared" si="80"/>
        <v>63925.74522222222</v>
      </c>
      <c r="T89" s="107">
        <f t="shared" si="81"/>
        <v>63116.561999999998</v>
      </c>
      <c r="U89" s="107">
        <f t="shared" si="82"/>
        <v>62307.378777777776</v>
      </c>
      <c r="V89" s="107">
        <f t="shared" si="83"/>
        <v>61498.195555555554</v>
      </c>
      <c r="W89" s="107">
        <f t="shared" si="84"/>
        <v>60689.012333333332</v>
      </c>
      <c r="X89" s="107">
        <f t="shared" si="85"/>
        <v>59879.82911111111</v>
      </c>
      <c r="Y89" s="107">
        <f t="shared" si="86"/>
        <v>59070.645888888888</v>
      </c>
      <c r="Z89" s="107">
        <f t="shared" si="87"/>
        <v>58261.462666666666</v>
      </c>
      <c r="AA89" s="107"/>
      <c r="AB89" s="107"/>
      <c r="AC89" s="107">
        <f t="shared" si="88"/>
        <v>9710.1986666666671</v>
      </c>
      <c r="AD89" s="107">
        <f t="shared" si="89"/>
        <v>57452.279444444444</v>
      </c>
      <c r="AE89" s="107">
        <f t="shared" si="90"/>
        <v>56643.096222222222</v>
      </c>
      <c r="AF89" s="107">
        <f t="shared" si="91"/>
        <v>55833.913</v>
      </c>
      <c r="AG89" s="107">
        <f t="shared" si="92"/>
        <v>55024.729777777779</v>
      </c>
      <c r="AH89" s="107">
        <f t="shared" si="93"/>
        <v>54215.546555555557</v>
      </c>
      <c r="AI89" s="107">
        <f t="shared" si="94"/>
        <v>53406.363333333335</v>
      </c>
      <c r="AJ89" s="107">
        <f t="shared" si="95"/>
        <v>52597.180111111113</v>
      </c>
      <c r="AK89" s="107">
        <f t="shared" si="96"/>
        <v>51787.996888888891</v>
      </c>
      <c r="AL89" s="107">
        <f t="shared" si="97"/>
        <v>50978.813666666669</v>
      </c>
      <c r="AM89" s="107">
        <f t="shared" si="98"/>
        <v>50169.630444444447</v>
      </c>
      <c r="AN89" s="107">
        <f t="shared" si="99"/>
        <v>49360.447222222225</v>
      </c>
      <c r="AO89" s="107">
        <f t="shared" si="100"/>
        <v>48551.264000000003</v>
      </c>
      <c r="AP89" s="107"/>
      <c r="AQ89" s="126"/>
      <c r="AR89" s="107">
        <f t="shared" si="101"/>
        <v>9710.1986666666671</v>
      </c>
      <c r="AS89" s="107">
        <f t="shared" si="55"/>
        <v>47742.080777777781</v>
      </c>
      <c r="AT89" s="107">
        <f t="shared" si="56"/>
        <v>46932.897555555559</v>
      </c>
      <c r="AU89" s="107">
        <f t="shared" si="57"/>
        <v>46123.714333333337</v>
      </c>
      <c r="AV89" s="107">
        <f t="shared" si="58"/>
        <v>45314.531111111115</v>
      </c>
      <c r="AW89" s="107">
        <f t="shared" si="59"/>
        <v>44505.347888888893</v>
      </c>
      <c r="AX89" s="107">
        <f t="shared" si="60"/>
        <v>43696.164666666671</v>
      </c>
      <c r="AY89" s="107">
        <f t="shared" si="61"/>
        <v>42886.981444444449</v>
      </c>
      <c r="AZ89" s="107">
        <f t="shared" si="62"/>
        <v>42077.798222222227</v>
      </c>
      <c r="BA89" s="107">
        <f t="shared" si="67"/>
        <v>41268.615000000005</v>
      </c>
      <c r="BB89" s="107">
        <f t="shared" si="68"/>
        <v>40459.431777777783</v>
      </c>
      <c r="BC89" s="107">
        <f t="shared" si="69"/>
        <v>39650.248555555561</v>
      </c>
      <c r="BD89" s="107">
        <f t="shared" si="70"/>
        <v>38841.065333333339</v>
      </c>
      <c r="BE89" s="107"/>
      <c r="BF89" s="127"/>
      <c r="BG89" s="127"/>
      <c r="BH89" s="127"/>
      <c r="BI89" s="127"/>
      <c r="BJ89" s="127"/>
      <c r="BK89" s="127"/>
      <c r="BL89" s="127"/>
      <c r="BM89" s="127"/>
      <c r="BN89" s="127"/>
      <c r="BO89" s="127"/>
      <c r="BP89" s="127"/>
      <c r="BQ89" s="127"/>
      <c r="BR89" s="127"/>
      <c r="BS89" s="127"/>
      <c r="BT89" s="127"/>
      <c r="BU89" s="127"/>
      <c r="BV89" s="127"/>
      <c r="BW89" s="127"/>
    </row>
    <row r="90" spans="1:75" ht="22.5" hidden="1" x14ac:dyDescent="0.2">
      <c r="A90" s="123" t="str">
        <f>'[2]2021 УГРЦТ'!A92</f>
        <v>Распределительный шкаф РШ-8 (Маслосепараторная (старая))</v>
      </c>
      <c r="B90" s="124" t="str">
        <f>'[2]2021 УГРЦТ'!B92</f>
        <v>000001620</v>
      </c>
      <c r="C90" s="124" t="str">
        <f>VLOOKUP(A:A,'2023-2027'!A:L,1,+FALSE)</f>
        <v>Распределительный шкаф РШ-8 (Маслосепараторная (старая))</v>
      </c>
      <c r="D90" s="124" t="str">
        <f>'[2]2021 УГРЦТ'!C92</f>
        <v>ПРОИЗВОДСТВО</v>
      </c>
      <c r="E90" s="124" t="str">
        <f>'[2]2021 УГРЦТ'!D92</f>
        <v>Машины и оборудование (кроме офисного)</v>
      </c>
      <c r="F90" s="124" t="str">
        <f>'[2]2021 УГРЦТ'!E92</f>
        <v>31.05.2014</v>
      </c>
      <c r="G90" s="124" t="str">
        <f>'[2]2021 УГРЦТ'!F92</f>
        <v>Электрический цех</v>
      </c>
      <c r="H90" s="124">
        <f>'[2]2021 УГРЦТ'!AC92</f>
        <v>180</v>
      </c>
      <c r="I90" s="107">
        <f>'[2]2021 УГРЦТ'!X92</f>
        <v>217362.39</v>
      </c>
      <c r="J90" s="107">
        <f>'[2]2021 УГРЦТ'!Y92</f>
        <v>109888.856</v>
      </c>
      <c r="K90" s="107">
        <f>'[2]2021 УГРЦТ'!Z92</f>
        <v>107473.53400000001</v>
      </c>
      <c r="L90" s="125" t="e">
        <f>SUMIF([2]облаг!$B$2:$B$259,B90,[2]облаг!$D$2:$D$259)</f>
        <v>#VALUE!</v>
      </c>
      <c r="M90" s="107">
        <f t="shared" si="74"/>
        <v>1207.5688333333335</v>
      </c>
      <c r="N90" s="107">
        <f t="shared" si="75"/>
        <v>14490.826000000001</v>
      </c>
      <c r="O90" s="107">
        <f t="shared" si="76"/>
        <v>106265.96516666668</v>
      </c>
      <c r="P90" s="107">
        <f t="shared" si="77"/>
        <v>105058.39633333334</v>
      </c>
      <c r="Q90" s="107">
        <f t="shared" si="78"/>
        <v>103850.8275</v>
      </c>
      <c r="R90" s="107">
        <f t="shared" si="79"/>
        <v>102643.25866666666</v>
      </c>
      <c r="S90" s="107">
        <f t="shared" si="80"/>
        <v>101435.68983333332</v>
      </c>
      <c r="T90" s="107">
        <f t="shared" si="81"/>
        <v>100228.12099999998</v>
      </c>
      <c r="U90" s="107">
        <f t="shared" si="82"/>
        <v>99020.552166666646</v>
      </c>
      <c r="V90" s="107">
        <f t="shared" si="83"/>
        <v>97812.983333333308</v>
      </c>
      <c r="W90" s="107">
        <f t="shared" si="84"/>
        <v>96605.41449999997</v>
      </c>
      <c r="X90" s="107">
        <f t="shared" si="85"/>
        <v>95397.845666666632</v>
      </c>
      <c r="Y90" s="107">
        <f t="shared" si="86"/>
        <v>94190.276833333293</v>
      </c>
      <c r="Z90" s="107">
        <f t="shared" si="87"/>
        <v>92982.707999999955</v>
      </c>
      <c r="AA90" s="107"/>
      <c r="AB90" s="107"/>
      <c r="AC90" s="107">
        <f t="shared" si="88"/>
        <v>14490.826000000001</v>
      </c>
      <c r="AD90" s="107">
        <f t="shared" si="89"/>
        <v>91775.139166666617</v>
      </c>
      <c r="AE90" s="107">
        <f t="shared" si="90"/>
        <v>90567.570333333279</v>
      </c>
      <c r="AF90" s="107">
        <f t="shared" si="91"/>
        <v>89360.00149999994</v>
      </c>
      <c r="AG90" s="107">
        <f t="shared" si="92"/>
        <v>88152.432666666602</v>
      </c>
      <c r="AH90" s="107">
        <f t="shared" si="93"/>
        <v>86944.863833333264</v>
      </c>
      <c r="AI90" s="107">
        <f t="shared" si="94"/>
        <v>85737.294999999925</v>
      </c>
      <c r="AJ90" s="107">
        <f t="shared" si="95"/>
        <v>84529.726166666587</v>
      </c>
      <c r="AK90" s="107">
        <f t="shared" si="96"/>
        <v>83322.157333333249</v>
      </c>
      <c r="AL90" s="107">
        <f t="shared" si="97"/>
        <v>82114.588499999911</v>
      </c>
      <c r="AM90" s="107">
        <f t="shared" si="98"/>
        <v>80907.019666666572</v>
      </c>
      <c r="AN90" s="107">
        <f t="shared" si="99"/>
        <v>79699.450833333234</v>
      </c>
      <c r="AO90" s="107">
        <f t="shared" si="100"/>
        <v>78491.881999999896</v>
      </c>
      <c r="AP90" s="107"/>
      <c r="AQ90" s="126"/>
      <c r="AR90" s="107">
        <f t="shared" si="101"/>
        <v>14490.826000000001</v>
      </c>
      <c r="AS90" s="107">
        <f t="shared" si="55"/>
        <v>77284.313166666558</v>
      </c>
      <c r="AT90" s="107">
        <f t="shared" si="56"/>
        <v>76076.744333333219</v>
      </c>
      <c r="AU90" s="107">
        <f t="shared" si="57"/>
        <v>74869.175499999881</v>
      </c>
      <c r="AV90" s="107">
        <f t="shared" si="58"/>
        <v>73661.606666666543</v>
      </c>
      <c r="AW90" s="107">
        <f t="shared" si="59"/>
        <v>72454.037833333205</v>
      </c>
      <c r="AX90" s="107">
        <f t="shared" si="60"/>
        <v>71246.468999999866</v>
      </c>
      <c r="AY90" s="107">
        <f t="shared" si="61"/>
        <v>70038.900166666528</v>
      </c>
      <c r="AZ90" s="107">
        <f t="shared" si="62"/>
        <v>68831.33133333319</v>
      </c>
      <c r="BA90" s="107">
        <f t="shared" si="67"/>
        <v>67623.762499999852</v>
      </c>
      <c r="BB90" s="107">
        <f t="shared" si="68"/>
        <v>66416.193666666513</v>
      </c>
      <c r="BC90" s="107">
        <f t="shared" si="69"/>
        <v>65208.624833333182</v>
      </c>
      <c r="BD90" s="107">
        <f t="shared" si="70"/>
        <v>64001.055999999851</v>
      </c>
      <c r="BE90" s="107"/>
      <c r="BF90" s="127"/>
      <c r="BG90" s="127"/>
      <c r="BH90" s="127"/>
      <c r="BI90" s="127"/>
      <c r="BJ90" s="127"/>
      <c r="BK90" s="127"/>
      <c r="BL90" s="127"/>
      <c r="BM90" s="127"/>
      <c r="BN90" s="127"/>
      <c r="BO90" s="127"/>
      <c r="BP90" s="127"/>
      <c r="BQ90" s="127"/>
      <c r="BR90" s="127"/>
      <c r="BS90" s="127"/>
      <c r="BT90" s="127"/>
      <c r="BU90" s="127"/>
      <c r="BV90" s="127"/>
      <c r="BW90" s="127"/>
    </row>
    <row r="91" spans="1:75" hidden="1" x14ac:dyDescent="0.2">
      <c r="A91" s="123" t="str">
        <f>'[2]2021 УГРЦТ'!A93</f>
        <v>Распределительный шкаф РШ-9</v>
      </c>
      <c r="B91" s="124" t="str">
        <f>'[2]2021 УГРЦТ'!B93</f>
        <v>000001658</v>
      </c>
      <c r="C91" s="124" t="str">
        <f>VLOOKUP(A:A,'2023-2027'!A:L,1,+FALSE)</f>
        <v>Распределительный шкаф РШ-9</v>
      </c>
      <c r="D91" s="124" t="str">
        <f>'[2]2021 УГРЦТ'!C93</f>
        <v>ПРОИЗВОДСТВО</v>
      </c>
      <c r="E91" s="124" t="str">
        <f>'[2]2021 УГРЦТ'!D93</f>
        <v>Машины и оборудование (кроме офисного)</v>
      </c>
      <c r="F91" s="124" t="str">
        <f>'[2]2021 УГРЦТ'!E93</f>
        <v>30.06.2015</v>
      </c>
      <c r="G91" s="124" t="str">
        <f>'[2]2021 УГРЦТ'!F93</f>
        <v>Электрический цех</v>
      </c>
      <c r="H91" s="124">
        <f>'[2]2021 УГРЦТ'!AC93</f>
        <v>180</v>
      </c>
      <c r="I91" s="107">
        <f>'[2]2021 УГРЦТ'!X93</f>
        <v>135158.97</v>
      </c>
      <c r="J91" s="107">
        <f>'[2]2021 УГРЦТ'!Y93</f>
        <v>58568.678</v>
      </c>
      <c r="K91" s="107">
        <f>'[2]2021 УГРЦТ'!Z93</f>
        <v>76590.292000000001</v>
      </c>
      <c r="L91" s="125" t="e">
        <f>SUMIF([2]облаг!$B$2:$B$259,B91,[2]облаг!$D$2:$D$259)</f>
        <v>#VALUE!</v>
      </c>
      <c r="M91" s="107">
        <f t="shared" si="74"/>
        <v>750.88316666666663</v>
      </c>
      <c r="N91" s="107">
        <f t="shared" si="75"/>
        <v>9010.598</v>
      </c>
      <c r="O91" s="107">
        <f t="shared" si="76"/>
        <v>75839.408833333335</v>
      </c>
      <c r="P91" s="107">
        <f t="shared" si="77"/>
        <v>75088.525666666668</v>
      </c>
      <c r="Q91" s="107">
        <f t="shared" si="78"/>
        <v>74337.642500000002</v>
      </c>
      <c r="R91" s="107">
        <f t="shared" si="79"/>
        <v>73586.759333333335</v>
      </c>
      <c r="S91" s="107">
        <f t="shared" si="80"/>
        <v>72835.876166666669</v>
      </c>
      <c r="T91" s="107">
        <f t="shared" si="81"/>
        <v>72084.993000000002</v>
      </c>
      <c r="U91" s="107">
        <f t="shared" si="82"/>
        <v>71334.109833333336</v>
      </c>
      <c r="V91" s="107">
        <f t="shared" si="83"/>
        <v>70583.226666666669</v>
      </c>
      <c r="W91" s="107">
        <f t="shared" si="84"/>
        <v>69832.343500000003</v>
      </c>
      <c r="X91" s="107">
        <f t="shared" si="85"/>
        <v>69081.460333333336</v>
      </c>
      <c r="Y91" s="107">
        <f t="shared" si="86"/>
        <v>68330.57716666667</v>
      </c>
      <c r="Z91" s="107">
        <f t="shared" si="87"/>
        <v>67579.694000000003</v>
      </c>
      <c r="AA91" s="107"/>
      <c r="AB91" s="107"/>
      <c r="AC91" s="107">
        <f t="shared" si="88"/>
        <v>9010.598</v>
      </c>
      <c r="AD91" s="107">
        <f t="shared" si="89"/>
        <v>66828.810833333337</v>
      </c>
      <c r="AE91" s="107">
        <f t="shared" si="90"/>
        <v>66077.92766666667</v>
      </c>
      <c r="AF91" s="107">
        <f t="shared" si="91"/>
        <v>65327.044500000004</v>
      </c>
      <c r="AG91" s="107">
        <f t="shared" si="92"/>
        <v>64576.161333333337</v>
      </c>
      <c r="AH91" s="107">
        <f t="shared" si="93"/>
        <v>63825.278166666671</v>
      </c>
      <c r="AI91" s="107">
        <f t="shared" si="94"/>
        <v>63074.395000000004</v>
      </c>
      <c r="AJ91" s="107">
        <f t="shared" si="95"/>
        <v>62323.511833333338</v>
      </c>
      <c r="AK91" s="107">
        <f t="shared" si="96"/>
        <v>61572.628666666671</v>
      </c>
      <c r="AL91" s="107">
        <f t="shared" si="97"/>
        <v>60821.745500000005</v>
      </c>
      <c r="AM91" s="107">
        <f t="shared" si="98"/>
        <v>60070.862333333338</v>
      </c>
      <c r="AN91" s="107">
        <f t="shared" si="99"/>
        <v>59319.979166666672</v>
      </c>
      <c r="AO91" s="107">
        <f t="shared" si="100"/>
        <v>58569.096000000005</v>
      </c>
      <c r="AP91" s="107"/>
      <c r="AQ91" s="126"/>
      <c r="AR91" s="107">
        <f t="shared" si="101"/>
        <v>9010.598</v>
      </c>
      <c r="AS91" s="107">
        <f t="shared" si="55"/>
        <v>57818.212833333338</v>
      </c>
      <c r="AT91" s="107">
        <f t="shared" si="56"/>
        <v>57067.329666666672</v>
      </c>
      <c r="AU91" s="107">
        <f t="shared" si="57"/>
        <v>56316.446500000005</v>
      </c>
      <c r="AV91" s="107">
        <f t="shared" si="58"/>
        <v>55565.563333333339</v>
      </c>
      <c r="AW91" s="107">
        <f t="shared" si="59"/>
        <v>54814.680166666672</v>
      </c>
      <c r="AX91" s="107">
        <f t="shared" si="60"/>
        <v>54063.797000000006</v>
      </c>
      <c r="AY91" s="107">
        <f t="shared" si="61"/>
        <v>53312.913833333339</v>
      </c>
      <c r="AZ91" s="107">
        <f t="shared" si="62"/>
        <v>52562.030666666673</v>
      </c>
      <c r="BA91" s="107">
        <f t="shared" si="67"/>
        <v>51811.147500000006</v>
      </c>
      <c r="BB91" s="107">
        <f t="shared" si="68"/>
        <v>51060.26433333334</v>
      </c>
      <c r="BC91" s="107">
        <f t="shared" si="69"/>
        <v>50309.381166666673</v>
      </c>
      <c r="BD91" s="107">
        <f t="shared" si="70"/>
        <v>49558.498000000007</v>
      </c>
      <c r="BE91" s="107"/>
      <c r="BF91" s="127"/>
      <c r="BG91" s="127"/>
      <c r="BH91" s="127"/>
      <c r="BI91" s="127"/>
      <c r="BJ91" s="127"/>
      <c r="BK91" s="127"/>
      <c r="BL91" s="127"/>
      <c r="BM91" s="127"/>
      <c r="BN91" s="127"/>
      <c r="BO91" s="127"/>
      <c r="BP91" s="127"/>
      <c r="BQ91" s="127"/>
      <c r="BR91" s="127"/>
      <c r="BS91" s="127"/>
      <c r="BT91" s="127"/>
      <c r="BU91" s="127"/>
      <c r="BV91" s="127"/>
      <c r="BW91" s="127"/>
    </row>
    <row r="92" spans="1:75" ht="33.75" hidden="1" x14ac:dyDescent="0.2">
      <c r="A92" s="123" t="str">
        <f>'[2]2021 УГРЦТ'!A94</f>
        <v>РВС-400 (резервуар вертикальный стальной объемом 400 м3)</v>
      </c>
      <c r="B92" s="124" t="str">
        <f>'[2]2021 УГРЦТ'!B94</f>
        <v>000001784</v>
      </c>
      <c r="C92" s="124" t="str">
        <f>VLOOKUP(A:A,'2023-2027'!A:L,1,+FALSE)</f>
        <v>РВС-400 (резервуар вертикальный стальной объемом 400 м3)</v>
      </c>
      <c r="D92" s="124" t="str">
        <f>'[2]2021 УГРЦТ'!C94</f>
        <v>ПРОИЗВОДСТВО</v>
      </c>
      <c r="E92" s="124" t="str">
        <f>'[2]2021 УГРЦТ'!D94</f>
        <v>Сооружения</v>
      </c>
      <c r="F92" s="124" t="str">
        <f>'[2]2021 УГРЦТ'!E94</f>
        <v>17.12.2019</v>
      </c>
      <c r="G92" s="124" t="str">
        <f>'[2]2021 УГРЦТ'!F94</f>
        <v>Тепломеханический цех</v>
      </c>
      <c r="H92" s="124">
        <f>'[2]2021 УГРЦТ'!AC94</f>
        <v>120</v>
      </c>
      <c r="I92" s="107">
        <f>'[2]2021 УГРЦТ'!X94</f>
        <v>16224413.98</v>
      </c>
      <c r="J92" s="107">
        <f>'[2]2021 УГРЦТ'!Y94</f>
        <v>3244882.7979999995</v>
      </c>
      <c r="K92" s="107">
        <f>'[2]2021 УГРЦТ'!Z94</f>
        <v>12979531.182</v>
      </c>
      <c r="L92" s="125" t="e">
        <f>SUMIF([2]облаг!$B$2:$B$259,B92,[2]облаг!$D$2:$D$259)</f>
        <v>#VALUE!</v>
      </c>
      <c r="M92" s="107">
        <f t="shared" si="74"/>
        <v>135203.44983333335</v>
      </c>
      <c r="N92" s="107">
        <f t="shared" si="75"/>
        <v>1622441.398</v>
      </c>
      <c r="O92" s="107">
        <f t="shared" si="76"/>
        <v>12844327.732166667</v>
      </c>
      <c r="P92" s="107">
        <f t="shared" si="77"/>
        <v>12709124.282333333</v>
      </c>
      <c r="Q92" s="107">
        <f t="shared" si="78"/>
        <v>12573920.8325</v>
      </c>
      <c r="R92" s="107">
        <f t="shared" si="79"/>
        <v>12438717.382666666</v>
      </c>
      <c r="S92" s="107">
        <f t="shared" si="80"/>
        <v>12303513.932833333</v>
      </c>
      <c r="T92" s="107">
        <f t="shared" si="81"/>
        <v>12168310.482999999</v>
      </c>
      <c r="U92" s="107">
        <f t="shared" si="82"/>
        <v>12033107.033166666</v>
      </c>
      <c r="V92" s="107">
        <f t="shared" si="83"/>
        <v>11897903.583333332</v>
      </c>
      <c r="W92" s="107">
        <f t="shared" si="84"/>
        <v>11762700.133499999</v>
      </c>
      <c r="X92" s="107">
        <f t="shared" si="85"/>
        <v>11627496.683666665</v>
      </c>
      <c r="Y92" s="107">
        <f t="shared" si="86"/>
        <v>11492293.233833332</v>
      </c>
      <c r="Z92" s="107">
        <f t="shared" si="87"/>
        <v>11357089.783999998</v>
      </c>
      <c r="AA92" s="107">
        <f>SUM(O92:Z92,K92)/13*$AA$2</f>
        <v>267702.83062599995</v>
      </c>
      <c r="AB92" s="107"/>
      <c r="AC92" s="107">
        <f t="shared" si="88"/>
        <v>1622441.398</v>
      </c>
      <c r="AD92" s="107">
        <f t="shared" si="89"/>
        <v>11221886.334166665</v>
      </c>
      <c r="AE92" s="107">
        <f t="shared" si="90"/>
        <v>11086682.884333331</v>
      </c>
      <c r="AF92" s="107">
        <f t="shared" si="91"/>
        <v>10951479.434499998</v>
      </c>
      <c r="AG92" s="107">
        <f t="shared" si="92"/>
        <v>10816275.984666664</v>
      </c>
      <c r="AH92" s="107">
        <f t="shared" si="93"/>
        <v>10681072.534833331</v>
      </c>
      <c r="AI92" s="107">
        <f t="shared" si="94"/>
        <v>10545869.084999997</v>
      </c>
      <c r="AJ92" s="107">
        <f t="shared" si="95"/>
        <v>10410665.635166664</v>
      </c>
      <c r="AK92" s="107">
        <f t="shared" si="96"/>
        <v>10275462.18533333</v>
      </c>
      <c r="AL92" s="107">
        <f t="shared" si="97"/>
        <v>10140258.735499997</v>
      </c>
      <c r="AM92" s="107">
        <f t="shared" si="98"/>
        <v>10005055.285666663</v>
      </c>
      <c r="AN92" s="107">
        <f t="shared" si="99"/>
        <v>9869851.8358333297</v>
      </c>
      <c r="AO92" s="107">
        <f t="shared" si="100"/>
        <v>9734648.3859999962</v>
      </c>
      <c r="AP92" s="107">
        <f t="shared" ref="AP92:AP93" si="105">SUM(AD92:AO92,Z92)/13*$AP$2</f>
        <v>232009.11986999988</v>
      </c>
      <c r="AQ92" s="126"/>
      <c r="AR92" s="107">
        <f t="shared" si="101"/>
        <v>1622441.398</v>
      </c>
      <c r="AS92" s="107">
        <f t="shared" si="55"/>
        <v>9599444.9361666627</v>
      </c>
      <c r="AT92" s="107">
        <f t="shared" si="56"/>
        <v>9464241.4863333292</v>
      </c>
      <c r="AU92" s="107">
        <f t="shared" si="57"/>
        <v>9329038.0364999957</v>
      </c>
      <c r="AV92" s="107">
        <f t="shared" si="58"/>
        <v>9193834.5866666622</v>
      </c>
      <c r="AW92" s="107">
        <f t="shared" si="59"/>
        <v>9058631.1368333288</v>
      </c>
      <c r="AX92" s="107">
        <f t="shared" si="60"/>
        <v>8923427.6869999953</v>
      </c>
      <c r="AY92" s="107">
        <f t="shared" si="61"/>
        <v>8788224.2371666618</v>
      </c>
      <c r="AZ92" s="107">
        <f t="shared" si="62"/>
        <v>8653020.7873333283</v>
      </c>
      <c r="BA92" s="107">
        <f t="shared" si="67"/>
        <v>8517817.3374999948</v>
      </c>
      <c r="BB92" s="107">
        <f t="shared" si="68"/>
        <v>8382613.8876666613</v>
      </c>
      <c r="BC92" s="107">
        <f t="shared" si="69"/>
        <v>8247410.4378333278</v>
      </c>
      <c r="BD92" s="107">
        <f t="shared" si="70"/>
        <v>8112206.9879999943</v>
      </c>
      <c r="BE92" s="107">
        <f>SUM(AS92:BD92,AO92)/13*$BE$2</f>
        <v>196315.40911399983</v>
      </c>
      <c r="BF92" s="127"/>
      <c r="BG92" s="127"/>
      <c r="BH92" s="127"/>
      <c r="BI92" s="127"/>
      <c r="BJ92" s="127"/>
      <c r="BK92" s="127"/>
      <c r="BL92" s="127"/>
      <c r="BM92" s="127"/>
      <c r="BN92" s="127"/>
      <c r="BO92" s="127"/>
      <c r="BP92" s="127"/>
      <c r="BQ92" s="127"/>
      <c r="BR92" s="127"/>
      <c r="BS92" s="127"/>
      <c r="BT92" s="127"/>
      <c r="BU92" s="127"/>
      <c r="BV92" s="127"/>
      <c r="BW92" s="127"/>
    </row>
    <row r="93" spans="1:75" ht="22.5" hidden="1" x14ac:dyDescent="0.2">
      <c r="A93" s="123" t="str">
        <f>'[2]2021 УГРЦТ'!A95</f>
        <v>Резервуар горизонтальный стальной, РГСН-10м3</v>
      </c>
      <c r="B93" s="124" t="str">
        <f>'[2]2021 УГРЦТ'!B95</f>
        <v>000001831</v>
      </c>
      <c r="C93" s="124" t="str">
        <f>VLOOKUP(A:A,'2023-2027'!A:L,1,+FALSE)</f>
        <v>Резервуар горизонтальный стальной, РГСН-10м3</v>
      </c>
      <c r="D93" s="124" t="str">
        <f>'[2]2021 УГРЦТ'!C95</f>
        <v>ПРОИЗВОДСТВО</v>
      </c>
      <c r="E93" s="124" t="str">
        <f>'[2]2021 УГРЦТ'!D95</f>
        <v>Сооружения</v>
      </c>
      <c r="F93" s="124" t="str">
        <f>'[2]2021 УГРЦТ'!E95</f>
        <v>30.12.2020</v>
      </c>
      <c r="G93" s="124" t="str">
        <f>'[2]2021 УГРЦТ'!F95</f>
        <v>ДЭС п.Красное</v>
      </c>
      <c r="H93" s="124">
        <f>'[2]2021 УГРЦТ'!AC95</f>
        <v>180</v>
      </c>
      <c r="I93" s="107">
        <f>'[2]2021 УГРЦТ'!X95</f>
        <v>688417.26</v>
      </c>
      <c r="J93" s="107">
        <f>'[2]2021 УГРЦТ'!Y95</f>
        <v>45894.483999999997</v>
      </c>
      <c r="K93" s="107">
        <f>'[2]2021 УГРЦТ'!Z95</f>
        <v>642522.77600000007</v>
      </c>
      <c r="L93" s="125" t="e">
        <f>SUMIF([2]облаг!$B$2:$B$259,B93,[2]облаг!$D$2:$D$259)</f>
        <v>#VALUE!</v>
      </c>
      <c r="M93" s="107">
        <f t="shared" si="74"/>
        <v>3824.5403333333334</v>
      </c>
      <c r="N93" s="107">
        <f t="shared" si="75"/>
        <v>45894.483999999997</v>
      </c>
      <c r="O93" s="107">
        <f t="shared" si="76"/>
        <v>638698.23566666676</v>
      </c>
      <c r="P93" s="107">
        <f t="shared" si="77"/>
        <v>634873.69533333345</v>
      </c>
      <c r="Q93" s="107">
        <f t="shared" si="78"/>
        <v>631049.15500000014</v>
      </c>
      <c r="R93" s="107">
        <f t="shared" si="79"/>
        <v>627224.61466666684</v>
      </c>
      <c r="S93" s="107">
        <f t="shared" si="80"/>
        <v>623400.07433333353</v>
      </c>
      <c r="T93" s="107">
        <f t="shared" si="81"/>
        <v>619575.53400000022</v>
      </c>
      <c r="U93" s="107">
        <f t="shared" si="82"/>
        <v>615750.99366666691</v>
      </c>
      <c r="V93" s="107">
        <f t="shared" si="83"/>
        <v>611926.4533333336</v>
      </c>
      <c r="W93" s="107">
        <f t="shared" si="84"/>
        <v>608101.91300000029</v>
      </c>
      <c r="X93" s="107">
        <f t="shared" si="85"/>
        <v>604277.37266666698</v>
      </c>
      <c r="Y93" s="107">
        <f t="shared" si="86"/>
        <v>600452.83233333367</v>
      </c>
      <c r="Z93" s="107">
        <f t="shared" si="87"/>
        <v>596628.29200000037</v>
      </c>
      <c r="AA93" s="107">
        <f>SUM(O93:Z93,K93)/13*$AA$2</f>
        <v>13630.661748000004</v>
      </c>
      <c r="AB93" s="107"/>
      <c r="AC93" s="107">
        <f t="shared" si="88"/>
        <v>45894.483999999997</v>
      </c>
      <c r="AD93" s="107">
        <f t="shared" si="89"/>
        <v>592803.75166666706</v>
      </c>
      <c r="AE93" s="107">
        <f t="shared" si="90"/>
        <v>588979.21133333375</v>
      </c>
      <c r="AF93" s="107">
        <f t="shared" si="91"/>
        <v>585154.67100000044</v>
      </c>
      <c r="AG93" s="107">
        <f t="shared" si="92"/>
        <v>581330.13066666713</v>
      </c>
      <c r="AH93" s="107">
        <f t="shared" si="93"/>
        <v>577505.59033333382</v>
      </c>
      <c r="AI93" s="107">
        <f t="shared" si="94"/>
        <v>573681.05000000051</v>
      </c>
      <c r="AJ93" s="107">
        <f t="shared" si="95"/>
        <v>569856.5096666672</v>
      </c>
      <c r="AK93" s="107">
        <f t="shared" si="96"/>
        <v>566031.96933333389</v>
      </c>
      <c r="AL93" s="107">
        <f t="shared" si="97"/>
        <v>562207.42900000059</v>
      </c>
      <c r="AM93" s="107">
        <f t="shared" si="98"/>
        <v>558382.88866666728</v>
      </c>
      <c r="AN93" s="107">
        <f t="shared" si="99"/>
        <v>554558.34833333397</v>
      </c>
      <c r="AO93" s="107">
        <f t="shared" si="100"/>
        <v>550733.80800000066</v>
      </c>
      <c r="AP93" s="107">
        <f t="shared" si="105"/>
        <v>12620.98310000001</v>
      </c>
      <c r="AQ93" s="126"/>
      <c r="AR93" s="107">
        <f t="shared" si="101"/>
        <v>45894.483999999997</v>
      </c>
      <c r="AS93" s="107">
        <f t="shared" si="55"/>
        <v>546909.26766666735</v>
      </c>
      <c r="AT93" s="107">
        <f t="shared" si="56"/>
        <v>543084.72733333404</v>
      </c>
      <c r="AU93" s="107">
        <f t="shared" si="57"/>
        <v>539260.18700000073</v>
      </c>
      <c r="AV93" s="107">
        <f t="shared" si="58"/>
        <v>535435.64666666742</v>
      </c>
      <c r="AW93" s="107">
        <f t="shared" si="59"/>
        <v>531611.10633333412</v>
      </c>
      <c r="AX93" s="107">
        <f t="shared" si="60"/>
        <v>527786.56600000081</v>
      </c>
      <c r="AY93" s="107">
        <f t="shared" si="61"/>
        <v>523962.0256666675</v>
      </c>
      <c r="AZ93" s="107">
        <f t="shared" si="62"/>
        <v>520137.48533333419</v>
      </c>
      <c r="BA93" s="107">
        <f t="shared" si="67"/>
        <v>516312.94500000088</v>
      </c>
      <c r="BB93" s="107">
        <f t="shared" si="68"/>
        <v>512488.40466666757</v>
      </c>
      <c r="BC93" s="107">
        <f t="shared" si="69"/>
        <v>508663.86433333426</v>
      </c>
      <c r="BD93" s="107">
        <f t="shared" si="70"/>
        <v>504839.32400000095</v>
      </c>
      <c r="BE93" s="107">
        <f>SUM(AS93:BD93,AO93)/13*$BE$2</f>
        <v>11611.30445200002</v>
      </c>
      <c r="BF93" s="127"/>
      <c r="BG93" s="127"/>
      <c r="BH93" s="127"/>
      <c r="BI93" s="127"/>
      <c r="BJ93" s="127"/>
      <c r="BK93" s="127"/>
      <c r="BL93" s="127"/>
      <c r="BM93" s="127"/>
      <c r="BN93" s="127"/>
      <c r="BO93" s="127"/>
      <c r="BP93" s="127"/>
      <c r="BQ93" s="127"/>
      <c r="BR93" s="127"/>
      <c r="BS93" s="127"/>
      <c r="BT93" s="127"/>
      <c r="BU93" s="127"/>
      <c r="BV93" s="127"/>
      <c r="BW93" s="127"/>
    </row>
    <row r="94" spans="1:75" hidden="1" x14ac:dyDescent="0.2">
      <c r="A94" s="123" t="str">
        <f>'[2]2021 УГРЦТ'!A96</f>
        <v>Ресивер</v>
      </c>
      <c r="B94" s="124" t="str">
        <f>'[2]2021 УГРЦТ'!B96</f>
        <v>00001187</v>
      </c>
      <c r="C94" s="124" t="str">
        <f>VLOOKUP(A:A,'2023-2027'!A:L,1,+FALSE)</f>
        <v>Ресивер</v>
      </c>
      <c r="D94" s="124" t="str">
        <f>'[2]2021 УГРЦТ'!C96</f>
        <v>ПРОИЗВОДСТВО</v>
      </c>
      <c r="E94" s="124" t="str">
        <f>'[2]2021 УГРЦТ'!D96</f>
        <v>Машины и оборудование (кроме офисного)</v>
      </c>
      <c r="F94" s="124" t="str">
        <f>'[2]2021 УГРЦТ'!E96</f>
        <v>31.03.2010</v>
      </c>
      <c r="G94" s="124" t="str">
        <f>'[2]2021 УГРЦТ'!F96</f>
        <v>Газотурбинный цех</v>
      </c>
      <c r="H94" s="124">
        <f>'[2]2021 УГРЦТ'!AC96</f>
        <v>180</v>
      </c>
      <c r="I94" s="107">
        <v>310000</v>
      </c>
      <c r="J94" s="107">
        <v>242833.04666666666</v>
      </c>
      <c r="K94" s="107">
        <v>67166.953333333338</v>
      </c>
      <c r="L94" s="125" t="e">
        <f>SUMIF([2]облаг!$B$2:$B$259,B94,[2]облаг!$D$2:$D$259)</f>
        <v>#VALUE!</v>
      </c>
      <c r="M94" s="107">
        <f t="shared" si="74"/>
        <v>1722.2222222222222</v>
      </c>
      <c r="N94" s="107">
        <f t="shared" si="75"/>
        <v>20666.666666666664</v>
      </c>
      <c r="O94" s="107">
        <f t="shared" si="76"/>
        <v>65444.731111111119</v>
      </c>
      <c r="P94" s="107">
        <f t="shared" si="77"/>
        <v>63722.5088888889</v>
      </c>
      <c r="Q94" s="107">
        <f t="shared" si="78"/>
        <v>62000.286666666681</v>
      </c>
      <c r="R94" s="107">
        <f t="shared" si="79"/>
        <v>60278.064444444462</v>
      </c>
      <c r="S94" s="107">
        <f t="shared" si="80"/>
        <v>58555.842222222243</v>
      </c>
      <c r="T94" s="107">
        <f t="shared" si="81"/>
        <v>56833.620000000024</v>
      </c>
      <c r="U94" s="107">
        <f t="shared" si="82"/>
        <v>55111.397777777805</v>
      </c>
      <c r="V94" s="107">
        <f t="shared" si="83"/>
        <v>53389.175555555586</v>
      </c>
      <c r="W94" s="107">
        <f t="shared" si="84"/>
        <v>51666.953333333367</v>
      </c>
      <c r="X94" s="107">
        <f t="shared" si="85"/>
        <v>49944.731111111148</v>
      </c>
      <c r="Y94" s="107">
        <f t="shared" si="86"/>
        <v>48222.50888888893</v>
      </c>
      <c r="Z94" s="107">
        <f t="shared" si="87"/>
        <v>46500.286666666711</v>
      </c>
      <c r="AA94" s="107"/>
      <c r="AB94" s="107"/>
      <c r="AC94" s="107">
        <f t="shared" si="88"/>
        <v>20666.666666666664</v>
      </c>
      <c r="AD94" s="107">
        <f t="shared" si="89"/>
        <v>44778.064444444492</v>
      </c>
      <c r="AE94" s="107">
        <f t="shared" si="90"/>
        <v>43055.842222222273</v>
      </c>
      <c r="AF94" s="107">
        <f t="shared" si="91"/>
        <v>41333.620000000054</v>
      </c>
      <c r="AG94" s="107">
        <f t="shared" si="92"/>
        <v>39611.397777777835</v>
      </c>
      <c r="AH94" s="107">
        <f t="shared" si="93"/>
        <v>37889.175555555616</v>
      </c>
      <c r="AI94" s="107">
        <f t="shared" si="94"/>
        <v>36166.953333333397</v>
      </c>
      <c r="AJ94" s="107">
        <f t="shared" si="95"/>
        <v>34444.731111111178</v>
      </c>
      <c r="AK94" s="107">
        <f t="shared" si="96"/>
        <v>32722.508888888955</v>
      </c>
      <c r="AL94" s="107">
        <f t="shared" si="97"/>
        <v>31000.286666666732</v>
      </c>
      <c r="AM94" s="107">
        <f t="shared" si="98"/>
        <v>29278.06444444451</v>
      </c>
      <c r="AN94" s="107">
        <f t="shared" si="99"/>
        <v>27555.842222222287</v>
      </c>
      <c r="AO94" s="107">
        <f t="shared" si="100"/>
        <v>25833.620000000064</v>
      </c>
      <c r="AP94" s="107"/>
      <c r="AQ94" s="126"/>
      <c r="AR94" s="107">
        <f t="shared" si="101"/>
        <v>20666.666666666664</v>
      </c>
      <c r="AS94" s="107">
        <f t="shared" si="55"/>
        <v>24111.397777777842</v>
      </c>
      <c r="AT94" s="107">
        <f t="shared" si="56"/>
        <v>22389.175555555619</v>
      </c>
      <c r="AU94" s="107">
        <f t="shared" si="57"/>
        <v>20666.953333333397</v>
      </c>
      <c r="AV94" s="107">
        <f t="shared" si="58"/>
        <v>18944.731111111174</v>
      </c>
      <c r="AW94" s="107">
        <f t="shared" si="59"/>
        <v>17222.508888888951</v>
      </c>
      <c r="AX94" s="107">
        <f t="shared" si="60"/>
        <v>15500.286666666729</v>
      </c>
      <c r="AY94" s="107">
        <f t="shared" si="61"/>
        <v>13778.064444444506</v>
      </c>
      <c r="AZ94" s="107">
        <f t="shared" si="62"/>
        <v>12055.842222222283</v>
      </c>
      <c r="BA94" s="107">
        <f t="shared" si="67"/>
        <v>10333.620000000061</v>
      </c>
      <c r="BB94" s="107">
        <f t="shared" si="68"/>
        <v>8611.3977777778382</v>
      </c>
      <c r="BC94" s="107">
        <f t="shared" si="69"/>
        <v>6889.1755555556156</v>
      </c>
      <c r="BD94" s="107">
        <f t="shared" si="70"/>
        <v>5166.9533333333929</v>
      </c>
      <c r="BE94" s="107"/>
      <c r="BF94" s="127"/>
      <c r="BG94" s="127"/>
      <c r="BI94" s="127"/>
      <c r="BJ94" s="127"/>
      <c r="BK94" s="127"/>
      <c r="BL94" s="127"/>
      <c r="BM94" s="127"/>
      <c r="BN94" s="127"/>
      <c r="BO94" s="127"/>
      <c r="BP94" s="127"/>
      <c r="BQ94" s="127"/>
      <c r="BR94" s="127"/>
      <c r="BS94" s="127"/>
      <c r="BT94" s="127"/>
      <c r="BU94" s="127"/>
      <c r="BV94" s="127"/>
    </row>
    <row r="95" spans="1:75" ht="33.75" hidden="1" x14ac:dyDescent="0.2">
      <c r="A95" s="123" t="str">
        <f>'[2]2021 УГРЦТ'!A97</f>
        <v>Рефлектометр импульсный РИ-307 с программным обеспечением IRView 5,0</v>
      </c>
      <c r="B95" s="124" t="str">
        <f>'[2]2021 УГРЦТ'!B97</f>
        <v>000001663</v>
      </c>
      <c r="C95" s="124" t="str">
        <f>VLOOKUP(A:A,'2023-2027'!A:L,1,+FALSE)</f>
        <v>Рефлектометр импульсный РИ-307 с программным обеспечением IRView 5,0</v>
      </c>
      <c r="D95" s="124" t="str">
        <f>'[2]2021 УГРЦТ'!C97</f>
        <v>ПРОИЗВОДСТВО</v>
      </c>
      <c r="E95" s="124" t="str">
        <f>'[2]2021 УГРЦТ'!D97</f>
        <v>Машины и оборудование (кроме офисного)</v>
      </c>
      <c r="F95" s="124" t="str">
        <f>'[2]2021 УГРЦТ'!E97</f>
        <v>30.09.2015</v>
      </c>
      <c r="G95" s="124" t="str">
        <f>'[2]2021 УГРЦТ'!F97</f>
        <v>Электрический цех</v>
      </c>
      <c r="H95" s="124">
        <f>'[2]2021 УГРЦТ'!AC97</f>
        <v>120</v>
      </c>
      <c r="I95" s="107">
        <f>'[2]2021 УГРЦТ'!X97</f>
        <v>88799.57</v>
      </c>
      <c r="J95" s="107">
        <f>'[2]2021 УГРЦТ'!Y97</f>
        <v>55499.957000000002</v>
      </c>
      <c r="K95" s="107">
        <f>'[2]2021 УГРЦТ'!Z97</f>
        <v>33299.613000000005</v>
      </c>
      <c r="L95" s="125" t="e">
        <f>SUMIF([2]облаг!$B$2:$B$259,B95,[2]облаг!$D$2:$D$259)</f>
        <v>#VALUE!</v>
      </c>
      <c r="M95" s="107">
        <f t="shared" si="74"/>
        <v>739.99641666666673</v>
      </c>
      <c r="N95" s="107">
        <f t="shared" si="75"/>
        <v>8879.9570000000003</v>
      </c>
      <c r="O95" s="107">
        <f t="shared" si="76"/>
        <v>32559.61658333334</v>
      </c>
      <c r="P95" s="107">
        <f t="shared" si="77"/>
        <v>31819.620166666675</v>
      </c>
      <c r="Q95" s="107">
        <f t="shared" si="78"/>
        <v>31079.62375000001</v>
      </c>
      <c r="R95" s="107">
        <f t="shared" si="79"/>
        <v>30339.627333333345</v>
      </c>
      <c r="S95" s="107">
        <f t="shared" si="80"/>
        <v>29599.63091666668</v>
      </c>
      <c r="T95" s="107">
        <f t="shared" si="81"/>
        <v>28859.634500000015</v>
      </c>
      <c r="U95" s="107">
        <f t="shared" si="82"/>
        <v>28119.63808333335</v>
      </c>
      <c r="V95" s="107">
        <f t="shared" si="83"/>
        <v>27379.641666666685</v>
      </c>
      <c r="W95" s="107">
        <f t="shared" si="84"/>
        <v>26639.64525000002</v>
      </c>
      <c r="X95" s="107">
        <f t="shared" si="85"/>
        <v>25899.648833333355</v>
      </c>
      <c r="Y95" s="107">
        <f t="shared" si="86"/>
        <v>25159.65241666669</v>
      </c>
      <c r="Z95" s="107">
        <f t="shared" si="87"/>
        <v>24419.656000000025</v>
      </c>
      <c r="AA95" s="107"/>
      <c r="AB95" s="107"/>
      <c r="AC95" s="107">
        <f t="shared" si="88"/>
        <v>8879.9570000000003</v>
      </c>
      <c r="AD95" s="107">
        <f t="shared" si="89"/>
        <v>23679.659583333359</v>
      </c>
      <c r="AE95" s="107">
        <f t="shared" si="90"/>
        <v>22939.663166666694</v>
      </c>
      <c r="AF95" s="107">
        <f t="shared" si="91"/>
        <v>22199.666750000029</v>
      </c>
      <c r="AG95" s="107">
        <f t="shared" si="92"/>
        <v>21459.670333333364</v>
      </c>
      <c r="AH95" s="107">
        <f t="shared" si="93"/>
        <v>20719.673916666699</v>
      </c>
      <c r="AI95" s="107">
        <f t="shared" si="94"/>
        <v>19979.677500000034</v>
      </c>
      <c r="AJ95" s="107">
        <f t="shared" si="95"/>
        <v>19239.681083333369</v>
      </c>
      <c r="AK95" s="107">
        <f t="shared" si="96"/>
        <v>18499.684666666704</v>
      </c>
      <c r="AL95" s="107">
        <f t="shared" si="97"/>
        <v>17759.688250000039</v>
      </c>
      <c r="AM95" s="107">
        <f t="shared" si="98"/>
        <v>17019.691833333374</v>
      </c>
      <c r="AN95" s="107">
        <f t="shared" si="99"/>
        <v>16279.695416666707</v>
      </c>
      <c r="AO95" s="107">
        <f t="shared" si="100"/>
        <v>15539.699000000041</v>
      </c>
      <c r="AP95" s="107"/>
      <c r="AQ95" s="126"/>
      <c r="AR95" s="107">
        <f t="shared" si="101"/>
        <v>8879.9570000000003</v>
      </c>
      <c r="AS95" s="107">
        <f t="shared" si="55"/>
        <v>14799.702583333374</v>
      </c>
      <c r="AT95" s="107">
        <f t="shared" si="56"/>
        <v>14059.706166666707</v>
      </c>
      <c r="AU95" s="107">
        <f t="shared" si="57"/>
        <v>13319.70975000004</v>
      </c>
      <c r="AV95" s="107">
        <f t="shared" si="58"/>
        <v>12579.713333333373</v>
      </c>
      <c r="AW95" s="107">
        <f t="shared" si="59"/>
        <v>11839.716916666706</v>
      </c>
      <c r="AX95" s="107">
        <f t="shared" si="60"/>
        <v>11099.720500000039</v>
      </c>
      <c r="AY95" s="107">
        <f t="shared" si="61"/>
        <v>10359.724083333373</v>
      </c>
      <c r="AZ95" s="107">
        <f t="shared" si="62"/>
        <v>9619.7276666667058</v>
      </c>
      <c r="BA95" s="107">
        <f t="shared" si="67"/>
        <v>8879.7312500000389</v>
      </c>
      <c r="BB95" s="107">
        <f t="shared" si="68"/>
        <v>8139.7348333333721</v>
      </c>
      <c r="BC95" s="107">
        <f t="shared" si="69"/>
        <v>7399.7384166667052</v>
      </c>
      <c r="BD95" s="107">
        <f t="shared" si="70"/>
        <v>6659.7420000000384</v>
      </c>
      <c r="BE95" s="107"/>
      <c r="BF95" s="127"/>
      <c r="BG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</row>
    <row r="96" spans="1:75" hidden="1" x14ac:dyDescent="0.2">
      <c r="A96" s="123" t="str">
        <f>'[2]2021 УГРЦТ'!A98</f>
        <v>Септик FloTenk STA 1,5</v>
      </c>
      <c r="B96" s="124" t="str">
        <f>'[2]2021 УГРЦТ'!B98</f>
        <v>000001832</v>
      </c>
      <c r="C96" s="124" t="str">
        <f>VLOOKUP(A:A,'2023-2027'!A:L,1,+FALSE)</f>
        <v>Септик FloTenk STA 1,5</v>
      </c>
      <c r="D96" s="124" t="str">
        <f>'[2]2021 УГРЦТ'!C98</f>
        <v>ПРОИЗВОДСТВО</v>
      </c>
      <c r="E96" s="124" t="str">
        <f>'[2]2021 УГРЦТ'!D98</f>
        <v>Сооружения</v>
      </c>
      <c r="F96" s="124" t="str">
        <f>'[2]2021 УГРЦТ'!E98</f>
        <v>30.12.2020</v>
      </c>
      <c r="G96" s="124" t="str">
        <f>'[2]2021 УГРЦТ'!F98</f>
        <v>ДЭС п.Красное</v>
      </c>
      <c r="H96" s="124">
        <f>'[2]2021 УГРЦТ'!AC98</f>
        <v>180</v>
      </c>
      <c r="I96" s="107">
        <f>'[2]2021 УГРЦТ'!X98</f>
        <v>561601.46</v>
      </c>
      <c r="J96" s="107">
        <f>'[2]2021 УГРЦТ'!Y98</f>
        <v>37440.097333333331</v>
      </c>
      <c r="K96" s="107">
        <f>'[2]2021 УГРЦТ'!Z98</f>
        <v>524161.36266666662</v>
      </c>
      <c r="L96" s="125" t="e">
        <f>SUMIF([2]облаг!$B$2:$B$259,B96,[2]облаг!$D$2:$D$259)</f>
        <v>#VALUE!</v>
      </c>
      <c r="M96" s="107">
        <f t="shared" si="74"/>
        <v>3120.0081111111108</v>
      </c>
      <c r="N96" s="107">
        <f t="shared" si="75"/>
        <v>37440.097333333331</v>
      </c>
      <c r="O96" s="107">
        <f t="shared" si="76"/>
        <v>521041.3545555555</v>
      </c>
      <c r="P96" s="107">
        <f t="shared" si="77"/>
        <v>517921.34644444438</v>
      </c>
      <c r="Q96" s="107">
        <f t="shared" si="78"/>
        <v>514801.33833333326</v>
      </c>
      <c r="R96" s="107">
        <f t="shared" si="79"/>
        <v>511681.33022222214</v>
      </c>
      <c r="S96" s="107">
        <f t="shared" si="80"/>
        <v>508561.32211111102</v>
      </c>
      <c r="T96" s="107">
        <f t="shared" si="81"/>
        <v>505441.3139999999</v>
      </c>
      <c r="U96" s="107">
        <f t="shared" si="82"/>
        <v>502321.30588888878</v>
      </c>
      <c r="V96" s="107">
        <f t="shared" si="83"/>
        <v>499201.29777777765</v>
      </c>
      <c r="W96" s="107">
        <f t="shared" si="84"/>
        <v>496081.28966666653</v>
      </c>
      <c r="X96" s="107">
        <f t="shared" si="85"/>
        <v>492961.28155555541</v>
      </c>
      <c r="Y96" s="107">
        <f t="shared" si="86"/>
        <v>489841.27344444429</v>
      </c>
      <c r="Z96" s="107">
        <f t="shared" si="87"/>
        <v>486721.26533333317</v>
      </c>
      <c r="AA96" s="107">
        <f>SUM(O96:Z96,K96)/13*$AA$2</f>
        <v>11119.708907999997</v>
      </c>
      <c r="AB96" s="107"/>
      <c r="AC96" s="107">
        <f t="shared" si="88"/>
        <v>37440.097333333331</v>
      </c>
      <c r="AD96" s="107">
        <f t="shared" si="89"/>
        <v>483601.25722222205</v>
      </c>
      <c r="AE96" s="107">
        <f t="shared" si="90"/>
        <v>480481.24911111093</v>
      </c>
      <c r="AF96" s="107">
        <f t="shared" si="91"/>
        <v>477361.24099999981</v>
      </c>
      <c r="AG96" s="107">
        <f t="shared" si="92"/>
        <v>474241.23288888868</v>
      </c>
      <c r="AH96" s="107">
        <f t="shared" si="93"/>
        <v>471121.22477777756</v>
      </c>
      <c r="AI96" s="107">
        <f t="shared" si="94"/>
        <v>468001.21666666644</v>
      </c>
      <c r="AJ96" s="107">
        <f t="shared" si="95"/>
        <v>464881.20855555532</v>
      </c>
      <c r="AK96" s="107">
        <f t="shared" si="96"/>
        <v>461761.2004444442</v>
      </c>
      <c r="AL96" s="107">
        <f t="shared" si="97"/>
        <v>458641.19233333308</v>
      </c>
      <c r="AM96" s="107">
        <f t="shared" si="98"/>
        <v>455521.18422222196</v>
      </c>
      <c r="AN96" s="107">
        <f t="shared" si="99"/>
        <v>452401.17611111084</v>
      </c>
      <c r="AO96" s="107">
        <f t="shared" si="100"/>
        <v>449281.16799999971</v>
      </c>
      <c r="AP96" s="107">
        <f>SUM(AD96:AO96,Z96)/13*$AP$2</f>
        <v>10296.02676666666</v>
      </c>
      <c r="AQ96" s="126"/>
      <c r="AR96" s="107">
        <f t="shared" si="101"/>
        <v>37440.097333333331</v>
      </c>
      <c r="AS96" s="107">
        <f t="shared" si="55"/>
        <v>446161.15988888859</v>
      </c>
      <c r="AT96" s="107">
        <f t="shared" si="56"/>
        <v>443041.15177777747</v>
      </c>
      <c r="AU96" s="107">
        <f t="shared" si="57"/>
        <v>439921.14366666635</v>
      </c>
      <c r="AV96" s="107">
        <f t="shared" si="58"/>
        <v>436801.13555555523</v>
      </c>
      <c r="AW96" s="107">
        <f t="shared" si="59"/>
        <v>433681.12744444411</v>
      </c>
      <c r="AX96" s="107">
        <f t="shared" si="60"/>
        <v>430561.11933333299</v>
      </c>
      <c r="AY96" s="107">
        <f t="shared" si="61"/>
        <v>427441.11122222187</v>
      </c>
      <c r="AZ96" s="107">
        <f t="shared" si="62"/>
        <v>424321.10311111074</v>
      </c>
      <c r="BA96" s="107">
        <f t="shared" si="67"/>
        <v>421201.09499999962</v>
      </c>
      <c r="BB96" s="107">
        <f t="shared" si="68"/>
        <v>418081.0868888885</v>
      </c>
      <c r="BC96" s="107">
        <f t="shared" si="69"/>
        <v>414961.07877777738</v>
      </c>
      <c r="BD96" s="107">
        <f t="shared" si="70"/>
        <v>411841.07066666626</v>
      </c>
      <c r="BE96" s="107">
        <f>SUM(AS96:BD96,AO96)/13*$BE$2</f>
        <v>9472.3446253333259</v>
      </c>
      <c r="BF96" s="127"/>
      <c r="BG96" s="127"/>
      <c r="BH96" s="127"/>
      <c r="BI96" s="127"/>
      <c r="BJ96" s="127"/>
      <c r="BK96" s="127"/>
      <c r="BL96" s="127"/>
      <c r="BM96" s="127"/>
      <c r="BN96" s="127"/>
      <c r="BO96" s="127"/>
      <c r="BP96" s="127"/>
      <c r="BQ96" s="127"/>
      <c r="BR96" s="127"/>
      <c r="BS96" s="127"/>
      <c r="BT96" s="127"/>
      <c r="BU96" s="127"/>
      <c r="BV96" s="127"/>
      <c r="BW96" s="127"/>
    </row>
    <row r="97" spans="1:75" ht="33.75" hidden="1" x14ac:dyDescent="0.2">
      <c r="A97" s="123" t="str">
        <f>'[2]2021 УГРЦТ'!A99</f>
        <v>Сигнализатор до взрывных концентраций в воздухе горючих газов СТМ30-12</v>
      </c>
      <c r="B97" s="124" t="str">
        <f>'[2]2021 УГРЦТ'!B99</f>
        <v>000001723</v>
      </c>
      <c r="C97" s="124" t="str">
        <f>VLOOKUP(A:A,'2023-2027'!A:L,1,+FALSE)</f>
        <v>Сигнализатор до взрывных концентраций в воздухе горючих газов СТМ30-12</v>
      </c>
      <c r="D97" s="124" t="str">
        <f>'[2]2021 УГРЦТ'!C99</f>
        <v>ПРОИЗВОДСТВО</v>
      </c>
      <c r="E97" s="124" t="str">
        <f>'[2]2021 УГРЦТ'!D99</f>
        <v>Машины и оборудование (кроме офисного)</v>
      </c>
      <c r="F97" s="124" t="str">
        <f>'[2]2021 УГРЦТ'!E99</f>
        <v>14.05.2018</v>
      </c>
      <c r="G97" s="124" t="str">
        <f>'[2]2021 УГРЦТ'!F99</f>
        <v>Газотурбинный цех</v>
      </c>
      <c r="H97" s="124">
        <f>'[2]2021 УГРЦТ'!AC99</f>
        <v>120</v>
      </c>
      <c r="I97" s="107">
        <f>'[2]2021 УГРЦТ'!X99</f>
        <v>41333.14</v>
      </c>
      <c r="J97" s="107">
        <f>'[2]2021 УГРЦТ'!Y99</f>
        <v>14810.954000000002</v>
      </c>
      <c r="K97" s="107">
        <f>'[2]2021 УГРЦТ'!Z99</f>
        <v>26522.185999999998</v>
      </c>
      <c r="L97" s="125" t="e">
        <f>SUMIF([2]облаг!$B$2:$B$259,B97,[2]облаг!$D$2:$D$259)</f>
        <v>#VALUE!</v>
      </c>
      <c r="M97" s="107">
        <f t="shared" si="74"/>
        <v>344.44283333333334</v>
      </c>
      <c r="N97" s="107">
        <f t="shared" si="75"/>
        <v>4133.3140000000003</v>
      </c>
      <c r="O97" s="107">
        <f t="shared" si="76"/>
        <v>26177.743166666663</v>
      </c>
      <c r="P97" s="107">
        <f t="shared" si="77"/>
        <v>25833.300333333329</v>
      </c>
      <c r="Q97" s="107">
        <f t="shared" si="78"/>
        <v>25488.857499999995</v>
      </c>
      <c r="R97" s="107">
        <f t="shared" si="79"/>
        <v>25144.41466666666</v>
      </c>
      <c r="S97" s="107">
        <f t="shared" si="80"/>
        <v>24799.971833333326</v>
      </c>
      <c r="T97" s="107">
        <f t="shared" si="81"/>
        <v>24455.528999999991</v>
      </c>
      <c r="U97" s="107">
        <f t="shared" si="82"/>
        <v>24111.086166666657</v>
      </c>
      <c r="V97" s="107">
        <f t="shared" si="83"/>
        <v>23766.643333333323</v>
      </c>
      <c r="W97" s="107">
        <f t="shared" si="84"/>
        <v>23422.200499999988</v>
      </c>
      <c r="X97" s="107">
        <f t="shared" si="85"/>
        <v>23077.757666666654</v>
      </c>
      <c r="Y97" s="107">
        <f t="shared" si="86"/>
        <v>22733.314833333319</v>
      </c>
      <c r="Z97" s="107">
        <f t="shared" si="87"/>
        <v>22388.871999999985</v>
      </c>
      <c r="AA97" s="107"/>
      <c r="AB97" s="107"/>
      <c r="AC97" s="107">
        <f t="shared" si="88"/>
        <v>4133.3140000000003</v>
      </c>
      <c r="AD97" s="107">
        <f t="shared" si="89"/>
        <v>22044.42916666665</v>
      </c>
      <c r="AE97" s="107">
        <f t="shared" si="90"/>
        <v>21699.986333333316</v>
      </c>
      <c r="AF97" s="107">
        <f t="shared" si="91"/>
        <v>21355.543499999982</v>
      </c>
      <c r="AG97" s="107">
        <f t="shared" si="92"/>
        <v>21011.100666666647</v>
      </c>
      <c r="AH97" s="107">
        <f t="shared" si="93"/>
        <v>20666.657833333313</v>
      </c>
      <c r="AI97" s="107">
        <f t="shared" si="94"/>
        <v>20322.214999999978</v>
      </c>
      <c r="AJ97" s="107">
        <f t="shared" si="95"/>
        <v>19977.772166666644</v>
      </c>
      <c r="AK97" s="107">
        <f t="shared" si="96"/>
        <v>19633.329333333309</v>
      </c>
      <c r="AL97" s="107">
        <f t="shared" si="97"/>
        <v>19288.886499999975</v>
      </c>
      <c r="AM97" s="107">
        <f t="shared" si="98"/>
        <v>18944.443666666641</v>
      </c>
      <c r="AN97" s="107">
        <f t="shared" si="99"/>
        <v>18600.000833333306</v>
      </c>
      <c r="AO97" s="107">
        <f t="shared" si="100"/>
        <v>18255.557999999972</v>
      </c>
      <c r="AP97" s="107"/>
      <c r="AQ97" s="126"/>
      <c r="AR97" s="107">
        <f t="shared" si="101"/>
        <v>4133.3140000000003</v>
      </c>
      <c r="AS97" s="107">
        <f t="shared" si="55"/>
        <v>17911.115166666637</v>
      </c>
      <c r="AT97" s="107">
        <f t="shared" si="56"/>
        <v>17566.672333333303</v>
      </c>
      <c r="AU97" s="107">
        <f t="shared" si="57"/>
        <v>17222.229499999969</v>
      </c>
      <c r="AV97" s="107">
        <f t="shared" si="58"/>
        <v>16877.786666666634</v>
      </c>
      <c r="AW97" s="107">
        <f t="shared" si="59"/>
        <v>16533.3438333333</v>
      </c>
      <c r="AX97" s="107">
        <f t="shared" si="60"/>
        <v>16188.900999999967</v>
      </c>
      <c r="AY97" s="107">
        <f t="shared" si="61"/>
        <v>15844.458166666634</v>
      </c>
      <c r="AZ97" s="107">
        <f t="shared" si="62"/>
        <v>15500.015333333302</v>
      </c>
      <c r="BA97" s="107">
        <f t="shared" si="67"/>
        <v>15155.572499999969</v>
      </c>
      <c r="BB97" s="107">
        <f t="shared" si="68"/>
        <v>14811.129666666637</v>
      </c>
      <c r="BC97" s="107">
        <f t="shared" si="69"/>
        <v>14466.686833333304</v>
      </c>
      <c r="BD97" s="107">
        <f t="shared" si="70"/>
        <v>14122.243999999971</v>
      </c>
      <c r="BE97" s="107"/>
      <c r="BF97" s="127"/>
      <c r="BG97" s="127"/>
      <c r="BH97" s="127"/>
      <c r="BI97" s="127"/>
      <c r="BJ97" s="127"/>
      <c r="BK97" s="127"/>
      <c r="BL97" s="127"/>
      <c r="BM97" s="127"/>
      <c r="BN97" s="127"/>
      <c r="BO97" s="127"/>
      <c r="BP97" s="127"/>
      <c r="BQ97" s="127"/>
      <c r="BR97" s="127"/>
      <c r="BS97" s="127"/>
      <c r="BT97" s="127"/>
      <c r="BU97" s="127"/>
      <c r="BV97" s="127"/>
      <c r="BW97" s="127"/>
    </row>
    <row r="98" spans="1:75" ht="22.5" hidden="1" x14ac:dyDescent="0.2">
      <c r="A98" s="123" t="str">
        <f>'[2]2021 УГРЦТ'!A100</f>
        <v>Силовое эл. оборудование (РУ-6 кв) 2003г</v>
      </c>
      <c r="B98" s="124" t="str">
        <f>'[2]2021 УГРЦТ'!B100</f>
        <v>00000557</v>
      </c>
      <c r="C98" s="124" t="str">
        <f>VLOOKUP(A:A,'2023-2027'!A:L,1,+FALSE)</f>
        <v>Силовое эл. оборудование (РУ-6 кв) 2003г</v>
      </c>
      <c r="D98" s="124" t="str">
        <f>'[2]2021 УГРЦТ'!C100</f>
        <v>ПРОИЗВОДСТВО</v>
      </c>
      <c r="E98" s="124" t="str">
        <f>'[2]2021 УГРЦТ'!D100</f>
        <v>Машины и оборудование (кроме офисного)</v>
      </c>
      <c r="F98" s="124" t="str">
        <f>'[2]2021 УГРЦТ'!E100</f>
        <v>01.10.2003</v>
      </c>
      <c r="G98" s="124" t="str">
        <f>'[2]2021 УГРЦТ'!F100</f>
        <v>Газотурбинный цех</v>
      </c>
      <c r="H98" s="124">
        <f>'[2]2021 УГРЦТ'!AC100</f>
        <v>303</v>
      </c>
      <c r="I98" s="107">
        <f>'[2]2021 УГРЦТ'!X100</f>
        <v>13444250.890000001</v>
      </c>
      <c r="J98" s="107">
        <f>'[2]2021 УГРЦТ'!Y100</f>
        <v>12551237</v>
      </c>
      <c r="K98" s="107">
        <f>'[2]2021 УГРЦТ'!Z100</f>
        <v>893013.8900000006</v>
      </c>
      <c r="L98" s="125" t="e">
        <f>SUMIF([2]облаг!$B$2:$B$259,B98,[2]облаг!$D$2:$D$259)</f>
        <v>#VALUE!</v>
      </c>
      <c r="M98" s="107">
        <f t="shared" si="74"/>
        <v>44370.46498349835</v>
      </c>
      <c r="N98" s="107">
        <f t="shared" si="75"/>
        <v>532445.57980198017</v>
      </c>
      <c r="O98" s="107">
        <f t="shared" si="76"/>
        <v>848643.42501650227</v>
      </c>
      <c r="P98" s="107">
        <f t="shared" si="77"/>
        <v>804272.96003300394</v>
      </c>
      <c r="Q98" s="107">
        <f t="shared" si="78"/>
        <v>759902.49504950561</v>
      </c>
      <c r="R98" s="107">
        <f t="shared" si="79"/>
        <v>715532.03006600728</v>
      </c>
      <c r="S98" s="107">
        <f t="shared" si="80"/>
        <v>671161.56508250895</v>
      </c>
      <c r="T98" s="107">
        <f t="shared" si="81"/>
        <v>626791.10009901063</v>
      </c>
      <c r="U98" s="107">
        <f t="shared" si="82"/>
        <v>582420.6351155123</v>
      </c>
      <c r="V98" s="107">
        <f t="shared" si="83"/>
        <v>538050.17013201397</v>
      </c>
      <c r="W98" s="107">
        <f t="shared" si="84"/>
        <v>493679.70514851564</v>
      </c>
      <c r="X98" s="107">
        <f t="shared" si="85"/>
        <v>449309.24016501731</v>
      </c>
      <c r="Y98" s="107">
        <f t="shared" si="86"/>
        <v>404938.77518151898</v>
      </c>
      <c r="Z98" s="107">
        <f t="shared" si="87"/>
        <v>360568.31019802066</v>
      </c>
      <c r="AA98" s="107"/>
      <c r="AB98" s="107"/>
      <c r="AC98" s="107">
        <f>AD98</f>
        <v>316197.84521452233</v>
      </c>
      <c r="AD98" s="107">
        <f t="shared" si="89"/>
        <v>316197.84521452233</v>
      </c>
      <c r="AE98" s="107">
        <f t="shared" si="90"/>
        <v>271827.380231024</v>
      </c>
      <c r="AF98" s="107">
        <f t="shared" si="91"/>
        <v>227456.91524752564</v>
      </c>
      <c r="AG98" s="107">
        <f t="shared" si="92"/>
        <v>183086.45026402728</v>
      </c>
      <c r="AH98" s="107">
        <f t="shared" si="93"/>
        <v>138715.98528052893</v>
      </c>
      <c r="AI98" s="107">
        <f t="shared" si="94"/>
        <v>94345.520297030569</v>
      </c>
      <c r="AJ98" s="107">
        <f t="shared" si="95"/>
        <v>49975.055313532219</v>
      </c>
      <c r="AK98" s="107">
        <f t="shared" si="96"/>
        <v>5604.5903300338687</v>
      </c>
      <c r="AL98" s="107">
        <v>0</v>
      </c>
      <c r="AM98" s="107">
        <v>0</v>
      </c>
      <c r="AN98" s="107">
        <v>0</v>
      </c>
      <c r="AO98" s="107">
        <v>0</v>
      </c>
      <c r="AP98" s="107"/>
      <c r="AQ98" s="126"/>
      <c r="AR98" s="107">
        <v>0</v>
      </c>
      <c r="AS98" s="107">
        <v>0</v>
      </c>
      <c r="AT98" s="107">
        <v>0</v>
      </c>
      <c r="AU98" s="107">
        <v>0</v>
      </c>
      <c r="AV98" s="107">
        <v>0</v>
      </c>
      <c r="AW98" s="107">
        <v>0</v>
      </c>
      <c r="AX98" s="107">
        <v>0</v>
      </c>
      <c r="AY98" s="107">
        <v>0</v>
      </c>
      <c r="AZ98" s="107">
        <v>0</v>
      </c>
      <c r="BA98" s="107">
        <v>0</v>
      </c>
      <c r="BB98" s="107">
        <v>0</v>
      </c>
      <c r="BC98" s="107">
        <v>0</v>
      </c>
      <c r="BD98" s="107">
        <v>0</v>
      </c>
      <c r="BE98" s="107"/>
      <c r="BF98" s="127"/>
      <c r="BG98" s="127"/>
      <c r="BH98" s="127"/>
      <c r="BI98" s="127"/>
      <c r="BJ98" s="127"/>
      <c r="BK98" s="127"/>
      <c r="BL98" s="127"/>
      <c r="BM98" s="127"/>
      <c r="BN98" s="127"/>
      <c r="BO98" s="127"/>
      <c r="BP98" s="127"/>
      <c r="BQ98" s="127"/>
      <c r="BR98" s="127"/>
      <c r="BS98" s="127"/>
      <c r="BT98" s="127"/>
      <c r="BU98" s="127"/>
      <c r="BV98" s="127"/>
      <c r="BW98" s="127"/>
    </row>
    <row r="99" spans="1:75" ht="22.5" hidden="1" x14ac:dyDescent="0.2">
      <c r="A99" s="123" t="str">
        <f>'[2]2021 УГРЦТ'!A101</f>
        <v>Система видеонаблюдения в машинном зале ТМЦ</v>
      </c>
      <c r="B99" s="124" t="str">
        <f>'[2]2021 УГРЦТ'!B101</f>
        <v>000001869</v>
      </c>
      <c r="C99" s="124" t="str">
        <f>VLOOKUP(A:A,'2023-2027'!A:L,1,+FALSE)</f>
        <v>Система видеонаблюдения в машинном зале ТМЦ</v>
      </c>
      <c r="D99" s="124" t="str">
        <f>'[2]2021 УГРЦТ'!C101</f>
        <v>ПРОИЗВОДСТВО</v>
      </c>
      <c r="E99" s="124" t="str">
        <f>'[2]2021 УГРЦТ'!D101</f>
        <v>Машины и оборудование (кроме офисного)</v>
      </c>
      <c r="F99" s="134">
        <f>'[2]2021 УГРЦТ'!E101</f>
        <v>44529</v>
      </c>
      <c r="G99" s="124" t="str">
        <f>'[2]2021 УГРЦТ'!F101</f>
        <v>Тепломеханический цех</v>
      </c>
      <c r="H99" s="124">
        <f>'[2]2021 УГРЦТ'!AC101</f>
        <v>96</v>
      </c>
      <c r="I99" s="107">
        <f>'[2]2021 УГРЦТ'!X101</f>
        <v>535420.01</v>
      </c>
      <c r="J99" s="107">
        <f>'[2]2021 УГРЦТ'!Y101</f>
        <v>5577.2917708333334</v>
      </c>
      <c r="K99" s="107">
        <f>'[2]2021 УГРЦТ'!Z101</f>
        <v>529842.7182291667</v>
      </c>
      <c r="L99" s="125" t="e">
        <f>SUMIF([2]облаг!$B$2:$B$259,B99,[2]облаг!$D$2:$D$259)</f>
        <v>#VALUE!</v>
      </c>
      <c r="M99" s="107">
        <f t="shared" si="74"/>
        <v>5577.2917708333334</v>
      </c>
      <c r="N99" s="107">
        <f t="shared" si="75"/>
        <v>66927.501250000001</v>
      </c>
      <c r="O99" s="107">
        <f t="shared" si="76"/>
        <v>524265.42645833339</v>
      </c>
      <c r="P99" s="107">
        <f t="shared" si="77"/>
        <v>518688.13468750007</v>
      </c>
      <c r="Q99" s="107">
        <f t="shared" si="78"/>
        <v>513110.84291666676</v>
      </c>
      <c r="R99" s="107">
        <f t="shared" si="79"/>
        <v>507533.55114583345</v>
      </c>
      <c r="S99" s="107">
        <f t="shared" si="80"/>
        <v>501956.25937500014</v>
      </c>
      <c r="T99" s="107">
        <f t="shared" si="81"/>
        <v>496378.96760416683</v>
      </c>
      <c r="U99" s="107">
        <f t="shared" si="82"/>
        <v>490801.67583333352</v>
      </c>
      <c r="V99" s="107">
        <f t="shared" si="83"/>
        <v>485224.3840625002</v>
      </c>
      <c r="W99" s="107">
        <f t="shared" si="84"/>
        <v>479647.09229166689</v>
      </c>
      <c r="X99" s="107">
        <f t="shared" si="85"/>
        <v>474069.80052083358</v>
      </c>
      <c r="Y99" s="107">
        <f t="shared" si="86"/>
        <v>468492.50875000027</v>
      </c>
      <c r="Z99" s="107">
        <f t="shared" si="87"/>
        <v>462915.21697916696</v>
      </c>
      <c r="AA99" s="107"/>
      <c r="AB99" s="107"/>
      <c r="AC99" s="107">
        <f t="shared" si="88"/>
        <v>66927.501250000001</v>
      </c>
      <c r="AD99" s="107">
        <f t="shared" si="89"/>
        <v>457337.92520833365</v>
      </c>
      <c r="AE99" s="107">
        <f t="shared" si="90"/>
        <v>451760.63343750034</v>
      </c>
      <c r="AF99" s="107">
        <f t="shared" si="91"/>
        <v>446183.34166666702</v>
      </c>
      <c r="AG99" s="107">
        <f t="shared" si="92"/>
        <v>440606.04989583371</v>
      </c>
      <c r="AH99" s="107">
        <f t="shared" si="93"/>
        <v>435028.7581250004</v>
      </c>
      <c r="AI99" s="107">
        <f t="shared" si="94"/>
        <v>429451.46635416709</v>
      </c>
      <c r="AJ99" s="107">
        <f t="shared" si="95"/>
        <v>423874.17458333378</v>
      </c>
      <c r="AK99" s="107">
        <f t="shared" si="96"/>
        <v>418296.88281250047</v>
      </c>
      <c r="AL99" s="107">
        <f t="shared" si="97"/>
        <v>412719.59104166715</v>
      </c>
      <c r="AM99" s="107">
        <f t="shared" si="98"/>
        <v>407142.29927083384</v>
      </c>
      <c r="AN99" s="107">
        <f t="shared" si="99"/>
        <v>401565.00750000053</v>
      </c>
      <c r="AO99" s="107">
        <f t="shared" si="100"/>
        <v>395987.71572916722</v>
      </c>
      <c r="AP99" s="107"/>
      <c r="AQ99" s="126"/>
      <c r="AR99" s="107">
        <f t="shared" si="101"/>
        <v>66927.501250000001</v>
      </c>
      <c r="AS99" s="107">
        <f>AO99-M99</f>
        <v>390410.42395833391</v>
      </c>
      <c r="AT99" s="107">
        <f>AS99-M99</f>
        <v>384833.1321875006</v>
      </c>
      <c r="AU99" s="107">
        <f>AT99-M99</f>
        <v>379255.84041666728</v>
      </c>
      <c r="AV99" s="107">
        <f>AU99-M99</f>
        <v>373678.54864583397</v>
      </c>
      <c r="AW99" s="107">
        <f>AV99-M99</f>
        <v>368101.25687500066</v>
      </c>
      <c r="AX99" s="107">
        <f>AW99-M99</f>
        <v>362523.96510416735</v>
      </c>
      <c r="AY99" s="107">
        <f>AX99-M99</f>
        <v>356946.67333333404</v>
      </c>
      <c r="AZ99" s="107">
        <f>AY99-M99</f>
        <v>351369.38156250073</v>
      </c>
      <c r="BA99" s="107">
        <f>AZ99-M99</f>
        <v>345792.08979166741</v>
      </c>
      <c r="BB99" s="107">
        <f>BA99-M99</f>
        <v>340214.7980208341</v>
      </c>
      <c r="BC99" s="107">
        <f>BB99-M99</f>
        <v>334637.50625000079</v>
      </c>
      <c r="BD99" s="107">
        <f>BC99-M99</f>
        <v>329060.21447916748</v>
      </c>
      <c r="BE99" s="107"/>
      <c r="BF99" s="127"/>
      <c r="BG99" s="127"/>
      <c r="BH99" s="127"/>
      <c r="BI99" s="127"/>
      <c r="BJ99" s="127"/>
      <c r="BK99" s="127"/>
      <c r="BL99" s="127"/>
      <c r="BM99" s="127"/>
      <c r="BN99" s="127"/>
      <c r="BO99" s="127"/>
      <c r="BP99" s="127"/>
      <c r="BQ99" s="127"/>
      <c r="BR99" s="127"/>
      <c r="BS99" s="127"/>
      <c r="BT99" s="127"/>
      <c r="BU99" s="127"/>
      <c r="BV99" s="127"/>
      <c r="BW99" s="127"/>
    </row>
    <row r="100" spans="1:75" ht="22.5" hidden="1" x14ac:dyDescent="0.2">
      <c r="A100" s="123" t="str">
        <f>'[2]2021 УГРЦТ'!A102</f>
        <v>Система видеонаблюдения в РУ-6кВ, 0,4кВ ГТЭС-12,18</v>
      </c>
      <c r="B100" s="124" t="str">
        <f>'[2]2021 УГРЦТ'!B102</f>
        <v>000001664</v>
      </c>
      <c r="C100" s="124" t="str">
        <f>VLOOKUP(A:A,'2023-2027'!A:L,1,+FALSE)</f>
        <v>Система видеонаблюдения в РУ-6кВ, 0,4кВ ГТЭС-12,18</v>
      </c>
      <c r="D100" s="124" t="str">
        <f>'[2]2021 УГРЦТ'!C102</f>
        <v>ПРОИЗВОДСТВО</v>
      </c>
      <c r="E100" s="124" t="str">
        <f>'[2]2021 УГРЦТ'!D102</f>
        <v>Машины и оборудование (кроме офисного)</v>
      </c>
      <c r="F100" s="124" t="str">
        <f>'[2]2021 УГРЦТ'!E102</f>
        <v>30.09.2015</v>
      </c>
      <c r="G100" s="124" t="str">
        <f>'[2]2021 УГРЦТ'!F102</f>
        <v>Газотурбинный цех</v>
      </c>
      <c r="H100" s="124">
        <f>'[2]2021 УГРЦТ'!AC102</f>
        <v>84</v>
      </c>
      <c r="I100" s="107">
        <f>'[2]2021 УГРЦТ'!X102</f>
        <v>171157</v>
      </c>
      <c r="J100" s="107">
        <f>'[2]2021 УГРЦТ'!Y102</f>
        <v>152818.53999999998</v>
      </c>
      <c r="K100" s="107">
        <f>'[2]2021 УГРЦТ'!Z102</f>
        <v>18338.460000000021</v>
      </c>
      <c r="L100" s="125" t="e">
        <f>SUMIF([2]облаг!$B$2:$B$259,B100,[2]облаг!$D$2:$D$259)</f>
        <v>#VALUE!</v>
      </c>
      <c r="M100" s="107">
        <f t="shared" si="74"/>
        <v>2037.5833333333333</v>
      </c>
      <c r="N100" s="107">
        <f>O100</f>
        <v>16300.876666666687</v>
      </c>
      <c r="O100" s="107">
        <f t="shared" si="76"/>
        <v>16300.876666666687</v>
      </c>
      <c r="P100" s="107">
        <f t="shared" si="77"/>
        <v>14263.293333333353</v>
      </c>
      <c r="Q100" s="107">
        <f t="shared" si="78"/>
        <v>12225.710000000019</v>
      </c>
      <c r="R100" s="107">
        <f t="shared" si="79"/>
        <v>10188.126666666685</v>
      </c>
      <c r="S100" s="107">
        <f t="shared" si="80"/>
        <v>8150.5433333333522</v>
      </c>
      <c r="T100" s="107">
        <f t="shared" si="81"/>
        <v>6112.9600000000191</v>
      </c>
      <c r="U100" s="107">
        <f t="shared" si="82"/>
        <v>4075.3766666666861</v>
      </c>
      <c r="V100" s="107">
        <f t="shared" si="83"/>
        <v>2037.7933333333528</v>
      </c>
      <c r="W100" s="107">
        <f t="shared" si="84"/>
        <v>0.21000000001959052</v>
      </c>
      <c r="X100" s="107">
        <v>0</v>
      </c>
      <c r="Y100" s="107">
        <v>0</v>
      </c>
      <c r="Z100" s="107">
        <v>0</v>
      </c>
      <c r="AA100" s="107"/>
      <c r="AB100" s="107"/>
      <c r="AC100" s="107">
        <v>0</v>
      </c>
      <c r="AD100" s="107">
        <v>0</v>
      </c>
      <c r="AE100" s="107">
        <v>0</v>
      </c>
      <c r="AF100" s="107">
        <v>0</v>
      </c>
      <c r="AG100" s="107">
        <v>0</v>
      </c>
      <c r="AH100" s="107">
        <v>0</v>
      </c>
      <c r="AI100" s="107">
        <v>0</v>
      </c>
      <c r="AJ100" s="107">
        <v>0</v>
      </c>
      <c r="AK100" s="107">
        <v>0</v>
      </c>
      <c r="AL100" s="107">
        <v>0</v>
      </c>
      <c r="AM100" s="107">
        <v>0</v>
      </c>
      <c r="AN100" s="107">
        <v>0</v>
      </c>
      <c r="AO100" s="107">
        <v>0</v>
      </c>
      <c r="AP100" s="107"/>
      <c r="AQ100" s="126"/>
      <c r="AR100" s="107">
        <v>0</v>
      </c>
      <c r="AS100" s="107">
        <v>0</v>
      </c>
      <c r="AT100" s="107">
        <v>0</v>
      </c>
      <c r="AU100" s="107">
        <v>0</v>
      </c>
      <c r="AV100" s="107">
        <v>0</v>
      </c>
      <c r="AW100" s="107">
        <v>0</v>
      </c>
      <c r="AX100" s="107">
        <v>0</v>
      </c>
      <c r="AY100" s="107">
        <v>0</v>
      </c>
      <c r="AZ100" s="107">
        <v>0</v>
      </c>
      <c r="BA100" s="107">
        <v>0</v>
      </c>
      <c r="BB100" s="107">
        <v>0</v>
      </c>
      <c r="BC100" s="107">
        <v>0</v>
      </c>
      <c r="BD100" s="107">
        <v>0</v>
      </c>
      <c r="BE100" s="124"/>
    </row>
    <row r="101" spans="1:75" ht="22.5" hidden="1" x14ac:dyDescent="0.2">
      <c r="A101" s="123" t="str">
        <f>'[2]2021 УГРЦТ'!A103</f>
        <v>Система видеонаблюдения на ДККС</v>
      </c>
      <c r="B101" s="124" t="str">
        <f>'[2]2021 УГРЦТ'!B103</f>
        <v>000001885</v>
      </c>
      <c r="C101" s="124" t="str">
        <f>VLOOKUP(A:A,'2023-2027'!A:L,1,+FALSE)</f>
        <v>Система видеонаблюдения на ДККС</v>
      </c>
      <c r="D101" s="124" t="str">
        <f>'[2]2021 УГРЦТ'!C103</f>
        <v>ПРОИЗВОДСТВО</v>
      </c>
      <c r="E101" s="124" t="str">
        <f>'[2]2021 УГРЦТ'!D103</f>
        <v>Машины и оборудование (кроме офисного)</v>
      </c>
      <c r="F101" s="134">
        <f>'[2]2021 УГРЦТ'!E103</f>
        <v>44561</v>
      </c>
      <c r="G101" s="124" t="str">
        <f>'[2]2021 УГРЦТ'!F103</f>
        <v>Газотурбинный цех</v>
      </c>
      <c r="H101" s="124">
        <f>'[2]2021 УГРЦТ'!AC103</f>
        <v>120</v>
      </c>
      <c r="I101" s="107">
        <f>'[2]2021 УГРЦТ'!X103</f>
        <v>500000</v>
      </c>
      <c r="J101" s="107">
        <f>'[2]2021 УГРЦТ'!Y103</f>
        <v>0</v>
      </c>
      <c r="K101" s="107">
        <f>'[2]2021 УГРЦТ'!Z103</f>
        <v>500000</v>
      </c>
      <c r="L101" s="125" t="e">
        <f>SUMIF([2]облаг!$B$2:$B$259,B101,[2]облаг!$D$2:$D$259)</f>
        <v>#VALUE!</v>
      </c>
      <c r="M101" s="107">
        <f t="shared" si="74"/>
        <v>4166.666666666667</v>
      </c>
      <c r="N101" s="107">
        <f t="shared" si="75"/>
        <v>50000</v>
      </c>
      <c r="O101" s="107">
        <f t="shared" si="76"/>
        <v>495833.33333333331</v>
      </c>
      <c r="P101" s="107">
        <f t="shared" si="77"/>
        <v>491666.66666666663</v>
      </c>
      <c r="Q101" s="107">
        <f t="shared" si="78"/>
        <v>487499.99999999994</v>
      </c>
      <c r="R101" s="107">
        <f t="shared" si="79"/>
        <v>483333.33333333326</v>
      </c>
      <c r="S101" s="107">
        <f t="shared" si="80"/>
        <v>479166.66666666657</v>
      </c>
      <c r="T101" s="107">
        <f t="shared" si="81"/>
        <v>474999.99999999988</v>
      </c>
      <c r="U101" s="107">
        <f t="shared" si="82"/>
        <v>470833.3333333332</v>
      </c>
      <c r="V101" s="107">
        <f t="shared" si="83"/>
        <v>466666.66666666651</v>
      </c>
      <c r="W101" s="107">
        <f t="shared" si="84"/>
        <v>462499.99999999983</v>
      </c>
      <c r="X101" s="107">
        <f t="shared" si="85"/>
        <v>458333.33333333314</v>
      </c>
      <c r="Y101" s="107">
        <f t="shared" si="86"/>
        <v>454166.66666666645</v>
      </c>
      <c r="Z101" s="107">
        <f t="shared" si="87"/>
        <v>449999.99999999977</v>
      </c>
      <c r="AA101" s="107"/>
      <c r="AB101" s="107"/>
      <c r="AC101" s="107">
        <f t="shared" si="88"/>
        <v>50000</v>
      </c>
      <c r="AD101" s="107">
        <f t="shared" si="89"/>
        <v>445833.33333333308</v>
      </c>
      <c r="AE101" s="107">
        <f t="shared" si="90"/>
        <v>441666.6666666664</v>
      </c>
      <c r="AF101" s="107">
        <f t="shared" si="91"/>
        <v>437499.99999999971</v>
      </c>
      <c r="AG101" s="107">
        <f t="shared" si="92"/>
        <v>433333.33333333302</v>
      </c>
      <c r="AH101" s="107">
        <f t="shared" si="93"/>
        <v>429166.66666666634</v>
      </c>
      <c r="AI101" s="107">
        <f t="shared" si="94"/>
        <v>424999.99999999965</v>
      </c>
      <c r="AJ101" s="107">
        <f t="shared" si="95"/>
        <v>420833.33333333296</v>
      </c>
      <c r="AK101" s="107">
        <f t="shared" si="96"/>
        <v>416666.66666666628</v>
      </c>
      <c r="AL101" s="107">
        <f t="shared" si="97"/>
        <v>412499.99999999959</v>
      </c>
      <c r="AM101" s="107">
        <f t="shared" si="98"/>
        <v>408333.33333333291</v>
      </c>
      <c r="AN101" s="107">
        <f t="shared" si="99"/>
        <v>404166.66666666622</v>
      </c>
      <c r="AO101" s="107">
        <f t="shared" si="100"/>
        <v>399999.99999999953</v>
      </c>
      <c r="AP101" s="107"/>
      <c r="AQ101" s="126"/>
      <c r="AR101" s="107">
        <f t="shared" si="101"/>
        <v>50000</v>
      </c>
      <c r="AS101" s="107">
        <f>AO101-M101</f>
        <v>395833.33333333285</v>
      </c>
      <c r="AT101" s="107">
        <f>AS101-M101</f>
        <v>391666.66666666616</v>
      </c>
      <c r="AU101" s="107">
        <f>AT101-M101</f>
        <v>387499.99999999948</v>
      </c>
      <c r="AV101" s="107">
        <f>AU101-M101</f>
        <v>383333.33333333279</v>
      </c>
      <c r="AW101" s="107">
        <f>AV101-M101</f>
        <v>379166.6666666661</v>
      </c>
      <c r="AX101" s="107">
        <f>AW101-M101</f>
        <v>374999.99999999942</v>
      </c>
      <c r="AY101" s="107">
        <f>AX101-M101</f>
        <v>370833.33333333273</v>
      </c>
      <c r="AZ101" s="107">
        <f>AY101-M101</f>
        <v>366666.66666666605</v>
      </c>
      <c r="BA101" s="107">
        <f>AZ101-M101</f>
        <v>362499.99999999936</v>
      </c>
      <c r="BB101" s="107">
        <f>BA101-M101</f>
        <v>358333.33333333267</v>
      </c>
      <c r="BC101" s="107">
        <f>BB101-M101</f>
        <v>354166.66666666599</v>
      </c>
      <c r="BD101" s="107">
        <f>BC101-M101</f>
        <v>349999.9999999993</v>
      </c>
      <c r="BE101" s="107"/>
      <c r="BF101" s="127"/>
      <c r="BG101" s="127"/>
      <c r="BH101" s="127"/>
      <c r="BI101" s="127"/>
      <c r="BJ101" s="127"/>
      <c r="BK101" s="127"/>
      <c r="BL101" s="127"/>
      <c r="BM101" s="127"/>
      <c r="BN101" s="127"/>
      <c r="BO101" s="127"/>
      <c r="BP101" s="127"/>
      <c r="BQ101" s="127"/>
      <c r="BR101" s="127"/>
      <c r="BS101" s="127"/>
      <c r="BT101" s="127"/>
      <c r="BU101" s="127"/>
      <c r="BV101" s="127"/>
      <c r="BW101" s="127"/>
    </row>
    <row r="102" spans="1:75" ht="22.5" hidden="1" x14ac:dyDescent="0.2">
      <c r="A102" s="123" t="str">
        <f>'[2]2021 УГРЦТ'!A104</f>
        <v>Система газового анализа с сигнализацией</v>
      </c>
      <c r="B102" s="124" t="str">
        <f>'[2]2021 УГРЦТ'!B104</f>
        <v>00001486</v>
      </c>
      <c r="C102" s="124" t="str">
        <f>VLOOKUP(A:A,'2023-2027'!A:L,1,+FALSE)</f>
        <v>Система газового анализа с сигнализацией</v>
      </c>
      <c r="D102" s="124" t="str">
        <f>'[2]2021 УГРЦТ'!C104</f>
        <v>ПРОИЗВОДСТВО</v>
      </c>
      <c r="E102" s="124" t="str">
        <f>'[2]2021 УГРЦТ'!D104</f>
        <v>Другие виды основных средств</v>
      </c>
      <c r="F102" s="124" t="str">
        <f>'[2]2021 УГРЦТ'!E104</f>
        <v>31.12.2011</v>
      </c>
      <c r="G102" s="124" t="str">
        <f>'[2]2021 УГРЦТ'!F104</f>
        <v>Тепломеханический цех</v>
      </c>
      <c r="H102" s="124">
        <f>'[2]2021 УГРЦТ'!AC104</f>
        <v>84</v>
      </c>
      <c r="I102" s="107">
        <f>'[2]2021 УГРЦТ'!X104</f>
        <v>601793.94999999995</v>
      </c>
      <c r="J102" s="107">
        <f>'[2]2021 УГРЦТ'!Y104</f>
        <v>579527.52</v>
      </c>
      <c r="K102" s="107">
        <f>'[2]2021 УГРЦТ'!Z104</f>
        <v>22266.429999999935</v>
      </c>
      <c r="L102" s="125" t="e">
        <f>SUMIF([2]облаг!$B$2:$B$259,B102,[2]облаг!$D$2:$D$259)</f>
        <v>#VALUE!</v>
      </c>
      <c r="M102" s="107">
        <f t="shared" si="74"/>
        <v>7164.2136904761901</v>
      </c>
      <c r="N102" s="107">
        <f>O102</f>
        <v>15102.216309523745</v>
      </c>
      <c r="O102" s="107">
        <f t="shared" si="76"/>
        <v>15102.216309523745</v>
      </c>
      <c r="P102" s="107">
        <f t="shared" si="77"/>
        <v>7938.0026190475546</v>
      </c>
      <c r="Q102" s="107">
        <f t="shared" si="78"/>
        <v>773.78892857136452</v>
      </c>
      <c r="R102" s="107">
        <v>0</v>
      </c>
      <c r="S102" s="107">
        <v>0</v>
      </c>
      <c r="T102" s="107">
        <v>0</v>
      </c>
      <c r="U102" s="107">
        <v>0</v>
      </c>
      <c r="V102" s="107">
        <v>0</v>
      </c>
      <c r="W102" s="107">
        <v>0</v>
      </c>
      <c r="X102" s="107">
        <v>0</v>
      </c>
      <c r="Y102" s="107">
        <v>0</v>
      </c>
      <c r="Z102" s="107">
        <v>0</v>
      </c>
      <c r="AA102" s="107"/>
      <c r="AB102" s="107"/>
      <c r="AC102" s="107">
        <v>0</v>
      </c>
      <c r="AD102" s="107">
        <v>0</v>
      </c>
      <c r="AE102" s="107">
        <v>0</v>
      </c>
      <c r="AF102" s="107">
        <v>0</v>
      </c>
      <c r="AG102" s="107">
        <v>0</v>
      </c>
      <c r="AH102" s="107">
        <v>0</v>
      </c>
      <c r="AI102" s="107">
        <v>0</v>
      </c>
      <c r="AJ102" s="107">
        <v>0</v>
      </c>
      <c r="AK102" s="107">
        <v>0</v>
      </c>
      <c r="AL102" s="107">
        <v>0</v>
      </c>
      <c r="AM102" s="107">
        <v>0</v>
      </c>
      <c r="AN102" s="107">
        <v>0</v>
      </c>
      <c r="AO102" s="107">
        <v>0</v>
      </c>
      <c r="AP102" s="107"/>
      <c r="AQ102" s="126"/>
      <c r="AR102" s="107">
        <v>0</v>
      </c>
      <c r="AS102" s="107">
        <v>0</v>
      </c>
      <c r="AT102" s="107">
        <v>0</v>
      </c>
      <c r="AU102" s="107">
        <v>0</v>
      </c>
      <c r="AV102" s="107">
        <v>0</v>
      </c>
      <c r="AW102" s="107">
        <v>0</v>
      </c>
      <c r="AX102" s="107">
        <v>0</v>
      </c>
      <c r="AY102" s="107">
        <v>0</v>
      </c>
      <c r="AZ102" s="107">
        <v>0</v>
      </c>
      <c r="BA102" s="107">
        <v>0</v>
      </c>
      <c r="BB102" s="107">
        <v>0</v>
      </c>
      <c r="BC102" s="107">
        <v>0</v>
      </c>
      <c r="BD102" s="107">
        <v>0</v>
      </c>
      <c r="BE102" s="124"/>
    </row>
    <row r="103" spans="1:75" ht="22.5" hidden="1" x14ac:dyDescent="0.2">
      <c r="A103" s="123" t="str">
        <f>'[2]2021 УГРЦТ'!A105</f>
        <v>Система для высоковольтных испытаний "ВОЛНА-СВИ53В"</v>
      </c>
      <c r="B103" s="124" t="str">
        <f>'[2]2021 УГРЦТ'!B105</f>
        <v>000001706</v>
      </c>
      <c r="C103" s="124" t="str">
        <f>VLOOKUP(A:A,'2023-2027'!A:L,1,+FALSE)</f>
        <v>Система для высоковольтных испытаний "ВОЛНА-СВИ53В"</v>
      </c>
      <c r="D103" s="124" t="str">
        <f>'[2]2021 УГРЦТ'!C105</f>
        <v>ПРОИЗВОДСТВО</v>
      </c>
      <c r="E103" s="124" t="str">
        <f>'[2]2021 УГРЦТ'!D105</f>
        <v>Машины и оборудование (кроме офисного)</v>
      </c>
      <c r="F103" s="124" t="str">
        <f>'[2]2021 УГРЦТ'!E105</f>
        <v>18.07.2017</v>
      </c>
      <c r="G103" s="124" t="str">
        <f>'[2]2021 УГРЦТ'!F105</f>
        <v>Электрический цех</v>
      </c>
      <c r="H103" s="124">
        <f>'[2]2021 УГРЦТ'!AC105</f>
        <v>120</v>
      </c>
      <c r="I103" s="107">
        <f>'[2]2021 УГРЦТ'!X105</f>
        <v>338050.85</v>
      </c>
      <c r="J103" s="107">
        <f>'[2]2021 УГРЦТ'!Y105</f>
        <v>149305.77499999999</v>
      </c>
      <c r="K103" s="107">
        <f>'[2]2021 УГРЦТ'!Z105</f>
        <v>188745.07499999998</v>
      </c>
      <c r="L103" s="125" t="e">
        <f>SUMIF([2]облаг!$B$2:$B$259,B103,[2]облаг!$D$2:$D$259)</f>
        <v>#VALUE!</v>
      </c>
      <c r="M103" s="107">
        <f t="shared" si="74"/>
        <v>2817.0904166666664</v>
      </c>
      <c r="N103" s="107">
        <f t="shared" si="75"/>
        <v>33805.084999999999</v>
      </c>
      <c r="O103" s="107">
        <f t="shared" si="76"/>
        <v>185927.98458333331</v>
      </c>
      <c r="P103" s="107">
        <f t="shared" si="77"/>
        <v>183110.89416666664</v>
      </c>
      <c r="Q103" s="107">
        <f t="shared" si="78"/>
        <v>180293.80374999996</v>
      </c>
      <c r="R103" s="107">
        <f t="shared" si="79"/>
        <v>177476.71333333329</v>
      </c>
      <c r="S103" s="107">
        <f t="shared" si="80"/>
        <v>174659.62291666662</v>
      </c>
      <c r="T103" s="107">
        <f t="shared" si="81"/>
        <v>171842.53249999994</v>
      </c>
      <c r="U103" s="107">
        <f t="shared" si="82"/>
        <v>169025.44208333327</v>
      </c>
      <c r="V103" s="107">
        <f t="shared" si="83"/>
        <v>166208.3516666666</v>
      </c>
      <c r="W103" s="107">
        <f t="shared" si="84"/>
        <v>163391.26124999992</v>
      </c>
      <c r="X103" s="107">
        <f t="shared" si="85"/>
        <v>160574.17083333325</v>
      </c>
      <c r="Y103" s="107">
        <f t="shared" si="86"/>
        <v>157757.08041666658</v>
      </c>
      <c r="Z103" s="107">
        <f t="shared" si="87"/>
        <v>154939.9899999999</v>
      </c>
      <c r="AA103" s="107"/>
      <c r="AB103" s="107"/>
      <c r="AC103" s="107">
        <f t="shared" si="88"/>
        <v>33805.084999999999</v>
      </c>
      <c r="AD103" s="107">
        <f t="shared" si="89"/>
        <v>152122.89958333323</v>
      </c>
      <c r="AE103" s="107">
        <f t="shared" si="90"/>
        <v>149305.80916666656</v>
      </c>
      <c r="AF103" s="107">
        <f t="shared" si="91"/>
        <v>146488.71874999988</v>
      </c>
      <c r="AG103" s="107">
        <f t="shared" si="92"/>
        <v>143671.62833333321</v>
      </c>
      <c r="AH103" s="107">
        <f t="shared" si="93"/>
        <v>140854.53791666654</v>
      </c>
      <c r="AI103" s="107">
        <f t="shared" si="94"/>
        <v>138037.44749999986</v>
      </c>
      <c r="AJ103" s="107">
        <f t="shared" si="95"/>
        <v>135220.35708333319</v>
      </c>
      <c r="AK103" s="107">
        <f t="shared" si="96"/>
        <v>132403.26666666652</v>
      </c>
      <c r="AL103" s="107">
        <f t="shared" si="97"/>
        <v>129586.17624999984</v>
      </c>
      <c r="AM103" s="107">
        <f t="shared" si="98"/>
        <v>126769.08583333317</v>
      </c>
      <c r="AN103" s="107">
        <f t="shared" si="99"/>
        <v>123951.9954166665</v>
      </c>
      <c r="AO103" s="107">
        <f t="shared" si="100"/>
        <v>121134.90499999982</v>
      </c>
      <c r="AP103" s="107"/>
      <c r="AQ103" s="126"/>
      <c r="AR103" s="107">
        <f t="shared" si="101"/>
        <v>33805.084999999999</v>
      </c>
      <c r="AS103" s="107">
        <f>AO103-M103</f>
        <v>118317.81458333315</v>
      </c>
      <c r="AT103" s="107">
        <f>AS103-M103</f>
        <v>115500.72416666648</v>
      </c>
      <c r="AU103" s="107">
        <f>AT103-M103</f>
        <v>112683.6337499998</v>
      </c>
      <c r="AV103" s="107">
        <f>AU103-M103</f>
        <v>109866.54333333313</v>
      </c>
      <c r="AW103" s="107">
        <f>AV103-M103</f>
        <v>107049.45291666646</v>
      </c>
      <c r="AX103" s="107">
        <f>AW103-M103</f>
        <v>104232.36249999978</v>
      </c>
      <c r="AY103" s="107">
        <f>AX103-M103</f>
        <v>101415.27208333311</v>
      </c>
      <c r="AZ103" s="107">
        <f>AY103-M103</f>
        <v>98598.181666666438</v>
      </c>
      <c r="BA103" s="107">
        <f>AZ103-M103</f>
        <v>95781.091249999765</v>
      </c>
      <c r="BB103" s="107">
        <f>BA103-M103</f>
        <v>92964.000833333092</v>
      </c>
      <c r="BC103" s="107">
        <f>BB103-M103</f>
        <v>90146.910416666418</v>
      </c>
      <c r="BD103" s="107">
        <f>BC103-M103</f>
        <v>87329.819999999745</v>
      </c>
      <c r="BE103" s="107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7"/>
      <c r="BQ103" s="127"/>
      <c r="BR103" s="127"/>
      <c r="BS103" s="127"/>
      <c r="BT103" s="127"/>
      <c r="BU103" s="127"/>
      <c r="BV103" s="127"/>
      <c r="BW103" s="127"/>
    </row>
    <row r="104" spans="1:75" ht="33.75" hidden="1" x14ac:dyDescent="0.2">
      <c r="A104" s="123" t="str">
        <f>'[2]2021 УГРЦТ'!A106</f>
        <v>Система оперативно-диспетчерской связи Каскад-14 (Р) мод. Б-1</v>
      </c>
      <c r="B104" s="124" t="str">
        <f>'[2]2021 УГРЦТ'!B106</f>
        <v>000001735</v>
      </c>
      <c r="C104" s="124" t="str">
        <f>VLOOKUP(A:A,'2023-2027'!A:L,1,+FALSE)</f>
        <v>Система оперативно-диспетчерской связи Каскад-14 (Р) мод. Б-1</v>
      </c>
      <c r="D104" s="124" t="str">
        <f>'[2]2021 УГРЦТ'!C106</f>
        <v>ПРОИЗВОДСТВО</v>
      </c>
      <c r="E104" s="124" t="str">
        <f>'[2]2021 УГРЦТ'!D106</f>
        <v>Машины и оборудование (кроме офисного)</v>
      </c>
      <c r="F104" s="124" t="str">
        <f>'[2]2021 УГРЦТ'!E106</f>
        <v>11.07.2018</v>
      </c>
      <c r="G104" s="124" t="str">
        <f>'[2]2021 УГРЦТ'!F106</f>
        <v>Электрический цех</v>
      </c>
      <c r="H104" s="124">
        <f>'[2]2021 УГРЦТ'!AC106</f>
        <v>120</v>
      </c>
      <c r="I104" s="107">
        <f>'[2]2021 УГРЦТ'!X106</f>
        <v>130271.88</v>
      </c>
      <c r="J104" s="107">
        <f>'[2]2021 УГРЦТ'!Y106</f>
        <v>44509.588000000003</v>
      </c>
      <c r="K104" s="107">
        <f>'[2]2021 УГРЦТ'!Z106</f>
        <v>85762.292000000001</v>
      </c>
      <c r="L104" s="125" t="e">
        <f>SUMIF([2]облаг!$B$2:$B$259,B104,[2]облаг!$D$2:$D$259)</f>
        <v>#VALUE!</v>
      </c>
      <c r="M104" s="107">
        <f t="shared" si="74"/>
        <v>1085.5989999999999</v>
      </c>
      <c r="N104" s="107">
        <f t="shared" si="75"/>
        <v>13027.187999999998</v>
      </c>
      <c r="O104" s="107">
        <f t="shared" si="76"/>
        <v>84676.692999999999</v>
      </c>
      <c r="P104" s="107">
        <f t="shared" si="77"/>
        <v>83591.093999999997</v>
      </c>
      <c r="Q104" s="107">
        <f t="shared" si="78"/>
        <v>82505.494999999995</v>
      </c>
      <c r="R104" s="107">
        <f t="shared" si="79"/>
        <v>81419.895999999993</v>
      </c>
      <c r="S104" s="107">
        <f t="shared" si="80"/>
        <v>80334.296999999991</v>
      </c>
      <c r="T104" s="107">
        <f t="shared" si="81"/>
        <v>79248.697999999989</v>
      </c>
      <c r="U104" s="107">
        <f t="shared" si="82"/>
        <v>78163.098999999987</v>
      </c>
      <c r="V104" s="107">
        <f t="shared" si="83"/>
        <v>77077.499999999985</v>
      </c>
      <c r="W104" s="107">
        <f t="shared" si="84"/>
        <v>75991.900999999983</v>
      </c>
      <c r="X104" s="107">
        <f t="shared" si="85"/>
        <v>74906.301999999981</v>
      </c>
      <c r="Y104" s="107">
        <f t="shared" si="86"/>
        <v>73820.70299999998</v>
      </c>
      <c r="Z104" s="107">
        <f t="shared" si="87"/>
        <v>72735.103999999978</v>
      </c>
      <c r="AA104" s="107"/>
      <c r="AB104" s="107"/>
      <c r="AC104" s="107">
        <f t="shared" si="88"/>
        <v>13027.187999999998</v>
      </c>
      <c r="AD104" s="107">
        <f t="shared" si="89"/>
        <v>71649.504999999976</v>
      </c>
      <c r="AE104" s="107">
        <f t="shared" si="90"/>
        <v>70563.905999999974</v>
      </c>
      <c r="AF104" s="107">
        <f t="shared" si="91"/>
        <v>69478.306999999972</v>
      </c>
      <c r="AG104" s="107">
        <f t="shared" si="92"/>
        <v>68392.70799999997</v>
      </c>
      <c r="AH104" s="107">
        <f t="shared" si="93"/>
        <v>67307.108999999968</v>
      </c>
      <c r="AI104" s="107">
        <f t="shared" si="94"/>
        <v>66221.509999999966</v>
      </c>
      <c r="AJ104" s="107">
        <f t="shared" si="95"/>
        <v>65135.910999999964</v>
      </c>
      <c r="AK104" s="107">
        <f t="shared" si="96"/>
        <v>64050.311999999962</v>
      </c>
      <c r="AL104" s="107">
        <f t="shared" si="97"/>
        <v>62964.71299999996</v>
      </c>
      <c r="AM104" s="107">
        <f t="shared" si="98"/>
        <v>61879.113999999958</v>
      </c>
      <c r="AN104" s="107">
        <f t="shared" si="99"/>
        <v>60793.514999999956</v>
      </c>
      <c r="AO104" s="107">
        <f t="shared" si="100"/>
        <v>59707.915999999954</v>
      </c>
      <c r="AP104" s="107"/>
      <c r="AQ104" s="126"/>
      <c r="AR104" s="107">
        <f t="shared" si="101"/>
        <v>13027.187999999998</v>
      </c>
      <c r="AS104" s="107">
        <f>AO104-M104</f>
        <v>58622.316999999952</v>
      </c>
      <c r="AT104" s="107">
        <f>AS104-M104</f>
        <v>57536.71799999995</v>
      </c>
      <c r="AU104" s="107">
        <f>AT104-M104</f>
        <v>56451.118999999948</v>
      </c>
      <c r="AV104" s="107">
        <f>AU104-M104</f>
        <v>55365.519999999946</v>
      </c>
      <c r="AW104" s="107">
        <f>AV104-M104</f>
        <v>54279.920999999944</v>
      </c>
      <c r="AX104" s="107">
        <f>AW104-M104</f>
        <v>53194.321999999942</v>
      </c>
      <c r="AY104" s="107">
        <f>AX104-M104</f>
        <v>52108.72299999994</v>
      </c>
      <c r="AZ104" s="107">
        <f>AY104-M104</f>
        <v>51023.123999999938</v>
      </c>
      <c r="BA104" s="107">
        <f>AZ104-M104</f>
        <v>49937.524999999936</v>
      </c>
      <c r="BB104" s="107">
        <f>BA104-M104</f>
        <v>48851.925999999934</v>
      </c>
      <c r="BC104" s="107">
        <f>BB104-M104</f>
        <v>47766.326999999932</v>
      </c>
      <c r="BD104" s="107">
        <f>BC104-M104</f>
        <v>46680.72799999993</v>
      </c>
      <c r="BE104" s="10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7"/>
      <c r="BQ104" s="127"/>
      <c r="BR104" s="127"/>
      <c r="BS104" s="127"/>
      <c r="BT104" s="127"/>
      <c r="BU104" s="127"/>
      <c r="BV104" s="127"/>
      <c r="BW104" s="127"/>
    </row>
    <row r="105" spans="1:75" ht="22.5" hidden="1" x14ac:dyDescent="0.2">
      <c r="A105" s="123" t="str">
        <f>'[2]2021 УГРЦТ'!A107</f>
        <v>Система оперативной радиосвязи</v>
      </c>
      <c r="B105" s="124" t="str">
        <f>'[2]2021 УГРЦТ'!B107</f>
        <v>000001715</v>
      </c>
      <c r="C105" s="124" t="str">
        <f>VLOOKUP(A:A,'2023-2027'!A:L,1,+FALSE)</f>
        <v>Система оперативной радиосвязи</v>
      </c>
      <c r="D105" s="124" t="str">
        <f>'[2]2021 УГРЦТ'!C107</f>
        <v>ПРОИЗВОДСТВО</v>
      </c>
      <c r="E105" s="124" t="str">
        <f>'[2]2021 УГРЦТ'!D107</f>
        <v>Машины и оборудование (кроме офисного)</v>
      </c>
      <c r="F105" s="124" t="str">
        <f>'[2]2021 УГРЦТ'!E107</f>
        <v>05.02.2018</v>
      </c>
      <c r="G105" s="124" t="str">
        <f>'[2]2021 УГРЦТ'!F107</f>
        <v>Электрический цех</v>
      </c>
      <c r="H105" s="124">
        <f>'[2]2021 УГРЦТ'!AC107</f>
        <v>60</v>
      </c>
      <c r="I105" s="107">
        <f>'[2]2021 УГРЦТ'!X107</f>
        <v>92585.46</v>
      </c>
      <c r="J105" s="107">
        <f>'[2]2021 УГРЦТ'!Y107</f>
        <v>70982.152000000002</v>
      </c>
      <c r="K105" s="107">
        <f>'[2]2021 УГРЦТ'!Z107</f>
        <v>21603.308000000005</v>
      </c>
      <c r="L105" s="125" t="e">
        <f>SUMIF([2]облаг!$B$2:$B$259,B105,[2]облаг!$D$2:$D$259)</f>
        <v>#VALUE!</v>
      </c>
      <c r="M105" s="107">
        <f t="shared" si="74"/>
        <v>1543.0910000000001</v>
      </c>
      <c r="N105" s="107">
        <f t="shared" si="75"/>
        <v>18517.092000000001</v>
      </c>
      <c r="O105" s="107">
        <f t="shared" si="76"/>
        <v>20060.217000000004</v>
      </c>
      <c r="P105" s="107">
        <f t="shared" si="77"/>
        <v>18517.126000000004</v>
      </c>
      <c r="Q105" s="107">
        <f t="shared" si="78"/>
        <v>16974.035000000003</v>
      </c>
      <c r="R105" s="107">
        <f t="shared" si="79"/>
        <v>15430.944000000003</v>
      </c>
      <c r="S105" s="107">
        <f t="shared" si="80"/>
        <v>13887.853000000003</v>
      </c>
      <c r="T105" s="107">
        <f t="shared" si="81"/>
        <v>12344.762000000002</v>
      </c>
      <c r="U105" s="107">
        <f t="shared" si="82"/>
        <v>10801.671000000002</v>
      </c>
      <c r="V105" s="107">
        <f t="shared" si="83"/>
        <v>9258.5800000000017</v>
      </c>
      <c r="W105" s="107">
        <f t="shared" si="84"/>
        <v>7715.4890000000014</v>
      </c>
      <c r="X105" s="107">
        <f t="shared" si="85"/>
        <v>6172.398000000001</v>
      </c>
      <c r="Y105" s="107">
        <f t="shared" si="86"/>
        <v>4629.3070000000007</v>
      </c>
      <c r="Z105" s="107">
        <f t="shared" si="87"/>
        <v>3086.2160000000003</v>
      </c>
      <c r="AA105" s="107"/>
      <c r="AB105" s="107"/>
      <c r="AC105" s="107">
        <f>AD105</f>
        <v>1543.1250000000002</v>
      </c>
      <c r="AD105" s="107">
        <f t="shared" si="89"/>
        <v>1543.1250000000002</v>
      </c>
      <c r="AE105" s="107">
        <f>AD105-M105</f>
        <v>3.4000000000105501E-2</v>
      </c>
      <c r="AF105" s="107">
        <v>0</v>
      </c>
      <c r="AG105" s="107">
        <v>0</v>
      </c>
      <c r="AH105" s="107">
        <v>0</v>
      </c>
      <c r="AI105" s="107">
        <v>0</v>
      </c>
      <c r="AJ105" s="107">
        <v>0</v>
      </c>
      <c r="AK105" s="107">
        <v>0</v>
      </c>
      <c r="AL105" s="107">
        <v>0</v>
      </c>
      <c r="AM105" s="107">
        <v>0</v>
      </c>
      <c r="AN105" s="107">
        <v>0</v>
      </c>
      <c r="AO105" s="107">
        <v>0</v>
      </c>
      <c r="AP105" s="107"/>
      <c r="AQ105" s="126"/>
      <c r="AR105" s="107">
        <v>0</v>
      </c>
      <c r="AS105" s="107">
        <v>0</v>
      </c>
      <c r="AT105" s="107">
        <v>0</v>
      </c>
      <c r="AU105" s="107">
        <v>0</v>
      </c>
      <c r="AV105" s="107">
        <v>0</v>
      </c>
      <c r="AW105" s="107">
        <v>0</v>
      </c>
      <c r="AX105" s="107">
        <v>0</v>
      </c>
      <c r="AY105" s="107">
        <v>0</v>
      </c>
      <c r="AZ105" s="107">
        <v>0</v>
      </c>
      <c r="BA105" s="107">
        <v>0</v>
      </c>
      <c r="BB105" s="107">
        <v>0</v>
      </c>
      <c r="BC105" s="107">
        <v>0</v>
      </c>
      <c r="BD105" s="107">
        <v>0</v>
      </c>
      <c r="BE105" s="124"/>
    </row>
    <row r="106" spans="1:75" ht="22.5" hidden="1" x14ac:dyDescent="0.2">
      <c r="A106" s="123" t="str">
        <f>'[2]2021 УГРЦТ'!A108</f>
        <v>Система освещения ГТЭС-12, ГТЭС-18</v>
      </c>
      <c r="B106" s="124" t="str">
        <f>'[2]2021 УГРЦТ'!B108</f>
        <v>000001665</v>
      </c>
      <c r="C106" s="124" t="str">
        <f>VLOOKUP(A:A,'2023-2027'!A:L,1,+FALSE)</f>
        <v>Система освещения ГТЭС-12, ГТЭС-18</v>
      </c>
      <c r="D106" s="124" t="str">
        <f>'[2]2021 УГРЦТ'!C108</f>
        <v>ПРОИЗВОДСТВО</v>
      </c>
      <c r="E106" s="124" t="str">
        <f>'[2]2021 УГРЦТ'!D108</f>
        <v>Сооружения</v>
      </c>
      <c r="F106" s="124" t="str">
        <f>'[2]2021 УГРЦТ'!E108</f>
        <v>30.10.2015</v>
      </c>
      <c r="G106" s="124" t="str">
        <f>'[2]2021 УГРЦТ'!F108</f>
        <v>Газотурбинный цех</v>
      </c>
      <c r="H106" s="124">
        <f>'[2]2021 УГРЦТ'!AC108</f>
        <v>180</v>
      </c>
      <c r="I106" s="107">
        <f>'[2]2021 УГРЦТ'!X108</f>
        <v>1972995.34</v>
      </c>
      <c r="J106" s="107">
        <f>'[2]2021 УГРЦТ'!Y108</f>
        <v>811120.60266666661</v>
      </c>
      <c r="K106" s="107">
        <f>'[2]2021 УГРЦТ'!Z108</f>
        <v>1161874.7373333336</v>
      </c>
      <c r="L106" s="125" t="e">
        <f>SUMIF([2]облаг!$B$2:$B$259,B106,[2]облаг!$D$2:$D$259)</f>
        <v>#VALUE!</v>
      </c>
      <c r="M106" s="107">
        <f t="shared" si="74"/>
        <v>10961.085222222222</v>
      </c>
      <c r="N106" s="107">
        <f t="shared" si="75"/>
        <v>131533.02266666666</v>
      </c>
      <c r="O106" s="107">
        <f t="shared" si="76"/>
        <v>1150913.6521111114</v>
      </c>
      <c r="P106" s="107">
        <f t="shared" si="77"/>
        <v>1139952.5668888893</v>
      </c>
      <c r="Q106" s="107">
        <f t="shared" si="78"/>
        <v>1128991.4816666672</v>
      </c>
      <c r="R106" s="107">
        <f t="shared" si="79"/>
        <v>1118030.396444445</v>
      </c>
      <c r="S106" s="107">
        <f t="shared" si="80"/>
        <v>1107069.3112222229</v>
      </c>
      <c r="T106" s="107">
        <f t="shared" si="81"/>
        <v>1096108.2260000007</v>
      </c>
      <c r="U106" s="107">
        <f t="shared" si="82"/>
        <v>1085147.1407777786</v>
      </c>
      <c r="V106" s="107">
        <f t="shared" si="83"/>
        <v>1074186.0555555564</v>
      </c>
      <c r="W106" s="107">
        <f t="shared" si="84"/>
        <v>1063224.9703333343</v>
      </c>
      <c r="X106" s="107">
        <f t="shared" si="85"/>
        <v>1052263.8851111121</v>
      </c>
      <c r="Y106" s="107">
        <f t="shared" si="86"/>
        <v>1041302.7998888899</v>
      </c>
      <c r="Z106" s="107">
        <f t="shared" si="87"/>
        <v>1030341.7146666676</v>
      </c>
      <c r="AA106" s="107">
        <f>SUM(O106:Z106,K106)/13*$AA$2</f>
        <v>24114.380972000014</v>
      </c>
      <c r="AB106" s="107"/>
      <c r="AC106" s="107">
        <f t="shared" si="88"/>
        <v>131533.02266666666</v>
      </c>
      <c r="AD106" s="107">
        <f t="shared" si="89"/>
        <v>1019380.6294444454</v>
      </c>
      <c r="AE106" s="107">
        <f t="shared" si="90"/>
        <v>1008419.5442222231</v>
      </c>
      <c r="AF106" s="107">
        <f t="shared" si="91"/>
        <v>997458.45900000085</v>
      </c>
      <c r="AG106" s="107">
        <f t="shared" si="92"/>
        <v>986497.37377777859</v>
      </c>
      <c r="AH106" s="107">
        <f t="shared" si="93"/>
        <v>975536.28855555633</v>
      </c>
      <c r="AI106" s="107">
        <f t="shared" si="94"/>
        <v>964575.20333333407</v>
      </c>
      <c r="AJ106" s="107">
        <f t="shared" si="95"/>
        <v>953614.11811111181</v>
      </c>
      <c r="AK106" s="107">
        <f t="shared" si="96"/>
        <v>942653.03288888955</v>
      </c>
      <c r="AL106" s="107">
        <f t="shared" si="97"/>
        <v>931691.94766666729</v>
      </c>
      <c r="AM106" s="107">
        <f t="shared" si="98"/>
        <v>920730.86244444503</v>
      </c>
      <c r="AN106" s="107">
        <f t="shared" si="99"/>
        <v>909769.77722222276</v>
      </c>
      <c r="AO106" s="107">
        <f t="shared" si="100"/>
        <v>898808.6920000005</v>
      </c>
      <c r="AP106" s="107">
        <f>SUM(AD106:AO106,Z106)/13*$AP$2</f>
        <v>21220.65447333335</v>
      </c>
      <c r="AQ106" s="126"/>
      <c r="AR106" s="107">
        <f t="shared" si="101"/>
        <v>131533.02266666666</v>
      </c>
      <c r="AS106" s="107">
        <f>AO106-M106</f>
        <v>887847.60677777824</v>
      </c>
      <c r="AT106" s="107">
        <f>AS106-M106</f>
        <v>876886.52155555598</v>
      </c>
      <c r="AU106" s="107">
        <f>AT106-M106</f>
        <v>865925.43633333372</v>
      </c>
      <c r="AV106" s="107">
        <f>AU106-M106</f>
        <v>854964.35111111146</v>
      </c>
      <c r="AW106" s="107">
        <f>AV106-M106</f>
        <v>844003.2658888892</v>
      </c>
      <c r="AX106" s="107">
        <f>AW106-M106</f>
        <v>833042.18066666694</v>
      </c>
      <c r="AY106" s="107">
        <f>AX106-M106</f>
        <v>822081.09544444468</v>
      </c>
      <c r="AZ106" s="107">
        <f>AY106-M106</f>
        <v>811120.01022222242</v>
      </c>
      <c r="BA106" s="107">
        <f>AZ106-M106</f>
        <v>800158.92500000016</v>
      </c>
      <c r="BB106" s="107">
        <f>BA106-M106</f>
        <v>789197.8397777779</v>
      </c>
      <c r="BC106" s="107">
        <f>BB106-M106</f>
        <v>778236.75455555564</v>
      </c>
      <c r="BD106" s="107">
        <f>BC106-M106</f>
        <v>767275.66933333338</v>
      </c>
      <c r="BE106" s="107">
        <f>SUM(AS106:BD106,AO106)/13*$BE$2</f>
        <v>18326.927974666665</v>
      </c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</row>
    <row r="107" spans="1:75" ht="56.25" hidden="1" x14ac:dyDescent="0.2">
      <c r="A107" s="123" t="str">
        <f>'[2]2021 УГРЦТ'!A109</f>
        <v>Система охранно-пожарной сигнализации в производственных помещениях ТМЦ ГУП НАО "Нарьян-Марская электростанция"</v>
      </c>
      <c r="B107" s="124" t="str">
        <f>'[2]2021 УГРЦТ'!B109</f>
        <v>000001732</v>
      </c>
      <c r="C107" s="124" t="str">
        <f>VLOOKUP(A:A,'2023-2027'!A:L,1,+FALSE)</f>
        <v>Система охранно-пожарной сигнализации в производственных помещениях ТМЦ ГУП НАО "Нарьян-Марская электростанция"</v>
      </c>
      <c r="D107" s="124" t="str">
        <f>'[2]2021 УГРЦТ'!C109</f>
        <v>ПРОИЗВОДСТВО</v>
      </c>
      <c r="E107" s="124" t="str">
        <f>'[2]2021 УГРЦТ'!D109</f>
        <v>Машины и оборудование (кроме офисного)</v>
      </c>
      <c r="F107" s="124" t="str">
        <f>'[2]2021 УГРЦТ'!E109</f>
        <v>31.05.2018</v>
      </c>
      <c r="G107" s="124" t="str">
        <f>'[2]2021 УГРЦТ'!F109</f>
        <v>Тепломеханический цех</v>
      </c>
      <c r="H107" s="124">
        <f>'[2]2021 УГРЦТ'!AC109</f>
        <v>180</v>
      </c>
      <c r="I107" s="107">
        <f>'[2]2021 УГРЦТ'!X109</f>
        <v>235520.27</v>
      </c>
      <c r="J107" s="107">
        <f>'[2]2021 УГРЦТ'!Y109</f>
        <v>56263.301333333329</v>
      </c>
      <c r="K107" s="107">
        <f>'[2]2021 УГРЦТ'!Z109</f>
        <v>179256.96866666665</v>
      </c>
      <c r="L107" s="125" t="e">
        <f>SUMIF([2]облаг!$B$2:$B$259,B107,[2]облаг!$D$2:$D$259)</f>
        <v>#VALUE!</v>
      </c>
      <c r="M107" s="107">
        <f t="shared" si="74"/>
        <v>1308.4459444444444</v>
      </c>
      <c r="N107" s="107">
        <f t="shared" si="75"/>
        <v>15701.351333333332</v>
      </c>
      <c r="O107" s="107">
        <f t="shared" si="76"/>
        <v>177948.5227222222</v>
      </c>
      <c r="P107" s="107">
        <f t="shared" si="77"/>
        <v>176640.07677777775</v>
      </c>
      <c r="Q107" s="107">
        <f t="shared" si="78"/>
        <v>175331.6308333333</v>
      </c>
      <c r="R107" s="107">
        <f t="shared" si="79"/>
        <v>174023.18488888885</v>
      </c>
      <c r="S107" s="107">
        <f t="shared" si="80"/>
        <v>172714.7389444444</v>
      </c>
      <c r="T107" s="107">
        <f t="shared" si="81"/>
        <v>171406.29299999995</v>
      </c>
      <c r="U107" s="107">
        <f t="shared" si="82"/>
        <v>170097.8470555555</v>
      </c>
      <c r="V107" s="107">
        <f t="shared" si="83"/>
        <v>168789.40111111104</v>
      </c>
      <c r="W107" s="107">
        <f t="shared" si="84"/>
        <v>167480.95516666659</v>
      </c>
      <c r="X107" s="107">
        <f t="shared" si="85"/>
        <v>166172.50922222214</v>
      </c>
      <c r="Y107" s="107">
        <f t="shared" si="86"/>
        <v>164864.06327777769</v>
      </c>
      <c r="Z107" s="107">
        <f t="shared" si="87"/>
        <v>163555.61733333324</v>
      </c>
      <c r="AA107" s="107"/>
      <c r="AB107" s="107"/>
      <c r="AC107" s="107">
        <f t="shared" si="88"/>
        <v>15701.351333333332</v>
      </c>
      <c r="AD107" s="107">
        <f t="shared" si="89"/>
        <v>162247.17138888879</v>
      </c>
      <c r="AE107" s="107">
        <f t="shared" si="90"/>
        <v>160938.72544444434</v>
      </c>
      <c r="AF107" s="107">
        <f t="shared" si="91"/>
        <v>159630.27949999989</v>
      </c>
      <c r="AG107" s="107">
        <f t="shared" si="92"/>
        <v>158321.83355555544</v>
      </c>
      <c r="AH107" s="107">
        <f t="shared" si="93"/>
        <v>157013.38761111099</v>
      </c>
      <c r="AI107" s="107">
        <f t="shared" si="94"/>
        <v>155704.94166666653</v>
      </c>
      <c r="AJ107" s="107">
        <f t="shared" si="95"/>
        <v>154396.49572222208</v>
      </c>
      <c r="AK107" s="107">
        <f t="shared" si="96"/>
        <v>153088.04977777763</v>
      </c>
      <c r="AL107" s="107">
        <f t="shared" si="97"/>
        <v>151779.60383333318</v>
      </c>
      <c r="AM107" s="107">
        <f t="shared" si="98"/>
        <v>150471.15788888873</v>
      </c>
      <c r="AN107" s="107">
        <f t="shared" si="99"/>
        <v>149162.71194444428</v>
      </c>
      <c r="AO107" s="107">
        <f t="shared" si="100"/>
        <v>147854.26599999983</v>
      </c>
      <c r="AP107" s="107"/>
      <c r="AQ107" s="126"/>
      <c r="AR107" s="107">
        <f t="shared" si="101"/>
        <v>15701.351333333332</v>
      </c>
      <c r="AS107" s="107">
        <f>AO107-M107</f>
        <v>146545.82005555538</v>
      </c>
      <c r="AT107" s="107">
        <f>AS107-M107</f>
        <v>145237.37411111093</v>
      </c>
      <c r="AU107" s="107">
        <f>AT107-M107</f>
        <v>143928.92816666648</v>
      </c>
      <c r="AV107" s="107">
        <f>AU107-M107</f>
        <v>142620.48222222202</v>
      </c>
      <c r="AW107" s="107">
        <f>AV107-M107</f>
        <v>141312.03627777757</v>
      </c>
      <c r="AX107" s="107">
        <f>AW107-M107</f>
        <v>140003.59033333312</v>
      </c>
      <c r="AY107" s="107">
        <f>AX107-M107</f>
        <v>138695.14438888867</v>
      </c>
      <c r="AZ107" s="107">
        <f>AY107-M107</f>
        <v>137386.69844444422</v>
      </c>
      <c r="BA107" s="107">
        <f>AZ107-M107</f>
        <v>136078.25249999977</v>
      </c>
      <c r="BB107" s="107">
        <f>BA107-M107</f>
        <v>134769.80655555532</v>
      </c>
      <c r="BC107" s="107">
        <f>BB107-M107</f>
        <v>133461.36061111087</v>
      </c>
      <c r="BD107" s="107">
        <f>BC107-M107</f>
        <v>132152.91466666642</v>
      </c>
      <c r="BE107" s="10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127"/>
      <c r="BQ107" s="127"/>
      <c r="BR107" s="127"/>
      <c r="BS107" s="127"/>
      <c r="BT107" s="127"/>
      <c r="BU107" s="127"/>
      <c r="BV107" s="127"/>
      <c r="BW107" s="127"/>
    </row>
    <row r="108" spans="1:75" ht="56.25" hidden="1" x14ac:dyDescent="0.2">
      <c r="A108" s="123" t="str">
        <f>'[2]2021 УГРЦТ'!A110</f>
        <v>Система охранно-пожарной сигнализации в производственных помещениях ЭЦ ГУП НАО "Нарьян-Марская электростанция"</v>
      </c>
      <c r="B108" s="124" t="str">
        <f>'[2]2021 УГРЦТ'!B110</f>
        <v>000001729</v>
      </c>
      <c r="C108" s="124" t="str">
        <f>VLOOKUP(A:A,'2023-2027'!A:L,1,+FALSE)</f>
        <v>Система охранно-пожарной сигнализации в производственных помещениях ЭЦ ГУП НАО "Нарьян-Марская электростанция"</v>
      </c>
      <c r="D108" s="124" t="str">
        <f>'[2]2021 УГРЦТ'!C110</f>
        <v>ПРОИЗВОДСТВО</v>
      </c>
      <c r="E108" s="124" t="str">
        <f>'[2]2021 УГРЦТ'!D110</f>
        <v>Машины и оборудование (кроме офисного)</v>
      </c>
      <c r="F108" s="124" t="str">
        <f>'[2]2021 УГРЦТ'!E110</f>
        <v>31.05.2018</v>
      </c>
      <c r="G108" s="124" t="str">
        <f>'[2]2021 УГРЦТ'!F110</f>
        <v>Электрический цех</v>
      </c>
      <c r="H108" s="124">
        <f>'[2]2021 УГРЦТ'!AC110</f>
        <v>180</v>
      </c>
      <c r="I108" s="107">
        <f>'[2]2021 УГРЦТ'!X110</f>
        <v>41824.660000000003</v>
      </c>
      <c r="J108" s="107">
        <f>'[2]2021 УГРЦТ'!Y110</f>
        <v>9991.470666666668</v>
      </c>
      <c r="K108" s="107">
        <f>'[2]2021 УГРЦТ'!Z110</f>
        <v>31833.189333333336</v>
      </c>
      <c r="L108" s="125" t="e">
        <f>SUMIF([2]облаг!$B$2:$B$259,B108,[2]облаг!$D$2:$D$259)</f>
        <v>#VALUE!</v>
      </c>
      <c r="M108" s="107">
        <f t="shared" si="74"/>
        <v>232.35922222222223</v>
      </c>
      <c r="N108" s="107">
        <f t="shared" si="75"/>
        <v>2788.3106666666667</v>
      </c>
      <c r="O108" s="107">
        <f t="shared" si="76"/>
        <v>31600.830111111114</v>
      </c>
      <c r="P108" s="107">
        <f t="shared" si="77"/>
        <v>31368.470888888893</v>
      </c>
      <c r="Q108" s="107">
        <f t="shared" si="78"/>
        <v>31136.111666666671</v>
      </c>
      <c r="R108" s="107">
        <f t="shared" si="79"/>
        <v>30903.75244444445</v>
      </c>
      <c r="S108" s="107">
        <f t="shared" si="80"/>
        <v>30671.393222222228</v>
      </c>
      <c r="T108" s="107">
        <f t="shared" si="81"/>
        <v>30439.034000000007</v>
      </c>
      <c r="U108" s="107">
        <f t="shared" si="82"/>
        <v>30206.674777777785</v>
      </c>
      <c r="V108" s="107">
        <f t="shared" si="83"/>
        <v>29974.315555555564</v>
      </c>
      <c r="W108" s="107">
        <f t="shared" si="84"/>
        <v>29741.956333333343</v>
      </c>
      <c r="X108" s="107">
        <f t="shared" si="85"/>
        <v>29509.597111111121</v>
      </c>
      <c r="Y108" s="107">
        <f t="shared" si="86"/>
        <v>29277.2378888889</v>
      </c>
      <c r="Z108" s="107">
        <f t="shared" si="87"/>
        <v>29044.878666666678</v>
      </c>
      <c r="AA108" s="107"/>
      <c r="AB108" s="107"/>
      <c r="AC108" s="107">
        <f t="shared" si="88"/>
        <v>2788.3106666666667</v>
      </c>
      <c r="AD108" s="107">
        <f t="shared" si="89"/>
        <v>28812.519444444457</v>
      </c>
      <c r="AE108" s="107">
        <f t="shared" si="90"/>
        <v>28580.160222222235</v>
      </c>
      <c r="AF108" s="107">
        <f t="shared" si="91"/>
        <v>28347.801000000014</v>
      </c>
      <c r="AG108" s="107">
        <f t="shared" si="92"/>
        <v>28115.441777777793</v>
      </c>
      <c r="AH108" s="107">
        <f t="shared" si="93"/>
        <v>27883.082555555571</v>
      </c>
      <c r="AI108" s="107">
        <f t="shared" si="94"/>
        <v>27650.72333333335</v>
      </c>
      <c r="AJ108" s="107">
        <f t="shared" si="95"/>
        <v>27418.364111111128</v>
      </c>
      <c r="AK108" s="107">
        <f t="shared" si="96"/>
        <v>27186.004888888907</v>
      </c>
      <c r="AL108" s="107">
        <f t="shared" si="97"/>
        <v>26953.645666666685</v>
      </c>
      <c r="AM108" s="107">
        <f t="shared" si="98"/>
        <v>26721.286444444464</v>
      </c>
      <c r="AN108" s="107">
        <f t="shared" si="99"/>
        <v>26488.927222222243</v>
      </c>
      <c r="AO108" s="107">
        <f t="shared" si="100"/>
        <v>26256.568000000021</v>
      </c>
      <c r="AP108" s="107"/>
      <c r="AQ108" s="126"/>
      <c r="AR108" s="107">
        <f t="shared" si="101"/>
        <v>2788.3106666666667</v>
      </c>
      <c r="AS108" s="107">
        <f>AO108-M108</f>
        <v>26024.2087777778</v>
      </c>
      <c r="AT108" s="107">
        <f>AS108-M108</f>
        <v>25791.849555555578</v>
      </c>
      <c r="AU108" s="107">
        <f>AT108-M108</f>
        <v>25559.490333333357</v>
      </c>
      <c r="AV108" s="107">
        <f>AU108-M108</f>
        <v>25327.131111111135</v>
      </c>
      <c r="AW108" s="107">
        <f>AV108-M108</f>
        <v>25094.771888888914</v>
      </c>
      <c r="AX108" s="107">
        <f>AW108-M108</f>
        <v>24862.412666666693</v>
      </c>
      <c r="AY108" s="107">
        <f>AX108-M108</f>
        <v>24630.053444444471</v>
      </c>
      <c r="AZ108" s="107">
        <f>AY108-M108</f>
        <v>24397.69422222225</v>
      </c>
      <c r="BA108" s="107">
        <f>AZ108-M108</f>
        <v>24165.335000000028</v>
      </c>
      <c r="BB108" s="107">
        <f>BA108-M108</f>
        <v>23932.975777777807</v>
      </c>
      <c r="BC108" s="107">
        <f>BB108-M108</f>
        <v>23700.616555555585</v>
      </c>
      <c r="BD108" s="107">
        <f>BC108-M108</f>
        <v>23468.257333333364</v>
      </c>
      <c r="BE108" s="107"/>
      <c r="BF108" s="127"/>
      <c r="BG108" s="127"/>
      <c r="BH108" s="127"/>
      <c r="BI108" s="127"/>
      <c r="BJ108" s="127"/>
      <c r="BK108" s="127"/>
      <c r="BL108" s="127"/>
      <c r="BM108" s="127"/>
      <c r="BN108" s="127"/>
      <c r="BO108" s="127"/>
      <c r="BP108" s="127"/>
      <c r="BQ108" s="127"/>
      <c r="BR108" s="127"/>
      <c r="BS108" s="127"/>
      <c r="BT108" s="127"/>
      <c r="BU108" s="127"/>
      <c r="BV108" s="127"/>
      <c r="BW108" s="127"/>
    </row>
    <row r="109" spans="1:75" hidden="1" x14ac:dyDescent="0.2">
      <c r="A109" s="123" t="str">
        <f>'[2]2021 УГРЦТ'!A111</f>
        <v>Смотровой колодец Копосов ВП</v>
      </c>
      <c r="B109" s="124" t="str">
        <f>'[2]2021 УГРЦТ'!B111</f>
        <v>00001233</v>
      </c>
      <c r="C109" s="124" t="str">
        <f>VLOOKUP(A:A,'2023-2027'!A:L,1,+FALSE)</f>
        <v>Смотровой колодец Копосов ВП</v>
      </c>
      <c r="D109" s="124" t="str">
        <f>'[2]2021 УГРЦТ'!C111</f>
        <v>ПРОИЗВОДСТВО</v>
      </c>
      <c r="E109" s="124" t="str">
        <f>'[2]2021 УГРЦТ'!D111</f>
        <v>Сооружения</v>
      </c>
      <c r="F109" s="124" t="str">
        <f>'[2]2021 УГРЦТ'!E111</f>
        <v>31.08.2010</v>
      </c>
      <c r="G109" s="124" t="str">
        <f>'[2]2021 УГРЦТ'!F111</f>
        <v>Тепломеханический цех</v>
      </c>
      <c r="H109" s="124">
        <f>'[2]2021 УГРЦТ'!AC111</f>
        <v>300</v>
      </c>
      <c r="I109" s="107">
        <f>'[2]2021 УГРЦТ'!X111</f>
        <v>56080</v>
      </c>
      <c r="J109" s="107">
        <f>'[2]2021 УГРЦТ'!Y111</f>
        <v>25422.52</v>
      </c>
      <c r="K109" s="107">
        <f>'[2]2021 УГРЦТ'!Z111</f>
        <v>30657.48</v>
      </c>
      <c r="L109" s="125" t="e">
        <f>SUMIF([2]облаг!$B$2:$B$259,B109,[2]облаг!$D$2:$D$259)</f>
        <v>#VALUE!</v>
      </c>
      <c r="M109" s="107">
        <f t="shared" si="74"/>
        <v>186.93333333333334</v>
      </c>
      <c r="N109" s="107">
        <f t="shared" si="75"/>
        <v>2243.1999999999998</v>
      </c>
      <c r="O109" s="107">
        <f t="shared" si="76"/>
        <v>30470.546666666665</v>
      </c>
      <c r="P109" s="107">
        <f t="shared" si="77"/>
        <v>30283.613333333331</v>
      </c>
      <c r="Q109" s="107">
        <f t="shared" si="78"/>
        <v>30096.679999999997</v>
      </c>
      <c r="R109" s="107">
        <f t="shared" si="79"/>
        <v>29909.746666666662</v>
      </c>
      <c r="S109" s="107">
        <f t="shared" si="80"/>
        <v>29722.813333333328</v>
      </c>
      <c r="T109" s="107">
        <f t="shared" si="81"/>
        <v>29535.879999999994</v>
      </c>
      <c r="U109" s="107">
        <f t="shared" si="82"/>
        <v>29348.946666666659</v>
      </c>
      <c r="V109" s="107">
        <f t="shared" si="83"/>
        <v>29162.013333333325</v>
      </c>
      <c r="W109" s="107">
        <f t="shared" si="84"/>
        <v>28975.079999999991</v>
      </c>
      <c r="X109" s="107">
        <f t="shared" si="85"/>
        <v>28788.146666666657</v>
      </c>
      <c r="Y109" s="107">
        <f t="shared" si="86"/>
        <v>28601.213333333322</v>
      </c>
      <c r="Z109" s="107">
        <f t="shared" si="87"/>
        <v>28414.279999999988</v>
      </c>
      <c r="AA109" s="107">
        <f>SUM(O109:Z109,K109)/13*$AA$2</f>
        <v>649.78935999999987</v>
      </c>
      <c r="AB109" s="107"/>
      <c r="AC109" s="107">
        <f t="shared" si="88"/>
        <v>2243.1999999999998</v>
      </c>
      <c r="AD109" s="107">
        <f t="shared" si="89"/>
        <v>28227.346666666654</v>
      </c>
      <c r="AE109" s="107">
        <f t="shared" si="90"/>
        <v>28040.413333333319</v>
      </c>
      <c r="AF109" s="107">
        <f t="shared" si="91"/>
        <v>27853.479999999985</v>
      </c>
      <c r="AG109" s="107">
        <f t="shared" si="92"/>
        <v>27666.546666666651</v>
      </c>
      <c r="AH109" s="107">
        <f t="shared" si="93"/>
        <v>27479.613333333316</v>
      </c>
      <c r="AI109" s="107">
        <f t="shared" si="94"/>
        <v>27292.679999999982</v>
      </c>
      <c r="AJ109" s="107">
        <f t="shared" si="95"/>
        <v>27105.746666666648</v>
      </c>
      <c r="AK109" s="107">
        <f t="shared" si="96"/>
        <v>26918.813333333313</v>
      </c>
      <c r="AL109" s="107">
        <f t="shared" si="97"/>
        <v>26731.879999999979</v>
      </c>
      <c r="AM109" s="107">
        <f t="shared" si="98"/>
        <v>26544.946666666645</v>
      </c>
      <c r="AN109" s="107">
        <f t="shared" si="99"/>
        <v>26358.013333333311</v>
      </c>
      <c r="AO109" s="107">
        <f t="shared" si="100"/>
        <v>26171.079999999976</v>
      </c>
      <c r="AP109" s="107">
        <f>SUM(AD109:AO109,Z109)/13*$AP$2</f>
        <v>600.4389599999995</v>
      </c>
      <c r="AQ109" s="126"/>
      <c r="AR109" s="107">
        <f t="shared" si="101"/>
        <v>2243.1999999999998</v>
      </c>
      <c r="AS109" s="107">
        <f>AO109-M109</f>
        <v>25984.146666666642</v>
      </c>
      <c r="AT109" s="107">
        <f>AS109-M109</f>
        <v>25797.213333333308</v>
      </c>
      <c r="AU109" s="107">
        <f>AT109-M109</f>
        <v>25610.279999999973</v>
      </c>
      <c r="AV109" s="107">
        <f>AU109-M109</f>
        <v>25423.346666666639</v>
      </c>
      <c r="AW109" s="107">
        <f>AV109-M109</f>
        <v>25236.413333333305</v>
      </c>
      <c r="AX109" s="107">
        <f>AW109-M109</f>
        <v>25049.47999999997</v>
      </c>
      <c r="AY109" s="107">
        <f>AX109-M109</f>
        <v>24862.546666666636</v>
      </c>
      <c r="AZ109" s="107">
        <f>AY109-M109</f>
        <v>24675.613333333302</v>
      </c>
      <c r="BA109" s="107">
        <f>AZ109-M109</f>
        <v>24488.679999999968</v>
      </c>
      <c r="BB109" s="107">
        <f>BA109-M109</f>
        <v>24301.746666666633</v>
      </c>
      <c r="BC109" s="107">
        <f>BB109-M109</f>
        <v>24114.813333333299</v>
      </c>
      <c r="BD109" s="107">
        <f>BC109-M109</f>
        <v>23927.879999999965</v>
      </c>
      <c r="BE109" s="107">
        <f>SUM(AS109:BD109,AO109)/13*$BE$2</f>
        <v>551.08855999999923</v>
      </c>
      <c r="BF109" s="127"/>
      <c r="BG109" s="127"/>
      <c r="BH109" s="127"/>
      <c r="BI109" s="127"/>
      <c r="BJ109" s="127"/>
      <c r="BK109" s="127"/>
      <c r="BL109" s="127"/>
      <c r="BM109" s="127"/>
      <c r="BN109" s="127"/>
      <c r="BO109" s="127"/>
      <c r="BP109" s="127"/>
      <c r="BQ109" s="127"/>
      <c r="BR109" s="127"/>
      <c r="BS109" s="127"/>
      <c r="BT109" s="127"/>
      <c r="BU109" s="127"/>
      <c r="BV109" s="127"/>
      <c r="BW109" s="127"/>
    </row>
    <row r="110" spans="1:75" hidden="1" x14ac:dyDescent="0.2">
      <c r="A110" s="123" t="str">
        <f>'[2]2021 УГРЦТ'!A112</f>
        <v>Станок сверлильный 2С125-04</v>
      </c>
      <c r="B110" s="124" t="str">
        <f>'[2]2021 УГРЦТ'!B112</f>
        <v>000001517</v>
      </c>
      <c r="C110" s="124" t="str">
        <f>VLOOKUP(A:A,'2023-2027'!A:L,1,+FALSE)</f>
        <v>Станок сверлильный 2С125-04</v>
      </c>
      <c r="D110" s="124" t="str">
        <f>'[2]2021 УГРЦТ'!C112</f>
        <v>ПРОИЗВОДСТВО</v>
      </c>
      <c r="E110" s="124" t="str">
        <f>'[2]2021 УГРЦТ'!D112</f>
        <v>Машины и оборудование (кроме офисного)</v>
      </c>
      <c r="F110" s="124" t="str">
        <f>'[2]2021 УГРЦТ'!E112</f>
        <v>22.03.2013</v>
      </c>
      <c r="G110" s="124" t="str">
        <f>'[2]2021 УГРЦТ'!F112</f>
        <v>Тепломеханический цех</v>
      </c>
      <c r="H110" s="124">
        <f>'[2]2021 УГРЦТ'!AC112</f>
        <v>120</v>
      </c>
      <c r="I110" s="107">
        <f>'[2]2021 УГРЦТ'!X112</f>
        <v>163516.95000000001</v>
      </c>
      <c r="J110" s="107">
        <f>'[2]2021 УГРЦТ'!Y112</f>
        <v>143077.215</v>
      </c>
      <c r="K110" s="107">
        <f>'[2]2021 УГРЦТ'!Z112</f>
        <v>20439.735000000015</v>
      </c>
      <c r="L110" s="125" t="e">
        <f>SUMIF([2]облаг!$B$2:$B$259,B110,[2]облаг!$D$2:$D$259)</f>
        <v>#VALUE!</v>
      </c>
      <c r="M110" s="107">
        <f t="shared" si="74"/>
        <v>1362.6412500000001</v>
      </c>
      <c r="N110" s="107">
        <f t="shared" si="75"/>
        <v>16351.695000000002</v>
      </c>
      <c r="O110" s="107">
        <f t="shared" si="76"/>
        <v>19077.093750000015</v>
      </c>
      <c r="P110" s="107">
        <f t="shared" si="77"/>
        <v>17714.452500000014</v>
      </c>
      <c r="Q110" s="107">
        <f t="shared" si="78"/>
        <v>16351.811250000013</v>
      </c>
      <c r="R110" s="107">
        <f t="shared" si="79"/>
        <v>14989.170000000013</v>
      </c>
      <c r="S110" s="107">
        <f t="shared" si="80"/>
        <v>13626.528750000012</v>
      </c>
      <c r="T110" s="107">
        <f t="shared" si="81"/>
        <v>12263.887500000012</v>
      </c>
      <c r="U110" s="107">
        <f t="shared" si="82"/>
        <v>10901.246250000011</v>
      </c>
      <c r="V110" s="107">
        <f t="shared" si="83"/>
        <v>9538.6050000000105</v>
      </c>
      <c r="W110" s="107">
        <f t="shared" si="84"/>
        <v>8175.9637500000099</v>
      </c>
      <c r="X110" s="107">
        <f t="shared" si="85"/>
        <v>6813.3225000000093</v>
      </c>
      <c r="Y110" s="107">
        <f t="shared" si="86"/>
        <v>5450.6812500000087</v>
      </c>
      <c r="Z110" s="107">
        <f t="shared" si="87"/>
        <v>4088.0400000000086</v>
      </c>
      <c r="AA110" s="107"/>
      <c r="AB110" s="107"/>
      <c r="AC110" s="107">
        <f>AD110</f>
        <v>2725.3987500000085</v>
      </c>
      <c r="AD110" s="107">
        <f t="shared" si="89"/>
        <v>2725.3987500000085</v>
      </c>
      <c r="AE110" s="107">
        <f t="shared" si="90"/>
        <v>1362.7575000000083</v>
      </c>
      <c r="AF110" s="107">
        <f t="shared" si="91"/>
        <v>0.11625000000822183</v>
      </c>
      <c r="AG110" s="107">
        <v>0</v>
      </c>
      <c r="AH110" s="107">
        <v>0</v>
      </c>
      <c r="AI110" s="107">
        <v>0</v>
      </c>
      <c r="AJ110" s="107">
        <v>0</v>
      </c>
      <c r="AK110" s="107">
        <v>0</v>
      </c>
      <c r="AL110" s="107">
        <v>0</v>
      </c>
      <c r="AM110" s="107">
        <v>0</v>
      </c>
      <c r="AN110" s="107">
        <v>0</v>
      </c>
      <c r="AO110" s="107">
        <v>0</v>
      </c>
      <c r="AP110" s="107"/>
      <c r="AQ110" s="126"/>
      <c r="AR110" s="107">
        <v>0</v>
      </c>
      <c r="AS110" s="107">
        <v>0</v>
      </c>
      <c r="AT110" s="107">
        <v>0</v>
      </c>
      <c r="AU110" s="107">
        <v>0</v>
      </c>
      <c r="AV110" s="107">
        <v>0</v>
      </c>
      <c r="AW110" s="107">
        <v>0</v>
      </c>
      <c r="AX110" s="107">
        <v>0</v>
      </c>
      <c r="AY110" s="107">
        <v>0</v>
      </c>
      <c r="AZ110" s="107">
        <v>0</v>
      </c>
      <c r="BA110" s="107">
        <v>0</v>
      </c>
      <c r="BB110" s="107">
        <v>0</v>
      </c>
      <c r="BC110" s="107">
        <v>0</v>
      </c>
      <c r="BD110" s="107">
        <v>0</v>
      </c>
      <c r="BE110" s="124"/>
    </row>
    <row r="111" spans="1:75" ht="22.5" hidden="1" x14ac:dyDescent="0.2">
      <c r="A111" s="123" t="str">
        <f>'[2]2021 УГРЦТ'!A113</f>
        <v>Стенд из белого пластика ПВХ 6мм. Размер -2050x2400 мм</v>
      </c>
      <c r="B111" s="124" t="str">
        <f>'[2]2021 УГРЦТ'!B113</f>
        <v>000001734</v>
      </c>
      <c r="C111" s="124" t="str">
        <f>VLOOKUP(A:A,'2023-2027'!A:L,1,+FALSE)</f>
        <v>Стенд из белого пластика ПВХ 6мм. Размер -2050x2400 мм</v>
      </c>
      <c r="D111" s="124" t="str">
        <f>'[2]2021 УГРЦТ'!C113</f>
        <v>ПРОИЗВОДСТВО</v>
      </c>
      <c r="E111" s="124" t="str">
        <f>'[2]2021 УГРЦТ'!D113</f>
        <v>Производственный и хозяйственный инвентарь</v>
      </c>
      <c r="F111" s="124" t="str">
        <f>'[2]2021 УГРЦТ'!E113</f>
        <v>28.06.2018</v>
      </c>
      <c r="G111" s="124" t="str">
        <f>'[2]2021 УГРЦТ'!F113</f>
        <v>Электрический цех</v>
      </c>
      <c r="H111" s="124">
        <f>'[2]2021 УГРЦТ'!AC113</f>
        <v>60</v>
      </c>
      <c r="I111" s="107">
        <f>'[2]2021 УГРЦТ'!X113</f>
        <v>49704</v>
      </c>
      <c r="J111" s="107">
        <f>'[2]2021 УГРЦТ'!Y113</f>
        <v>34792.799999999996</v>
      </c>
      <c r="K111" s="107">
        <f>'[2]2021 УГРЦТ'!Z113</f>
        <v>14911.200000000004</v>
      </c>
      <c r="L111" s="125" t="e">
        <f>SUMIF([2]облаг!$B$2:$B$259,B111,[2]облаг!$D$2:$D$259)</f>
        <v>#VALUE!</v>
      </c>
      <c r="M111" s="107">
        <f t="shared" si="74"/>
        <v>828.4</v>
      </c>
      <c r="N111" s="107">
        <f t="shared" si="75"/>
        <v>9940.7999999999993</v>
      </c>
      <c r="O111" s="107">
        <f t="shared" si="76"/>
        <v>14082.800000000005</v>
      </c>
      <c r="P111" s="107">
        <f t="shared" si="77"/>
        <v>13254.400000000005</v>
      </c>
      <c r="Q111" s="107">
        <f t="shared" si="78"/>
        <v>12426.000000000005</v>
      </c>
      <c r="R111" s="107">
        <f t="shared" si="79"/>
        <v>11597.600000000006</v>
      </c>
      <c r="S111" s="107">
        <f t="shared" si="80"/>
        <v>10769.200000000006</v>
      </c>
      <c r="T111" s="107">
        <f t="shared" si="81"/>
        <v>9940.8000000000065</v>
      </c>
      <c r="U111" s="107">
        <f t="shared" si="82"/>
        <v>9112.4000000000069</v>
      </c>
      <c r="V111" s="107">
        <f t="shared" si="83"/>
        <v>8284.0000000000073</v>
      </c>
      <c r="W111" s="107">
        <f t="shared" si="84"/>
        <v>7455.6000000000076</v>
      </c>
      <c r="X111" s="107">
        <f t="shared" si="85"/>
        <v>6627.200000000008</v>
      </c>
      <c r="Y111" s="107">
        <f t="shared" si="86"/>
        <v>5798.8000000000084</v>
      </c>
      <c r="Z111" s="107">
        <f t="shared" si="87"/>
        <v>4970.4000000000087</v>
      </c>
      <c r="AA111" s="107"/>
      <c r="AB111" s="107"/>
      <c r="AC111" s="107">
        <f>AD111</f>
        <v>4142.0000000000091</v>
      </c>
      <c r="AD111" s="107">
        <f t="shared" si="89"/>
        <v>4142.0000000000091</v>
      </c>
      <c r="AE111" s="107">
        <f t="shared" si="90"/>
        <v>3313.600000000009</v>
      </c>
      <c r="AF111" s="107">
        <f t="shared" si="91"/>
        <v>2485.2000000000089</v>
      </c>
      <c r="AG111" s="107">
        <f t="shared" si="92"/>
        <v>1656.8000000000088</v>
      </c>
      <c r="AH111" s="107">
        <f t="shared" si="93"/>
        <v>828.40000000000884</v>
      </c>
      <c r="AI111" s="107">
        <f t="shared" si="94"/>
        <v>8.8675733422860503E-12</v>
      </c>
      <c r="AJ111" s="107">
        <v>0</v>
      </c>
      <c r="AK111" s="107">
        <v>0</v>
      </c>
      <c r="AL111" s="107">
        <v>0</v>
      </c>
      <c r="AM111" s="107">
        <v>0</v>
      </c>
      <c r="AN111" s="107">
        <v>0</v>
      </c>
      <c r="AO111" s="107">
        <v>0</v>
      </c>
      <c r="AP111" s="107"/>
      <c r="AQ111" s="126"/>
      <c r="AR111" s="107">
        <v>0</v>
      </c>
      <c r="AS111" s="107">
        <v>0</v>
      </c>
      <c r="AT111" s="107">
        <v>0</v>
      </c>
      <c r="AU111" s="107">
        <v>0</v>
      </c>
      <c r="AV111" s="107">
        <v>0</v>
      </c>
      <c r="AW111" s="107">
        <v>0</v>
      </c>
      <c r="AX111" s="107">
        <v>0</v>
      </c>
      <c r="AY111" s="107">
        <v>0</v>
      </c>
      <c r="AZ111" s="107">
        <v>0</v>
      </c>
      <c r="BA111" s="107">
        <v>0</v>
      </c>
      <c r="BB111" s="107">
        <v>0</v>
      </c>
      <c r="BC111" s="107">
        <v>0</v>
      </c>
      <c r="BD111" s="107">
        <v>0</v>
      </c>
      <c r="BE111" s="124"/>
    </row>
    <row r="112" spans="1:75" ht="33.75" hidden="1" x14ac:dyDescent="0.2">
      <c r="A112" s="123" t="str">
        <f>'[2]2021 УГРЦТ'!A114</f>
        <v>Технолог-кие трубопроводы(маслоподача, КВОУ) 2003г</v>
      </c>
      <c r="B112" s="124" t="str">
        <f>'[2]2021 УГРЦТ'!B114</f>
        <v>00000497</v>
      </c>
      <c r="C112" s="124" t="str">
        <f>VLOOKUP(A:A,'2023-2027'!A:L,1,+FALSE)</f>
        <v>Технолог-кие трубопроводы(маслоподача, КВОУ) 2003г</v>
      </c>
      <c r="D112" s="124" t="str">
        <f>'[2]2021 УГРЦТ'!C114</f>
        <v>ПРОИЗВОДСТВО</v>
      </c>
      <c r="E112" s="124" t="str">
        <f>'[2]2021 УГРЦТ'!D114</f>
        <v>Сооружения</v>
      </c>
      <c r="F112" s="124" t="str">
        <f>'[2]2021 УГРЦТ'!E114</f>
        <v>01.10.2003</v>
      </c>
      <c r="G112" s="124" t="str">
        <f>'[2]2021 УГРЦТ'!F114</f>
        <v>Газотурбинный цех</v>
      </c>
      <c r="H112" s="124">
        <f>'[2]2021 УГРЦТ'!AC114</f>
        <v>240</v>
      </c>
      <c r="I112" s="107">
        <v>157899.6</v>
      </c>
      <c r="J112" s="107">
        <v>143426.5</v>
      </c>
      <c r="K112" s="107">
        <v>14473.100000000006</v>
      </c>
      <c r="L112" s="125" t="e">
        <f>SUMIF([2]облаг!$B$2:$B$259,B112,[2]облаг!$D$2:$D$259)</f>
        <v>#VALUE!</v>
      </c>
      <c r="M112" s="107">
        <f t="shared" si="74"/>
        <v>657.91500000000008</v>
      </c>
      <c r="N112" s="107">
        <f t="shared" si="75"/>
        <v>7894.9800000000014</v>
      </c>
      <c r="O112" s="107">
        <f t="shared" si="76"/>
        <v>13815.185000000005</v>
      </c>
      <c r="P112" s="107">
        <f t="shared" si="77"/>
        <v>13157.270000000004</v>
      </c>
      <c r="Q112" s="107">
        <f t="shared" si="78"/>
        <v>12499.355000000003</v>
      </c>
      <c r="R112" s="107">
        <f t="shared" si="79"/>
        <v>11841.440000000002</v>
      </c>
      <c r="S112" s="107">
        <f t="shared" si="80"/>
        <v>11183.525000000001</v>
      </c>
      <c r="T112" s="107">
        <f t="shared" si="81"/>
        <v>10525.61</v>
      </c>
      <c r="U112" s="107">
        <f t="shared" si="82"/>
        <v>9867.6949999999997</v>
      </c>
      <c r="V112" s="107">
        <f t="shared" si="83"/>
        <v>9209.7799999999988</v>
      </c>
      <c r="W112" s="107">
        <f t="shared" si="84"/>
        <v>8551.864999999998</v>
      </c>
      <c r="X112" s="107">
        <f t="shared" si="85"/>
        <v>7893.949999999998</v>
      </c>
      <c r="Y112" s="107">
        <f t="shared" si="86"/>
        <v>7236.034999999998</v>
      </c>
      <c r="Z112" s="107">
        <f t="shared" si="87"/>
        <v>6578.1199999999981</v>
      </c>
      <c r="AA112" s="107">
        <f>SUM(O112:Z112,K112)/13*$AA$2</f>
        <v>231.56341999999995</v>
      </c>
      <c r="AB112" s="107"/>
      <c r="AC112" s="107">
        <f>AD112</f>
        <v>5920.2049999999981</v>
      </c>
      <c r="AD112" s="107">
        <f t="shared" si="89"/>
        <v>5920.2049999999981</v>
      </c>
      <c r="AE112" s="107">
        <f t="shared" si="90"/>
        <v>5262.2899999999981</v>
      </c>
      <c r="AF112" s="107">
        <f t="shared" si="91"/>
        <v>4604.3749999999982</v>
      </c>
      <c r="AG112" s="107">
        <f t="shared" si="92"/>
        <v>3946.4599999999982</v>
      </c>
      <c r="AH112" s="107">
        <f t="shared" si="93"/>
        <v>3288.5449999999983</v>
      </c>
      <c r="AI112" s="107">
        <f t="shared" si="94"/>
        <v>2630.6299999999983</v>
      </c>
      <c r="AJ112" s="107">
        <f t="shared" si="95"/>
        <v>1972.7149999999983</v>
      </c>
      <c r="AK112" s="107">
        <f t="shared" si="96"/>
        <v>1314.7999999999984</v>
      </c>
      <c r="AL112" s="107">
        <f t="shared" si="97"/>
        <v>656.88499999999829</v>
      </c>
      <c r="AM112" s="107">
        <v>0</v>
      </c>
      <c r="AN112" s="107">
        <v>0</v>
      </c>
      <c r="AO112" s="107">
        <v>0</v>
      </c>
      <c r="AP112" s="107">
        <f t="shared" ref="AP112:AP113" si="106">SUM(AD112:AO112,Z112)/13*$AP$2</f>
        <v>61.219273076923038</v>
      </c>
      <c r="AQ112" s="126"/>
      <c r="AR112" s="107">
        <v>0</v>
      </c>
      <c r="AS112" s="107">
        <v>0</v>
      </c>
      <c r="AT112" s="107">
        <v>0</v>
      </c>
      <c r="AU112" s="107">
        <v>0</v>
      </c>
      <c r="AV112" s="107">
        <v>0</v>
      </c>
      <c r="AW112" s="107">
        <v>0</v>
      </c>
      <c r="AX112" s="107">
        <v>0</v>
      </c>
      <c r="AY112" s="107">
        <v>0</v>
      </c>
      <c r="AZ112" s="107">
        <v>0</v>
      </c>
      <c r="BA112" s="107">
        <v>0</v>
      </c>
      <c r="BB112" s="107">
        <v>0</v>
      </c>
      <c r="BC112" s="107">
        <v>0</v>
      </c>
      <c r="BD112" s="107">
        <v>0</v>
      </c>
      <c r="BE112" s="107">
        <f>SUM(AS112:BD112,AO112)/13*$BE$2</f>
        <v>0</v>
      </c>
      <c r="BG112" s="127"/>
      <c r="BV112" s="127"/>
    </row>
    <row r="113" spans="1:75" hidden="1" x14ac:dyDescent="0.2">
      <c r="A113" s="123" t="str">
        <f>'[2]2021 УГРЦТ'!A115</f>
        <v>Топливопровод</v>
      </c>
      <c r="B113" s="124" t="str">
        <f>'[2]2021 УГРЦТ'!B115</f>
        <v>000001834</v>
      </c>
      <c r="C113" s="124" t="str">
        <f>VLOOKUP(A:A,'2023-2027'!A:L,1,+FALSE)</f>
        <v>Топливопровод</v>
      </c>
      <c r="D113" s="124" t="str">
        <f>'[2]2021 УГРЦТ'!C115</f>
        <v>ПРОИЗВОДСТВО</v>
      </c>
      <c r="E113" s="124" t="str">
        <f>'[2]2021 УГРЦТ'!D115</f>
        <v>Сооружения</v>
      </c>
      <c r="F113" s="124" t="str">
        <f>'[2]2021 УГРЦТ'!E115</f>
        <v>30.12.2020</v>
      </c>
      <c r="G113" s="124" t="str">
        <f>'[2]2021 УГРЦТ'!F115</f>
        <v>ДЭС п.Красное</v>
      </c>
      <c r="H113" s="124">
        <f>'[2]2021 УГРЦТ'!AC115</f>
        <v>180</v>
      </c>
      <c r="I113" s="107">
        <f>'[2]2021 УГРЦТ'!X115</f>
        <v>570753.76</v>
      </c>
      <c r="J113" s="107">
        <f>'[2]2021 УГРЦТ'!Y115</f>
        <v>38050.250666666674</v>
      </c>
      <c r="K113" s="107">
        <f>'[2]2021 УГРЦТ'!Z115</f>
        <v>532703.50933333335</v>
      </c>
      <c r="L113" s="125" t="e">
        <f>SUMIF([2]облаг!$B$2:$B$259,B113,[2]облаг!$D$2:$D$259)</f>
        <v>#VALUE!</v>
      </c>
      <c r="M113" s="107">
        <f t="shared" si="74"/>
        <v>3170.8542222222222</v>
      </c>
      <c r="N113" s="107">
        <f t="shared" si="75"/>
        <v>38050.250666666667</v>
      </c>
      <c r="O113" s="107">
        <f t="shared" si="76"/>
        <v>529532.65511111112</v>
      </c>
      <c r="P113" s="107">
        <f t="shared" si="77"/>
        <v>526361.80088888889</v>
      </c>
      <c r="Q113" s="107">
        <f t="shared" si="78"/>
        <v>523190.94666666666</v>
      </c>
      <c r="R113" s="107">
        <f t="shared" si="79"/>
        <v>520020.09244444442</v>
      </c>
      <c r="S113" s="107">
        <f t="shared" si="80"/>
        <v>516849.23822222219</v>
      </c>
      <c r="T113" s="107">
        <f t="shared" si="81"/>
        <v>513678.38399999996</v>
      </c>
      <c r="U113" s="107">
        <f t="shared" si="82"/>
        <v>510507.52977777773</v>
      </c>
      <c r="V113" s="107">
        <f t="shared" si="83"/>
        <v>507336.6755555555</v>
      </c>
      <c r="W113" s="107">
        <f t="shared" si="84"/>
        <v>504165.82133333327</v>
      </c>
      <c r="X113" s="107">
        <f t="shared" si="85"/>
        <v>500994.96711111104</v>
      </c>
      <c r="Y113" s="107">
        <f t="shared" si="86"/>
        <v>497824.11288888881</v>
      </c>
      <c r="Z113" s="107">
        <f t="shared" si="87"/>
        <v>494653.25866666657</v>
      </c>
      <c r="AA113" s="107">
        <f>SUM(O113:Z113,K113)/13*$AA$2</f>
        <v>11300.924447999998</v>
      </c>
      <c r="AB113" s="107"/>
      <c r="AC113" s="107">
        <f t="shared" si="88"/>
        <v>38050.250666666667</v>
      </c>
      <c r="AD113" s="107">
        <f t="shared" si="89"/>
        <v>491482.40444444434</v>
      </c>
      <c r="AE113" s="107">
        <f t="shared" si="90"/>
        <v>488311.55022222211</v>
      </c>
      <c r="AF113" s="107">
        <f t="shared" si="91"/>
        <v>485140.69599999988</v>
      </c>
      <c r="AG113" s="107">
        <f t="shared" si="92"/>
        <v>481969.84177777765</v>
      </c>
      <c r="AH113" s="107">
        <f t="shared" si="93"/>
        <v>478798.98755555542</v>
      </c>
      <c r="AI113" s="107">
        <f t="shared" si="94"/>
        <v>475628.13333333319</v>
      </c>
      <c r="AJ113" s="107">
        <f t="shared" si="95"/>
        <v>472457.27911111095</v>
      </c>
      <c r="AK113" s="107">
        <f t="shared" si="96"/>
        <v>469286.42488888872</v>
      </c>
      <c r="AL113" s="107">
        <f t="shared" si="97"/>
        <v>466115.57066666649</v>
      </c>
      <c r="AM113" s="107">
        <f t="shared" si="98"/>
        <v>462944.71644444426</v>
      </c>
      <c r="AN113" s="107">
        <f t="shared" si="99"/>
        <v>459773.86222222203</v>
      </c>
      <c r="AO113" s="107">
        <f t="shared" si="100"/>
        <v>456603.0079999998</v>
      </c>
      <c r="AP113" s="107">
        <f t="shared" si="106"/>
        <v>10463.818933333328</v>
      </c>
      <c r="AQ113" s="126"/>
      <c r="AR113" s="107">
        <f t="shared" si="101"/>
        <v>38050.250666666667</v>
      </c>
      <c r="AS113" s="107">
        <f>AO113-M113</f>
        <v>453432.15377777757</v>
      </c>
      <c r="AT113" s="107">
        <f>AS113-M113</f>
        <v>450261.29955555534</v>
      </c>
      <c r="AU113" s="107">
        <f>AT113-M113</f>
        <v>447090.4453333331</v>
      </c>
      <c r="AV113" s="107">
        <f>AU113-M113</f>
        <v>443919.59111111087</v>
      </c>
      <c r="AW113" s="107">
        <f>AV113-M113</f>
        <v>440748.73688888864</v>
      </c>
      <c r="AX113" s="107">
        <f>AW113-M113</f>
        <v>437577.88266666641</v>
      </c>
      <c r="AY113" s="107">
        <f>AX113-M113</f>
        <v>434407.02844444418</v>
      </c>
      <c r="AZ113" s="107">
        <f>AY113-M113</f>
        <v>431236.17422222195</v>
      </c>
      <c r="BA113" s="107">
        <f>AZ113-M113</f>
        <v>428065.31999999972</v>
      </c>
      <c r="BB113" s="107">
        <f>BA113-M113</f>
        <v>424894.46577777748</v>
      </c>
      <c r="BC113" s="107">
        <f>BB113-M113</f>
        <v>421723.61155555525</v>
      </c>
      <c r="BD113" s="107">
        <f>BC113-M113</f>
        <v>418552.75733333302</v>
      </c>
      <c r="BE113" s="107">
        <f>SUM(AS113:BD113,AO113)/13*$BE$2</f>
        <v>9626.713418666659</v>
      </c>
      <c r="BF113" s="127"/>
      <c r="BG113" s="127"/>
      <c r="BH113" s="127"/>
      <c r="BI113" s="127"/>
      <c r="BJ113" s="127"/>
      <c r="BK113" s="127"/>
      <c r="BL113" s="127"/>
      <c r="BM113" s="127"/>
      <c r="BN113" s="127"/>
      <c r="BO113" s="127"/>
      <c r="BP113" s="127"/>
      <c r="BQ113" s="127"/>
      <c r="BR113" s="127"/>
      <c r="BS113" s="127"/>
      <c r="BT113" s="127"/>
      <c r="BU113" s="127"/>
      <c r="BV113" s="127"/>
      <c r="BW113" s="127"/>
    </row>
    <row r="114" spans="1:75" ht="22.5" hidden="1" x14ac:dyDescent="0.2">
      <c r="A114" s="123" t="str">
        <f>'[2]2021 УГРЦТ'!A116</f>
        <v>Топливоразд колонка Ливенка-4110</v>
      </c>
      <c r="B114" s="124" t="str">
        <f>'[2]2021 УГРЦТ'!B116</f>
        <v>00001121</v>
      </c>
      <c r="C114" s="124" t="str">
        <f>VLOOKUP(A:A,'2023-2027'!A:L,1,+FALSE)</f>
        <v>Топливоразд колонка Ливенка-4110</v>
      </c>
      <c r="D114" s="124" t="str">
        <f>'[2]2021 УГРЦТ'!C116</f>
        <v>ПРОИЗВОДСТВО</v>
      </c>
      <c r="E114" s="124" t="str">
        <f>'[2]2021 УГРЦТ'!D116</f>
        <v>Машины и оборудование (кроме офисного)</v>
      </c>
      <c r="F114" s="124" t="str">
        <f>'[2]2021 УГРЦТ'!E116</f>
        <v>30.06.2009</v>
      </c>
      <c r="G114" s="124" t="str">
        <f>'[2]2021 УГРЦТ'!F116</f>
        <v>Тепломеханический цех</v>
      </c>
      <c r="H114" s="124">
        <f>'[2]2021 УГРЦТ'!AC116</f>
        <v>84</v>
      </c>
      <c r="I114" s="107">
        <f>'[2]2021 УГРЦТ'!X116</f>
        <v>0</v>
      </c>
      <c r="J114" s="107">
        <f>'[2]2021 УГРЦТ'!Y116</f>
        <v>0</v>
      </c>
      <c r="K114" s="107">
        <f>'[2]2021 УГРЦТ'!Z116</f>
        <v>0</v>
      </c>
      <c r="L114" s="125" t="e">
        <f>SUMIF([2]облаг!$B$2:$B$259,B114,[2]облаг!$D$2:$D$259)</f>
        <v>#VALUE!</v>
      </c>
      <c r="M114" s="107">
        <f t="shared" si="74"/>
        <v>0</v>
      </c>
      <c r="N114" s="107">
        <f t="shared" si="75"/>
        <v>0</v>
      </c>
      <c r="O114" s="107">
        <f t="shared" si="76"/>
        <v>0</v>
      </c>
      <c r="P114" s="107">
        <f t="shared" si="77"/>
        <v>0</v>
      </c>
      <c r="Q114" s="107">
        <f t="shared" si="78"/>
        <v>0</v>
      </c>
      <c r="R114" s="107">
        <f t="shared" si="79"/>
        <v>0</v>
      </c>
      <c r="S114" s="107">
        <f t="shared" si="80"/>
        <v>0</v>
      </c>
      <c r="T114" s="107">
        <f t="shared" si="81"/>
        <v>0</v>
      </c>
      <c r="U114" s="107">
        <f t="shared" si="82"/>
        <v>0</v>
      </c>
      <c r="V114" s="107">
        <f t="shared" si="83"/>
        <v>0</v>
      </c>
      <c r="W114" s="107">
        <f t="shared" si="84"/>
        <v>0</v>
      </c>
      <c r="X114" s="107">
        <f t="shared" si="85"/>
        <v>0</v>
      </c>
      <c r="Y114" s="107">
        <f t="shared" si="86"/>
        <v>0</v>
      </c>
      <c r="Z114" s="107">
        <f t="shared" si="87"/>
        <v>0</v>
      </c>
      <c r="AA114" s="107"/>
      <c r="AB114" s="107"/>
      <c r="AC114" s="107">
        <f t="shared" si="88"/>
        <v>0</v>
      </c>
      <c r="AD114" s="107">
        <f t="shared" si="89"/>
        <v>0</v>
      </c>
      <c r="AE114" s="107">
        <f t="shared" si="90"/>
        <v>0</v>
      </c>
      <c r="AF114" s="107">
        <f t="shared" si="91"/>
        <v>0</v>
      </c>
      <c r="AG114" s="107">
        <f t="shared" si="92"/>
        <v>0</v>
      </c>
      <c r="AH114" s="107">
        <f t="shared" si="93"/>
        <v>0</v>
      </c>
      <c r="AI114" s="107">
        <f t="shared" si="94"/>
        <v>0</v>
      </c>
      <c r="AJ114" s="107">
        <f t="shared" si="95"/>
        <v>0</v>
      </c>
      <c r="AK114" s="107">
        <f t="shared" si="96"/>
        <v>0</v>
      </c>
      <c r="AL114" s="107">
        <f t="shared" si="97"/>
        <v>0</v>
      </c>
      <c r="AM114" s="107">
        <f t="shared" si="98"/>
        <v>0</v>
      </c>
      <c r="AN114" s="107">
        <f t="shared" si="99"/>
        <v>0</v>
      </c>
      <c r="AO114" s="107">
        <f t="shared" si="100"/>
        <v>0</v>
      </c>
      <c r="AP114" s="107"/>
      <c r="AQ114" s="126"/>
      <c r="AR114" s="107">
        <f t="shared" si="101"/>
        <v>0</v>
      </c>
      <c r="AS114" s="107">
        <f>AO114-M114</f>
        <v>0</v>
      </c>
      <c r="AT114" s="107">
        <f>AS114-M114</f>
        <v>0</v>
      </c>
      <c r="AU114" s="107">
        <f>AT114-M114</f>
        <v>0</v>
      </c>
      <c r="AV114" s="107">
        <f>AU114-M114</f>
        <v>0</v>
      </c>
      <c r="AW114" s="107">
        <f>AV114-M114</f>
        <v>0</v>
      </c>
      <c r="AX114" s="107">
        <f>AW114-M114</f>
        <v>0</v>
      </c>
      <c r="AY114" s="107">
        <f>AX114-M114</f>
        <v>0</v>
      </c>
      <c r="AZ114" s="107">
        <f>AY114-M114</f>
        <v>0</v>
      </c>
      <c r="BA114" s="107">
        <f>AZ114-M114</f>
        <v>0</v>
      </c>
      <c r="BB114" s="107">
        <f>BA114-M114</f>
        <v>0</v>
      </c>
      <c r="BC114" s="107">
        <f>BB114-M114</f>
        <v>0</v>
      </c>
      <c r="BD114" s="107">
        <f>BC114-M114</f>
        <v>0</v>
      </c>
      <c r="BE114" s="124"/>
    </row>
    <row r="115" spans="1:75" hidden="1" x14ac:dyDescent="0.2">
      <c r="A115" s="123" t="str">
        <f>'[2]2021 УГРЦТ'!A117</f>
        <v>ТП "Амбулатория" п.Красное</v>
      </c>
      <c r="B115" s="124" t="str">
        <f>'[2]2021 УГРЦТ'!B117</f>
        <v>000001615</v>
      </c>
      <c r="C115" s="124" t="str">
        <f>VLOOKUP(A:A,'2023-2027'!A:L,1,+FALSE)</f>
        <v>ТП "Амбулатория" п.Красное</v>
      </c>
      <c r="D115" s="124" t="str">
        <f>'[2]2021 УГРЦТ'!C117</f>
        <v>ПРОИЗВОДСТВО</v>
      </c>
      <c r="E115" s="124" t="str">
        <f>'[2]2021 УГРЦТ'!D117</f>
        <v>Сооружения</v>
      </c>
      <c r="F115" s="124" t="str">
        <f>'[2]2021 УГРЦТ'!E117</f>
        <v>30.04.2014</v>
      </c>
      <c r="G115" s="124" t="str">
        <f>'[2]2021 УГРЦТ'!F117</f>
        <v>ДЭС п.Красное</v>
      </c>
      <c r="H115" s="124">
        <f>'[2]2021 УГРЦТ'!AC117</f>
        <v>240</v>
      </c>
      <c r="I115" s="107">
        <f>'[2]2021 УГРЦТ'!X117</f>
        <v>2007810.99</v>
      </c>
      <c r="J115" s="107">
        <f>'[2]2021 УГРЦТ'!Y117</f>
        <v>769660.9495000001</v>
      </c>
      <c r="K115" s="107">
        <f>'[2]2021 УГРЦТ'!Z117</f>
        <v>1238150.0404999999</v>
      </c>
      <c r="L115" s="125" t="e">
        <f>SUMIF([2]облаг!$B$2:$B$259,B115,[2]облаг!$D$2:$D$259)</f>
        <v>#VALUE!</v>
      </c>
      <c r="M115" s="107">
        <f t="shared" si="74"/>
        <v>8365.8791249999995</v>
      </c>
      <c r="N115" s="107">
        <f t="shared" si="75"/>
        <v>100390.54949999999</v>
      </c>
      <c r="O115" s="107">
        <f t="shared" si="76"/>
        <v>1229784.1613749999</v>
      </c>
      <c r="P115" s="107">
        <f t="shared" si="77"/>
        <v>1221418.2822499999</v>
      </c>
      <c r="Q115" s="107">
        <f t="shared" si="78"/>
        <v>1213052.403125</v>
      </c>
      <c r="R115" s="107">
        <f t="shared" si="79"/>
        <v>1204686.524</v>
      </c>
      <c r="S115" s="107">
        <f t="shared" si="80"/>
        <v>1196320.644875</v>
      </c>
      <c r="T115" s="107">
        <f t="shared" si="81"/>
        <v>1187954.76575</v>
      </c>
      <c r="U115" s="107">
        <f t="shared" si="82"/>
        <v>1179588.886625</v>
      </c>
      <c r="V115" s="107">
        <f t="shared" si="83"/>
        <v>1171223.0075000001</v>
      </c>
      <c r="W115" s="107">
        <f t="shared" si="84"/>
        <v>1162857.1283750001</v>
      </c>
      <c r="X115" s="107">
        <f t="shared" si="85"/>
        <v>1154491.2492500001</v>
      </c>
      <c r="Y115" s="107">
        <f t="shared" si="86"/>
        <v>1146125.3701250001</v>
      </c>
      <c r="Z115" s="107">
        <f t="shared" si="87"/>
        <v>1137759.4910000002</v>
      </c>
      <c r="AA115" s="107">
        <f>SUM(O115:Z115,K115)/13*$AA$2</f>
        <v>26135.0048465</v>
      </c>
      <c r="AB115" s="107"/>
      <c r="AC115" s="107">
        <f t="shared" si="88"/>
        <v>100390.54949999999</v>
      </c>
      <c r="AD115" s="107">
        <f t="shared" si="89"/>
        <v>1129393.6118750002</v>
      </c>
      <c r="AE115" s="107">
        <f t="shared" si="90"/>
        <v>1121027.7327500002</v>
      </c>
      <c r="AF115" s="107">
        <f t="shared" si="91"/>
        <v>1112661.8536250002</v>
      </c>
      <c r="AG115" s="107">
        <f t="shared" si="92"/>
        <v>1104295.9745000002</v>
      </c>
      <c r="AH115" s="107">
        <f t="shared" si="93"/>
        <v>1095930.0953750003</v>
      </c>
      <c r="AI115" s="107">
        <f t="shared" si="94"/>
        <v>1087564.2162500003</v>
      </c>
      <c r="AJ115" s="107">
        <f t="shared" si="95"/>
        <v>1079198.3371250003</v>
      </c>
      <c r="AK115" s="107">
        <f t="shared" si="96"/>
        <v>1070832.4580000003</v>
      </c>
      <c r="AL115" s="107">
        <f t="shared" si="97"/>
        <v>1062466.5788750004</v>
      </c>
      <c r="AM115" s="107">
        <f t="shared" si="98"/>
        <v>1054100.6997500004</v>
      </c>
      <c r="AN115" s="107">
        <f t="shared" si="99"/>
        <v>1045734.8206250004</v>
      </c>
      <c r="AO115" s="107">
        <f t="shared" si="100"/>
        <v>1037368.9415000004</v>
      </c>
      <c r="AP115" s="107">
        <f>SUM(AD115:AO115,Z115)/13*$AP$2</f>
        <v>23926.412757500006</v>
      </c>
      <c r="AQ115" s="126"/>
      <c r="AR115" s="107">
        <f t="shared" si="101"/>
        <v>100390.54949999999</v>
      </c>
      <c r="AS115" s="107">
        <f>AO115-M115</f>
        <v>1029003.0623750004</v>
      </c>
      <c r="AT115" s="107">
        <f>AS115-M115</f>
        <v>1020637.1832500005</v>
      </c>
      <c r="AU115" s="107">
        <f>AT115-M115</f>
        <v>1012271.3041250005</v>
      </c>
      <c r="AV115" s="107">
        <f>AU115-M115</f>
        <v>1003905.4250000005</v>
      </c>
      <c r="AW115" s="107">
        <f>AV115-M115</f>
        <v>995539.54587500053</v>
      </c>
      <c r="AX115" s="107">
        <f>AW115-M115</f>
        <v>987173.66675000056</v>
      </c>
      <c r="AY115" s="107">
        <f>AX115-M115</f>
        <v>978807.78762500058</v>
      </c>
      <c r="AZ115" s="107">
        <f>AY115-M115</f>
        <v>970441.9085000006</v>
      </c>
      <c r="BA115" s="107">
        <f>AZ115-M115</f>
        <v>962076.02937500062</v>
      </c>
      <c r="BB115" s="107">
        <f>BA115-M115</f>
        <v>953710.15025000065</v>
      </c>
      <c r="BC115" s="107">
        <f>BB115-M115</f>
        <v>945344.27112500067</v>
      </c>
      <c r="BD115" s="107">
        <f>BC115-M115</f>
        <v>936978.39200000069</v>
      </c>
      <c r="BE115" s="107">
        <f>SUM(AS115:BD115,AO115)/13*$BE$2</f>
        <v>21717.820668500015</v>
      </c>
      <c r="BF115" s="127"/>
      <c r="BG115" s="127"/>
      <c r="BH115" s="127"/>
      <c r="BI115" s="127"/>
      <c r="BJ115" s="127"/>
      <c r="BK115" s="127"/>
      <c r="BL115" s="127"/>
      <c r="BM115" s="127"/>
      <c r="BN115" s="127"/>
      <c r="BO115" s="127"/>
      <c r="BP115" s="127"/>
      <c r="BQ115" s="127"/>
      <c r="BR115" s="127"/>
      <c r="BS115" s="127"/>
      <c r="BT115" s="127"/>
      <c r="BU115" s="127"/>
      <c r="BV115" s="127"/>
      <c r="BW115" s="127"/>
    </row>
    <row r="116" spans="1:75" ht="33.75" hidden="1" x14ac:dyDescent="0.2">
      <c r="A116" s="123" t="str">
        <f>'[2]2021 УГРЦТ'!A118</f>
        <v>Трансформатор напряжения НАЛИ-СЭЩ-6-16-0.5/0.5/3Р-75/75/75 У2</v>
      </c>
      <c r="B116" s="124" t="str">
        <f>'[2]2021 УГРЦТ'!B118</f>
        <v>000001550</v>
      </c>
      <c r="C116" s="124" t="str">
        <f>VLOOKUP(A:A,'2023-2027'!A:L,1,+FALSE)</f>
        <v>Трансформатор напряжения НАЛИ-СЭЩ-6-16-0.5/0.5/3Р-75/75/75 У2</v>
      </c>
      <c r="D116" s="124" t="str">
        <f>'[2]2021 УГРЦТ'!C118</f>
        <v>ПРОИЗВОДСТВО</v>
      </c>
      <c r="E116" s="124" t="str">
        <f>'[2]2021 УГРЦТ'!D118</f>
        <v>Машины и оборудование (кроме офисного)</v>
      </c>
      <c r="F116" s="124" t="str">
        <f>'[2]2021 УГРЦТ'!E118</f>
        <v>30.09.2013</v>
      </c>
      <c r="G116" s="124" t="str">
        <f>'[2]2021 УГРЦТ'!F118</f>
        <v>Электрический цех</v>
      </c>
      <c r="H116" s="124">
        <f>'[2]2021 УГРЦТ'!AC118</f>
        <v>120</v>
      </c>
      <c r="I116" s="107">
        <f>'[2]2021 УГРЦТ'!X118</f>
        <v>55250</v>
      </c>
      <c r="J116" s="107">
        <f>'[2]2021 УГРЦТ'!Y118</f>
        <v>45581.54</v>
      </c>
      <c r="K116" s="107">
        <f>'[2]2021 УГРЦТ'!Z118</f>
        <v>9668.4599999999991</v>
      </c>
      <c r="L116" s="125" t="e">
        <f>SUMIF([2]облаг!$B$2:$B$259,B116,[2]облаг!$D$2:$D$259)</f>
        <v>#VALUE!</v>
      </c>
      <c r="M116" s="107">
        <f t="shared" si="74"/>
        <v>460.41666666666669</v>
      </c>
      <c r="N116" s="107">
        <f t="shared" si="75"/>
        <v>5525</v>
      </c>
      <c r="O116" s="107">
        <f t="shared" si="76"/>
        <v>9208.0433333333331</v>
      </c>
      <c r="P116" s="107">
        <f t="shared" si="77"/>
        <v>8747.626666666667</v>
      </c>
      <c r="Q116" s="107">
        <f t="shared" si="78"/>
        <v>8287.2100000000009</v>
      </c>
      <c r="R116" s="107">
        <f t="shared" si="79"/>
        <v>7826.793333333334</v>
      </c>
      <c r="S116" s="107">
        <f t="shared" si="80"/>
        <v>7366.376666666667</v>
      </c>
      <c r="T116" s="107">
        <f t="shared" si="81"/>
        <v>6905.96</v>
      </c>
      <c r="U116" s="107">
        <f t="shared" si="82"/>
        <v>6445.5433333333331</v>
      </c>
      <c r="V116" s="107">
        <f t="shared" si="83"/>
        <v>5985.1266666666661</v>
      </c>
      <c r="W116" s="107">
        <f t="shared" si="84"/>
        <v>5524.7099999999991</v>
      </c>
      <c r="X116" s="107">
        <f t="shared" si="85"/>
        <v>5064.2933333333322</v>
      </c>
      <c r="Y116" s="107">
        <f t="shared" si="86"/>
        <v>4603.8766666666652</v>
      </c>
      <c r="Z116" s="107">
        <f t="shared" si="87"/>
        <v>4143.4599999999982</v>
      </c>
      <c r="AA116" s="107"/>
      <c r="AB116" s="107"/>
      <c r="AC116" s="107">
        <f>AD116</f>
        <v>3683.0433333333317</v>
      </c>
      <c r="AD116" s="107">
        <f t="shared" si="89"/>
        <v>3683.0433333333317</v>
      </c>
      <c r="AE116" s="107">
        <f t="shared" si="90"/>
        <v>3222.6266666666652</v>
      </c>
      <c r="AF116" s="107">
        <f t="shared" si="91"/>
        <v>2762.2099999999987</v>
      </c>
      <c r="AG116" s="107">
        <f t="shared" si="92"/>
        <v>2301.7933333333322</v>
      </c>
      <c r="AH116" s="107">
        <f t="shared" si="93"/>
        <v>1841.3766666666654</v>
      </c>
      <c r="AI116" s="107">
        <f t="shared" si="94"/>
        <v>1380.9599999999987</v>
      </c>
      <c r="AJ116" s="107">
        <f t="shared" si="95"/>
        <v>920.54333333333193</v>
      </c>
      <c r="AK116" s="107">
        <f t="shared" si="96"/>
        <v>460.12666666666524</v>
      </c>
      <c r="AL116" s="107">
        <v>0</v>
      </c>
      <c r="AM116" s="107">
        <v>0</v>
      </c>
      <c r="AN116" s="107">
        <v>0</v>
      </c>
      <c r="AO116" s="107">
        <v>0</v>
      </c>
      <c r="AP116" s="107"/>
      <c r="AQ116" s="126"/>
      <c r="AR116" s="107">
        <v>0</v>
      </c>
      <c r="AS116" s="107">
        <v>0</v>
      </c>
      <c r="AT116" s="107">
        <v>0</v>
      </c>
      <c r="AU116" s="107">
        <v>0</v>
      </c>
      <c r="AV116" s="107">
        <v>0</v>
      </c>
      <c r="AW116" s="107">
        <v>0</v>
      </c>
      <c r="AX116" s="107">
        <v>0</v>
      </c>
      <c r="AY116" s="107">
        <v>0</v>
      </c>
      <c r="AZ116" s="107">
        <v>0</v>
      </c>
      <c r="BA116" s="107">
        <v>0</v>
      </c>
      <c r="BB116" s="107">
        <v>0</v>
      </c>
      <c r="BC116" s="107">
        <v>0</v>
      </c>
      <c r="BD116" s="107">
        <v>0</v>
      </c>
      <c r="BE116" s="124"/>
    </row>
    <row r="117" spans="1:75" ht="22.5" hidden="1" x14ac:dyDescent="0.2">
      <c r="A117" s="123" t="str">
        <f>'[2]2021 УГРЦТ'!A119</f>
        <v>Трансформатор Силовой зх-фазный</v>
      </c>
      <c r="B117" s="124" t="str">
        <f>'[2]2021 УГРЦТ'!B119</f>
        <v>00001192</v>
      </c>
      <c r="C117" s="124" t="str">
        <f>VLOOKUP(A:A,'2023-2027'!A:L,1,+FALSE)</f>
        <v>Трансформатор Силовой зх-фазный</v>
      </c>
      <c r="D117" s="124" t="str">
        <f>'[2]2021 УГРЦТ'!C119</f>
        <v>ПРОИЗВОДСТВО</v>
      </c>
      <c r="E117" s="124" t="str">
        <f>'[2]2021 УГРЦТ'!D119</f>
        <v>Машины и оборудование (кроме офисного)</v>
      </c>
      <c r="F117" s="124" t="str">
        <f>'[2]2021 УГРЦТ'!E119</f>
        <v>31.03.2010</v>
      </c>
      <c r="G117" s="124" t="str">
        <f>'[2]2021 УГРЦТ'!F119</f>
        <v>Газотурбинный цех</v>
      </c>
      <c r="H117" s="124">
        <f>'[2]2021 УГРЦТ'!AC119</f>
        <v>240</v>
      </c>
      <c r="I117" s="107">
        <v>957000</v>
      </c>
      <c r="J117" s="107">
        <v>562237.5</v>
      </c>
      <c r="K117" s="107">
        <v>394762.5</v>
      </c>
      <c r="L117" s="125" t="e">
        <f>SUMIF([2]облаг!$B$2:$B$259,B117,[2]облаг!$D$2:$D$259)</f>
        <v>#VALUE!</v>
      </c>
      <c r="M117" s="107">
        <f t="shared" si="74"/>
        <v>3987.5</v>
      </c>
      <c r="N117" s="107">
        <f t="shared" si="75"/>
        <v>47850</v>
      </c>
      <c r="O117" s="107">
        <f t="shared" si="76"/>
        <v>390775</v>
      </c>
      <c r="P117" s="107">
        <f t="shared" si="77"/>
        <v>386787.5</v>
      </c>
      <c r="Q117" s="107">
        <f t="shared" si="78"/>
        <v>382800</v>
      </c>
      <c r="R117" s="107">
        <f t="shared" si="79"/>
        <v>378812.5</v>
      </c>
      <c r="S117" s="107">
        <f t="shared" si="80"/>
        <v>374825</v>
      </c>
      <c r="T117" s="107">
        <f t="shared" si="81"/>
        <v>370837.5</v>
      </c>
      <c r="U117" s="107">
        <f t="shared" si="82"/>
        <v>366850</v>
      </c>
      <c r="V117" s="107">
        <f t="shared" si="83"/>
        <v>362862.5</v>
      </c>
      <c r="W117" s="107">
        <f t="shared" si="84"/>
        <v>358875</v>
      </c>
      <c r="X117" s="107">
        <f t="shared" si="85"/>
        <v>354887.5</v>
      </c>
      <c r="Y117" s="107">
        <f t="shared" si="86"/>
        <v>350900</v>
      </c>
      <c r="Z117" s="107">
        <f t="shared" si="87"/>
        <v>346912.5</v>
      </c>
      <c r="AA117" s="107"/>
      <c r="AB117" s="107"/>
      <c r="AC117" s="107">
        <f t="shared" si="88"/>
        <v>47850</v>
      </c>
      <c r="AD117" s="107">
        <f t="shared" si="89"/>
        <v>342925</v>
      </c>
      <c r="AE117" s="107">
        <f t="shared" si="90"/>
        <v>338937.5</v>
      </c>
      <c r="AF117" s="107">
        <f t="shared" si="91"/>
        <v>334950</v>
      </c>
      <c r="AG117" s="107">
        <f t="shared" si="92"/>
        <v>330962.5</v>
      </c>
      <c r="AH117" s="107">
        <f t="shared" si="93"/>
        <v>326975</v>
      </c>
      <c r="AI117" s="107">
        <f t="shared" si="94"/>
        <v>322987.5</v>
      </c>
      <c r="AJ117" s="107">
        <f t="shared" si="95"/>
        <v>319000</v>
      </c>
      <c r="AK117" s="107">
        <f t="shared" si="96"/>
        <v>315012.5</v>
      </c>
      <c r="AL117" s="107">
        <f t="shared" si="97"/>
        <v>311025</v>
      </c>
      <c r="AM117" s="107">
        <f t="shared" si="98"/>
        <v>307037.5</v>
      </c>
      <c r="AN117" s="107">
        <f t="shared" si="99"/>
        <v>303050</v>
      </c>
      <c r="AO117" s="107">
        <f t="shared" si="100"/>
        <v>299062.5</v>
      </c>
      <c r="AP117" s="107"/>
      <c r="AQ117" s="126"/>
      <c r="AR117" s="107">
        <f t="shared" si="101"/>
        <v>47850</v>
      </c>
      <c r="AS117" s="107">
        <f t="shared" ref="AS117:AS144" si="107">AO117-M117</f>
        <v>295075</v>
      </c>
      <c r="AT117" s="107">
        <f t="shared" ref="AT117:AT144" si="108">AS117-M117</f>
        <v>291087.5</v>
      </c>
      <c r="AU117" s="107">
        <f t="shared" ref="AU117:AU144" si="109">AT117-M117</f>
        <v>287100</v>
      </c>
      <c r="AV117" s="107">
        <f t="shared" ref="AV117:AV144" si="110">AU117-M117</f>
        <v>283112.5</v>
      </c>
      <c r="AW117" s="107">
        <f t="shared" ref="AW117:AW144" si="111">AV117-M117</f>
        <v>279125</v>
      </c>
      <c r="AX117" s="107">
        <f t="shared" ref="AX117:AX144" si="112">AW117-M117</f>
        <v>275137.5</v>
      </c>
      <c r="AY117" s="107">
        <f t="shared" ref="AY117:AY144" si="113">AX117-M117</f>
        <v>271150</v>
      </c>
      <c r="AZ117" s="107">
        <f t="shared" ref="AZ117:AZ144" si="114">AY117-M117</f>
        <v>267162.5</v>
      </c>
      <c r="BA117" s="107">
        <f t="shared" ref="BA117:BA144" si="115">AZ117-M117</f>
        <v>263175</v>
      </c>
      <c r="BB117" s="107">
        <f t="shared" ref="BB117:BB144" si="116">BA117-M117</f>
        <v>259187.5</v>
      </c>
      <c r="BC117" s="107">
        <f t="shared" ref="BC117:BC144" si="117">BB117-M117</f>
        <v>255200</v>
      </c>
      <c r="BD117" s="107">
        <f t="shared" ref="BD117:BD144" si="118">BC117-M117</f>
        <v>251212.5</v>
      </c>
      <c r="BE117" s="107"/>
      <c r="BF117" s="127"/>
      <c r="BG117" s="127"/>
      <c r="BH117" s="127"/>
      <c r="BI117" s="127"/>
      <c r="BJ117" s="127"/>
      <c r="BK117" s="127"/>
      <c r="BL117" s="127"/>
      <c r="BM117" s="127"/>
      <c r="BN117" s="127"/>
      <c r="BO117" s="127"/>
      <c r="BP117" s="127"/>
      <c r="BQ117" s="127"/>
      <c r="BR117" s="127"/>
      <c r="BS117" s="127"/>
      <c r="BT117" s="127"/>
      <c r="BU117" s="127"/>
      <c r="BV117" s="127"/>
      <c r="BW117" s="127"/>
    </row>
    <row r="118" spans="1:75" ht="33.75" hidden="1" x14ac:dyDescent="0.2">
      <c r="A118" s="123" t="str">
        <f>'[2]2021 УГРЦТ'!A120</f>
        <v>Трансформаторная подстанция, адрес: Ненецкий АО, Заполярный р-н, Красное п, Мира ул</v>
      </c>
      <c r="B118" s="124" t="str">
        <f>'[2]2021 УГРЦТ'!B120</f>
        <v>000001721</v>
      </c>
      <c r="C118" s="124" t="str">
        <f>VLOOKUP(A:A,'2023-2027'!A:L,1,+FALSE)</f>
        <v>Трансформаторная подстанция, адрес: Ненецкий АО, Заполярный р-н, Красное п, Мира ул</v>
      </c>
      <c r="D118" s="124" t="str">
        <f>'[2]2021 УГРЦТ'!C120</f>
        <v>ПРОИЗВОДСТВО</v>
      </c>
      <c r="E118" s="124" t="str">
        <f>'[2]2021 УГРЦТ'!D120</f>
        <v>Здания</v>
      </c>
      <c r="F118" s="124" t="str">
        <f>'[2]2021 УГРЦТ'!E120</f>
        <v>03.05.2018</v>
      </c>
      <c r="G118" s="124" t="str">
        <f>'[2]2021 УГРЦТ'!F120</f>
        <v>ДЭС п.Красное</v>
      </c>
      <c r="H118" s="124">
        <f>'[2]2021 УГРЦТ'!AC120</f>
        <v>300</v>
      </c>
      <c r="I118" s="107">
        <v>6691539</v>
      </c>
      <c r="J118" s="107">
        <v>959120.59000000008</v>
      </c>
      <c r="K118" s="107">
        <v>5732418.4100000001</v>
      </c>
      <c r="L118" s="125" t="e">
        <f>SUMIF([2]облаг!$B$2:$B$259,B118,[2]облаг!$D$2:$D$259)</f>
        <v>#VALUE!</v>
      </c>
      <c r="M118" s="107">
        <f t="shared" si="74"/>
        <v>22305.13</v>
      </c>
      <c r="N118" s="107">
        <f t="shared" si="75"/>
        <v>267661.56</v>
      </c>
      <c r="O118" s="107">
        <f t="shared" si="76"/>
        <v>5710113.2800000003</v>
      </c>
      <c r="P118" s="107">
        <f t="shared" si="77"/>
        <v>5687808.1500000004</v>
      </c>
      <c r="Q118" s="107">
        <f t="shared" si="78"/>
        <v>5665503.0200000005</v>
      </c>
      <c r="R118" s="107">
        <f t="shared" si="79"/>
        <v>5643197.8900000006</v>
      </c>
      <c r="S118" s="107">
        <f t="shared" si="80"/>
        <v>5620892.7600000007</v>
      </c>
      <c r="T118" s="107">
        <f t="shared" si="81"/>
        <v>5598587.6300000008</v>
      </c>
      <c r="U118" s="107">
        <f t="shared" si="82"/>
        <v>5576282.5000000009</v>
      </c>
      <c r="V118" s="107">
        <f t="shared" si="83"/>
        <v>5553977.370000001</v>
      </c>
      <c r="W118" s="107">
        <f t="shared" si="84"/>
        <v>5531672.2400000012</v>
      </c>
      <c r="X118" s="107">
        <f t="shared" si="85"/>
        <v>5509367.1100000013</v>
      </c>
      <c r="Y118" s="107">
        <f t="shared" si="86"/>
        <v>5487061.9800000014</v>
      </c>
      <c r="Z118" s="107">
        <f t="shared" si="87"/>
        <v>5464756.8500000015</v>
      </c>
      <c r="AA118" s="107">
        <f>SUM(O118:Z118,K118)/13*$AA$2</f>
        <v>123168.92786000001</v>
      </c>
      <c r="AB118" s="107"/>
      <c r="AC118" s="107">
        <f t="shared" si="88"/>
        <v>267661.56</v>
      </c>
      <c r="AD118" s="107">
        <f t="shared" si="89"/>
        <v>5442451.7200000016</v>
      </c>
      <c r="AE118" s="107">
        <f t="shared" si="90"/>
        <v>5420146.5900000017</v>
      </c>
      <c r="AF118" s="107">
        <f t="shared" si="91"/>
        <v>5397841.4600000018</v>
      </c>
      <c r="AG118" s="107">
        <f t="shared" si="92"/>
        <v>5375536.3300000019</v>
      </c>
      <c r="AH118" s="107">
        <f t="shared" si="93"/>
        <v>5353231.200000002</v>
      </c>
      <c r="AI118" s="107">
        <f t="shared" si="94"/>
        <v>5330926.0700000022</v>
      </c>
      <c r="AJ118" s="107">
        <f t="shared" si="95"/>
        <v>5308620.9400000023</v>
      </c>
      <c r="AK118" s="107">
        <f t="shared" si="96"/>
        <v>5286315.8100000024</v>
      </c>
      <c r="AL118" s="107">
        <f t="shared" si="97"/>
        <v>5264010.6800000025</v>
      </c>
      <c r="AM118" s="107">
        <f t="shared" si="98"/>
        <v>5241705.5500000026</v>
      </c>
      <c r="AN118" s="107">
        <f t="shared" si="99"/>
        <v>5219400.4200000027</v>
      </c>
      <c r="AO118" s="107">
        <f t="shared" si="100"/>
        <v>5197095.2900000028</v>
      </c>
      <c r="AP118" s="107">
        <f t="shared" ref="AP118:AP122" si="119">SUM(AD118:AO118,Z118)/13*$AP$2</f>
        <v>117280.37354000004</v>
      </c>
      <c r="AQ118" s="126"/>
      <c r="AR118" s="107">
        <f t="shared" si="101"/>
        <v>267661.56</v>
      </c>
      <c r="AS118" s="107">
        <f t="shared" si="107"/>
        <v>5174790.1600000029</v>
      </c>
      <c r="AT118" s="107">
        <f t="shared" si="108"/>
        <v>5152485.0300000031</v>
      </c>
      <c r="AU118" s="107">
        <f t="shared" si="109"/>
        <v>5130179.9000000032</v>
      </c>
      <c r="AV118" s="107">
        <f t="shared" si="110"/>
        <v>5107874.7700000033</v>
      </c>
      <c r="AW118" s="107">
        <f t="shared" si="111"/>
        <v>5085569.6400000034</v>
      </c>
      <c r="AX118" s="107">
        <f t="shared" si="112"/>
        <v>5063264.5100000035</v>
      </c>
      <c r="AY118" s="107">
        <f t="shared" si="113"/>
        <v>5040959.3800000036</v>
      </c>
      <c r="AZ118" s="107">
        <f t="shared" si="114"/>
        <v>5018654.2500000037</v>
      </c>
      <c r="BA118" s="107">
        <f t="shared" si="115"/>
        <v>4996349.1200000038</v>
      </c>
      <c r="BB118" s="107">
        <f t="shared" si="116"/>
        <v>4974043.9900000039</v>
      </c>
      <c r="BC118" s="107">
        <f t="shared" si="117"/>
        <v>4951738.8600000041</v>
      </c>
      <c r="BD118" s="107">
        <f t="shared" si="118"/>
        <v>4929433.7300000042</v>
      </c>
      <c r="BE118" s="107">
        <f>SUM(AS118:BD118,AO118)/13*$BE$2</f>
        <v>111391.81922000009</v>
      </c>
      <c r="BF118" s="127"/>
      <c r="BG118" s="127"/>
      <c r="BH118" s="127"/>
      <c r="BI118" s="127"/>
      <c r="BJ118" s="127"/>
      <c r="BK118" s="127"/>
      <c r="BL118" s="127"/>
      <c r="BM118" s="127"/>
      <c r="BN118" s="127"/>
      <c r="BO118" s="127"/>
      <c r="BP118" s="127"/>
      <c r="BQ118" s="127"/>
      <c r="BR118" s="127"/>
      <c r="BS118" s="127"/>
      <c r="BT118" s="127"/>
      <c r="BU118" s="127"/>
      <c r="BV118" s="127"/>
      <c r="BW118" s="127"/>
    </row>
    <row r="119" spans="1:75" ht="45" hidden="1" x14ac:dyDescent="0.2">
      <c r="A119" s="123" t="str">
        <f>'[2]2021 УГРЦТ'!A121</f>
        <v>Третья очередь реконструкции Нарьян-Марской электростанции с разработкой ПСД в г. Нарьян-Маре</v>
      </c>
      <c r="B119" s="124" t="str">
        <f>'[2]2021 УГРЦТ'!B121</f>
        <v>000001520</v>
      </c>
      <c r="C119" s="124" t="str">
        <f>VLOOKUP(A:A,'2023-2027'!A:L,1,+FALSE)</f>
        <v>Третья очередь реконструкции Нарьян-Марской электростанции с разработкой ПСД в г. Нарьян-Маре</v>
      </c>
      <c r="D119" s="124" t="str">
        <f>'[2]2021 УГРЦТ'!C121</f>
        <v>ПРОИЗВОДСТВО</v>
      </c>
      <c r="E119" s="124" t="str">
        <f>'[2]2021 УГРЦТ'!D121</f>
        <v>Сооружения</v>
      </c>
      <c r="F119" s="124" t="str">
        <f>'[2]2021 УГРЦТ'!E121</f>
        <v>13.03.2013</v>
      </c>
      <c r="G119" s="124" t="str">
        <f>'[2]2021 УГРЦТ'!F121</f>
        <v>Электрический цех</v>
      </c>
      <c r="H119" s="124">
        <f>'[2]2021 УГРЦТ'!AC121</f>
        <v>180</v>
      </c>
      <c r="I119" s="107">
        <v>183736846.34</v>
      </c>
      <c r="J119" s="107">
        <v>106954325.58</v>
      </c>
      <c r="K119" s="107">
        <v>76782520.760000005</v>
      </c>
      <c r="L119" s="125" t="e">
        <f>SUMIF([2]облаг!$B$2:$B$259,B119,[2]облаг!$D$2:$D$259)</f>
        <v>#VALUE!</v>
      </c>
      <c r="M119" s="107">
        <f t="shared" si="74"/>
        <v>1020760.2574444445</v>
      </c>
      <c r="N119" s="107">
        <f t="shared" si="75"/>
        <v>12249123.089333333</v>
      </c>
      <c r="O119" s="107">
        <f t="shared" si="76"/>
        <v>75761760.502555564</v>
      </c>
      <c r="P119" s="107">
        <f t="shared" si="77"/>
        <v>74741000.245111123</v>
      </c>
      <c r="Q119" s="107">
        <f t="shared" si="78"/>
        <v>73720239.987666681</v>
      </c>
      <c r="R119" s="107">
        <f t="shared" si="79"/>
        <v>72699479.73022224</v>
      </c>
      <c r="S119" s="107">
        <f t="shared" si="80"/>
        <v>71678719.472777799</v>
      </c>
      <c r="T119" s="107">
        <f t="shared" si="81"/>
        <v>70657959.215333357</v>
      </c>
      <c r="U119" s="107">
        <f t="shared" si="82"/>
        <v>69637198.957888916</v>
      </c>
      <c r="V119" s="107">
        <f t="shared" si="83"/>
        <v>68616438.700444475</v>
      </c>
      <c r="W119" s="107">
        <f t="shared" si="84"/>
        <v>67595678.443000033</v>
      </c>
      <c r="X119" s="107">
        <f t="shared" si="85"/>
        <v>66574918.185555592</v>
      </c>
      <c r="Y119" s="107">
        <f t="shared" si="86"/>
        <v>65554157.928111151</v>
      </c>
      <c r="Z119" s="107">
        <f t="shared" si="87"/>
        <v>64533397.67066671</v>
      </c>
      <c r="AA119" s="107">
        <f>SUM(O119:Z119,K119)/13*$AA$2</f>
        <v>1554475.1027373339</v>
      </c>
      <c r="AB119" s="107"/>
      <c r="AC119" s="107">
        <f t="shared" si="88"/>
        <v>12249123.089333333</v>
      </c>
      <c r="AD119" s="107">
        <f t="shared" si="89"/>
        <v>63512637.413222268</v>
      </c>
      <c r="AE119" s="107">
        <f t="shared" si="90"/>
        <v>62491877.155777827</v>
      </c>
      <c r="AF119" s="107">
        <f t="shared" si="91"/>
        <v>61471116.898333386</v>
      </c>
      <c r="AG119" s="107">
        <f t="shared" si="92"/>
        <v>60450356.640888944</v>
      </c>
      <c r="AH119" s="107">
        <f t="shared" si="93"/>
        <v>59429596.383444503</v>
      </c>
      <c r="AI119" s="107">
        <f t="shared" si="94"/>
        <v>58408836.126000062</v>
      </c>
      <c r="AJ119" s="107">
        <f t="shared" si="95"/>
        <v>57388075.86855562</v>
      </c>
      <c r="AK119" s="107">
        <f t="shared" si="96"/>
        <v>56367315.611111179</v>
      </c>
      <c r="AL119" s="107">
        <f t="shared" si="97"/>
        <v>55346555.353666738</v>
      </c>
      <c r="AM119" s="107">
        <f t="shared" si="98"/>
        <v>54325795.096222296</v>
      </c>
      <c r="AN119" s="107">
        <f t="shared" si="99"/>
        <v>53305034.838777855</v>
      </c>
      <c r="AO119" s="107">
        <f t="shared" si="100"/>
        <v>52284274.581333414</v>
      </c>
      <c r="AP119" s="107">
        <f t="shared" si="119"/>
        <v>1284994.3947720011</v>
      </c>
      <c r="AQ119" s="126"/>
      <c r="AR119" s="107">
        <f t="shared" si="101"/>
        <v>12249123.089333333</v>
      </c>
      <c r="AS119" s="107">
        <f t="shared" si="107"/>
        <v>51263514.323888972</v>
      </c>
      <c r="AT119" s="107">
        <f t="shared" si="108"/>
        <v>50242754.066444531</v>
      </c>
      <c r="AU119" s="107">
        <f t="shared" si="109"/>
        <v>49221993.80900009</v>
      </c>
      <c r="AV119" s="107">
        <f t="shared" si="110"/>
        <v>48201233.551555648</v>
      </c>
      <c r="AW119" s="107">
        <f t="shared" si="111"/>
        <v>47180473.294111207</v>
      </c>
      <c r="AX119" s="107">
        <f t="shared" si="112"/>
        <v>46159713.036666766</v>
      </c>
      <c r="AY119" s="107">
        <f t="shared" si="113"/>
        <v>45138952.779222324</v>
      </c>
      <c r="AZ119" s="107">
        <f t="shared" si="114"/>
        <v>44118192.521777883</v>
      </c>
      <c r="BA119" s="107">
        <f t="shared" si="115"/>
        <v>43097432.264333442</v>
      </c>
      <c r="BB119" s="107">
        <f t="shared" si="116"/>
        <v>42076672.006889001</v>
      </c>
      <c r="BC119" s="107">
        <f t="shared" si="117"/>
        <v>41055911.749444559</v>
      </c>
      <c r="BD119" s="107">
        <f t="shared" si="118"/>
        <v>40035151.492000118</v>
      </c>
      <c r="BE119" s="107">
        <f>SUM(AS119:BD119,AO119)/13*$BE$2</f>
        <v>1015513.6868066686</v>
      </c>
      <c r="BF119" s="127"/>
      <c r="BG119" s="127"/>
      <c r="BH119" s="127"/>
      <c r="BI119" s="127"/>
      <c r="BJ119" s="127"/>
      <c r="BK119" s="127"/>
      <c r="BL119" s="127"/>
      <c r="BM119" s="127"/>
      <c r="BN119" s="127"/>
      <c r="BO119" s="127"/>
      <c r="BP119" s="127"/>
      <c r="BQ119" s="127"/>
      <c r="BR119" s="127"/>
      <c r="BS119" s="127"/>
      <c r="BT119" s="127"/>
      <c r="BU119" s="127"/>
      <c r="BV119" s="127"/>
      <c r="BW119" s="127"/>
    </row>
    <row r="120" spans="1:75" ht="22.5" hidden="1" x14ac:dyDescent="0.2">
      <c r="A120" s="123" t="str">
        <f>'[2]2021 УГРЦТ'!A122</f>
        <v>Устройство ограждения 2007г 120м</v>
      </c>
      <c r="B120" s="124" t="str">
        <f>'[2]2021 УГРЦТ'!B122</f>
        <v>00001038</v>
      </c>
      <c r="C120" s="124" t="str">
        <f>VLOOKUP(A:A,'2023-2027'!A:L,1,+FALSE)</f>
        <v>Устройство ограждения 2007г 120м</v>
      </c>
      <c r="D120" s="124" t="str">
        <f>'[2]2021 УГРЦТ'!C122</f>
        <v>ПРОИЗВОДСТВО</v>
      </c>
      <c r="E120" s="124" t="str">
        <f>'[2]2021 УГРЦТ'!D122</f>
        <v>Сооружения</v>
      </c>
      <c r="F120" s="124" t="str">
        <f>'[2]2021 УГРЦТ'!E122</f>
        <v>31.07.2007</v>
      </c>
      <c r="G120" s="124" t="str">
        <f>'[2]2021 УГРЦТ'!F122</f>
        <v>Тепломеханический цех</v>
      </c>
      <c r="H120" s="124">
        <f>'[2]2021 УГРЦТ'!AC122</f>
        <v>300</v>
      </c>
      <c r="I120" s="107">
        <f>'[2]2021 УГРЦТ'!X122</f>
        <v>655887.52</v>
      </c>
      <c r="J120" s="107">
        <f>'[2]2021 УГРЦТ'!Y122</f>
        <v>378228.19079999998</v>
      </c>
      <c r="K120" s="107">
        <f>'[2]2021 УГРЦТ'!Z122</f>
        <v>277659.32920000004</v>
      </c>
      <c r="L120" s="125" t="e">
        <f>SUMIF([2]облаг!$B$2:$B$259,B120,[2]облаг!$D$2:$D$259)</f>
        <v>#VALUE!</v>
      </c>
      <c r="M120" s="107">
        <f t="shared" si="74"/>
        <v>2186.2917333333335</v>
      </c>
      <c r="N120" s="107">
        <f t="shared" si="75"/>
        <v>26235.500800000002</v>
      </c>
      <c r="O120" s="107">
        <f t="shared" si="76"/>
        <v>275473.03746666672</v>
      </c>
      <c r="P120" s="107">
        <f t="shared" si="77"/>
        <v>273286.7457333334</v>
      </c>
      <c r="Q120" s="107">
        <f t="shared" si="78"/>
        <v>271100.45400000009</v>
      </c>
      <c r="R120" s="107">
        <f t="shared" si="79"/>
        <v>268914.16226666677</v>
      </c>
      <c r="S120" s="107">
        <f t="shared" si="80"/>
        <v>266727.87053333345</v>
      </c>
      <c r="T120" s="107">
        <f t="shared" si="81"/>
        <v>264541.57880000013</v>
      </c>
      <c r="U120" s="107">
        <f t="shared" si="82"/>
        <v>262355.28706666682</v>
      </c>
      <c r="V120" s="107">
        <f t="shared" si="83"/>
        <v>260168.99533333347</v>
      </c>
      <c r="W120" s="107">
        <f t="shared" si="84"/>
        <v>257982.70360000012</v>
      </c>
      <c r="X120" s="107">
        <f t="shared" si="85"/>
        <v>255796.41186666678</v>
      </c>
      <c r="Y120" s="107">
        <f t="shared" si="86"/>
        <v>253610.12013333343</v>
      </c>
      <c r="Z120" s="107">
        <f t="shared" si="87"/>
        <v>251423.82840000009</v>
      </c>
      <c r="AA120" s="107">
        <f>SUM(O120:Z120,K120)/13*$AA$2</f>
        <v>5819.9147336000024</v>
      </c>
      <c r="AB120" s="107"/>
      <c r="AC120" s="107">
        <f t="shared" si="88"/>
        <v>26235.500800000002</v>
      </c>
      <c r="AD120" s="107">
        <f t="shared" si="89"/>
        <v>249237.53666666674</v>
      </c>
      <c r="AE120" s="107">
        <f t="shared" si="90"/>
        <v>247051.24493333339</v>
      </c>
      <c r="AF120" s="107">
        <f t="shared" si="91"/>
        <v>244864.95320000005</v>
      </c>
      <c r="AG120" s="107">
        <f t="shared" si="92"/>
        <v>242678.6614666667</v>
      </c>
      <c r="AH120" s="107">
        <f t="shared" si="93"/>
        <v>240492.36973333335</v>
      </c>
      <c r="AI120" s="107">
        <f t="shared" si="94"/>
        <v>238306.07800000001</v>
      </c>
      <c r="AJ120" s="107">
        <f t="shared" si="95"/>
        <v>236119.78626666666</v>
      </c>
      <c r="AK120" s="107">
        <f t="shared" si="96"/>
        <v>233933.49453333332</v>
      </c>
      <c r="AL120" s="107">
        <f t="shared" si="97"/>
        <v>231747.20279999997</v>
      </c>
      <c r="AM120" s="107">
        <f t="shared" si="98"/>
        <v>229560.91106666662</v>
      </c>
      <c r="AN120" s="107">
        <f t="shared" si="99"/>
        <v>227374.61933333328</v>
      </c>
      <c r="AO120" s="107">
        <f t="shared" si="100"/>
        <v>225188.32759999993</v>
      </c>
      <c r="AP120" s="107">
        <f t="shared" si="119"/>
        <v>5242.7337159999997</v>
      </c>
      <c r="AQ120" s="126"/>
      <c r="AR120" s="107">
        <f t="shared" si="101"/>
        <v>26235.500800000002</v>
      </c>
      <c r="AS120" s="107">
        <f t="shared" si="107"/>
        <v>223002.03586666659</v>
      </c>
      <c r="AT120" s="107">
        <f t="shared" si="108"/>
        <v>220815.74413333324</v>
      </c>
      <c r="AU120" s="107">
        <f t="shared" si="109"/>
        <v>218629.45239999989</v>
      </c>
      <c r="AV120" s="107">
        <f t="shared" si="110"/>
        <v>216443.16066666655</v>
      </c>
      <c r="AW120" s="107">
        <f t="shared" si="111"/>
        <v>214256.8689333332</v>
      </c>
      <c r="AX120" s="107">
        <f t="shared" si="112"/>
        <v>212070.57719999985</v>
      </c>
      <c r="AY120" s="107">
        <f t="shared" si="113"/>
        <v>209884.28546666651</v>
      </c>
      <c r="AZ120" s="107">
        <f t="shared" si="114"/>
        <v>207697.99373333316</v>
      </c>
      <c r="BA120" s="107">
        <f t="shared" si="115"/>
        <v>205511.70199999982</v>
      </c>
      <c r="BB120" s="107">
        <f t="shared" si="116"/>
        <v>203325.41026666647</v>
      </c>
      <c r="BC120" s="107">
        <f t="shared" si="117"/>
        <v>201139.11853333312</v>
      </c>
      <c r="BD120" s="107">
        <f t="shared" si="118"/>
        <v>198952.82679999978</v>
      </c>
      <c r="BE120" s="107">
        <f>SUM(AS120:BD120,AO120)/13*$BE$2</f>
        <v>4665.5526983999971</v>
      </c>
      <c r="BF120" s="127"/>
      <c r="BG120" s="127"/>
      <c r="BH120" s="127"/>
      <c r="BI120" s="127"/>
      <c r="BJ120" s="127"/>
      <c r="BK120" s="127"/>
      <c r="BL120" s="127"/>
      <c r="BM120" s="127"/>
      <c r="BN120" s="127"/>
      <c r="BO120" s="127"/>
      <c r="BP120" s="127"/>
      <c r="BQ120" s="127"/>
      <c r="BR120" s="127"/>
      <c r="BS120" s="127"/>
      <c r="BT120" s="127"/>
      <c r="BU120" s="127"/>
      <c r="BV120" s="127"/>
      <c r="BW120" s="127"/>
    </row>
    <row r="121" spans="1:75" hidden="1" x14ac:dyDescent="0.2">
      <c r="A121" s="123" t="str">
        <f>'[2]2021 УГРЦТ'!A123</f>
        <v>Устройство ограждения 2008г</v>
      </c>
      <c r="B121" s="124" t="str">
        <f>'[2]2021 УГРЦТ'!B123</f>
        <v>00001094</v>
      </c>
      <c r="C121" s="124" t="str">
        <f>VLOOKUP(A:A,'2023-2027'!A:L,1,+FALSE)</f>
        <v>Устройство ограждения 2008г</v>
      </c>
      <c r="D121" s="124" t="str">
        <f>'[2]2021 УГРЦТ'!C123</f>
        <v>ПРОИЗВОДСТВО</v>
      </c>
      <c r="E121" s="124" t="str">
        <f>'[2]2021 УГРЦТ'!D123</f>
        <v>Сооружения</v>
      </c>
      <c r="F121" s="124" t="str">
        <f>'[2]2021 УГРЦТ'!E123</f>
        <v>30.09.2008</v>
      </c>
      <c r="G121" s="124" t="str">
        <f>'[2]2021 УГРЦТ'!F123</f>
        <v>Тепломеханический цех</v>
      </c>
      <c r="H121" s="124">
        <f>'[2]2021 УГРЦТ'!AC123</f>
        <v>300</v>
      </c>
      <c r="I121" s="107">
        <f>'[2]2021 УГРЦТ'!X123</f>
        <v>1101177.48</v>
      </c>
      <c r="J121" s="107">
        <f>'[2]2021 УГРЦТ'!Y123</f>
        <v>583623.82920000004</v>
      </c>
      <c r="K121" s="107">
        <f>'[2]2021 УГРЦТ'!Z123</f>
        <v>517553.65079999994</v>
      </c>
      <c r="L121" s="125" t="e">
        <f>SUMIF([2]облаг!$B$2:$B$259,B121,[2]облаг!$D$2:$D$259)</f>
        <v>#VALUE!</v>
      </c>
      <c r="M121" s="107">
        <f t="shared" si="74"/>
        <v>3670.5915999999997</v>
      </c>
      <c r="N121" s="107">
        <f t="shared" si="75"/>
        <v>44047.099199999997</v>
      </c>
      <c r="O121" s="107">
        <f t="shared" si="76"/>
        <v>513883.05919999996</v>
      </c>
      <c r="P121" s="107">
        <f t="shared" si="77"/>
        <v>510212.46759999997</v>
      </c>
      <c r="Q121" s="107">
        <f t="shared" si="78"/>
        <v>506541.87599999999</v>
      </c>
      <c r="R121" s="107">
        <f t="shared" si="79"/>
        <v>502871.2844</v>
      </c>
      <c r="S121" s="107">
        <f t="shared" si="80"/>
        <v>499200.69280000002</v>
      </c>
      <c r="T121" s="107">
        <f t="shared" si="81"/>
        <v>495530.10120000003</v>
      </c>
      <c r="U121" s="107">
        <f t="shared" si="82"/>
        <v>491859.50960000005</v>
      </c>
      <c r="V121" s="107">
        <f t="shared" si="83"/>
        <v>488188.91800000006</v>
      </c>
      <c r="W121" s="107">
        <f t="shared" si="84"/>
        <v>484518.32640000008</v>
      </c>
      <c r="X121" s="107">
        <f t="shared" si="85"/>
        <v>480847.73480000009</v>
      </c>
      <c r="Y121" s="107">
        <f t="shared" si="86"/>
        <v>477177.14320000011</v>
      </c>
      <c r="Z121" s="107">
        <f t="shared" si="87"/>
        <v>473506.55160000012</v>
      </c>
      <c r="AA121" s="107">
        <f>SUM(O121:Z121,K121)/13*$AA$2</f>
        <v>10901.662226399998</v>
      </c>
      <c r="AB121" s="107"/>
      <c r="AC121" s="107">
        <f t="shared" si="88"/>
        <v>44047.099199999997</v>
      </c>
      <c r="AD121" s="107">
        <f t="shared" si="89"/>
        <v>469835.96000000014</v>
      </c>
      <c r="AE121" s="107">
        <f t="shared" si="90"/>
        <v>466165.36840000015</v>
      </c>
      <c r="AF121" s="107">
        <f t="shared" si="91"/>
        <v>462494.77680000017</v>
      </c>
      <c r="AG121" s="107">
        <f t="shared" si="92"/>
        <v>458824.18520000018</v>
      </c>
      <c r="AH121" s="107">
        <f t="shared" si="93"/>
        <v>455153.5936000002</v>
      </c>
      <c r="AI121" s="107">
        <f t="shared" si="94"/>
        <v>451483.00200000021</v>
      </c>
      <c r="AJ121" s="107">
        <f t="shared" si="95"/>
        <v>447812.41040000023</v>
      </c>
      <c r="AK121" s="107">
        <f t="shared" si="96"/>
        <v>444141.81880000024</v>
      </c>
      <c r="AL121" s="107">
        <f t="shared" si="97"/>
        <v>440471.22720000026</v>
      </c>
      <c r="AM121" s="107">
        <f t="shared" si="98"/>
        <v>436800.63560000027</v>
      </c>
      <c r="AN121" s="107">
        <f t="shared" si="99"/>
        <v>433130.04400000029</v>
      </c>
      <c r="AO121" s="107">
        <f t="shared" si="100"/>
        <v>429459.4524000003</v>
      </c>
      <c r="AP121" s="107">
        <f t="shared" si="119"/>
        <v>9932.6260440000042</v>
      </c>
      <c r="AQ121" s="126"/>
      <c r="AR121" s="107">
        <f t="shared" si="101"/>
        <v>44047.099199999997</v>
      </c>
      <c r="AS121" s="107">
        <f t="shared" si="107"/>
        <v>425788.86080000032</v>
      </c>
      <c r="AT121" s="107">
        <f t="shared" si="108"/>
        <v>422118.26920000033</v>
      </c>
      <c r="AU121" s="107">
        <f t="shared" si="109"/>
        <v>418447.67760000034</v>
      </c>
      <c r="AV121" s="107">
        <f t="shared" si="110"/>
        <v>414777.08600000036</v>
      </c>
      <c r="AW121" s="107">
        <f t="shared" si="111"/>
        <v>411106.49440000037</v>
      </c>
      <c r="AX121" s="107">
        <f t="shared" si="112"/>
        <v>407435.90280000039</v>
      </c>
      <c r="AY121" s="107">
        <f t="shared" si="113"/>
        <v>403765.3112000004</v>
      </c>
      <c r="AZ121" s="107">
        <f t="shared" si="114"/>
        <v>400094.71960000042</v>
      </c>
      <c r="BA121" s="107">
        <f t="shared" si="115"/>
        <v>396424.12800000043</v>
      </c>
      <c r="BB121" s="107">
        <f t="shared" si="116"/>
        <v>392753.53640000045</v>
      </c>
      <c r="BC121" s="107">
        <f t="shared" si="117"/>
        <v>389082.94480000046</v>
      </c>
      <c r="BD121" s="107">
        <f t="shared" si="118"/>
        <v>385412.35320000048</v>
      </c>
      <c r="BE121" s="107">
        <f>SUM(AS121:BD121,AO121)/13*$BE$2</f>
        <v>8963.5898616000068</v>
      </c>
      <c r="BF121" s="127"/>
      <c r="BG121" s="127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</row>
    <row r="122" spans="1:75" hidden="1" x14ac:dyDescent="0.2">
      <c r="A122" s="123" t="str">
        <f>'[2]2021 УГРЦТ'!A124</f>
        <v>Устройство ограждения 2010г</v>
      </c>
      <c r="B122" s="124" t="str">
        <f>'[2]2021 УГРЦТ'!B124</f>
        <v>00001228</v>
      </c>
      <c r="C122" s="124" t="str">
        <f>VLOOKUP(A:A,'2023-2027'!A:L,1,+FALSE)</f>
        <v>Устройство ограждения 2010г</v>
      </c>
      <c r="D122" s="124" t="str">
        <f>'[2]2021 УГРЦТ'!C124</f>
        <v>ПРОИЗВОДСТВО</v>
      </c>
      <c r="E122" s="124" t="str">
        <f>'[2]2021 УГРЦТ'!D124</f>
        <v>Сооружения</v>
      </c>
      <c r="F122" s="124" t="str">
        <f>'[2]2021 УГРЦТ'!E124</f>
        <v>24.08.2010</v>
      </c>
      <c r="G122" s="124" t="str">
        <f>'[2]2021 УГРЦТ'!F124</f>
        <v>Тепломеханический цех</v>
      </c>
      <c r="H122" s="124">
        <f>'[2]2021 УГРЦТ'!AC124</f>
        <v>300</v>
      </c>
      <c r="I122" s="107">
        <f>'[2]2021 УГРЦТ'!X124</f>
        <v>2343174</v>
      </c>
      <c r="J122" s="107">
        <f>'[2]2021 УГРЦТ'!Y124</f>
        <v>1690539.04</v>
      </c>
      <c r="K122" s="107">
        <f>'[2]2021 УГРЦТ'!Z124</f>
        <v>652634.96</v>
      </c>
      <c r="L122" s="125" t="e">
        <f>SUMIF([2]облаг!$B$2:$B$259,B122,[2]облаг!$D$2:$D$259)</f>
        <v>#VALUE!</v>
      </c>
      <c r="M122" s="107">
        <f t="shared" si="74"/>
        <v>7810.58</v>
      </c>
      <c r="N122" s="107">
        <f t="shared" si="75"/>
        <v>93726.959999999992</v>
      </c>
      <c r="O122" s="107">
        <f t="shared" si="76"/>
        <v>644824.38</v>
      </c>
      <c r="P122" s="107">
        <f t="shared" si="77"/>
        <v>637013.80000000005</v>
      </c>
      <c r="Q122" s="107">
        <f t="shared" si="78"/>
        <v>629203.22000000009</v>
      </c>
      <c r="R122" s="107">
        <f t="shared" si="79"/>
        <v>621392.64000000013</v>
      </c>
      <c r="S122" s="107">
        <f t="shared" si="80"/>
        <v>613582.06000000017</v>
      </c>
      <c r="T122" s="107">
        <f t="shared" si="81"/>
        <v>605771.48000000021</v>
      </c>
      <c r="U122" s="107">
        <f t="shared" si="82"/>
        <v>597960.90000000026</v>
      </c>
      <c r="V122" s="107">
        <f t="shared" si="83"/>
        <v>590150.3200000003</v>
      </c>
      <c r="W122" s="107">
        <f t="shared" si="84"/>
        <v>582339.74000000034</v>
      </c>
      <c r="X122" s="107">
        <f t="shared" si="85"/>
        <v>574529.16000000038</v>
      </c>
      <c r="Y122" s="107">
        <f t="shared" si="86"/>
        <v>566718.58000000042</v>
      </c>
      <c r="Z122" s="107">
        <f t="shared" si="87"/>
        <v>558908.00000000047</v>
      </c>
      <c r="AA122" s="107">
        <f>SUM(O122:Z122,K122)/13*$AA$2</f>
        <v>13326.972560000004</v>
      </c>
      <c r="AB122" s="107"/>
      <c r="AC122" s="107">
        <f t="shared" si="88"/>
        <v>93726.959999999992</v>
      </c>
      <c r="AD122" s="107">
        <f t="shared" si="89"/>
        <v>551097.42000000051</v>
      </c>
      <c r="AE122" s="107">
        <f t="shared" si="90"/>
        <v>543286.84000000055</v>
      </c>
      <c r="AF122" s="107">
        <f t="shared" si="91"/>
        <v>535476.26000000059</v>
      </c>
      <c r="AG122" s="107">
        <f t="shared" si="92"/>
        <v>527665.68000000063</v>
      </c>
      <c r="AH122" s="107">
        <f t="shared" si="93"/>
        <v>519855.10000000062</v>
      </c>
      <c r="AI122" s="107">
        <f t="shared" si="94"/>
        <v>512044.5200000006</v>
      </c>
      <c r="AJ122" s="107">
        <f t="shared" si="95"/>
        <v>504233.94000000058</v>
      </c>
      <c r="AK122" s="107">
        <f t="shared" si="96"/>
        <v>496423.36000000057</v>
      </c>
      <c r="AL122" s="107">
        <f t="shared" si="97"/>
        <v>488612.78000000055</v>
      </c>
      <c r="AM122" s="107">
        <f t="shared" si="98"/>
        <v>480802.20000000054</v>
      </c>
      <c r="AN122" s="107">
        <f t="shared" si="99"/>
        <v>472991.62000000052</v>
      </c>
      <c r="AO122" s="107">
        <f t="shared" si="100"/>
        <v>465181.0400000005</v>
      </c>
      <c r="AP122" s="107">
        <f t="shared" si="119"/>
        <v>11264.979440000008</v>
      </c>
      <c r="AQ122" s="126"/>
      <c r="AR122" s="107">
        <f t="shared" si="101"/>
        <v>93726.959999999992</v>
      </c>
      <c r="AS122" s="107">
        <f t="shared" si="107"/>
        <v>457370.46000000049</v>
      </c>
      <c r="AT122" s="107">
        <f t="shared" si="108"/>
        <v>449559.88000000047</v>
      </c>
      <c r="AU122" s="107">
        <f t="shared" si="109"/>
        <v>441749.30000000045</v>
      </c>
      <c r="AV122" s="107">
        <f t="shared" si="110"/>
        <v>433938.72000000044</v>
      </c>
      <c r="AW122" s="107">
        <f t="shared" si="111"/>
        <v>426128.14000000042</v>
      </c>
      <c r="AX122" s="107">
        <f t="shared" si="112"/>
        <v>418317.56000000041</v>
      </c>
      <c r="AY122" s="107">
        <f t="shared" si="113"/>
        <v>410506.98000000039</v>
      </c>
      <c r="AZ122" s="107">
        <f t="shared" si="114"/>
        <v>402696.40000000037</v>
      </c>
      <c r="BA122" s="107">
        <f t="shared" si="115"/>
        <v>394885.82000000036</v>
      </c>
      <c r="BB122" s="107">
        <f t="shared" si="116"/>
        <v>387075.24000000034</v>
      </c>
      <c r="BC122" s="107">
        <f t="shared" si="117"/>
        <v>379264.66000000032</v>
      </c>
      <c r="BD122" s="107">
        <f t="shared" si="118"/>
        <v>371454.08000000031</v>
      </c>
      <c r="BE122" s="107">
        <f>SUM(AS122:BD122,AO122)/13*$BE$2</f>
        <v>9202.9863200000091</v>
      </c>
      <c r="BF122" s="127"/>
      <c r="BG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</row>
    <row r="123" spans="1:75" ht="22.5" hidden="1" x14ac:dyDescent="0.2">
      <c r="A123" s="123" t="str">
        <f>'[2]2021 УГРЦТ'!A125</f>
        <v>Шкаф для инструмента металлический KronVuzBox 1140</v>
      </c>
      <c r="B123" s="124" t="str">
        <f>'[2]2021 УГРЦТ'!B125</f>
        <v>000001839</v>
      </c>
      <c r="C123" s="124" t="str">
        <f>VLOOKUP(A:A,'2023-2027'!A:L,1,+FALSE)</f>
        <v>Шкаф для инструмента металлический KronVuzBox 1140</v>
      </c>
      <c r="D123" s="124" t="str">
        <f>'[2]2021 УГРЦТ'!C125</f>
        <v>ПРОИЗВОДСТВО</v>
      </c>
      <c r="E123" s="124" t="str">
        <f>'[2]2021 УГРЦТ'!D125</f>
        <v>Производственный и хозяйственный инвентарь</v>
      </c>
      <c r="F123" s="124" t="str">
        <f>'[2]2021 УГРЦТ'!E125</f>
        <v>15.03.2021</v>
      </c>
      <c r="G123" s="124" t="str">
        <f>'[2]2021 УГРЦТ'!F125</f>
        <v>Газотурбинный цех</v>
      </c>
      <c r="H123" s="124">
        <f>'[2]2021 УГРЦТ'!AC125</f>
        <v>180</v>
      </c>
      <c r="I123" s="107">
        <f>'[2]2021 УГРЦТ'!X125</f>
        <v>81666.67</v>
      </c>
      <c r="J123" s="107">
        <f>'[2]2021 УГРЦТ'!Y125</f>
        <v>4083.3334999999993</v>
      </c>
      <c r="K123" s="107">
        <f>'[2]2021 УГРЦТ'!Z125</f>
        <v>77583.336500000005</v>
      </c>
      <c r="L123" s="125" t="e">
        <f>SUMIF([2]облаг!$B$2:$B$259,B123,[2]облаг!$D$2:$D$259)</f>
        <v>#VALUE!</v>
      </c>
      <c r="M123" s="107">
        <f t="shared" si="74"/>
        <v>453.70372222222221</v>
      </c>
      <c r="N123" s="107">
        <f t="shared" si="75"/>
        <v>5444.4446666666663</v>
      </c>
      <c r="O123" s="107">
        <f t="shared" si="76"/>
        <v>77129.632777777777</v>
      </c>
      <c r="P123" s="107">
        <f t="shared" si="77"/>
        <v>76675.929055555549</v>
      </c>
      <c r="Q123" s="107">
        <f t="shared" si="78"/>
        <v>76222.225333333321</v>
      </c>
      <c r="R123" s="107">
        <f t="shared" si="79"/>
        <v>75768.521611111093</v>
      </c>
      <c r="S123" s="107">
        <f t="shared" si="80"/>
        <v>75314.817888888865</v>
      </c>
      <c r="T123" s="107">
        <f t="shared" si="81"/>
        <v>74861.114166666637</v>
      </c>
      <c r="U123" s="107">
        <f t="shared" si="82"/>
        <v>74407.410444444409</v>
      </c>
      <c r="V123" s="107">
        <f t="shared" si="83"/>
        <v>73953.706722222181</v>
      </c>
      <c r="W123" s="107">
        <f t="shared" si="84"/>
        <v>73500.002999999953</v>
      </c>
      <c r="X123" s="107">
        <f t="shared" si="85"/>
        <v>73046.299277777725</v>
      </c>
      <c r="Y123" s="107">
        <f t="shared" si="86"/>
        <v>72592.595555555497</v>
      </c>
      <c r="Z123" s="107">
        <f t="shared" si="87"/>
        <v>72138.891833333269</v>
      </c>
      <c r="AA123" s="107"/>
      <c r="AB123" s="107"/>
      <c r="AC123" s="107">
        <f t="shared" si="88"/>
        <v>5444.4446666666663</v>
      </c>
      <c r="AD123" s="107">
        <f t="shared" si="89"/>
        <v>71685.188111111042</v>
      </c>
      <c r="AE123" s="107">
        <f t="shared" si="90"/>
        <v>71231.484388888814</v>
      </c>
      <c r="AF123" s="107">
        <f t="shared" si="91"/>
        <v>70777.780666666586</v>
      </c>
      <c r="AG123" s="107">
        <f t="shared" si="92"/>
        <v>70324.076944444358</v>
      </c>
      <c r="AH123" s="107">
        <f t="shared" si="93"/>
        <v>69870.37322222213</v>
      </c>
      <c r="AI123" s="107">
        <f t="shared" si="94"/>
        <v>69416.669499999902</v>
      </c>
      <c r="AJ123" s="107">
        <f t="shared" si="95"/>
        <v>68962.965777777674</v>
      </c>
      <c r="AK123" s="107">
        <f t="shared" si="96"/>
        <v>68509.262055555446</v>
      </c>
      <c r="AL123" s="107">
        <f t="shared" si="97"/>
        <v>68055.558333333218</v>
      </c>
      <c r="AM123" s="107">
        <f t="shared" si="98"/>
        <v>67601.85461111099</v>
      </c>
      <c r="AN123" s="107">
        <f t="shared" si="99"/>
        <v>67148.150888888762</v>
      </c>
      <c r="AO123" s="107">
        <f t="shared" si="100"/>
        <v>66694.447166666534</v>
      </c>
      <c r="AP123" s="107"/>
      <c r="AQ123" s="126"/>
      <c r="AR123" s="107">
        <f t="shared" si="101"/>
        <v>5444.4446666666663</v>
      </c>
      <c r="AS123" s="107">
        <f t="shared" si="107"/>
        <v>66240.743444444306</v>
      </c>
      <c r="AT123" s="107">
        <f t="shared" si="108"/>
        <v>65787.039722222078</v>
      </c>
      <c r="AU123" s="107">
        <f t="shared" si="109"/>
        <v>65333.335999999857</v>
      </c>
      <c r="AV123" s="107">
        <f t="shared" si="110"/>
        <v>64879.632277777637</v>
      </c>
      <c r="AW123" s="107">
        <f t="shared" si="111"/>
        <v>64425.928555555416</v>
      </c>
      <c r="AX123" s="107">
        <f t="shared" si="112"/>
        <v>63972.224833333195</v>
      </c>
      <c r="AY123" s="107">
        <f t="shared" si="113"/>
        <v>63518.521111110975</v>
      </c>
      <c r="AZ123" s="107">
        <f t="shared" si="114"/>
        <v>63064.817388888754</v>
      </c>
      <c r="BA123" s="107">
        <f t="shared" si="115"/>
        <v>62611.113666666533</v>
      </c>
      <c r="BB123" s="107">
        <f t="shared" si="116"/>
        <v>62157.409944444313</v>
      </c>
      <c r="BC123" s="107">
        <f t="shared" si="117"/>
        <v>61703.706222222092</v>
      </c>
      <c r="BD123" s="107">
        <f t="shared" si="118"/>
        <v>61250.002499999871</v>
      </c>
      <c r="BE123" s="10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</row>
    <row r="124" spans="1:75" ht="22.5" hidden="1" x14ac:dyDescent="0.2">
      <c r="A124" s="123" t="str">
        <f>'[2]2021 УГРЦТ'!A126</f>
        <v>Шкаф распред устройств  с ячейками КРУ №7</v>
      </c>
      <c r="B124" s="124" t="str">
        <f>'[2]2021 УГРЦТ'!B126</f>
        <v>00001202</v>
      </c>
      <c r="C124" s="124" t="str">
        <f>VLOOKUP(A:A,'2023-2027'!A:L,1,+FALSE)</f>
        <v>Шкаф распред устройств  с ячейками КРУ №7</v>
      </c>
      <c r="D124" s="124" t="str">
        <f>'[2]2021 УГРЦТ'!C126</f>
        <v>ПРОИЗВОДСТВО</v>
      </c>
      <c r="E124" s="124" t="str">
        <f>'[2]2021 УГРЦТ'!D126</f>
        <v>Машины и оборудование (кроме офисного)</v>
      </c>
      <c r="F124" s="124" t="str">
        <f>'[2]2021 УГРЦТ'!E126</f>
        <v>31.03.2010</v>
      </c>
      <c r="G124" s="124" t="str">
        <f>'[2]2021 УГРЦТ'!F126</f>
        <v>Газотурбинный цех</v>
      </c>
      <c r="H124" s="124">
        <f>'[2]2021 УГРЦТ'!AC126</f>
        <v>180</v>
      </c>
      <c r="I124" s="107">
        <v>784644.95</v>
      </c>
      <c r="J124" s="107">
        <v>614638.72333333339</v>
      </c>
      <c r="K124" s="107">
        <v>170006.22666666657</v>
      </c>
      <c r="L124" s="125" t="e">
        <f>SUMIF([2]облаг!$B$2:$B$259,B124,[2]облаг!$D$2:$D$259)</f>
        <v>#VALUE!</v>
      </c>
      <c r="M124" s="107">
        <f t="shared" si="74"/>
        <v>4359.1386111111105</v>
      </c>
      <c r="N124" s="107">
        <f t="shared" si="75"/>
        <v>52309.66333333333</v>
      </c>
      <c r="O124" s="107">
        <f t="shared" si="76"/>
        <v>165647.08805555545</v>
      </c>
      <c r="P124" s="107">
        <f t="shared" si="77"/>
        <v>161287.94944444433</v>
      </c>
      <c r="Q124" s="107">
        <f t="shared" si="78"/>
        <v>156928.81083333321</v>
      </c>
      <c r="R124" s="107">
        <f t="shared" si="79"/>
        <v>152569.67222222209</v>
      </c>
      <c r="S124" s="107">
        <f t="shared" si="80"/>
        <v>148210.53361111096</v>
      </c>
      <c r="T124" s="107">
        <f t="shared" si="81"/>
        <v>143851.39499999984</v>
      </c>
      <c r="U124" s="107">
        <f t="shared" si="82"/>
        <v>139492.25638888872</v>
      </c>
      <c r="V124" s="107">
        <f t="shared" si="83"/>
        <v>135133.1177777776</v>
      </c>
      <c r="W124" s="107">
        <f t="shared" si="84"/>
        <v>130773.9791666665</v>
      </c>
      <c r="X124" s="107">
        <f t="shared" si="85"/>
        <v>126414.84055555539</v>
      </c>
      <c r="Y124" s="107">
        <f t="shared" si="86"/>
        <v>122055.70194444428</v>
      </c>
      <c r="Z124" s="107">
        <f t="shared" si="87"/>
        <v>117696.56333333318</v>
      </c>
      <c r="AA124" s="107"/>
      <c r="AB124" s="107"/>
      <c r="AC124" s="107">
        <f t="shared" si="88"/>
        <v>52309.66333333333</v>
      </c>
      <c r="AD124" s="107">
        <f t="shared" si="89"/>
        <v>113337.42472222207</v>
      </c>
      <c r="AE124" s="107">
        <f t="shared" si="90"/>
        <v>108978.28611111097</v>
      </c>
      <c r="AF124" s="107">
        <f t="shared" si="91"/>
        <v>104619.14749999986</v>
      </c>
      <c r="AG124" s="107">
        <f t="shared" si="92"/>
        <v>100260.00888888875</v>
      </c>
      <c r="AH124" s="107">
        <f t="shared" si="93"/>
        <v>95900.870277777649</v>
      </c>
      <c r="AI124" s="107">
        <f t="shared" si="94"/>
        <v>91541.731666666543</v>
      </c>
      <c r="AJ124" s="107">
        <f t="shared" si="95"/>
        <v>87182.593055555437</v>
      </c>
      <c r="AK124" s="107">
        <f t="shared" si="96"/>
        <v>82823.454444444331</v>
      </c>
      <c r="AL124" s="107">
        <f t="shared" si="97"/>
        <v>78464.315833333225</v>
      </c>
      <c r="AM124" s="107">
        <f t="shared" si="98"/>
        <v>74105.177222222119</v>
      </c>
      <c r="AN124" s="107">
        <f t="shared" si="99"/>
        <v>69746.038611111013</v>
      </c>
      <c r="AO124" s="107">
        <f t="shared" si="100"/>
        <v>65386.8999999999</v>
      </c>
      <c r="AP124" s="107"/>
      <c r="AQ124" s="126"/>
      <c r="AR124" s="107">
        <f t="shared" si="101"/>
        <v>52309.66333333333</v>
      </c>
      <c r="AS124" s="107">
        <f t="shared" si="107"/>
        <v>61027.761388888786</v>
      </c>
      <c r="AT124" s="107">
        <f t="shared" si="108"/>
        <v>56668.622777777673</v>
      </c>
      <c r="AU124" s="107">
        <f t="shared" si="109"/>
        <v>52309.48416666656</v>
      </c>
      <c r="AV124" s="107">
        <f t="shared" si="110"/>
        <v>47950.345555555446</v>
      </c>
      <c r="AW124" s="107">
        <f t="shared" si="111"/>
        <v>43591.206944444333</v>
      </c>
      <c r="AX124" s="107">
        <f t="shared" si="112"/>
        <v>39232.06833333322</v>
      </c>
      <c r="AY124" s="107">
        <f t="shared" si="113"/>
        <v>34872.929722222107</v>
      </c>
      <c r="AZ124" s="107">
        <f t="shared" si="114"/>
        <v>30513.791111110997</v>
      </c>
      <c r="BA124" s="107">
        <f t="shared" si="115"/>
        <v>26154.652499999887</v>
      </c>
      <c r="BB124" s="107">
        <f t="shared" si="116"/>
        <v>21795.513888888778</v>
      </c>
      <c r="BC124" s="107">
        <f t="shared" si="117"/>
        <v>17436.375277777668</v>
      </c>
      <c r="BD124" s="107">
        <f t="shared" si="118"/>
        <v>13077.236666666558</v>
      </c>
      <c r="BE124" s="107"/>
      <c r="BF124" s="127"/>
      <c r="BG124" s="127"/>
      <c r="BI124" s="127"/>
      <c r="BJ124" s="127"/>
      <c r="BK124" s="127"/>
      <c r="BL124" s="127"/>
      <c r="BM124" s="127"/>
      <c r="BN124" s="127"/>
      <c r="BO124" s="127"/>
      <c r="BP124" s="127"/>
      <c r="BQ124" s="127"/>
      <c r="BR124" s="127"/>
      <c r="BS124" s="127"/>
      <c r="BT124" s="127"/>
      <c r="BU124" s="127"/>
      <c r="BV124" s="127"/>
    </row>
    <row r="125" spans="1:75" ht="22.5" hidden="1" x14ac:dyDescent="0.2">
      <c r="A125" s="123" t="str">
        <f>'[2]2021 УГРЦТ'!A127</f>
        <v>Шкаф распред устройств с ячейками КРУ  №8</v>
      </c>
      <c r="B125" s="124" t="str">
        <f>'[2]2021 УГРЦТ'!B127</f>
        <v>00001203</v>
      </c>
      <c r="C125" s="124" t="str">
        <f>VLOOKUP(A:A,'2023-2027'!A:L,1,+FALSE)</f>
        <v>Шкаф распред устройств с ячейками КРУ  №8</v>
      </c>
      <c r="D125" s="124" t="str">
        <f>'[2]2021 УГРЦТ'!C127</f>
        <v>ПРОИЗВОДСТВО</v>
      </c>
      <c r="E125" s="124" t="str">
        <f>'[2]2021 УГРЦТ'!D127</f>
        <v>Машины и оборудование (кроме офисного)</v>
      </c>
      <c r="F125" s="124" t="str">
        <f>'[2]2021 УГРЦТ'!E127</f>
        <v>31.03.2010</v>
      </c>
      <c r="G125" s="124" t="str">
        <f>'[2]2021 УГРЦТ'!F127</f>
        <v>Газотурбинный цех</v>
      </c>
      <c r="H125" s="124">
        <f>'[2]2021 УГРЦТ'!AC127</f>
        <v>180</v>
      </c>
      <c r="I125" s="107">
        <f>'[2]2021 УГРЦТ'!X127</f>
        <v>784644.95</v>
      </c>
      <c r="J125" s="107">
        <f>'[2]2021 УГРЦТ'!Y127</f>
        <v>614638.72333333339</v>
      </c>
      <c r="K125" s="107">
        <f>'[2]2021 УГРЦТ'!Z127</f>
        <v>170006.22666666657</v>
      </c>
      <c r="L125" s="125" t="e">
        <f>SUMIF([2]облаг!$B$2:$B$259,B125,[2]облаг!$D$2:$D$259)</f>
        <v>#VALUE!</v>
      </c>
      <c r="M125" s="107">
        <f t="shared" si="74"/>
        <v>4359.1386111111105</v>
      </c>
      <c r="N125" s="107">
        <f t="shared" si="75"/>
        <v>52309.66333333333</v>
      </c>
      <c r="O125" s="107">
        <f t="shared" si="76"/>
        <v>165647.08805555545</v>
      </c>
      <c r="P125" s="107">
        <f t="shared" si="77"/>
        <v>161287.94944444433</v>
      </c>
      <c r="Q125" s="107">
        <f t="shared" si="78"/>
        <v>156928.81083333321</v>
      </c>
      <c r="R125" s="107">
        <f t="shared" si="79"/>
        <v>152569.67222222209</v>
      </c>
      <c r="S125" s="107">
        <f t="shared" si="80"/>
        <v>148210.53361111096</v>
      </c>
      <c r="T125" s="107">
        <f t="shared" si="81"/>
        <v>143851.39499999984</v>
      </c>
      <c r="U125" s="107">
        <f t="shared" si="82"/>
        <v>139492.25638888872</v>
      </c>
      <c r="V125" s="107">
        <f t="shared" si="83"/>
        <v>135133.1177777776</v>
      </c>
      <c r="W125" s="107">
        <f t="shared" si="84"/>
        <v>130773.9791666665</v>
      </c>
      <c r="X125" s="107">
        <f t="shared" si="85"/>
        <v>126414.84055555539</v>
      </c>
      <c r="Y125" s="107">
        <f t="shared" si="86"/>
        <v>122055.70194444428</v>
      </c>
      <c r="Z125" s="107">
        <f t="shared" si="87"/>
        <v>117696.56333333318</v>
      </c>
      <c r="AA125" s="107"/>
      <c r="AB125" s="107"/>
      <c r="AC125" s="107">
        <f t="shared" si="88"/>
        <v>52309.66333333333</v>
      </c>
      <c r="AD125" s="107">
        <f t="shared" si="89"/>
        <v>113337.42472222207</v>
      </c>
      <c r="AE125" s="107">
        <f t="shared" si="90"/>
        <v>108978.28611111097</v>
      </c>
      <c r="AF125" s="107">
        <f t="shared" si="91"/>
        <v>104619.14749999986</v>
      </c>
      <c r="AG125" s="107">
        <f t="shared" si="92"/>
        <v>100260.00888888875</v>
      </c>
      <c r="AH125" s="107">
        <f t="shared" si="93"/>
        <v>95900.870277777649</v>
      </c>
      <c r="AI125" s="107">
        <f t="shared" si="94"/>
        <v>91541.731666666543</v>
      </c>
      <c r="AJ125" s="107">
        <f t="shared" si="95"/>
        <v>87182.593055555437</v>
      </c>
      <c r="AK125" s="107">
        <f t="shared" si="96"/>
        <v>82823.454444444331</v>
      </c>
      <c r="AL125" s="107">
        <f t="shared" si="97"/>
        <v>78464.315833333225</v>
      </c>
      <c r="AM125" s="107">
        <f t="shared" si="98"/>
        <v>74105.177222222119</v>
      </c>
      <c r="AN125" s="107">
        <f t="shared" si="99"/>
        <v>69746.038611111013</v>
      </c>
      <c r="AO125" s="107">
        <f t="shared" si="100"/>
        <v>65386.8999999999</v>
      </c>
      <c r="AP125" s="107"/>
      <c r="AQ125" s="126"/>
      <c r="AR125" s="107">
        <f t="shared" si="101"/>
        <v>52309.66333333333</v>
      </c>
      <c r="AS125" s="107">
        <f t="shared" si="107"/>
        <v>61027.761388888786</v>
      </c>
      <c r="AT125" s="107">
        <f t="shared" si="108"/>
        <v>56668.622777777673</v>
      </c>
      <c r="AU125" s="107">
        <f t="shared" si="109"/>
        <v>52309.48416666656</v>
      </c>
      <c r="AV125" s="107">
        <f t="shared" si="110"/>
        <v>47950.345555555446</v>
      </c>
      <c r="AW125" s="107">
        <f t="shared" si="111"/>
        <v>43591.206944444333</v>
      </c>
      <c r="AX125" s="107">
        <f t="shared" si="112"/>
        <v>39232.06833333322</v>
      </c>
      <c r="AY125" s="107">
        <f t="shared" si="113"/>
        <v>34872.929722222107</v>
      </c>
      <c r="AZ125" s="107">
        <f t="shared" si="114"/>
        <v>30513.791111110997</v>
      </c>
      <c r="BA125" s="107">
        <f t="shared" si="115"/>
        <v>26154.652499999887</v>
      </c>
      <c r="BB125" s="107">
        <f t="shared" si="116"/>
        <v>21795.513888888778</v>
      </c>
      <c r="BC125" s="107">
        <f t="shared" si="117"/>
        <v>17436.375277777668</v>
      </c>
      <c r="BD125" s="107">
        <f t="shared" si="118"/>
        <v>13077.236666666558</v>
      </c>
      <c r="BE125" s="107"/>
      <c r="BF125" s="127"/>
      <c r="BG125" s="127"/>
      <c r="BI125" s="127"/>
      <c r="BJ125" s="127"/>
      <c r="BK125" s="127"/>
      <c r="BL125" s="127"/>
      <c r="BM125" s="127"/>
      <c r="BN125" s="127"/>
      <c r="BO125" s="127"/>
      <c r="BP125" s="127"/>
      <c r="BQ125" s="127"/>
      <c r="BR125" s="127"/>
      <c r="BS125" s="127"/>
      <c r="BT125" s="127"/>
      <c r="BU125" s="127"/>
      <c r="BV125" s="127"/>
    </row>
    <row r="126" spans="1:75" ht="22.5" hidden="1" x14ac:dyDescent="0.2">
      <c r="A126" s="123" t="str">
        <f>'[2]2021 УГРЦТ'!A128</f>
        <v>Шкаф распред устройств с ячейками КРУ №10</v>
      </c>
      <c r="B126" s="124" t="str">
        <f>'[2]2021 УГРЦТ'!B128</f>
        <v>00001207</v>
      </c>
      <c r="C126" s="124" t="str">
        <f>VLOOKUP(A:A,'2023-2027'!A:L,1,+FALSE)</f>
        <v>Шкаф распред устройств с ячейками КРУ №10</v>
      </c>
      <c r="D126" s="124" t="str">
        <f>'[2]2021 УГРЦТ'!C128</f>
        <v>ПРОИЗВОДСТВО</v>
      </c>
      <c r="E126" s="124" t="str">
        <f>'[2]2021 УГРЦТ'!D128</f>
        <v>Машины и оборудование (кроме офисного)</v>
      </c>
      <c r="F126" s="124" t="str">
        <f>'[2]2021 УГРЦТ'!E128</f>
        <v>31.03.2010</v>
      </c>
      <c r="G126" s="124" t="str">
        <f>'[2]2021 УГРЦТ'!F128</f>
        <v>Газотурбинный цех</v>
      </c>
      <c r="H126" s="124">
        <f>'[2]2021 УГРЦТ'!AC128</f>
        <v>180</v>
      </c>
      <c r="I126" s="107">
        <v>784644.95</v>
      </c>
      <c r="J126" s="107">
        <v>614638.72333333339</v>
      </c>
      <c r="K126" s="107">
        <v>170006.22666666657</v>
      </c>
      <c r="L126" s="125" t="e">
        <f>SUMIF([2]облаг!$B$2:$B$259,B126,[2]облаг!$D$2:$D$259)</f>
        <v>#VALUE!</v>
      </c>
      <c r="M126" s="107">
        <f t="shared" si="74"/>
        <v>4359.1386111111105</v>
      </c>
      <c r="N126" s="107">
        <f t="shared" si="75"/>
        <v>52309.66333333333</v>
      </c>
      <c r="O126" s="107">
        <f t="shared" si="76"/>
        <v>165647.08805555545</v>
      </c>
      <c r="P126" s="107">
        <f t="shared" si="77"/>
        <v>161287.94944444433</v>
      </c>
      <c r="Q126" s="107">
        <f t="shared" si="78"/>
        <v>156928.81083333321</v>
      </c>
      <c r="R126" s="107">
        <f t="shared" si="79"/>
        <v>152569.67222222209</v>
      </c>
      <c r="S126" s="107">
        <f t="shared" si="80"/>
        <v>148210.53361111096</v>
      </c>
      <c r="T126" s="107">
        <f t="shared" si="81"/>
        <v>143851.39499999984</v>
      </c>
      <c r="U126" s="107">
        <f t="shared" si="82"/>
        <v>139492.25638888872</v>
      </c>
      <c r="V126" s="107">
        <f t="shared" si="83"/>
        <v>135133.1177777776</v>
      </c>
      <c r="W126" s="107">
        <f t="shared" si="84"/>
        <v>130773.9791666665</v>
      </c>
      <c r="X126" s="107">
        <f t="shared" si="85"/>
        <v>126414.84055555539</v>
      </c>
      <c r="Y126" s="107">
        <f t="shared" si="86"/>
        <v>122055.70194444428</v>
      </c>
      <c r="Z126" s="107">
        <f t="shared" si="87"/>
        <v>117696.56333333318</v>
      </c>
      <c r="AA126" s="107"/>
      <c r="AB126" s="107"/>
      <c r="AC126" s="107">
        <f t="shared" si="88"/>
        <v>52309.66333333333</v>
      </c>
      <c r="AD126" s="107">
        <f t="shared" si="89"/>
        <v>113337.42472222207</v>
      </c>
      <c r="AE126" s="107">
        <f t="shared" si="90"/>
        <v>108978.28611111097</v>
      </c>
      <c r="AF126" s="107">
        <f t="shared" si="91"/>
        <v>104619.14749999986</v>
      </c>
      <c r="AG126" s="107">
        <f t="shared" si="92"/>
        <v>100260.00888888875</v>
      </c>
      <c r="AH126" s="107">
        <f t="shared" si="93"/>
        <v>95900.870277777649</v>
      </c>
      <c r="AI126" s="107">
        <f t="shared" si="94"/>
        <v>91541.731666666543</v>
      </c>
      <c r="AJ126" s="107">
        <f t="shared" si="95"/>
        <v>87182.593055555437</v>
      </c>
      <c r="AK126" s="107">
        <f t="shared" si="96"/>
        <v>82823.454444444331</v>
      </c>
      <c r="AL126" s="107">
        <f t="shared" si="97"/>
        <v>78464.315833333225</v>
      </c>
      <c r="AM126" s="107">
        <f t="shared" si="98"/>
        <v>74105.177222222119</v>
      </c>
      <c r="AN126" s="107">
        <f t="shared" si="99"/>
        <v>69746.038611111013</v>
      </c>
      <c r="AO126" s="107">
        <f t="shared" si="100"/>
        <v>65386.8999999999</v>
      </c>
      <c r="AP126" s="107"/>
      <c r="AQ126" s="126"/>
      <c r="AR126" s="107">
        <f t="shared" si="101"/>
        <v>52309.66333333333</v>
      </c>
      <c r="AS126" s="107">
        <f t="shared" si="107"/>
        <v>61027.761388888786</v>
      </c>
      <c r="AT126" s="107">
        <f t="shared" si="108"/>
        <v>56668.622777777673</v>
      </c>
      <c r="AU126" s="107">
        <f t="shared" si="109"/>
        <v>52309.48416666656</v>
      </c>
      <c r="AV126" s="107">
        <f t="shared" si="110"/>
        <v>47950.345555555446</v>
      </c>
      <c r="AW126" s="107">
        <f t="shared" si="111"/>
        <v>43591.206944444333</v>
      </c>
      <c r="AX126" s="107">
        <f t="shared" si="112"/>
        <v>39232.06833333322</v>
      </c>
      <c r="AY126" s="107">
        <f t="shared" si="113"/>
        <v>34872.929722222107</v>
      </c>
      <c r="AZ126" s="107">
        <f t="shared" si="114"/>
        <v>30513.791111110997</v>
      </c>
      <c r="BA126" s="107">
        <f t="shared" si="115"/>
        <v>26154.652499999887</v>
      </c>
      <c r="BB126" s="107">
        <f t="shared" si="116"/>
        <v>21795.513888888778</v>
      </c>
      <c r="BC126" s="107">
        <f t="shared" si="117"/>
        <v>17436.375277777668</v>
      </c>
      <c r="BD126" s="107">
        <f t="shared" si="118"/>
        <v>13077.236666666558</v>
      </c>
      <c r="BE126" s="107"/>
      <c r="BF126" s="127"/>
      <c r="BG126" s="127"/>
      <c r="BI126" s="127"/>
      <c r="BJ126" s="127"/>
      <c r="BK126" s="127"/>
      <c r="BL126" s="127"/>
      <c r="BM126" s="127"/>
      <c r="BN126" s="127"/>
      <c r="BO126" s="127"/>
      <c r="BP126" s="127"/>
      <c r="BQ126" s="127"/>
      <c r="BR126" s="127"/>
      <c r="BS126" s="127"/>
      <c r="BT126" s="127"/>
      <c r="BU126" s="127"/>
      <c r="BV126" s="127"/>
    </row>
    <row r="127" spans="1:75" ht="22.5" hidden="1" x14ac:dyDescent="0.2">
      <c r="A127" s="123" t="str">
        <f>'[2]2021 УГРЦТ'!A129</f>
        <v>Шкаф распред устройств с ячейками КРУ №11</v>
      </c>
      <c r="B127" s="124" t="str">
        <f>'[2]2021 УГРЦТ'!B129</f>
        <v>00001208</v>
      </c>
      <c r="C127" s="124" t="str">
        <f>VLOOKUP(A:A,'2023-2027'!A:L,1,+FALSE)</f>
        <v>Шкаф распред устройств с ячейками КРУ №11</v>
      </c>
      <c r="D127" s="124" t="str">
        <f>'[2]2021 УГРЦТ'!C129</f>
        <v>ПРОИЗВОДСТВО</v>
      </c>
      <c r="E127" s="124" t="str">
        <f>'[2]2021 УГРЦТ'!D129</f>
        <v>Машины и оборудование (кроме офисного)</v>
      </c>
      <c r="F127" s="124" t="str">
        <f>'[2]2021 УГРЦТ'!E129</f>
        <v>31.03.2010</v>
      </c>
      <c r="G127" s="124" t="str">
        <f>'[2]2021 УГРЦТ'!F129</f>
        <v>Газотурбинный цех</v>
      </c>
      <c r="H127" s="124">
        <f>'[2]2021 УГРЦТ'!AC129</f>
        <v>180</v>
      </c>
      <c r="I127" s="107">
        <f>'[2]2021 УГРЦТ'!X129</f>
        <v>784644.95</v>
      </c>
      <c r="J127" s="107">
        <f>'[2]2021 УГРЦТ'!Y129</f>
        <v>614638.72333333339</v>
      </c>
      <c r="K127" s="107">
        <f>'[2]2021 УГРЦТ'!Z129</f>
        <v>170006.22666666657</v>
      </c>
      <c r="L127" s="125" t="e">
        <f>SUMIF([2]облаг!$B$2:$B$259,B127,[2]облаг!$D$2:$D$259)</f>
        <v>#VALUE!</v>
      </c>
      <c r="M127" s="107">
        <f t="shared" si="74"/>
        <v>4359.1386111111105</v>
      </c>
      <c r="N127" s="107">
        <f t="shared" si="75"/>
        <v>52309.66333333333</v>
      </c>
      <c r="O127" s="107">
        <f t="shared" si="76"/>
        <v>165647.08805555545</v>
      </c>
      <c r="P127" s="107">
        <f t="shared" si="77"/>
        <v>161287.94944444433</v>
      </c>
      <c r="Q127" s="107">
        <f t="shared" si="78"/>
        <v>156928.81083333321</v>
      </c>
      <c r="R127" s="107">
        <f t="shared" si="79"/>
        <v>152569.67222222209</v>
      </c>
      <c r="S127" s="107">
        <f t="shared" si="80"/>
        <v>148210.53361111096</v>
      </c>
      <c r="T127" s="107">
        <f t="shared" si="81"/>
        <v>143851.39499999984</v>
      </c>
      <c r="U127" s="107">
        <f t="shared" si="82"/>
        <v>139492.25638888872</v>
      </c>
      <c r="V127" s="107">
        <f t="shared" si="83"/>
        <v>135133.1177777776</v>
      </c>
      <c r="W127" s="107">
        <f t="shared" si="84"/>
        <v>130773.9791666665</v>
      </c>
      <c r="X127" s="107">
        <f t="shared" si="85"/>
        <v>126414.84055555539</v>
      </c>
      <c r="Y127" s="107">
        <f t="shared" si="86"/>
        <v>122055.70194444428</v>
      </c>
      <c r="Z127" s="107">
        <f t="shared" si="87"/>
        <v>117696.56333333318</v>
      </c>
      <c r="AA127" s="107"/>
      <c r="AB127" s="107"/>
      <c r="AC127" s="107">
        <f t="shared" si="88"/>
        <v>52309.66333333333</v>
      </c>
      <c r="AD127" s="107">
        <f t="shared" si="89"/>
        <v>113337.42472222207</v>
      </c>
      <c r="AE127" s="107">
        <f t="shared" si="90"/>
        <v>108978.28611111097</v>
      </c>
      <c r="AF127" s="107">
        <f t="shared" si="91"/>
        <v>104619.14749999986</v>
      </c>
      <c r="AG127" s="107">
        <f t="shared" si="92"/>
        <v>100260.00888888875</v>
      </c>
      <c r="AH127" s="107">
        <f t="shared" si="93"/>
        <v>95900.870277777649</v>
      </c>
      <c r="AI127" s="107">
        <f t="shared" si="94"/>
        <v>91541.731666666543</v>
      </c>
      <c r="AJ127" s="107">
        <f t="shared" si="95"/>
        <v>87182.593055555437</v>
      </c>
      <c r="AK127" s="107">
        <f t="shared" si="96"/>
        <v>82823.454444444331</v>
      </c>
      <c r="AL127" s="107">
        <f t="shared" si="97"/>
        <v>78464.315833333225</v>
      </c>
      <c r="AM127" s="107">
        <f t="shared" si="98"/>
        <v>74105.177222222119</v>
      </c>
      <c r="AN127" s="107">
        <f t="shared" si="99"/>
        <v>69746.038611111013</v>
      </c>
      <c r="AO127" s="107">
        <f t="shared" si="100"/>
        <v>65386.8999999999</v>
      </c>
      <c r="AP127" s="107"/>
      <c r="AQ127" s="126"/>
      <c r="AR127" s="107">
        <f t="shared" si="101"/>
        <v>52309.66333333333</v>
      </c>
      <c r="AS127" s="107">
        <f t="shared" si="107"/>
        <v>61027.761388888786</v>
      </c>
      <c r="AT127" s="107">
        <f t="shared" si="108"/>
        <v>56668.622777777673</v>
      </c>
      <c r="AU127" s="107">
        <f t="shared" si="109"/>
        <v>52309.48416666656</v>
      </c>
      <c r="AV127" s="107">
        <f t="shared" si="110"/>
        <v>47950.345555555446</v>
      </c>
      <c r="AW127" s="107">
        <f t="shared" si="111"/>
        <v>43591.206944444333</v>
      </c>
      <c r="AX127" s="107">
        <f t="shared" si="112"/>
        <v>39232.06833333322</v>
      </c>
      <c r="AY127" s="107">
        <f t="shared" si="113"/>
        <v>34872.929722222107</v>
      </c>
      <c r="AZ127" s="107">
        <f t="shared" si="114"/>
        <v>30513.791111110997</v>
      </c>
      <c r="BA127" s="107">
        <f t="shared" si="115"/>
        <v>26154.652499999887</v>
      </c>
      <c r="BB127" s="107">
        <f t="shared" si="116"/>
        <v>21795.513888888778</v>
      </c>
      <c r="BC127" s="107">
        <f t="shared" si="117"/>
        <v>17436.375277777668</v>
      </c>
      <c r="BD127" s="107">
        <f t="shared" si="118"/>
        <v>13077.236666666558</v>
      </c>
      <c r="BE127" s="107"/>
      <c r="BF127" s="127"/>
      <c r="BG127" s="127"/>
      <c r="BI127" s="127"/>
      <c r="BJ127" s="127"/>
      <c r="BK127" s="127"/>
      <c r="BL127" s="127"/>
      <c r="BM127" s="127"/>
      <c r="BN127" s="127"/>
      <c r="BO127" s="127"/>
      <c r="BP127" s="127"/>
      <c r="BQ127" s="127"/>
      <c r="BR127" s="127"/>
      <c r="BS127" s="127"/>
      <c r="BT127" s="127"/>
      <c r="BU127" s="127"/>
      <c r="BV127" s="127"/>
    </row>
    <row r="128" spans="1:75" ht="22.5" hidden="1" x14ac:dyDescent="0.2">
      <c r="A128" s="123" t="str">
        <f>'[2]2021 УГРЦТ'!A130</f>
        <v>Шкаф распред устройств с ячейками КРУ №12</v>
      </c>
      <c r="B128" s="124" t="str">
        <f>'[2]2021 УГРЦТ'!B130</f>
        <v>00001209</v>
      </c>
      <c r="C128" s="124" t="str">
        <f>VLOOKUP(A:A,'2023-2027'!A:L,1,+FALSE)</f>
        <v>Шкаф распред устройств с ячейками КРУ №12</v>
      </c>
      <c r="D128" s="124" t="str">
        <f>'[2]2021 УГРЦТ'!C130</f>
        <v>ПРОИЗВОДСТВО</v>
      </c>
      <c r="E128" s="124" t="str">
        <f>'[2]2021 УГРЦТ'!D130</f>
        <v>Машины и оборудование (кроме офисного)</v>
      </c>
      <c r="F128" s="124" t="str">
        <f>'[2]2021 УГРЦТ'!E130</f>
        <v>31.03.2010</v>
      </c>
      <c r="G128" s="124" t="str">
        <f>'[2]2021 УГРЦТ'!F130</f>
        <v>Газотурбинный цех</v>
      </c>
      <c r="H128" s="124">
        <f>'[2]2021 УГРЦТ'!AC130</f>
        <v>180</v>
      </c>
      <c r="I128" s="107">
        <v>784644.95</v>
      </c>
      <c r="J128" s="107">
        <v>614638.72333333339</v>
      </c>
      <c r="K128" s="107">
        <v>170006.22666666657</v>
      </c>
      <c r="L128" s="125" t="e">
        <f>SUMIF([2]облаг!$B$2:$B$259,B128,[2]облаг!$D$2:$D$259)</f>
        <v>#VALUE!</v>
      </c>
      <c r="M128" s="107">
        <f t="shared" si="74"/>
        <v>4359.1386111111105</v>
      </c>
      <c r="N128" s="107">
        <f t="shared" si="75"/>
        <v>52309.66333333333</v>
      </c>
      <c r="O128" s="107">
        <f t="shared" si="76"/>
        <v>165647.08805555545</v>
      </c>
      <c r="P128" s="107">
        <f t="shared" si="77"/>
        <v>161287.94944444433</v>
      </c>
      <c r="Q128" s="107">
        <f t="shared" si="78"/>
        <v>156928.81083333321</v>
      </c>
      <c r="R128" s="107">
        <f t="shared" si="79"/>
        <v>152569.67222222209</v>
      </c>
      <c r="S128" s="107">
        <f t="shared" si="80"/>
        <v>148210.53361111096</v>
      </c>
      <c r="T128" s="107">
        <f t="shared" si="81"/>
        <v>143851.39499999984</v>
      </c>
      <c r="U128" s="107">
        <f t="shared" si="82"/>
        <v>139492.25638888872</v>
      </c>
      <c r="V128" s="107">
        <f t="shared" si="83"/>
        <v>135133.1177777776</v>
      </c>
      <c r="W128" s="107">
        <f t="shared" si="84"/>
        <v>130773.9791666665</v>
      </c>
      <c r="X128" s="107">
        <f t="shared" si="85"/>
        <v>126414.84055555539</v>
      </c>
      <c r="Y128" s="107">
        <f t="shared" si="86"/>
        <v>122055.70194444428</v>
      </c>
      <c r="Z128" s="107">
        <f t="shared" si="87"/>
        <v>117696.56333333318</v>
      </c>
      <c r="AA128" s="107"/>
      <c r="AB128" s="107"/>
      <c r="AC128" s="107">
        <f t="shared" si="88"/>
        <v>52309.66333333333</v>
      </c>
      <c r="AD128" s="107">
        <f t="shared" si="89"/>
        <v>113337.42472222207</v>
      </c>
      <c r="AE128" s="107">
        <f t="shared" si="90"/>
        <v>108978.28611111097</v>
      </c>
      <c r="AF128" s="107">
        <f t="shared" si="91"/>
        <v>104619.14749999986</v>
      </c>
      <c r="AG128" s="107">
        <f t="shared" si="92"/>
        <v>100260.00888888875</v>
      </c>
      <c r="AH128" s="107">
        <f t="shared" si="93"/>
        <v>95900.870277777649</v>
      </c>
      <c r="AI128" s="107">
        <f t="shared" si="94"/>
        <v>91541.731666666543</v>
      </c>
      <c r="AJ128" s="107">
        <f t="shared" si="95"/>
        <v>87182.593055555437</v>
      </c>
      <c r="AK128" s="107">
        <f t="shared" si="96"/>
        <v>82823.454444444331</v>
      </c>
      <c r="AL128" s="107">
        <f t="shared" si="97"/>
        <v>78464.315833333225</v>
      </c>
      <c r="AM128" s="107">
        <f t="shared" si="98"/>
        <v>74105.177222222119</v>
      </c>
      <c r="AN128" s="107">
        <f t="shared" si="99"/>
        <v>69746.038611111013</v>
      </c>
      <c r="AO128" s="107">
        <f t="shared" si="100"/>
        <v>65386.8999999999</v>
      </c>
      <c r="AP128" s="107"/>
      <c r="AQ128" s="126"/>
      <c r="AR128" s="107">
        <f t="shared" si="101"/>
        <v>52309.66333333333</v>
      </c>
      <c r="AS128" s="107">
        <f t="shared" si="107"/>
        <v>61027.761388888786</v>
      </c>
      <c r="AT128" s="107">
        <f t="shared" si="108"/>
        <v>56668.622777777673</v>
      </c>
      <c r="AU128" s="107">
        <f t="shared" si="109"/>
        <v>52309.48416666656</v>
      </c>
      <c r="AV128" s="107">
        <f t="shared" si="110"/>
        <v>47950.345555555446</v>
      </c>
      <c r="AW128" s="107">
        <f t="shared" si="111"/>
        <v>43591.206944444333</v>
      </c>
      <c r="AX128" s="107">
        <f t="shared" si="112"/>
        <v>39232.06833333322</v>
      </c>
      <c r="AY128" s="107">
        <f t="shared" si="113"/>
        <v>34872.929722222107</v>
      </c>
      <c r="AZ128" s="107">
        <f t="shared" si="114"/>
        <v>30513.791111110997</v>
      </c>
      <c r="BA128" s="107">
        <f t="shared" si="115"/>
        <v>26154.652499999887</v>
      </c>
      <c r="BB128" s="107">
        <f t="shared" si="116"/>
        <v>21795.513888888778</v>
      </c>
      <c r="BC128" s="107">
        <f t="shared" si="117"/>
        <v>17436.375277777668</v>
      </c>
      <c r="BD128" s="107">
        <f t="shared" si="118"/>
        <v>13077.236666666558</v>
      </c>
      <c r="BE128" s="107"/>
      <c r="BF128" s="127"/>
      <c r="BG128" s="127"/>
      <c r="BI128" s="127"/>
      <c r="BJ128" s="127"/>
      <c r="BK128" s="127"/>
      <c r="BL128" s="127"/>
      <c r="BM128" s="127"/>
      <c r="BN128" s="127"/>
      <c r="BO128" s="127"/>
      <c r="BP128" s="127"/>
      <c r="BQ128" s="127"/>
      <c r="BR128" s="127"/>
      <c r="BS128" s="127"/>
      <c r="BT128" s="127"/>
      <c r="BU128" s="127"/>
      <c r="BV128" s="127"/>
    </row>
    <row r="129" spans="1:74" ht="22.5" hidden="1" x14ac:dyDescent="0.2">
      <c r="A129" s="123" t="str">
        <f>'[2]2021 УГРЦТ'!A131</f>
        <v>Шкаф распред устройств с ячейками КРУ №13</v>
      </c>
      <c r="B129" s="124" t="str">
        <f>'[2]2021 УГРЦТ'!B131</f>
        <v>00001210</v>
      </c>
      <c r="C129" s="124" t="str">
        <f>VLOOKUP(A:A,'2023-2027'!A:L,1,+FALSE)</f>
        <v>Шкаф распред устройств с ячейками КРУ №13</v>
      </c>
      <c r="D129" s="124" t="str">
        <f>'[2]2021 УГРЦТ'!C131</f>
        <v>ПРОИЗВОДСТВО</v>
      </c>
      <c r="E129" s="124" t="str">
        <f>'[2]2021 УГРЦТ'!D131</f>
        <v>Машины и оборудование (кроме офисного)</v>
      </c>
      <c r="F129" s="124" t="str">
        <f>'[2]2021 УГРЦТ'!E131</f>
        <v>31.03.2010</v>
      </c>
      <c r="G129" s="124" t="str">
        <f>'[2]2021 УГРЦТ'!F131</f>
        <v>Газотурбинный цех</v>
      </c>
      <c r="H129" s="124">
        <f>'[2]2021 УГРЦТ'!AC131</f>
        <v>180</v>
      </c>
      <c r="I129" s="107">
        <v>784644.95</v>
      </c>
      <c r="J129" s="107">
        <v>614638.72333333339</v>
      </c>
      <c r="K129" s="107">
        <v>170006.22666666657</v>
      </c>
      <c r="L129" s="125" t="e">
        <f>SUMIF([2]облаг!$B$2:$B$259,B129,[2]облаг!$D$2:$D$259)</f>
        <v>#VALUE!</v>
      </c>
      <c r="M129" s="107">
        <f t="shared" si="74"/>
        <v>4359.1386111111105</v>
      </c>
      <c r="N129" s="107">
        <f t="shared" si="75"/>
        <v>52309.66333333333</v>
      </c>
      <c r="O129" s="107">
        <f t="shared" si="76"/>
        <v>165647.08805555545</v>
      </c>
      <c r="P129" s="107">
        <f t="shared" si="77"/>
        <v>161287.94944444433</v>
      </c>
      <c r="Q129" s="107">
        <f t="shared" si="78"/>
        <v>156928.81083333321</v>
      </c>
      <c r="R129" s="107">
        <f t="shared" si="79"/>
        <v>152569.67222222209</v>
      </c>
      <c r="S129" s="107">
        <f t="shared" si="80"/>
        <v>148210.53361111096</v>
      </c>
      <c r="T129" s="107">
        <f t="shared" si="81"/>
        <v>143851.39499999984</v>
      </c>
      <c r="U129" s="107">
        <f t="shared" si="82"/>
        <v>139492.25638888872</v>
      </c>
      <c r="V129" s="107">
        <f t="shared" si="83"/>
        <v>135133.1177777776</v>
      </c>
      <c r="W129" s="107">
        <f t="shared" si="84"/>
        <v>130773.9791666665</v>
      </c>
      <c r="X129" s="107">
        <f t="shared" si="85"/>
        <v>126414.84055555539</v>
      </c>
      <c r="Y129" s="107">
        <f t="shared" si="86"/>
        <v>122055.70194444428</v>
      </c>
      <c r="Z129" s="107">
        <f t="shared" si="87"/>
        <v>117696.56333333318</v>
      </c>
      <c r="AA129" s="107"/>
      <c r="AB129" s="107"/>
      <c r="AC129" s="107">
        <f t="shared" si="88"/>
        <v>52309.66333333333</v>
      </c>
      <c r="AD129" s="107">
        <f t="shared" si="89"/>
        <v>113337.42472222207</v>
      </c>
      <c r="AE129" s="107">
        <f t="shared" si="90"/>
        <v>108978.28611111097</v>
      </c>
      <c r="AF129" s="107">
        <f t="shared" si="91"/>
        <v>104619.14749999986</v>
      </c>
      <c r="AG129" s="107">
        <f t="shared" si="92"/>
        <v>100260.00888888875</v>
      </c>
      <c r="AH129" s="107">
        <f t="shared" si="93"/>
        <v>95900.870277777649</v>
      </c>
      <c r="AI129" s="107">
        <f t="shared" si="94"/>
        <v>91541.731666666543</v>
      </c>
      <c r="AJ129" s="107">
        <f t="shared" si="95"/>
        <v>87182.593055555437</v>
      </c>
      <c r="AK129" s="107">
        <f t="shared" si="96"/>
        <v>82823.454444444331</v>
      </c>
      <c r="AL129" s="107">
        <f t="shared" si="97"/>
        <v>78464.315833333225</v>
      </c>
      <c r="AM129" s="107">
        <f t="shared" si="98"/>
        <v>74105.177222222119</v>
      </c>
      <c r="AN129" s="107">
        <f t="shared" si="99"/>
        <v>69746.038611111013</v>
      </c>
      <c r="AO129" s="107">
        <f t="shared" si="100"/>
        <v>65386.8999999999</v>
      </c>
      <c r="AP129" s="107"/>
      <c r="AQ129" s="126"/>
      <c r="AR129" s="107">
        <f t="shared" si="101"/>
        <v>52309.66333333333</v>
      </c>
      <c r="AS129" s="107">
        <f t="shared" si="107"/>
        <v>61027.761388888786</v>
      </c>
      <c r="AT129" s="107">
        <f t="shared" si="108"/>
        <v>56668.622777777673</v>
      </c>
      <c r="AU129" s="107">
        <f t="shared" si="109"/>
        <v>52309.48416666656</v>
      </c>
      <c r="AV129" s="107">
        <f t="shared" si="110"/>
        <v>47950.345555555446</v>
      </c>
      <c r="AW129" s="107">
        <f t="shared" si="111"/>
        <v>43591.206944444333</v>
      </c>
      <c r="AX129" s="107">
        <f t="shared" si="112"/>
        <v>39232.06833333322</v>
      </c>
      <c r="AY129" s="107">
        <f t="shared" si="113"/>
        <v>34872.929722222107</v>
      </c>
      <c r="AZ129" s="107">
        <f t="shared" si="114"/>
        <v>30513.791111110997</v>
      </c>
      <c r="BA129" s="107">
        <f t="shared" si="115"/>
        <v>26154.652499999887</v>
      </c>
      <c r="BB129" s="107">
        <f t="shared" si="116"/>
        <v>21795.513888888778</v>
      </c>
      <c r="BC129" s="107">
        <f t="shared" si="117"/>
        <v>17436.375277777668</v>
      </c>
      <c r="BD129" s="107">
        <f t="shared" si="118"/>
        <v>13077.236666666558</v>
      </c>
      <c r="BE129" s="107"/>
      <c r="BF129" s="127"/>
      <c r="BG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</row>
    <row r="130" spans="1:74" ht="22.5" hidden="1" x14ac:dyDescent="0.2">
      <c r="A130" s="123" t="str">
        <f>'[2]2021 УГРЦТ'!A132</f>
        <v>Шкаф распред устройств с ячейками КРУ №14</v>
      </c>
      <c r="B130" s="124" t="str">
        <f>'[2]2021 УГРЦТ'!B132</f>
        <v>00001211</v>
      </c>
      <c r="C130" s="124" t="str">
        <f>VLOOKUP(A:A,'2023-2027'!A:L,1,+FALSE)</f>
        <v>Шкаф распред устройств с ячейками КРУ №14</v>
      </c>
      <c r="D130" s="124" t="str">
        <f>'[2]2021 УГРЦТ'!C132</f>
        <v>ПРОИЗВОДСТВО</v>
      </c>
      <c r="E130" s="124" t="str">
        <f>'[2]2021 УГРЦТ'!D132</f>
        <v>Машины и оборудование (кроме офисного)</v>
      </c>
      <c r="F130" s="124" t="str">
        <f>'[2]2021 УГРЦТ'!E132</f>
        <v>31.03.2010</v>
      </c>
      <c r="G130" s="124" t="str">
        <f>'[2]2021 УГРЦТ'!F132</f>
        <v>Газотурбинный цех</v>
      </c>
      <c r="H130" s="124">
        <f>'[2]2021 УГРЦТ'!AC132</f>
        <v>180</v>
      </c>
      <c r="I130" s="107">
        <v>784644.95</v>
      </c>
      <c r="J130" s="107">
        <v>614638.72333333339</v>
      </c>
      <c r="K130" s="107">
        <v>170006.22666666657</v>
      </c>
      <c r="L130" s="125" t="e">
        <f>SUMIF([2]облаг!$B$2:$B$259,B130,[2]облаг!$D$2:$D$259)</f>
        <v>#VALUE!</v>
      </c>
      <c r="M130" s="107">
        <f t="shared" si="74"/>
        <v>4359.1386111111105</v>
      </c>
      <c r="N130" s="107">
        <f t="shared" si="75"/>
        <v>52309.66333333333</v>
      </c>
      <c r="O130" s="107">
        <f t="shared" si="76"/>
        <v>165647.08805555545</v>
      </c>
      <c r="P130" s="107">
        <f t="shared" si="77"/>
        <v>161287.94944444433</v>
      </c>
      <c r="Q130" s="107">
        <f t="shared" si="78"/>
        <v>156928.81083333321</v>
      </c>
      <c r="R130" s="107">
        <f t="shared" si="79"/>
        <v>152569.67222222209</v>
      </c>
      <c r="S130" s="107">
        <f t="shared" si="80"/>
        <v>148210.53361111096</v>
      </c>
      <c r="T130" s="107">
        <f t="shared" si="81"/>
        <v>143851.39499999984</v>
      </c>
      <c r="U130" s="107">
        <f t="shared" si="82"/>
        <v>139492.25638888872</v>
      </c>
      <c r="V130" s="107">
        <f t="shared" si="83"/>
        <v>135133.1177777776</v>
      </c>
      <c r="W130" s="107">
        <f t="shared" si="84"/>
        <v>130773.9791666665</v>
      </c>
      <c r="X130" s="107">
        <f t="shared" si="85"/>
        <v>126414.84055555539</v>
      </c>
      <c r="Y130" s="107">
        <f t="shared" si="86"/>
        <v>122055.70194444428</v>
      </c>
      <c r="Z130" s="107">
        <f t="shared" si="87"/>
        <v>117696.56333333318</v>
      </c>
      <c r="AA130" s="107"/>
      <c r="AB130" s="107"/>
      <c r="AC130" s="107">
        <f t="shared" si="88"/>
        <v>52309.66333333333</v>
      </c>
      <c r="AD130" s="107">
        <f t="shared" si="89"/>
        <v>113337.42472222207</v>
      </c>
      <c r="AE130" s="107">
        <f t="shared" si="90"/>
        <v>108978.28611111097</v>
      </c>
      <c r="AF130" s="107">
        <f t="shared" si="91"/>
        <v>104619.14749999986</v>
      </c>
      <c r="AG130" s="107">
        <f t="shared" si="92"/>
        <v>100260.00888888875</v>
      </c>
      <c r="AH130" s="107">
        <f t="shared" si="93"/>
        <v>95900.870277777649</v>
      </c>
      <c r="AI130" s="107">
        <f t="shared" si="94"/>
        <v>91541.731666666543</v>
      </c>
      <c r="AJ130" s="107">
        <f t="shared" si="95"/>
        <v>87182.593055555437</v>
      </c>
      <c r="AK130" s="107">
        <f t="shared" si="96"/>
        <v>82823.454444444331</v>
      </c>
      <c r="AL130" s="107">
        <f t="shared" si="97"/>
        <v>78464.315833333225</v>
      </c>
      <c r="AM130" s="107">
        <f t="shared" si="98"/>
        <v>74105.177222222119</v>
      </c>
      <c r="AN130" s="107">
        <f t="shared" si="99"/>
        <v>69746.038611111013</v>
      </c>
      <c r="AO130" s="107">
        <f t="shared" si="100"/>
        <v>65386.8999999999</v>
      </c>
      <c r="AP130" s="107"/>
      <c r="AQ130" s="126"/>
      <c r="AR130" s="107">
        <f t="shared" si="101"/>
        <v>52309.66333333333</v>
      </c>
      <c r="AS130" s="107">
        <f t="shared" si="107"/>
        <v>61027.761388888786</v>
      </c>
      <c r="AT130" s="107">
        <f t="shared" si="108"/>
        <v>56668.622777777673</v>
      </c>
      <c r="AU130" s="107">
        <f t="shared" si="109"/>
        <v>52309.48416666656</v>
      </c>
      <c r="AV130" s="107">
        <f t="shared" si="110"/>
        <v>47950.345555555446</v>
      </c>
      <c r="AW130" s="107">
        <f t="shared" si="111"/>
        <v>43591.206944444333</v>
      </c>
      <c r="AX130" s="107">
        <f t="shared" si="112"/>
        <v>39232.06833333322</v>
      </c>
      <c r="AY130" s="107">
        <f t="shared" si="113"/>
        <v>34872.929722222107</v>
      </c>
      <c r="AZ130" s="107">
        <f t="shared" si="114"/>
        <v>30513.791111110997</v>
      </c>
      <c r="BA130" s="107">
        <f t="shared" si="115"/>
        <v>26154.652499999887</v>
      </c>
      <c r="BB130" s="107">
        <f t="shared" si="116"/>
        <v>21795.513888888778</v>
      </c>
      <c r="BC130" s="107">
        <f t="shared" si="117"/>
        <v>17436.375277777668</v>
      </c>
      <c r="BD130" s="107">
        <f t="shared" si="118"/>
        <v>13077.236666666558</v>
      </c>
      <c r="BE130" s="107"/>
      <c r="BF130" s="127"/>
      <c r="BG130" s="127"/>
      <c r="BI130" s="127"/>
      <c r="BJ130" s="127"/>
      <c r="BK130" s="127"/>
      <c r="BL130" s="127"/>
      <c r="BM130" s="127"/>
      <c r="BN130" s="127"/>
      <c r="BO130" s="127"/>
      <c r="BP130" s="127"/>
      <c r="BQ130" s="127"/>
      <c r="BR130" s="127"/>
      <c r="BS130" s="127"/>
      <c r="BT130" s="127"/>
      <c r="BU130" s="127"/>
      <c r="BV130" s="127"/>
    </row>
    <row r="131" spans="1:74" ht="22.5" hidden="1" x14ac:dyDescent="0.2">
      <c r="A131" s="123" t="str">
        <f>'[2]2021 УГРЦТ'!A133</f>
        <v>Шкаф распред устройств с ячейками КРУ №15</v>
      </c>
      <c r="B131" s="124" t="str">
        <f>'[2]2021 УГРЦТ'!B133</f>
        <v>00001212</v>
      </c>
      <c r="C131" s="124" t="str">
        <f>VLOOKUP(A:A,'2023-2027'!A:L,1,+FALSE)</f>
        <v>Шкаф распред устройств с ячейками КРУ №15</v>
      </c>
      <c r="D131" s="124" t="str">
        <f>'[2]2021 УГРЦТ'!C133</f>
        <v>ПРОИЗВОДСТВО</v>
      </c>
      <c r="E131" s="124" t="str">
        <f>'[2]2021 УГРЦТ'!D133</f>
        <v>Машины и оборудование (кроме офисного)</v>
      </c>
      <c r="F131" s="124" t="str">
        <f>'[2]2021 УГРЦТ'!E133</f>
        <v>31.03.2010</v>
      </c>
      <c r="G131" s="124" t="str">
        <f>'[2]2021 УГРЦТ'!F133</f>
        <v>Газотурбинный цех</v>
      </c>
      <c r="H131" s="124">
        <f>'[2]2021 УГРЦТ'!AC133</f>
        <v>180</v>
      </c>
      <c r="I131" s="107">
        <f>'[2]2021 УГРЦТ'!X133</f>
        <v>784644.95</v>
      </c>
      <c r="J131" s="107">
        <f>'[2]2021 УГРЦТ'!Y133</f>
        <v>614638.72333333339</v>
      </c>
      <c r="K131" s="107">
        <f>'[2]2021 УГРЦТ'!Z133</f>
        <v>170006.22666666657</v>
      </c>
      <c r="L131" s="125" t="e">
        <f>SUMIF([2]облаг!$B$2:$B$259,B131,[2]облаг!$D$2:$D$259)</f>
        <v>#VALUE!</v>
      </c>
      <c r="M131" s="107">
        <f t="shared" si="74"/>
        <v>4359.1386111111105</v>
      </c>
      <c r="N131" s="107">
        <f t="shared" si="75"/>
        <v>52309.66333333333</v>
      </c>
      <c r="O131" s="107">
        <f t="shared" si="76"/>
        <v>165647.08805555545</v>
      </c>
      <c r="P131" s="107">
        <f t="shared" si="77"/>
        <v>161287.94944444433</v>
      </c>
      <c r="Q131" s="107">
        <f t="shared" si="78"/>
        <v>156928.81083333321</v>
      </c>
      <c r="R131" s="107">
        <f t="shared" si="79"/>
        <v>152569.67222222209</v>
      </c>
      <c r="S131" s="107">
        <f t="shared" si="80"/>
        <v>148210.53361111096</v>
      </c>
      <c r="T131" s="107">
        <f t="shared" si="81"/>
        <v>143851.39499999984</v>
      </c>
      <c r="U131" s="107">
        <f t="shared" si="82"/>
        <v>139492.25638888872</v>
      </c>
      <c r="V131" s="107">
        <f t="shared" si="83"/>
        <v>135133.1177777776</v>
      </c>
      <c r="W131" s="107">
        <f t="shared" si="84"/>
        <v>130773.9791666665</v>
      </c>
      <c r="X131" s="107">
        <f t="shared" si="85"/>
        <v>126414.84055555539</v>
      </c>
      <c r="Y131" s="107">
        <f t="shared" si="86"/>
        <v>122055.70194444428</v>
      </c>
      <c r="Z131" s="107">
        <f t="shared" si="87"/>
        <v>117696.56333333318</v>
      </c>
      <c r="AA131" s="107"/>
      <c r="AB131" s="107"/>
      <c r="AC131" s="107">
        <f t="shared" si="88"/>
        <v>52309.66333333333</v>
      </c>
      <c r="AD131" s="107">
        <f t="shared" si="89"/>
        <v>113337.42472222207</v>
      </c>
      <c r="AE131" s="107">
        <f t="shared" si="90"/>
        <v>108978.28611111097</v>
      </c>
      <c r="AF131" s="107">
        <f t="shared" si="91"/>
        <v>104619.14749999986</v>
      </c>
      <c r="AG131" s="107">
        <f t="shared" si="92"/>
        <v>100260.00888888875</v>
      </c>
      <c r="AH131" s="107">
        <f t="shared" si="93"/>
        <v>95900.870277777649</v>
      </c>
      <c r="AI131" s="107">
        <f t="shared" si="94"/>
        <v>91541.731666666543</v>
      </c>
      <c r="AJ131" s="107">
        <f t="shared" si="95"/>
        <v>87182.593055555437</v>
      </c>
      <c r="AK131" s="107">
        <f t="shared" si="96"/>
        <v>82823.454444444331</v>
      </c>
      <c r="AL131" s="107">
        <f t="shared" si="97"/>
        <v>78464.315833333225</v>
      </c>
      <c r="AM131" s="107">
        <f t="shared" si="98"/>
        <v>74105.177222222119</v>
      </c>
      <c r="AN131" s="107">
        <f t="shared" si="99"/>
        <v>69746.038611111013</v>
      </c>
      <c r="AO131" s="107">
        <f t="shared" si="100"/>
        <v>65386.8999999999</v>
      </c>
      <c r="AP131" s="107"/>
      <c r="AQ131" s="126"/>
      <c r="AR131" s="107">
        <f t="shared" si="101"/>
        <v>52309.66333333333</v>
      </c>
      <c r="AS131" s="107">
        <f t="shared" si="107"/>
        <v>61027.761388888786</v>
      </c>
      <c r="AT131" s="107">
        <f t="shared" si="108"/>
        <v>56668.622777777673</v>
      </c>
      <c r="AU131" s="107">
        <f t="shared" si="109"/>
        <v>52309.48416666656</v>
      </c>
      <c r="AV131" s="107">
        <f t="shared" si="110"/>
        <v>47950.345555555446</v>
      </c>
      <c r="AW131" s="107">
        <f t="shared" si="111"/>
        <v>43591.206944444333</v>
      </c>
      <c r="AX131" s="107">
        <f t="shared" si="112"/>
        <v>39232.06833333322</v>
      </c>
      <c r="AY131" s="107">
        <f t="shared" si="113"/>
        <v>34872.929722222107</v>
      </c>
      <c r="AZ131" s="107">
        <f t="shared" si="114"/>
        <v>30513.791111110997</v>
      </c>
      <c r="BA131" s="107">
        <f t="shared" si="115"/>
        <v>26154.652499999887</v>
      </c>
      <c r="BB131" s="107">
        <f t="shared" si="116"/>
        <v>21795.513888888778</v>
      </c>
      <c r="BC131" s="107">
        <f t="shared" si="117"/>
        <v>17436.375277777668</v>
      </c>
      <c r="BD131" s="107">
        <f t="shared" si="118"/>
        <v>13077.236666666558</v>
      </c>
      <c r="BE131" s="107"/>
      <c r="BF131" s="127"/>
      <c r="BG131" s="127"/>
      <c r="BI131" s="127"/>
      <c r="BJ131" s="127"/>
      <c r="BK131" s="127"/>
      <c r="BL131" s="127"/>
      <c r="BM131" s="127"/>
      <c r="BN131" s="127"/>
      <c r="BO131" s="127"/>
      <c r="BP131" s="127"/>
      <c r="BQ131" s="127"/>
      <c r="BR131" s="127"/>
      <c r="BS131" s="127"/>
      <c r="BT131" s="127"/>
      <c r="BU131" s="127"/>
      <c r="BV131" s="127"/>
    </row>
    <row r="132" spans="1:74" ht="22.5" hidden="1" x14ac:dyDescent="0.2">
      <c r="A132" s="123" t="str">
        <f>'[2]2021 УГРЦТ'!A134</f>
        <v>Шкаф распред устройств с ячейками КРУ №16</v>
      </c>
      <c r="B132" s="124" t="str">
        <f>'[2]2021 УГРЦТ'!B134</f>
        <v>00001204</v>
      </c>
      <c r="C132" s="124" t="str">
        <f>VLOOKUP(A:A,'2023-2027'!A:L,1,+FALSE)</f>
        <v>Шкаф распред устройств с ячейками КРУ №16</v>
      </c>
      <c r="D132" s="124" t="str">
        <f>'[2]2021 УГРЦТ'!C134</f>
        <v>ПРОИЗВОДСТВО</v>
      </c>
      <c r="E132" s="124" t="str">
        <f>'[2]2021 УГРЦТ'!D134</f>
        <v>Машины и оборудование (кроме офисного)</v>
      </c>
      <c r="F132" s="124" t="str">
        <f>'[2]2021 УГРЦТ'!E134</f>
        <v>31.03.2010</v>
      </c>
      <c r="G132" s="124" t="str">
        <f>'[2]2021 УГРЦТ'!F134</f>
        <v>Газотурбинный цех</v>
      </c>
      <c r="H132" s="124">
        <f>'[2]2021 УГРЦТ'!AC134</f>
        <v>180</v>
      </c>
      <c r="I132" s="107">
        <v>784644.95</v>
      </c>
      <c r="J132" s="107">
        <v>614638.72333333339</v>
      </c>
      <c r="K132" s="107">
        <v>170006.22666666657</v>
      </c>
      <c r="L132" s="125" t="e">
        <f>SUMIF([2]облаг!$B$2:$B$259,B132,[2]облаг!$D$2:$D$259)</f>
        <v>#VALUE!</v>
      </c>
      <c r="M132" s="107">
        <f t="shared" si="74"/>
        <v>4359.1386111111105</v>
      </c>
      <c r="N132" s="107">
        <f t="shared" si="75"/>
        <v>52309.66333333333</v>
      </c>
      <c r="O132" s="107">
        <f t="shared" si="76"/>
        <v>165647.08805555545</v>
      </c>
      <c r="P132" s="107">
        <f t="shared" si="77"/>
        <v>161287.94944444433</v>
      </c>
      <c r="Q132" s="107">
        <f t="shared" si="78"/>
        <v>156928.81083333321</v>
      </c>
      <c r="R132" s="107">
        <f t="shared" si="79"/>
        <v>152569.67222222209</v>
      </c>
      <c r="S132" s="107">
        <f t="shared" si="80"/>
        <v>148210.53361111096</v>
      </c>
      <c r="T132" s="107">
        <f t="shared" si="81"/>
        <v>143851.39499999984</v>
      </c>
      <c r="U132" s="107">
        <f t="shared" si="82"/>
        <v>139492.25638888872</v>
      </c>
      <c r="V132" s="107">
        <f t="shared" si="83"/>
        <v>135133.1177777776</v>
      </c>
      <c r="W132" s="107">
        <f t="shared" si="84"/>
        <v>130773.9791666665</v>
      </c>
      <c r="X132" s="107">
        <f t="shared" si="85"/>
        <v>126414.84055555539</v>
      </c>
      <c r="Y132" s="107">
        <f t="shared" si="86"/>
        <v>122055.70194444428</v>
      </c>
      <c r="Z132" s="107">
        <f t="shared" si="87"/>
        <v>117696.56333333318</v>
      </c>
      <c r="AA132" s="107"/>
      <c r="AB132" s="107"/>
      <c r="AC132" s="107">
        <f t="shared" si="88"/>
        <v>52309.66333333333</v>
      </c>
      <c r="AD132" s="107">
        <f t="shared" si="89"/>
        <v>113337.42472222207</v>
      </c>
      <c r="AE132" s="107">
        <f t="shared" si="90"/>
        <v>108978.28611111097</v>
      </c>
      <c r="AF132" s="107">
        <f t="shared" si="91"/>
        <v>104619.14749999986</v>
      </c>
      <c r="AG132" s="107">
        <f t="shared" si="92"/>
        <v>100260.00888888875</v>
      </c>
      <c r="AH132" s="107">
        <f t="shared" si="93"/>
        <v>95900.870277777649</v>
      </c>
      <c r="AI132" s="107">
        <f t="shared" si="94"/>
        <v>91541.731666666543</v>
      </c>
      <c r="AJ132" s="107">
        <f t="shared" si="95"/>
        <v>87182.593055555437</v>
      </c>
      <c r="AK132" s="107">
        <f t="shared" si="96"/>
        <v>82823.454444444331</v>
      </c>
      <c r="AL132" s="107">
        <f t="shared" si="97"/>
        <v>78464.315833333225</v>
      </c>
      <c r="AM132" s="107">
        <f t="shared" si="98"/>
        <v>74105.177222222119</v>
      </c>
      <c r="AN132" s="107">
        <f t="shared" si="99"/>
        <v>69746.038611111013</v>
      </c>
      <c r="AO132" s="107">
        <f t="shared" si="100"/>
        <v>65386.8999999999</v>
      </c>
      <c r="AP132" s="107"/>
      <c r="AQ132" s="126"/>
      <c r="AR132" s="107">
        <f t="shared" si="101"/>
        <v>52309.66333333333</v>
      </c>
      <c r="AS132" s="107">
        <f t="shared" si="107"/>
        <v>61027.761388888786</v>
      </c>
      <c r="AT132" s="107">
        <f t="shared" si="108"/>
        <v>56668.622777777673</v>
      </c>
      <c r="AU132" s="107">
        <f t="shared" si="109"/>
        <v>52309.48416666656</v>
      </c>
      <c r="AV132" s="107">
        <f t="shared" si="110"/>
        <v>47950.345555555446</v>
      </c>
      <c r="AW132" s="107">
        <f t="shared" si="111"/>
        <v>43591.206944444333</v>
      </c>
      <c r="AX132" s="107">
        <f t="shared" si="112"/>
        <v>39232.06833333322</v>
      </c>
      <c r="AY132" s="107">
        <f t="shared" si="113"/>
        <v>34872.929722222107</v>
      </c>
      <c r="AZ132" s="107">
        <f t="shared" si="114"/>
        <v>30513.791111110997</v>
      </c>
      <c r="BA132" s="107">
        <f t="shared" si="115"/>
        <v>26154.652499999887</v>
      </c>
      <c r="BB132" s="107">
        <f t="shared" si="116"/>
        <v>21795.513888888778</v>
      </c>
      <c r="BC132" s="107">
        <f t="shared" si="117"/>
        <v>17436.375277777668</v>
      </c>
      <c r="BD132" s="107">
        <f t="shared" si="118"/>
        <v>13077.236666666558</v>
      </c>
      <c r="BE132" s="107"/>
      <c r="BF132" s="127"/>
      <c r="BG132" s="127"/>
      <c r="BI132" s="127"/>
      <c r="BJ132" s="127"/>
      <c r="BK132" s="127"/>
      <c r="BL132" s="127"/>
      <c r="BM132" s="127"/>
      <c r="BN132" s="127"/>
      <c r="BO132" s="127"/>
      <c r="BP132" s="127"/>
      <c r="BQ132" s="127"/>
      <c r="BR132" s="127"/>
      <c r="BS132" s="127"/>
      <c r="BT132" s="127"/>
      <c r="BU132" s="127"/>
      <c r="BV132" s="127"/>
    </row>
    <row r="133" spans="1:74" ht="22.5" hidden="1" x14ac:dyDescent="0.2">
      <c r="A133" s="123" t="str">
        <f>'[2]2021 УГРЦТ'!A135</f>
        <v>Шкаф распред устройств с ячейками КРУ №17</v>
      </c>
      <c r="B133" s="124" t="str">
        <f>'[2]2021 УГРЦТ'!B135</f>
        <v>00001200</v>
      </c>
      <c r="C133" s="124" t="str">
        <f>VLOOKUP(A:A,'2023-2027'!A:L,1,+FALSE)</f>
        <v>Шкаф распред устройств с ячейками КРУ №17</v>
      </c>
      <c r="D133" s="124" t="str">
        <f>'[2]2021 УГРЦТ'!C135</f>
        <v>ПРОИЗВОДСТВО</v>
      </c>
      <c r="E133" s="124" t="str">
        <f>'[2]2021 УГРЦТ'!D135</f>
        <v>Машины и оборудование (кроме офисного)</v>
      </c>
      <c r="F133" s="124" t="str">
        <f>'[2]2021 УГРЦТ'!E135</f>
        <v>31.03.2010</v>
      </c>
      <c r="G133" s="124" t="str">
        <f>'[2]2021 УГРЦТ'!F135</f>
        <v>Газотурбинный цех</v>
      </c>
      <c r="H133" s="124">
        <f>'[2]2021 УГРЦТ'!AC135</f>
        <v>180</v>
      </c>
      <c r="I133" s="107">
        <v>784644.95</v>
      </c>
      <c r="J133" s="107">
        <v>614638.72333333339</v>
      </c>
      <c r="K133" s="107">
        <v>170006.22666666657</v>
      </c>
      <c r="L133" s="125" t="e">
        <f>SUMIF([2]облаг!$B$2:$B$259,B133,[2]облаг!$D$2:$D$259)</f>
        <v>#VALUE!</v>
      </c>
      <c r="M133" s="107">
        <f t="shared" si="74"/>
        <v>4359.1386111111105</v>
      </c>
      <c r="N133" s="107">
        <f t="shared" si="75"/>
        <v>52309.66333333333</v>
      </c>
      <c r="O133" s="107">
        <f t="shared" si="76"/>
        <v>165647.08805555545</v>
      </c>
      <c r="P133" s="107">
        <f t="shared" si="77"/>
        <v>161287.94944444433</v>
      </c>
      <c r="Q133" s="107">
        <f t="shared" si="78"/>
        <v>156928.81083333321</v>
      </c>
      <c r="R133" s="107">
        <f t="shared" si="79"/>
        <v>152569.67222222209</v>
      </c>
      <c r="S133" s="107">
        <f t="shared" si="80"/>
        <v>148210.53361111096</v>
      </c>
      <c r="T133" s="107">
        <f t="shared" si="81"/>
        <v>143851.39499999984</v>
      </c>
      <c r="U133" s="107">
        <f t="shared" si="82"/>
        <v>139492.25638888872</v>
      </c>
      <c r="V133" s="107">
        <f t="shared" si="83"/>
        <v>135133.1177777776</v>
      </c>
      <c r="W133" s="107">
        <f t="shared" si="84"/>
        <v>130773.9791666665</v>
      </c>
      <c r="X133" s="107">
        <f t="shared" si="85"/>
        <v>126414.84055555539</v>
      </c>
      <c r="Y133" s="107">
        <f t="shared" si="86"/>
        <v>122055.70194444428</v>
      </c>
      <c r="Z133" s="107">
        <f t="shared" si="87"/>
        <v>117696.56333333318</v>
      </c>
      <c r="AA133" s="107"/>
      <c r="AB133" s="107"/>
      <c r="AC133" s="107">
        <f t="shared" si="88"/>
        <v>52309.66333333333</v>
      </c>
      <c r="AD133" s="107">
        <f t="shared" si="89"/>
        <v>113337.42472222207</v>
      </c>
      <c r="AE133" s="107">
        <f t="shared" si="90"/>
        <v>108978.28611111097</v>
      </c>
      <c r="AF133" s="107">
        <f t="shared" si="91"/>
        <v>104619.14749999986</v>
      </c>
      <c r="AG133" s="107">
        <f t="shared" si="92"/>
        <v>100260.00888888875</v>
      </c>
      <c r="AH133" s="107">
        <f t="shared" si="93"/>
        <v>95900.870277777649</v>
      </c>
      <c r="AI133" s="107">
        <f t="shared" si="94"/>
        <v>91541.731666666543</v>
      </c>
      <c r="AJ133" s="107">
        <f t="shared" si="95"/>
        <v>87182.593055555437</v>
      </c>
      <c r="AK133" s="107">
        <f t="shared" si="96"/>
        <v>82823.454444444331</v>
      </c>
      <c r="AL133" s="107">
        <f t="shared" si="97"/>
        <v>78464.315833333225</v>
      </c>
      <c r="AM133" s="107">
        <f t="shared" si="98"/>
        <v>74105.177222222119</v>
      </c>
      <c r="AN133" s="107">
        <f t="shared" si="99"/>
        <v>69746.038611111013</v>
      </c>
      <c r="AO133" s="107">
        <f t="shared" si="100"/>
        <v>65386.8999999999</v>
      </c>
      <c r="AP133" s="107"/>
      <c r="AQ133" s="126"/>
      <c r="AR133" s="107">
        <f t="shared" si="101"/>
        <v>52309.66333333333</v>
      </c>
      <c r="AS133" s="107">
        <f t="shared" si="107"/>
        <v>61027.761388888786</v>
      </c>
      <c r="AT133" s="107">
        <f t="shared" si="108"/>
        <v>56668.622777777673</v>
      </c>
      <c r="AU133" s="107">
        <f t="shared" si="109"/>
        <v>52309.48416666656</v>
      </c>
      <c r="AV133" s="107">
        <f t="shared" si="110"/>
        <v>47950.345555555446</v>
      </c>
      <c r="AW133" s="107">
        <f t="shared" si="111"/>
        <v>43591.206944444333</v>
      </c>
      <c r="AX133" s="107">
        <f t="shared" si="112"/>
        <v>39232.06833333322</v>
      </c>
      <c r="AY133" s="107">
        <f t="shared" si="113"/>
        <v>34872.929722222107</v>
      </c>
      <c r="AZ133" s="107">
        <f t="shared" si="114"/>
        <v>30513.791111110997</v>
      </c>
      <c r="BA133" s="107">
        <f t="shared" si="115"/>
        <v>26154.652499999887</v>
      </c>
      <c r="BB133" s="107">
        <f t="shared" si="116"/>
        <v>21795.513888888778</v>
      </c>
      <c r="BC133" s="107">
        <f t="shared" si="117"/>
        <v>17436.375277777668</v>
      </c>
      <c r="BD133" s="107">
        <f t="shared" si="118"/>
        <v>13077.236666666558</v>
      </c>
      <c r="BE133" s="107"/>
      <c r="BF133" s="127"/>
      <c r="BG133" s="127"/>
      <c r="BI133" s="127"/>
      <c r="BJ133" s="127"/>
      <c r="BK133" s="127"/>
      <c r="BL133" s="127"/>
      <c r="BM133" s="127"/>
      <c r="BN133" s="127"/>
      <c r="BO133" s="127"/>
      <c r="BP133" s="127"/>
      <c r="BQ133" s="127"/>
      <c r="BR133" s="127"/>
      <c r="BS133" s="127"/>
      <c r="BT133" s="127"/>
      <c r="BU133" s="127"/>
      <c r="BV133" s="127"/>
    </row>
    <row r="134" spans="1:74" ht="22.5" hidden="1" x14ac:dyDescent="0.2">
      <c r="A134" s="123" t="str">
        <f>'[2]2021 УГРЦТ'!A136</f>
        <v>Шкаф распред устройств с ячейками КРУ №18</v>
      </c>
      <c r="B134" s="124" t="str">
        <f>'[2]2021 УГРЦТ'!B136</f>
        <v>00001213</v>
      </c>
      <c r="C134" s="124" t="str">
        <f>VLOOKUP(A:A,'2023-2027'!A:L,1,+FALSE)</f>
        <v>Шкаф распред устройств с ячейками КРУ №18</v>
      </c>
      <c r="D134" s="124" t="str">
        <f>'[2]2021 УГРЦТ'!C136</f>
        <v>ПРОИЗВОДСТВО</v>
      </c>
      <c r="E134" s="124" t="str">
        <f>'[2]2021 УГРЦТ'!D136</f>
        <v>Машины и оборудование (кроме офисного)</v>
      </c>
      <c r="F134" s="124" t="str">
        <f>'[2]2021 УГРЦТ'!E136</f>
        <v>31.03.2010</v>
      </c>
      <c r="G134" s="124" t="str">
        <f>'[2]2021 УГРЦТ'!F136</f>
        <v>Газотурбинный цех</v>
      </c>
      <c r="H134" s="124">
        <f>'[2]2021 УГРЦТ'!AC136</f>
        <v>180</v>
      </c>
      <c r="I134" s="107">
        <v>784644.95</v>
      </c>
      <c r="J134" s="107">
        <v>614638.72333333339</v>
      </c>
      <c r="K134" s="107">
        <v>170006.22666666657</v>
      </c>
      <c r="L134" s="125" t="e">
        <f>SUMIF([2]облаг!$B$2:$B$259,B134,[2]облаг!$D$2:$D$259)</f>
        <v>#VALUE!</v>
      </c>
      <c r="M134" s="107">
        <f t="shared" ref="M134:M197" si="120">I134/H134</f>
        <v>4359.1386111111105</v>
      </c>
      <c r="N134" s="107">
        <f t="shared" ref="N134:N197" si="121">M134*12</f>
        <v>52309.66333333333</v>
      </c>
      <c r="O134" s="107">
        <f t="shared" ref="O134:O197" si="122">K134-M134</f>
        <v>165647.08805555545</v>
      </c>
      <c r="P134" s="107">
        <f t="shared" ref="P134:P197" si="123">O134-M134</f>
        <v>161287.94944444433</v>
      </c>
      <c r="Q134" s="107">
        <f t="shared" ref="Q134:Q154" si="124">P134-M134</f>
        <v>156928.81083333321</v>
      </c>
      <c r="R134" s="107">
        <f t="shared" ref="R134:R154" si="125">Q134-M134</f>
        <v>152569.67222222209</v>
      </c>
      <c r="S134" s="107">
        <f t="shared" ref="S134:S154" si="126">R134-M134</f>
        <v>148210.53361111096</v>
      </c>
      <c r="T134" s="107">
        <f t="shared" ref="T134:T154" si="127">S134-M134</f>
        <v>143851.39499999984</v>
      </c>
      <c r="U134" s="107">
        <f t="shared" ref="U134:U154" si="128">T134-M134</f>
        <v>139492.25638888872</v>
      </c>
      <c r="V134" s="107">
        <f t="shared" ref="V134:V154" si="129">U134-M134</f>
        <v>135133.1177777776</v>
      </c>
      <c r="W134" s="107">
        <f t="shared" ref="W134:W154" si="130">V134-M134</f>
        <v>130773.9791666665</v>
      </c>
      <c r="X134" s="107">
        <f t="shared" ref="X134:X154" si="131">W134-M134</f>
        <v>126414.84055555539</v>
      </c>
      <c r="Y134" s="107">
        <f t="shared" ref="Y134:Y154" si="132">X134-M134</f>
        <v>122055.70194444428</v>
      </c>
      <c r="Z134" s="107">
        <f t="shared" ref="Z134:Z154" si="133">Y134-M134</f>
        <v>117696.56333333318</v>
      </c>
      <c r="AA134" s="107"/>
      <c r="AB134" s="107"/>
      <c r="AC134" s="107">
        <f t="shared" ref="AC134:AC154" si="134">M134*12</f>
        <v>52309.66333333333</v>
      </c>
      <c r="AD134" s="107">
        <f t="shared" ref="AD134:AD154" si="135">Z134-M134</f>
        <v>113337.42472222207</v>
      </c>
      <c r="AE134" s="107">
        <f t="shared" ref="AE134:AE154" si="136">AD134-M134</f>
        <v>108978.28611111097</v>
      </c>
      <c r="AF134" s="107">
        <f t="shared" ref="AF134:AF154" si="137">AE134-M134</f>
        <v>104619.14749999986</v>
      </c>
      <c r="AG134" s="107">
        <f t="shared" ref="AG134:AG154" si="138">AF134-M134</f>
        <v>100260.00888888875</v>
      </c>
      <c r="AH134" s="107">
        <f t="shared" ref="AH134:AH154" si="139">AG134-M134</f>
        <v>95900.870277777649</v>
      </c>
      <c r="AI134" s="107">
        <f t="shared" ref="AI134:AI154" si="140">AH134-M134</f>
        <v>91541.731666666543</v>
      </c>
      <c r="AJ134" s="107">
        <f t="shared" ref="AJ134:AJ154" si="141">AI134-M134</f>
        <v>87182.593055555437</v>
      </c>
      <c r="AK134" s="107">
        <f t="shared" ref="AK134:AK154" si="142">AJ134-M134</f>
        <v>82823.454444444331</v>
      </c>
      <c r="AL134" s="107">
        <f t="shared" ref="AL134:AL154" si="143">AK134-M134</f>
        <v>78464.315833333225</v>
      </c>
      <c r="AM134" s="107">
        <f t="shared" ref="AM134:AM154" si="144">AL134-M134</f>
        <v>74105.177222222119</v>
      </c>
      <c r="AN134" s="107">
        <f t="shared" ref="AN134:AN154" si="145">AM134-M134</f>
        <v>69746.038611111013</v>
      </c>
      <c r="AO134" s="107">
        <f t="shared" ref="AO134:AO154" si="146">AN134-M134</f>
        <v>65386.8999999999</v>
      </c>
      <c r="AP134" s="107"/>
      <c r="AQ134" s="126"/>
      <c r="AR134" s="107">
        <f t="shared" ref="AR134:AR154" si="147">M134*12</f>
        <v>52309.66333333333</v>
      </c>
      <c r="AS134" s="107">
        <f t="shared" si="107"/>
        <v>61027.761388888786</v>
      </c>
      <c r="AT134" s="107">
        <f t="shared" si="108"/>
        <v>56668.622777777673</v>
      </c>
      <c r="AU134" s="107">
        <f t="shared" si="109"/>
        <v>52309.48416666656</v>
      </c>
      <c r="AV134" s="107">
        <f t="shared" si="110"/>
        <v>47950.345555555446</v>
      </c>
      <c r="AW134" s="107">
        <f t="shared" si="111"/>
        <v>43591.206944444333</v>
      </c>
      <c r="AX134" s="107">
        <f t="shared" si="112"/>
        <v>39232.06833333322</v>
      </c>
      <c r="AY134" s="107">
        <f t="shared" si="113"/>
        <v>34872.929722222107</v>
      </c>
      <c r="AZ134" s="107">
        <f t="shared" si="114"/>
        <v>30513.791111110997</v>
      </c>
      <c r="BA134" s="107">
        <f t="shared" si="115"/>
        <v>26154.652499999887</v>
      </c>
      <c r="BB134" s="107">
        <f t="shared" si="116"/>
        <v>21795.513888888778</v>
      </c>
      <c r="BC134" s="107">
        <f t="shared" si="117"/>
        <v>17436.375277777668</v>
      </c>
      <c r="BD134" s="107">
        <f t="shared" si="118"/>
        <v>13077.236666666558</v>
      </c>
      <c r="BE134" s="107"/>
      <c r="BF134" s="127"/>
      <c r="BG134" s="127"/>
      <c r="BI134" s="127"/>
      <c r="BJ134" s="127"/>
      <c r="BK134" s="127"/>
      <c r="BL134" s="127"/>
      <c r="BM134" s="127"/>
      <c r="BN134" s="127"/>
      <c r="BO134" s="127"/>
      <c r="BP134" s="127"/>
      <c r="BQ134" s="127"/>
      <c r="BR134" s="127"/>
      <c r="BS134" s="127"/>
      <c r="BT134" s="127"/>
      <c r="BU134" s="127"/>
      <c r="BV134" s="127"/>
    </row>
    <row r="135" spans="1:74" ht="22.5" hidden="1" x14ac:dyDescent="0.2">
      <c r="A135" s="123" t="str">
        <f>'[2]2021 УГРЦТ'!A137</f>
        <v>Шкаф распред устройств с ячейками КРУ №19</v>
      </c>
      <c r="B135" s="124" t="str">
        <f>'[2]2021 УГРЦТ'!B137</f>
        <v>00001214</v>
      </c>
      <c r="C135" s="124" t="str">
        <f>VLOOKUP(A:A,'2023-2027'!A:L,1,+FALSE)</f>
        <v>Шкаф распред устройств с ячейками КРУ №19</v>
      </c>
      <c r="D135" s="124" t="str">
        <f>'[2]2021 УГРЦТ'!C137</f>
        <v>ПРОИЗВОДСТВО</v>
      </c>
      <c r="E135" s="124" t="str">
        <f>'[2]2021 УГРЦТ'!D137</f>
        <v>Машины и оборудование (кроме офисного)</v>
      </c>
      <c r="F135" s="124" t="str">
        <f>'[2]2021 УГРЦТ'!E137</f>
        <v>31.03.2010</v>
      </c>
      <c r="G135" s="124" t="str">
        <f>'[2]2021 УГРЦТ'!F137</f>
        <v>Газотурбинный цех</v>
      </c>
      <c r="H135" s="124">
        <f>'[2]2021 УГРЦТ'!AC137</f>
        <v>180</v>
      </c>
      <c r="I135" s="107">
        <v>784644.95</v>
      </c>
      <c r="J135" s="107">
        <v>614638.72333333339</v>
      </c>
      <c r="K135" s="107">
        <v>170006.22666666657</v>
      </c>
      <c r="L135" s="125" t="e">
        <f>SUMIF([2]облаг!$B$2:$B$259,B135,[2]облаг!$D$2:$D$259)</f>
        <v>#VALUE!</v>
      </c>
      <c r="M135" s="107">
        <f t="shared" si="120"/>
        <v>4359.1386111111105</v>
      </c>
      <c r="N135" s="107">
        <f t="shared" si="121"/>
        <v>52309.66333333333</v>
      </c>
      <c r="O135" s="107">
        <f t="shared" si="122"/>
        <v>165647.08805555545</v>
      </c>
      <c r="P135" s="107">
        <f t="shared" si="123"/>
        <v>161287.94944444433</v>
      </c>
      <c r="Q135" s="107">
        <f t="shared" si="124"/>
        <v>156928.81083333321</v>
      </c>
      <c r="R135" s="107">
        <f t="shared" si="125"/>
        <v>152569.67222222209</v>
      </c>
      <c r="S135" s="107">
        <f t="shared" si="126"/>
        <v>148210.53361111096</v>
      </c>
      <c r="T135" s="107">
        <f t="shared" si="127"/>
        <v>143851.39499999984</v>
      </c>
      <c r="U135" s="107">
        <f t="shared" si="128"/>
        <v>139492.25638888872</v>
      </c>
      <c r="V135" s="107">
        <f t="shared" si="129"/>
        <v>135133.1177777776</v>
      </c>
      <c r="W135" s="107">
        <f t="shared" si="130"/>
        <v>130773.9791666665</v>
      </c>
      <c r="X135" s="107">
        <f t="shared" si="131"/>
        <v>126414.84055555539</v>
      </c>
      <c r="Y135" s="107">
        <f t="shared" si="132"/>
        <v>122055.70194444428</v>
      </c>
      <c r="Z135" s="107">
        <f t="shared" si="133"/>
        <v>117696.56333333318</v>
      </c>
      <c r="AA135" s="107"/>
      <c r="AB135" s="107"/>
      <c r="AC135" s="107">
        <f t="shared" si="134"/>
        <v>52309.66333333333</v>
      </c>
      <c r="AD135" s="107">
        <f t="shared" si="135"/>
        <v>113337.42472222207</v>
      </c>
      <c r="AE135" s="107">
        <f t="shared" si="136"/>
        <v>108978.28611111097</v>
      </c>
      <c r="AF135" s="107">
        <f t="shared" si="137"/>
        <v>104619.14749999986</v>
      </c>
      <c r="AG135" s="107">
        <f t="shared" si="138"/>
        <v>100260.00888888875</v>
      </c>
      <c r="AH135" s="107">
        <f t="shared" si="139"/>
        <v>95900.870277777649</v>
      </c>
      <c r="AI135" s="107">
        <f t="shared" si="140"/>
        <v>91541.731666666543</v>
      </c>
      <c r="AJ135" s="107">
        <f t="shared" si="141"/>
        <v>87182.593055555437</v>
      </c>
      <c r="AK135" s="107">
        <f t="shared" si="142"/>
        <v>82823.454444444331</v>
      </c>
      <c r="AL135" s="107">
        <f t="shared" si="143"/>
        <v>78464.315833333225</v>
      </c>
      <c r="AM135" s="107">
        <f t="shared" si="144"/>
        <v>74105.177222222119</v>
      </c>
      <c r="AN135" s="107">
        <f t="shared" si="145"/>
        <v>69746.038611111013</v>
      </c>
      <c r="AO135" s="107">
        <f t="shared" si="146"/>
        <v>65386.8999999999</v>
      </c>
      <c r="AP135" s="107"/>
      <c r="AQ135" s="126"/>
      <c r="AR135" s="107">
        <f t="shared" si="147"/>
        <v>52309.66333333333</v>
      </c>
      <c r="AS135" s="107">
        <f t="shared" si="107"/>
        <v>61027.761388888786</v>
      </c>
      <c r="AT135" s="107">
        <f t="shared" si="108"/>
        <v>56668.622777777673</v>
      </c>
      <c r="AU135" s="107">
        <f t="shared" si="109"/>
        <v>52309.48416666656</v>
      </c>
      <c r="AV135" s="107">
        <f t="shared" si="110"/>
        <v>47950.345555555446</v>
      </c>
      <c r="AW135" s="107">
        <f t="shared" si="111"/>
        <v>43591.206944444333</v>
      </c>
      <c r="AX135" s="107">
        <f t="shared" si="112"/>
        <v>39232.06833333322</v>
      </c>
      <c r="AY135" s="107">
        <f t="shared" si="113"/>
        <v>34872.929722222107</v>
      </c>
      <c r="AZ135" s="107">
        <f t="shared" si="114"/>
        <v>30513.791111110997</v>
      </c>
      <c r="BA135" s="107">
        <f t="shared" si="115"/>
        <v>26154.652499999887</v>
      </c>
      <c r="BB135" s="107">
        <f t="shared" si="116"/>
        <v>21795.513888888778</v>
      </c>
      <c r="BC135" s="107">
        <f t="shared" si="117"/>
        <v>17436.375277777668</v>
      </c>
      <c r="BD135" s="107">
        <f t="shared" si="118"/>
        <v>13077.236666666558</v>
      </c>
      <c r="BE135" s="107"/>
      <c r="BF135" s="127"/>
      <c r="BG135" s="127"/>
      <c r="BI135" s="127"/>
      <c r="BJ135" s="127"/>
      <c r="BK135" s="127"/>
      <c r="BL135" s="127"/>
      <c r="BM135" s="127"/>
      <c r="BN135" s="127"/>
      <c r="BO135" s="127"/>
      <c r="BP135" s="127"/>
      <c r="BQ135" s="127"/>
      <c r="BR135" s="127"/>
      <c r="BS135" s="127"/>
      <c r="BT135" s="127"/>
      <c r="BU135" s="127"/>
      <c r="BV135" s="127"/>
    </row>
    <row r="136" spans="1:74" ht="22.5" hidden="1" x14ac:dyDescent="0.2">
      <c r="A136" s="123" t="str">
        <f>'[2]2021 УГРЦТ'!A138</f>
        <v>Шкаф распред устройств с ячейками КРУ №20</v>
      </c>
      <c r="B136" s="124" t="str">
        <f>'[2]2021 УГРЦТ'!B138</f>
        <v>00001189</v>
      </c>
      <c r="C136" s="124" t="str">
        <f>VLOOKUP(A:A,'2023-2027'!A:L,1,+FALSE)</f>
        <v>Шкаф распред устройств с ячейками КРУ №20</v>
      </c>
      <c r="D136" s="124" t="str">
        <f>'[2]2021 УГРЦТ'!C138</f>
        <v>ПРОИЗВОДСТВО</v>
      </c>
      <c r="E136" s="124" t="str">
        <f>'[2]2021 УГРЦТ'!D138</f>
        <v>Машины и оборудование (кроме офисного)</v>
      </c>
      <c r="F136" s="124" t="str">
        <f>'[2]2021 УГРЦТ'!E138</f>
        <v>31.03.2010</v>
      </c>
      <c r="G136" s="124" t="str">
        <f>'[2]2021 УГРЦТ'!F138</f>
        <v>Газотурбинный цех</v>
      </c>
      <c r="H136" s="124">
        <f>'[2]2021 УГРЦТ'!AC138</f>
        <v>180</v>
      </c>
      <c r="I136" s="107">
        <f>'[2]2021 УГРЦТ'!X138</f>
        <v>784644.95</v>
      </c>
      <c r="J136" s="107">
        <f>'[2]2021 УГРЦТ'!Y138</f>
        <v>614638.72333333339</v>
      </c>
      <c r="K136" s="107">
        <f>'[2]2021 УГРЦТ'!Z138</f>
        <v>170006.22666666657</v>
      </c>
      <c r="L136" s="125" t="e">
        <f>SUMIF([2]облаг!$B$2:$B$259,B136,[2]облаг!$D$2:$D$259)</f>
        <v>#VALUE!</v>
      </c>
      <c r="M136" s="107">
        <f t="shared" si="120"/>
        <v>4359.1386111111105</v>
      </c>
      <c r="N136" s="107">
        <f t="shared" si="121"/>
        <v>52309.66333333333</v>
      </c>
      <c r="O136" s="107">
        <f t="shared" si="122"/>
        <v>165647.08805555545</v>
      </c>
      <c r="P136" s="107">
        <f t="shared" si="123"/>
        <v>161287.94944444433</v>
      </c>
      <c r="Q136" s="107">
        <f t="shared" si="124"/>
        <v>156928.81083333321</v>
      </c>
      <c r="R136" s="107">
        <f t="shared" si="125"/>
        <v>152569.67222222209</v>
      </c>
      <c r="S136" s="107">
        <f t="shared" si="126"/>
        <v>148210.53361111096</v>
      </c>
      <c r="T136" s="107">
        <f t="shared" si="127"/>
        <v>143851.39499999984</v>
      </c>
      <c r="U136" s="107">
        <f t="shared" si="128"/>
        <v>139492.25638888872</v>
      </c>
      <c r="V136" s="107">
        <f t="shared" si="129"/>
        <v>135133.1177777776</v>
      </c>
      <c r="W136" s="107">
        <f t="shared" si="130"/>
        <v>130773.9791666665</v>
      </c>
      <c r="X136" s="107">
        <f t="shared" si="131"/>
        <v>126414.84055555539</v>
      </c>
      <c r="Y136" s="107">
        <f t="shared" si="132"/>
        <v>122055.70194444428</v>
      </c>
      <c r="Z136" s="107">
        <f t="shared" si="133"/>
        <v>117696.56333333318</v>
      </c>
      <c r="AA136" s="107"/>
      <c r="AB136" s="107"/>
      <c r="AC136" s="107">
        <f t="shared" si="134"/>
        <v>52309.66333333333</v>
      </c>
      <c r="AD136" s="107">
        <f t="shared" si="135"/>
        <v>113337.42472222207</v>
      </c>
      <c r="AE136" s="107">
        <f t="shared" si="136"/>
        <v>108978.28611111097</v>
      </c>
      <c r="AF136" s="107">
        <f t="shared" si="137"/>
        <v>104619.14749999986</v>
      </c>
      <c r="AG136" s="107">
        <f t="shared" si="138"/>
        <v>100260.00888888875</v>
      </c>
      <c r="AH136" s="107">
        <f t="shared" si="139"/>
        <v>95900.870277777649</v>
      </c>
      <c r="AI136" s="107">
        <f t="shared" si="140"/>
        <v>91541.731666666543</v>
      </c>
      <c r="AJ136" s="107">
        <f t="shared" si="141"/>
        <v>87182.593055555437</v>
      </c>
      <c r="AK136" s="107">
        <f t="shared" si="142"/>
        <v>82823.454444444331</v>
      </c>
      <c r="AL136" s="107">
        <f t="shared" si="143"/>
        <v>78464.315833333225</v>
      </c>
      <c r="AM136" s="107">
        <f t="shared" si="144"/>
        <v>74105.177222222119</v>
      </c>
      <c r="AN136" s="107">
        <f t="shared" si="145"/>
        <v>69746.038611111013</v>
      </c>
      <c r="AO136" s="107">
        <f t="shared" si="146"/>
        <v>65386.8999999999</v>
      </c>
      <c r="AP136" s="107"/>
      <c r="AQ136" s="126"/>
      <c r="AR136" s="107">
        <f t="shared" si="147"/>
        <v>52309.66333333333</v>
      </c>
      <c r="AS136" s="107">
        <f t="shared" si="107"/>
        <v>61027.761388888786</v>
      </c>
      <c r="AT136" s="107">
        <f t="shared" si="108"/>
        <v>56668.622777777673</v>
      </c>
      <c r="AU136" s="107">
        <f t="shared" si="109"/>
        <v>52309.48416666656</v>
      </c>
      <c r="AV136" s="107">
        <f t="shared" si="110"/>
        <v>47950.345555555446</v>
      </c>
      <c r="AW136" s="107">
        <f t="shared" si="111"/>
        <v>43591.206944444333</v>
      </c>
      <c r="AX136" s="107">
        <f t="shared" si="112"/>
        <v>39232.06833333322</v>
      </c>
      <c r="AY136" s="107">
        <f t="shared" si="113"/>
        <v>34872.929722222107</v>
      </c>
      <c r="AZ136" s="107">
        <f t="shared" si="114"/>
        <v>30513.791111110997</v>
      </c>
      <c r="BA136" s="107">
        <f t="shared" si="115"/>
        <v>26154.652499999887</v>
      </c>
      <c r="BB136" s="107">
        <f t="shared" si="116"/>
        <v>21795.513888888778</v>
      </c>
      <c r="BC136" s="107">
        <f t="shared" si="117"/>
        <v>17436.375277777668</v>
      </c>
      <c r="BD136" s="107">
        <f t="shared" si="118"/>
        <v>13077.236666666558</v>
      </c>
      <c r="BE136" s="107"/>
      <c r="BF136" s="127"/>
      <c r="BG136" s="127"/>
      <c r="BI136" s="127"/>
      <c r="BJ136" s="127"/>
      <c r="BK136" s="127"/>
      <c r="BL136" s="127"/>
      <c r="BM136" s="127"/>
      <c r="BN136" s="127"/>
      <c r="BO136" s="127"/>
      <c r="BP136" s="127"/>
      <c r="BQ136" s="127"/>
      <c r="BR136" s="127"/>
      <c r="BS136" s="127"/>
      <c r="BT136" s="127"/>
      <c r="BU136" s="127"/>
      <c r="BV136" s="127"/>
    </row>
    <row r="137" spans="1:74" ht="22.5" hidden="1" x14ac:dyDescent="0.2">
      <c r="A137" s="123" t="str">
        <f>'[2]2021 УГРЦТ'!A139</f>
        <v>Шкаф распред устройств с ячейками КРУ №21</v>
      </c>
      <c r="B137" s="124" t="str">
        <f>'[2]2021 УГРЦТ'!B139</f>
        <v>00001215</v>
      </c>
      <c r="C137" s="124" t="str">
        <f>VLOOKUP(A:A,'2023-2027'!A:L,1,+FALSE)</f>
        <v>Шкаф распред устройств с ячейками КРУ №21</v>
      </c>
      <c r="D137" s="124" t="str">
        <f>'[2]2021 УГРЦТ'!C139</f>
        <v>ПРОИЗВОДСТВО</v>
      </c>
      <c r="E137" s="124" t="str">
        <f>'[2]2021 УГРЦТ'!D139</f>
        <v>Машины и оборудование (кроме офисного)</v>
      </c>
      <c r="F137" s="124" t="str">
        <f>'[2]2021 УГРЦТ'!E139</f>
        <v>31.03.2010</v>
      </c>
      <c r="G137" s="124" t="str">
        <f>'[2]2021 УГРЦТ'!F139</f>
        <v>Газотурбинный цех</v>
      </c>
      <c r="H137" s="124">
        <f>'[2]2021 УГРЦТ'!AC139</f>
        <v>180</v>
      </c>
      <c r="I137" s="107">
        <f>'[2]2021 УГРЦТ'!X139</f>
        <v>784644.95</v>
      </c>
      <c r="J137" s="107">
        <f>'[2]2021 УГРЦТ'!Y139</f>
        <v>614638.72333333339</v>
      </c>
      <c r="K137" s="107">
        <f>'[2]2021 УГРЦТ'!Z139</f>
        <v>170006.22666666657</v>
      </c>
      <c r="L137" s="125" t="e">
        <f>SUMIF([2]облаг!$B$2:$B$259,B137,[2]облаг!$D$2:$D$259)</f>
        <v>#VALUE!</v>
      </c>
      <c r="M137" s="107">
        <f t="shared" si="120"/>
        <v>4359.1386111111105</v>
      </c>
      <c r="N137" s="107">
        <f t="shared" si="121"/>
        <v>52309.66333333333</v>
      </c>
      <c r="O137" s="107">
        <f t="shared" si="122"/>
        <v>165647.08805555545</v>
      </c>
      <c r="P137" s="107">
        <f t="shared" si="123"/>
        <v>161287.94944444433</v>
      </c>
      <c r="Q137" s="107">
        <f t="shared" si="124"/>
        <v>156928.81083333321</v>
      </c>
      <c r="R137" s="107">
        <f t="shared" si="125"/>
        <v>152569.67222222209</v>
      </c>
      <c r="S137" s="107">
        <f t="shared" si="126"/>
        <v>148210.53361111096</v>
      </c>
      <c r="T137" s="107">
        <f t="shared" si="127"/>
        <v>143851.39499999984</v>
      </c>
      <c r="U137" s="107">
        <f t="shared" si="128"/>
        <v>139492.25638888872</v>
      </c>
      <c r="V137" s="107">
        <f t="shared" si="129"/>
        <v>135133.1177777776</v>
      </c>
      <c r="W137" s="107">
        <f t="shared" si="130"/>
        <v>130773.9791666665</v>
      </c>
      <c r="X137" s="107">
        <f t="shared" si="131"/>
        <v>126414.84055555539</v>
      </c>
      <c r="Y137" s="107">
        <f t="shared" si="132"/>
        <v>122055.70194444428</v>
      </c>
      <c r="Z137" s="107">
        <f t="shared" si="133"/>
        <v>117696.56333333318</v>
      </c>
      <c r="AA137" s="107"/>
      <c r="AB137" s="107"/>
      <c r="AC137" s="107">
        <f t="shared" si="134"/>
        <v>52309.66333333333</v>
      </c>
      <c r="AD137" s="107">
        <f t="shared" si="135"/>
        <v>113337.42472222207</v>
      </c>
      <c r="AE137" s="107">
        <f t="shared" si="136"/>
        <v>108978.28611111097</v>
      </c>
      <c r="AF137" s="107">
        <f t="shared" si="137"/>
        <v>104619.14749999986</v>
      </c>
      <c r="AG137" s="107">
        <f t="shared" si="138"/>
        <v>100260.00888888875</v>
      </c>
      <c r="AH137" s="107">
        <f t="shared" si="139"/>
        <v>95900.870277777649</v>
      </c>
      <c r="AI137" s="107">
        <f t="shared" si="140"/>
        <v>91541.731666666543</v>
      </c>
      <c r="AJ137" s="107">
        <f t="shared" si="141"/>
        <v>87182.593055555437</v>
      </c>
      <c r="AK137" s="107">
        <f t="shared" si="142"/>
        <v>82823.454444444331</v>
      </c>
      <c r="AL137" s="107">
        <f t="shared" si="143"/>
        <v>78464.315833333225</v>
      </c>
      <c r="AM137" s="107">
        <f t="shared" si="144"/>
        <v>74105.177222222119</v>
      </c>
      <c r="AN137" s="107">
        <f t="shared" si="145"/>
        <v>69746.038611111013</v>
      </c>
      <c r="AO137" s="107">
        <f t="shared" si="146"/>
        <v>65386.8999999999</v>
      </c>
      <c r="AP137" s="107"/>
      <c r="AQ137" s="126"/>
      <c r="AR137" s="107">
        <f t="shared" si="147"/>
        <v>52309.66333333333</v>
      </c>
      <c r="AS137" s="107">
        <f t="shared" si="107"/>
        <v>61027.761388888786</v>
      </c>
      <c r="AT137" s="107">
        <f t="shared" si="108"/>
        <v>56668.622777777673</v>
      </c>
      <c r="AU137" s="107">
        <f t="shared" si="109"/>
        <v>52309.48416666656</v>
      </c>
      <c r="AV137" s="107">
        <f t="shared" si="110"/>
        <v>47950.345555555446</v>
      </c>
      <c r="AW137" s="107">
        <f t="shared" si="111"/>
        <v>43591.206944444333</v>
      </c>
      <c r="AX137" s="107">
        <f t="shared" si="112"/>
        <v>39232.06833333322</v>
      </c>
      <c r="AY137" s="107">
        <f t="shared" si="113"/>
        <v>34872.929722222107</v>
      </c>
      <c r="AZ137" s="107">
        <f t="shared" si="114"/>
        <v>30513.791111110997</v>
      </c>
      <c r="BA137" s="107">
        <f t="shared" si="115"/>
        <v>26154.652499999887</v>
      </c>
      <c r="BB137" s="107">
        <f t="shared" si="116"/>
        <v>21795.513888888778</v>
      </c>
      <c r="BC137" s="107">
        <f t="shared" si="117"/>
        <v>17436.375277777668</v>
      </c>
      <c r="BD137" s="107">
        <f t="shared" si="118"/>
        <v>13077.236666666558</v>
      </c>
      <c r="BE137" s="107"/>
      <c r="BF137" s="127"/>
      <c r="BG137" s="127"/>
      <c r="BI137" s="127"/>
      <c r="BJ137" s="127"/>
      <c r="BK137" s="127"/>
      <c r="BL137" s="127"/>
      <c r="BM137" s="127"/>
      <c r="BN137" s="127"/>
      <c r="BO137" s="127"/>
      <c r="BP137" s="127"/>
      <c r="BQ137" s="127"/>
      <c r="BR137" s="127"/>
      <c r="BS137" s="127"/>
      <c r="BT137" s="127"/>
      <c r="BU137" s="127"/>
      <c r="BV137" s="127"/>
    </row>
    <row r="138" spans="1:74" ht="22.5" hidden="1" x14ac:dyDescent="0.2">
      <c r="A138" s="123" t="str">
        <f>'[2]2021 УГРЦТ'!A140</f>
        <v>Шкаф распред устройств с ячейками КРУ №22</v>
      </c>
      <c r="B138" s="124" t="str">
        <f>'[2]2021 УГРЦТ'!B140</f>
        <v>00001216</v>
      </c>
      <c r="C138" s="124" t="str">
        <f>VLOOKUP(A:A,'2023-2027'!A:L,1,+FALSE)</f>
        <v>Шкаф распред устройств с ячейками КРУ №22</v>
      </c>
      <c r="D138" s="124" t="str">
        <f>'[2]2021 УГРЦТ'!C140</f>
        <v>ПРОИЗВОДСТВО</v>
      </c>
      <c r="E138" s="124" t="str">
        <f>'[2]2021 УГРЦТ'!D140</f>
        <v>Машины и оборудование (кроме офисного)</v>
      </c>
      <c r="F138" s="124" t="str">
        <f>'[2]2021 УГРЦТ'!E140</f>
        <v>31.03.2010</v>
      </c>
      <c r="G138" s="124" t="str">
        <f>'[2]2021 УГРЦТ'!F140</f>
        <v>Газотурбинный цех</v>
      </c>
      <c r="H138" s="124">
        <f>'[2]2021 УГРЦТ'!AC140</f>
        <v>180</v>
      </c>
      <c r="I138" s="107">
        <v>784644.95</v>
      </c>
      <c r="J138" s="107">
        <v>614638.72333333339</v>
      </c>
      <c r="K138" s="107">
        <v>170006.22666666657</v>
      </c>
      <c r="L138" s="125" t="e">
        <f>SUMIF([2]облаг!$B$2:$B$259,B138,[2]облаг!$D$2:$D$259)</f>
        <v>#VALUE!</v>
      </c>
      <c r="M138" s="107">
        <f t="shared" si="120"/>
        <v>4359.1386111111105</v>
      </c>
      <c r="N138" s="107">
        <f t="shared" si="121"/>
        <v>52309.66333333333</v>
      </c>
      <c r="O138" s="107">
        <f t="shared" si="122"/>
        <v>165647.08805555545</v>
      </c>
      <c r="P138" s="107">
        <f t="shared" si="123"/>
        <v>161287.94944444433</v>
      </c>
      <c r="Q138" s="107">
        <f t="shared" si="124"/>
        <v>156928.81083333321</v>
      </c>
      <c r="R138" s="107">
        <f t="shared" si="125"/>
        <v>152569.67222222209</v>
      </c>
      <c r="S138" s="107">
        <f t="shared" si="126"/>
        <v>148210.53361111096</v>
      </c>
      <c r="T138" s="107">
        <f t="shared" si="127"/>
        <v>143851.39499999984</v>
      </c>
      <c r="U138" s="107">
        <f t="shared" si="128"/>
        <v>139492.25638888872</v>
      </c>
      <c r="V138" s="107">
        <f t="shared" si="129"/>
        <v>135133.1177777776</v>
      </c>
      <c r="W138" s="107">
        <f t="shared" si="130"/>
        <v>130773.9791666665</v>
      </c>
      <c r="X138" s="107">
        <f t="shared" si="131"/>
        <v>126414.84055555539</v>
      </c>
      <c r="Y138" s="107">
        <f t="shared" si="132"/>
        <v>122055.70194444428</v>
      </c>
      <c r="Z138" s="107">
        <f t="shared" si="133"/>
        <v>117696.56333333318</v>
      </c>
      <c r="AA138" s="107"/>
      <c r="AB138" s="107"/>
      <c r="AC138" s="107">
        <f t="shared" si="134"/>
        <v>52309.66333333333</v>
      </c>
      <c r="AD138" s="107">
        <f t="shared" si="135"/>
        <v>113337.42472222207</v>
      </c>
      <c r="AE138" s="107">
        <f t="shared" si="136"/>
        <v>108978.28611111097</v>
      </c>
      <c r="AF138" s="107">
        <f t="shared" si="137"/>
        <v>104619.14749999986</v>
      </c>
      <c r="AG138" s="107">
        <f t="shared" si="138"/>
        <v>100260.00888888875</v>
      </c>
      <c r="AH138" s="107">
        <f t="shared" si="139"/>
        <v>95900.870277777649</v>
      </c>
      <c r="AI138" s="107">
        <f t="shared" si="140"/>
        <v>91541.731666666543</v>
      </c>
      <c r="AJ138" s="107">
        <f t="shared" si="141"/>
        <v>87182.593055555437</v>
      </c>
      <c r="AK138" s="107">
        <f t="shared" si="142"/>
        <v>82823.454444444331</v>
      </c>
      <c r="AL138" s="107">
        <f t="shared" si="143"/>
        <v>78464.315833333225</v>
      </c>
      <c r="AM138" s="107">
        <f t="shared" si="144"/>
        <v>74105.177222222119</v>
      </c>
      <c r="AN138" s="107">
        <f t="shared" si="145"/>
        <v>69746.038611111013</v>
      </c>
      <c r="AO138" s="107">
        <f t="shared" si="146"/>
        <v>65386.8999999999</v>
      </c>
      <c r="AP138" s="107"/>
      <c r="AQ138" s="126"/>
      <c r="AR138" s="107">
        <f t="shared" si="147"/>
        <v>52309.66333333333</v>
      </c>
      <c r="AS138" s="107">
        <f t="shared" si="107"/>
        <v>61027.761388888786</v>
      </c>
      <c r="AT138" s="107">
        <f t="shared" si="108"/>
        <v>56668.622777777673</v>
      </c>
      <c r="AU138" s="107">
        <f t="shared" si="109"/>
        <v>52309.48416666656</v>
      </c>
      <c r="AV138" s="107">
        <f t="shared" si="110"/>
        <v>47950.345555555446</v>
      </c>
      <c r="AW138" s="107">
        <f t="shared" si="111"/>
        <v>43591.206944444333</v>
      </c>
      <c r="AX138" s="107">
        <f t="shared" si="112"/>
        <v>39232.06833333322</v>
      </c>
      <c r="AY138" s="107">
        <f t="shared" si="113"/>
        <v>34872.929722222107</v>
      </c>
      <c r="AZ138" s="107">
        <f t="shared" si="114"/>
        <v>30513.791111110997</v>
      </c>
      <c r="BA138" s="107">
        <f t="shared" si="115"/>
        <v>26154.652499999887</v>
      </c>
      <c r="BB138" s="107">
        <f t="shared" si="116"/>
        <v>21795.513888888778</v>
      </c>
      <c r="BC138" s="107">
        <f t="shared" si="117"/>
        <v>17436.375277777668</v>
      </c>
      <c r="BD138" s="107">
        <f t="shared" si="118"/>
        <v>13077.236666666558</v>
      </c>
      <c r="BE138" s="107"/>
      <c r="BF138" s="127"/>
      <c r="BG138" s="127"/>
      <c r="BI138" s="127"/>
      <c r="BJ138" s="127"/>
      <c r="BK138" s="127"/>
      <c r="BL138" s="127"/>
      <c r="BM138" s="127"/>
      <c r="BN138" s="127"/>
      <c r="BO138" s="127"/>
      <c r="BP138" s="127"/>
      <c r="BQ138" s="127"/>
      <c r="BR138" s="127"/>
      <c r="BS138" s="127"/>
      <c r="BT138" s="127"/>
      <c r="BU138" s="127"/>
      <c r="BV138" s="127"/>
    </row>
    <row r="139" spans="1:74" ht="22.5" hidden="1" x14ac:dyDescent="0.2">
      <c r="A139" s="123" t="str">
        <f>'[2]2021 УГРЦТ'!A141</f>
        <v>Шкаф распред устройств с ячейками КРУ №23</v>
      </c>
      <c r="B139" s="124" t="str">
        <f>'[2]2021 УГРЦТ'!B141</f>
        <v>00001217</v>
      </c>
      <c r="C139" s="124" t="str">
        <f>VLOOKUP(A:A,'2023-2027'!A:L,1,+FALSE)</f>
        <v>Шкаф распред устройств с ячейками КРУ №23</v>
      </c>
      <c r="D139" s="124" t="str">
        <f>'[2]2021 УГРЦТ'!C141</f>
        <v>ПРОИЗВОДСТВО</v>
      </c>
      <c r="E139" s="124" t="str">
        <f>'[2]2021 УГРЦТ'!D141</f>
        <v>Машины и оборудование (кроме офисного)</v>
      </c>
      <c r="F139" s="124" t="str">
        <f>'[2]2021 УГРЦТ'!E141</f>
        <v>31.03.2010</v>
      </c>
      <c r="G139" s="124" t="str">
        <f>'[2]2021 УГРЦТ'!F141</f>
        <v>Газотурбинный цех</v>
      </c>
      <c r="H139" s="124">
        <f>'[2]2021 УГРЦТ'!AC141</f>
        <v>180</v>
      </c>
      <c r="I139" s="107">
        <v>784644.95</v>
      </c>
      <c r="J139" s="107">
        <v>614638.72333333339</v>
      </c>
      <c r="K139" s="107">
        <v>170006.22666666657</v>
      </c>
      <c r="L139" s="125" t="e">
        <f>SUMIF([2]облаг!$B$2:$B$259,B139,[2]облаг!$D$2:$D$259)</f>
        <v>#VALUE!</v>
      </c>
      <c r="M139" s="107">
        <f t="shared" si="120"/>
        <v>4359.1386111111105</v>
      </c>
      <c r="N139" s="107">
        <f t="shared" si="121"/>
        <v>52309.66333333333</v>
      </c>
      <c r="O139" s="107">
        <f t="shared" si="122"/>
        <v>165647.08805555545</v>
      </c>
      <c r="P139" s="107">
        <f t="shared" si="123"/>
        <v>161287.94944444433</v>
      </c>
      <c r="Q139" s="107">
        <f t="shared" si="124"/>
        <v>156928.81083333321</v>
      </c>
      <c r="R139" s="107">
        <f t="shared" si="125"/>
        <v>152569.67222222209</v>
      </c>
      <c r="S139" s="107">
        <f t="shared" si="126"/>
        <v>148210.53361111096</v>
      </c>
      <c r="T139" s="107">
        <f t="shared" si="127"/>
        <v>143851.39499999984</v>
      </c>
      <c r="U139" s="107">
        <f t="shared" si="128"/>
        <v>139492.25638888872</v>
      </c>
      <c r="V139" s="107">
        <f t="shared" si="129"/>
        <v>135133.1177777776</v>
      </c>
      <c r="W139" s="107">
        <f t="shared" si="130"/>
        <v>130773.9791666665</v>
      </c>
      <c r="X139" s="107">
        <f t="shared" si="131"/>
        <v>126414.84055555539</v>
      </c>
      <c r="Y139" s="107">
        <f t="shared" si="132"/>
        <v>122055.70194444428</v>
      </c>
      <c r="Z139" s="107">
        <f t="shared" si="133"/>
        <v>117696.56333333318</v>
      </c>
      <c r="AA139" s="107"/>
      <c r="AB139" s="107"/>
      <c r="AC139" s="107">
        <f t="shared" si="134"/>
        <v>52309.66333333333</v>
      </c>
      <c r="AD139" s="107">
        <f t="shared" si="135"/>
        <v>113337.42472222207</v>
      </c>
      <c r="AE139" s="107">
        <f t="shared" si="136"/>
        <v>108978.28611111097</v>
      </c>
      <c r="AF139" s="107">
        <f t="shared" si="137"/>
        <v>104619.14749999986</v>
      </c>
      <c r="AG139" s="107">
        <f t="shared" si="138"/>
        <v>100260.00888888875</v>
      </c>
      <c r="AH139" s="107">
        <f t="shared" si="139"/>
        <v>95900.870277777649</v>
      </c>
      <c r="AI139" s="107">
        <f t="shared" si="140"/>
        <v>91541.731666666543</v>
      </c>
      <c r="AJ139" s="107">
        <f t="shared" si="141"/>
        <v>87182.593055555437</v>
      </c>
      <c r="AK139" s="107">
        <f t="shared" si="142"/>
        <v>82823.454444444331</v>
      </c>
      <c r="AL139" s="107">
        <f t="shared" si="143"/>
        <v>78464.315833333225</v>
      </c>
      <c r="AM139" s="107">
        <f t="shared" si="144"/>
        <v>74105.177222222119</v>
      </c>
      <c r="AN139" s="107">
        <f t="shared" si="145"/>
        <v>69746.038611111013</v>
      </c>
      <c r="AO139" s="107">
        <f t="shared" si="146"/>
        <v>65386.8999999999</v>
      </c>
      <c r="AP139" s="107"/>
      <c r="AQ139" s="126"/>
      <c r="AR139" s="107">
        <f t="shared" si="147"/>
        <v>52309.66333333333</v>
      </c>
      <c r="AS139" s="107">
        <f t="shared" si="107"/>
        <v>61027.761388888786</v>
      </c>
      <c r="AT139" s="107">
        <f t="shared" si="108"/>
        <v>56668.622777777673</v>
      </c>
      <c r="AU139" s="107">
        <f t="shared" si="109"/>
        <v>52309.48416666656</v>
      </c>
      <c r="AV139" s="107">
        <f t="shared" si="110"/>
        <v>47950.345555555446</v>
      </c>
      <c r="AW139" s="107">
        <f t="shared" si="111"/>
        <v>43591.206944444333</v>
      </c>
      <c r="AX139" s="107">
        <f t="shared" si="112"/>
        <v>39232.06833333322</v>
      </c>
      <c r="AY139" s="107">
        <f t="shared" si="113"/>
        <v>34872.929722222107</v>
      </c>
      <c r="AZ139" s="107">
        <f t="shared" si="114"/>
        <v>30513.791111110997</v>
      </c>
      <c r="BA139" s="107">
        <f t="shared" si="115"/>
        <v>26154.652499999887</v>
      </c>
      <c r="BB139" s="107">
        <f t="shared" si="116"/>
        <v>21795.513888888778</v>
      </c>
      <c r="BC139" s="107">
        <f t="shared" si="117"/>
        <v>17436.375277777668</v>
      </c>
      <c r="BD139" s="107">
        <f t="shared" si="118"/>
        <v>13077.236666666558</v>
      </c>
      <c r="BE139" s="107"/>
      <c r="BF139" s="127"/>
      <c r="BG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</row>
    <row r="140" spans="1:74" ht="22.5" hidden="1" x14ac:dyDescent="0.2">
      <c r="A140" s="123" t="str">
        <f>'[2]2021 УГРЦТ'!A142</f>
        <v>Шкаф распред устройств с ячейками КРУ №24</v>
      </c>
      <c r="B140" s="124" t="str">
        <f>'[2]2021 УГРЦТ'!B142</f>
        <v>00001218</v>
      </c>
      <c r="C140" s="124" t="str">
        <f>VLOOKUP(A:A,'2023-2027'!A:L,1,+FALSE)</f>
        <v>Шкаф распред устройств с ячейками КРУ №24</v>
      </c>
      <c r="D140" s="124" t="str">
        <f>'[2]2021 УГРЦТ'!C142</f>
        <v>ПРОИЗВОДСТВО</v>
      </c>
      <c r="E140" s="124" t="str">
        <f>'[2]2021 УГРЦТ'!D142</f>
        <v>Машины и оборудование (кроме офисного)</v>
      </c>
      <c r="F140" s="124" t="str">
        <f>'[2]2021 УГРЦТ'!E142</f>
        <v>31.03.2010</v>
      </c>
      <c r="G140" s="124" t="str">
        <f>'[2]2021 УГРЦТ'!F142</f>
        <v>Газотурбинный цех</v>
      </c>
      <c r="H140" s="124">
        <f>'[2]2021 УГРЦТ'!AC142</f>
        <v>180</v>
      </c>
      <c r="I140" s="107">
        <v>784644.95</v>
      </c>
      <c r="J140" s="107">
        <v>614638.72333333339</v>
      </c>
      <c r="K140" s="107">
        <v>170006.22666666657</v>
      </c>
      <c r="L140" s="125" t="e">
        <f>SUMIF([2]облаг!$B$2:$B$259,B140,[2]облаг!$D$2:$D$259)</f>
        <v>#VALUE!</v>
      </c>
      <c r="M140" s="107">
        <f t="shared" si="120"/>
        <v>4359.1386111111105</v>
      </c>
      <c r="N140" s="107">
        <f t="shared" si="121"/>
        <v>52309.66333333333</v>
      </c>
      <c r="O140" s="107">
        <f t="shared" si="122"/>
        <v>165647.08805555545</v>
      </c>
      <c r="P140" s="107">
        <f t="shared" si="123"/>
        <v>161287.94944444433</v>
      </c>
      <c r="Q140" s="107">
        <f t="shared" si="124"/>
        <v>156928.81083333321</v>
      </c>
      <c r="R140" s="107">
        <f t="shared" si="125"/>
        <v>152569.67222222209</v>
      </c>
      <c r="S140" s="107">
        <f t="shared" si="126"/>
        <v>148210.53361111096</v>
      </c>
      <c r="T140" s="107">
        <f t="shared" si="127"/>
        <v>143851.39499999984</v>
      </c>
      <c r="U140" s="107">
        <f t="shared" si="128"/>
        <v>139492.25638888872</v>
      </c>
      <c r="V140" s="107">
        <f t="shared" si="129"/>
        <v>135133.1177777776</v>
      </c>
      <c r="W140" s="107">
        <f t="shared" si="130"/>
        <v>130773.9791666665</v>
      </c>
      <c r="X140" s="107">
        <f t="shared" si="131"/>
        <v>126414.84055555539</v>
      </c>
      <c r="Y140" s="107">
        <f t="shared" si="132"/>
        <v>122055.70194444428</v>
      </c>
      <c r="Z140" s="107">
        <f t="shared" si="133"/>
        <v>117696.56333333318</v>
      </c>
      <c r="AA140" s="107"/>
      <c r="AB140" s="107"/>
      <c r="AC140" s="107">
        <f t="shared" si="134"/>
        <v>52309.66333333333</v>
      </c>
      <c r="AD140" s="107">
        <f t="shared" si="135"/>
        <v>113337.42472222207</v>
      </c>
      <c r="AE140" s="107">
        <f t="shared" si="136"/>
        <v>108978.28611111097</v>
      </c>
      <c r="AF140" s="107">
        <f t="shared" si="137"/>
        <v>104619.14749999986</v>
      </c>
      <c r="AG140" s="107">
        <f t="shared" si="138"/>
        <v>100260.00888888875</v>
      </c>
      <c r="AH140" s="107">
        <f t="shared" si="139"/>
        <v>95900.870277777649</v>
      </c>
      <c r="AI140" s="107">
        <f t="shared" si="140"/>
        <v>91541.731666666543</v>
      </c>
      <c r="AJ140" s="107">
        <f t="shared" si="141"/>
        <v>87182.593055555437</v>
      </c>
      <c r="AK140" s="107">
        <f t="shared" si="142"/>
        <v>82823.454444444331</v>
      </c>
      <c r="AL140" s="107">
        <f t="shared" si="143"/>
        <v>78464.315833333225</v>
      </c>
      <c r="AM140" s="107">
        <f t="shared" si="144"/>
        <v>74105.177222222119</v>
      </c>
      <c r="AN140" s="107">
        <f t="shared" si="145"/>
        <v>69746.038611111013</v>
      </c>
      <c r="AO140" s="107">
        <f t="shared" si="146"/>
        <v>65386.8999999999</v>
      </c>
      <c r="AP140" s="107"/>
      <c r="AQ140" s="126"/>
      <c r="AR140" s="107">
        <f t="shared" si="147"/>
        <v>52309.66333333333</v>
      </c>
      <c r="AS140" s="107">
        <f t="shared" si="107"/>
        <v>61027.761388888786</v>
      </c>
      <c r="AT140" s="107">
        <f t="shared" si="108"/>
        <v>56668.622777777673</v>
      </c>
      <c r="AU140" s="107">
        <f t="shared" si="109"/>
        <v>52309.48416666656</v>
      </c>
      <c r="AV140" s="107">
        <f t="shared" si="110"/>
        <v>47950.345555555446</v>
      </c>
      <c r="AW140" s="107">
        <f t="shared" si="111"/>
        <v>43591.206944444333</v>
      </c>
      <c r="AX140" s="107">
        <f t="shared" si="112"/>
        <v>39232.06833333322</v>
      </c>
      <c r="AY140" s="107">
        <f t="shared" si="113"/>
        <v>34872.929722222107</v>
      </c>
      <c r="AZ140" s="107">
        <f t="shared" si="114"/>
        <v>30513.791111110997</v>
      </c>
      <c r="BA140" s="107">
        <f t="shared" si="115"/>
        <v>26154.652499999887</v>
      </c>
      <c r="BB140" s="107">
        <f t="shared" si="116"/>
        <v>21795.513888888778</v>
      </c>
      <c r="BC140" s="107">
        <f t="shared" si="117"/>
        <v>17436.375277777668</v>
      </c>
      <c r="BD140" s="107">
        <f t="shared" si="118"/>
        <v>13077.236666666558</v>
      </c>
      <c r="BE140" s="107"/>
      <c r="BF140" s="127"/>
      <c r="BG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</row>
    <row r="141" spans="1:74" ht="22.5" hidden="1" x14ac:dyDescent="0.2">
      <c r="A141" s="123" t="str">
        <f>'[2]2021 УГРЦТ'!A143</f>
        <v>Шкаф распред устройств с ячейками КРУ №25</v>
      </c>
      <c r="B141" s="124" t="str">
        <f>'[2]2021 УГРЦТ'!B143</f>
        <v>00001219</v>
      </c>
      <c r="C141" s="124" t="str">
        <f>VLOOKUP(A:A,'2023-2027'!A:L,1,+FALSE)</f>
        <v>Шкаф распред устройств с ячейками КРУ №25</v>
      </c>
      <c r="D141" s="124" t="str">
        <f>'[2]2021 УГРЦТ'!C143</f>
        <v>ПРОИЗВОДСТВО</v>
      </c>
      <c r="E141" s="124" t="str">
        <f>'[2]2021 УГРЦТ'!D143</f>
        <v>Машины и оборудование (кроме офисного)</v>
      </c>
      <c r="F141" s="124" t="str">
        <f>'[2]2021 УГРЦТ'!E143</f>
        <v>31.03.2010</v>
      </c>
      <c r="G141" s="124" t="str">
        <f>'[2]2021 УГРЦТ'!F143</f>
        <v>Газотурбинный цех</v>
      </c>
      <c r="H141" s="124">
        <f>'[2]2021 УГРЦТ'!AC143</f>
        <v>180</v>
      </c>
      <c r="I141" s="107">
        <v>784644.95</v>
      </c>
      <c r="J141" s="107">
        <v>614638.72333333339</v>
      </c>
      <c r="K141" s="107">
        <v>170006.22666666657</v>
      </c>
      <c r="L141" s="125" t="e">
        <f>SUMIF([2]облаг!$B$2:$B$259,B141,[2]облаг!$D$2:$D$259)</f>
        <v>#VALUE!</v>
      </c>
      <c r="M141" s="107">
        <f t="shared" si="120"/>
        <v>4359.1386111111105</v>
      </c>
      <c r="N141" s="107">
        <f t="shared" si="121"/>
        <v>52309.66333333333</v>
      </c>
      <c r="O141" s="107">
        <f t="shared" si="122"/>
        <v>165647.08805555545</v>
      </c>
      <c r="P141" s="107">
        <f t="shared" si="123"/>
        <v>161287.94944444433</v>
      </c>
      <c r="Q141" s="107">
        <f t="shared" si="124"/>
        <v>156928.81083333321</v>
      </c>
      <c r="R141" s="107">
        <f t="shared" si="125"/>
        <v>152569.67222222209</v>
      </c>
      <c r="S141" s="107">
        <f t="shared" si="126"/>
        <v>148210.53361111096</v>
      </c>
      <c r="T141" s="107">
        <f t="shared" si="127"/>
        <v>143851.39499999984</v>
      </c>
      <c r="U141" s="107">
        <f t="shared" si="128"/>
        <v>139492.25638888872</v>
      </c>
      <c r="V141" s="107">
        <f t="shared" si="129"/>
        <v>135133.1177777776</v>
      </c>
      <c r="W141" s="107">
        <f t="shared" si="130"/>
        <v>130773.9791666665</v>
      </c>
      <c r="X141" s="107">
        <f t="shared" si="131"/>
        <v>126414.84055555539</v>
      </c>
      <c r="Y141" s="107">
        <f t="shared" si="132"/>
        <v>122055.70194444428</v>
      </c>
      <c r="Z141" s="107">
        <f t="shared" si="133"/>
        <v>117696.56333333318</v>
      </c>
      <c r="AA141" s="107"/>
      <c r="AB141" s="107"/>
      <c r="AC141" s="107">
        <f t="shared" si="134"/>
        <v>52309.66333333333</v>
      </c>
      <c r="AD141" s="107">
        <f t="shared" si="135"/>
        <v>113337.42472222207</v>
      </c>
      <c r="AE141" s="107">
        <f t="shared" si="136"/>
        <v>108978.28611111097</v>
      </c>
      <c r="AF141" s="107">
        <f t="shared" si="137"/>
        <v>104619.14749999986</v>
      </c>
      <c r="AG141" s="107">
        <f t="shared" si="138"/>
        <v>100260.00888888875</v>
      </c>
      <c r="AH141" s="107">
        <f t="shared" si="139"/>
        <v>95900.870277777649</v>
      </c>
      <c r="AI141" s="107">
        <f t="shared" si="140"/>
        <v>91541.731666666543</v>
      </c>
      <c r="AJ141" s="107">
        <f t="shared" si="141"/>
        <v>87182.593055555437</v>
      </c>
      <c r="AK141" s="107">
        <f t="shared" si="142"/>
        <v>82823.454444444331</v>
      </c>
      <c r="AL141" s="107">
        <f t="shared" si="143"/>
        <v>78464.315833333225</v>
      </c>
      <c r="AM141" s="107">
        <f t="shared" si="144"/>
        <v>74105.177222222119</v>
      </c>
      <c r="AN141" s="107">
        <f t="shared" si="145"/>
        <v>69746.038611111013</v>
      </c>
      <c r="AO141" s="107">
        <f t="shared" si="146"/>
        <v>65386.8999999999</v>
      </c>
      <c r="AP141" s="107"/>
      <c r="AQ141" s="126"/>
      <c r="AR141" s="107">
        <f t="shared" si="147"/>
        <v>52309.66333333333</v>
      </c>
      <c r="AS141" s="107">
        <f t="shared" si="107"/>
        <v>61027.761388888786</v>
      </c>
      <c r="AT141" s="107">
        <f t="shared" si="108"/>
        <v>56668.622777777673</v>
      </c>
      <c r="AU141" s="107">
        <f t="shared" si="109"/>
        <v>52309.48416666656</v>
      </c>
      <c r="AV141" s="107">
        <f t="shared" si="110"/>
        <v>47950.345555555446</v>
      </c>
      <c r="AW141" s="107">
        <f t="shared" si="111"/>
        <v>43591.206944444333</v>
      </c>
      <c r="AX141" s="107">
        <f t="shared" si="112"/>
        <v>39232.06833333322</v>
      </c>
      <c r="AY141" s="107">
        <f t="shared" si="113"/>
        <v>34872.929722222107</v>
      </c>
      <c r="AZ141" s="107">
        <f t="shared" si="114"/>
        <v>30513.791111110997</v>
      </c>
      <c r="BA141" s="107">
        <f t="shared" si="115"/>
        <v>26154.652499999887</v>
      </c>
      <c r="BB141" s="107">
        <f t="shared" si="116"/>
        <v>21795.513888888778</v>
      </c>
      <c r="BC141" s="107">
        <f t="shared" si="117"/>
        <v>17436.375277777668</v>
      </c>
      <c r="BD141" s="107">
        <f t="shared" si="118"/>
        <v>13077.236666666558</v>
      </c>
      <c r="BE141" s="107"/>
      <c r="BF141" s="127"/>
      <c r="BG141" s="127"/>
      <c r="BI141" s="127"/>
      <c r="BJ141" s="127"/>
      <c r="BK141" s="127"/>
      <c r="BL141" s="127"/>
      <c r="BM141" s="127"/>
      <c r="BN141" s="127"/>
      <c r="BO141" s="127"/>
      <c r="BP141" s="127"/>
      <c r="BQ141" s="127"/>
      <c r="BR141" s="127"/>
      <c r="BS141" s="127"/>
      <c r="BT141" s="127"/>
      <c r="BU141" s="127"/>
      <c r="BV141" s="127"/>
    </row>
    <row r="142" spans="1:74" ht="22.5" hidden="1" x14ac:dyDescent="0.2">
      <c r="A142" s="123" t="str">
        <f>'[2]2021 УГРЦТ'!A144</f>
        <v>Шкаф распред устройств с ячейками КРУ №5</v>
      </c>
      <c r="B142" s="124" t="str">
        <f>'[2]2021 УГРЦТ'!B144</f>
        <v>00001199</v>
      </c>
      <c r="C142" s="124" t="str">
        <f>VLOOKUP(A:A,'2023-2027'!A:L,1,+FALSE)</f>
        <v>Шкаф распред устройств с ячейками КРУ №5</v>
      </c>
      <c r="D142" s="124" t="str">
        <f>'[2]2021 УГРЦТ'!C144</f>
        <v>ПРОИЗВОДСТВО</v>
      </c>
      <c r="E142" s="124" t="str">
        <f>'[2]2021 УГРЦТ'!D144</f>
        <v>Машины и оборудование (кроме офисного)</v>
      </c>
      <c r="F142" s="124" t="str">
        <f>'[2]2021 УГРЦТ'!E144</f>
        <v>31.03.2010</v>
      </c>
      <c r="G142" s="124" t="str">
        <f>'[2]2021 УГРЦТ'!F144</f>
        <v>Газотурбинный цех</v>
      </c>
      <c r="H142" s="124">
        <f>'[2]2021 УГРЦТ'!AC144</f>
        <v>180</v>
      </c>
      <c r="I142" s="107">
        <v>784644.95</v>
      </c>
      <c r="J142" s="107">
        <v>614638.72333333339</v>
      </c>
      <c r="K142" s="107">
        <v>170006.22666666657</v>
      </c>
      <c r="L142" s="125" t="e">
        <f>SUMIF([2]облаг!$B$2:$B$259,B142,[2]облаг!$D$2:$D$259)</f>
        <v>#VALUE!</v>
      </c>
      <c r="M142" s="107">
        <f t="shared" si="120"/>
        <v>4359.1386111111105</v>
      </c>
      <c r="N142" s="107">
        <f t="shared" si="121"/>
        <v>52309.66333333333</v>
      </c>
      <c r="O142" s="107">
        <f t="shared" si="122"/>
        <v>165647.08805555545</v>
      </c>
      <c r="P142" s="107">
        <f t="shared" si="123"/>
        <v>161287.94944444433</v>
      </c>
      <c r="Q142" s="107">
        <f t="shared" si="124"/>
        <v>156928.81083333321</v>
      </c>
      <c r="R142" s="107">
        <f t="shared" si="125"/>
        <v>152569.67222222209</v>
      </c>
      <c r="S142" s="107">
        <f t="shared" si="126"/>
        <v>148210.53361111096</v>
      </c>
      <c r="T142" s="107">
        <f t="shared" si="127"/>
        <v>143851.39499999984</v>
      </c>
      <c r="U142" s="107">
        <f t="shared" si="128"/>
        <v>139492.25638888872</v>
      </c>
      <c r="V142" s="107">
        <f t="shared" si="129"/>
        <v>135133.1177777776</v>
      </c>
      <c r="W142" s="107">
        <f t="shared" si="130"/>
        <v>130773.9791666665</v>
      </c>
      <c r="X142" s="107">
        <f t="shared" si="131"/>
        <v>126414.84055555539</v>
      </c>
      <c r="Y142" s="107">
        <f t="shared" si="132"/>
        <v>122055.70194444428</v>
      </c>
      <c r="Z142" s="107">
        <f t="shared" si="133"/>
        <v>117696.56333333318</v>
      </c>
      <c r="AA142" s="107"/>
      <c r="AB142" s="107"/>
      <c r="AC142" s="107">
        <f t="shared" si="134"/>
        <v>52309.66333333333</v>
      </c>
      <c r="AD142" s="107">
        <f t="shared" si="135"/>
        <v>113337.42472222207</v>
      </c>
      <c r="AE142" s="107">
        <f t="shared" si="136"/>
        <v>108978.28611111097</v>
      </c>
      <c r="AF142" s="107">
        <f t="shared" si="137"/>
        <v>104619.14749999986</v>
      </c>
      <c r="AG142" s="107">
        <f t="shared" si="138"/>
        <v>100260.00888888875</v>
      </c>
      <c r="AH142" s="107">
        <f t="shared" si="139"/>
        <v>95900.870277777649</v>
      </c>
      <c r="AI142" s="107">
        <f t="shared" si="140"/>
        <v>91541.731666666543</v>
      </c>
      <c r="AJ142" s="107">
        <f t="shared" si="141"/>
        <v>87182.593055555437</v>
      </c>
      <c r="AK142" s="107">
        <f t="shared" si="142"/>
        <v>82823.454444444331</v>
      </c>
      <c r="AL142" s="107">
        <f t="shared" si="143"/>
        <v>78464.315833333225</v>
      </c>
      <c r="AM142" s="107">
        <f t="shared" si="144"/>
        <v>74105.177222222119</v>
      </c>
      <c r="AN142" s="107">
        <f t="shared" si="145"/>
        <v>69746.038611111013</v>
      </c>
      <c r="AO142" s="107">
        <f t="shared" si="146"/>
        <v>65386.8999999999</v>
      </c>
      <c r="AP142" s="107"/>
      <c r="AQ142" s="126"/>
      <c r="AR142" s="107">
        <f t="shared" si="147"/>
        <v>52309.66333333333</v>
      </c>
      <c r="AS142" s="107">
        <f t="shared" si="107"/>
        <v>61027.761388888786</v>
      </c>
      <c r="AT142" s="107">
        <f t="shared" si="108"/>
        <v>56668.622777777673</v>
      </c>
      <c r="AU142" s="107">
        <f t="shared" si="109"/>
        <v>52309.48416666656</v>
      </c>
      <c r="AV142" s="107">
        <f t="shared" si="110"/>
        <v>47950.345555555446</v>
      </c>
      <c r="AW142" s="107">
        <f t="shared" si="111"/>
        <v>43591.206944444333</v>
      </c>
      <c r="AX142" s="107">
        <f t="shared" si="112"/>
        <v>39232.06833333322</v>
      </c>
      <c r="AY142" s="107">
        <f t="shared" si="113"/>
        <v>34872.929722222107</v>
      </c>
      <c r="AZ142" s="107">
        <f t="shared" si="114"/>
        <v>30513.791111110997</v>
      </c>
      <c r="BA142" s="107">
        <f t="shared" si="115"/>
        <v>26154.652499999887</v>
      </c>
      <c r="BB142" s="107">
        <f t="shared" si="116"/>
        <v>21795.513888888778</v>
      </c>
      <c r="BC142" s="107">
        <f t="shared" si="117"/>
        <v>17436.375277777668</v>
      </c>
      <c r="BD142" s="107">
        <f t="shared" si="118"/>
        <v>13077.236666666558</v>
      </c>
      <c r="BE142" s="107"/>
      <c r="BF142" s="127"/>
      <c r="BG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</row>
    <row r="143" spans="1:74" ht="22.5" hidden="1" x14ac:dyDescent="0.2">
      <c r="A143" s="123" t="str">
        <f>'[2]2021 УГРЦТ'!A145</f>
        <v>Шкаф распред устройств с ячейками КРУ №6</v>
      </c>
      <c r="B143" s="124" t="str">
        <f>'[2]2021 УГРЦТ'!B145</f>
        <v>00001201</v>
      </c>
      <c r="C143" s="124" t="str">
        <f>VLOOKUP(A:A,'2023-2027'!A:L,1,+FALSE)</f>
        <v>Шкаф распред устройств с ячейками КРУ №6</v>
      </c>
      <c r="D143" s="124" t="str">
        <f>'[2]2021 УГРЦТ'!C145</f>
        <v>ПРОИЗВОДСТВО</v>
      </c>
      <c r="E143" s="124" t="str">
        <f>'[2]2021 УГРЦТ'!D145</f>
        <v>Машины и оборудование (кроме офисного)</v>
      </c>
      <c r="F143" s="124" t="str">
        <f>'[2]2021 УГРЦТ'!E145</f>
        <v>31.03.2010</v>
      </c>
      <c r="G143" s="124" t="str">
        <f>'[2]2021 УГРЦТ'!F145</f>
        <v>Газотурбинный цех</v>
      </c>
      <c r="H143" s="124">
        <f>'[2]2021 УГРЦТ'!AC145</f>
        <v>180</v>
      </c>
      <c r="I143" s="107">
        <v>784644.95</v>
      </c>
      <c r="J143" s="107">
        <v>614638.72333333339</v>
      </c>
      <c r="K143" s="107">
        <v>170006.22666666657</v>
      </c>
      <c r="L143" s="125" t="e">
        <f>SUMIF([2]облаг!$B$2:$B$259,B143,[2]облаг!$D$2:$D$259)</f>
        <v>#VALUE!</v>
      </c>
      <c r="M143" s="107">
        <f t="shared" si="120"/>
        <v>4359.1386111111105</v>
      </c>
      <c r="N143" s="107">
        <f t="shared" si="121"/>
        <v>52309.66333333333</v>
      </c>
      <c r="O143" s="107">
        <f t="shared" si="122"/>
        <v>165647.08805555545</v>
      </c>
      <c r="P143" s="107">
        <f t="shared" si="123"/>
        <v>161287.94944444433</v>
      </c>
      <c r="Q143" s="107">
        <f t="shared" si="124"/>
        <v>156928.81083333321</v>
      </c>
      <c r="R143" s="107">
        <f t="shared" si="125"/>
        <v>152569.67222222209</v>
      </c>
      <c r="S143" s="107">
        <f t="shared" si="126"/>
        <v>148210.53361111096</v>
      </c>
      <c r="T143" s="107">
        <f t="shared" si="127"/>
        <v>143851.39499999984</v>
      </c>
      <c r="U143" s="107">
        <f t="shared" si="128"/>
        <v>139492.25638888872</v>
      </c>
      <c r="V143" s="107">
        <f t="shared" si="129"/>
        <v>135133.1177777776</v>
      </c>
      <c r="W143" s="107">
        <f t="shared" si="130"/>
        <v>130773.9791666665</v>
      </c>
      <c r="X143" s="107">
        <f t="shared" si="131"/>
        <v>126414.84055555539</v>
      </c>
      <c r="Y143" s="107">
        <f t="shared" si="132"/>
        <v>122055.70194444428</v>
      </c>
      <c r="Z143" s="107">
        <f t="shared" si="133"/>
        <v>117696.56333333318</v>
      </c>
      <c r="AA143" s="107"/>
      <c r="AB143" s="107"/>
      <c r="AC143" s="107">
        <f t="shared" si="134"/>
        <v>52309.66333333333</v>
      </c>
      <c r="AD143" s="107">
        <f t="shared" si="135"/>
        <v>113337.42472222207</v>
      </c>
      <c r="AE143" s="107">
        <f t="shared" si="136"/>
        <v>108978.28611111097</v>
      </c>
      <c r="AF143" s="107">
        <f t="shared" si="137"/>
        <v>104619.14749999986</v>
      </c>
      <c r="AG143" s="107">
        <f t="shared" si="138"/>
        <v>100260.00888888875</v>
      </c>
      <c r="AH143" s="107">
        <f t="shared" si="139"/>
        <v>95900.870277777649</v>
      </c>
      <c r="AI143" s="107">
        <f t="shared" si="140"/>
        <v>91541.731666666543</v>
      </c>
      <c r="AJ143" s="107">
        <f t="shared" si="141"/>
        <v>87182.593055555437</v>
      </c>
      <c r="AK143" s="107">
        <f t="shared" si="142"/>
        <v>82823.454444444331</v>
      </c>
      <c r="AL143" s="107">
        <f t="shared" si="143"/>
        <v>78464.315833333225</v>
      </c>
      <c r="AM143" s="107">
        <f t="shared" si="144"/>
        <v>74105.177222222119</v>
      </c>
      <c r="AN143" s="107">
        <f t="shared" si="145"/>
        <v>69746.038611111013</v>
      </c>
      <c r="AO143" s="107">
        <f t="shared" si="146"/>
        <v>65386.8999999999</v>
      </c>
      <c r="AP143" s="107"/>
      <c r="AQ143" s="126"/>
      <c r="AR143" s="107">
        <f t="shared" si="147"/>
        <v>52309.66333333333</v>
      </c>
      <c r="AS143" s="107">
        <f t="shared" si="107"/>
        <v>61027.761388888786</v>
      </c>
      <c r="AT143" s="107">
        <f t="shared" si="108"/>
        <v>56668.622777777673</v>
      </c>
      <c r="AU143" s="107">
        <f t="shared" si="109"/>
        <v>52309.48416666656</v>
      </c>
      <c r="AV143" s="107">
        <f t="shared" si="110"/>
        <v>47950.345555555446</v>
      </c>
      <c r="AW143" s="107">
        <f t="shared" si="111"/>
        <v>43591.206944444333</v>
      </c>
      <c r="AX143" s="107">
        <f t="shared" si="112"/>
        <v>39232.06833333322</v>
      </c>
      <c r="AY143" s="107">
        <f t="shared" si="113"/>
        <v>34872.929722222107</v>
      </c>
      <c r="AZ143" s="107">
        <f t="shared" si="114"/>
        <v>30513.791111110997</v>
      </c>
      <c r="BA143" s="107">
        <f t="shared" si="115"/>
        <v>26154.652499999887</v>
      </c>
      <c r="BB143" s="107">
        <f t="shared" si="116"/>
        <v>21795.513888888778</v>
      </c>
      <c r="BC143" s="107">
        <f t="shared" si="117"/>
        <v>17436.375277777668</v>
      </c>
      <c r="BD143" s="107">
        <f t="shared" si="118"/>
        <v>13077.236666666558</v>
      </c>
      <c r="BE143" s="107"/>
      <c r="BF143" s="127"/>
      <c r="BG143" s="127"/>
      <c r="BI143" s="127"/>
      <c r="BJ143" s="127"/>
      <c r="BK143" s="127"/>
      <c r="BL143" s="127"/>
      <c r="BM143" s="127"/>
      <c r="BN143" s="127"/>
      <c r="BO143" s="127"/>
      <c r="BP143" s="127"/>
      <c r="BQ143" s="127"/>
      <c r="BR143" s="127"/>
      <c r="BS143" s="127"/>
      <c r="BT143" s="127"/>
      <c r="BU143" s="127"/>
      <c r="BV143" s="127"/>
    </row>
    <row r="144" spans="1:74" ht="22.5" hidden="1" x14ac:dyDescent="0.2">
      <c r="A144" s="123" t="str">
        <f>'[2]2021 УГРЦТ'!A146</f>
        <v>Шкаф распред устройств с ячейками КРУ №9</v>
      </c>
      <c r="B144" s="124" t="str">
        <f>'[2]2021 УГРЦТ'!B146</f>
        <v>00001206</v>
      </c>
      <c r="C144" s="124" t="str">
        <f>VLOOKUP(A:A,'2023-2027'!A:L,1,+FALSE)</f>
        <v>Шкаф распред устройств с ячейками КРУ №9</v>
      </c>
      <c r="D144" s="124" t="str">
        <f>'[2]2021 УГРЦТ'!C146</f>
        <v>ПРОИЗВОДСТВО</v>
      </c>
      <c r="E144" s="124" t="str">
        <f>'[2]2021 УГРЦТ'!D146</f>
        <v>Машины и оборудование (кроме офисного)</v>
      </c>
      <c r="F144" s="124" t="str">
        <f>'[2]2021 УГРЦТ'!E146</f>
        <v>31.03.2010</v>
      </c>
      <c r="G144" s="124" t="str">
        <f>'[2]2021 УГРЦТ'!F146</f>
        <v>Газотурбинный цех</v>
      </c>
      <c r="H144" s="124">
        <f>'[2]2021 УГРЦТ'!AC146</f>
        <v>180</v>
      </c>
      <c r="I144" s="107">
        <v>784644.95</v>
      </c>
      <c r="J144" s="107">
        <v>614638.72333333339</v>
      </c>
      <c r="K144" s="107">
        <v>170006.22666666657</v>
      </c>
      <c r="L144" s="125" t="e">
        <f>SUMIF([2]облаг!$B$2:$B$259,B144,[2]облаг!$D$2:$D$259)</f>
        <v>#VALUE!</v>
      </c>
      <c r="M144" s="107">
        <f t="shared" si="120"/>
        <v>4359.1386111111105</v>
      </c>
      <c r="N144" s="107">
        <f t="shared" si="121"/>
        <v>52309.66333333333</v>
      </c>
      <c r="O144" s="107">
        <f t="shared" si="122"/>
        <v>165647.08805555545</v>
      </c>
      <c r="P144" s="107">
        <f t="shared" si="123"/>
        <v>161287.94944444433</v>
      </c>
      <c r="Q144" s="107">
        <f t="shared" si="124"/>
        <v>156928.81083333321</v>
      </c>
      <c r="R144" s="107">
        <f t="shared" si="125"/>
        <v>152569.67222222209</v>
      </c>
      <c r="S144" s="107">
        <f t="shared" si="126"/>
        <v>148210.53361111096</v>
      </c>
      <c r="T144" s="107">
        <f t="shared" si="127"/>
        <v>143851.39499999984</v>
      </c>
      <c r="U144" s="107">
        <f t="shared" si="128"/>
        <v>139492.25638888872</v>
      </c>
      <c r="V144" s="107">
        <f t="shared" si="129"/>
        <v>135133.1177777776</v>
      </c>
      <c r="W144" s="107">
        <f t="shared" si="130"/>
        <v>130773.9791666665</v>
      </c>
      <c r="X144" s="107">
        <f t="shared" si="131"/>
        <v>126414.84055555539</v>
      </c>
      <c r="Y144" s="107">
        <f t="shared" si="132"/>
        <v>122055.70194444428</v>
      </c>
      <c r="Z144" s="107">
        <f t="shared" si="133"/>
        <v>117696.56333333318</v>
      </c>
      <c r="AA144" s="107"/>
      <c r="AB144" s="107"/>
      <c r="AC144" s="107">
        <f t="shared" si="134"/>
        <v>52309.66333333333</v>
      </c>
      <c r="AD144" s="107">
        <f t="shared" si="135"/>
        <v>113337.42472222207</v>
      </c>
      <c r="AE144" s="107">
        <f t="shared" si="136"/>
        <v>108978.28611111097</v>
      </c>
      <c r="AF144" s="107">
        <f t="shared" si="137"/>
        <v>104619.14749999986</v>
      </c>
      <c r="AG144" s="107">
        <f t="shared" si="138"/>
        <v>100260.00888888875</v>
      </c>
      <c r="AH144" s="107">
        <f t="shared" si="139"/>
        <v>95900.870277777649</v>
      </c>
      <c r="AI144" s="107">
        <f t="shared" si="140"/>
        <v>91541.731666666543</v>
      </c>
      <c r="AJ144" s="107">
        <f t="shared" si="141"/>
        <v>87182.593055555437</v>
      </c>
      <c r="AK144" s="107">
        <f t="shared" si="142"/>
        <v>82823.454444444331</v>
      </c>
      <c r="AL144" s="107">
        <f t="shared" si="143"/>
        <v>78464.315833333225</v>
      </c>
      <c r="AM144" s="107">
        <f t="shared" si="144"/>
        <v>74105.177222222119</v>
      </c>
      <c r="AN144" s="107">
        <f t="shared" si="145"/>
        <v>69746.038611111013</v>
      </c>
      <c r="AO144" s="107">
        <f t="shared" si="146"/>
        <v>65386.8999999999</v>
      </c>
      <c r="AP144" s="107"/>
      <c r="AQ144" s="126"/>
      <c r="AR144" s="107">
        <f t="shared" si="147"/>
        <v>52309.66333333333</v>
      </c>
      <c r="AS144" s="107">
        <f t="shared" si="107"/>
        <v>61027.761388888786</v>
      </c>
      <c r="AT144" s="107">
        <f t="shared" si="108"/>
        <v>56668.622777777673</v>
      </c>
      <c r="AU144" s="107">
        <f t="shared" si="109"/>
        <v>52309.48416666656</v>
      </c>
      <c r="AV144" s="107">
        <f t="shared" si="110"/>
        <v>47950.345555555446</v>
      </c>
      <c r="AW144" s="107">
        <f t="shared" si="111"/>
        <v>43591.206944444333</v>
      </c>
      <c r="AX144" s="107">
        <f t="shared" si="112"/>
        <v>39232.06833333322</v>
      </c>
      <c r="AY144" s="107">
        <f t="shared" si="113"/>
        <v>34872.929722222107</v>
      </c>
      <c r="AZ144" s="107">
        <f t="shared" si="114"/>
        <v>30513.791111110997</v>
      </c>
      <c r="BA144" s="107">
        <f t="shared" si="115"/>
        <v>26154.652499999887</v>
      </c>
      <c r="BB144" s="107">
        <f t="shared" si="116"/>
        <v>21795.513888888778</v>
      </c>
      <c r="BC144" s="107">
        <f t="shared" si="117"/>
        <v>17436.375277777668</v>
      </c>
      <c r="BD144" s="107">
        <f t="shared" si="118"/>
        <v>13077.236666666558</v>
      </c>
      <c r="BE144" s="107"/>
      <c r="BF144" s="127"/>
      <c r="BG144" s="127"/>
      <c r="BI144" s="127"/>
      <c r="BJ144" s="127"/>
      <c r="BK144" s="127"/>
      <c r="BL144" s="127"/>
      <c r="BM144" s="127"/>
      <c r="BN144" s="127"/>
      <c r="BO144" s="127"/>
      <c r="BP144" s="127"/>
      <c r="BQ144" s="127"/>
      <c r="BR144" s="127"/>
      <c r="BS144" s="127"/>
      <c r="BT144" s="127"/>
      <c r="BU144" s="127"/>
      <c r="BV144" s="127"/>
    </row>
    <row r="145" spans="1:75" ht="45" hidden="1" x14ac:dyDescent="0.2">
      <c r="A145" s="123" t="str">
        <f>'[2]2021 УГРЦТ'!A147</f>
        <v>Электродвигатель ВА200LB4FБУ2.5 380 зв.6в IM1001po IP55V Ч КР146-05 К/247сл</v>
      </c>
      <c r="B145" s="124" t="str">
        <f>'[2]2021 УГРЦТ'!B147</f>
        <v>000001420</v>
      </c>
      <c r="C145" s="124" t="str">
        <f>VLOOKUP(A:A,'2023-2027'!A:L,1,+FALSE)</f>
        <v>Электродвигатель ВА200LB4FБУ2.5 380 зв.6в IM1001po IP55V Ч КР146-05 К/247сл</v>
      </c>
      <c r="D145" s="124" t="str">
        <f>'[2]2021 УГРЦТ'!C147</f>
        <v>ПРОИЗВОДСТВО</v>
      </c>
      <c r="E145" s="124" t="str">
        <f>'[2]2021 УГРЦТ'!D147</f>
        <v>Машины и оборудование (кроме офисного)</v>
      </c>
      <c r="F145" s="124" t="str">
        <f>'[2]2021 УГРЦТ'!E147</f>
        <v>30.06.2012</v>
      </c>
      <c r="G145" s="124" t="str">
        <f>'[2]2021 УГРЦТ'!F147</f>
        <v>Газотурбинный цех</v>
      </c>
      <c r="H145" s="124">
        <f>'[2]2021 УГРЦТ'!AC147</f>
        <v>120</v>
      </c>
      <c r="I145" s="107">
        <f>'[2]2021 УГРЦТ'!X147</f>
        <v>137811.01</v>
      </c>
      <c r="J145" s="107">
        <f>'[2]2021 УГРЦТ'!Y147</f>
        <v>130920.961</v>
      </c>
      <c r="K145" s="107">
        <f>'[2]2021 УГРЦТ'!Z147</f>
        <v>6890.0490000000136</v>
      </c>
      <c r="L145" s="125" t="e">
        <f>SUMIF([2]облаг!$B$2:$B$259,B145,[2]облаг!$D$2:$D$259)</f>
        <v>#VALUE!</v>
      </c>
      <c r="M145" s="107">
        <f t="shared" si="120"/>
        <v>1148.4250833333333</v>
      </c>
      <c r="N145" s="107">
        <f t="shared" si="121"/>
        <v>13781.100999999999</v>
      </c>
      <c r="O145" s="107">
        <f t="shared" si="122"/>
        <v>5741.6239166666801</v>
      </c>
      <c r="P145" s="107">
        <f t="shared" si="123"/>
        <v>4593.1988333333466</v>
      </c>
      <c r="Q145" s="107">
        <f t="shared" si="124"/>
        <v>3444.773750000013</v>
      </c>
      <c r="R145" s="107">
        <f t="shared" si="125"/>
        <v>2296.3486666666795</v>
      </c>
      <c r="S145" s="107">
        <f t="shared" si="126"/>
        <v>1147.9235833333462</v>
      </c>
      <c r="T145" s="107">
        <v>0</v>
      </c>
      <c r="U145" s="107">
        <v>0</v>
      </c>
      <c r="V145" s="107">
        <v>0</v>
      </c>
      <c r="W145" s="107">
        <v>0</v>
      </c>
      <c r="X145" s="107">
        <v>0</v>
      </c>
      <c r="Y145" s="107">
        <v>0</v>
      </c>
      <c r="Z145" s="107">
        <v>0</v>
      </c>
      <c r="AA145" s="107"/>
      <c r="AB145" s="107"/>
      <c r="AC145" s="107">
        <v>0</v>
      </c>
      <c r="AD145" s="107">
        <v>0</v>
      </c>
      <c r="AE145" s="107">
        <v>0</v>
      </c>
      <c r="AF145" s="107">
        <v>0</v>
      </c>
      <c r="AG145" s="107">
        <v>0</v>
      </c>
      <c r="AH145" s="107">
        <v>0</v>
      </c>
      <c r="AI145" s="107">
        <v>0</v>
      </c>
      <c r="AJ145" s="107">
        <v>0</v>
      </c>
      <c r="AK145" s="107">
        <v>0</v>
      </c>
      <c r="AL145" s="107">
        <v>0</v>
      </c>
      <c r="AM145" s="107">
        <v>0</v>
      </c>
      <c r="AN145" s="107">
        <v>0</v>
      </c>
      <c r="AO145" s="107">
        <v>0</v>
      </c>
      <c r="AP145" s="107"/>
      <c r="AQ145" s="126"/>
      <c r="AR145" s="107">
        <v>0</v>
      </c>
      <c r="AS145" s="107">
        <v>0</v>
      </c>
      <c r="AT145" s="107">
        <v>0</v>
      </c>
      <c r="AU145" s="107">
        <v>0</v>
      </c>
      <c r="AV145" s="107">
        <v>0</v>
      </c>
      <c r="AW145" s="107">
        <v>0</v>
      </c>
      <c r="AX145" s="107">
        <v>0</v>
      </c>
      <c r="AY145" s="107">
        <v>0</v>
      </c>
      <c r="AZ145" s="107">
        <v>0</v>
      </c>
      <c r="BA145" s="107">
        <v>0</v>
      </c>
      <c r="BB145" s="107">
        <v>0</v>
      </c>
      <c r="BC145" s="107">
        <v>0</v>
      </c>
      <c r="BD145" s="107">
        <v>0</v>
      </c>
      <c r="BE145" s="124"/>
    </row>
    <row r="146" spans="1:75" ht="33.75" hidden="1" x14ac:dyDescent="0.2">
      <c r="A146" s="123" t="str">
        <f>'[2]2021 УГРЦТ'!A148</f>
        <v>Электродвигатель ВАО2-315М-2, У2,5, 1ExdIBT4, 250 кВт, 3000 об/мин, 380/660В, IM1001</v>
      </c>
      <c r="B146" s="124" t="str">
        <f>'[2]2021 УГРЦТ'!B148</f>
        <v>000001539</v>
      </c>
      <c r="C146" s="124" t="str">
        <f>VLOOKUP(A:A,'2023-2027'!A:L,1,+FALSE)</f>
        <v>Электродвигатель ВАО2-315М-2, У2,5, 1ExdIBT4, 250 кВт, 3000 об/мин, 380/660В, IM1001</v>
      </c>
      <c r="D146" s="124" t="str">
        <f>'[2]2021 УГРЦТ'!C148</f>
        <v>ПРОИЗВОДСТВО</v>
      </c>
      <c r="E146" s="124" t="str">
        <f>'[2]2021 УГРЦТ'!D148</f>
        <v>Машины и оборудование (кроме офисного)</v>
      </c>
      <c r="F146" s="124" t="str">
        <f>'[2]2021 УГРЦТ'!E148</f>
        <v>31.08.2013</v>
      </c>
      <c r="G146" s="124" t="str">
        <f>'[2]2021 УГРЦТ'!F148</f>
        <v>Газотурбинный цех</v>
      </c>
      <c r="H146" s="124">
        <f>'[2]2021 УГРЦТ'!AC148</f>
        <v>120</v>
      </c>
      <c r="I146" s="107">
        <f>'[2]2021 УГРЦТ'!X148</f>
        <v>410338.98</v>
      </c>
      <c r="J146" s="107">
        <f>'[2]2021 УГРЦТ'!Y148</f>
        <v>37614.40649999999</v>
      </c>
      <c r="K146" s="107">
        <f>'[2]2021 УГРЦТ'!Z148</f>
        <v>68389.962</v>
      </c>
      <c r="L146" s="125" t="e">
        <f>SUMIF([2]облаг!$B$2:$B$259,B146,[2]облаг!$D$2:$D$259)</f>
        <v>#VALUE!</v>
      </c>
      <c r="M146" s="107">
        <f t="shared" si="120"/>
        <v>3419.4914999999996</v>
      </c>
      <c r="N146" s="107">
        <f t="shared" si="121"/>
        <v>41033.897999999994</v>
      </c>
      <c r="O146" s="107">
        <f t="shared" si="122"/>
        <v>64970.470500000003</v>
      </c>
      <c r="P146" s="107">
        <f t="shared" si="123"/>
        <v>61550.979000000007</v>
      </c>
      <c r="Q146" s="107">
        <f t="shared" si="124"/>
        <v>58131.48750000001</v>
      </c>
      <c r="R146" s="107">
        <f t="shared" si="125"/>
        <v>54711.996000000014</v>
      </c>
      <c r="S146" s="107">
        <f t="shared" si="126"/>
        <v>51292.504500000017</v>
      </c>
      <c r="T146" s="107">
        <f t="shared" si="127"/>
        <v>47873.013000000021</v>
      </c>
      <c r="U146" s="107">
        <f t="shared" si="128"/>
        <v>44453.521500000024</v>
      </c>
      <c r="V146" s="107">
        <f t="shared" si="129"/>
        <v>41034.030000000028</v>
      </c>
      <c r="W146" s="107">
        <f t="shared" si="130"/>
        <v>37614.538500000031</v>
      </c>
      <c r="X146" s="107">
        <f t="shared" si="131"/>
        <v>34195.047000000035</v>
      </c>
      <c r="Y146" s="107">
        <f t="shared" si="132"/>
        <v>30775.555500000035</v>
      </c>
      <c r="Z146" s="107">
        <f t="shared" si="133"/>
        <v>27356.064000000035</v>
      </c>
      <c r="AA146" s="107"/>
      <c r="AB146" s="107"/>
      <c r="AC146" s="107">
        <f>AD146</f>
        <v>23936.572500000035</v>
      </c>
      <c r="AD146" s="107">
        <f t="shared" si="135"/>
        <v>23936.572500000035</v>
      </c>
      <c r="AE146" s="107">
        <f t="shared" si="136"/>
        <v>20517.081000000035</v>
      </c>
      <c r="AF146" s="107">
        <f t="shared" si="137"/>
        <v>17097.589500000035</v>
      </c>
      <c r="AG146" s="107">
        <f t="shared" si="138"/>
        <v>13678.098000000035</v>
      </c>
      <c r="AH146" s="107">
        <f t="shared" si="139"/>
        <v>10258.606500000034</v>
      </c>
      <c r="AI146" s="107">
        <f t="shared" si="140"/>
        <v>6839.1150000000343</v>
      </c>
      <c r="AJ146" s="107">
        <f t="shared" si="141"/>
        <v>3419.6235000000347</v>
      </c>
      <c r="AK146" s="107">
        <f t="shared" si="142"/>
        <v>0.13200000003507739</v>
      </c>
      <c r="AL146" s="107">
        <v>0</v>
      </c>
      <c r="AM146" s="107">
        <v>0</v>
      </c>
      <c r="AN146" s="107">
        <v>0</v>
      </c>
      <c r="AO146" s="107">
        <v>0</v>
      </c>
      <c r="AP146" s="107"/>
      <c r="AQ146" s="126"/>
      <c r="AR146" s="107">
        <v>0</v>
      </c>
      <c r="AS146" s="107">
        <v>0</v>
      </c>
      <c r="AT146" s="107">
        <v>0</v>
      </c>
      <c r="AU146" s="107">
        <v>0</v>
      </c>
      <c r="AV146" s="107">
        <v>0</v>
      </c>
      <c r="AW146" s="107">
        <v>0</v>
      </c>
      <c r="AX146" s="107">
        <v>0</v>
      </c>
      <c r="AY146" s="107">
        <v>0</v>
      </c>
      <c r="AZ146" s="107">
        <v>0</v>
      </c>
      <c r="BA146" s="107">
        <v>0</v>
      </c>
      <c r="BB146" s="107">
        <v>0</v>
      </c>
      <c r="BC146" s="107">
        <v>0</v>
      </c>
      <c r="BD146" s="107">
        <v>0</v>
      </c>
      <c r="BE146" s="124"/>
    </row>
    <row r="147" spans="1:75" ht="22.5" hidden="1" x14ac:dyDescent="0.2">
      <c r="A147" s="123" t="str">
        <f>'[2]2021 УГРЦТ'!A149</f>
        <v>Электронасос типа КМ 100-80-160-5 15кВт</v>
      </c>
      <c r="B147" s="124" t="str">
        <f>'[2]2021 УГРЦТ'!B149</f>
        <v>000001809</v>
      </c>
      <c r="C147" s="124" t="str">
        <f>VLOOKUP(A:A,'2023-2027'!A:L,1,+FALSE)</f>
        <v>Электронасос типа КМ 100-80-160-5 15кВт</v>
      </c>
      <c r="D147" s="124" t="str">
        <f>'[2]2021 УГРЦТ'!C149</f>
        <v>ПРОИЗВОДСТВО</v>
      </c>
      <c r="E147" s="124" t="str">
        <f>'[2]2021 УГРЦТ'!D149</f>
        <v>Машины и оборудование (кроме офисного)</v>
      </c>
      <c r="F147" s="124" t="str">
        <f>'[2]2021 УГРЦТ'!E149</f>
        <v>04.06.2020</v>
      </c>
      <c r="G147" s="124" t="str">
        <f>'[2]2021 УГРЦТ'!F149</f>
        <v>Тепломеханический цех</v>
      </c>
      <c r="H147" s="124">
        <f>'[2]2021 УГРЦТ'!AC149</f>
        <v>120</v>
      </c>
      <c r="I147" s="107">
        <f>'[2]2021 УГРЦТ'!X149</f>
        <v>81458.27</v>
      </c>
      <c r="J147" s="107">
        <f>'[2]2021 УГРЦТ'!Y149</f>
        <v>12218.747000000003</v>
      </c>
      <c r="K147" s="107">
        <f>'[2]2021 УГРЦТ'!Z149</f>
        <v>69239.523000000001</v>
      </c>
      <c r="L147" s="125" t="e">
        <f>SUMIF([2]облаг!$B$2:$B$259,B147,[2]облаг!$D$2:$D$259)</f>
        <v>#VALUE!</v>
      </c>
      <c r="M147" s="107">
        <f t="shared" si="120"/>
        <v>678.81891666666672</v>
      </c>
      <c r="N147" s="107">
        <f t="shared" si="121"/>
        <v>8145.8270000000011</v>
      </c>
      <c r="O147" s="107">
        <f t="shared" si="122"/>
        <v>68560.70408333333</v>
      </c>
      <c r="P147" s="107">
        <f t="shared" si="123"/>
        <v>67881.88516666666</v>
      </c>
      <c r="Q147" s="107">
        <f t="shared" si="124"/>
        <v>67203.066249999989</v>
      </c>
      <c r="R147" s="107">
        <f t="shared" si="125"/>
        <v>66524.247333333318</v>
      </c>
      <c r="S147" s="107">
        <f t="shared" si="126"/>
        <v>65845.428416666648</v>
      </c>
      <c r="T147" s="107">
        <f t="shared" si="127"/>
        <v>65166.609499999984</v>
      </c>
      <c r="U147" s="107">
        <f t="shared" si="128"/>
        <v>64487.790583333321</v>
      </c>
      <c r="V147" s="107">
        <f t="shared" si="129"/>
        <v>63808.971666666657</v>
      </c>
      <c r="W147" s="107">
        <f t="shared" si="130"/>
        <v>63130.152749999994</v>
      </c>
      <c r="X147" s="107">
        <f t="shared" si="131"/>
        <v>62451.33383333333</v>
      </c>
      <c r="Y147" s="107">
        <f t="shared" si="132"/>
        <v>61772.514916666667</v>
      </c>
      <c r="Z147" s="107">
        <f t="shared" si="133"/>
        <v>61093.696000000004</v>
      </c>
      <c r="AA147" s="107"/>
      <c r="AB147" s="107"/>
      <c r="AC147" s="107">
        <f t="shared" si="134"/>
        <v>8145.8270000000011</v>
      </c>
      <c r="AD147" s="107">
        <f t="shared" si="135"/>
        <v>60414.87708333334</v>
      </c>
      <c r="AE147" s="107">
        <f t="shared" si="136"/>
        <v>59736.058166666677</v>
      </c>
      <c r="AF147" s="107">
        <f t="shared" si="137"/>
        <v>59057.239250000013</v>
      </c>
      <c r="AG147" s="107">
        <f t="shared" si="138"/>
        <v>58378.42033333335</v>
      </c>
      <c r="AH147" s="107">
        <f t="shared" si="139"/>
        <v>57699.601416666686</v>
      </c>
      <c r="AI147" s="107">
        <f t="shared" si="140"/>
        <v>57020.782500000023</v>
      </c>
      <c r="AJ147" s="107">
        <f t="shared" si="141"/>
        <v>56341.96358333336</v>
      </c>
      <c r="AK147" s="107">
        <f t="shared" si="142"/>
        <v>55663.144666666696</v>
      </c>
      <c r="AL147" s="107">
        <f t="shared" si="143"/>
        <v>54984.325750000033</v>
      </c>
      <c r="AM147" s="107">
        <f t="shared" si="144"/>
        <v>54305.506833333369</v>
      </c>
      <c r="AN147" s="107">
        <f t="shared" si="145"/>
        <v>53626.687916666706</v>
      </c>
      <c r="AO147" s="107">
        <f t="shared" si="146"/>
        <v>52947.869000000042</v>
      </c>
      <c r="AP147" s="107"/>
      <c r="AQ147" s="126"/>
      <c r="AR147" s="107">
        <f t="shared" si="147"/>
        <v>8145.8270000000011</v>
      </c>
      <c r="AS147" s="107">
        <f>AO147-M147</f>
        <v>52269.050083333379</v>
      </c>
      <c r="AT147" s="107">
        <f>AS147-M147</f>
        <v>51590.231166666716</v>
      </c>
      <c r="AU147" s="107">
        <f>AT147-M147</f>
        <v>50911.412250000052</v>
      </c>
      <c r="AV147" s="107">
        <f>AU147-M147</f>
        <v>50232.593333333389</v>
      </c>
      <c r="AW147" s="107">
        <f>AV147-M147</f>
        <v>49553.774416666725</v>
      </c>
      <c r="AX147" s="107">
        <f>AW147-M147</f>
        <v>48874.955500000062</v>
      </c>
      <c r="AY147" s="107">
        <f>AX147-M147</f>
        <v>48196.136583333398</v>
      </c>
      <c r="AZ147" s="107">
        <f>AY147-M147</f>
        <v>47517.317666666735</v>
      </c>
      <c r="BA147" s="107">
        <f>AZ147-M147</f>
        <v>46838.498750000072</v>
      </c>
      <c r="BB147" s="107">
        <f>BA147-M147</f>
        <v>46159.679833333408</v>
      </c>
      <c r="BC147" s="107">
        <f>BB147-M147</f>
        <v>45480.860916666745</v>
      </c>
      <c r="BD147" s="107">
        <f>BC147-M147</f>
        <v>44802.042000000081</v>
      </c>
      <c r="BE147" s="107"/>
      <c r="BF147" s="127"/>
      <c r="BG147" s="127"/>
      <c r="BH147" s="127"/>
      <c r="BI147" s="127"/>
      <c r="BJ147" s="127"/>
      <c r="BK147" s="127"/>
      <c r="BL147" s="127"/>
      <c r="BM147" s="127"/>
      <c r="BN147" s="127"/>
      <c r="BO147" s="127"/>
      <c r="BP147" s="127"/>
      <c r="BQ147" s="127"/>
      <c r="BR147" s="127"/>
      <c r="BS147" s="127"/>
      <c r="BT147" s="127"/>
      <c r="BU147" s="127"/>
      <c r="BV147" s="127"/>
      <c r="BW147" s="127"/>
    </row>
    <row r="148" spans="1:75" hidden="1" x14ac:dyDescent="0.2">
      <c r="A148" s="123" t="str">
        <f>'[2]2021 УГРЦТ'!A150</f>
        <v>Электростанция  1955г.</v>
      </c>
      <c r="B148" s="124" t="str">
        <f>'[2]2021 УГРЦТ'!B150</f>
        <v>00000275</v>
      </c>
      <c r="C148" s="124" t="str">
        <f>VLOOKUP(A:A,'2023-2027'!A:L,1,+FALSE)</f>
        <v>Электростанция  1955г.</v>
      </c>
      <c r="D148" s="124" t="str">
        <f>'[2]2021 УГРЦТ'!C150</f>
        <v>ПРОИЗВОДСТВО</v>
      </c>
      <c r="E148" s="124" t="str">
        <f>'[2]2021 УГРЦТ'!D150</f>
        <v>Здания</v>
      </c>
      <c r="F148" s="124" t="str">
        <f>'[2]2021 УГРЦТ'!E150</f>
        <v>31.01.1955</v>
      </c>
      <c r="G148" s="124" t="str">
        <f>'[2]2021 УГРЦТ'!F150</f>
        <v>Тепломеханический цех</v>
      </c>
      <c r="H148" s="124">
        <f>'[2]2021 УГРЦТ'!AC150</f>
        <v>996</v>
      </c>
      <c r="I148" s="107">
        <f>'[2]2021 УГРЦТ'!X150</f>
        <v>10070046.470000001</v>
      </c>
      <c r="J148" s="107">
        <f>'[2]2021 УГРЦТ'!Y150</f>
        <v>4305862.41</v>
      </c>
      <c r="K148" s="107">
        <f>'[2]2021 УГРЦТ'!Z150</f>
        <v>5764184.0600000005</v>
      </c>
      <c r="L148" s="125" t="e">
        <f>SUMIF([2]облаг!$B$2:$B$259,B148,[2]облаг!$D$2:$D$259)</f>
        <v>#VALUE!</v>
      </c>
      <c r="M148" s="107">
        <f t="shared" si="120"/>
        <v>10110.48842369478</v>
      </c>
      <c r="N148" s="107">
        <f t="shared" si="121"/>
        <v>121325.86108433736</v>
      </c>
      <c r="O148" s="107">
        <f t="shared" si="122"/>
        <v>5754073.5715763057</v>
      </c>
      <c r="P148" s="107">
        <f t="shared" si="123"/>
        <v>5743963.0831526108</v>
      </c>
      <c r="Q148" s="107">
        <f t="shared" si="124"/>
        <v>5733852.594728916</v>
      </c>
      <c r="R148" s="107">
        <f t="shared" si="125"/>
        <v>5723742.1063052211</v>
      </c>
      <c r="S148" s="107">
        <f t="shared" si="126"/>
        <v>5713631.6178815262</v>
      </c>
      <c r="T148" s="107">
        <f t="shared" si="127"/>
        <v>5703521.1294578314</v>
      </c>
      <c r="U148" s="107">
        <f t="shared" si="128"/>
        <v>5693410.6410341365</v>
      </c>
      <c r="V148" s="107">
        <f t="shared" si="129"/>
        <v>5683300.1526104417</v>
      </c>
      <c r="W148" s="107">
        <f t="shared" si="130"/>
        <v>5673189.6641867468</v>
      </c>
      <c r="X148" s="107">
        <f t="shared" si="131"/>
        <v>5663079.175763052</v>
      </c>
      <c r="Y148" s="107">
        <f t="shared" si="132"/>
        <v>5652968.6873393571</v>
      </c>
      <c r="Z148" s="107">
        <f t="shared" si="133"/>
        <v>5642858.1989156622</v>
      </c>
      <c r="AA148" s="107">
        <f>SUM(O148:Z148,K148)/13*$AA$2</f>
        <v>125477.4648480723</v>
      </c>
      <c r="AB148" s="107"/>
      <c r="AC148" s="107">
        <f t="shared" si="134"/>
        <v>121325.86108433736</v>
      </c>
      <c r="AD148" s="107">
        <f t="shared" si="135"/>
        <v>5632747.7104919674</v>
      </c>
      <c r="AE148" s="107">
        <f t="shared" si="136"/>
        <v>5622637.2220682725</v>
      </c>
      <c r="AF148" s="107">
        <f t="shared" si="137"/>
        <v>5612526.7336445777</v>
      </c>
      <c r="AG148" s="107">
        <f t="shared" si="138"/>
        <v>5602416.2452208828</v>
      </c>
      <c r="AH148" s="107">
        <f t="shared" si="139"/>
        <v>5592305.756797188</v>
      </c>
      <c r="AI148" s="107">
        <f t="shared" si="140"/>
        <v>5582195.2683734931</v>
      </c>
      <c r="AJ148" s="107">
        <f t="shared" si="141"/>
        <v>5572084.7799497982</v>
      </c>
      <c r="AK148" s="107">
        <f t="shared" si="142"/>
        <v>5561974.2915261034</v>
      </c>
      <c r="AL148" s="107">
        <f t="shared" si="143"/>
        <v>5551863.8031024085</v>
      </c>
      <c r="AM148" s="107">
        <f t="shared" si="144"/>
        <v>5541753.3146787137</v>
      </c>
      <c r="AN148" s="107">
        <f t="shared" si="145"/>
        <v>5531642.8262550188</v>
      </c>
      <c r="AO148" s="107">
        <f t="shared" si="146"/>
        <v>5521532.337831324</v>
      </c>
      <c r="AP148" s="107">
        <f>SUM(AD148:AO148,Z148)/13*$AP$2</f>
        <v>122808.29590421684</v>
      </c>
      <c r="AQ148" s="126"/>
      <c r="AR148" s="107">
        <f t="shared" si="147"/>
        <v>121325.86108433736</v>
      </c>
      <c r="AS148" s="107">
        <f>AO148-M148</f>
        <v>5511421.8494076291</v>
      </c>
      <c r="AT148" s="107">
        <f>AS148-M148</f>
        <v>5501311.3609839343</v>
      </c>
      <c r="AU148" s="107">
        <f>AT148-M148</f>
        <v>5491200.8725602394</v>
      </c>
      <c r="AV148" s="107">
        <f>AU148-M148</f>
        <v>5481090.3841365445</v>
      </c>
      <c r="AW148" s="107">
        <f>AV148-M148</f>
        <v>5470979.8957128497</v>
      </c>
      <c r="AX148" s="107">
        <f>AW148-M148</f>
        <v>5460869.4072891548</v>
      </c>
      <c r="AY148" s="107">
        <f>AX148-M148</f>
        <v>5450758.91886546</v>
      </c>
      <c r="AZ148" s="107">
        <f>AY148-M148</f>
        <v>5440648.4304417651</v>
      </c>
      <c r="BA148" s="107">
        <f>AZ148-M148</f>
        <v>5430537.9420180703</v>
      </c>
      <c r="BB148" s="107">
        <f>BA148-M148</f>
        <v>5420427.4535943754</v>
      </c>
      <c r="BC148" s="107">
        <f>BB148-M148</f>
        <v>5410316.9651706805</v>
      </c>
      <c r="BD148" s="107">
        <f>BC148-M148</f>
        <v>5400206.4767469857</v>
      </c>
      <c r="BE148" s="107">
        <f>SUM(AS148:BD148,AO148)/13*$BE$2</f>
        <v>120139.12696036142</v>
      </c>
      <c r="BF148" s="127"/>
      <c r="BG148" s="127"/>
      <c r="BH148" s="127"/>
      <c r="BI148" s="127"/>
      <c r="BJ148" s="127"/>
      <c r="BK148" s="127"/>
      <c r="BL148" s="127"/>
      <c r="BM148" s="127"/>
      <c r="BN148" s="127"/>
      <c r="BO148" s="127"/>
      <c r="BP148" s="127"/>
      <c r="BQ148" s="127"/>
      <c r="BR148" s="127"/>
      <c r="BS148" s="127"/>
      <c r="BT148" s="127"/>
      <c r="BU148" s="127"/>
      <c r="BV148" s="127"/>
      <c r="BW148" s="127"/>
    </row>
    <row r="149" spans="1:75" ht="22.5" hidden="1" x14ac:dyDescent="0.2">
      <c r="A149" s="123" t="str">
        <f>'[2]2021 УГРЦТ'!A151</f>
        <v>Ячейка генераторного выключателя КРУ СЭЩ-70</v>
      </c>
      <c r="B149" s="124" t="str">
        <f>'[2]2021 УГРЦТ'!B151</f>
        <v>000001652</v>
      </c>
      <c r="C149" s="124" t="str">
        <f>VLOOKUP(A:A,'2023-2027'!A:L,1,+FALSE)</f>
        <v>Ячейка генераторного выключателя КРУ СЭЩ-70</v>
      </c>
      <c r="D149" s="124" t="str">
        <f>'[2]2021 УГРЦТ'!C151</f>
        <v>ПРОИЗВОДСТВО</v>
      </c>
      <c r="E149" s="124" t="str">
        <f>'[2]2021 УГРЦТ'!D151</f>
        <v>Машины и оборудование (кроме офисного)</v>
      </c>
      <c r="F149" s="124" t="str">
        <f>'[2]2021 УГРЦТ'!E151</f>
        <v>31.01.2015</v>
      </c>
      <c r="G149" s="124" t="str">
        <f>'[2]2021 УГРЦТ'!F151</f>
        <v>Газотурбинный цех</v>
      </c>
      <c r="H149" s="124">
        <f>'[2]2021 УГРЦТ'!AC151</f>
        <v>180</v>
      </c>
      <c r="I149" s="107">
        <f>'[2]2021 УГРЦТ'!X151</f>
        <v>2852111.23</v>
      </c>
      <c r="J149" s="107">
        <f>'[2]2021 УГРЦТ'!Y151</f>
        <v>1315140.0086666667</v>
      </c>
      <c r="K149" s="107">
        <f>'[2]2021 УГРЦТ'!Z151</f>
        <v>1536971.2213333333</v>
      </c>
      <c r="L149" s="125" t="e">
        <f>SUMIF([2]облаг!$B$2:$B$259,B149,[2]облаг!$D$2:$D$259)</f>
        <v>#VALUE!</v>
      </c>
      <c r="M149" s="107">
        <f t="shared" si="120"/>
        <v>15845.062388888889</v>
      </c>
      <c r="N149" s="107">
        <f t="shared" si="121"/>
        <v>190140.74866666668</v>
      </c>
      <c r="O149" s="107">
        <f t="shared" si="122"/>
        <v>1521126.1589444445</v>
      </c>
      <c r="P149" s="107">
        <f t="shared" si="123"/>
        <v>1505281.0965555557</v>
      </c>
      <c r="Q149" s="107">
        <f t="shared" si="124"/>
        <v>1489436.0341666669</v>
      </c>
      <c r="R149" s="107">
        <f t="shared" si="125"/>
        <v>1473590.9717777781</v>
      </c>
      <c r="S149" s="107">
        <f t="shared" si="126"/>
        <v>1457745.9093888893</v>
      </c>
      <c r="T149" s="107">
        <f t="shared" si="127"/>
        <v>1441900.8470000005</v>
      </c>
      <c r="U149" s="107">
        <f t="shared" si="128"/>
        <v>1426055.7846111117</v>
      </c>
      <c r="V149" s="107">
        <f t="shared" si="129"/>
        <v>1410210.7222222229</v>
      </c>
      <c r="W149" s="107">
        <f t="shared" si="130"/>
        <v>1394365.6598333342</v>
      </c>
      <c r="X149" s="107">
        <f t="shared" si="131"/>
        <v>1378520.5974444454</v>
      </c>
      <c r="Y149" s="107">
        <f t="shared" si="132"/>
        <v>1362675.5350555566</v>
      </c>
      <c r="Z149" s="107">
        <f t="shared" si="133"/>
        <v>1346830.4726666678</v>
      </c>
      <c r="AA149" s="107"/>
      <c r="AB149" s="107"/>
      <c r="AC149" s="107">
        <f t="shared" si="134"/>
        <v>190140.74866666668</v>
      </c>
      <c r="AD149" s="107">
        <f t="shared" si="135"/>
        <v>1330985.410277779</v>
      </c>
      <c r="AE149" s="107">
        <f t="shared" si="136"/>
        <v>1315140.3478888902</v>
      </c>
      <c r="AF149" s="107">
        <f t="shared" si="137"/>
        <v>1299295.2855000014</v>
      </c>
      <c r="AG149" s="107">
        <f t="shared" si="138"/>
        <v>1283450.2231111126</v>
      </c>
      <c r="AH149" s="107">
        <f t="shared" si="139"/>
        <v>1267605.1607222238</v>
      </c>
      <c r="AI149" s="107">
        <f t="shared" si="140"/>
        <v>1251760.098333335</v>
      </c>
      <c r="AJ149" s="107">
        <f t="shared" si="141"/>
        <v>1235915.0359444462</v>
      </c>
      <c r="AK149" s="107">
        <f t="shared" si="142"/>
        <v>1220069.9735555574</v>
      </c>
      <c r="AL149" s="107">
        <f t="shared" si="143"/>
        <v>1204224.9111666686</v>
      </c>
      <c r="AM149" s="107">
        <f t="shared" si="144"/>
        <v>1188379.8487777798</v>
      </c>
      <c r="AN149" s="107">
        <f t="shared" si="145"/>
        <v>1172534.7863888911</v>
      </c>
      <c r="AO149" s="107">
        <f t="shared" si="146"/>
        <v>1156689.7240000023</v>
      </c>
      <c r="AP149" s="107"/>
      <c r="AQ149" s="126"/>
      <c r="AR149" s="107">
        <f t="shared" si="147"/>
        <v>190140.74866666668</v>
      </c>
      <c r="AS149" s="107">
        <f>AO149-M149</f>
        <v>1140844.6616111135</v>
      </c>
      <c r="AT149" s="107">
        <f>AS149-M149</f>
        <v>1124999.5992222247</v>
      </c>
      <c r="AU149" s="107">
        <f>AT149-M149</f>
        <v>1109154.5368333359</v>
      </c>
      <c r="AV149" s="107">
        <f>AU149-M149</f>
        <v>1093309.4744444471</v>
      </c>
      <c r="AW149" s="107">
        <f>AV149-M149</f>
        <v>1077464.4120555583</v>
      </c>
      <c r="AX149" s="107">
        <f>AW149-M149</f>
        <v>1061619.3496666695</v>
      </c>
      <c r="AY149" s="107">
        <f>AX149-M149</f>
        <v>1045774.2872777806</v>
      </c>
      <c r="AZ149" s="107">
        <f>AY149-M149</f>
        <v>1029929.2248888917</v>
      </c>
      <c r="BA149" s="107">
        <f>AZ149-M149</f>
        <v>1014084.1625000028</v>
      </c>
      <c r="BB149" s="107">
        <f>BA149-M149</f>
        <v>998239.10011111386</v>
      </c>
      <c r="BC149" s="107">
        <f>BB149-M149</f>
        <v>982394.03772222495</v>
      </c>
      <c r="BD149" s="107">
        <f>BC149-M149</f>
        <v>966548.97533333604</v>
      </c>
      <c r="BE149" s="10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</row>
    <row r="150" spans="1:75" hidden="1" x14ac:dyDescent="0.2">
      <c r="A150" s="123" t="str">
        <f>'[2]2021 УГРЦТ'!A152</f>
        <v>Ячейка КСО-СЭЩ №1</v>
      </c>
      <c r="B150" s="124" t="str">
        <f>'[2]2021 УГРЦТ'!B152</f>
        <v>00001058</v>
      </c>
      <c r="C150" s="124" t="str">
        <f>VLOOKUP(A:A,'2023-2027'!A:L,1,+FALSE)</f>
        <v>Ячейка КСО-СЭЩ №1</v>
      </c>
      <c r="D150" s="124" t="str">
        <f>'[2]2021 УГРЦТ'!C152</f>
        <v>ПРОИЗВОДСТВО</v>
      </c>
      <c r="E150" s="124" t="str">
        <f>'[2]2021 УГРЦТ'!D152</f>
        <v>Машины и оборудование (кроме офисного)</v>
      </c>
      <c r="F150" s="124" t="str">
        <f>'[2]2021 УГРЦТ'!E152</f>
        <v>30.11.2007</v>
      </c>
      <c r="G150" s="124" t="str">
        <f>'[2]2021 УГРЦТ'!F152</f>
        <v>Электрический цех</v>
      </c>
      <c r="H150" s="124">
        <f>'[2]2021 УГРЦТ'!AC152</f>
        <v>180</v>
      </c>
      <c r="I150" s="107">
        <f>'[2]2021 УГРЦТ'!X152</f>
        <v>294426.43</v>
      </c>
      <c r="J150" s="107">
        <f>'[2]2021 УГРЦТ'!Y152</f>
        <v>276433.32866666664</v>
      </c>
      <c r="K150" s="107">
        <f>'[2]2021 УГРЦТ'!Z152</f>
        <v>17993.101333333354</v>
      </c>
      <c r="L150" s="125" t="e">
        <f>SUMIF([2]облаг!$B$2:$B$259,B150,[2]облаг!$D$2:$D$259)</f>
        <v>#VALUE!</v>
      </c>
      <c r="M150" s="107">
        <f t="shared" si="120"/>
        <v>1635.7023888888889</v>
      </c>
      <c r="N150" s="107">
        <f t="shared" si="121"/>
        <v>19628.428666666667</v>
      </c>
      <c r="O150" s="107">
        <f t="shared" si="122"/>
        <v>16357.398944444465</v>
      </c>
      <c r="P150" s="107">
        <f t="shared" si="123"/>
        <v>14721.696555555576</v>
      </c>
      <c r="Q150" s="107">
        <f t="shared" si="124"/>
        <v>13085.994166666687</v>
      </c>
      <c r="R150" s="107">
        <f t="shared" si="125"/>
        <v>11450.291777777798</v>
      </c>
      <c r="S150" s="107">
        <f t="shared" si="126"/>
        <v>9814.5893888889095</v>
      </c>
      <c r="T150" s="107">
        <f t="shared" si="127"/>
        <v>8178.8870000000206</v>
      </c>
      <c r="U150" s="107">
        <f t="shared" si="128"/>
        <v>6543.1846111111317</v>
      </c>
      <c r="V150" s="107">
        <f t="shared" si="129"/>
        <v>4907.4822222222429</v>
      </c>
      <c r="W150" s="107">
        <f t="shared" si="130"/>
        <v>3271.779833333354</v>
      </c>
      <c r="X150" s="107">
        <f t="shared" si="131"/>
        <v>1636.0774444444651</v>
      </c>
      <c r="Y150" s="107">
        <f t="shared" si="132"/>
        <v>0.37505555557618209</v>
      </c>
      <c r="Z150" s="107">
        <v>0</v>
      </c>
      <c r="AA150" s="107"/>
      <c r="AB150" s="107"/>
      <c r="AC150" s="107">
        <v>0</v>
      </c>
      <c r="AD150" s="107">
        <v>0</v>
      </c>
      <c r="AE150" s="107">
        <v>0</v>
      </c>
      <c r="AF150" s="107">
        <v>0</v>
      </c>
      <c r="AG150" s="107">
        <v>0</v>
      </c>
      <c r="AH150" s="107">
        <v>0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/>
      <c r="AQ150" s="126"/>
      <c r="AR150" s="107">
        <v>0</v>
      </c>
      <c r="AS150" s="107">
        <v>0</v>
      </c>
      <c r="AT150" s="107">
        <v>0</v>
      </c>
      <c r="AU150" s="107">
        <v>0</v>
      </c>
      <c r="AV150" s="107">
        <v>0</v>
      </c>
      <c r="AW150" s="107">
        <v>0</v>
      </c>
      <c r="AX150" s="107">
        <v>0</v>
      </c>
      <c r="AY150" s="107">
        <v>0</v>
      </c>
      <c r="AZ150" s="107">
        <v>0</v>
      </c>
      <c r="BA150" s="107">
        <v>0</v>
      </c>
      <c r="BB150" s="107">
        <v>0</v>
      </c>
      <c r="BC150" s="107">
        <v>0</v>
      </c>
      <c r="BD150" s="107">
        <v>0</v>
      </c>
      <c r="BE150" s="124"/>
    </row>
    <row r="151" spans="1:75" hidden="1" x14ac:dyDescent="0.2">
      <c r="A151" s="123" t="str">
        <f>'[2]2021 УГРЦТ'!A153</f>
        <v>Ячейка КСО-СЭЩ №2</v>
      </c>
      <c r="B151" s="124" t="str">
        <f>'[2]2021 УГРЦТ'!B153</f>
        <v>00001059</v>
      </c>
      <c r="C151" s="124" t="str">
        <f>VLOOKUP(A:A,'2023-2027'!A:L,1,+FALSE)</f>
        <v>Ячейка КСО-СЭЩ №2</v>
      </c>
      <c r="D151" s="124" t="str">
        <f>'[2]2021 УГРЦТ'!C153</f>
        <v>ПРОИЗВОДСТВО</v>
      </c>
      <c r="E151" s="124" t="str">
        <f>'[2]2021 УГРЦТ'!D153</f>
        <v>Машины и оборудование (кроме офисного)</v>
      </c>
      <c r="F151" s="124" t="str">
        <f>'[2]2021 УГРЦТ'!E153</f>
        <v>30.11.2007</v>
      </c>
      <c r="G151" s="124" t="str">
        <f>'[2]2021 УГРЦТ'!F153</f>
        <v>Электрический цех</v>
      </c>
      <c r="H151" s="124">
        <f>'[2]2021 УГРЦТ'!AC153</f>
        <v>180</v>
      </c>
      <c r="I151" s="107">
        <f>'[2]2021 УГРЦТ'!X153</f>
        <v>294426.43</v>
      </c>
      <c r="J151" s="107">
        <f>'[2]2021 УГРЦТ'!Y153</f>
        <v>276433.32866666664</v>
      </c>
      <c r="K151" s="107">
        <f>'[2]2021 УГРЦТ'!Z153</f>
        <v>17993.101333333354</v>
      </c>
      <c r="L151" s="125" t="e">
        <f>SUMIF([2]облаг!$B$2:$B$259,B151,[2]облаг!$D$2:$D$259)</f>
        <v>#VALUE!</v>
      </c>
      <c r="M151" s="107">
        <f t="shared" si="120"/>
        <v>1635.7023888888889</v>
      </c>
      <c r="N151" s="107">
        <f t="shared" si="121"/>
        <v>19628.428666666667</v>
      </c>
      <c r="O151" s="107">
        <f t="shared" si="122"/>
        <v>16357.398944444465</v>
      </c>
      <c r="P151" s="107">
        <f t="shared" si="123"/>
        <v>14721.696555555576</v>
      </c>
      <c r="Q151" s="107">
        <f t="shared" si="124"/>
        <v>13085.994166666687</v>
      </c>
      <c r="R151" s="107">
        <f t="shared" si="125"/>
        <v>11450.291777777798</v>
      </c>
      <c r="S151" s="107">
        <f t="shared" si="126"/>
        <v>9814.5893888889095</v>
      </c>
      <c r="T151" s="107">
        <f t="shared" si="127"/>
        <v>8178.8870000000206</v>
      </c>
      <c r="U151" s="107">
        <f t="shared" si="128"/>
        <v>6543.1846111111317</v>
      </c>
      <c r="V151" s="107">
        <f t="shared" si="129"/>
        <v>4907.4822222222429</v>
      </c>
      <c r="W151" s="107">
        <f t="shared" si="130"/>
        <v>3271.779833333354</v>
      </c>
      <c r="X151" s="107">
        <f t="shared" si="131"/>
        <v>1636.0774444444651</v>
      </c>
      <c r="Y151" s="107">
        <f t="shared" si="132"/>
        <v>0.37505555557618209</v>
      </c>
      <c r="Z151" s="107">
        <v>0</v>
      </c>
      <c r="AA151" s="107"/>
      <c r="AB151" s="107"/>
      <c r="AC151" s="107">
        <v>0</v>
      </c>
      <c r="AD151" s="107">
        <v>0</v>
      </c>
      <c r="AE151" s="107">
        <v>0</v>
      </c>
      <c r="AF151" s="107">
        <v>0</v>
      </c>
      <c r="AG151" s="107">
        <v>0</v>
      </c>
      <c r="AH151" s="107">
        <v>0</v>
      </c>
      <c r="AI151" s="107">
        <v>0</v>
      </c>
      <c r="AJ151" s="107">
        <v>0</v>
      </c>
      <c r="AK151" s="107">
        <v>0</v>
      </c>
      <c r="AL151" s="107">
        <v>0</v>
      </c>
      <c r="AM151" s="107">
        <v>0</v>
      </c>
      <c r="AN151" s="107">
        <v>0</v>
      </c>
      <c r="AO151" s="107">
        <v>0</v>
      </c>
      <c r="AP151" s="107"/>
      <c r="AQ151" s="126"/>
      <c r="AR151" s="107">
        <v>0</v>
      </c>
      <c r="AS151" s="107">
        <v>0</v>
      </c>
      <c r="AT151" s="107">
        <v>0</v>
      </c>
      <c r="AU151" s="107">
        <v>0</v>
      </c>
      <c r="AV151" s="107">
        <v>0</v>
      </c>
      <c r="AW151" s="107">
        <v>0</v>
      </c>
      <c r="AX151" s="107">
        <v>0</v>
      </c>
      <c r="AY151" s="107">
        <v>0</v>
      </c>
      <c r="AZ151" s="107">
        <v>0</v>
      </c>
      <c r="BA151" s="107">
        <v>0</v>
      </c>
      <c r="BB151" s="107">
        <v>0</v>
      </c>
      <c r="BC151" s="107">
        <v>0</v>
      </c>
      <c r="BD151" s="107">
        <v>0</v>
      </c>
      <c r="BE151" s="124"/>
    </row>
    <row r="152" spans="1:75" hidden="1" x14ac:dyDescent="0.2">
      <c r="A152" s="123" t="str">
        <f>'[2]2021 УГРЦТ'!A154</f>
        <v>Ячейка КСО-СЭЩ №3</v>
      </c>
      <c r="B152" s="124" t="str">
        <f>'[2]2021 УГРЦТ'!B154</f>
        <v>00001060</v>
      </c>
      <c r="C152" s="124" t="str">
        <f>VLOOKUP(A:A,'2023-2027'!A:L,1,+FALSE)</f>
        <v>Ячейка КСО-СЭЩ №3</v>
      </c>
      <c r="D152" s="124" t="str">
        <f>'[2]2021 УГРЦТ'!C154</f>
        <v>ПРОИЗВОДСТВО</v>
      </c>
      <c r="E152" s="124" t="str">
        <f>'[2]2021 УГРЦТ'!D154</f>
        <v>Машины и оборудование (кроме офисного)</v>
      </c>
      <c r="F152" s="124" t="str">
        <f>'[2]2021 УГРЦТ'!E154</f>
        <v>30.11.2007</v>
      </c>
      <c r="G152" s="124" t="str">
        <f>'[2]2021 УГРЦТ'!F154</f>
        <v>Электрический цех</v>
      </c>
      <c r="H152" s="124">
        <f>'[2]2021 УГРЦТ'!AC154</f>
        <v>180</v>
      </c>
      <c r="I152" s="107">
        <f>'[2]2021 УГРЦТ'!X154</f>
        <v>294426.40999999997</v>
      </c>
      <c r="J152" s="107">
        <f>'[2]2021 УГРЦТ'!Y154</f>
        <v>276433.32733333332</v>
      </c>
      <c r="K152" s="107">
        <f>'[2]2021 УГРЦТ'!Z154</f>
        <v>17993.082666666654</v>
      </c>
      <c r="L152" s="125" t="e">
        <f>SUMIF([2]облаг!$B$2:$B$259,B152,[2]облаг!$D$2:$D$259)</f>
        <v>#VALUE!</v>
      </c>
      <c r="M152" s="107">
        <f t="shared" si="120"/>
        <v>1635.7022777777777</v>
      </c>
      <c r="N152" s="107">
        <f t="shared" si="121"/>
        <v>19628.427333333333</v>
      </c>
      <c r="O152" s="107">
        <f t="shared" si="122"/>
        <v>16357.380388888876</v>
      </c>
      <c r="P152" s="107">
        <f t="shared" si="123"/>
        <v>14721.678111111098</v>
      </c>
      <c r="Q152" s="107">
        <f t="shared" si="124"/>
        <v>13085.975833333319</v>
      </c>
      <c r="R152" s="107">
        <f t="shared" si="125"/>
        <v>11450.273555555541</v>
      </c>
      <c r="S152" s="107">
        <f t="shared" si="126"/>
        <v>9814.5712777777626</v>
      </c>
      <c r="T152" s="107">
        <f t="shared" si="127"/>
        <v>8178.8689999999851</v>
      </c>
      <c r="U152" s="107">
        <f t="shared" si="128"/>
        <v>6543.1667222222077</v>
      </c>
      <c r="V152" s="107">
        <f t="shared" si="129"/>
        <v>4907.4644444444302</v>
      </c>
      <c r="W152" s="107">
        <f t="shared" si="130"/>
        <v>3271.7621666666528</v>
      </c>
      <c r="X152" s="107">
        <f t="shared" si="131"/>
        <v>1636.0598888888751</v>
      </c>
      <c r="Y152" s="107">
        <f t="shared" si="132"/>
        <v>0.3576111110974125</v>
      </c>
      <c r="Z152" s="107">
        <v>0</v>
      </c>
      <c r="AA152" s="107"/>
      <c r="AB152" s="107"/>
      <c r="AC152" s="107">
        <v>0</v>
      </c>
      <c r="AD152" s="107">
        <v>0</v>
      </c>
      <c r="AE152" s="107">
        <v>0</v>
      </c>
      <c r="AF152" s="107">
        <v>0</v>
      </c>
      <c r="AG152" s="107">
        <v>0</v>
      </c>
      <c r="AH152" s="107">
        <v>0</v>
      </c>
      <c r="AI152" s="107">
        <v>0</v>
      </c>
      <c r="AJ152" s="107">
        <v>0</v>
      </c>
      <c r="AK152" s="107">
        <v>0</v>
      </c>
      <c r="AL152" s="107">
        <v>0</v>
      </c>
      <c r="AM152" s="107">
        <v>0</v>
      </c>
      <c r="AN152" s="107">
        <v>0</v>
      </c>
      <c r="AO152" s="107">
        <v>0</v>
      </c>
      <c r="AP152" s="107"/>
      <c r="AQ152" s="126"/>
      <c r="AR152" s="107">
        <v>0</v>
      </c>
      <c r="AS152" s="107">
        <v>0</v>
      </c>
      <c r="AT152" s="107">
        <v>0</v>
      </c>
      <c r="AU152" s="107">
        <v>0</v>
      </c>
      <c r="AV152" s="107">
        <v>0</v>
      </c>
      <c r="AW152" s="107">
        <v>0</v>
      </c>
      <c r="AX152" s="107">
        <v>0</v>
      </c>
      <c r="AY152" s="107">
        <v>0</v>
      </c>
      <c r="AZ152" s="107">
        <v>0</v>
      </c>
      <c r="BA152" s="107">
        <v>0</v>
      </c>
      <c r="BB152" s="107">
        <v>0</v>
      </c>
      <c r="BC152" s="107">
        <v>0</v>
      </c>
      <c r="BD152" s="107">
        <v>0</v>
      </c>
      <c r="BE152" s="124"/>
    </row>
    <row r="153" spans="1:75" hidden="1" x14ac:dyDescent="0.2">
      <c r="A153" s="123" t="str">
        <f>'[2]2021 УГРЦТ'!A155</f>
        <v>Ячейка КСО-СЭЩ №4</v>
      </c>
      <c r="B153" s="124" t="str">
        <f>'[2]2021 УГРЦТ'!B155</f>
        <v>00001061</v>
      </c>
      <c r="C153" s="124" t="str">
        <f>VLOOKUP(A:A,'2023-2027'!A:L,1,+FALSE)</f>
        <v>Ячейка КСО-СЭЩ №4</v>
      </c>
      <c r="D153" s="124" t="str">
        <f>'[2]2021 УГРЦТ'!C155</f>
        <v>ПРОИЗВОДСТВО</v>
      </c>
      <c r="E153" s="124" t="str">
        <f>'[2]2021 УГРЦТ'!D155</f>
        <v>Машины и оборудование (кроме офисного)</v>
      </c>
      <c r="F153" s="124" t="str">
        <f>'[2]2021 УГРЦТ'!E155</f>
        <v>30.11.2007</v>
      </c>
      <c r="G153" s="124" t="str">
        <f>'[2]2021 УГРЦТ'!F155</f>
        <v>Электрический цех</v>
      </c>
      <c r="H153" s="124">
        <f>'[2]2021 УГРЦТ'!AC155</f>
        <v>180</v>
      </c>
      <c r="I153" s="107">
        <f>'[2]2021 УГРЦТ'!X155</f>
        <v>294426.43</v>
      </c>
      <c r="J153" s="107">
        <f>'[2]2021 УГРЦТ'!Y155</f>
        <v>276433.32866666664</v>
      </c>
      <c r="K153" s="107">
        <f>'[2]2021 УГРЦТ'!Z155</f>
        <v>17993.101333333354</v>
      </c>
      <c r="L153" s="125" t="e">
        <f>SUMIF([2]облаг!$B$2:$B$259,B153,[2]облаг!$D$2:$D$259)</f>
        <v>#VALUE!</v>
      </c>
      <c r="M153" s="107">
        <f t="shared" si="120"/>
        <v>1635.7023888888889</v>
      </c>
      <c r="N153" s="107">
        <f t="shared" si="121"/>
        <v>19628.428666666667</v>
      </c>
      <c r="O153" s="107">
        <f t="shared" si="122"/>
        <v>16357.398944444465</v>
      </c>
      <c r="P153" s="107">
        <f t="shared" si="123"/>
        <v>14721.696555555576</v>
      </c>
      <c r="Q153" s="107">
        <f t="shared" si="124"/>
        <v>13085.994166666687</v>
      </c>
      <c r="R153" s="107">
        <f t="shared" si="125"/>
        <v>11450.291777777798</v>
      </c>
      <c r="S153" s="107">
        <f t="shared" si="126"/>
        <v>9814.5893888889095</v>
      </c>
      <c r="T153" s="107">
        <f t="shared" si="127"/>
        <v>8178.8870000000206</v>
      </c>
      <c r="U153" s="107">
        <f t="shared" si="128"/>
        <v>6543.1846111111317</v>
      </c>
      <c r="V153" s="107">
        <f t="shared" si="129"/>
        <v>4907.4822222222429</v>
      </c>
      <c r="W153" s="107">
        <f t="shared" si="130"/>
        <v>3271.779833333354</v>
      </c>
      <c r="X153" s="107">
        <f t="shared" si="131"/>
        <v>1636.0774444444651</v>
      </c>
      <c r="Y153" s="107">
        <f t="shared" si="132"/>
        <v>0.37505555557618209</v>
      </c>
      <c r="Z153" s="107">
        <v>0</v>
      </c>
      <c r="AA153" s="107"/>
      <c r="AB153" s="107"/>
      <c r="AC153" s="107">
        <v>0</v>
      </c>
      <c r="AD153" s="107">
        <v>0</v>
      </c>
      <c r="AE153" s="107">
        <v>0</v>
      </c>
      <c r="AF153" s="107">
        <v>0</v>
      </c>
      <c r="AG153" s="107">
        <v>0</v>
      </c>
      <c r="AH153" s="107">
        <v>0</v>
      </c>
      <c r="AI153" s="107">
        <v>0</v>
      </c>
      <c r="AJ153" s="107">
        <v>0</v>
      </c>
      <c r="AK153" s="107">
        <v>0</v>
      </c>
      <c r="AL153" s="107">
        <v>0</v>
      </c>
      <c r="AM153" s="107">
        <v>0</v>
      </c>
      <c r="AN153" s="107">
        <v>0</v>
      </c>
      <c r="AO153" s="107">
        <v>0</v>
      </c>
      <c r="AP153" s="107"/>
      <c r="AQ153" s="126"/>
      <c r="AR153" s="107">
        <v>0</v>
      </c>
      <c r="AS153" s="107">
        <v>0</v>
      </c>
      <c r="AT153" s="107">
        <v>0</v>
      </c>
      <c r="AU153" s="107">
        <v>0</v>
      </c>
      <c r="AV153" s="107">
        <v>0</v>
      </c>
      <c r="AW153" s="107">
        <v>0</v>
      </c>
      <c r="AX153" s="107">
        <v>0</v>
      </c>
      <c r="AY153" s="107">
        <v>0</v>
      </c>
      <c r="AZ153" s="107">
        <v>0</v>
      </c>
      <c r="BA153" s="107">
        <v>0</v>
      </c>
      <c r="BB153" s="107">
        <v>0</v>
      </c>
      <c r="BC153" s="107">
        <v>0</v>
      </c>
      <c r="BD153" s="107">
        <v>0</v>
      </c>
      <c r="BE153" s="124"/>
    </row>
    <row r="154" spans="1:75" ht="22.5" hidden="1" x14ac:dyDescent="0.2">
      <c r="A154" s="123" t="str">
        <f>'[2]2021 УГРЦТ'!A156</f>
        <v>Ячейка трансформатора напряжения КРУ СЭЩ-70</v>
      </c>
      <c r="B154" s="124" t="str">
        <f>'[2]2021 УГРЦТ'!B156</f>
        <v>000001653</v>
      </c>
      <c r="C154" s="124" t="str">
        <f>VLOOKUP(A:A,'2023-2027'!A:L,1,+FALSE)</f>
        <v>Ячейка трансформатора напряжения КРУ СЭЩ-70</v>
      </c>
      <c r="D154" s="124" t="str">
        <f>'[2]2021 УГРЦТ'!C156</f>
        <v>ПРОИЗВОДСТВО</v>
      </c>
      <c r="E154" s="124" t="str">
        <f>'[2]2021 УГРЦТ'!D156</f>
        <v>Машины и оборудование (кроме офисного)</v>
      </c>
      <c r="F154" s="124" t="str">
        <f>'[2]2021 УГРЦТ'!E156</f>
        <v>31.01.2015</v>
      </c>
      <c r="G154" s="124" t="str">
        <f>'[2]2021 УГРЦТ'!F156</f>
        <v>Газотурбинный цех</v>
      </c>
      <c r="H154" s="124">
        <f>'[2]2021 УГРЦТ'!AC156</f>
        <v>180</v>
      </c>
      <c r="I154" s="107">
        <f>'[2]2021 УГРЦТ'!X156</f>
        <v>2276497.89</v>
      </c>
      <c r="J154" s="107">
        <f>'[2]2021 УГРЦТ'!Y156</f>
        <v>1049718.436</v>
      </c>
      <c r="K154" s="107">
        <f>'[2]2021 УГРЦТ'!Z156</f>
        <v>1226779.4540000001</v>
      </c>
      <c r="L154" s="125" t="e">
        <f>SUMIF([2]облаг!$B$2:$B$259,B154,[2]облаг!$D$2:$D$259)</f>
        <v>#VALUE!</v>
      </c>
      <c r="M154" s="107">
        <f t="shared" si="120"/>
        <v>12647.210500000001</v>
      </c>
      <c r="N154" s="107">
        <f t="shared" si="121"/>
        <v>151766.52600000001</v>
      </c>
      <c r="O154" s="107">
        <f t="shared" si="122"/>
        <v>1214132.2435000001</v>
      </c>
      <c r="P154" s="107">
        <f t="shared" si="123"/>
        <v>1201485.0330000001</v>
      </c>
      <c r="Q154" s="107">
        <f t="shared" si="124"/>
        <v>1188837.8225</v>
      </c>
      <c r="R154" s="107">
        <f t="shared" si="125"/>
        <v>1176190.612</v>
      </c>
      <c r="S154" s="107">
        <f t="shared" si="126"/>
        <v>1163543.4014999999</v>
      </c>
      <c r="T154" s="107">
        <f t="shared" si="127"/>
        <v>1150896.1909999999</v>
      </c>
      <c r="U154" s="107">
        <f t="shared" si="128"/>
        <v>1138248.9804999998</v>
      </c>
      <c r="V154" s="107">
        <f t="shared" si="129"/>
        <v>1125601.7699999998</v>
      </c>
      <c r="W154" s="107">
        <f t="shared" si="130"/>
        <v>1112954.5594999997</v>
      </c>
      <c r="X154" s="107">
        <f t="shared" si="131"/>
        <v>1100307.3489999997</v>
      </c>
      <c r="Y154" s="107">
        <f t="shared" si="132"/>
        <v>1087660.1384999997</v>
      </c>
      <c r="Z154" s="107">
        <f t="shared" si="133"/>
        <v>1075012.9279999996</v>
      </c>
      <c r="AA154" s="107"/>
      <c r="AB154" s="107"/>
      <c r="AC154" s="107">
        <f t="shared" si="134"/>
        <v>151766.52600000001</v>
      </c>
      <c r="AD154" s="107">
        <f t="shared" si="135"/>
        <v>1062365.7174999996</v>
      </c>
      <c r="AE154" s="107">
        <f t="shared" si="136"/>
        <v>1049718.5069999995</v>
      </c>
      <c r="AF154" s="107">
        <f t="shared" si="137"/>
        <v>1037071.2964999995</v>
      </c>
      <c r="AG154" s="107">
        <f t="shared" si="138"/>
        <v>1024424.0859999994</v>
      </c>
      <c r="AH154" s="107">
        <f t="shared" si="139"/>
        <v>1011776.8754999994</v>
      </c>
      <c r="AI154" s="107">
        <f t="shared" si="140"/>
        <v>999129.66499999934</v>
      </c>
      <c r="AJ154" s="107">
        <f t="shared" si="141"/>
        <v>986482.45449999929</v>
      </c>
      <c r="AK154" s="107">
        <f t="shared" si="142"/>
        <v>973835.24399999925</v>
      </c>
      <c r="AL154" s="107">
        <f t="shared" si="143"/>
        <v>961188.0334999992</v>
      </c>
      <c r="AM154" s="107">
        <f t="shared" si="144"/>
        <v>948540.82299999916</v>
      </c>
      <c r="AN154" s="107">
        <f t="shared" si="145"/>
        <v>935893.61249999912</v>
      </c>
      <c r="AO154" s="107">
        <f t="shared" si="146"/>
        <v>923246.40199999907</v>
      </c>
      <c r="AP154" s="107"/>
      <c r="AQ154" s="126"/>
      <c r="AR154" s="107">
        <f t="shared" si="147"/>
        <v>151766.52600000001</v>
      </c>
      <c r="AS154" s="107">
        <f>AO154-M154</f>
        <v>910599.19149999903</v>
      </c>
      <c r="AT154" s="107">
        <f>AS154-M154</f>
        <v>897951.98099999898</v>
      </c>
      <c r="AU154" s="107">
        <f>AT154-M154</f>
        <v>885304.77049999894</v>
      </c>
      <c r="AV154" s="107">
        <f>AU154-M154</f>
        <v>872657.55999999889</v>
      </c>
      <c r="AW154" s="107">
        <f>AV154-M154</f>
        <v>860010.34949999885</v>
      </c>
      <c r="AX154" s="107">
        <f>AW154-M154</f>
        <v>847363.1389999988</v>
      </c>
      <c r="AY154" s="107">
        <f>AX154-M154</f>
        <v>834715.92849999876</v>
      </c>
      <c r="AZ154" s="107">
        <f>AY154-M154</f>
        <v>822068.71799999871</v>
      </c>
      <c r="BA154" s="107">
        <f>AZ154-M154</f>
        <v>809421.50749999867</v>
      </c>
      <c r="BB154" s="107">
        <f>BA154-M154</f>
        <v>796774.29699999862</v>
      </c>
      <c r="BC154" s="107">
        <f>BB154-M154</f>
        <v>784127.08649999858</v>
      </c>
      <c r="BD154" s="107">
        <f>BC154-M154</f>
        <v>771479.87599999853</v>
      </c>
      <c r="BE154" s="107"/>
      <c r="BF154" s="127"/>
      <c r="BG154" s="127"/>
      <c r="BH154" s="127"/>
      <c r="BI154" s="127"/>
      <c r="BJ154" s="127"/>
      <c r="BK154" s="127"/>
      <c r="BL154" s="127"/>
      <c r="BM154" s="127"/>
      <c r="BN154" s="127"/>
      <c r="BO154" s="127"/>
      <c r="BP154" s="127"/>
      <c r="BQ154" s="127"/>
      <c r="BR154" s="127"/>
      <c r="BS154" s="127"/>
      <c r="BT154" s="127"/>
      <c r="BU154" s="127"/>
      <c r="BV154" s="127"/>
      <c r="BW154" s="127"/>
    </row>
    <row r="155" spans="1:75" s="121" customFormat="1" hidden="1" x14ac:dyDescent="0.2">
      <c r="A155" s="135" t="str">
        <f>'[2]2021 УГРЦТ'!A157</f>
        <v>ПЕРЕДАЧА</v>
      </c>
      <c r="B155" s="136"/>
      <c r="C155" s="124" t="str">
        <f>VLOOKUP(A:A,'2023-2027'!A:L,1,+FALSE)</f>
        <v>ПЕРЕДАЧА</v>
      </c>
      <c r="D155" s="136"/>
      <c r="E155" s="136"/>
      <c r="F155" s="136"/>
      <c r="G155" s="136"/>
      <c r="H155" s="136"/>
      <c r="I155" s="137">
        <f>SUM(I156:I507)+I591+I595+I596+I598+I599+I600+I601+I602+I603+I604+I605+I606+I607+I608+I609+I611+I612+I613+I614+I616+I617+I618+I619+I620+I621+I623+I624+I625+I626+I627+I628+I629+I630+I635+I636+I637+I638</f>
        <v>775008905.71999931</v>
      </c>
      <c r="J155" s="137">
        <f t="shared" ref="J155:BE155" si="148">SUM(J156:J507)+J591+J595+J596+J598+J599+J600+J601+J602+J603+J604+J605+J606+J607+J608+J609+J611+J612+J613+J614+J616+J617+J618+J619+J620+J621+J623+J624+J625+J626+J627+J628+J629+J630+J635+J636+J637+J638</f>
        <v>227987709.58124548</v>
      </c>
      <c r="K155" s="137">
        <f t="shared" si="148"/>
        <v>516922885.74567157</v>
      </c>
      <c r="L155" s="137" t="e">
        <f t="shared" si="148"/>
        <v>#VALUE!</v>
      </c>
      <c r="M155" s="137">
        <f t="shared" si="148"/>
        <v>2858770.5763049973</v>
      </c>
      <c r="N155" s="137">
        <f t="shared" si="148"/>
        <v>32755016.455591653</v>
      </c>
      <c r="O155" s="137">
        <f>SUM(O156:O509)+O591+O595+O596+O598+O599+O600+O601+O602+O603+O604+O605+O606+O607+O608+O609+O611+O612+O613+O614+O616+O617+O618+O619+O620+O621+O623+O624+O625+O626+O627+O628+O629+O630+O635+O636+O637+O638</f>
        <v>515009503.41087729</v>
      </c>
      <c r="P155" s="137">
        <f t="shared" si="148"/>
        <v>511429015.78707689</v>
      </c>
      <c r="Q155" s="137">
        <f t="shared" si="148"/>
        <v>508651605.17772079</v>
      </c>
      <c r="R155" s="137">
        <f t="shared" si="148"/>
        <v>505874194.56836522</v>
      </c>
      <c r="S155" s="137">
        <f t="shared" si="148"/>
        <v>503138188.50309306</v>
      </c>
      <c r="T155" s="137">
        <f t="shared" si="148"/>
        <v>500553866.20405012</v>
      </c>
      <c r="U155" s="137">
        <f t="shared" si="148"/>
        <v>497914471.86880082</v>
      </c>
      <c r="V155" s="137">
        <f t="shared" si="148"/>
        <v>495864506.58815932</v>
      </c>
      <c r="W155" s="137">
        <f t="shared" si="148"/>
        <v>494453078.921781</v>
      </c>
      <c r="X155" s="137">
        <f t="shared" si="148"/>
        <v>491749106.82961679</v>
      </c>
      <c r="Y155" s="137">
        <f t="shared" si="148"/>
        <v>489785394.7011112</v>
      </c>
      <c r="Z155" s="137">
        <f t="shared" si="148"/>
        <v>493071406.44845277</v>
      </c>
      <c r="AA155" s="137">
        <f t="shared" si="148"/>
        <v>9750368.9065809119</v>
      </c>
      <c r="AB155" s="137">
        <f t="shared" si="148"/>
        <v>0</v>
      </c>
      <c r="AC155" s="137">
        <f t="shared" si="148"/>
        <v>33068059.385823753</v>
      </c>
      <c r="AD155" s="137">
        <f t="shared" si="148"/>
        <v>507782372.49432421</v>
      </c>
      <c r="AE155" s="137">
        <f t="shared" si="148"/>
        <v>505024770.70019615</v>
      </c>
      <c r="AF155" s="137">
        <f t="shared" si="148"/>
        <v>503893502.47678339</v>
      </c>
      <c r="AG155" s="137">
        <f t="shared" si="148"/>
        <v>502535708.99909949</v>
      </c>
      <c r="AH155" s="137">
        <f t="shared" si="148"/>
        <v>500460796.47649848</v>
      </c>
      <c r="AI155" s="137">
        <f t="shared" si="148"/>
        <v>497932783.41421133</v>
      </c>
      <c r="AJ155" s="137">
        <f t="shared" si="148"/>
        <v>495169712.44032216</v>
      </c>
      <c r="AK155" s="137">
        <f t="shared" si="148"/>
        <v>492411103.33426619</v>
      </c>
      <c r="AL155" s="137">
        <f t="shared" si="148"/>
        <v>489656333.13241172</v>
      </c>
      <c r="AM155" s="137">
        <f t="shared" si="148"/>
        <v>486910406.32784379</v>
      </c>
      <c r="AN155" s="137">
        <f t="shared" si="148"/>
        <v>484168111.25911558</v>
      </c>
      <c r="AO155" s="137">
        <f t="shared" si="148"/>
        <v>481426160.18760538</v>
      </c>
      <c r="AP155" s="137">
        <f t="shared" si="148"/>
        <v>9704394.9187153857</v>
      </c>
      <c r="AQ155" s="137">
        <f t="shared" si="148"/>
        <v>0</v>
      </c>
      <c r="AR155" s="137">
        <f t="shared" si="148"/>
        <v>32417832.099753175</v>
      </c>
      <c r="AS155" s="137">
        <f t="shared" si="148"/>
        <v>478691110.29634076</v>
      </c>
      <c r="AT155" s="137">
        <f t="shared" si="148"/>
        <v>475956120.31629425</v>
      </c>
      <c r="AU155" s="137">
        <f t="shared" si="148"/>
        <v>473250315.29624772</v>
      </c>
      <c r="AV155" s="137">
        <f t="shared" si="148"/>
        <v>470544510.74953401</v>
      </c>
      <c r="AW155" s="137">
        <f t="shared" si="148"/>
        <v>467839517.52107</v>
      </c>
      <c r="AX155" s="137">
        <f t="shared" si="148"/>
        <v>465134585.28304148</v>
      </c>
      <c r="AY155" s="137">
        <f t="shared" si="148"/>
        <v>462430117.02962679</v>
      </c>
      <c r="AZ155" s="137">
        <f t="shared" si="148"/>
        <v>459734232.08763164</v>
      </c>
      <c r="BA155" s="137">
        <f t="shared" si="148"/>
        <v>457038350.52330339</v>
      </c>
      <c r="BB155" s="137">
        <f t="shared" si="148"/>
        <v>454342482.88564211</v>
      </c>
      <c r="BC155" s="137">
        <f t="shared" si="148"/>
        <v>451646745.64439374</v>
      </c>
      <c r="BD155" s="137">
        <f t="shared" si="148"/>
        <v>448951056.88814503</v>
      </c>
      <c r="BE155" s="137">
        <f t="shared" si="148"/>
        <v>9171783.6625961121</v>
      </c>
      <c r="BF155" s="138"/>
      <c r="BG155" s="138"/>
      <c r="BH155" s="138"/>
      <c r="BI155" s="138"/>
      <c r="BJ155" s="138"/>
      <c r="BK155" s="138"/>
      <c r="BL155" s="138"/>
      <c r="BM155" s="138"/>
      <c r="BN155" s="138"/>
      <c r="BO155" s="138"/>
      <c r="BP155" s="138"/>
      <c r="BQ155" s="138"/>
      <c r="BR155" s="138"/>
      <c r="BS155" s="138"/>
      <c r="BT155" s="138"/>
      <c r="BU155" s="138"/>
      <c r="BV155" s="138"/>
      <c r="BW155" s="138"/>
    </row>
    <row r="156" spans="1:75" ht="22.5" hidden="1" x14ac:dyDescent="0.2">
      <c r="A156" s="123" t="str">
        <f>'[2]2021 УГРЦТ'!A158</f>
        <v>*- Н/в каб ТП20 до РКЦ l=117м ТП10 до РКЦ l=351,5м</v>
      </c>
      <c r="B156" s="124" t="str">
        <f>'[2]2021 УГРЦТ'!B158</f>
        <v>00000443</v>
      </c>
      <c r="C156" s="124" t="str">
        <f>VLOOKUP(A:A,'2023-2027'!A:L,1,+FALSE)</f>
        <v>*- Н/в каб ТП20 до РКЦ l=117м ТП10 до РКЦ l=351,5м</v>
      </c>
      <c r="D156" s="124" t="str">
        <f>'[2]2021 УГРЦТ'!C158</f>
        <v>ПЕРЕДАЧА</v>
      </c>
      <c r="E156" s="124" t="str">
        <f>'[2]2021 УГРЦТ'!D158</f>
        <v>Сооружения</v>
      </c>
      <c r="F156" s="124" t="str">
        <f>'[2]2021 УГРЦТ'!E158</f>
        <v>28.02.2002</v>
      </c>
      <c r="G156" s="124" t="str">
        <f>'[2]2021 УГРЦТ'!F158</f>
        <v>Цех электрических сетей</v>
      </c>
      <c r="H156" s="124">
        <f>'[2]2021 УГРЦТ'!AC158</f>
        <v>303</v>
      </c>
      <c r="I156" s="107">
        <f>'[2]2021 УГРЦТ'!X158</f>
        <v>270473</v>
      </c>
      <c r="J156" s="107">
        <f>'[2]2021 УГРЦТ'!Y158</f>
        <v>212486.411980198</v>
      </c>
      <c r="K156" s="107">
        <f>'[2]2021 УГРЦТ'!Z158</f>
        <v>57986.588019802002</v>
      </c>
      <c r="L156" s="125" t="e">
        <f>SUMIF([2]облаг!$B$2:$B$259,B156,[2]облаг!$D$2:$D$259)</f>
        <v>#VALUE!</v>
      </c>
      <c r="M156" s="107">
        <f t="shared" si="120"/>
        <v>892.65016501650166</v>
      </c>
      <c r="N156" s="107">
        <f t="shared" si="121"/>
        <v>10711.801980198019</v>
      </c>
      <c r="O156" s="107">
        <f t="shared" si="122"/>
        <v>57093.937854785501</v>
      </c>
      <c r="P156" s="107">
        <f t="shared" si="123"/>
        <v>56201.287689769</v>
      </c>
      <c r="Q156" s="107">
        <f t="shared" ref="Q156:Q219" si="149">P156-M156</f>
        <v>55308.637524752499</v>
      </c>
      <c r="R156" s="107">
        <f t="shared" ref="R156:R219" si="150">Q156-M156</f>
        <v>54415.987359735998</v>
      </c>
      <c r="S156" s="107">
        <f t="shared" ref="S156:S219" si="151">R156-M156</f>
        <v>53523.337194719497</v>
      </c>
      <c r="T156" s="107">
        <f t="shared" ref="T156:T219" si="152">S156-M156</f>
        <v>52630.687029702996</v>
      </c>
      <c r="U156" s="107">
        <f t="shared" ref="U156:U219" si="153">T156-M156</f>
        <v>51738.036864686495</v>
      </c>
      <c r="V156" s="107">
        <f t="shared" ref="V156:V219" si="154">U156-M156</f>
        <v>50845.386699669994</v>
      </c>
      <c r="W156" s="107">
        <f t="shared" ref="W156:W219" si="155">V156-M156</f>
        <v>49952.736534653493</v>
      </c>
      <c r="X156" s="107">
        <f t="shared" ref="X156:X219" si="156">W156-M156</f>
        <v>49060.086369636992</v>
      </c>
      <c r="Y156" s="107">
        <f t="shared" ref="Y156:Y219" si="157">X156-M156</f>
        <v>48167.436204620491</v>
      </c>
      <c r="Z156" s="107">
        <f t="shared" ref="Z156:Z219" si="158">Y156-M156</f>
        <v>47274.786039603991</v>
      </c>
      <c r="AA156" s="107">
        <f>SUM(O156:Z156,K156)/13*$AA$2</f>
        <v>1157.875114653466</v>
      </c>
      <c r="AB156" s="107"/>
      <c r="AC156" s="107">
        <f t="shared" ref="AC156:AC219" si="159">M156*12</f>
        <v>10711.801980198019</v>
      </c>
      <c r="AD156" s="107">
        <f t="shared" ref="AD156:AD219" si="160">Z156-M156</f>
        <v>46382.13587458749</v>
      </c>
      <c r="AE156" s="107">
        <f t="shared" ref="AE156:AE219" si="161">AD156-M156</f>
        <v>45489.485709570989</v>
      </c>
      <c r="AF156" s="107">
        <f t="shared" ref="AF156:AF219" si="162">AE156-M156</f>
        <v>44596.835544554488</v>
      </c>
      <c r="AG156" s="107">
        <f t="shared" ref="AG156:AG219" si="163">AF156-M156</f>
        <v>43704.185379537987</v>
      </c>
      <c r="AH156" s="107">
        <f t="shared" ref="AH156:AH219" si="164">AG156-M156</f>
        <v>42811.535214521486</v>
      </c>
      <c r="AI156" s="107">
        <f t="shared" ref="AI156:AI219" si="165">AH156-M156</f>
        <v>41918.885049504985</v>
      </c>
      <c r="AJ156" s="107">
        <f t="shared" ref="AJ156:AJ219" si="166">AI156-M156</f>
        <v>41026.234884488484</v>
      </c>
      <c r="AK156" s="107">
        <f t="shared" ref="AK156:AK219" si="167">AJ156-M156</f>
        <v>40133.584719471983</v>
      </c>
      <c r="AL156" s="107">
        <f t="shared" ref="AL156:AL219" si="168">AK156-M156</f>
        <v>39240.934554455482</v>
      </c>
      <c r="AM156" s="107">
        <f t="shared" ref="AM156:AM219" si="169">AL156-M156</f>
        <v>38348.284389438981</v>
      </c>
      <c r="AN156" s="107">
        <f t="shared" ref="AN156:AN219" si="170">AM156-M156</f>
        <v>37455.63422442248</v>
      </c>
      <c r="AO156" s="107">
        <f t="shared" ref="AO156:AO219" si="171">AN156-M156</f>
        <v>36562.984059405979</v>
      </c>
      <c r="AP156" s="107">
        <f t="shared" ref="AP156:AP160" si="172">SUM(AD156:AO156,Z156)/13*$AP$2</f>
        <v>922.21547108910943</v>
      </c>
      <c r="AQ156" s="126"/>
      <c r="AR156" s="107">
        <f t="shared" ref="AR156:AR219" si="173">M156*12</f>
        <v>10711.801980198019</v>
      </c>
      <c r="AS156" s="107">
        <f t="shared" ref="AS156:AS190" si="174">AO156-M156</f>
        <v>35670.333894389478</v>
      </c>
      <c r="AT156" s="107">
        <f t="shared" ref="AT156:AT190" si="175">AS156-M156</f>
        <v>34777.683729372977</v>
      </c>
      <c r="AU156" s="107">
        <f t="shared" ref="AU156:AU190" si="176">AT156-M156</f>
        <v>33885.033564356476</v>
      </c>
      <c r="AV156" s="107">
        <f t="shared" ref="AV156:AV190" si="177">AU156-M156</f>
        <v>32992.383399339975</v>
      </c>
      <c r="AW156" s="107">
        <f t="shared" ref="AW156:AW190" si="178">AV156-M156</f>
        <v>32099.733234323474</v>
      </c>
      <c r="AX156" s="107">
        <f t="shared" ref="AX156:AX190" si="179">AW156-M156</f>
        <v>31207.083069306973</v>
      </c>
      <c r="AY156" s="107">
        <f t="shared" ref="AY156:AY190" si="180">AX156-M156</f>
        <v>30314.432904290472</v>
      </c>
      <c r="AZ156" s="107">
        <f t="shared" ref="AZ156:AZ190" si="181">AY156-M156</f>
        <v>29421.782739273971</v>
      </c>
      <c r="BA156" s="107">
        <f t="shared" ref="BA156:BA190" si="182">AZ156-M156</f>
        <v>28529.13257425747</v>
      </c>
      <c r="BB156" s="107">
        <f t="shared" ref="BB156:BB190" si="183">BA156-M156</f>
        <v>27636.482409240969</v>
      </c>
      <c r="BC156" s="107">
        <f t="shared" ref="BC156:BC190" si="184">BB156-M156</f>
        <v>26743.832244224468</v>
      </c>
      <c r="BD156" s="107">
        <f t="shared" ref="BD156:BD190" si="185">BC156-M156</f>
        <v>25851.182079207967</v>
      </c>
      <c r="BE156" s="107">
        <f>SUM(AS156:BD156,AO156)/13*$BE$2</f>
        <v>686.55582752475334</v>
      </c>
      <c r="BF156" s="127"/>
      <c r="BG156" s="127"/>
      <c r="BH156" s="127"/>
      <c r="BI156" s="127"/>
      <c r="BJ156" s="127"/>
      <c r="BK156" s="127"/>
      <c r="BL156" s="127"/>
      <c r="BM156" s="127"/>
      <c r="BN156" s="127"/>
      <c r="BO156" s="127"/>
      <c r="BP156" s="127"/>
      <c r="BQ156" s="127"/>
      <c r="BR156" s="127"/>
      <c r="BS156" s="127"/>
      <c r="BT156" s="127"/>
      <c r="BU156" s="127"/>
      <c r="BV156" s="127"/>
      <c r="BW156" s="127"/>
    </row>
    <row r="157" spans="1:75" ht="22.5" hidden="1" x14ac:dyDescent="0.2">
      <c r="A157" s="123" t="str">
        <f>'[2]2021 УГРЦТ'!A159</f>
        <v>1-я кабельная линия КЛ-6кВ 2007г</v>
      </c>
      <c r="B157" s="124" t="str">
        <f>'[2]2021 УГРЦТ'!B159</f>
        <v>00001032</v>
      </c>
      <c r="C157" s="124" t="str">
        <f>VLOOKUP(A:A,'2023-2027'!A:L,1,+FALSE)</f>
        <v>1-я кабельная линия КЛ-6кВ 2007г</v>
      </c>
      <c r="D157" s="124" t="str">
        <f>'[2]2021 УГРЦТ'!C159</f>
        <v>ПЕРЕДАЧА</v>
      </c>
      <c r="E157" s="124" t="str">
        <f>'[2]2021 УГРЦТ'!D159</f>
        <v>Сооружения</v>
      </c>
      <c r="F157" s="124" t="str">
        <f>'[2]2021 УГРЦТ'!E159</f>
        <v>30.04.2007</v>
      </c>
      <c r="G157" s="124" t="str">
        <f>'[2]2021 УГРЦТ'!F159</f>
        <v>Цех электрических сетей</v>
      </c>
      <c r="H157" s="124">
        <f>'[2]2021 УГРЦТ'!AC159</f>
        <v>300</v>
      </c>
      <c r="I157" s="107">
        <v>16516336.91</v>
      </c>
      <c r="J157" s="107">
        <v>9689584.9164000005</v>
      </c>
      <c r="K157" s="107">
        <v>6826751.9935999997</v>
      </c>
      <c r="L157" s="125" t="e">
        <f>SUMIF([2]облаг!$B$2:$B$259,B157,[2]облаг!$D$2:$D$259)</f>
        <v>#VALUE!</v>
      </c>
      <c r="M157" s="107">
        <f t="shared" si="120"/>
        <v>55054.456366666665</v>
      </c>
      <c r="N157" s="107">
        <f t="shared" si="121"/>
        <v>660653.47640000004</v>
      </c>
      <c r="O157" s="107">
        <f t="shared" si="122"/>
        <v>6771697.5372333331</v>
      </c>
      <c r="P157" s="107">
        <f t="shared" si="123"/>
        <v>6716643.0808666665</v>
      </c>
      <c r="Q157" s="107">
        <f t="shared" si="149"/>
        <v>6661588.6244999999</v>
      </c>
      <c r="R157" s="107">
        <f t="shared" si="150"/>
        <v>6606534.1681333333</v>
      </c>
      <c r="S157" s="107">
        <f t="shared" si="151"/>
        <v>6551479.7117666667</v>
      </c>
      <c r="T157" s="107">
        <f t="shared" si="152"/>
        <v>6496425.2554000001</v>
      </c>
      <c r="U157" s="107">
        <f t="shared" si="153"/>
        <v>6441370.7990333335</v>
      </c>
      <c r="V157" s="107">
        <f t="shared" si="154"/>
        <v>6386316.342666667</v>
      </c>
      <c r="W157" s="107">
        <f t="shared" si="155"/>
        <v>6331261.8863000004</v>
      </c>
      <c r="X157" s="107">
        <f t="shared" si="156"/>
        <v>6276207.4299333338</v>
      </c>
      <c r="Y157" s="107">
        <f t="shared" si="157"/>
        <v>6221152.9735666672</v>
      </c>
      <c r="Z157" s="107">
        <f t="shared" si="158"/>
        <v>6166098.5172000006</v>
      </c>
      <c r="AA157" s="107">
        <f>SUM(O157:Z157,K157)/13*$AA$2</f>
        <v>142921.35561880001</v>
      </c>
      <c r="AB157" s="107"/>
      <c r="AC157" s="107">
        <f t="shared" si="159"/>
        <v>660653.47640000004</v>
      </c>
      <c r="AD157" s="107">
        <f t="shared" si="160"/>
        <v>6111044.060833334</v>
      </c>
      <c r="AE157" s="107">
        <f t="shared" si="161"/>
        <v>6055989.6044666674</v>
      </c>
      <c r="AF157" s="107">
        <f t="shared" si="162"/>
        <v>6000935.1481000008</v>
      </c>
      <c r="AG157" s="107">
        <f t="shared" si="163"/>
        <v>5945880.6917333342</v>
      </c>
      <c r="AH157" s="107">
        <f t="shared" si="164"/>
        <v>5890826.2353666676</v>
      </c>
      <c r="AI157" s="107">
        <f t="shared" si="165"/>
        <v>5835771.779000001</v>
      </c>
      <c r="AJ157" s="107">
        <f t="shared" si="166"/>
        <v>5780717.3226333344</v>
      </c>
      <c r="AK157" s="107">
        <f t="shared" si="167"/>
        <v>5725662.8662666678</v>
      </c>
      <c r="AL157" s="107">
        <f t="shared" si="168"/>
        <v>5670608.4099000013</v>
      </c>
      <c r="AM157" s="107">
        <f t="shared" si="169"/>
        <v>5615553.9535333347</v>
      </c>
      <c r="AN157" s="107">
        <f t="shared" si="170"/>
        <v>5560499.4971666681</v>
      </c>
      <c r="AO157" s="107">
        <f t="shared" si="171"/>
        <v>5505445.0408000015</v>
      </c>
      <c r="AP157" s="107">
        <f t="shared" si="172"/>
        <v>128386.979138</v>
      </c>
      <c r="AQ157" s="126"/>
      <c r="AR157" s="107">
        <f t="shared" si="173"/>
        <v>660653.47640000004</v>
      </c>
      <c r="AS157" s="107">
        <f t="shared" si="174"/>
        <v>5450390.5844333349</v>
      </c>
      <c r="AT157" s="107">
        <f t="shared" si="175"/>
        <v>5395336.1280666683</v>
      </c>
      <c r="AU157" s="107">
        <f t="shared" si="176"/>
        <v>5340281.6717000017</v>
      </c>
      <c r="AV157" s="107">
        <f t="shared" si="177"/>
        <v>5285227.2153333351</v>
      </c>
      <c r="AW157" s="107">
        <f t="shared" si="178"/>
        <v>5230172.7589666685</v>
      </c>
      <c r="AX157" s="107">
        <f t="shared" si="179"/>
        <v>5175118.3026000019</v>
      </c>
      <c r="AY157" s="107">
        <f t="shared" si="180"/>
        <v>5120063.8462333353</v>
      </c>
      <c r="AZ157" s="107">
        <f t="shared" si="181"/>
        <v>5065009.3898666687</v>
      </c>
      <c r="BA157" s="107">
        <f t="shared" si="182"/>
        <v>5009954.9335000021</v>
      </c>
      <c r="BB157" s="107">
        <f t="shared" si="183"/>
        <v>4954900.4771333355</v>
      </c>
      <c r="BC157" s="107">
        <f t="shared" si="184"/>
        <v>4899846.020766669</v>
      </c>
      <c r="BD157" s="107">
        <f t="shared" si="185"/>
        <v>4844791.5644000024</v>
      </c>
      <c r="BE157" s="107">
        <f>SUM(AS157:BD157,AO157)/13*$BE$2</f>
        <v>113852.60265720004</v>
      </c>
      <c r="BF157" s="127"/>
      <c r="BG157" s="127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27"/>
    </row>
    <row r="158" spans="1:75" ht="33.75" hidden="1" x14ac:dyDescent="0.2">
      <c r="A158" s="123" t="str">
        <f>'[2]2021 УГРЦТ'!A160</f>
        <v>2КТПБ 1000/6/0,4-УХЛ1  №104 по ул. Авиаторов в районе котельной</v>
      </c>
      <c r="B158" s="124" t="str">
        <f>'[2]2021 УГРЦТ'!B160</f>
        <v>000001607</v>
      </c>
      <c r="C158" s="124" t="str">
        <f>VLOOKUP(A:A,'2023-2027'!A:L,1,+FALSE)</f>
        <v>2КТПБ 1000/6/0,4-УХЛ1  №104 по ул. Авиаторов в районе котельной</v>
      </c>
      <c r="D158" s="124" t="str">
        <f>'[2]2021 УГРЦТ'!C160</f>
        <v>ПЕРЕДАЧА</v>
      </c>
      <c r="E158" s="124" t="str">
        <f>'[2]2021 УГРЦТ'!D160</f>
        <v>Сооружения</v>
      </c>
      <c r="F158" s="124" t="str">
        <f>'[2]2021 УГРЦТ'!E160</f>
        <v>31.01.2014</v>
      </c>
      <c r="G158" s="124" t="str">
        <f>'[2]2021 УГРЦТ'!F160</f>
        <v>Цех электрических сетей</v>
      </c>
      <c r="H158" s="124">
        <f>'[2]2021 УГРЦТ'!AC160</f>
        <v>240</v>
      </c>
      <c r="I158" s="107">
        <f>'[2]2021 УГРЦТ'!X160</f>
        <v>6071038.6600000001</v>
      </c>
      <c r="J158" s="107">
        <f>'[2]2021 УГРЦТ'!Y160</f>
        <v>2400729.9230000004</v>
      </c>
      <c r="K158" s="107">
        <f>'[2]2021 УГРЦТ'!Z160</f>
        <v>3670308.7369999997</v>
      </c>
      <c r="L158" s="125" t="e">
        <f>SUMIF([2]облаг!$B$2:$B$259,B158,[2]облаг!$D$2:$D$259)</f>
        <v>#VALUE!</v>
      </c>
      <c r="M158" s="107">
        <f t="shared" si="120"/>
        <v>25295.994416666668</v>
      </c>
      <c r="N158" s="107">
        <f t="shared" si="121"/>
        <v>303551.93300000002</v>
      </c>
      <c r="O158" s="107">
        <f t="shared" si="122"/>
        <v>3645012.742583333</v>
      </c>
      <c r="P158" s="107">
        <f t="shared" si="123"/>
        <v>3619716.7481666664</v>
      </c>
      <c r="Q158" s="107">
        <f t="shared" si="149"/>
        <v>3594420.7537499997</v>
      </c>
      <c r="R158" s="107">
        <f t="shared" si="150"/>
        <v>3569124.759333333</v>
      </c>
      <c r="S158" s="107">
        <f t="shared" si="151"/>
        <v>3543828.7649166663</v>
      </c>
      <c r="T158" s="107">
        <f t="shared" si="152"/>
        <v>3518532.7704999996</v>
      </c>
      <c r="U158" s="107">
        <f t="shared" si="153"/>
        <v>3493236.776083333</v>
      </c>
      <c r="V158" s="107">
        <f t="shared" si="154"/>
        <v>3467940.7816666663</v>
      </c>
      <c r="W158" s="107">
        <f t="shared" si="155"/>
        <v>3442644.7872499996</v>
      </c>
      <c r="X158" s="107">
        <f t="shared" si="156"/>
        <v>3417348.7928333329</v>
      </c>
      <c r="Y158" s="107">
        <f t="shared" si="157"/>
        <v>3392052.7984166662</v>
      </c>
      <c r="Z158" s="107">
        <f t="shared" si="158"/>
        <v>3366756.8039999995</v>
      </c>
      <c r="AA158" s="107">
        <f>SUM(O158:Z158,K158)/13*$AA$2</f>
        <v>77407.720950999981</v>
      </c>
      <c r="AB158" s="107"/>
      <c r="AC158" s="107">
        <f t="shared" si="159"/>
        <v>303551.93300000002</v>
      </c>
      <c r="AD158" s="107">
        <f t="shared" si="160"/>
        <v>3341460.8095833329</v>
      </c>
      <c r="AE158" s="107">
        <f t="shared" si="161"/>
        <v>3316164.8151666662</v>
      </c>
      <c r="AF158" s="107">
        <f t="shared" si="162"/>
        <v>3290868.8207499995</v>
      </c>
      <c r="AG158" s="107">
        <f t="shared" si="163"/>
        <v>3265572.8263333328</v>
      </c>
      <c r="AH158" s="107">
        <f t="shared" si="164"/>
        <v>3240276.8319166661</v>
      </c>
      <c r="AI158" s="107">
        <f t="shared" si="165"/>
        <v>3214980.8374999994</v>
      </c>
      <c r="AJ158" s="107">
        <f t="shared" si="166"/>
        <v>3189684.8430833328</v>
      </c>
      <c r="AK158" s="107">
        <f t="shared" si="167"/>
        <v>3164388.8486666661</v>
      </c>
      <c r="AL158" s="107">
        <f t="shared" si="168"/>
        <v>3139092.8542499994</v>
      </c>
      <c r="AM158" s="107">
        <f t="shared" si="169"/>
        <v>3113796.8598333327</v>
      </c>
      <c r="AN158" s="107">
        <f t="shared" si="170"/>
        <v>3088500.865416666</v>
      </c>
      <c r="AO158" s="107">
        <f t="shared" si="171"/>
        <v>3063204.8709999993</v>
      </c>
      <c r="AP158" s="107">
        <f t="shared" si="172"/>
        <v>70729.578424999971</v>
      </c>
      <c r="AQ158" s="126"/>
      <c r="AR158" s="107">
        <f t="shared" si="173"/>
        <v>303551.93300000002</v>
      </c>
      <c r="AS158" s="107">
        <f t="shared" si="174"/>
        <v>3037908.8765833327</v>
      </c>
      <c r="AT158" s="107">
        <f t="shared" si="175"/>
        <v>3012612.882166666</v>
      </c>
      <c r="AU158" s="107">
        <f t="shared" si="176"/>
        <v>2987316.8877499993</v>
      </c>
      <c r="AV158" s="107">
        <f t="shared" si="177"/>
        <v>2962020.8933333326</v>
      </c>
      <c r="AW158" s="107">
        <f t="shared" si="178"/>
        <v>2936724.8989166659</v>
      </c>
      <c r="AX158" s="107">
        <f t="shared" si="179"/>
        <v>2911428.9044999992</v>
      </c>
      <c r="AY158" s="107">
        <f t="shared" si="180"/>
        <v>2886132.9100833326</v>
      </c>
      <c r="AZ158" s="107">
        <f t="shared" si="181"/>
        <v>2860836.9156666659</v>
      </c>
      <c r="BA158" s="107">
        <f t="shared" si="182"/>
        <v>2835540.9212499992</v>
      </c>
      <c r="BB158" s="107">
        <f t="shared" si="183"/>
        <v>2810244.9268333325</v>
      </c>
      <c r="BC158" s="107">
        <f t="shared" si="184"/>
        <v>2784948.9324166658</v>
      </c>
      <c r="BD158" s="107">
        <f t="shared" si="185"/>
        <v>2759652.9379999992</v>
      </c>
      <c r="BE158" s="107">
        <f>SUM(AS158:BD158,AO158)/13*$BE$2</f>
        <v>64051.435898999982</v>
      </c>
      <c r="BF158" s="127"/>
      <c r="BG158" s="127"/>
      <c r="BH158" s="127"/>
      <c r="BI158" s="127"/>
      <c r="BJ158" s="127"/>
      <c r="BK158" s="127"/>
      <c r="BL158" s="127"/>
      <c r="BM158" s="127"/>
      <c r="BN158" s="127"/>
      <c r="BO158" s="127"/>
      <c r="BP158" s="127"/>
      <c r="BQ158" s="127"/>
      <c r="BR158" s="127"/>
      <c r="BS158" s="127"/>
      <c r="BT158" s="127"/>
      <c r="BU158" s="127"/>
      <c r="BV158" s="127"/>
      <c r="BW158" s="127"/>
    </row>
    <row r="159" spans="1:75" ht="33.75" hidden="1" x14ac:dyDescent="0.2">
      <c r="A159" s="123" t="str">
        <f>'[2]2021 УГРЦТ'!A161</f>
        <v>2КТПБ 1000/6/0,4-УХЛ1  №105 по ул. Авиаторов в районе жилых домов</v>
      </c>
      <c r="B159" s="124" t="str">
        <f>'[2]2021 УГРЦТ'!B161</f>
        <v>000001608</v>
      </c>
      <c r="C159" s="124" t="str">
        <f>VLOOKUP(A:A,'2023-2027'!A:L,1,+FALSE)</f>
        <v>2КТПБ 1000/6/0,4-УХЛ1  №105 по ул. Авиаторов в районе жилых домов</v>
      </c>
      <c r="D159" s="124" t="str">
        <f>'[2]2021 УГРЦТ'!C161</f>
        <v>ПЕРЕДАЧА</v>
      </c>
      <c r="E159" s="124" t="str">
        <f>'[2]2021 УГРЦТ'!D161</f>
        <v>Сооружения</v>
      </c>
      <c r="F159" s="124" t="str">
        <f>'[2]2021 УГРЦТ'!E161</f>
        <v>31.01.2014</v>
      </c>
      <c r="G159" s="124" t="str">
        <f>'[2]2021 УГРЦТ'!F161</f>
        <v>Цех электрических сетей</v>
      </c>
      <c r="H159" s="124">
        <f>'[2]2021 УГРЦТ'!AC161</f>
        <v>240</v>
      </c>
      <c r="I159" s="107">
        <f>'[2]2021 УГРЦТ'!X161</f>
        <v>6351899.04</v>
      </c>
      <c r="J159" s="107">
        <f>'[2]2021 УГРЦТ'!Y161</f>
        <v>2509564.0019999999</v>
      </c>
      <c r="K159" s="107">
        <f>'[2]2021 УГРЦТ'!Z161</f>
        <v>3842335.0380000002</v>
      </c>
      <c r="L159" s="125" t="e">
        <f>SUMIF([2]облаг!$B$2:$B$259,B159,[2]облаг!$D$2:$D$259)</f>
        <v>#VALUE!</v>
      </c>
      <c r="M159" s="107">
        <f t="shared" si="120"/>
        <v>26466.245999999999</v>
      </c>
      <c r="N159" s="107">
        <f t="shared" si="121"/>
        <v>317594.95199999999</v>
      </c>
      <c r="O159" s="107">
        <f t="shared" si="122"/>
        <v>3815868.7920000004</v>
      </c>
      <c r="P159" s="107">
        <f t="shared" si="123"/>
        <v>3789402.5460000006</v>
      </c>
      <c r="Q159" s="107">
        <f t="shared" si="149"/>
        <v>3762936.3000000007</v>
      </c>
      <c r="R159" s="107">
        <f t="shared" si="150"/>
        <v>3736470.0540000009</v>
      </c>
      <c r="S159" s="107">
        <f t="shared" si="151"/>
        <v>3710003.8080000011</v>
      </c>
      <c r="T159" s="107">
        <f t="shared" si="152"/>
        <v>3683537.5620000013</v>
      </c>
      <c r="U159" s="107">
        <f t="shared" si="153"/>
        <v>3657071.3160000015</v>
      </c>
      <c r="V159" s="107">
        <f t="shared" si="154"/>
        <v>3630605.0700000017</v>
      </c>
      <c r="W159" s="107">
        <f t="shared" si="155"/>
        <v>3604138.8240000019</v>
      </c>
      <c r="X159" s="107">
        <f t="shared" si="156"/>
        <v>3577672.5780000021</v>
      </c>
      <c r="Y159" s="107">
        <f t="shared" si="157"/>
        <v>3551206.3320000023</v>
      </c>
      <c r="Z159" s="107">
        <f t="shared" si="158"/>
        <v>3524740.0860000025</v>
      </c>
      <c r="AA159" s="107">
        <f>SUM(O159:Z159,K159)/13*$AA$2</f>
        <v>81037.826364000022</v>
      </c>
      <c r="AB159" s="107"/>
      <c r="AC159" s="107">
        <f t="shared" si="159"/>
        <v>317594.95199999999</v>
      </c>
      <c r="AD159" s="107">
        <f t="shared" si="160"/>
        <v>3498273.8400000026</v>
      </c>
      <c r="AE159" s="107">
        <f t="shared" si="161"/>
        <v>3471807.5940000028</v>
      </c>
      <c r="AF159" s="107">
        <f t="shared" si="162"/>
        <v>3445341.348000003</v>
      </c>
      <c r="AG159" s="107">
        <f t="shared" si="163"/>
        <v>3418875.1020000032</v>
      </c>
      <c r="AH159" s="107">
        <f t="shared" si="164"/>
        <v>3392408.8560000034</v>
      </c>
      <c r="AI159" s="107">
        <f t="shared" si="165"/>
        <v>3365942.6100000036</v>
      </c>
      <c r="AJ159" s="107">
        <f t="shared" si="166"/>
        <v>3339476.3640000038</v>
      </c>
      <c r="AK159" s="107">
        <f t="shared" si="167"/>
        <v>3313010.118000004</v>
      </c>
      <c r="AL159" s="107">
        <f t="shared" si="168"/>
        <v>3286543.8720000042</v>
      </c>
      <c r="AM159" s="107">
        <f t="shared" si="169"/>
        <v>3260077.6260000044</v>
      </c>
      <c r="AN159" s="107">
        <f t="shared" si="170"/>
        <v>3233611.3800000045</v>
      </c>
      <c r="AO159" s="107">
        <f t="shared" si="171"/>
        <v>3207145.1340000047</v>
      </c>
      <c r="AP159" s="107">
        <f t="shared" si="172"/>
        <v>74050.737420000078</v>
      </c>
      <c r="AQ159" s="126"/>
      <c r="AR159" s="107">
        <f t="shared" si="173"/>
        <v>317594.95199999999</v>
      </c>
      <c r="AS159" s="107">
        <f t="shared" si="174"/>
        <v>3180678.8880000049</v>
      </c>
      <c r="AT159" s="107">
        <f t="shared" si="175"/>
        <v>3154212.6420000051</v>
      </c>
      <c r="AU159" s="107">
        <f t="shared" si="176"/>
        <v>3127746.3960000053</v>
      </c>
      <c r="AV159" s="107">
        <f t="shared" si="177"/>
        <v>3101280.1500000055</v>
      </c>
      <c r="AW159" s="107">
        <f t="shared" si="178"/>
        <v>3074813.9040000057</v>
      </c>
      <c r="AX159" s="107">
        <f t="shared" si="179"/>
        <v>3048347.6580000059</v>
      </c>
      <c r="AY159" s="107">
        <f t="shared" si="180"/>
        <v>3021881.4120000061</v>
      </c>
      <c r="AZ159" s="107">
        <f t="shared" si="181"/>
        <v>2995415.1660000063</v>
      </c>
      <c r="BA159" s="107">
        <f t="shared" si="182"/>
        <v>2968948.9200000064</v>
      </c>
      <c r="BB159" s="107">
        <f t="shared" si="183"/>
        <v>2942482.6740000066</v>
      </c>
      <c r="BC159" s="107">
        <f t="shared" si="184"/>
        <v>2916016.4280000068</v>
      </c>
      <c r="BD159" s="107">
        <f t="shared" si="185"/>
        <v>2889550.182000007</v>
      </c>
      <c r="BE159" s="107">
        <f>SUM(AS159:BD159,AO159)/13*$BE$2</f>
        <v>67063.648476000119</v>
      </c>
      <c r="BF159" s="127"/>
      <c r="BG159" s="127"/>
      <c r="BH159" s="127"/>
      <c r="BI159" s="127"/>
      <c r="BJ159" s="127"/>
      <c r="BK159" s="127"/>
      <c r="BL159" s="127"/>
      <c r="BM159" s="127"/>
      <c r="BN159" s="127"/>
      <c r="BO159" s="127"/>
      <c r="BP159" s="127"/>
      <c r="BQ159" s="127"/>
      <c r="BR159" s="127"/>
      <c r="BS159" s="127"/>
      <c r="BT159" s="127"/>
      <c r="BU159" s="127"/>
      <c r="BV159" s="127"/>
      <c r="BW159" s="127"/>
    </row>
    <row r="160" spans="1:75" ht="22.5" hidden="1" x14ac:dyDescent="0.2">
      <c r="A160" s="123" t="str">
        <f>'[2]2021 УГРЦТ'!A162</f>
        <v>2-я кабельная линия КЛ-6кВ 2007г</v>
      </c>
      <c r="B160" s="124" t="str">
        <f>'[2]2021 УГРЦТ'!B162</f>
        <v>00001033</v>
      </c>
      <c r="C160" s="124" t="str">
        <f>VLOOKUP(A:A,'2023-2027'!A:L,1,+FALSE)</f>
        <v>2-я кабельная линия КЛ-6кВ 2007г</v>
      </c>
      <c r="D160" s="124" t="str">
        <f>'[2]2021 УГРЦТ'!C162</f>
        <v>ПЕРЕДАЧА</v>
      </c>
      <c r="E160" s="124" t="str">
        <f>'[2]2021 УГРЦТ'!D162</f>
        <v>Сооружения</v>
      </c>
      <c r="F160" s="124" t="str">
        <f>'[2]2021 УГРЦТ'!E162</f>
        <v>30.04.2007</v>
      </c>
      <c r="G160" s="124" t="str">
        <f>'[2]2021 УГРЦТ'!F162</f>
        <v>Цех электрических сетей</v>
      </c>
      <c r="H160" s="124">
        <f>'[2]2021 УГРЦТ'!AC162</f>
        <v>300</v>
      </c>
      <c r="I160" s="107">
        <v>16516336.92</v>
      </c>
      <c r="J160" s="107">
        <v>9689584.9167999998</v>
      </c>
      <c r="K160" s="107">
        <v>6826752.0032000002</v>
      </c>
      <c r="L160" s="125" t="e">
        <f>SUMIF([2]облаг!$B$2:$B$259,B160,[2]облаг!$D$2:$D$259)</f>
        <v>#VALUE!</v>
      </c>
      <c r="M160" s="107">
        <f t="shared" si="120"/>
        <v>55054.456400000003</v>
      </c>
      <c r="N160" s="107">
        <f t="shared" si="121"/>
        <v>660653.47680000006</v>
      </c>
      <c r="O160" s="107">
        <f t="shared" si="122"/>
        <v>6771697.5468000006</v>
      </c>
      <c r="P160" s="107">
        <f t="shared" si="123"/>
        <v>6716643.090400001</v>
      </c>
      <c r="Q160" s="107">
        <f t="shared" si="149"/>
        <v>6661588.6340000015</v>
      </c>
      <c r="R160" s="107">
        <f t="shared" si="150"/>
        <v>6606534.1776000019</v>
      </c>
      <c r="S160" s="107">
        <f t="shared" si="151"/>
        <v>6551479.7212000024</v>
      </c>
      <c r="T160" s="107">
        <f t="shared" si="152"/>
        <v>6496425.2648000028</v>
      </c>
      <c r="U160" s="107">
        <f t="shared" si="153"/>
        <v>6441370.8084000032</v>
      </c>
      <c r="V160" s="107">
        <f t="shared" si="154"/>
        <v>6386316.3520000037</v>
      </c>
      <c r="W160" s="107">
        <f t="shared" si="155"/>
        <v>6331261.8956000041</v>
      </c>
      <c r="X160" s="107">
        <f t="shared" si="156"/>
        <v>6276207.4392000046</v>
      </c>
      <c r="Y160" s="107">
        <f t="shared" si="157"/>
        <v>6221152.982800005</v>
      </c>
      <c r="Z160" s="107">
        <f t="shared" si="158"/>
        <v>6166098.5264000054</v>
      </c>
      <c r="AA160" s="107">
        <f>SUM(O160:Z160,K160)/13*$AA$2</f>
        <v>142921.35582560004</v>
      </c>
      <c r="AB160" s="107"/>
      <c r="AC160" s="107">
        <f t="shared" si="159"/>
        <v>660653.47680000006</v>
      </c>
      <c r="AD160" s="107">
        <f t="shared" si="160"/>
        <v>6111044.0700000059</v>
      </c>
      <c r="AE160" s="107">
        <f t="shared" si="161"/>
        <v>6055989.6136000063</v>
      </c>
      <c r="AF160" s="107">
        <f t="shared" si="162"/>
        <v>6000935.1572000068</v>
      </c>
      <c r="AG160" s="107">
        <f t="shared" si="163"/>
        <v>5945880.7008000072</v>
      </c>
      <c r="AH160" s="107">
        <f t="shared" si="164"/>
        <v>5890826.2444000077</v>
      </c>
      <c r="AI160" s="107">
        <f t="shared" si="165"/>
        <v>5835771.7880000081</v>
      </c>
      <c r="AJ160" s="107">
        <f t="shared" si="166"/>
        <v>5780717.3316000085</v>
      </c>
      <c r="AK160" s="107">
        <f t="shared" si="167"/>
        <v>5725662.875200009</v>
      </c>
      <c r="AL160" s="107">
        <f t="shared" si="168"/>
        <v>5670608.4188000094</v>
      </c>
      <c r="AM160" s="107">
        <f t="shared" si="169"/>
        <v>5615553.9624000099</v>
      </c>
      <c r="AN160" s="107">
        <f t="shared" si="170"/>
        <v>5560499.5060000103</v>
      </c>
      <c r="AO160" s="107">
        <f t="shared" si="171"/>
        <v>5505445.0496000107</v>
      </c>
      <c r="AP160" s="107">
        <f t="shared" si="172"/>
        <v>128386.97933600016</v>
      </c>
      <c r="AQ160" s="126"/>
      <c r="AR160" s="107">
        <f t="shared" si="173"/>
        <v>660653.47680000006</v>
      </c>
      <c r="AS160" s="107">
        <f t="shared" si="174"/>
        <v>5450390.5932000112</v>
      </c>
      <c r="AT160" s="107">
        <f t="shared" si="175"/>
        <v>5395336.1368000116</v>
      </c>
      <c r="AU160" s="107">
        <f t="shared" si="176"/>
        <v>5340281.6804000121</v>
      </c>
      <c r="AV160" s="107">
        <f t="shared" si="177"/>
        <v>5285227.2240000125</v>
      </c>
      <c r="AW160" s="107">
        <f t="shared" si="178"/>
        <v>5230172.7676000129</v>
      </c>
      <c r="AX160" s="107">
        <f t="shared" si="179"/>
        <v>5175118.3112000134</v>
      </c>
      <c r="AY160" s="107">
        <f t="shared" si="180"/>
        <v>5120063.8548000138</v>
      </c>
      <c r="AZ160" s="107">
        <f t="shared" si="181"/>
        <v>5065009.3984000143</v>
      </c>
      <c r="BA160" s="107">
        <f t="shared" si="182"/>
        <v>5009954.9420000147</v>
      </c>
      <c r="BB160" s="107">
        <f t="shared" si="183"/>
        <v>4954900.4856000151</v>
      </c>
      <c r="BC160" s="107">
        <f t="shared" si="184"/>
        <v>4899846.0292000156</v>
      </c>
      <c r="BD160" s="107">
        <f t="shared" si="185"/>
        <v>4844791.572800016</v>
      </c>
      <c r="BE160" s="107">
        <f>SUM(AS160:BD160,AO160)/13*$BE$2</f>
        <v>113852.6028464003</v>
      </c>
      <c r="BF160" s="127"/>
      <c r="BG160" s="127"/>
      <c r="BH160" s="127"/>
      <c r="BI160" s="127"/>
      <c r="BJ160" s="127"/>
      <c r="BK160" s="127"/>
      <c r="BL160" s="127"/>
      <c r="BM160" s="127"/>
      <c r="BN160" s="127"/>
      <c r="BO160" s="127"/>
      <c r="BP160" s="127"/>
      <c r="BQ160" s="127"/>
      <c r="BR160" s="127"/>
      <c r="BS160" s="127"/>
      <c r="BT160" s="127"/>
      <c r="BU160" s="127"/>
      <c r="BV160" s="127"/>
      <c r="BW160" s="127"/>
    </row>
    <row r="161" spans="1:75" hidden="1" x14ac:dyDescent="0.2">
      <c r="A161" s="123" t="str">
        <f>'[2]2021 УГРЦТ'!A163</f>
        <v>Автомашина ЗИЛ-131</v>
      </c>
      <c r="B161" s="124" t="str">
        <f>'[2]2021 УГРЦТ'!B163</f>
        <v>00000593</v>
      </c>
      <c r="C161" s="124" t="str">
        <f>VLOOKUP(A:A,'2023-2027'!A:L,1,+FALSE)</f>
        <v>Автомашина ЗИЛ-131</v>
      </c>
      <c r="D161" s="124" t="str">
        <f>'[2]2021 УГРЦТ'!C163</f>
        <v>ПЕРЕДАЧА</v>
      </c>
      <c r="E161" s="124" t="str">
        <f>'[2]2021 УГРЦТ'!D163</f>
        <v>Транспортные средства</v>
      </c>
      <c r="F161" s="124" t="str">
        <f>'[2]2021 УГРЦТ'!E163</f>
        <v>08.04.2002</v>
      </c>
      <c r="G161" s="124" t="str">
        <f>'[2]2021 УГРЦТ'!F163</f>
        <v>Автотранспортный цех</v>
      </c>
      <c r="H161" s="124">
        <f>'[2]2021 УГРЦТ'!AC163</f>
        <v>84</v>
      </c>
      <c r="I161" s="107">
        <f>'[2]2021 УГРЦТ'!X163</f>
        <v>0</v>
      </c>
      <c r="J161" s="107">
        <f>'[2]2021 УГРЦТ'!Y163</f>
        <v>0</v>
      </c>
      <c r="K161" s="107">
        <f>'[2]2021 УГРЦТ'!Z163</f>
        <v>0</v>
      </c>
      <c r="L161" s="125" t="e">
        <f>SUMIF([2]облаг!$B$2:$B$259,B161,[2]облаг!$D$2:$D$259)</f>
        <v>#VALUE!</v>
      </c>
      <c r="M161" s="107">
        <f t="shared" si="120"/>
        <v>0</v>
      </c>
      <c r="N161" s="107">
        <f t="shared" si="121"/>
        <v>0</v>
      </c>
      <c r="O161" s="107">
        <f t="shared" si="122"/>
        <v>0</v>
      </c>
      <c r="P161" s="107">
        <f t="shared" si="123"/>
        <v>0</v>
      </c>
      <c r="Q161" s="107">
        <f t="shared" si="149"/>
        <v>0</v>
      </c>
      <c r="R161" s="107">
        <f t="shared" si="150"/>
        <v>0</v>
      </c>
      <c r="S161" s="107">
        <f t="shared" si="151"/>
        <v>0</v>
      </c>
      <c r="T161" s="107">
        <f t="shared" si="152"/>
        <v>0</v>
      </c>
      <c r="U161" s="107">
        <f t="shared" si="153"/>
        <v>0</v>
      </c>
      <c r="V161" s="107">
        <f t="shared" si="154"/>
        <v>0</v>
      </c>
      <c r="W161" s="107">
        <f t="shared" si="155"/>
        <v>0</v>
      </c>
      <c r="X161" s="107">
        <f t="shared" si="156"/>
        <v>0</v>
      </c>
      <c r="Y161" s="107">
        <f t="shared" si="157"/>
        <v>0</v>
      </c>
      <c r="Z161" s="107">
        <f t="shared" si="158"/>
        <v>0</v>
      </c>
      <c r="AA161" s="107"/>
      <c r="AB161" s="107"/>
      <c r="AC161" s="107">
        <f t="shared" si="159"/>
        <v>0</v>
      </c>
      <c r="AD161" s="107">
        <f t="shared" si="160"/>
        <v>0</v>
      </c>
      <c r="AE161" s="107">
        <f t="shared" si="161"/>
        <v>0</v>
      </c>
      <c r="AF161" s="107">
        <f t="shared" si="162"/>
        <v>0</v>
      </c>
      <c r="AG161" s="107">
        <f t="shared" si="163"/>
        <v>0</v>
      </c>
      <c r="AH161" s="107">
        <f t="shared" si="164"/>
        <v>0</v>
      </c>
      <c r="AI161" s="107">
        <f t="shared" si="165"/>
        <v>0</v>
      </c>
      <c r="AJ161" s="107">
        <f t="shared" si="166"/>
        <v>0</v>
      </c>
      <c r="AK161" s="107">
        <f t="shared" si="167"/>
        <v>0</v>
      </c>
      <c r="AL161" s="107">
        <f t="shared" si="168"/>
        <v>0</v>
      </c>
      <c r="AM161" s="107">
        <f t="shared" si="169"/>
        <v>0</v>
      </c>
      <c r="AN161" s="107">
        <f t="shared" si="170"/>
        <v>0</v>
      </c>
      <c r="AO161" s="107">
        <f t="shared" si="171"/>
        <v>0</v>
      </c>
      <c r="AP161" s="107"/>
      <c r="AQ161" s="126"/>
      <c r="AR161" s="107">
        <f t="shared" si="173"/>
        <v>0</v>
      </c>
      <c r="AS161" s="107">
        <f t="shared" si="174"/>
        <v>0</v>
      </c>
      <c r="AT161" s="107">
        <f t="shared" si="175"/>
        <v>0</v>
      </c>
      <c r="AU161" s="107">
        <f t="shared" si="176"/>
        <v>0</v>
      </c>
      <c r="AV161" s="107">
        <f t="shared" si="177"/>
        <v>0</v>
      </c>
      <c r="AW161" s="107">
        <f t="shared" si="178"/>
        <v>0</v>
      </c>
      <c r="AX161" s="107">
        <f t="shared" si="179"/>
        <v>0</v>
      </c>
      <c r="AY161" s="107">
        <f t="shared" si="180"/>
        <v>0</v>
      </c>
      <c r="AZ161" s="107">
        <f t="shared" si="181"/>
        <v>0</v>
      </c>
      <c r="BA161" s="107">
        <f t="shared" si="182"/>
        <v>0</v>
      </c>
      <c r="BB161" s="107">
        <f t="shared" si="183"/>
        <v>0</v>
      </c>
      <c r="BC161" s="107">
        <f t="shared" si="184"/>
        <v>0</v>
      </c>
      <c r="BD161" s="107">
        <f t="shared" si="185"/>
        <v>0</v>
      </c>
      <c r="BE161" s="124"/>
    </row>
    <row r="162" spans="1:75" ht="56.25" hidden="1" x14ac:dyDescent="0.2">
      <c r="A162" s="123" t="str">
        <f>'[2]2021 УГРЦТ'!A164</f>
        <v>Автомобиль бортовой с г/м Чайка-Сервис 2784LW (КМУ Taurus 086A (сер.№А17К042) на базе, а/м КАМАЗ-43118) ш.ХТС431184Н2502321</v>
      </c>
      <c r="B162" s="139" t="str">
        <f>'[2]2021 УГРЦТ'!B164</f>
        <v>000001725</v>
      </c>
      <c r="C162" s="124" t="str">
        <f>VLOOKUP(A:A,'2023-2027'!A:L,1,+FALSE)</f>
        <v>Автомобиль бортовой с г/м Чайка-Сервис 2784LW (КМУ Taurus 086A (сер.№А17К042) на базе, а/м КАМАЗ-43118) ш.ХТС431184Н2502321</v>
      </c>
      <c r="D162" s="124" t="str">
        <f>'[2]2021 УГРЦТ'!C164</f>
        <v>ПЕРЕДАЧА</v>
      </c>
      <c r="E162" s="124" t="str">
        <f>'[2]2021 УГРЦТ'!D164</f>
        <v>Транспортные средства</v>
      </c>
      <c r="F162" s="124" t="str">
        <f>'[2]2021 УГРЦТ'!E164</f>
        <v>29.05.2018</v>
      </c>
      <c r="G162" s="124" t="str">
        <f>'[2]2021 УГРЦТ'!F164</f>
        <v>Автотранспортный цех</v>
      </c>
      <c r="H162" s="124">
        <f>'[2]2021 УГРЦТ'!AC164</f>
        <v>120</v>
      </c>
      <c r="I162" s="107">
        <f>'[2]2021 УГРЦТ'!X164</f>
        <v>6429403.6699999999</v>
      </c>
      <c r="J162" s="107">
        <f>'[2]2021 УГРЦТ'!Y164</f>
        <v>2303869.5269999998</v>
      </c>
      <c r="K162" s="107">
        <f>'[2]2021 УГРЦТ'!Z164</f>
        <v>4125534.1430000002</v>
      </c>
      <c r="L162" s="125" t="e">
        <f>SUMIF([2]облаг!$B$2:$B$259,B162,[2]облаг!$D$2:$D$259)</f>
        <v>#VALUE!</v>
      </c>
      <c r="M162" s="107">
        <f t="shared" si="120"/>
        <v>53578.363916666669</v>
      </c>
      <c r="N162" s="107">
        <f t="shared" si="121"/>
        <v>642940.36700000009</v>
      </c>
      <c r="O162" s="107">
        <f t="shared" si="122"/>
        <v>4071955.7790833334</v>
      </c>
      <c r="P162" s="107">
        <f t="shared" si="123"/>
        <v>4018377.4151666667</v>
      </c>
      <c r="Q162" s="107">
        <f t="shared" si="149"/>
        <v>3964799.05125</v>
      </c>
      <c r="R162" s="107">
        <f t="shared" si="150"/>
        <v>3911220.6873333333</v>
      </c>
      <c r="S162" s="107">
        <f t="shared" si="151"/>
        <v>3857642.3234166666</v>
      </c>
      <c r="T162" s="107">
        <f t="shared" si="152"/>
        <v>3804063.9594999999</v>
      </c>
      <c r="U162" s="107">
        <f t="shared" si="153"/>
        <v>3750485.5955833332</v>
      </c>
      <c r="V162" s="107">
        <f t="shared" si="154"/>
        <v>3696907.2316666665</v>
      </c>
      <c r="W162" s="107">
        <f t="shared" si="155"/>
        <v>3643328.8677499997</v>
      </c>
      <c r="X162" s="107">
        <f t="shared" si="156"/>
        <v>3589750.503833333</v>
      </c>
      <c r="Y162" s="107">
        <f t="shared" si="157"/>
        <v>3536172.1399166663</v>
      </c>
      <c r="Z162" s="107">
        <f t="shared" si="158"/>
        <v>3482593.7759999996</v>
      </c>
      <c r="AA162" s="107"/>
      <c r="AB162" s="107"/>
      <c r="AC162" s="107">
        <f t="shared" si="159"/>
        <v>642940.36700000009</v>
      </c>
      <c r="AD162" s="107">
        <f t="shared" si="160"/>
        <v>3429015.4120833329</v>
      </c>
      <c r="AE162" s="107">
        <f t="shared" si="161"/>
        <v>3375437.0481666662</v>
      </c>
      <c r="AF162" s="107">
        <f t="shared" si="162"/>
        <v>3321858.6842499995</v>
      </c>
      <c r="AG162" s="107">
        <f t="shared" si="163"/>
        <v>3268280.3203333328</v>
      </c>
      <c r="AH162" s="107">
        <f t="shared" si="164"/>
        <v>3214701.956416666</v>
      </c>
      <c r="AI162" s="107">
        <f t="shared" si="165"/>
        <v>3161123.5924999993</v>
      </c>
      <c r="AJ162" s="107">
        <f t="shared" si="166"/>
        <v>3107545.2285833326</v>
      </c>
      <c r="AK162" s="107">
        <f t="shared" si="167"/>
        <v>3053966.8646666659</v>
      </c>
      <c r="AL162" s="107">
        <f t="shared" si="168"/>
        <v>3000388.5007499992</v>
      </c>
      <c r="AM162" s="107">
        <f t="shared" si="169"/>
        <v>2946810.1368333325</v>
      </c>
      <c r="AN162" s="107">
        <f t="shared" si="170"/>
        <v>2893231.7729166658</v>
      </c>
      <c r="AO162" s="107">
        <f t="shared" si="171"/>
        <v>2839653.4089999991</v>
      </c>
      <c r="AP162" s="107"/>
      <c r="AQ162" s="126"/>
      <c r="AR162" s="107">
        <f t="shared" si="173"/>
        <v>642940.36700000009</v>
      </c>
      <c r="AS162" s="107">
        <f t="shared" si="174"/>
        <v>2786075.0450833323</v>
      </c>
      <c r="AT162" s="107">
        <f t="shared" si="175"/>
        <v>2732496.6811666656</v>
      </c>
      <c r="AU162" s="107">
        <f t="shared" si="176"/>
        <v>2678918.3172499989</v>
      </c>
      <c r="AV162" s="107">
        <f t="shared" si="177"/>
        <v>2625339.9533333322</v>
      </c>
      <c r="AW162" s="107">
        <f t="shared" si="178"/>
        <v>2571761.5894166655</v>
      </c>
      <c r="AX162" s="107">
        <f t="shared" si="179"/>
        <v>2518183.2254999988</v>
      </c>
      <c r="AY162" s="107">
        <f t="shared" si="180"/>
        <v>2464604.8615833321</v>
      </c>
      <c r="AZ162" s="107">
        <f t="shared" si="181"/>
        <v>2411026.4976666654</v>
      </c>
      <c r="BA162" s="107">
        <f t="shared" si="182"/>
        <v>2357448.1337499986</v>
      </c>
      <c r="BB162" s="107">
        <f t="shared" si="183"/>
        <v>2303869.7698333319</v>
      </c>
      <c r="BC162" s="107">
        <f t="shared" si="184"/>
        <v>2250291.4059166652</v>
      </c>
      <c r="BD162" s="107">
        <f t="shared" si="185"/>
        <v>2196713.0419999985</v>
      </c>
      <c r="BE162" s="107"/>
      <c r="BF162" s="127"/>
      <c r="BG162" s="127"/>
      <c r="BH162" s="127"/>
      <c r="BI162" s="127"/>
      <c r="BJ162" s="127"/>
      <c r="BK162" s="127"/>
      <c r="BL162" s="127"/>
      <c r="BM162" s="127"/>
      <c r="BN162" s="127"/>
      <c r="BO162" s="127"/>
      <c r="BP162" s="127"/>
      <c r="BQ162" s="127"/>
      <c r="BR162" s="127"/>
      <c r="BS162" s="127"/>
      <c r="BT162" s="127"/>
      <c r="BU162" s="127"/>
      <c r="BV162" s="127"/>
      <c r="BW162" s="127"/>
    </row>
    <row r="163" spans="1:75" ht="33.75" hidden="1" x14ac:dyDescent="0.2">
      <c r="A163" s="123" t="str">
        <f>'[2]2021 УГРЦТ'!A165</f>
        <v>Автомобиль ГАЗ-27527 грузовой фургон цельнометалический (7 мест) VIN: X96275270K0869981</v>
      </c>
      <c r="B163" s="139" t="str">
        <f>'[2]2021 УГРЦТ'!B165</f>
        <v>000001758</v>
      </c>
      <c r="C163" s="124" t="str">
        <f>VLOOKUP(A:A,'2023-2027'!A:L,1,+FALSE)</f>
        <v>Автомобиль ГАЗ-27527 грузовой фургон цельнометалический (7 мест) VIN: X96275270K0869981</v>
      </c>
      <c r="D163" s="124" t="str">
        <f>'[2]2021 УГРЦТ'!C165</f>
        <v>ПЕРЕДАЧА</v>
      </c>
      <c r="E163" s="124" t="str">
        <f>'[2]2021 УГРЦТ'!D165</f>
        <v>Транспортные средства</v>
      </c>
      <c r="F163" s="124" t="str">
        <f>'[2]2021 УГРЦТ'!E165</f>
        <v>27.03.2019</v>
      </c>
      <c r="G163" s="124" t="str">
        <f>'[2]2021 УГРЦТ'!F165</f>
        <v>Автотранспортный цех</v>
      </c>
      <c r="H163" s="124">
        <f>'[2]2021 УГРЦТ'!AC165</f>
        <v>84</v>
      </c>
      <c r="I163" s="107">
        <f>'[2]2021 УГРЦТ'!X165</f>
        <v>890058.33</v>
      </c>
      <c r="J163" s="107">
        <f>'[2]2021 УГРЦТ'!Y165</f>
        <v>349665.72</v>
      </c>
      <c r="K163" s="107">
        <f>'[2]2021 УГРЦТ'!Z165</f>
        <v>540392.61</v>
      </c>
      <c r="L163" s="125" t="e">
        <f>SUMIF([2]облаг!$B$2:$B$259,B163,[2]облаг!$D$2:$D$259)</f>
        <v>#VALUE!</v>
      </c>
      <c r="M163" s="107">
        <f t="shared" si="120"/>
        <v>10595.932499999999</v>
      </c>
      <c r="N163" s="107">
        <f t="shared" si="121"/>
        <v>127151.18999999999</v>
      </c>
      <c r="O163" s="107">
        <f t="shared" si="122"/>
        <v>529796.67749999999</v>
      </c>
      <c r="P163" s="107">
        <f t="shared" si="123"/>
        <v>519200.745</v>
      </c>
      <c r="Q163" s="107">
        <f t="shared" si="149"/>
        <v>508604.8125</v>
      </c>
      <c r="R163" s="107">
        <f t="shared" si="150"/>
        <v>498008.88</v>
      </c>
      <c r="S163" s="107">
        <f t="shared" si="151"/>
        <v>487412.94750000001</v>
      </c>
      <c r="T163" s="107">
        <f t="shared" si="152"/>
        <v>476817.01500000001</v>
      </c>
      <c r="U163" s="107">
        <f t="shared" si="153"/>
        <v>466221.08250000002</v>
      </c>
      <c r="V163" s="107">
        <f t="shared" si="154"/>
        <v>455625.15</v>
      </c>
      <c r="W163" s="107">
        <f t="shared" si="155"/>
        <v>445029.21750000003</v>
      </c>
      <c r="X163" s="107">
        <f t="shared" si="156"/>
        <v>434433.28500000003</v>
      </c>
      <c r="Y163" s="107">
        <f t="shared" si="157"/>
        <v>423837.35250000004</v>
      </c>
      <c r="Z163" s="107">
        <f t="shared" si="158"/>
        <v>413241.42000000004</v>
      </c>
      <c r="AA163" s="107"/>
      <c r="AB163" s="107"/>
      <c r="AC163" s="107">
        <f t="shared" si="159"/>
        <v>127151.18999999999</v>
      </c>
      <c r="AD163" s="107">
        <f t="shared" si="160"/>
        <v>402645.48750000005</v>
      </c>
      <c r="AE163" s="107">
        <f t="shared" si="161"/>
        <v>392049.55500000005</v>
      </c>
      <c r="AF163" s="107">
        <f t="shared" si="162"/>
        <v>381453.62250000006</v>
      </c>
      <c r="AG163" s="107">
        <f t="shared" si="163"/>
        <v>370857.69000000006</v>
      </c>
      <c r="AH163" s="107">
        <f t="shared" si="164"/>
        <v>360261.75750000007</v>
      </c>
      <c r="AI163" s="107">
        <f t="shared" si="165"/>
        <v>349665.82500000007</v>
      </c>
      <c r="AJ163" s="107">
        <f t="shared" si="166"/>
        <v>339069.89250000007</v>
      </c>
      <c r="AK163" s="107">
        <f t="shared" si="167"/>
        <v>328473.96000000008</v>
      </c>
      <c r="AL163" s="107">
        <f t="shared" si="168"/>
        <v>317878.02750000008</v>
      </c>
      <c r="AM163" s="107">
        <f t="shared" si="169"/>
        <v>307282.09500000009</v>
      </c>
      <c r="AN163" s="107">
        <f t="shared" si="170"/>
        <v>296686.16250000009</v>
      </c>
      <c r="AO163" s="107">
        <f t="shared" si="171"/>
        <v>286090.2300000001</v>
      </c>
      <c r="AP163" s="107"/>
      <c r="AQ163" s="126"/>
      <c r="AR163" s="107">
        <f t="shared" si="173"/>
        <v>127151.18999999999</v>
      </c>
      <c r="AS163" s="107">
        <f t="shared" si="174"/>
        <v>275494.2975000001</v>
      </c>
      <c r="AT163" s="107">
        <f t="shared" si="175"/>
        <v>264898.36500000011</v>
      </c>
      <c r="AU163" s="107">
        <f t="shared" si="176"/>
        <v>254302.43250000011</v>
      </c>
      <c r="AV163" s="107">
        <f t="shared" si="177"/>
        <v>243706.50000000012</v>
      </c>
      <c r="AW163" s="107">
        <f t="shared" si="178"/>
        <v>233110.56750000012</v>
      </c>
      <c r="AX163" s="107">
        <f t="shared" si="179"/>
        <v>222514.63500000013</v>
      </c>
      <c r="AY163" s="107">
        <f t="shared" si="180"/>
        <v>211918.70250000013</v>
      </c>
      <c r="AZ163" s="107">
        <f t="shared" si="181"/>
        <v>201322.77000000014</v>
      </c>
      <c r="BA163" s="107">
        <f t="shared" si="182"/>
        <v>190726.83750000014</v>
      </c>
      <c r="BB163" s="107">
        <f t="shared" si="183"/>
        <v>180130.90500000014</v>
      </c>
      <c r="BC163" s="107">
        <f t="shared" si="184"/>
        <v>169534.97250000015</v>
      </c>
      <c r="BD163" s="107">
        <f t="shared" si="185"/>
        <v>158939.04000000015</v>
      </c>
      <c r="BE163" s="10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</row>
    <row r="164" spans="1:75" ht="33.75" hidden="1" x14ac:dyDescent="0.2">
      <c r="A164" s="123" t="str">
        <f>'[2]2021 УГРЦТ'!A166</f>
        <v>Автомобиль ГАЗ-27527 грузовой фургон цельнометалический (7 мест) VIN: X96275270K0870291</v>
      </c>
      <c r="B164" s="139" t="str">
        <f>'[2]2021 УГРЦТ'!B166</f>
        <v>000001760</v>
      </c>
      <c r="C164" s="124" t="str">
        <f>VLOOKUP(A:A,'2023-2027'!A:L,1,+FALSE)</f>
        <v>Автомобиль ГАЗ-27527 грузовой фургон цельнометалический (7 мест) VIN: X96275270K0870291</v>
      </c>
      <c r="D164" s="124" t="str">
        <f>'[2]2021 УГРЦТ'!C166</f>
        <v>ПЕРЕДАЧА</v>
      </c>
      <c r="E164" s="124" t="str">
        <f>'[2]2021 УГРЦТ'!D166</f>
        <v>Транспортные средства</v>
      </c>
      <c r="F164" s="124" t="str">
        <f>'[2]2021 УГРЦТ'!E166</f>
        <v>27.03.2019</v>
      </c>
      <c r="G164" s="124" t="str">
        <f>'[2]2021 УГРЦТ'!F166</f>
        <v>Автотранспортный цех</v>
      </c>
      <c r="H164" s="124">
        <f>'[2]2021 УГРЦТ'!AC166</f>
        <v>84</v>
      </c>
      <c r="I164" s="107">
        <f>'[2]2021 УГРЦТ'!X166</f>
        <v>890058.33</v>
      </c>
      <c r="J164" s="107">
        <f>'[2]2021 УГРЦТ'!Y166</f>
        <v>349665.72</v>
      </c>
      <c r="K164" s="107">
        <f>'[2]2021 УГРЦТ'!Z166</f>
        <v>540392.61</v>
      </c>
      <c r="L164" s="125" t="e">
        <f>SUMIF([2]облаг!$B$2:$B$259,B164,[2]облаг!$D$2:$D$259)</f>
        <v>#VALUE!</v>
      </c>
      <c r="M164" s="107">
        <f t="shared" si="120"/>
        <v>10595.932499999999</v>
      </c>
      <c r="N164" s="107">
        <f t="shared" si="121"/>
        <v>127151.18999999999</v>
      </c>
      <c r="O164" s="107">
        <f t="shared" si="122"/>
        <v>529796.67749999999</v>
      </c>
      <c r="P164" s="107">
        <f t="shared" si="123"/>
        <v>519200.745</v>
      </c>
      <c r="Q164" s="107">
        <f t="shared" si="149"/>
        <v>508604.8125</v>
      </c>
      <c r="R164" s="107">
        <f t="shared" si="150"/>
        <v>498008.88</v>
      </c>
      <c r="S164" s="107">
        <f t="shared" si="151"/>
        <v>487412.94750000001</v>
      </c>
      <c r="T164" s="107">
        <f t="shared" si="152"/>
        <v>476817.01500000001</v>
      </c>
      <c r="U164" s="107">
        <f t="shared" si="153"/>
        <v>466221.08250000002</v>
      </c>
      <c r="V164" s="107">
        <f t="shared" si="154"/>
        <v>455625.15</v>
      </c>
      <c r="W164" s="107">
        <f t="shared" si="155"/>
        <v>445029.21750000003</v>
      </c>
      <c r="X164" s="107">
        <f t="shared" si="156"/>
        <v>434433.28500000003</v>
      </c>
      <c r="Y164" s="107">
        <f t="shared" si="157"/>
        <v>423837.35250000004</v>
      </c>
      <c r="Z164" s="107">
        <f t="shared" si="158"/>
        <v>413241.42000000004</v>
      </c>
      <c r="AA164" s="107"/>
      <c r="AB164" s="107"/>
      <c r="AC164" s="107">
        <f t="shared" si="159"/>
        <v>127151.18999999999</v>
      </c>
      <c r="AD164" s="107">
        <f t="shared" si="160"/>
        <v>402645.48750000005</v>
      </c>
      <c r="AE164" s="107">
        <f t="shared" si="161"/>
        <v>392049.55500000005</v>
      </c>
      <c r="AF164" s="107">
        <f t="shared" si="162"/>
        <v>381453.62250000006</v>
      </c>
      <c r="AG164" s="107">
        <f t="shared" si="163"/>
        <v>370857.69000000006</v>
      </c>
      <c r="AH164" s="107">
        <f t="shared" si="164"/>
        <v>360261.75750000007</v>
      </c>
      <c r="AI164" s="107">
        <f t="shared" si="165"/>
        <v>349665.82500000007</v>
      </c>
      <c r="AJ164" s="107">
        <f t="shared" si="166"/>
        <v>339069.89250000007</v>
      </c>
      <c r="AK164" s="107">
        <f t="shared" si="167"/>
        <v>328473.96000000008</v>
      </c>
      <c r="AL164" s="107">
        <f t="shared" si="168"/>
        <v>317878.02750000008</v>
      </c>
      <c r="AM164" s="107">
        <f t="shared" si="169"/>
        <v>307282.09500000009</v>
      </c>
      <c r="AN164" s="107">
        <f t="shared" si="170"/>
        <v>296686.16250000009</v>
      </c>
      <c r="AO164" s="107">
        <f t="shared" si="171"/>
        <v>286090.2300000001</v>
      </c>
      <c r="AP164" s="107"/>
      <c r="AQ164" s="126"/>
      <c r="AR164" s="107">
        <f t="shared" si="173"/>
        <v>127151.18999999999</v>
      </c>
      <c r="AS164" s="107">
        <f t="shared" si="174"/>
        <v>275494.2975000001</v>
      </c>
      <c r="AT164" s="107">
        <f t="shared" si="175"/>
        <v>264898.36500000011</v>
      </c>
      <c r="AU164" s="107">
        <f t="shared" si="176"/>
        <v>254302.43250000011</v>
      </c>
      <c r="AV164" s="107">
        <f t="shared" si="177"/>
        <v>243706.50000000012</v>
      </c>
      <c r="AW164" s="107">
        <f t="shared" si="178"/>
        <v>233110.56750000012</v>
      </c>
      <c r="AX164" s="107">
        <f t="shared" si="179"/>
        <v>222514.63500000013</v>
      </c>
      <c r="AY164" s="107">
        <f t="shared" si="180"/>
        <v>211918.70250000013</v>
      </c>
      <c r="AZ164" s="107">
        <f t="shared" si="181"/>
        <v>201322.77000000014</v>
      </c>
      <c r="BA164" s="107">
        <f t="shared" si="182"/>
        <v>190726.83750000014</v>
      </c>
      <c r="BB164" s="107">
        <f t="shared" si="183"/>
        <v>180130.90500000014</v>
      </c>
      <c r="BC164" s="107">
        <f t="shared" si="184"/>
        <v>169534.97250000015</v>
      </c>
      <c r="BD164" s="107">
        <f t="shared" si="185"/>
        <v>158939.04000000015</v>
      </c>
      <c r="BE164" s="107"/>
      <c r="BF164" s="127"/>
      <c r="BG164" s="127"/>
      <c r="BH164" s="127"/>
      <c r="BI164" s="127"/>
      <c r="BJ164" s="127"/>
      <c r="BK164" s="127"/>
      <c r="BL164" s="127"/>
      <c r="BM164" s="127"/>
      <c r="BN164" s="127"/>
      <c r="BO164" s="127"/>
      <c r="BP164" s="127"/>
      <c r="BQ164" s="127"/>
      <c r="BR164" s="127"/>
      <c r="BS164" s="127"/>
      <c r="BT164" s="127"/>
      <c r="BU164" s="127"/>
      <c r="BV164" s="127"/>
    </row>
    <row r="165" spans="1:75" ht="33.75" hidden="1" x14ac:dyDescent="0.2">
      <c r="A165" s="123" t="str">
        <f>'[2]2021 УГРЦТ'!A167</f>
        <v>Автомобиль ГАЗ-27527 грузовой фургон цельнометалический (7 мест) VIN: X96275270K0870721</v>
      </c>
      <c r="B165" s="139" t="str">
        <f>'[2]2021 УГРЦТ'!B167</f>
        <v>000001759</v>
      </c>
      <c r="C165" s="124" t="str">
        <f>VLOOKUP(A:A,'2023-2027'!A:L,1,+FALSE)</f>
        <v>Автомобиль ГАЗ-27527 грузовой фургон цельнометалический (7 мест) VIN: X96275270K0870721</v>
      </c>
      <c r="D165" s="124" t="str">
        <f>'[2]2021 УГРЦТ'!C167</f>
        <v>ПЕРЕДАЧА</v>
      </c>
      <c r="E165" s="124" t="str">
        <f>'[2]2021 УГРЦТ'!D167</f>
        <v>Транспортные средства</v>
      </c>
      <c r="F165" s="124" t="str">
        <f>'[2]2021 УГРЦТ'!E167</f>
        <v>27.03.2019</v>
      </c>
      <c r="G165" s="124" t="str">
        <f>'[2]2021 УГРЦТ'!F167</f>
        <v>Автотранспортный цех</v>
      </c>
      <c r="H165" s="124">
        <f>'[2]2021 УГРЦТ'!AC167</f>
        <v>84</v>
      </c>
      <c r="I165" s="107">
        <f>'[2]2021 УГРЦТ'!X167</f>
        <v>890058.33</v>
      </c>
      <c r="J165" s="107">
        <f>'[2]2021 УГРЦТ'!Y167</f>
        <v>349665.72</v>
      </c>
      <c r="K165" s="107">
        <f>'[2]2021 УГРЦТ'!Z167</f>
        <v>540392.61</v>
      </c>
      <c r="L165" s="125" t="e">
        <f>SUMIF([2]облаг!$B$2:$B$259,B165,[2]облаг!$D$2:$D$259)</f>
        <v>#VALUE!</v>
      </c>
      <c r="M165" s="107">
        <f t="shared" si="120"/>
        <v>10595.932499999999</v>
      </c>
      <c r="N165" s="107">
        <f t="shared" si="121"/>
        <v>127151.18999999999</v>
      </c>
      <c r="O165" s="107">
        <f t="shared" si="122"/>
        <v>529796.67749999999</v>
      </c>
      <c r="P165" s="107">
        <f t="shared" si="123"/>
        <v>519200.745</v>
      </c>
      <c r="Q165" s="107">
        <f t="shared" si="149"/>
        <v>508604.8125</v>
      </c>
      <c r="R165" s="107">
        <f t="shared" si="150"/>
        <v>498008.88</v>
      </c>
      <c r="S165" s="107">
        <f t="shared" si="151"/>
        <v>487412.94750000001</v>
      </c>
      <c r="T165" s="107">
        <f t="shared" si="152"/>
        <v>476817.01500000001</v>
      </c>
      <c r="U165" s="107">
        <f t="shared" si="153"/>
        <v>466221.08250000002</v>
      </c>
      <c r="V165" s="107">
        <f t="shared" si="154"/>
        <v>455625.15</v>
      </c>
      <c r="W165" s="107">
        <f t="shared" si="155"/>
        <v>445029.21750000003</v>
      </c>
      <c r="X165" s="107">
        <f t="shared" si="156"/>
        <v>434433.28500000003</v>
      </c>
      <c r="Y165" s="107">
        <f t="shared" si="157"/>
        <v>423837.35250000004</v>
      </c>
      <c r="Z165" s="107">
        <f t="shared" si="158"/>
        <v>413241.42000000004</v>
      </c>
      <c r="AA165" s="107"/>
      <c r="AB165" s="107"/>
      <c r="AC165" s="107">
        <f t="shared" si="159"/>
        <v>127151.18999999999</v>
      </c>
      <c r="AD165" s="107">
        <f t="shared" si="160"/>
        <v>402645.48750000005</v>
      </c>
      <c r="AE165" s="107">
        <f t="shared" si="161"/>
        <v>392049.55500000005</v>
      </c>
      <c r="AF165" s="107">
        <f t="shared" si="162"/>
        <v>381453.62250000006</v>
      </c>
      <c r="AG165" s="107">
        <f t="shared" si="163"/>
        <v>370857.69000000006</v>
      </c>
      <c r="AH165" s="107">
        <f t="shared" si="164"/>
        <v>360261.75750000007</v>
      </c>
      <c r="AI165" s="107">
        <f t="shared" si="165"/>
        <v>349665.82500000007</v>
      </c>
      <c r="AJ165" s="107">
        <f t="shared" si="166"/>
        <v>339069.89250000007</v>
      </c>
      <c r="AK165" s="107">
        <f t="shared" si="167"/>
        <v>328473.96000000008</v>
      </c>
      <c r="AL165" s="107">
        <f t="shared" si="168"/>
        <v>317878.02750000008</v>
      </c>
      <c r="AM165" s="107">
        <f t="shared" si="169"/>
        <v>307282.09500000009</v>
      </c>
      <c r="AN165" s="107">
        <f t="shared" si="170"/>
        <v>296686.16250000009</v>
      </c>
      <c r="AO165" s="107">
        <f t="shared" si="171"/>
        <v>286090.2300000001</v>
      </c>
      <c r="AP165" s="107"/>
      <c r="AQ165" s="126"/>
      <c r="AR165" s="107">
        <f t="shared" si="173"/>
        <v>127151.18999999999</v>
      </c>
      <c r="AS165" s="107">
        <f t="shared" si="174"/>
        <v>275494.2975000001</v>
      </c>
      <c r="AT165" s="107">
        <f t="shared" si="175"/>
        <v>264898.36500000011</v>
      </c>
      <c r="AU165" s="107">
        <f t="shared" si="176"/>
        <v>254302.43250000011</v>
      </c>
      <c r="AV165" s="107">
        <f t="shared" si="177"/>
        <v>243706.50000000012</v>
      </c>
      <c r="AW165" s="107">
        <f t="shared" si="178"/>
        <v>233110.56750000012</v>
      </c>
      <c r="AX165" s="107">
        <f t="shared" si="179"/>
        <v>222514.63500000013</v>
      </c>
      <c r="AY165" s="107">
        <f t="shared" si="180"/>
        <v>211918.70250000013</v>
      </c>
      <c r="AZ165" s="107">
        <f t="shared" si="181"/>
        <v>201322.77000000014</v>
      </c>
      <c r="BA165" s="107">
        <f t="shared" si="182"/>
        <v>190726.83750000014</v>
      </c>
      <c r="BB165" s="107">
        <f t="shared" si="183"/>
        <v>180130.90500000014</v>
      </c>
      <c r="BC165" s="107">
        <f t="shared" si="184"/>
        <v>169534.97250000015</v>
      </c>
      <c r="BD165" s="107">
        <f t="shared" si="185"/>
        <v>158939.04000000015</v>
      </c>
      <c r="BE165" s="107"/>
      <c r="BF165" s="127"/>
      <c r="BG165" s="127"/>
      <c r="BH165" s="127"/>
      <c r="BI165" s="127"/>
      <c r="BJ165" s="127"/>
      <c r="BK165" s="127"/>
      <c r="BL165" s="127"/>
      <c r="BM165" s="127"/>
      <c r="BN165" s="127"/>
      <c r="BO165" s="127"/>
      <c r="BP165" s="127"/>
      <c r="BQ165" s="127"/>
      <c r="BR165" s="127"/>
      <c r="BS165" s="127"/>
      <c r="BT165" s="127"/>
      <c r="BU165" s="127"/>
      <c r="BV165" s="127"/>
    </row>
    <row r="166" spans="1:75" hidden="1" x14ac:dyDescent="0.2">
      <c r="A166" s="123" t="str">
        <f>'[2]2021 УГРЦТ'!A168</f>
        <v>Автоподъемник АП-17А-07 2004г</v>
      </c>
      <c r="B166" s="124" t="str">
        <f>'[2]2021 УГРЦТ'!B168</f>
        <v>00000750</v>
      </c>
      <c r="C166" s="124" t="str">
        <f>VLOOKUP(A:A,'2023-2027'!A:L,1,+FALSE)</f>
        <v>Автоподъемник АП-17А-07 2004г</v>
      </c>
      <c r="D166" s="124" t="str">
        <f>'[2]2021 УГРЦТ'!C168</f>
        <v>ПЕРЕДАЧА</v>
      </c>
      <c r="E166" s="124" t="str">
        <f>'[2]2021 УГРЦТ'!D168</f>
        <v>Транспортные средства</v>
      </c>
      <c r="F166" s="124" t="str">
        <f>'[2]2021 УГРЦТ'!E168</f>
        <v>31.07.2004</v>
      </c>
      <c r="G166" s="124" t="str">
        <f>'[2]2021 УГРЦТ'!F168</f>
        <v>Автотранспортный цех</v>
      </c>
      <c r="H166" s="124">
        <f>'[2]2021 УГРЦТ'!AC168</f>
        <v>120</v>
      </c>
      <c r="I166" s="107">
        <f>'[2]2021 УГРЦТ'!X168</f>
        <v>0</v>
      </c>
      <c r="J166" s="107">
        <f>'[2]2021 УГРЦТ'!Y168</f>
        <v>0</v>
      </c>
      <c r="K166" s="107">
        <f>'[2]2021 УГРЦТ'!Z168</f>
        <v>0</v>
      </c>
      <c r="L166" s="125" t="e">
        <f>SUMIF([2]облаг!$B$2:$B$259,B166,[2]облаг!$D$2:$D$259)</f>
        <v>#VALUE!</v>
      </c>
      <c r="M166" s="107">
        <f t="shared" si="120"/>
        <v>0</v>
      </c>
      <c r="N166" s="107">
        <f t="shared" si="121"/>
        <v>0</v>
      </c>
      <c r="O166" s="107">
        <f t="shared" si="122"/>
        <v>0</v>
      </c>
      <c r="P166" s="107">
        <f t="shared" si="123"/>
        <v>0</v>
      </c>
      <c r="Q166" s="107">
        <f t="shared" si="149"/>
        <v>0</v>
      </c>
      <c r="R166" s="107">
        <f t="shared" si="150"/>
        <v>0</v>
      </c>
      <c r="S166" s="107">
        <f t="shared" si="151"/>
        <v>0</v>
      </c>
      <c r="T166" s="107">
        <f t="shared" si="152"/>
        <v>0</v>
      </c>
      <c r="U166" s="107">
        <f t="shared" si="153"/>
        <v>0</v>
      </c>
      <c r="V166" s="107">
        <f t="shared" si="154"/>
        <v>0</v>
      </c>
      <c r="W166" s="107">
        <f t="shared" si="155"/>
        <v>0</v>
      </c>
      <c r="X166" s="107">
        <f t="shared" si="156"/>
        <v>0</v>
      </c>
      <c r="Y166" s="107">
        <f t="shared" si="157"/>
        <v>0</v>
      </c>
      <c r="Z166" s="107">
        <f t="shared" si="158"/>
        <v>0</v>
      </c>
      <c r="AA166" s="107"/>
      <c r="AB166" s="107"/>
      <c r="AC166" s="107">
        <f t="shared" si="159"/>
        <v>0</v>
      </c>
      <c r="AD166" s="107">
        <f t="shared" si="160"/>
        <v>0</v>
      </c>
      <c r="AE166" s="107">
        <f t="shared" si="161"/>
        <v>0</v>
      </c>
      <c r="AF166" s="107">
        <f t="shared" si="162"/>
        <v>0</v>
      </c>
      <c r="AG166" s="107">
        <f t="shared" si="163"/>
        <v>0</v>
      </c>
      <c r="AH166" s="107">
        <f t="shared" si="164"/>
        <v>0</v>
      </c>
      <c r="AI166" s="107">
        <f t="shared" si="165"/>
        <v>0</v>
      </c>
      <c r="AJ166" s="107">
        <f t="shared" si="166"/>
        <v>0</v>
      </c>
      <c r="AK166" s="107">
        <f t="shared" si="167"/>
        <v>0</v>
      </c>
      <c r="AL166" s="107">
        <f t="shared" si="168"/>
        <v>0</v>
      </c>
      <c r="AM166" s="107">
        <f t="shared" si="169"/>
        <v>0</v>
      </c>
      <c r="AN166" s="107">
        <f t="shared" si="170"/>
        <v>0</v>
      </c>
      <c r="AO166" s="107">
        <f t="shared" si="171"/>
        <v>0</v>
      </c>
      <c r="AP166" s="107"/>
      <c r="AQ166" s="126"/>
      <c r="AR166" s="107">
        <f t="shared" si="173"/>
        <v>0</v>
      </c>
      <c r="AS166" s="107">
        <f t="shared" si="174"/>
        <v>0</v>
      </c>
      <c r="AT166" s="107">
        <f t="shared" si="175"/>
        <v>0</v>
      </c>
      <c r="AU166" s="107">
        <f t="shared" si="176"/>
        <v>0</v>
      </c>
      <c r="AV166" s="107">
        <f t="shared" si="177"/>
        <v>0</v>
      </c>
      <c r="AW166" s="107">
        <f t="shared" si="178"/>
        <v>0</v>
      </c>
      <c r="AX166" s="107">
        <f t="shared" si="179"/>
        <v>0</v>
      </c>
      <c r="AY166" s="107">
        <f t="shared" si="180"/>
        <v>0</v>
      </c>
      <c r="AZ166" s="107">
        <f t="shared" si="181"/>
        <v>0</v>
      </c>
      <c r="BA166" s="107">
        <f t="shared" si="182"/>
        <v>0</v>
      </c>
      <c r="BB166" s="107">
        <f t="shared" si="183"/>
        <v>0</v>
      </c>
      <c r="BC166" s="107">
        <f t="shared" si="184"/>
        <v>0</v>
      </c>
      <c r="BD166" s="107">
        <f t="shared" si="185"/>
        <v>0</v>
      </c>
      <c r="BE166" s="124"/>
    </row>
    <row r="167" spans="1:75" hidden="1" x14ac:dyDescent="0.2">
      <c r="A167" s="123" t="str">
        <f>'[2]2021 УГРЦТ'!A169</f>
        <v>АП АГП-18 АМ 0451/61  1998г.</v>
      </c>
      <c r="B167" s="124" t="str">
        <f>'[2]2021 УГРЦТ'!B169</f>
        <v>00000028</v>
      </c>
      <c r="C167" s="124" t="str">
        <f>VLOOKUP(A:A,'2023-2027'!A:L,1,+FALSE)</f>
        <v>АП АГП-18 АМ 0451/61  1998г.</v>
      </c>
      <c r="D167" s="124" t="str">
        <f>'[2]2021 УГРЦТ'!C169</f>
        <v>ПЕРЕДАЧА</v>
      </c>
      <c r="E167" s="124" t="str">
        <f>'[2]2021 УГРЦТ'!D169</f>
        <v>Транспортные средства</v>
      </c>
      <c r="F167" s="124" t="str">
        <f>'[2]2021 УГРЦТ'!E169</f>
        <v>30.09.1998</v>
      </c>
      <c r="G167" s="124" t="str">
        <f>'[2]2021 УГРЦТ'!F169</f>
        <v>Автотранспортный цех</v>
      </c>
      <c r="H167" s="124">
        <f>'[2]2021 УГРЦТ'!AC169</f>
        <v>84</v>
      </c>
      <c r="I167" s="107">
        <f>'[2]2021 УГРЦТ'!X169</f>
        <v>0</v>
      </c>
      <c r="J167" s="107">
        <f>'[2]2021 УГРЦТ'!Y169</f>
        <v>0</v>
      </c>
      <c r="K167" s="107">
        <f>'[2]2021 УГРЦТ'!Z169</f>
        <v>0</v>
      </c>
      <c r="L167" s="125" t="e">
        <f>SUMIF([2]облаг!$B$2:$B$259,B167,[2]облаг!$D$2:$D$259)</f>
        <v>#VALUE!</v>
      </c>
      <c r="M167" s="107">
        <f t="shared" si="120"/>
        <v>0</v>
      </c>
      <c r="N167" s="107">
        <f t="shared" si="121"/>
        <v>0</v>
      </c>
      <c r="O167" s="107">
        <f t="shared" si="122"/>
        <v>0</v>
      </c>
      <c r="P167" s="107">
        <f t="shared" si="123"/>
        <v>0</v>
      </c>
      <c r="Q167" s="107">
        <f t="shared" si="149"/>
        <v>0</v>
      </c>
      <c r="R167" s="107">
        <f t="shared" si="150"/>
        <v>0</v>
      </c>
      <c r="S167" s="107">
        <f t="shared" si="151"/>
        <v>0</v>
      </c>
      <c r="T167" s="107">
        <f t="shared" si="152"/>
        <v>0</v>
      </c>
      <c r="U167" s="107">
        <f t="shared" si="153"/>
        <v>0</v>
      </c>
      <c r="V167" s="107">
        <f t="shared" si="154"/>
        <v>0</v>
      </c>
      <c r="W167" s="107">
        <f t="shared" si="155"/>
        <v>0</v>
      </c>
      <c r="X167" s="107">
        <f t="shared" si="156"/>
        <v>0</v>
      </c>
      <c r="Y167" s="107">
        <f t="shared" si="157"/>
        <v>0</v>
      </c>
      <c r="Z167" s="107">
        <f t="shared" si="158"/>
        <v>0</v>
      </c>
      <c r="AA167" s="107"/>
      <c r="AB167" s="107"/>
      <c r="AC167" s="107">
        <f t="shared" si="159"/>
        <v>0</v>
      </c>
      <c r="AD167" s="107">
        <f t="shared" si="160"/>
        <v>0</v>
      </c>
      <c r="AE167" s="107">
        <f t="shared" si="161"/>
        <v>0</v>
      </c>
      <c r="AF167" s="107">
        <f t="shared" si="162"/>
        <v>0</v>
      </c>
      <c r="AG167" s="107">
        <f t="shared" si="163"/>
        <v>0</v>
      </c>
      <c r="AH167" s="107">
        <f t="shared" si="164"/>
        <v>0</v>
      </c>
      <c r="AI167" s="107">
        <f t="shared" si="165"/>
        <v>0</v>
      </c>
      <c r="AJ167" s="107">
        <f t="shared" si="166"/>
        <v>0</v>
      </c>
      <c r="AK167" s="107">
        <f t="shared" si="167"/>
        <v>0</v>
      </c>
      <c r="AL167" s="107">
        <f t="shared" si="168"/>
        <v>0</v>
      </c>
      <c r="AM167" s="107">
        <f t="shared" si="169"/>
        <v>0</v>
      </c>
      <c r="AN167" s="107">
        <f t="shared" si="170"/>
        <v>0</v>
      </c>
      <c r="AO167" s="107">
        <f t="shared" si="171"/>
        <v>0</v>
      </c>
      <c r="AP167" s="107"/>
      <c r="AQ167" s="126"/>
      <c r="AR167" s="107">
        <f t="shared" si="173"/>
        <v>0</v>
      </c>
      <c r="AS167" s="107">
        <f t="shared" si="174"/>
        <v>0</v>
      </c>
      <c r="AT167" s="107">
        <f t="shared" si="175"/>
        <v>0</v>
      </c>
      <c r="AU167" s="107">
        <f t="shared" si="176"/>
        <v>0</v>
      </c>
      <c r="AV167" s="107">
        <f t="shared" si="177"/>
        <v>0</v>
      </c>
      <c r="AW167" s="107">
        <f t="shared" si="178"/>
        <v>0</v>
      </c>
      <c r="AX167" s="107">
        <f t="shared" si="179"/>
        <v>0</v>
      </c>
      <c r="AY167" s="107">
        <f t="shared" si="180"/>
        <v>0</v>
      </c>
      <c r="AZ167" s="107">
        <f t="shared" si="181"/>
        <v>0</v>
      </c>
      <c r="BA167" s="107">
        <f t="shared" si="182"/>
        <v>0</v>
      </c>
      <c r="BB167" s="107">
        <f t="shared" si="183"/>
        <v>0</v>
      </c>
      <c r="BC167" s="107">
        <f t="shared" si="184"/>
        <v>0</v>
      </c>
      <c r="BD167" s="107">
        <f t="shared" si="185"/>
        <v>0</v>
      </c>
      <c r="BE167" s="124"/>
    </row>
    <row r="168" spans="1:75" ht="22.5" hidden="1" x14ac:dyDescent="0.2">
      <c r="A168" s="123" t="str">
        <f>'[2]2021 УГРЦТ'!A170</f>
        <v>Блок МПЗ SEPAM 1000+ S42 зав.19132637</v>
      </c>
      <c r="B168" s="124" t="str">
        <f>'[2]2021 УГРЦТ'!B170</f>
        <v>000001776</v>
      </c>
      <c r="C168" s="124" t="str">
        <f>VLOOKUP(A:A,'2023-2027'!A:L,1,+FALSE)</f>
        <v>Блок МПЗ SEPAM 1000+ S42 зав.19132637</v>
      </c>
      <c r="D168" s="124" t="str">
        <f>'[2]2021 УГРЦТ'!C170</f>
        <v>ПЕРЕДАЧА</v>
      </c>
      <c r="E168" s="124" t="str">
        <f>'[2]2021 УГРЦТ'!D170</f>
        <v>Машины и оборудование (кроме офисного)</v>
      </c>
      <c r="F168" s="124" t="str">
        <f>'[2]2021 УГРЦТ'!E170</f>
        <v>30.07.2019</v>
      </c>
      <c r="G168" s="124" t="str">
        <f>'[2]2021 УГРЦТ'!F170</f>
        <v>Цех электрических сетей</v>
      </c>
      <c r="H168" s="124">
        <f>'[2]2021 УГРЦТ'!AC170</f>
        <v>240</v>
      </c>
      <c r="I168" s="107">
        <f>'[2]2021 УГРЦТ'!X170</f>
        <v>227204.17</v>
      </c>
      <c r="J168" s="107">
        <f>'[2]2021 УГРЦТ'!Y170</f>
        <v>27453.768500000002</v>
      </c>
      <c r="K168" s="107">
        <f>'[2]2021 УГРЦТ'!Z170</f>
        <v>199750.40150000001</v>
      </c>
      <c r="L168" s="125" t="e">
        <f>SUMIF([2]облаг!$B$2:$B$259,B168,[2]облаг!$D$2:$D$259)</f>
        <v>#VALUE!</v>
      </c>
      <c r="M168" s="107">
        <f t="shared" si="120"/>
        <v>946.68404166666676</v>
      </c>
      <c r="N168" s="107">
        <f t="shared" si="121"/>
        <v>11360.208500000001</v>
      </c>
      <c r="O168" s="107">
        <f t="shared" si="122"/>
        <v>198803.71745833335</v>
      </c>
      <c r="P168" s="107">
        <f t="shared" si="123"/>
        <v>197857.0334166667</v>
      </c>
      <c r="Q168" s="107">
        <f t="shared" si="149"/>
        <v>196910.34937500005</v>
      </c>
      <c r="R168" s="107">
        <f t="shared" si="150"/>
        <v>195963.6653333334</v>
      </c>
      <c r="S168" s="107">
        <f t="shared" si="151"/>
        <v>195016.98129166674</v>
      </c>
      <c r="T168" s="107">
        <f t="shared" si="152"/>
        <v>194070.29725000009</v>
      </c>
      <c r="U168" s="107">
        <f t="shared" si="153"/>
        <v>193123.61320833344</v>
      </c>
      <c r="V168" s="107">
        <f t="shared" si="154"/>
        <v>192176.92916666679</v>
      </c>
      <c r="W168" s="107">
        <f t="shared" si="155"/>
        <v>191230.24512500013</v>
      </c>
      <c r="X168" s="107">
        <f t="shared" si="156"/>
        <v>190283.56108333348</v>
      </c>
      <c r="Y168" s="107">
        <f t="shared" si="157"/>
        <v>189336.87704166683</v>
      </c>
      <c r="Z168" s="107">
        <f t="shared" si="158"/>
        <v>188390.19300000017</v>
      </c>
      <c r="AA168" s="107"/>
      <c r="AB168" s="107"/>
      <c r="AC168" s="107">
        <f t="shared" si="159"/>
        <v>11360.208500000001</v>
      </c>
      <c r="AD168" s="107">
        <f t="shared" si="160"/>
        <v>187443.50895833352</v>
      </c>
      <c r="AE168" s="107">
        <f t="shared" si="161"/>
        <v>186496.82491666687</v>
      </c>
      <c r="AF168" s="107">
        <f t="shared" si="162"/>
        <v>185550.14087500022</v>
      </c>
      <c r="AG168" s="107">
        <f t="shared" si="163"/>
        <v>184603.45683333356</v>
      </c>
      <c r="AH168" s="107">
        <f t="shared" si="164"/>
        <v>183656.77279166691</v>
      </c>
      <c r="AI168" s="107">
        <f t="shared" si="165"/>
        <v>182710.08875000026</v>
      </c>
      <c r="AJ168" s="107">
        <f t="shared" si="166"/>
        <v>181763.4047083336</v>
      </c>
      <c r="AK168" s="107">
        <f t="shared" si="167"/>
        <v>180816.72066666695</v>
      </c>
      <c r="AL168" s="107">
        <f t="shared" si="168"/>
        <v>179870.0366250003</v>
      </c>
      <c r="AM168" s="107">
        <f t="shared" si="169"/>
        <v>178923.35258333365</v>
      </c>
      <c r="AN168" s="107">
        <f t="shared" si="170"/>
        <v>177976.66854166699</v>
      </c>
      <c r="AO168" s="107">
        <f t="shared" si="171"/>
        <v>177029.98450000034</v>
      </c>
      <c r="AP168" s="107"/>
      <c r="AQ168" s="126"/>
      <c r="AR168" s="107">
        <f t="shared" si="173"/>
        <v>11360.208500000001</v>
      </c>
      <c r="AS168" s="107">
        <f t="shared" si="174"/>
        <v>176083.30045833369</v>
      </c>
      <c r="AT168" s="107">
        <f t="shared" si="175"/>
        <v>175136.61641666704</v>
      </c>
      <c r="AU168" s="107">
        <f t="shared" si="176"/>
        <v>174189.93237500038</v>
      </c>
      <c r="AV168" s="107">
        <f t="shared" si="177"/>
        <v>173243.24833333373</v>
      </c>
      <c r="AW168" s="107">
        <f t="shared" si="178"/>
        <v>172296.56429166708</v>
      </c>
      <c r="AX168" s="107">
        <f t="shared" si="179"/>
        <v>171349.88025000042</v>
      </c>
      <c r="AY168" s="107">
        <f t="shared" si="180"/>
        <v>170403.19620833377</v>
      </c>
      <c r="AZ168" s="107">
        <f t="shared" si="181"/>
        <v>169456.51216666712</v>
      </c>
      <c r="BA168" s="107">
        <f t="shared" si="182"/>
        <v>168509.82812500047</v>
      </c>
      <c r="BB168" s="107">
        <f t="shared" si="183"/>
        <v>167563.14408333381</v>
      </c>
      <c r="BC168" s="107">
        <f t="shared" si="184"/>
        <v>166616.46004166716</v>
      </c>
      <c r="BD168" s="107">
        <f t="shared" si="185"/>
        <v>165669.77600000051</v>
      </c>
      <c r="BE168" s="107"/>
      <c r="BF168" s="127"/>
      <c r="BG168" s="127"/>
      <c r="BH168" s="127"/>
      <c r="BI168" s="127"/>
      <c r="BJ168" s="127"/>
      <c r="BK168" s="127"/>
      <c r="BL168" s="127"/>
      <c r="BM168" s="127"/>
      <c r="BN168" s="127"/>
      <c r="BO168" s="127"/>
      <c r="BP168" s="127"/>
      <c r="BQ168" s="127"/>
      <c r="BR168" s="127"/>
      <c r="BS168" s="127"/>
      <c r="BT168" s="127"/>
      <c r="BU168" s="127"/>
      <c r="BV168" s="127"/>
      <c r="BW168" s="127"/>
    </row>
    <row r="169" spans="1:75" hidden="1" x14ac:dyDescent="0.2">
      <c r="A169" s="123" t="str">
        <f>'[2]2021 УГРЦТ'!A171</f>
        <v>Вводной щит ЩО-70-2-34УЗ</v>
      </c>
      <c r="B169" s="124" t="str">
        <f>'[2]2021 УГРЦТ'!B171</f>
        <v>000001488</v>
      </c>
      <c r="C169" s="124" t="str">
        <f>VLOOKUP(A:A,'2023-2027'!A:L,1,+FALSE)</f>
        <v>Вводной щит ЩО-70-2-34УЗ</v>
      </c>
      <c r="D169" s="124" t="str">
        <f>'[2]2021 УГРЦТ'!C171</f>
        <v>ПЕРЕДАЧА</v>
      </c>
      <c r="E169" s="124" t="str">
        <f>'[2]2021 УГРЦТ'!D171</f>
        <v>Машины и оборудование (кроме офисного)</v>
      </c>
      <c r="F169" s="124" t="str">
        <f>'[2]2021 УГРЦТ'!E171</f>
        <v>24.09.2012</v>
      </c>
      <c r="G169" s="124" t="str">
        <f>'[2]2021 УГРЦТ'!F171</f>
        <v>Цех электрических сетей</v>
      </c>
      <c r="H169" s="124">
        <f>'[2]2021 УГРЦТ'!AC171</f>
        <v>180</v>
      </c>
      <c r="I169" s="107">
        <f>'[2]2021 УГРЦТ'!X171</f>
        <v>83983.05</v>
      </c>
      <c r="J169" s="107">
        <f>'[2]2021 УГРЦТ'!Y171</f>
        <v>51789.3</v>
      </c>
      <c r="K169" s="107">
        <f>'[2]2021 УГРЦТ'!Z171</f>
        <v>32193.75</v>
      </c>
      <c r="L169" s="125" t="e">
        <f>SUMIF([2]облаг!$B$2:$B$259,B169,[2]облаг!$D$2:$D$259)</f>
        <v>#VALUE!</v>
      </c>
      <c r="M169" s="107">
        <f t="shared" si="120"/>
        <v>466.57249999999999</v>
      </c>
      <c r="N169" s="107">
        <f t="shared" si="121"/>
        <v>5598.87</v>
      </c>
      <c r="O169" s="107">
        <f t="shared" si="122"/>
        <v>31727.177500000002</v>
      </c>
      <c r="P169" s="107">
        <f t="shared" si="123"/>
        <v>31260.605000000003</v>
      </c>
      <c r="Q169" s="107">
        <f t="shared" si="149"/>
        <v>30794.032500000005</v>
      </c>
      <c r="R169" s="107">
        <f t="shared" si="150"/>
        <v>30327.460000000006</v>
      </c>
      <c r="S169" s="107">
        <f t="shared" si="151"/>
        <v>29860.887500000008</v>
      </c>
      <c r="T169" s="107">
        <f t="shared" si="152"/>
        <v>29394.31500000001</v>
      </c>
      <c r="U169" s="107">
        <f t="shared" si="153"/>
        <v>28927.742500000011</v>
      </c>
      <c r="V169" s="107">
        <f t="shared" si="154"/>
        <v>28461.170000000013</v>
      </c>
      <c r="W169" s="107">
        <f t="shared" si="155"/>
        <v>27994.597500000014</v>
      </c>
      <c r="X169" s="107">
        <f t="shared" si="156"/>
        <v>27528.025000000016</v>
      </c>
      <c r="Y169" s="107">
        <f t="shared" si="157"/>
        <v>27061.452500000018</v>
      </c>
      <c r="Z169" s="107">
        <f t="shared" si="158"/>
        <v>26594.880000000019</v>
      </c>
      <c r="AA169" s="107"/>
      <c r="AB169" s="107"/>
      <c r="AC169" s="107">
        <f t="shared" si="159"/>
        <v>5598.87</v>
      </c>
      <c r="AD169" s="107">
        <f t="shared" si="160"/>
        <v>26128.307500000021</v>
      </c>
      <c r="AE169" s="107">
        <f t="shared" si="161"/>
        <v>25661.735000000022</v>
      </c>
      <c r="AF169" s="107">
        <f t="shared" si="162"/>
        <v>25195.162500000024</v>
      </c>
      <c r="AG169" s="107">
        <f t="shared" si="163"/>
        <v>24728.590000000026</v>
      </c>
      <c r="AH169" s="107">
        <f t="shared" si="164"/>
        <v>24262.017500000027</v>
      </c>
      <c r="AI169" s="107">
        <f t="shared" si="165"/>
        <v>23795.445000000029</v>
      </c>
      <c r="AJ169" s="107">
        <f t="shared" si="166"/>
        <v>23328.87250000003</v>
      </c>
      <c r="AK169" s="107">
        <f t="shared" si="167"/>
        <v>22862.300000000032</v>
      </c>
      <c r="AL169" s="107">
        <f t="shared" si="168"/>
        <v>22395.727500000034</v>
      </c>
      <c r="AM169" s="107">
        <f t="shared" si="169"/>
        <v>21929.155000000035</v>
      </c>
      <c r="AN169" s="107">
        <f t="shared" si="170"/>
        <v>21462.582500000037</v>
      </c>
      <c r="AO169" s="107">
        <f t="shared" si="171"/>
        <v>20996.010000000038</v>
      </c>
      <c r="AP169" s="107"/>
      <c r="AQ169" s="126"/>
      <c r="AR169" s="107">
        <f t="shared" si="173"/>
        <v>5598.87</v>
      </c>
      <c r="AS169" s="107">
        <f t="shared" si="174"/>
        <v>20529.43750000004</v>
      </c>
      <c r="AT169" s="107">
        <f t="shared" si="175"/>
        <v>20062.865000000042</v>
      </c>
      <c r="AU169" s="107">
        <f t="shared" si="176"/>
        <v>19596.292500000043</v>
      </c>
      <c r="AV169" s="107">
        <f t="shared" si="177"/>
        <v>19129.720000000045</v>
      </c>
      <c r="AW169" s="107">
        <f t="shared" si="178"/>
        <v>18663.147500000046</v>
      </c>
      <c r="AX169" s="107">
        <f t="shared" si="179"/>
        <v>18196.575000000048</v>
      </c>
      <c r="AY169" s="107">
        <f t="shared" si="180"/>
        <v>17730.00250000005</v>
      </c>
      <c r="AZ169" s="107">
        <f t="shared" si="181"/>
        <v>17263.430000000051</v>
      </c>
      <c r="BA169" s="107">
        <f t="shared" si="182"/>
        <v>16796.857500000053</v>
      </c>
      <c r="BB169" s="107">
        <f t="shared" si="183"/>
        <v>16330.285000000053</v>
      </c>
      <c r="BC169" s="107">
        <f t="shared" si="184"/>
        <v>15863.712500000052</v>
      </c>
      <c r="BD169" s="107">
        <f t="shared" si="185"/>
        <v>15397.140000000052</v>
      </c>
      <c r="BE169" s="10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</row>
    <row r="170" spans="1:75" ht="22.5" hidden="1" x14ac:dyDescent="0.2">
      <c r="A170" s="123" t="str">
        <f>'[2]2021 УГРЦТ'!A172</f>
        <v>Верстак 3200х700х860 (нагрузка 300кг)</v>
      </c>
      <c r="B170" s="124" t="str">
        <f>'[2]2021 УГРЦТ'!B172</f>
        <v>000001733</v>
      </c>
      <c r="C170" s="124" t="str">
        <f>VLOOKUP(A:A,'2023-2027'!A:L,1,+FALSE)</f>
        <v>Верстак 3200х700х860 (нагрузка 300кг)</v>
      </c>
      <c r="D170" s="124" t="str">
        <f>'[2]2021 УГРЦТ'!C172</f>
        <v>ПЕРЕДАЧА</v>
      </c>
      <c r="E170" s="124" t="str">
        <f>'[2]2021 УГРЦТ'!D172</f>
        <v>Производственный и хозяйственный инвентарь</v>
      </c>
      <c r="F170" s="124" t="str">
        <f>'[2]2021 УГРЦТ'!E172</f>
        <v>26.06.2018</v>
      </c>
      <c r="G170" s="124" t="str">
        <f>'[2]2021 УГРЦТ'!F172</f>
        <v>Цех электрических сетей</v>
      </c>
      <c r="H170" s="124">
        <f>'[2]2021 УГРЦТ'!AC172</f>
        <v>180</v>
      </c>
      <c r="I170" s="107">
        <f>'[2]2021 УГРЦТ'!X172</f>
        <v>133833.32999999999</v>
      </c>
      <c r="J170" s="107">
        <f>'[2]2021 УГРЦТ'!Y172</f>
        <v>31227.822</v>
      </c>
      <c r="K170" s="107">
        <f>'[2]2021 УГРЦТ'!Z172</f>
        <v>102605.50799999999</v>
      </c>
      <c r="L170" s="125" t="e">
        <f>SUMIF([2]облаг!$B$2:$B$259,B170,[2]облаг!$D$2:$D$259)</f>
        <v>#VALUE!</v>
      </c>
      <c r="M170" s="107">
        <f t="shared" si="120"/>
        <v>743.5184999999999</v>
      </c>
      <c r="N170" s="107">
        <f t="shared" si="121"/>
        <v>8922.2219999999979</v>
      </c>
      <c r="O170" s="107">
        <f t="shared" si="122"/>
        <v>101861.98949999998</v>
      </c>
      <c r="P170" s="107">
        <f t="shared" si="123"/>
        <v>101118.47099999998</v>
      </c>
      <c r="Q170" s="107">
        <f t="shared" si="149"/>
        <v>100374.95249999997</v>
      </c>
      <c r="R170" s="107">
        <f t="shared" si="150"/>
        <v>99631.433999999965</v>
      </c>
      <c r="S170" s="107">
        <f t="shared" si="151"/>
        <v>98887.915499999959</v>
      </c>
      <c r="T170" s="107">
        <f t="shared" si="152"/>
        <v>98144.396999999954</v>
      </c>
      <c r="U170" s="107">
        <f t="shared" si="153"/>
        <v>97400.878499999948</v>
      </c>
      <c r="V170" s="107">
        <f t="shared" si="154"/>
        <v>96657.359999999942</v>
      </c>
      <c r="W170" s="107">
        <f t="shared" si="155"/>
        <v>95913.841499999937</v>
      </c>
      <c r="X170" s="107">
        <f t="shared" si="156"/>
        <v>95170.322999999931</v>
      </c>
      <c r="Y170" s="107">
        <f t="shared" si="157"/>
        <v>94426.804499999926</v>
      </c>
      <c r="Z170" s="107">
        <f t="shared" si="158"/>
        <v>93683.28599999992</v>
      </c>
      <c r="AA170" s="107"/>
      <c r="AB170" s="107"/>
      <c r="AC170" s="107">
        <f t="shared" si="159"/>
        <v>8922.2219999999979</v>
      </c>
      <c r="AD170" s="107">
        <f t="shared" si="160"/>
        <v>92939.767499999914</v>
      </c>
      <c r="AE170" s="107">
        <f t="shared" si="161"/>
        <v>92196.248999999909</v>
      </c>
      <c r="AF170" s="107">
        <f t="shared" si="162"/>
        <v>91452.730499999903</v>
      </c>
      <c r="AG170" s="107">
        <f t="shared" si="163"/>
        <v>90709.211999999898</v>
      </c>
      <c r="AH170" s="107">
        <f t="shared" si="164"/>
        <v>89965.693499999892</v>
      </c>
      <c r="AI170" s="107">
        <f t="shared" si="165"/>
        <v>89222.174999999886</v>
      </c>
      <c r="AJ170" s="107">
        <f t="shared" si="166"/>
        <v>88478.656499999881</v>
      </c>
      <c r="AK170" s="107">
        <f t="shared" si="167"/>
        <v>87735.137999999875</v>
      </c>
      <c r="AL170" s="107">
        <f t="shared" si="168"/>
        <v>86991.61949999987</v>
      </c>
      <c r="AM170" s="107">
        <f t="shared" si="169"/>
        <v>86248.100999999864</v>
      </c>
      <c r="AN170" s="107">
        <f t="shared" si="170"/>
        <v>85504.582499999859</v>
      </c>
      <c r="AO170" s="107">
        <f t="shared" si="171"/>
        <v>84761.063999999853</v>
      </c>
      <c r="AP170" s="107"/>
      <c r="AQ170" s="126"/>
      <c r="AR170" s="107">
        <f t="shared" si="173"/>
        <v>8922.2219999999979</v>
      </c>
      <c r="AS170" s="107">
        <f t="shared" si="174"/>
        <v>84017.545499999847</v>
      </c>
      <c r="AT170" s="107">
        <f t="shared" si="175"/>
        <v>83274.026999999842</v>
      </c>
      <c r="AU170" s="107">
        <f t="shared" si="176"/>
        <v>82530.508499999836</v>
      </c>
      <c r="AV170" s="107">
        <f t="shared" si="177"/>
        <v>81786.989999999831</v>
      </c>
      <c r="AW170" s="107">
        <f t="shared" si="178"/>
        <v>81043.471499999825</v>
      </c>
      <c r="AX170" s="107">
        <f t="shared" si="179"/>
        <v>80299.952999999819</v>
      </c>
      <c r="AY170" s="107">
        <f t="shared" si="180"/>
        <v>79556.434499999814</v>
      </c>
      <c r="AZ170" s="107">
        <f t="shared" si="181"/>
        <v>78812.915999999808</v>
      </c>
      <c r="BA170" s="107">
        <f t="shared" si="182"/>
        <v>78069.397499999803</v>
      </c>
      <c r="BB170" s="107">
        <f t="shared" si="183"/>
        <v>77325.878999999797</v>
      </c>
      <c r="BC170" s="107">
        <f t="shared" si="184"/>
        <v>76582.360499999792</v>
      </c>
      <c r="BD170" s="107">
        <f t="shared" si="185"/>
        <v>75838.841999999786</v>
      </c>
      <c r="BE170" s="107"/>
      <c r="BF170" s="127"/>
      <c r="BG170" s="127"/>
      <c r="BH170" s="127"/>
      <c r="BI170" s="127"/>
      <c r="BJ170" s="127"/>
      <c r="BK170" s="127"/>
      <c r="BL170" s="127"/>
      <c r="BM170" s="127"/>
      <c r="BN170" s="127"/>
      <c r="BO170" s="127"/>
      <c r="BP170" s="127"/>
      <c r="BQ170" s="127"/>
      <c r="BR170" s="127"/>
      <c r="BS170" s="127"/>
      <c r="BT170" s="127"/>
      <c r="BU170" s="127"/>
      <c r="BV170" s="127"/>
      <c r="BW170" s="127"/>
    </row>
    <row r="171" spans="1:75" ht="22.5" hidden="1" x14ac:dyDescent="0.2">
      <c r="A171" s="123" t="str">
        <f>'[2]2021 УГРЦТ'!A173</f>
        <v>ВЛ *- Воздушные ЛЭП п Факел 1996г.  1500м</v>
      </c>
      <c r="B171" s="124" t="str">
        <f>'[2]2021 УГРЦТ'!B173</f>
        <v>00000182</v>
      </c>
      <c r="C171" s="124" t="str">
        <f>VLOOKUP(A:A,'2023-2027'!A:L,1,+FALSE)</f>
        <v>ВЛ *- Воздушные ЛЭП п Факел 1996г.  1500м</v>
      </c>
      <c r="D171" s="124" t="str">
        <f>'[2]2021 УГРЦТ'!C173</f>
        <v>ПЕРЕДАЧА</v>
      </c>
      <c r="E171" s="124" t="str">
        <f>'[2]2021 УГРЦТ'!D173</f>
        <v>Сооружения</v>
      </c>
      <c r="F171" s="124" t="str">
        <f>'[2]2021 УГРЦТ'!E173</f>
        <v>01.04.1996</v>
      </c>
      <c r="G171" s="124" t="str">
        <f>'[2]2021 УГРЦТ'!F173</f>
        <v>Цех электрических сетей</v>
      </c>
      <c r="H171" s="124">
        <f>'[2]2021 УГРЦТ'!AC173</f>
        <v>300</v>
      </c>
      <c r="I171" s="107">
        <f>'[2]2021 УГРЦТ'!X173</f>
        <v>797219</v>
      </c>
      <c r="J171" s="107">
        <f>'[2]2021 УГРЦТ'!Y173</f>
        <v>665678.54</v>
      </c>
      <c r="K171" s="107">
        <f>'[2]2021 УГРЦТ'!Z173</f>
        <v>131540.45999999996</v>
      </c>
      <c r="L171" s="125" t="e">
        <f>SUMIF([2]облаг!$B$2:$B$259,B171,[2]облаг!$D$2:$D$259)</f>
        <v>#VALUE!</v>
      </c>
      <c r="M171" s="107">
        <f t="shared" si="120"/>
        <v>2657.3966666666665</v>
      </c>
      <c r="N171" s="107">
        <f t="shared" si="121"/>
        <v>31888.76</v>
      </c>
      <c r="O171" s="107">
        <f t="shared" si="122"/>
        <v>128883.0633333333</v>
      </c>
      <c r="P171" s="107">
        <f t="shared" si="123"/>
        <v>126225.66666666663</v>
      </c>
      <c r="Q171" s="107">
        <f t="shared" si="149"/>
        <v>123568.26999999996</v>
      </c>
      <c r="R171" s="107">
        <f t="shared" si="150"/>
        <v>120910.87333333329</v>
      </c>
      <c r="S171" s="107">
        <f t="shared" si="151"/>
        <v>118253.47666666663</v>
      </c>
      <c r="T171" s="107">
        <f t="shared" si="152"/>
        <v>115596.07999999996</v>
      </c>
      <c r="U171" s="107">
        <f t="shared" si="153"/>
        <v>112938.68333333329</v>
      </c>
      <c r="V171" s="107">
        <f t="shared" si="154"/>
        <v>110281.28666666662</v>
      </c>
      <c r="W171" s="107">
        <f t="shared" si="155"/>
        <v>107623.88999999996</v>
      </c>
      <c r="X171" s="107">
        <f t="shared" si="156"/>
        <v>104966.49333333329</v>
      </c>
      <c r="Y171" s="107">
        <f t="shared" si="157"/>
        <v>102309.09666666662</v>
      </c>
      <c r="Z171" s="107">
        <f t="shared" si="158"/>
        <v>99651.699999999953</v>
      </c>
      <c r="AA171" s="107">
        <f t="shared" ref="AA171:AA190" si="186">SUM(O171:Z171,K171)/13*$AA$2</f>
        <v>2543.1137599999988</v>
      </c>
      <c r="AB171" s="107"/>
      <c r="AC171" s="107">
        <f t="shared" si="159"/>
        <v>31888.76</v>
      </c>
      <c r="AD171" s="107">
        <f t="shared" si="160"/>
        <v>96994.303333333286</v>
      </c>
      <c r="AE171" s="107">
        <f t="shared" si="161"/>
        <v>94336.906666666619</v>
      </c>
      <c r="AF171" s="107">
        <f t="shared" si="162"/>
        <v>91679.509999999951</v>
      </c>
      <c r="AG171" s="107">
        <f t="shared" si="163"/>
        <v>89022.113333333284</v>
      </c>
      <c r="AH171" s="107">
        <f t="shared" si="164"/>
        <v>86364.716666666616</v>
      </c>
      <c r="AI171" s="107">
        <f t="shared" si="165"/>
        <v>83707.319999999949</v>
      </c>
      <c r="AJ171" s="107">
        <f t="shared" si="166"/>
        <v>81049.923333333281</v>
      </c>
      <c r="AK171" s="107">
        <f t="shared" si="167"/>
        <v>78392.526666666614</v>
      </c>
      <c r="AL171" s="107">
        <f t="shared" si="168"/>
        <v>75735.129999999946</v>
      </c>
      <c r="AM171" s="107">
        <f t="shared" si="169"/>
        <v>73077.733333333279</v>
      </c>
      <c r="AN171" s="107">
        <f t="shared" si="170"/>
        <v>70420.336666666612</v>
      </c>
      <c r="AO171" s="107">
        <f t="shared" si="171"/>
        <v>67762.939999999944</v>
      </c>
      <c r="AP171" s="107">
        <f t="shared" ref="AP171:AP190" si="187">SUM(AD171:AO171,Z171)/13*$AP$2</f>
        <v>1841.5610399999985</v>
      </c>
      <c r="AQ171" s="126"/>
      <c r="AR171" s="107">
        <f t="shared" si="173"/>
        <v>31888.76</v>
      </c>
      <c r="AS171" s="107">
        <f t="shared" si="174"/>
        <v>65105.543333333277</v>
      </c>
      <c r="AT171" s="107">
        <f t="shared" si="175"/>
        <v>62448.146666666609</v>
      </c>
      <c r="AU171" s="107">
        <f t="shared" si="176"/>
        <v>59790.749999999942</v>
      </c>
      <c r="AV171" s="107">
        <f t="shared" si="177"/>
        <v>57133.353333333274</v>
      </c>
      <c r="AW171" s="107">
        <f t="shared" si="178"/>
        <v>54475.956666666607</v>
      </c>
      <c r="AX171" s="107">
        <f t="shared" si="179"/>
        <v>51818.559999999939</v>
      </c>
      <c r="AY171" s="107">
        <f t="shared" si="180"/>
        <v>49161.163333333272</v>
      </c>
      <c r="AZ171" s="107">
        <f t="shared" si="181"/>
        <v>46503.766666666605</v>
      </c>
      <c r="BA171" s="107">
        <f t="shared" si="182"/>
        <v>43846.369999999937</v>
      </c>
      <c r="BB171" s="107">
        <f t="shared" si="183"/>
        <v>41188.97333333327</v>
      </c>
      <c r="BC171" s="107">
        <f t="shared" si="184"/>
        <v>38531.576666666602</v>
      </c>
      <c r="BD171" s="107">
        <f t="shared" si="185"/>
        <v>35874.179999999935</v>
      </c>
      <c r="BE171" s="107">
        <f t="shared" ref="BE171:BE190" si="188">SUM(AS171:BD171,AO171)/13*$BE$2</f>
        <v>1140.0083199999988</v>
      </c>
      <c r="BF171" s="127"/>
      <c r="BG171" s="127"/>
      <c r="BH171" s="127"/>
      <c r="BI171" s="127"/>
      <c r="BJ171" s="127"/>
      <c r="BK171" s="127"/>
      <c r="BL171" s="127"/>
      <c r="BM171" s="127"/>
      <c r="BN171" s="127"/>
      <c r="BO171" s="127"/>
      <c r="BP171" s="127"/>
      <c r="BQ171" s="127"/>
      <c r="BR171" s="127"/>
      <c r="BS171" s="127"/>
      <c r="BT171" s="127"/>
      <c r="BU171" s="127"/>
      <c r="BV171" s="127"/>
    </row>
    <row r="172" spans="1:75" ht="22.5" hidden="1" x14ac:dyDescent="0.2">
      <c r="A172" s="123" t="str">
        <f>'[2]2021 УГРЦТ'!A174</f>
        <v>ВЛ 0,4 кВ от ТП-7 "Столовая" фидер "Первомайская 1"</v>
      </c>
      <c r="B172" s="124" t="str">
        <f>'[2]2021 УГРЦТ'!B174</f>
        <v>000001780</v>
      </c>
      <c r="C172" s="124" t="str">
        <f>VLOOKUP(A:A,'2023-2027'!A:L,1,+FALSE)</f>
        <v>ВЛ 0,4 кВ от ТП-7 "Столовая" фидер "Первомайская 1"</v>
      </c>
      <c r="D172" s="124" t="str">
        <f>'[2]2021 УГРЦТ'!C174</f>
        <v>ПЕРЕДАЧА</v>
      </c>
      <c r="E172" s="124" t="str">
        <f>'[2]2021 УГРЦТ'!D174</f>
        <v>Сооружения</v>
      </c>
      <c r="F172" s="124" t="str">
        <f>'[2]2021 УГРЦТ'!E174</f>
        <v>11.10.2019</v>
      </c>
      <c r="G172" s="124" t="str">
        <f>'[2]2021 УГРЦТ'!F174</f>
        <v>Цех электрических сетей</v>
      </c>
      <c r="H172" s="124">
        <f>'[2]2021 УГРЦТ'!AC174</f>
        <v>480</v>
      </c>
      <c r="I172" s="107">
        <f>'[2]2021 УГРЦТ'!X174</f>
        <v>1948429.72</v>
      </c>
      <c r="J172" s="107">
        <f>'[2]2021 УГРЦТ'!Y174</f>
        <v>105539.96299999999</v>
      </c>
      <c r="K172" s="107">
        <f>'[2]2021 УГРЦТ'!Z174</f>
        <v>1842889.757</v>
      </c>
      <c r="L172" s="125" t="e">
        <f>SUMIF([2]облаг!$B$2:$B$259,B172,[2]облаг!$D$2:$D$259)</f>
        <v>#VALUE!</v>
      </c>
      <c r="M172" s="107">
        <f t="shared" si="120"/>
        <v>4059.2285833333331</v>
      </c>
      <c r="N172" s="107">
        <f t="shared" si="121"/>
        <v>48710.742999999995</v>
      </c>
      <c r="O172" s="107">
        <f t="shared" si="122"/>
        <v>1838830.5284166667</v>
      </c>
      <c r="P172" s="107">
        <f t="shared" si="123"/>
        <v>1834771.2998333334</v>
      </c>
      <c r="Q172" s="107">
        <f t="shared" si="149"/>
        <v>1830712.07125</v>
      </c>
      <c r="R172" s="107">
        <f t="shared" si="150"/>
        <v>1826652.8426666667</v>
      </c>
      <c r="S172" s="107">
        <f t="shared" si="151"/>
        <v>1822593.6140833334</v>
      </c>
      <c r="T172" s="107">
        <f t="shared" si="152"/>
        <v>1818534.3855000001</v>
      </c>
      <c r="U172" s="107">
        <f t="shared" si="153"/>
        <v>1814475.1569166668</v>
      </c>
      <c r="V172" s="107">
        <f t="shared" si="154"/>
        <v>1810415.9283333335</v>
      </c>
      <c r="W172" s="107">
        <f t="shared" si="155"/>
        <v>1806356.6997500001</v>
      </c>
      <c r="X172" s="107">
        <f t="shared" si="156"/>
        <v>1802297.4711666668</v>
      </c>
      <c r="Y172" s="107">
        <f t="shared" si="157"/>
        <v>1798238.2425833335</v>
      </c>
      <c r="Z172" s="107">
        <f t="shared" si="158"/>
        <v>1794179.0140000002</v>
      </c>
      <c r="AA172" s="107">
        <f t="shared" si="186"/>
        <v>40007.756480999997</v>
      </c>
      <c r="AB172" s="107"/>
      <c r="AC172" s="107">
        <f t="shared" si="159"/>
        <v>48710.742999999995</v>
      </c>
      <c r="AD172" s="107">
        <f t="shared" si="160"/>
        <v>1790119.7854166669</v>
      </c>
      <c r="AE172" s="107">
        <f t="shared" si="161"/>
        <v>1786060.5568333336</v>
      </c>
      <c r="AF172" s="107">
        <f t="shared" si="162"/>
        <v>1782001.3282500003</v>
      </c>
      <c r="AG172" s="107">
        <f t="shared" si="163"/>
        <v>1777942.0996666669</v>
      </c>
      <c r="AH172" s="107">
        <f t="shared" si="164"/>
        <v>1773882.8710833336</v>
      </c>
      <c r="AI172" s="107">
        <f t="shared" si="165"/>
        <v>1769823.6425000003</v>
      </c>
      <c r="AJ172" s="107">
        <f t="shared" si="166"/>
        <v>1765764.413916667</v>
      </c>
      <c r="AK172" s="107">
        <f t="shared" si="167"/>
        <v>1761705.1853333337</v>
      </c>
      <c r="AL172" s="107">
        <f t="shared" si="168"/>
        <v>1757645.9567500004</v>
      </c>
      <c r="AM172" s="107">
        <f t="shared" si="169"/>
        <v>1753586.728166667</v>
      </c>
      <c r="AN172" s="107">
        <f t="shared" si="170"/>
        <v>1749527.4995833337</v>
      </c>
      <c r="AO172" s="107">
        <f t="shared" si="171"/>
        <v>1745468.2710000004</v>
      </c>
      <c r="AP172" s="107">
        <f t="shared" si="187"/>
        <v>38936.120135000005</v>
      </c>
      <c r="AQ172" s="126"/>
      <c r="AR172" s="107">
        <f t="shared" si="173"/>
        <v>48710.742999999995</v>
      </c>
      <c r="AS172" s="107">
        <f t="shared" si="174"/>
        <v>1741409.0424166671</v>
      </c>
      <c r="AT172" s="107">
        <f t="shared" si="175"/>
        <v>1737349.8138333338</v>
      </c>
      <c r="AU172" s="107">
        <f t="shared" si="176"/>
        <v>1733290.5852500005</v>
      </c>
      <c r="AV172" s="107">
        <f t="shared" si="177"/>
        <v>1729231.3566666672</v>
      </c>
      <c r="AW172" s="107">
        <f t="shared" si="178"/>
        <v>1725172.1280833338</v>
      </c>
      <c r="AX172" s="107">
        <f t="shared" si="179"/>
        <v>1721112.8995000005</v>
      </c>
      <c r="AY172" s="107">
        <f t="shared" si="180"/>
        <v>1717053.6709166672</v>
      </c>
      <c r="AZ172" s="107">
        <f t="shared" si="181"/>
        <v>1712994.4423333339</v>
      </c>
      <c r="BA172" s="107">
        <f t="shared" si="182"/>
        <v>1708935.2137500006</v>
      </c>
      <c r="BB172" s="107">
        <f t="shared" si="183"/>
        <v>1704875.9851666673</v>
      </c>
      <c r="BC172" s="107">
        <f t="shared" si="184"/>
        <v>1700816.7565833339</v>
      </c>
      <c r="BD172" s="107">
        <f t="shared" si="185"/>
        <v>1696757.5280000006</v>
      </c>
      <c r="BE172" s="107">
        <f t="shared" si="188"/>
        <v>37864.483789000013</v>
      </c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</row>
    <row r="173" spans="1:75" hidden="1" x14ac:dyDescent="0.2">
      <c r="A173" s="123" t="str">
        <f>'[2]2021 УГРЦТ'!A175</f>
        <v>ВЛ- Воздушные ЛЭП-0,4 кв 1996г</v>
      </c>
      <c r="B173" s="124" t="str">
        <f>'[2]2021 УГРЦТ'!B175</f>
        <v>00000184</v>
      </c>
      <c r="C173" s="124" t="str">
        <f>VLOOKUP(A:A,'2023-2027'!A:L,1,+FALSE)</f>
        <v>ВЛ- Воздушные ЛЭП-0,4 кв 1996г</v>
      </c>
      <c r="D173" s="124" t="str">
        <f>'[2]2021 УГРЦТ'!C175</f>
        <v>ПЕРЕДАЧА</v>
      </c>
      <c r="E173" s="124" t="str">
        <f>'[2]2021 УГРЦТ'!D175</f>
        <v>Сооружения</v>
      </c>
      <c r="F173" s="124" t="str">
        <f>'[2]2021 УГРЦТ'!E175</f>
        <v>01.01.1996</v>
      </c>
      <c r="G173" s="124" t="str">
        <f>'[2]2021 УГРЦТ'!F175</f>
        <v>Цех электрических сетей</v>
      </c>
      <c r="H173" s="124">
        <f>'[2]2021 УГРЦТ'!AC175</f>
        <v>524</v>
      </c>
      <c r="I173" s="107">
        <f>'[2]2021 УГРЦТ'!X175</f>
        <v>256010.16</v>
      </c>
      <c r="J173" s="107">
        <f>'[2]2021 УГРЦТ'!Y175</f>
        <v>87382.180000000008</v>
      </c>
      <c r="K173" s="107">
        <f>'[2]2021 УГРЦТ'!Z175</f>
        <v>168627.97999999998</v>
      </c>
      <c r="L173" s="125" t="e">
        <f>SUMIF([2]облаг!$B$2:$B$259,B173,[2]облаг!$D$2:$D$259)</f>
        <v>#VALUE!</v>
      </c>
      <c r="M173" s="107">
        <f t="shared" si="120"/>
        <v>488.56900763358777</v>
      </c>
      <c r="N173" s="107">
        <f t="shared" si="121"/>
        <v>5862.8280916030535</v>
      </c>
      <c r="O173" s="107">
        <f t="shared" si="122"/>
        <v>168139.41099236641</v>
      </c>
      <c r="P173" s="107">
        <f t="shared" si="123"/>
        <v>167650.84198473283</v>
      </c>
      <c r="Q173" s="107">
        <f t="shared" si="149"/>
        <v>167162.27297709926</v>
      </c>
      <c r="R173" s="107">
        <f t="shared" si="150"/>
        <v>166673.70396946569</v>
      </c>
      <c r="S173" s="107">
        <f t="shared" si="151"/>
        <v>166185.13496183211</v>
      </c>
      <c r="T173" s="107">
        <f t="shared" si="152"/>
        <v>165696.56595419854</v>
      </c>
      <c r="U173" s="107">
        <f t="shared" si="153"/>
        <v>165207.99694656496</v>
      </c>
      <c r="V173" s="107">
        <f t="shared" si="154"/>
        <v>164719.42793893139</v>
      </c>
      <c r="W173" s="107">
        <f t="shared" si="155"/>
        <v>164230.85893129781</v>
      </c>
      <c r="X173" s="107">
        <f t="shared" si="156"/>
        <v>163742.28992366424</v>
      </c>
      <c r="Y173" s="107">
        <f t="shared" si="157"/>
        <v>163253.72091603067</v>
      </c>
      <c r="Z173" s="107">
        <f t="shared" si="158"/>
        <v>162765.15190839709</v>
      </c>
      <c r="AA173" s="107">
        <f t="shared" si="186"/>
        <v>3645.3244509923675</v>
      </c>
      <c r="AB173" s="107"/>
      <c r="AC173" s="107">
        <f t="shared" si="159"/>
        <v>5862.8280916030535</v>
      </c>
      <c r="AD173" s="107">
        <f t="shared" si="160"/>
        <v>162276.58290076352</v>
      </c>
      <c r="AE173" s="107">
        <f t="shared" si="161"/>
        <v>161788.01389312994</v>
      </c>
      <c r="AF173" s="107">
        <f t="shared" si="162"/>
        <v>161299.44488549637</v>
      </c>
      <c r="AG173" s="107">
        <f t="shared" si="163"/>
        <v>160810.8758778628</v>
      </c>
      <c r="AH173" s="107">
        <f t="shared" si="164"/>
        <v>160322.30687022922</v>
      </c>
      <c r="AI173" s="107">
        <f t="shared" si="165"/>
        <v>159833.73786259565</v>
      </c>
      <c r="AJ173" s="107">
        <f t="shared" si="166"/>
        <v>159345.16885496207</v>
      </c>
      <c r="AK173" s="107">
        <f t="shared" si="167"/>
        <v>158856.5998473285</v>
      </c>
      <c r="AL173" s="107">
        <f t="shared" si="168"/>
        <v>158368.03083969493</v>
      </c>
      <c r="AM173" s="107">
        <f t="shared" si="169"/>
        <v>157879.46183206135</v>
      </c>
      <c r="AN173" s="107">
        <f t="shared" si="170"/>
        <v>157390.89282442778</v>
      </c>
      <c r="AO173" s="107">
        <f t="shared" si="171"/>
        <v>156902.3238167942</v>
      </c>
      <c r="AP173" s="107">
        <f t="shared" si="187"/>
        <v>3516.3422329771042</v>
      </c>
      <c r="AQ173" s="126"/>
      <c r="AR173" s="107">
        <f t="shared" si="173"/>
        <v>5862.8280916030535</v>
      </c>
      <c r="AS173" s="107">
        <f t="shared" si="174"/>
        <v>156413.75480916063</v>
      </c>
      <c r="AT173" s="107">
        <f t="shared" si="175"/>
        <v>155925.18580152706</v>
      </c>
      <c r="AU173" s="107">
        <f t="shared" si="176"/>
        <v>155436.61679389348</v>
      </c>
      <c r="AV173" s="107">
        <f t="shared" si="177"/>
        <v>154948.04778625991</v>
      </c>
      <c r="AW173" s="107">
        <f t="shared" si="178"/>
        <v>154459.47877862633</v>
      </c>
      <c r="AX173" s="107">
        <f t="shared" si="179"/>
        <v>153970.90977099276</v>
      </c>
      <c r="AY173" s="107">
        <f t="shared" si="180"/>
        <v>153482.34076335919</v>
      </c>
      <c r="AZ173" s="107">
        <f t="shared" si="181"/>
        <v>152993.77175572561</v>
      </c>
      <c r="BA173" s="107">
        <f t="shared" si="182"/>
        <v>152505.20274809204</v>
      </c>
      <c r="BB173" s="107">
        <f t="shared" si="183"/>
        <v>152016.63374045846</v>
      </c>
      <c r="BC173" s="107">
        <f t="shared" si="184"/>
        <v>151528.06473282489</v>
      </c>
      <c r="BD173" s="107">
        <f t="shared" si="185"/>
        <v>151039.49572519131</v>
      </c>
      <c r="BE173" s="107">
        <f t="shared" si="188"/>
        <v>3387.3600149618405</v>
      </c>
      <c r="BF173" s="127"/>
      <c r="BG173" s="127"/>
      <c r="BH173" s="127"/>
      <c r="BI173" s="127"/>
      <c r="BJ173" s="127"/>
      <c r="BK173" s="127"/>
      <c r="BL173" s="127"/>
      <c r="BM173" s="127"/>
      <c r="BN173" s="127"/>
      <c r="BO173" s="127"/>
      <c r="BP173" s="127"/>
      <c r="BQ173" s="127"/>
      <c r="BR173" s="127"/>
      <c r="BS173" s="127"/>
      <c r="BT173" s="127"/>
      <c r="BU173" s="127"/>
      <c r="BV173" s="127"/>
      <c r="BW173" s="127"/>
    </row>
    <row r="174" spans="1:75" ht="22.5" hidden="1" x14ac:dyDescent="0.2">
      <c r="A174" s="123" t="str">
        <f>'[2]2021 УГРЦТ'!A176</f>
        <v>ВЛ Воздушные ЛЭП-6 кв Угольная  1976г.</v>
      </c>
      <c r="B174" s="124" t="str">
        <f>'[2]2021 УГРЦТ'!B176</f>
        <v>00000183</v>
      </c>
      <c r="C174" s="124" t="str">
        <f>VLOOKUP(A:A,'2023-2027'!A:L,1,+FALSE)</f>
        <v>ВЛ Воздушные ЛЭП-6 кв Угольная  1976г.</v>
      </c>
      <c r="D174" s="124" t="str">
        <f>'[2]2021 УГРЦТ'!C176</f>
        <v>ПЕРЕДАЧА</v>
      </c>
      <c r="E174" s="124" t="str">
        <f>'[2]2021 УГРЦТ'!D176</f>
        <v>Сооружения</v>
      </c>
      <c r="F174" s="124" t="str">
        <f>'[2]2021 УГРЦТ'!E176</f>
        <v>01.01.1976</v>
      </c>
      <c r="G174" s="124" t="str">
        <f>'[2]2021 УГРЦТ'!F176</f>
        <v>Цех электрических сетей</v>
      </c>
      <c r="H174" s="124">
        <f>'[2]2021 УГРЦТ'!AC176</f>
        <v>300</v>
      </c>
      <c r="I174" s="107">
        <f>'[2]2021 УГРЦТ'!X176</f>
        <v>14935</v>
      </c>
      <c r="J174" s="107">
        <f>'[2]2021 УГРЦТ'!Y176</f>
        <v>12918.42</v>
      </c>
      <c r="K174" s="107">
        <f>'[2]2021 УГРЦТ'!Z176</f>
        <v>2016.58</v>
      </c>
      <c r="L174" s="125" t="e">
        <f>SUMIF([2]облаг!$B$2:$B$259,B174,[2]облаг!$D$2:$D$259)</f>
        <v>#VALUE!</v>
      </c>
      <c r="M174" s="107">
        <f t="shared" si="120"/>
        <v>49.783333333333331</v>
      </c>
      <c r="N174" s="107">
        <f t="shared" si="121"/>
        <v>597.4</v>
      </c>
      <c r="O174" s="107">
        <f t="shared" si="122"/>
        <v>1966.7966666666666</v>
      </c>
      <c r="P174" s="107">
        <f t="shared" si="123"/>
        <v>1917.0133333333333</v>
      </c>
      <c r="Q174" s="107">
        <f t="shared" si="149"/>
        <v>1867.23</v>
      </c>
      <c r="R174" s="107">
        <f t="shared" si="150"/>
        <v>1817.4466666666667</v>
      </c>
      <c r="S174" s="107">
        <f t="shared" si="151"/>
        <v>1767.6633333333334</v>
      </c>
      <c r="T174" s="107">
        <f t="shared" si="152"/>
        <v>1717.88</v>
      </c>
      <c r="U174" s="107">
        <f t="shared" si="153"/>
        <v>1668.0966666666668</v>
      </c>
      <c r="V174" s="107">
        <f t="shared" si="154"/>
        <v>1618.3133333333335</v>
      </c>
      <c r="W174" s="107">
        <f t="shared" si="155"/>
        <v>1568.5300000000002</v>
      </c>
      <c r="X174" s="107">
        <f t="shared" si="156"/>
        <v>1518.7466666666669</v>
      </c>
      <c r="Y174" s="107">
        <f t="shared" si="157"/>
        <v>1468.9633333333336</v>
      </c>
      <c r="Z174" s="107">
        <f t="shared" si="158"/>
        <v>1419.1800000000003</v>
      </c>
      <c r="AA174" s="107">
        <f t="shared" si="186"/>
        <v>37.79336</v>
      </c>
      <c r="AB174" s="107"/>
      <c r="AC174" s="107">
        <f t="shared" si="159"/>
        <v>597.4</v>
      </c>
      <c r="AD174" s="107">
        <f t="shared" si="160"/>
        <v>1369.396666666667</v>
      </c>
      <c r="AE174" s="107">
        <f t="shared" si="161"/>
        <v>1319.6133333333337</v>
      </c>
      <c r="AF174" s="107">
        <f t="shared" si="162"/>
        <v>1269.8300000000004</v>
      </c>
      <c r="AG174" s="107">
        <f t="shared" si="163"/>
        <v>1220.0466666666671</v>
      </c>
      <c r="AH174" s="107">
        <f t="shared" si="164"/>
        <v>1170.2633333333338</v>
      </c>
      <c r="AI174" s="107">
        <f t="shared" si="165"/>
        <v>1120.4800000000005</v>
      </c>
      <c r="AJ174" s="107">
        <f t="shared" si="166"/>
        <v>1070.6966666666672</v>
      </c>
      <c r="AK174" s="107">
        <f t="shared" si="167"/>
        <v>1020.9133333333339</v>
      </c>
      <c r="AL174" s="107">
        <f t="shared" si="168"/>
        <v>971.13000000000056</v>
      </c>
      <c r="AM174" s="107">
        <f t="shared" si="169"/>
        <v>921.34666666666726</v>
      </c>
      <c r="AN174" s="107">
        <f t="shared" si="170"/>
        <v>871.56333333333396</v>
      </c>
      <c r="AO174" s="107">
        <f t="shared" si="171"/>
        <v>821.78000000000065</v>
      </c>
      <c r="AP174" s="107">
        <f t="shared" si="187"/>
        <v>24.650560000000009</v>
      </c>
      <c r="AQ174" s="126"/>
      <c r="AR174" s="107">
        <f t="shared" si="173"/>
        <v>597.4</v>
      </c>
      <c r="AS174" s="107">
        <f t="shared" si="174"/>
        <v>771.99666666666735</v>
      </c>
      <c r="AT174" s="107">
        <f t="shared" si="175"/>
        <v>722.21333333333405</v>
      </c>
      <c r="AU174" s="107">
        <f t="shared" si="176"/>
        <v>672.43000000000075</v>
      </c>
      <c r="AV174" s="107">
        <f t="shared" si="177"/>
        <v>622.64666666666744</v>
      </c>
      <c r="AW174" s="107">
        <f t="shared" si="178"/>
        <v>572.86333333333414</v>
      </c>
      <c r="AX174" s="107">
        <f t="shared" si="179"/>
        <v>523.08000000000084</v>
      </c>
      <c r="AY174" s="107">
        <f t="shared" si="180"/>
        <v>473.29666666666753</v>
      </c>
      <c r="AZ174" s="107">
        <f t="shared" si="181"/>
        <v>423.51333333333423</v>
      </c>
      <c r="BA174" s="107">
        <f t="shared" si="182"/>
        <v>373.73000000000093</v>
      </c>
      <c r="BB174" s="107">
        <f t="shared" si="183"/>
        <v>323.94666666666762</v>
      </c>
      <c r="BC174" s="107">
        <f t="shared" si="184"/>
        <v>274.16333333333432</v>
      </c>
      <c r="BD174" s="107">
        <f t="shared" si="185"/>
        <v>224.38000000000099</v>
      </c>
      <c r="BE174" s="107">
        <f t="shared" si="188"/>
        <v>11.507760000000021</v>
      </c>
      <c r="BF174" s="127"/>
      <c r="BG174" s="127"/>
      <c r="BI174" s="127"/>
      <c r="BJ174" s="127"/>
      <c r="BK174" s="127"/>
      <c r="BL174" s="127"/>
      <c r="BM174" s="127"/>
      <c r="BN174" s="127"/>
      <c r="BO174" s="127"/>
      <c r="BP174" s="127"/>
      <c r="BQ174" s="127"/>
      <c r="BR174" s="127"/>
      <c r="BS174" s="127"/>
      <c r="BT174" s="127"/>
      <c r="BU174" s="127"/>
      <c r="BV174" s="127"/>
    </row>
    <row r="175" spans="1:75" ht="22.5" hidden="1" x14ac:dyDescent="0.2">
      <c r="A175" s="123" t="str">
        <f>'[2]2021 УГРЦТ'!A177</f>
        <v>ВЛ наружные сети ВЛ-6 кв п Искат  1997г.</v>
      </c>
      <c r="B175" s="124" t="str">
        <f>'[2]2021 УГРЦТ'!B177</f>
        <v>00000186</v>
      </c>
      <c r="C175" s="124" t="str">
        <f>VLOOKUP(A:A,'2023-2027'!A:L,1,+FALSE)</f>
        <v>ВЛ наружные сети ВЛ-6 кв п Искат  1997г.</v>
      </c>
      <c r="D175" s="124" t="str">
        <f>'[2]2021 УГРЦТ'!C177</f>
        <v>ПЕРЕДАЧА</v>
      </c>
      <c r="E175" s="124" t="str">
        <f>'[2]2021 УГРЦТ'!D177</f>
        <v>Сооружения</v>
      </c>
      <c r="F175" s="124" t="str">
        <f>'[2]2021 УГРЦТ'!E177</f>
        <v>01.12.1997</v>
      </c>
      <c r="G175" s="124" t="str">
        <f>'[2]2021 УГРЦТ'!F177</f>
        <v>Цех электрических сетей</v>
      </c>
      <c r="H175" s="124">
        <f>'[2]2021 УГРЦТ'!AC177</f>
        <v>300</v>
      </c>
      <c r="I175" s="107">
        <f>'[2]2021 УГРЦТ'!X177</f>
        <v>184877</v>
      </c>
      <c r="J175" s="107">
        <f>'[2]2021 УГРЦТ'!Y177</f>
        <v>155771.46</v>
      </c>
      <c r="K175" s="107">
        <f>'[2]2021 УГРЦТ'!Z177</f>
        <v>29105.540000000008</v>
      </c>
      <c r="L175" s="125" t="e">
        <f>SUMIF([2]облаг!$B$2:$B$259,B175,[2]облаг!$D$2:$D$259)</f>
        <v>#VALUE!</v>
      </c>
      <c r="M175" s="107">
        <f t="shared" si="120"/>
        <v>616.25666666666666</v>
      </c>
      <c r="N175" s="107">
        <f t="shared" si="121"/>
        <v>7395.08</v>
      </c>
      <c r="O175" s="107">
        <f t="shared" si="122"/>
        <v>28489.28333333334</v>
      </c>
      <c r="P175" s="107">
        <f t="shared" si="123"/>
        <v>27873.026666666672</v>
      </c>
      <c r="Q175" s="107">
        <f t="shared" si="149"/>
        <v>27256.770000000004</v>
      </c>
      <c r="R175" s="107">
        <f t="shared" si="150"/>
        <v>26640.513333333336</v>
      </c>
      <c r="S175" s="107">
        <f t="shared" si="151"/>
        <v>26024.256666666668</v>
      </c>
      <c r="T175" s="107">
        <f t="shared" si="152"/>
        <v>25408</v>
      </c>
      <c r="U175" s="107">
        <f t="shared" si="153"/>
        <v>24791.743333333332</v>
      </c>
      <c r="V175" s="107">
        <f t="shared" si="154"/>
        <v>24175.486666666664</v>
      </c>
      <c r="W175" s="107">
        <f t="shared" si="155"/>
        <v>23559.229999999996</v>
      </c>
      <c r="X175" s="107">
        <f t="shared" si="156"/>
        <v>22942.973333333328</v>
      </c>
      <c r="Y175" s="107">
        <f t="shared" si="157"/>
        <v>22326.71666666666</v>
      </c>
      <c r="Z175" s="107">
        <f t="shared" si="158"/>
        <v>21710.459999999992</v>
      </c>
      <c r="AA175" s="107">
        <f t="shared" si="186"/>
        <v>558.97600000000011</v>
      </c>
      <c r="AB175" s="107"/>
      <c r="AC175" s="107">
        <f t="shared" si="159"/>
        <v>7395.08</v>
      </c>
      <c r="AD175" s="107">
        <f t="shared" si="160"/>
        <v>21094.203333333324</v>
      </c>
      <c r="AE175" s="107">
        <f t="shared" si="161"/>
        <v>20477.946666666656</v>
      </c>
      <c r="AF175" s="107">
        <f t="shared" si="162"/>
        <v>19861.689999999988</v>
      </c>
      <c r="AG175" s="107">
        <f t="shared" si="163"/>
        <v>19245.43333333332</v>
      </c>
      <c r="AH175" s="107">
        <f t="shared" si="164"/>
        <v>18629.176666666652</v>
      </c>
      <c r="AI175" s="107">
        <f t="shared" si="165"/>
        <v>18012.919999999984</v>
      </c>
      <c r="AJ175" s="107">
        <f t="shared" si="166"/>
        <v>17396.663333333316</v>
      </c>
      <c r="AK175" s="107">
        <f t="shared" si="167"/>
        <v>16780.406666666648</v>
      </c>
      <c r="AL175" s="107">
        <f t="shared" si="168"/>
        <v>16164.149999999981</v>
      </c>
      <c r="AM175" s="107">
        <f t="shared" si="169"/>
        <v>15547.893333333315</v>
      </c>
      <c r="AN175" s="107">
        <f t="shared" si="170"/>
        <v>14931.636666666649</v>
      </c>
      <c r="AO175" s="107">
        <f t="shared" si="171"/>
        <v>14315.379999999983</v>
      </c>
      <c r="AP175" s="107">
        <f t="shared" si="187"/>
        <v>396.28423999999967</v>
      </c>
      <c r="AQ175" s="126"/>
      <c r="AR175" s="107">
        <f t="shared" si="173"/>
        <v>7395.08</v>
      </c>
      <c r="AS175" s="107">
        <f t="shared" si="174"/>
        <v>13699.123333333317</v>
      </c>
      <c r="AT175" s="107">
        <f t="shared" si="175"/>
        <v>13082.86666666665</v>
      </c>
      <c r="AU175" s="107">
        <f t="shared" si="176"/>
        <v>12466.609999999984</v>
      </c>
      <c r="AV175" s="107">
        <f t="shared" si="177"/>
        <v>11850.353333333318</v>
      </c>
      <c r="AW175" s="107">
        <f t="shared" si="178"/>
        <v>11234.096666666652</v>
      </c>
      <c r="AX175" s="107">
        <f t="shared" si="179"/>
        <v>10617.839999999986</v>
      </c>
      <c r="AY175" s="107">
        <f t="shared" si="180"/>
        <v>10001.583333333319</v>
      </c>
      <c r="AZ175" s="107">
        <f t="shared" si="181"/>
        <v>9385.3266666666532</v>
      </c>
      <c r="BA175" s="107">
        <f t="shared" si="182"/>
        <v>8769.069999999987</v>
      </c>
      <c r="BB175" s="107">
        <f t="shared" si="183"/>
        <v>8152.8133333333208</v>
      </c>
      <c r="BC175" s="107">
        <f t="shared" si="184"/>
        <v>7536.5566666666546</v>
      </c>
      <c r="BD175" s="107">
        <f t="shared" si="185"/>
        <v>6920.2999999999884</v>
      </c>
      <c r="BE175" s="107">
        <f t="shared" si="188"/>
        <v>233.59247999999968</v>
      </c>
      <c r="BF175" s="127"/>
      <c r="BG175" s="127"/>
      <c r="BI175" s="127"/>
      <c r="BJ175" s="127"/>
      <c r="BK175" s="127"/>
      <c r="BL175" s="127"/>
      <c r="BM175" s="127"/>
      <c r="BN175" s="127"/>
      <c r="BO175" s="127"/>
      <c r="BP175" s="127"/>
      <c r="BQ175" s="127"/>
      <c r="BR175" s="127"/>
      <c r="BS175" s="127"/>
      <c r="BT175" s="127"/>
      <c r="BU175" s="127"/>
      <c r="BV175" s="127"/>
    </row>
    <row r="176" spans="1:75" ht="22.5" hidden="1" x14ac:dyDescent="0.2">
      <c r="A176" s="123" t="str">
        <f>'[2]2021 УГРЦТ'!A178</f>
        <v>ВЛ-0,4 КВ 1800м на дер опоре  ул Монт 1998г</v>
      </c>
      <c r="B176" s="124" t="str">
        <f>'[2]2021 УГРЦТ'!B178</f>
        <v>00000255</v>
      </c>
      <c r="C176" s="124" t="str">
        <f>VLOOKUP(A:A,'2023-2027'!A:L,1,+FALSE)</f>
        <v>ВЛ-0,4 КВ 1800м на дер опоре  ул Монт 1998г</v>
      </c>
      <c r="D176" s="124" t="str">
        <f>'[2]2021 УГРЦТ'!C178</f>
        <v>ПЕРЕДАЧА</v>
      </c>
      <c r="E176" s="124" t="str">
        <f>'[2]2021 УГРЦТ'!D178</f>
        <v>Сооружения</v>
      </c>
      <c r="F176" s="124" t="str">
        <f>'[2]2021 УГРЦТ'!E178</f>
        <v>01.09.1998</v>
      </c>
      <c r="G176" s="124" t="str">
        <f>'[2]2021 УГРЦТ'!F178</f>
        <v>Цех электрических сетей</v>
      </c>
      <c r="H176" s="124">
        <f>'[2]2021 УГРЦТ'!AC178</f>
        <v>444</v>
      </c>
      <c r="I176" s="107">
        <f>'[2]2021 УГРЦТ'!X178</f>
        <v>858676.65</v>
      </c>
      <c r="J176" s="107">
        <f>'[2]2021 УГРЦТ'!Y178</f>
        <v>270802.40000000002</v>
      </c>
      <c r="K176" s="107">
        <f>'[2]2021 УГРЦТ'!Z178</f>
        <v>587874.25</v>
      </c>
      <c r="L176" s="125" t="e">
        <f>SUMIF([2]облаг!$B$2:$B$259,B176,[2]облаг!$D$2:$D$259)</f>
        <v>#VALUE!</v>
      </c>
      <c r="M176" s="107">
        <f t="shared" si="120"/>
        <v>1933.9564189189189</v>
      </c>
      <c r="N176" s="107">
        <f t="shared" si="121"/>
        <v>23207.477027027027</v>
      </c>
      <c r="O176" s="107">
        <f t="shared" si="122"/>
        <v>585940.29358108109</v>
      </c>
      <c r="P176" s="107">
        <f t="shared" si="123"/>
        <v>584006.33716216218</v>
      </c>
      <c r="Q176" s="107">
        <f t="shared" si="149"/>
        <v>582072.38074324327</v>
      </c>
      <c r="R176" s="107">
        <f t="shared" si="150"/>
        <v>580138.42432432435</v>
      </c>
      <c r="S176" s="107">
        <f t="shared" si="151"/>
        <v>578204.46790540544</v>
      </c>
      <c r="T176" s="107">
        <f t="shared" si="152"/>
        <v>576270.51148648653</v>
      </c>
      <c r="U176" s="107">
        <f t="shared" si="153"/>
        <v>574336.55506756762</v>
      </c>
      <c r="V176" s="107">
        <f t="shared" si="154"/>
        <v>572402.59864864871</v>
      </c>
      <c r="W176" s="107">
        <f t="shared" si="155"/>
        <v>570468.6422297298</v>
      </c>
      <c r="X176" s="107">
        <f t="shared" si="156"/>
        <v>568534.68581081089</v>
      </c>
      <c r="Y176" s="107">
        <f t="shared" si="157"/>
        <v>566600.72939189197</v>
      </c>
      <c r="Z176" s="107">
        <f t="shared" si="158"/>
        <v>564666.77297297306</v>
      </c>
      <c r="AA176" s="107">
        <f t="shared" si="186"/>
        <v>12677.951252702705</v>
      </c>
      <c r="AB176" s="107"/>
      <c r="AC176" s="107">
        <f t="shared" si="159"/>
        <v>23207.477027027027</v>
      </c>
      <c r="AD176" s="107">
        <f t="shared" si="160"/>
        <v>562732.81655405415</v>
      </c>
      <c r="AE176" s="107">
        <f t="shared" si="161"/>
        <v>560798.86013513524</v>
      </c>
      <c r="AF176" s="107">
        <f t="shared" si="162"/>
        <v>558864.90371621633</v>
      </c>
      <c r="AG176" s="107">
        <f t="shared" si="163"/>
        <v>556930.94729729742</v>
      </c>
      <c r="AH176" s="107">
        <f t="shared" si="164"/>
        <v>554996.99087837851</v>
      </c>
      <c r="AI176" s="107">
        <f t="shared" si="165"/>
        <v>553063.0344594596</v>
      </c>
      <c r="AJ176" s="107">
        <f t="shared" si="166"/>
        <v>551129.07804054068</v>
      </c>
      <c r="AK176" s="107">
        <f t="shared" si="167"/>
        <v>549195.12162162177</v>
      </c>
      <c r="AL176" s="107">
        <f t="shared" si="168"/>
        <v>547261.16520270286</v>
      </c>
      <c r="AM176" s="107">
        <f t="shared" si="169"/>
        <v>545327.20878378395</v>
      </c>
      <c r="AN176" s="107">
        <f t="shared" si="170"/>
        <v>543393.25236486504</v>
      </c>
      <c r="AO176" s="107">
        <f t="shared" si="171"/>
        <v>541459.29594594613</v>
      </c>
      <c r="AP176" s="107">
        <f t="shared" si="187"/>
        <v>12167.386758108112</v>
      </c>
      <c r="AQ176" s="126"/>
      <c r="AR176" s="107">
        <f t="shared" si="173"/>
        <v>23207.477027027027</v>
      </c>
      <c r="AS176" s="107">
        <f t="shared" si="174"/>
        <v>539525.33952702722</v>
      </c>
      <c r="AT176" s="107">
        <f t="shared" si="175"/>
        <v>537591.3831081083</v>
      </c>
      <c r="AU176" s="107">
        <f t="shared" si="176"/>
        <v>535657.42668918939</v>
      </c>
      <c r="AV176" s="107">
        <f t="shared" si="177"/>
        <v>533723.47027027048</v>
      </c>
      <c r="AW176" s="107">
        <f t="shared" si="178"/>
        <v>531789.51385135157</v>
      </c>
      <c r="AX176" s="107">
        <f t="shared" si="179"/>
        <v>529855.55743243266</v>
      </c>
      <c r="AY176" s="107">
        <f t="shared" si="180"/>
        <v>527921.60101351375</v>
      </c>
      <c r="AZ176" s="107">
        <f t="shared" si="181"/>
        <v>525987.64459459484</v>
      </c>
      <c r="BA176" s="107">
        <f t="shared" si="182"/>
        <v>524053.68817567592</v>
      </c>
      <c r="BB176" s="107">
        <f t="shared" si="183"/>
        <v>522119.73175675701</v>
      </c>
      <c r="BC176" s="107">
        <f t="shared" si="184"/>
        <v>520185.7753378381</v>
      </c>
      <c r="BD176" s="107">
        <f t="shared" si="185"/>
        <v>518251.81891891919</v>
      </c>
      <c r="BE176" s="107">
        <f t="shared" si="188"/>
        <v>11656.822263513521</v>
      </c>
      <c r="BF176" s="127"/>
      <c r="BG176" s="127"/>
      <c r="BH176" s="127"/>
      <c r="BI176" s="127"/>
      <c r="BJ176" s="127"/>
      <c r="BK176" s="127"/>
      <c r="BL176" s="127"/>
      <c r="BM176" s="127"/>
      <c r="BN176" s="127"/>
      <c r="BO176" s="127"/>
      <c r="BP176" s="127"/>
      <c r="BQ176" s="127"/>
      <c r="BR176" s="127"/>
      <c r="BS176" s="127"/>
      <c r="BT176" s="127"/>
      <c r="BU176" s="127"/>
      <c r="BV176" s="127"/>
      <c r="BW176" s="127"/>
    </row>
    <row r="177" spans="1:75" ht="22.5" hidden="1" x14ac:dyDescent="0.2">
      <c r="A177" s="123" t="str">
        <f>'[2]2021 УГРЦТ'!A179</f>
        <v>ВЛ-0,4 кВ от ТП-61 "Поликлиника" фидер "Губкина 16"</v>
      </c>
      <c r="B177" s="124" t="str">
        <f>'[2]2021 УГРЦТ'!B179</f>
        <v>000001826</v>
      </c>
      <c r="C177" s="124" t="str">
        <f>VLOOKUP(A:A,'2023-2027'!A:L,1,+FALSE)</f>
        <v>ВЛ-0,4 кВ от ТП-61 "Поликлиника" фидер "Губкина 16"</v>
      </c>
      <c r="D177" s="124" t="str">
        <f>'[2]2021 УГРЦТ'!C179</f>
        <v>ПЕРЕДАЧА</v>
      </c>
      <c r="E177" s="124" t="str">
        <f>'[2]2021 УГРЦТ'!D179</f>
        <v>Сооружения</v>
      </c>
      <c r="F177" s="124" t="str">
        <f>'[2]2021 УГРЦТ'!E179</f>
        <v>04.12.2020</v>
      </c>
      <c r="G177" s="124" t="str">
        <f>'[2]2021 УГРЦТ'!F179</f>
        <v>Цех электрических сетей</v>
      </c>
      <c r="H177" s="124">
        <f>'[2]2021 УГРЦТ'!AC179</f>
        <v>480</v>
      </c>
      <c r="I177" s="107">
        <f>'[2]2021 УГРЦТ'!X179</f>
        <v>1251674.82</v>
      </c>
      <c r="J177" s="107">
        <f>'[2]2021 УГРЦТ'!Y179</f>
        <v>31291.870500000001</v>
      </c>
      <c r="K177" s="107">
        <f>'[2]2021 УГРЦТ'!Z179</f>
        <v>1220382.9495000001</v>
      </c>
      <c r="L177" s="125" t="e">
        <f>SUMIF([2]облаг!$B$2:$B$259,B177,[2]облаг!$D$2:$D$259)</f>
        <v>#VALUE!</v>
      </c>
      <c r="M177" s="107">
        <f t="shared" si="120"/>
        <v>2607.6558749999999</v>
      </c>
      <c r="N177" s="107">
        <f t="shared" si="121"/>
        <v>31291.870499999997</v>
      </c>
      <c r="O177" s="107">
        <f t="shared" si="122"/>
        <v>1217775.2936250002</v>
      </c>
      <c r="P177" s="107">
        <f t="shared" si="123"/>
        <v>1215167.6377500002</v>
      </c>
      <c r="Q177" s="107">
        <f t="shared" si="149"/>
        <v>1212559.9818750003</v>
      </c>
      <c r="R177" s="107">
        <f t="shared" si="150"/>
        <v>1209952.3260000004</v>
      </c>
      <c r="S177" s="107">
        <f t="shared" si="151"/>
        <v>1207344.6701250004</v>
      </c>
      <c r="T177" s="107">
        <f t="shared" si="152"/>
        <v>1204737.0142500005</v>
      </c>
      <c r="U177" s="107">
        <f t="shared" si="153"/>
        <v>1202129.3583750005</v>
      </c>
      <c r="V177" s="107">
        <f t="shared" si="154"/>
        <v>1199521.7025000006</v>
      </c>
      <c r="W177" s="107">
        <f t="shared" si="155"/>
        <v>1196914.0466250007</v>
      </c>
      <c r="X177" s="107">
        <f t="shared" si="156"/>
        <v>1194306.3907500007</v>
      </c>
      <c r="Y177" s="107">
        <f t="shared" si="157"/>
        <v>1191698.7348750008</v>
      </c>
      <c r="Z177" s="107">
        <f t="shared" si="158"/>
        <v>1189091.0790000008</v>
      </c>
      <c r="AA177" s="107">
        <f t="shared" si="186"/>
        <v>26504.214313500008</v>
      </c>
      <c r="AB177" s="107"/>
      <c r="AC177" s="107">
        <f t="shared" si="159"/>
        <v>31291.870499999997</v>
      </c>
      <c r="AD177" s="107">
        <f t="shared" si="160"/>
        <v>1186483.4231250009</v>
      </c>
      <c r="AE177" s="107">
        <f t="shared" si="161"/>
        <v>1183875.767250001</v>
      </c>
      <c r="AF177" s="107">
        <f t="shared" si="162"/>
        <v>1181268.111375001</v>
      </c>
      <c r="AG177" s="107">
        <f t="shared" si="163"/>
        <v>1178660.4555000011</v>
      </c>
      <c r="AH177" s="107">
        <f t="shared" si="164"/>
        <v>1176052.7996250011</v>
      </c>
      <c r="AI177" s="107">
        <f t="shared" si="165"/>
        <v>1173445.1437500012</v>
      </c>
      <c r="AJ177" s="107">
        <f t="shared" si="166"/>
        <v>1170837.4878750013</v>
      </c>
      <c r="AK177" s="107">
        <f t="shared" si="167"/>
        <v>1168229.8320000013</v>
      </c>
      <c r="AL177" s="107">
        <f t="shared" si="168"/>
        <v>1165622.1761250014</v>
      </c>
      <c r="AM177" s="107">
        <f t="shared" si="169"/>
        <v>1163014.5202500015</v>
      </c>
      <c r="AN177" s="107">
        <f t="shared" si="170"/>
        <v>1160406.8643750015</v>
      </c>
      <c r="AO177" s="107">
        <f t="shared" si="171"/>
        <v>1157799.2085000016</v>
      </c>
      <c r="AP177" s="107">
        <f t="shared" si="187"/>
        <v>25815.79316250002</v>
      </c>
      <c r="AQ177" s="126"/>
      <c r="AR177" s="107">
        <f t="shared" si="173"/>
        <v>31291.870499999997</v>
      </c>
      <c r="AS177" s="107">
        <f t="shared" si="174"/>
        <v>1155191.5526250016</v>
      </c>
      <c r="AT177" s="107">
        <f t="shared" si="175"/>
        <v>1152583.8967500017</v>
      </c>
      <c r="AU177" s="107">
        <f t="shared" si="176"/>
        <v>1149976.2408750018</v>
      </c>
      <c r="AV177" s="107">
        <f t="shared" si="177"/>
        <v>1147368.5850000018</v>
      </c>
      <c r="AW177" s="107">
        <f t="shared" si="178"/>
        <v>1144760.9291250019</v>
      </c>
      <c r="AX177" s="107">
        <f t="shared" si="179"/>
        <v>1142153.2732500019</v>
      </c>
      <c r="AY177" s="107">
        <f t="shared" si="180"/>
        <v>1139545.617375002</v>
      </c>
      <c r="AZ177" s="107">
        <f t="shared" si="181"/>
        <v>1136937.9615000021</v>
      </c>
      <c r="BA177" s="107">
        <f t="shared" si="182"/>
        <v>1134330.3056250021</v>
      </c>
      <c r="BB177" s="107">
        <f t="shared" si="183"/>
        <v>1131722.6497500022</v>
      </c>
      <c r="BC177" s="107">
        <f t="shared" si="184"/>
        <v>1129114.9938750023</v>
      </c>
      <c r="BD177" s="107">
        <f t="shared" si="185"/>
        <v>1126507.3380000023</v>
      </c>
      <c r="BE177" s="107">
        <f t="shared" si="188"/>
        <v>25127.37201150004</v>
      </c>
      <c r="BF177" s="127"/>
      <c r="BG177" s="127"/>
      <c r="BH177" s="127"/>
      <c r="BI177" s="127"/>
      <c r="BJ177" s="127"/>
      <c r="BK177" s="127"/>
      <c r="BL177" s="127"/>
      <c r="BM177" s="127"/>
      <c r="BN177" s="127"/>
      <c r="BO177" s="127"/>
      <c r="BP177" s="127"/>
      <c r="BQ177" s="127"/>
      <c r="BR177" s="127"/>
      <c r="BS177" s="127"/>
      <c r="BT177" s="127"/>
      <c r="BU177" s="127"/>
      <c r="BV177" s="127"/>
      <c r="BW177" s="127"/>
    </row>
    <row r="178" spans="1:75" ht="22.5" hidden="1" x14ac:dyDescent="0.2">
      <c r="A178" s="123" t="str">
        <f>'[2]2021 УГРЦТ'!A180</f>
        <v>ВЛ-0,4 кВ р-н ул.Первомайская, д.8  160м</v>
      </c>
      <c r="B178" s="124" t="str">
        <f>'[2]2021 УГРЦТ'!B180</f>
        <v>00001360</v>
      </c>
      <c r="C178" s="124" t="str">
        <f>VLOOKUP(A:A,'2023-2027'!A:L,1,+FALSE)</f>
        <v>ВЛ-0,4 кВ р-н ул.Первомайская, д.8  160м</v>
      </c>
      <c r="D178" s="124" t="str">
        <f>'[2]2021 УГРЦТ'!C180</f>
        <v>ПЕРЕДАЧА</v>
      </c>
      <c r="E178" s="124" t="str">
        <f>'[2]2021 УГРЦТ'!D180</f>
        <v>Сооружения</v>
      </c>
      <c r="F178" s="124" t="str">
        <f>'[2]2021 УГРЦТ'!E180</f>
        <v>30.06.2011</v>
      </c>
      <c r="G178" s="124" t="str">
        <f>'[2]2021 УГРЦТ'!F180</f>
        <v>Цех электрических сетей</v>
      </c>
      <c r="H178" s="124">
        <f>'[2]2021 УГРЦТ'!AC180</f>
        <v>398</v>
      </c>
      <c r="I178" s="107">
        <f>'[2]2021 УГРЦТ'!X180</f>
        <v>141175.79</v>
      </c>
      <c r="J178" s="107">
        <f>'[2]2021 УГРЦТ'!Y180</f>
        <v>43434.34</v>
      </c>
      <c r="K178" s="107">
        <f>'[2]2021 УГРЦТ'!Z180</f>
        <v>97741.450000000012</v>
      </c>
      <c r="L178" s="125" t="e">
        <f>SUMIF([2]облаг!$B$2:$B$259,B178,[2]облаг!$D$2:$D$259)</f>
        <v>#VALUE!</v>
      </c>
      <c r="M178" s="107">
        <f t="shared" si="120"/>
        <v>354.71304020100507</v>
      </c>
      <c r="N178" s="107">
        <f t="shared" si="121"/>
        <v>4256.5564824120611</v>
      </c>
      <c r="O178" s="107">
        <f t="shared" si="122"/>
        <v>97386.736959799004</v>
      </c>
      <c r="P178" s="107">
        <f t="shared" si="123"/>
        <v>97032.023919597996</v>
      </c>
      <c r="Q178" s="107">
        <f t="shared" si="149"/>
        <v>96677.310879396988</v>
      </c>
      <c r="R178" s="107">
        <f t="shared" si="150"/>
        <v>96322.59783919598</v>
      </c>
      <c r="S178" s="107">
        <f t="shared" si="151"/>
        <v>95967.884798994972</v>
      </c>
      <c r="T178" s="107">
        <f t="shared" si="152"/>
        <v>95613.171758793964</v>
      </c>
      <c r="U178" s="107">
        <f t="shared" si="153"/>
        <v>95258.458718592956</v>
      </c>
      <c r="V178" s="107">
        <f t="shared" si="154"/>
        <v>94903.745678391948</v>
      </c>
      <c r="W178" s="107">
        <f t="shared" si="155"/>
        <v>94549.03263819094</v>
      </c>
      <c r="X178" s="107">
        <f t="shared" si="156"/>
        <v>94194.319597989932</v>
      </c>
      <c r="Y178" s="107">
        <f t="shared" si="157"/>
        <v>93839.606557788924</v>
      </c>
      <c r="Z178" s="107">
        <f t="shared" si="158"/>
        <v>93484.893517587916</v>
      </c>
      <c r="AA178" s="107">
        <f t="shared" si="186"/>
        <v>2103.4897786934671</v>
      </c>
      <c r="AB178" s="107"/>
      <c r="AC178" s="107">
        <f t="shared" si="159"/>
        <v>4256.5564824120611</v>
      </c>
      <c r="AD178" s="107">
        <f t="shared" si="160"/>
        <v>93130.180477386908</v>
      </c>
      <c r="AE178" s="107">
        <f t="shared" si="161"/>
        <v>92775.4674371859</v>
      </c>
      <c r="AF178" s="107">
        <f t="shared" si="162"/>
        <v>92420.754396984892</v>
      </c>
      <c r="AG178" s="107">
        <f t="shared" si="163"/>
        <v>92066.041356783884</v>
      </c>
      <c r="AH178" s="107">
        <f t="shared" si="164"/>
        <v>91711.328316582876</v>
      </c>
      <c r="AI178" s="107">
        <f t="shared" si="165"/>
        <v>91356.615276381868</v>
      </c>
      <c r="AJ178" s="107">
        <f t="shared" si="166"/>
        <v>91001.90223618086</v>
      </c>
      <c r="AK178" s="107">
        <f t="shared" si="167"/>
        <v>90647.189195979852</v>
      </c>
      <c r="AL178" s="107">
        <f t="shared" si="168"/>
        <v>90292.476155778844</v>
      </c>
      <c r="AM178" s="107">
        <f t="shared" si="169"/>
        <v>89937.763115577836</v>
      </c>
      <c r="AN178" s="107">
        <f t="shared" si="170"/>
        <v>89583.050075376828</v>
      </c>
      <c r="AO178" s="107">
        <f t="shared" si="171"/>
        <v>89228.33703517582</v>
      </c>
      <c r="AP178" s="107">
        <f t="shared" si="187"/>
        <v>2009.845536080401</v>
      </c>
      <c r="AQ178" s="126"/>
      <c r="AR178" s="107">
        <f t="shared" si="173"/>
        <v>4256.5564824120611</v>
      </c>
      <c r="AS178" s="107">
        <f t="shared" si="174"/>
        <v>88873.623994974812</v>
      </c>
      <c r="AT178" s="107">
        <f t="shared" si="175"/>
        <v>88518.910954773804</v>
      </c>
      <c r="AU178" s="107">
        <f t="shared" si="176"/>
        <v>88164.197914572796</v>
      </c>
      <c r="AV178" s="107">
        <f t="shared" si="177"/>
        <v>87809.484874371788</v>
      </c>
      <c r="AW178" s="107">
        <f t="shared" si="178"/>
        <v>87454.77183417078</v>
      </c>
      <c r="AX178" s="107">
        <f t="shared" si="179"/>
        <v>87100.058793969773</v>
      </c>
      <c r="AY178" s="107">
        <f t="shared" si="180"/>
        <v>86745.345753768765</v>
      </c>
      <c r="AZ178" s="107">
        <f t="shared" si="181"/>
        <v>86390.632713567757</v>
      </c>
      <c r="BA178" s="107">
        <f t="shared" si="182"/>
        <v>86035.919673366749</v>
      </c>
      <c r="BB178" s="107">
        <f t="shared" si="183"/>
        <v>85681.206633165741</v>
      </c>
      <c r="BC178" s="107">
        <f t="shared" si="184"/>
        <v>85326.493592964733</v>
      </c>
      <c r="BD178" s="107">
        <f t="shared" si="185"/>
        <v>84971.780552763725</v>
      </c>
      <c r="BE178" s="107">
        <f t="shared" si="188"/>
        <v>1916.2012934673348</v>
      </c>
      <c r="BF178" s="127"/>
      <c r="BG178" s="127"/>
      <c r="BH178" s="127"/>
      <c r="BI178" s="127"/>
      <c r="BJ178" s="127"/>
      <c r="BK178" s="127"/>
      <c r="BL178" s="127"/>
      <c r="BM178" s="127"/>
      <c r="BN178" s="127"/>
      <c r="BO178" s="127"/>
      <c r="BP178" s="127"/>
      <c r="BQ178" s="127"/>
      <c r="BR178" s="127"/>
      <c r="BS178" s="127"/>
      <c r="BT178" s="127"/>
      <c r="BU178" s="127"/>
      <c r="BV178" s="127"/>
      <c r="BW178" s="127"/>
    </row>
    <row r="179" spans="1:75" hidden="1" x14ac:dyDescent="0.2">
      <c r="A179" s="123" t="str">
        <f>'[2]2021 УГРЦТ'!A181</f>
        <v>ВЛ-0,4кВ "Малый Качгорт"</v>
      </c>
      <c r="B179" s="124" t="str">
        <f>'[2]2021 УГРЦТ'!B181</f>
        <v>000001698</v>
      </c>
      <c r="C179" s="124" t="str">
        <f>VLOOKUP(A:A,'2023-2027'!A:L,1,+FALSE)</f>
        <v>ВЛ-0,4кВ "Малый Качгорт"</v>
      </c>
      <c r="D179" s="124" t="str">
        <f>'[2]2021 УГРЦТ'!C181</f>
        <v>ПЕРЕДАЧА</v>
      </c>
      <c r="E179" s="124" t="str">
        <f>'[2]2021 УГРЦТ'!D181</f>
        <v>Сооружения</v>
      </c>
      <c r="F179" s="124" t="str">
        <f>'[2]2021 УГРЦТ'!E181</f>
        <v>09.12.2016</v>
      </c>
      <c r="G179" s="124" t="str">
        <f>'[2]2021 УГРЦТ'!F181</f>
        <v>Цех электрических сетей</v>
      </c>
      <c r="H179" s="124">
        <f>'[2]2021 УГРЦТ'!AC181</f>
        <v>180</v>
      </c>
      <c r="I179" s="107">
        <f>'[2]2021 УГРЦТ'!X181</f>
        <v>246467.05</v>
      </c>
      <c r="J179" s="107">
        <f>'[2]2021 УГРЦТ'!Y181</f>
        <v>82155.616666666654</v>
      </c>
      <c r="K179" s="107">
        <f>'[2]2021 УГРЦТ'!Z181</f>
        <v>164311.43333333335</v>
      </c>
      <c r="L179" s="125" t="e">
        <f>SUMIF([2]облаг!$B$2:$B$259,B179,[2]облаг!$D$2:$D$259)</f>
        <v>#VALUE!</v>
      </c>
      <c r="M179" s="107">
        <f t="shared" si="120"/>
        <v>1369.2613888888889</v>
      </c>
      <c r="N179" s="107">
        <f t="shared" si="121"/>
        <v>16431.136666666665</v>
      </c>
      <c r="O179" s="107">
        <f t="shared" si="122"/>
        <v>162942.17194444445</v>
      </c>
      <c r="P179" s="107">
        <f t="shared" si="123"/>
        <v>161572.91055555554</v>
      </c>
      <c r="Q179" s="107">
        <f t="shared" si="149"/>
        <v>160203.64916666664</v>
      </c>
      <c r="R179" s="107">
        <f t="shared" si="150"/>
        <v>158834.38777777774</v>
      </c>
      <c r="S179" s="107">
        <f t="shared" si="151"/>
        <v>157465.12638888884</v>
      </c>
      <c r="T179" s="107">
        <f t="shared" si="152"/>
        <v>156095.86499999993</v>
      </c>
      <c r="U179" s="107">
        <f t="shared" si="153"/>
        <v>154726.60361111103</v>
      </c>
      <c r="V179" s="107">
        <f t="shared" si="154"/>
        <v>153357.34222222213</v>
      </c>
      <c r="W179" s="107">
        <f t="shared" si="155"/>
        <v>151988.08083333322</v>
      </c>
      <c r="X179" s="107">
        <f t="shared" si="156"/>
        <v>150618.81944444432</v>
      </c>
      <c r="Y179" s="107">
        <f t="shared" si="157"/>
        <v>149249.55805555542</v>
      </c>
      <c r="Z179" s="107">
        <f t="shared" si="158"/>
        <v>147880.29666666652</v>
      </c>
      <c r="AA179" s="107">
        <f t="shared" si="186"/>
        <v>3434.1090299999983</v>
      </c>
      <c r="AB179" s="107"/>
      <c r="AC179" s="107">
        <f t="shared" si="159"/>
        <v>16431.136666666665</v>
      </c>
      <c r="AD179" s="107">
        <f t="shared" si="160"/>
        <v>146511.03527777761</v>
      </c>
      <c r="AE179" s="107">
        <f t="shared" si="161"/>
        <v>145141.77388888871</v>
      </c>
      <c r="AF179" s="107">
        <f t="shared" si="162"/>
        <v>143772.51249999981</v>
      </c>
      <c r="AG179" s="107">
        <f t="shared" si="163"/>
        <v>142403.25111111091</v>
      </c>
      <c r="AH179" s="107">
        <f t="shared" si="164"/>
        <v>141033.989722222</v>
      </c>
      <c r="AI179" s="107">
        <f t="shared" si="165"/>
        <v>139664.7283333331</v>
      </c>
      <c r="AJ179" s="107">
        <f t="shared" si="166"/>
        <v>138295.4669444442</v>
      </c>
      <c r="AK179" s="107">
        <f t="shared" si="167"/>
        <v>136926.20555555529</v>
      </c>
      <c r="AL179" s="107">
        <f t="shared" si="168"/>
        <v>135556.94416666639</v>
      </c>
      <c r="AM179" s="107">
        <f t="shared" si="169"/>
        <v>134187.68277777749</v>
      </c>
      <c r="AN179" s="107">
        <f t="shared" si="170"/>
        <v>132818.42138888859</v>
      </c>
      <c r="AO179" s="107">
        <f t="shared" si="171"/>
        <v>131449.15999999968</v>
      </c>
      <c r="AP179" s="107">
        <f t="shared" si="187"/>
        <v>3072.6240233333274</v>
      </c>
      <c r="AQ179" s="126"/>
      <c r="AR179" s="107">
        <f t="shared" si="173"/>
        <v>16431.136666666665</v>
      </c>
      <c r="AS179" s="107">
        <f t="shared" si="174"/>
        <v>130079.8986111108</v>
      </c>
      <c r="AT179" s="107">
        <f t="shared" si="175"/>
        <v>128710.63722222191</v>
      </c>
      <c r="AU179" s="107">
        <f t="shared" si="176"/>
        <v>127341.37583333302</v>
      </c>
      <c r="AV179" s="107">
        <f t="shared" si="177"/>
        <v>125972.11444444413</v>
      </c>
      <c r="AW179" s="107">
        <f t="shared" si="178"/>
        <v>124602.85305555524</v>
      </c>
      <c r="AX179" s="107">
        <f t="shared" si="179"/>
        <v>123233.59166666635</v>
      </c>
      <c r="AY179" s="107">
        <f t="shared" si="180"/>
        <v>121864.33027777747</v>
      </c>
      <c r="AZ179" s="107">
        <f t="shared" si="181"/>
        <v>120495.06888888858</v>
      </c>
      <c r="BA179" s="107">
        <f t="shared" si="182"/>
        <v>119125.80749999969</v>
      </c>
      <c r="BB179" s="107">
        <f t="shared" si="183"/>
        <v>117756.5461111108</v>
      </c>
      <c r="BC179" s="107">
        <f t="shared" si="184"/>
        <v>116387.28472222191</v>
      </c>
      <c r="BD179" s="107">
        <f t="shared" si="185"/>
        <v>115018.02333333303</v>
      </c>
      <c r="BE179" s="107">
        <f t="shared" si="188"/>
        <v>2711.1390166666597</v>
      </c>
      <c r="BF179" s="127"/>
      <c r="BG179" s="127"/>
      <c r="BH179" s="127"/>
      <c r="BI179" s="127"/>
      <c r="BJ179" s="127"/>
      <c r="BK179" s="127"/>
      <c r="BL179" s="127"/>
      <c r="BM179" s="127"/>
      <c r="BN179" s="127"/>
      <c r="BO179" s="127"/>
      <c r="BP179" s="127"/>
      <c r="BQ179" s="127"/>
      <c r="BR179" s="127"/>
      <c r="BS179" s="127"/>
      <c r="BT179" s="127"/>
      <c r="BU179" s="127"/>
      <c r="BV179" s="127"/>
      <c r="BW179" s="127"/>
    </row>
    <row r="180" spans="1:75" ht="22.5" hidden="1" x14ac:dyDescent="0.2">
      <c r="A180" s="123" t="str">
        <f>'[2]2021 УГРЦТ'!A182</f>
        <v>ВЛ-0,4кВ (от ТП Бондарная до очистных) 240м</v>
      </c>
      <c r="B180" s="124" t="str">
        <f>'[2]2021 УГРЦТ'!B182</f>
        <v>00001225</v>
      </c>
      <c r="C180" s="124" t="str">
        <f>VLOOKUP(A:A,'2023-2027'!A:L,1,+FALSE)</f>
        <v>ВЛ-0,4кВ (от ТП Бондарная до очистных) 240м</v>
      </c>
      <c r="D180" s="124" t="str">
        <f>'[2]2021 УГРЦТ'!C182</f>
        <v>ПЕРЕДАЧА</v>
      </c>
      <c r="E180" s="124" t="str">
        <f>'[2]2021 УГРЦТ'!D182</f>
        <v>Сооружения</v>
      </c>
      <c r="F180" s="124" t="str">
        <f>'[2]2021 УГРЦТ'!E182</f>
        <v>30.06.2010</v>
      </c>
      <c r="G180" s="124" t="str">
        <f>'[2]2021 УГРЦТ'!F182</f>
        <v>Цех электрических сетей</v>
      </c>
      <c r="H180" s="124">
        <f>'[2]2021 УГРЦТ'!AC182</f>
        <v>410</v>
      </c>
      <c r="I180" s="107">
        <f>'[2]2021 УГРЦТ'!X182</f>
        <v>511357.63</v>
      </c>
      <c r="J180" s="107">
        <f>'[2]2021 УГРЦТ'!Y182</f>
        <v>180397.62</v>
      </c>
      <c r="K180" s="107">
        <f>'[2]2021 УГРЦТ'!Z182</f>
        <v>330960.01</v>
      </c>
      <c r="L180" s="125" t="e">
        <f>SUMIF([2]облаг!$B$2:$B$259,B180,[2]облаг!$D$2:$D$259)</f>
        <v>#VALUE!</v>
      </c>
      <c r="M180" s="107">
        <f t="shared" si="120"/>
        <v>1247.213731707317</v>
      </c>
      <c r="N180" s="107">
        <f t="shared" si="121"/>
        <v>14966.564780487804</v>
      </c>
      <c r="O180" s="107">
        <f t="shared" si="122"/>
        <v>329712.7962682927</v>
      </c>
      <c r="P180" s="107">
        <f t="shared" si="123"/>
        <v>328465.5825365854</v>
      </c>
      <c r="Q180" s="107">
        <f t="shared" si="149"/>
        <v>327218.36880487809</v>
      </c>
      <c r="R180" s="107">
        <f t="shared" si="150"/>
        <v>325971.15507317078</v>
      </c>
      <c r="S180" s="107">
        <f t="shared" si="151"/>
        <v>324723.94134146348</v>
      </c>
      <c r="T180" s="107">
        <f t="shared" si="152"/>
        <v>323476.72760975617</v>
      </c>
      <c r="U180" s="107">
        <f t="shared" si="153"/>
        <v>322229.51387804886</v>
      </c>
      <c r="V180" s="107">
        <f t="shared" si="154"/>
        <v>320982.30014634156</v>
      </c>
      <c r="W180" s="107">
        <f t="shared" si="155"/>
        <v>319735.08641463425</v>
      </c>
      <c r="X180" s="107">
        <f t="shared" si="156"/>
        <v>318487.87268292694</v>
      </c>
      <c r="Y180" s="107">
        <f t="shared" si="157"/>
        <v>317240.65895121964</v>
      </c>
      <c r="Z180" s="107">
        <f t="shared" si="158"/>
        <v>315993.44521951233</v>
      </c>
      <c r="AA180" s="107">
        <f t="shared" si="186"/>
        <v>7116.4880074146349</v>
      </c>
      <c r="AB180" s="107"/>
      <c r="AC180" s="107">
        <f t="shared" si="159"/>
        <v>14966.564780487804</v>
      </c>
      <c r="AD180" s="107">
        <f t="shared" si="160"/>
        <v>314746.23148780502</v>
      </c>
      <c r="AE180" s="107">
        <f t="shared" si="161"/>
        <v>313499.01775609772</v>
      </c>
      <c r="AF180" s="107">
        <f t="shared" si="162"/>
        <v>312251.80402439041</v>
      </c>
      <c r="AG180" s="107">
        <f t="shared" si="163"/>
        <v>311004.5902926831</v>
      </c>
      <c r="AH180" s="107">
        <f t="shared" si="164"/>
        <v>309757.3765609758</v>
      </c>
      <c r="AI180" s="107">
        <f t="shared" si="165"/>
        <v>308510.16282926849</v>
      </c>
      <c r="AJ180" s="107">
        <f t="shared" si="166"/>
        <v>307262.94909756118</v>
      </c>
      <c r="AK180" s="107">
        <f t="shared" si="167"/>
        <v>306015.73536585388</v>
      </c>
      <c r="AL180" s="107">
        <f t="shared" si="168"/>
        <v>304768.52163414657</v>
      </c>
      <c r="AM180" s="107">
        <f t="shared" si="169"/>
        <v>303521.30790243926</v>
      </c>
      <c r="AN180" s="107">
        <f t="shared" si="170"/>
        <v>302274.09417073196</v>
      </c>
      <c r="AO180" s="107">
        <f t="shared" si="171"/>
        <v>301026.88043902465</v>
      </c>
      <c r="AP180" s="107">
        <f t="shared" si="187"/>
        <v>6787.2235822439061</v>
      </c>
      <c r="AQ180" s="126"/>
      <c r="AR180" s="107">
        <f t="shared" si="173"/>
        <v>14966.564780487804</v>
      </c>
      <c r="AS180" s="107">
        <f t="shared" si="174"/>
        <v>299779.66670731734</v>
      </c>
      <c r="AT180" s="107">
        <f t="shared" si="175"/>
        <v>298532.45297561004</v>
      </c>
      <c r="AU180" s="107">
        <f t="shared" si="176"/>
        <v>297285.23924390273</v>
      </c>
      <c r="AV180" s="107">
        <f t="shared" si="177"/>
        <v>296038.02551219543</v>
      </c>
      <c r="AW180" s="107">
        <f t="shared" si="178"/>
        <v>294790.81178048812</v>
      </c>
      <c r="AX180" s="107">
        <f t="shared" si="179"/>
        <v>293543.59804878081</v>
      </c>
      <c r="AY180" s="107">
        <f t="shared" si="180"/>
        <v>292296.38431707351</v>
      </c>
      <c r="AZ180" s="107">
        <f t="shared" si="181"/>
        <v>291049.1705853662</v>
      </c>
      <c r="BA180" s="107">
        <f t="shared" si="182"/>
        <v>289801.95685365889</v>
      </c>
      <c r="BB180" s="107">
        <f t="shared" si="183"/>
        <v>288554.74312195159</v>
      </c>
      <c r="BC180" s="107">
        <f t="shared" si="184"/>
        <v>287307.52939024428</v>
      </c>
      <c r="BD180" s="107">
        <f t="shared" si="185"/>
        <v>286060.31565853697</v>
      </c>
      <c r="BE180" s="107">
        <f t="shared" si="188"/>
        <v>6457.9591570731773</v>
      </c>
      <c r="BF180" s="127"/>
      <c r="BG180" s="127"/>
      <c r="BH180" s="127"/>
      <c r="BI180" s="127"/>
      <c r="BJ180" s="127"/>
      <c r="BK180" s="127"/>
      <c r="BL180" s="127"/>
      <c r="BM180" s="127"/>
      <c r="BN180" s="127"/>
      <c r="BO180" s="127"/>
      <c r="BP180" s="127"/>
      <c r="BQ180" s="127"/>
      <c r="BR180" s="127"/>
      <c r="BS180" s="127"/>
      <c r="BT180" s="127"/>
      <c r="BU180" s="127"/>
      <c r="BV180" s="127"/>
      <c r="BW180" s="127"/>
    </row>
    <row r="181" spans="1:75" ht="33.75" hidden="1" x14ac:dyDescent="0.2">
      <c r="A181" s="123" t="str">
        <f>'[2]2021 УГРЦТ'!A183</f>
        <v>ВЛ-0,4кВ от ТП22 "Поселок РБК", г.Нарьян-Мар, Ненецкий автономный округ</v>
      </c>
      <c r="B181" s="124" t="str">
        <f>'[2]2021 УГРЦТ'!B183</f>
        <v>000001829</v>
      </c>
      <c r="C181" s="124" t="str">
        <f>VLOOKUP(A:A,'2023-2027'!A:L,1,+FALSE)</f>
        <v>ВЛ-0,4кВ от ТП22 "Поселок РБК", г.Нарьян-Мар, Ненецкий автономный округ</v>
      </c>
      <c r="D181" s="124" t="str">
        <f>'[2]2021 УГРЦТ'!C183</f>
        <v>ПЕРЕДАЧА</v>
      </c>
      <c r="E181" s="124" t="str">
        <f>'[2]2021 УГРЦТ'!D183</f>
        <v>Сооружения</v>
      </c>
      <c r="F181" s="124" t="str">
        <f>'[2]2021 УГРЦТ'!E183</f>
        <v>30.12.2020</v>
      </c>
      <c r="G181" s="124" t="str">
        <f>'[2]2021 УГРЦТ'!F183</f>
        <v>Цех электрических сетей</v>
      </c>
      <c r="H181" s="124">
        <f>'[2]2021 УГРЦТ'!AC183</f>
        <v>480</v>
      </c>
      <c r="I181" s="107">
        <f>'[2]2021 УГРЦТ'!X183</f>
        <v>11037518.26</v>
      </c>
      <c r="J181" s="107">
        <f>'[2]2021 УГРЦТ'!Y183</f>
        <v>275937.95650000003</v>
      </c>
      <c r="K181" s="107">
        <f>'[2]2021 УГРЦТ'!Z183</f>
        <v>10761580.3035</v>
      </c>
      <c r="L181" s="125" t="e">
        <f>SUMIF([2]облаг!$B$2:$B$259,B181,[2]облаг!$D$2:$D$259)</f>
        <v>#VALUE!</v>
      </c>
      <c r="M181" s="107">
        <f t="shared" si="120"/>
        <v>22994.829708333335</v>
      </c>
      <c r="N181" s="107">
        <f t="shared" si="121"/>
        <v>275937.95650000003</v>
      </c>
      <c r="O181" s="107">
        <f t="shared" si="122"/>
        <v>10738585.473791666</v>
      </c>
      <c r="P181" s="107">
        <f t="shared" si="123"/>
        <v>10715590.644083332</v>
      </c>
      <c r="Q181" s="107">
        <f t="shared" si="149"/>
        <v>10692595.814374998</v>
      </c>
      <c r="R181" s="107">
        <f t="shared" si="150"/>
        <v>10669600.984666664</v>
      </c>
      <c r="S181" s="107">
        <f t="shared" si="151"/>
        <v>10646606.15495833</v>
      </c>
      <c r="T181" s="107">
        <f t="shared" si="152"/>
        <v>10623611.325249996</v>
      </c>
      <c r="U181" s="107">
        <f t="shared" si="153"/>
        <v>10600616.495541662</v>
      </c>
      <c r="V181" s="107">
        <f t="shared" si="154"/>
        <v>10577621.665833328</v>
      </c>
      <c r="W181" s="107">
        <f t="shared" si="155"/>
        <v>10554626.836124994</v>
      </c>
      <c r="X181" s="107">
        <f t="shared" si="156"/>
        <v>10531632.00641666</v>
      </c>
      <c r="Y181" s="107">
        <f t="shared" si="157"/>
        <v>10508637.176708326</v>
      </c>
      <c r="Z181" s="107">
        <f t="shared" si="158"/>
        <v>10485642.346999992</v>
      </c>
      <c r="AA181" s="107">
        <f t="shared" si="186"/>
        <v>233719.44915549993</v>
      </c>
      <c r="AB181" s="107"/>
      <c r="AC181" s="107">
        <f t="shared" si="159"/>
        <v>275937.95650000003</v>
      </c>
      <c r="AD181" s="107">
        <f t="shared" si="160"/>
        <v>10462647.517291658</v>
      </c>
      <c r="AE181" s="107">
        <f t="shared" si="161"/>
        <v>10439652.687583324</v>
      </c>
      <c r="AF181" s="107">
        <f t="shared" si="162"/>
        <v>10416657.85787499</v>
      </c>
      <c r="AG181" s="107">
        <f t="shared" si="163"/>
        <v>10393663.028166655</v>
      </c>
      <c r="AH181" s="107">
        <f t="shared" si="164"/>
        <v>10370668.198458321</v>
      </c>
      <c r="AI181" s="107">
        <f t="shared" si="165"/>
        <v>10347673.368749987</v>
      </c>
      <c r="AJ181" s="107">
        <f t="shared" si="166"/>
        <v>10324678.539041653</v>
      </c>
      <c r="AK181" s="107">
        <f t="shared" si="167"/>
        <v>10301683.709333319</v>
      </c>
      <c r="AL181" s="107">
        <f t="shared" si="168"/>
        <v>10278688.879624985</v>
      </c>
      <c r="AM181" s="107">
        <f t="shared" si="169"/>
        <v>10255694.049916651</v>
      </c>
      <c r="AN181" s="107">
        <f t="shared" si="170"/>
        <v>10232699.220208317</v>
      </c>
      <c r="AO181" s="107">
        <f t="shared" si="171"/>
        <v>10209704.390499983</v>
      </c>
      <c r="AP181" s="107">
        <f t="shared" si="187"/>
        <v>227648.81411249971</v>
      </c>
      <c r="AQ181" s="126"/>
      <c r="AR181" s="107">
        <f t="shared" si="173"/>
        <v>275937.95650000003</v>
      </c>
      <c r="AS181" s="107">
        <f t="shared" si="174"/>
        <v>10186709.560791649</v>
      </c>
      <c r="AT181" s="107">
        <f t="shared" si="175"/>
        <v>10163714.731083315</v>
      </c>
      <c r="AU181" s="107">
        <f t="shared" si="176"/>
        <v>10140719.901374981</v>
      </c>
      <c r="AV181" s="107">
        <f t="shared" si="177"/>
        <v>10117725.071666647</v>
      </c>
      <c r="AW181" s="107">
        <f t="shared" si="178"/>
        <v>10094730.241958313</v>
      </c>
      <c r="AX181" s="107">
        <f t="shared" si="179"/>
        <v>10071735.412249979</v>
      </c>
      <c r="AY181" s="107">
        <f t="shared" si="180"/>
        <v>10048740.582541645</v>
      </c>
      <c r="AZ181" s="107">
        <f t="shared" si="181"/>
        <v>10025745.752833311</v>
      </c>
      <c r="BA181" s="107">
        <f t="shared" si="182"/>
        <v>10002750.923124976</v>
      </c>
      <c r="BB181" s="107">
        <f t="shared" si="183"/>
        <v>9979756.0934166424</v>
      </c>
      <c r="BC181" s="107">
        <f t="shared" si="184"/>
        <v>9956761.2637083083</v>
      </c>
      <c r="BD181" s="107">
        <f t="shared" si="185"/>
        <v>9933766.4339999743</v>
      </c>
      <c r="BE181" s="107">
        <f t="shared" si="188"/>
        <v>221578.17906949951</v>
      </c>
      <c r="BF181" s="127"/>
      <c r="BG181" s="127"/>
      <c r="BH181" s="127"/>
      <c r="BI181" s="127"/>
      <c r="BJ181" s="127"/>
      <c r="BK181" s="127"/>
      <c r="BL181" s="127"/>
      <c r="BM181" s="127"/>
      <c r="BN181" s="127"/>
      <c r="BO181" s="127"/>
      <c r="BP181" s="127"/>
      <c r="BQ181" s="127"/>
      <c r="BR181" s="127"/>
      <c r="BS181" s="127"/>
      <c r="BT181" s="127"/>
      <c r="BU181" s="127"/>
      <c r="BV181" s="127"/>
      <c r="BW181" s="127"/>
    </row>
    <row r="182" spans="1:75" hidden="1" x14ac:dyDescent="0.2">
      <c r="A182" s="123" t="str">
        <f>'[2]2021 УГРЦТ'!A184</f>
        <v>ВЛ-6кВ "Малый Качгорт"</v>
      </c>
      <c r="B182" s="124" t="str">
        <f>'[2]2021 УГРЦТ'!B184</f>
        <v>000001696</v>
      </c>
      <c r="C182" s="124" t="str">
        <f>VLOOKUP(A:A,'2023-2027'!A:L,1,+FALSE)</f>
        <v>ВЛ-6кВ "Малый Качгорт"</v>
      </c>
      <c r="D182" s="124" t="str">
        <f>'[2]2021 УГРЦТ'!C184</f>
        <v>ПЕРЕДАЧА</v>
      </c>
      <c r="E182" s="124" t="str">
        <f>'[2]2021 УГРЦТ'!D184</f>
        <v>Сооружения</v>
      </c>
      <c r="F182" s="124" t="str">
        <f>'[2]2021 УГРЦТ'!E184</f>
        <v>09.12.2016</v>
      </c>
      <c r="G182" s="124" t="str">
        <f>'[2]2021 УГРЦТ'!F184</f>
        <v>Цех электрических сетей</v>
      </c>
      <c r="H182" s="124">
        <f>'[2]2021 УГРЦТ'!AC184</f>
        <v>180</v>
      </c>
      <c r="I182" s="107">
        <f>'[2]2021 УГРЦТ'!X184</f>
        <v>438055.37</v>
      </c>
      <c r="J182" s="107">
        <f>'[2]2021 УГРЦТ'!Y184</f>
        <v>146018.41133333332</v>
      </c>
      <c r="K182" s="107">
        <f>'[2]2021 УГРЦТ'!Z184</f>
        <v>292036.95866666664</v>
      </c>
      <c r="L182" s="125" t="e">
        <f>SUMIF([2]облаг!$B$2:$B$259,B182,[2]облаг!$D$2:$D$259)</f>
        <v>#VALUE!</v>
      </c>
      <c r="M182" s="107">
        <f t="shared" si="120"/>
        <v>2433.6409444444444</v>
      </c>
      <c r="N182" s="107">
        <f t="shared" si="121"/>
        <v>29203.691333333332</v>
      </c>
      <c r="O182" s="107">
        <f t="shared" si="122"/>
        <v>289603.31772222219</v>
      </c>
      <c r="P182" s="107">
        <f t="shared" si="123"/>
        <v>287169.67677777773</v>
      </c>
      <c r="Q182" s="107">
        <f t="shared" si="149"/>
        <v>284736.03583333327</v>
      </c>
      <c r="R182" s="107">
        <f t="shared" si="150"/>
        <v>282302.39488888881</v>
      </c>
      <c r="S182" s="107">
        <f t="shared" si="151"/>
        <v>279868.75394444435</v>
      </c>
      <c r="T182" s="107">
        <f t="shared" si="152"/>
        <v>277435.1129999999</v>
      </c>
      <c r="U182" s="107">
        <f t="shared" si="153"/>
        <v>275001.47205555544</v>
      </c>
      <c r="V182" s="107">
        <f t="shared" si="154"/>
        <v>272567.83111111098</v>
      </c>
      <c r="W182" s="107">
        <f t="shared" si="155"/>
        <v>270134.19016666652</v>
      </c>
      <c r="X182" s="107">
        <f t="shared" si="156"/>
        <v>267700.54922222206</v>
      </c>
      <c r="Y182" s="107">
        <f t="shared" si="157"/>
        <v>265266.90827777761</v>
      </c>
      <c r="Z182" s="107">
        <f t="shared" si="158"/>
        <v>262833.26733333315</v>
      </c>
      <c r="AA182" s="107">
        <f t="shared" si="186"/>
        <v>6103.5724859999964</v>
      </c>
      <c r="AB182" s="107"/>
      <c r="AC182" s="107">
        <f t="shared" si="159"/>
        <v>29203.691333333332</v>
      </c>
      <c r="AD182" s="107">
        <f t="shared" si="160"/>
        <v>260399.62638888869</v>
      </c>
      <c r="AE182" s="107">
        <f t="shared" si="161"/>
        <v>257965.98544444423</v>
      </c>
      <c r="AF182" s="107">
        <f t="shared" si="162"/>
        <v>255532.34449999977</v>
      </c>
      <c r="AG182" s="107">
        <f t="shared" si="163"/>
        <v>253098.70355555532</v>
      </c>
      <c r="AH182" s="107">
        <f t="shared" si="164"/>
        <v>250665.06261111086</v>
      </c>
      <c r="AI182" s="107">
        <f t="shared" si="165"/>
        <v>248231.4216666664</v>
      </c>
      <c r="AJ182" s="107">
        <f t="shared" si="166"/>
        <v>245797.78072222194</v>
      </c>
      <c r="AK182" s="107">
        <f t="shared" si="167"/>
        <v>243364.13977777748</v>
      </c>
      <c r="AL182" s="107">
        <f t="shared" si="168"/>
        <v>240930.49883333303</v>
      </c>
      <c r="AM182" s="107">
        <f t="shared" si="169"/>
        <v>238496.85788888857</v>
      </c>
      <c r="AN182" s="107">
        <f t="shared" si="170"/>
        <v>236063.21694444411</v>
      </c>
      <c r="AO182" s="107">
        <f t="shared" si="171"/>
        <v>233629.57599999965</v>
      </c>
      <c r="AP182" s="107">
        <f t="shared" si="187"/>
        <v>5461.0912766666597</v>
      </c>
      <c r="AQ182" s="126"/>
      <c r="AR182" s="107">
        <f t="shared" si="173"/>
        <v>29203.691333333332</v>
      </c>
      <c r="AS182" s="107">
        <f t="shared" si="174"/>
        <v>231195.93505555519</v>
      </c>
      <c r="AT182" s="107">
        <f t="shared" si="175"/>
        <v>228762.29411111074</v>
      </c>
      <c r="AU182" s="107">
        <f t="shared" si="176"/>
        <v>226328.65316666628</v>
      </c>
      <c r="AV182" s="107">
        <f t="shared" si="177"/>
        <v>223895.01222222182</v>
      </c>
      <c r="AW182" s="107">
        <f t="shared" si="178"/>
        <v>221461.37127777736</v>
      </c>
      <c r="AX182" s="107">
        <f t="shared" si="179"/>
        <v>219027.7303333329</v>
      </c>
      <c r="AY182" s="107">
        <f t="shared" si="180"/>
        <v>216594.08938888845</v>
      </c>
      <c r="AZ182" s="107">
        <f t="shared" si="181"/>
        <v>214160.44844444399</v>
      </c>
      <c r="BA182" s="107">
        <f t="shared" si="182"/>
        <v>211726.80749999953</v>
      </c>
      <c r="BB182" s="107">
        <f t="shared" si="183"/>
        <v>209293.16655555507</v>
      </c>
      <c r="BC182" s="107">
        <f t="shared" si="184"/>
        <v>206859.52561111061</v>
      </c>
      <c r="BD182" s="107">
        <f t="shared" si="185"/>
        <v>204425.88466666616</v>
      </c>
      <c r="BE182" s="107">
        <f t="shared" si="188"/>
        <v>4818.6100673333221</v>
      </c>
      <c r="BF182" s="127"/>
      <c r="BG182" s="127"/>
      <c r="BH182" s="127"/>
      <c r="BI182" s="127"/>
      <c r="BJ182" s="127"/>
      <c r="BK182" s="127"/>
      <c r="BL182" s="127"/>
      <c r="BM182" s="127"/>
      <c r="BN182" s="127"/>
      <c r="BO182" s="127"/>
      <c r="BP182" s="127"/>
      <c r="BQ182" s="127"/>
      <c r="BR182" s="127"/>
      <c r="BS182" s="127"/>
      <c r="BT182" s="127"/>
      <c r="BU182" s="127"/>
      <c r="BV182" s="127"/>
      <c r="BW182" s="127"/>
    </row>
    <row r="183" spans="1:75" ht="22.5" hidden="1" x14ac:dyDescent="0.2">
      <c r="A183" s="123" t="str">
        <f>'[2]2021 УГРЦТ'!A185</f>
        <v>Воздушная линия 0,4 кВ (ТУ 13 от 28.01.21)</v>
      </c>
      <c r="B183" s="124" t="str">
        <f>'[2]2021 УГРЦТ'!B185</f>
        <v>000001865</v>
      </c>
      <c r="C183" s="124" t="str">
        <f>VLOOKUP(A:A,'2023-2027'!A:L,1,+FALSE)</f>
        <v>Воздушная линия 0,4 кВ (ТУ 13 от 28.01.21)</v>
      </c>
      <c r="D183" s="124" t="str">
        <f>'[2]2021 УГРЦТ'!C185</f>
        <v>ПЕРЕДАЧА</v>
      </c>
      <c r="E183" s="124" t="str">
        <f>'[2]2021 УГРЦТ'!D185</f>
        <v>Сооружения</v>
      </c>
      <c r="F183" s="124" t="str">
        <f>'[2]2021 УГРЦТ'!E185</f>
        <v>19.10.2021</v>
      </c>
      <c r="G183" s="124" t="str">
        <f>'[2]2021 УГРЦТ'!F185</f>
        <v>Цех электрических сетей</v>
      </c>
      <c r="H183" s="124">
        <f>'[2]2021 УГРЦТ'!AC185</f>
        <v>480</v>
      </c>
      <c r="I183" s="107">
        <f>'[2]2021 УГРЦТ'!X185</f>
        <v>98108.66</v>
      </c>
      <c r="J183" s="107">
        <f>'[2]2021 УГРЦТ'!Y185</f>
        <v>408.78608333333335</v>
      </c>
      <c r="K183" s="107">
        <f>'[2]2021 УГРЦТ'!Z185</f>
        <v>97699.873916666664</v>
      </c>
      <c r="L183" s="125" t="e">
        <f>SUMIF([2]облаг!$B$2:$B$259,B183,[2]облаг!$D$2:$D$259)</f>
        <v>#VALUE!</v>
      </c>
      <c r="M183" s="107">
        <f t="shared" si="120"/>
        <v>204.39304166666668</v>
      </c>
      <c r="N183" s="107">
        <f t="shared" si="121"/>
        <v>2452.7165</v>
      </c>
      <c r="O183" s="107">
        <f t="shared" si="122"/>
        <v>97495.480874999994</v>
      </c>
      <c r="P183" s="107">
        <f t="shared" si="123"/>
        <v>97291.087833333324</v>
      </c>
      <c r="Q183" s="107">
        <f t="shared" si="149"/>
        <v>97086.694791666654</v>
      </c>
      <c r="R183" s="107">
        <f t="shared" si="150"/>
        <v>96882.301749999984</v>
      </c>
      <c r="S183" s="107">
        <f t="shared" si="151"/>
        <v>96677.908708333314</v>
      </c>
      <c r="T183" s="107">
        <f t="shared" si="152"/>
        <v>96473.515666666644</v>
      </c>
      <c r="U183" s="107">
        <f t="shared" si="153"/>
        <v>96269.122624999975</v>
      </c>
      <c r="V183" s="107">
        <f t="shared" si="154"/>
        <v>96064.729583333305</v>
      </c>
      <c r="W183" s="107">
        <f t="shared" si="155"/>
        <v>95860.336541666635</v>
      </c>
      <c r="X183" s="107">
        <f t="shared" si="156"/>
        <v>95655.943499999965</v>
      </c>
      <c r="Y183" s="107">
        <f t="shared" si="157"/>
        <v>95451.550458333295</v>
      </c>
      <c r="Z183" s="107">
        <f t="shared" si="158"/>
        <v>95247.157416666625</v>
      </c>
      <c r="AA183" s="107">
        <f t="shared" si="186"/>
        <v>2122.4173446666664</v>
      </c>
      <c r="AB183" s="107"/>
      <c r="AC183" s="107">
        <f t="shared" si="159"/>
        <v>2452.7165</v>
      </c>
      <c r="AD183" s="107">
        <f t="shared" si="160"/>
        <v>95042.764374999955</v>
      </c>
      <c r="AE183" s="107">
        <f t="shared" si="161"/>
        <v>94838.371333333285</v>
      </c>
      <c r="AF183" s="107">
        <f t="shared" si="162"/>
        <v>94633.978291666615</v>
      </c>
      <c r="AG183" s="107">
        <f t="shared" si="163"/>
        <v>94429.585249999946</v>
      </c>
      <c r="AH183" s="107">
        <f t="shared" si="164"/>
        <v>94225.192208333276</v>
      </c>
      <c r="AI183" s="107">
        <f t="shared" si="165"/>
        <v>94020.799166666606</v>
      </c>
      <c r="AJ183" s="107">
        <f t="shared" si="166"/>
        <v>93816.406124999936</v>
      </c>
      <c r="AK183" s="107">
        <f t="shared" si="167"/>
        <v>93612.013083333266</v>
      </c>
      <c r="AL183" s="107">
        <f t="shared" si="168"/>
        <v>93407.620041666596</v>
      </c>
      <c r="AM183" s="107">
        <f t="shared" si="169"/>
        <v>93203.226999999926</v>
      </c>
      <c r="AN183" s="107">
        <f t="shared" si="170"/>
        <v>92998.833958333256</v>
      </c>
      <c r="AO183" s="107">
        <f t="shared" si="171"/>
        <v>92794.440916666586</v>
      </c>
      <c r="AP183" s="107">
        <f t="shared" si="187"/>
        <v>2068.4575816666652</v>
      </c>
      <c r="AQ183" s="126"/>
      <c r="AR183" s="107">
        <f t="shared" si="173"/>
        <v>2452.7165</v>
      </c>
      <c r="AS183" s="107">
        <f t="shared" si="174"/>
        <v>92590.047874999917</v>
      </c>
      <c r="AT183" s="107">
        <f t="shared" si="175"/>
        <v>92385.654833333247</v>
      </c>
      <c r="AU183" s="107">
        <f t="shared" si="176"/>
        <v>92181.261791666577</v>
      </c>
      <c r="AV183" s="107">
        <f t="shared" si="177"/>
        <v>91976.868749999907</v>
      </c>
      <c r="AW183" s="107">
        <f t="shared" si="178"/>
        <v>91772.475708333237</v>
      </c>
      <c r="AX183" s="107">
        <f t="shared" si="179"/>
        <v>91568.082666666567</v>
      </c>
      <c r="AY183" s="107">
        <f t="shared" si="180"/>
        <v>91363.689624999897</v>
      </c>
      <c r="AZ183" s="107">
        <f t="shared" si="181"/>
        <v>91159.296583333227</v>
      </c>
      <c r="BA183" s="107">
        <f t="shared" si="182"/>
        <v>90954.903541666557</v>
      </c>
      <c r="BB183" s="107">
        <f t="shared" si="183"/>
        <v>90750.510499999888</v>
      </c>
      <c r="BC183" s="107">
        <f t="shared" si="184"/>
        <v>90546.117458333218</v>
      </c>
      <c r="BD183" s="107">
        <f t="shared" si="185"/>
        <v>90341.724416666548</v>
      </c>
      <c r="BE183" s="107">
        <f t="shared" si="188"/>
        <v>2014.4978186666644</v>
      </c>
      <c r="BF183" s="127"/>
      <c r="BG183" s="127"/>
      <c r="BH183" s="127"/>
      <c r="BI183" s="127"/>
      <c r="BJ183" s="127"/>
      <c r="BK183" s="127"/>
      <c r="BL183" s="127"/>
      <c r="BM183" s="127"/>
      <c r="BN183" s="127"/>
      <c r="BO183" s="127"/>
      <c r="BP183" s="127"/>
      <c r="BQ183" s="127"/>
      <c r="BR183" s="127"/>
      <c r="BS183" s="127"/>
      <c r="BT183" s="127"/>
      <c r="BU183" s="127"/>
      <c r="BV183" s="127"/>
      <c r="BW183" s="127"/>
    </row>
    <row r="184" spans="1:75" ht="22.5" hidden="1" x14ac:dyDescent="0.2">
      <c r="A184" s="123" t="str">
        <f>'[2]2021 УГРЦТ'!A186</f>
        <v>Воздушная линия 0,4 кВ (ТУ 62 от 13.05.21)</v>
      </c>
      <c r="B184" s="124" t="str">
        <f>'[2]2021 УГРЦТ'!B186</f>
        <v>000001866</v>
      </c>
      <c r="C184" s="124" t="str">
        <f>VLOOKUP(A:A,'2023-2027'!A:L,1,+FALSE)</f>
        <v>Воздушная линия 0,4 кВ (ТУ 62 от 13.05.21)</v>
      </c>
      <c r="D184" s="124" t="str">
        <f>'[2]2021 УГРЦТ'!C186</f>
        <v>ПЕРЕДАЧА</v>
      </c>
      <c r="E184" s="124" t="str">
        <f>'[2]2021 УГРЦТ'!D186</f>
        <v>Сооружения</v>
      </c>
      <c r="F184" s="124" t="str">
        <f>'[2]2021 УГРЦТ'!E186</f>
        <v>19.10.2021</v>
      </c>
      <c r="G184" s="124" t="str">
        <f>'[2]2021 УГРЦТ'!F186</f>
        <v>Цех электрических сетей</v>
      </c>
      <c r="H184" s="124">
        <f>'[2]2021 УГРЦТ'!AC186</f>
        <v>480</v>
      </c>
      <c r="I184" s="107">
        <f>'[2]2021 УГРЦТ'!X186</f>
        <v>253914.86</v>
      </c>
      <c r="J184" s="107">
        <f>'[2]2021 УГРЦТ'!Y186</f>
        <v>1057.9785833333333</v>
      </c>
      <c r="K184" s="107">
        <f>'[2]2021 УГРЦТ'!Z186</f>
        <v>252856.88141666664</v>
      </c>
      <c r="L184" s="125" t="e">
        <f>SUMIF([2]облаг!$B$2:$B$259,B184,[2]облаг!$D$2:$D$259)</f>
        <v>#VALUE!</v>
      </c>
      <c r="M184" s="107">
        <f t="shared" si="120"/>
        <v>528.98929166666665</v>
      </c>
      <c r="N184" s="107">
        <f t="shared" si="121"/>
        <v>6347.8714999999993</v>
      </c>
      <c r="O184" s="107">
        <f t="shared" si="122"/>
        <v>252327.89212499998</v>
      </c>
      <c r="P184" s="107">
        <f t="shared" si="123"/>
        <v>251798.90283333333</v>
      </c>
      <c r="Q184" s="107">
        <f t="shared" si="149"/>
        <v>251269.91354166667</v>
      </c>
      <c r="R184" s="107">
        <f t="shared" si="150"/>
        <v>250740.92425000001</v>
      </c>
      <c r="S184" s="107">
        <f t="shared" si="151"/>
        <v>250211.93495833335</v>
      </c>
      <c r="T184" s="107">
        <f t="shared" si="152"/>
        <v>249682.9456666667</v>
      </c>
      <c r="U184" s="107">
        <f t="shared" si="153"/>
        <v>249153.95637500004</v>
      </c>
      <c r="V184" s="107">
        <f t="shared" si="154"/>
        <v>248624.96708333338</v>
      </c>
      <c r="W184" s="107">
        <f t="shared" si="155"/>
        <v>248095.97779166672</v>
      </c>
      <c r="X184" s="107">
        <f t="shared" si="156"/>
        <v>247566.98850000006</v>
      </c>
      <c r="Y184" s="107">
        <f t="shared" si="157"/>
        <v>247037.99920833341</v>
      </c>
      <c r="Z184" s="107">
        <f t="shared" si="158"/>
        <v>246509.00991666675</v>
      </c>
      <c r="AA184" s="107">
        <f t="shared" si="186"/>
        <v>5493.0248046666666</v>
      </c>
      <c r="AB184" s="107"/>
      <c r="AC184" s="107">
        <f t="shared" si="159"/>
        <v>6347.8714999999993</v>
      </c>
      <c r="AD184" s="107">
        <f t="shared" si="160"/>
        <v>245980.02062500009</v>
      </c>
      <c r="AE184" s="107">
        <f t="shared" si="161"/>
        <v>245451.03133333343</v>
      </c>
      <c r="AF184" s="107">
        <f t="shared" si="162"/>
        <v>244922.04204166678</v>
      </c>
      <c r="AG184" s="107">
        <f t="shared" si="163"/>
        <v>244393.05275000012</v>
      </c>
      <c r="AH184" s="107">
        <f t="shared" si="164"/>
        <v>243864.06345833346</v>
      </c>
      <c r="AI184" s="107">
        <f t="shared" si="165"/>
        <v>243335.0741666668</v>
      </c>
      <c r="AJ184" s="107">
        <f t="shared" si="166"/>
        <v>242806.08487500015</v>
      </c>
      <c r="AK184" s="107">
        <f t="shared" si="167"/>
        <v>242277.09558333349</v>
      </c>
      <c r="AL184" s="107">
        <f t="shared" si="168"/>
        <v>241748.10629166683</v>
      </c>
      <c r="AM184" s="107">
        <f t="shared" si="169"/>
        <v>241219.11700000017</v>
      </c>
      <c r="AN184" s="107">
        <f t="shared" si="170"/>
        <v>240690.12770833352</v>
      </c>
      <c r="AO184" s="107">
        <f t="shared" si="171"/>
        <v>240161.13841666686</v>
      </c>
      <c r="AP184" s="107">
        <f t="shared" si="187"/>
        <v>5353.3716316666687</v>
      </c>
      <c r="AQ184" s="126"/>
      <c r="AR184" s="107">
        <f t="shared" si="173"/>
        <v>6347.8714999999993</v>
      </c>
      <c r="AS184" s="107">
        <f t="shared" si="174"/>
        <v>239632.1491250002</v>
      </c>
      <c r="AT184" s="107">
        <f t="shared" si="175"/>
        <v>239103.15983333354</v>
      </c>
      <c r="AU184" s="107">
        <f t="shared" si="176"/>
        <v>238574.17054166688</v>
      </c>
      <c r="AV184" s="107">
        <f t="shared" si="177"/>
        <v>238045.18125000023</v>
      </c>
      <c r="AW184" s="107">
        <f t="shared" si="178"/>
        <v>237516.19195833357</v>
      </c>
      <c r="AX184" s="107">
        <f t="shared" si="179"/>
        <v>236987.20266666691</v>
      </c>
      <c r="AY184" s="107">
        <f t="shared" si="180"/>
        <v>236458.21337500025</v>
      </c>
      <c r="AZ184" s="107">
        <f t="shared" si="181"/>
        <v>235929.2240833336</v>
      </c>
      <c r="BA184" s="107">
        <f t="shared" si="182"/>
        <v>235400.23479166694</v>
      </c>
      <c r="BB184" s="107">
        <f t="shared" si="183"/>
        <v>234871.24550000028</v>
      </c>
      <c r="BC184" s="107">
        <f t="shared" si="184"/>
        <v>234342.25620833362</v>
      </c>
      <c r="BD184" s="107">
        <f t="shared" si="185"/>
        <v>233813.26691666697</v>
      </c>
      <c r="BE184" s="107">
        <f t="shared" si="188"/>
        <v>5213.7184586666708</v>
      </c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</row>
    <row r="185" spans="1:75" ht="22.5" hidden="1" x14ac:dyDescent="0.2">
      <c r="A185" s="123" t="str">
        <f>'[2]2021 УГРЦТ'!A187</f>
        <v>Воздушная линия 0,4 кВ (ТУ №42 от 16.04.2021 г.)</v>
      </c>
      <c r="B185" s="124" t="str">
        <f>'[2]2021 УГРЦТ'!B187</f>
        <v>000001876</v>
      </c>
      <c r="C185" s="124" t="str">
        <f>VLOOKUP(A:A,'2023-2027'!A:L,1,+FALSE)</f>
        <v>Воздушная линия 0,4 кВ (ТУ №42 от 16.04.2021 г.)</v>
      </c>
      <c r="D185" s="124" t="str">
        <f>'[2]2021 УГРЦТ'!C187</f>
        <v>ПЕРЕДАЧА</v>
      </c>
      <c r="E185" s="124" t="str">
        <f>'[2]2021 УГРЦТ'!D187</f>
        <v>Сооружения</v>
      </c>
      <c r="F185" s="134">
        <f>'[2]2021 УГРЦТ'!E187</f>
        <v>44560</v>
      </c>
      <c r="G185" s="124" t="str">
        <f>'[2]2021 УГРЦТ'!F187</f>
        <v>Цех электрических сетей</v>
      </c>
      <c r="H185" s="124">
        <f>'[2]2021 УГРЦТ'!AC187</f>
        <v>480</v>
      </c>
      <c r="I185" s="107">
        <f>'[2]2021 УГРЦТ'!X187</f>
        <v>254557.39</v>
      </c>
      <c r="J185" s="107">
        <f>'[2]2021 УГРЦТ'!Y187</f>
        <v>0</v>
      </c>
      <c r="K185" s="107">
        <f>'[2]2021 УГРЦТ'!Z187</f>
        <v>254557.39</v>
      </c>
      <c r="L185" s="125" t="e">
        <f>SUMIF([2]облаг!$B$2:$B$259,B185,[2]облаг!$D$2:$D$259)</f>
        <v>#VALUE!</v>
      </c>
      <c r="M185" s="107">
        <f t="shared" si="120"/>
        <v>530.3278958333334</v>
      </c>
      <c r="N185" s="107">
        <f t="shared" si="121"/>
        <v>6363.9347500000003</v>
      </c>
      <c r="O185" s="107">
        <f t="shared" si="122"/>
        <v>254027.06210416669</v>
      </c>
      <c r="P185" s="107">
        <f t="shared" si="123"/>
        <v>253496.73420833336</v>
      </c>
      <c r="Q185" s="107">
        <f t="shared" si="149"/>
        <v>252966.40631250004</v>
      </c>
      <c r="R185" s="107">
        <f t="shared" si="150"/>
        <v>252436.07841666671</v>
      </c>
      <c r="S185" s="107">
        <f t="shared" si="151"/>
        <v>251905.75052083339</v>
      </c>
      <c r="T185" s="107">
        <f t="shared" si="152"/>
        <v>251375.42262500006</v>
      </c>
      <c r="U185" s="107">
        <f t="shared" si="153"/>
        <v>250845.09472916674</v>
      </c>
      <c r="V185" s="107">
        <f t="shared" si="154"/>
        <v>250314.76683333341</v>
      </c>
      <c r="W185" s="107">
        <f t="shared" si="155"/>
        <v>249784.43893750009</v>
      </c>
      <c r="X185" s="107">
        <f t="shared" si="156"/>
        <v>249254.11104166677</v>
      </c>
      <c r="Y185" s="107">
        <f t="shared" si="157"/>
        <v>248723.78314583344</v>
      </c>
      <c r="Z185" s="107">
        <f t="shared" si="158"/>
        <v>248193.45525000012</v>
      </c>
      <c r="AA185" s="107">
        <f t="shared" si="186"/>
        <v>5530.2592977500017</v>
      </c>
      <c r="AB185" s="107"/>
      <c r="AC185" s="107">
        <f t="shared" si="159"/>
        <v>6363.9347500000003</v>
      </c>
      <c r="AD185" s="107">
        <f t="shared" si="160"/>
        <v>247663.12735416679</v>
      </c>
      <c r="AE185" s="107">
        <f t="shared" si="161"/>
        <v>247132.79945833347</v>
      </c>
      <c r="AF185" s="107">
        <f t="shared" si="162"/>
        <v>246602.47156250014</v>
      </c>
      <c r="AG185" s="107">
        <f t="shared" si="163"/>
        <v>246072.14366666682</v>
      </c>
      <c r="AH185" s="107">
        <f t="shared" si="164"/>
        <v>245541.81577083349</v>
      </c>
      <c r="AI185" s="107">
        <f t="shared" si="165"/>
        <v>245011.48787500017</v>
      </c>
      <c r="AJ185" s="107">
        <f t="shared" si="166"/>
        <v>244481.15997916684</v>
      </c>
      <c r="AK185" s="107">
        <f t="shared" si="167"/>
        <v>243950.83208333352</v>
      </c>
      <c r="AL185" s="107">
        <f t="shared" si="168"/>
        <v>243420.50418750019</v>
      </c>
      <c r="AM185" s="107">
        <f t="shared" si="169"/>
        <v>242890.17629166687</v>
      </c>
      <c r="AN185" s="107">
        <f t="shared" si="170"/>
        <v>242359.84839583354</v>
      </c>
      <c r="AO185" s="107">
        <f t="shared" si="171"/>
        <v>241829.52050000022</v>
      </c>
      <c r="AP185" s="107">
        <f t="shared" si="187"/>
        <v>5390.2527332500031</v>
      </c>
      <c r="AQ185" s="126"/>
      <c r="AR185" s="107">
        <f t="shared" si="173"/>
        <v>6363.9347500000003</v>
      </c>
      <c r="AS185" s="107">
        <f t="shared" si="174"/>
        <v>241299.19260416689</v>
      </c>
      <c r="AT185" s="107">
        <f t="shared" si="175"/>
        <v>240768.86470833357</v>
      </c>
      <c r="AU185" s="107">
        <f t="shared" si="176"/>
        <v>240238.53681250024</v>
      </c>
      <c r="AV185" s="107">
        <f t="shared" si="177"/>
        <v>239708.20891666692</v>
      </c>
      <c r="AW185" s="107">
        <f t="shared" si="178"/>
        <v>239177.88102083359</v>
      </c>
      <c r="AX185" s="107">
        <f t="shared" si="179"/>
        <v>238647.55312500027</v>
      </c>
      <c r="AY185" s="107">
        <f t="shared" si="180"/>
        <v>238117.22522916694</v>
      </c>
      <c r="AZ185" s="107">
        <f t="shared" si="181"/>
        <v>237586.89733333362</v>
      </c>
      <c r="BA185" s="107">
        <f t="shared" si="182"/>
        <v>237056.56943750029</v>
      </c>
      <c r="BB185" s="107">
        <f t="shared" si="183"/>
        <v>236526.24154166697</v>
      </c>
      <c r="BC185" s="107">
        <f t="shared" si="184"/>
        <v>235995.91364583364</v>
      </c>
      <c r="BD185" s="107">
        <f t="shared" si="185"/>
        <v>235465.58575000032</v>
      </c>
      <c r="BE185" s="107">
        <f t="shared" si="188"/>
        <v>5250.2461687500054</v>
      </c>
      <c r="BF185" s="127"/>
      <c r="BG185" s="127"/>
      <c r="BH185" s="127"/>
      <c r="BI185" s="127"/>
      <c r="BJ185" s="127"/>
      <c r="BK185" s="127"/>
      <c r="BL185" s="127"/>
      <c r="BM185" s="127"/>
      <c r="BN185" s="127"/>
      <c r="BO185" s="127"/>
      <c r="BP185" s="127"/>
      <c r="BQ185" s="127"/>
      <c r="BR185" s="127"/>
      <c r="BS185" s="127"/>
      <c r="BT185" s="127"/>
      <c r="BU185" s="127"/>
      <c r="BV185" s="127"/>
      <c r="BW185" s="127"/>
    </row>
    <row r="186" spans="1:75" ht="22.5" hidden="1" x14ac:dyDescent="0.2">
      <c r="A186" s="123" t="str">
        <f>'[2]2021 УГРЦТ'!A188</f>
        <v>Воздушная линия 0,4 кВ (ТУ №45 от 22.04.2021 г.)</v>
      </c>
      <c r="B186" s="124" t="str">
        <f>'[2]2021 УГРЦТ'!B188</f>
        <v>000001878</v>
      </c>
      <c r="C186" s="124" t="str">
        <f>VLOOKUP(A:A,'2023-2027'!A:L,1,+FALSE)</f>
        <v>Воздушная линия 0,4 кВ (ТУ №45 от 22.04.2021 г.)</v>
      </c>
      <c r="D186" s="124" t="str">
        <f>'[2]2021 УГРЦТ'!C188</f>
        <v>ПЕРЕДАЧА</v>
      </c>
      <c r="E186" s="124" t="str">
        <f>'[2]2021 УГРЦТ'!D188</f>
        <v>Сооружения</v>
      </c>
      <c r="F186" s="134">
        <f>'[2]2021 УГРЦТ'!E188</f>
        <v>44560</v>
      </c>
      <c r="G186" s="124" t="str">
        <f>'[2]2021 УГРЦТ'!F188</f>
        <v>Цех электрических сетей</v>
      </c>
      <c r="H186" s="124">
        <f>'[2]2021 УГРЦТ'!AC188</f>
        <v>480</v>
      </c>
      <c r="I186" s="107">
        <f>'[2]2021 УГРЦТ'!X188</f>
        <v>383015.6</v>
      </c>
      <c r="J186" s="107">
        <f>'[2]2021 УГРЦТ'!Y188</f>
        <v>0</v>
      </c>
      <c r="K186" s="107">
        <f>'[2]2021 УГРЦТ'!Z188</f>
        <v>383015.6</v>
      </c>
      <c r="L186" s="125" t="e">
        <f>SUMIF([2]облаг!$B$2:$B$259,B186,[2]облаг!$D$2:$D$259)</f>
        <v>#VALUE!</v>
      </c>
      <c r="M186" s="107">
        <f t="shared" si="120"/>
        <v>797.94916666666666</v>
      </c>
      <c r="N186" s="107">
        <f t="shared" si="121"/>
        <v>9575.39</v>
      </c>
      <c r="O186" s="107">
        <f t="shared" si="122"/>
        <v>382217.65083333332</v>
      </c>
      <c r="P186" s="107">
        <f t="shared" si="123"/>
        <v>381419.70166666666</v>
      </c>
      <c r="Q186" s="107">
        <f t="shared" si="149"/>
        <v>380621.7525</v>
      </c>
      <c r="R186" s="107">
        <f t="shared" si="150"/>
        <v>379823.80333333334</v>
      </c>
      <c r="S186" s="107">
        <f t="shared" si="151"/>
        <v>379025.85416666669</v>
      </c>
      <c r="T186" s="107">
        <f t="shared" si="152"/>
        <v>378227.90500000003</v>
      </c>
      <c r="U186" s="107">
        <f t="shared" si="153"/>
        <v>377429.95583333337</v>
      </c>
      <c r="V186" s="107">
        <f t="shared" si="154"/>
        <v>376632.00666666671</v>
      </c>
      <c r="W186" s="107">
        <f t="shared" si="155"/>
        <v>375834.05750000005</v>
      </c>
      <c r="X186" s="107">
        <f t="shared" si="156"/>
        <v>375036.1083333334</v>
      </c>
      <c r="Y186" s="107">
        <f t="shared" si="157"/>
        <v>374238.15916666674</v>
      </c>
      <c r="Z186" s="107">
        <f t="shared" si="158"/>
        <v>373440.21000000008</v>
      </c>
      <c r="AA186" s="107">
        <f t="shared" si="186"/>
        <v>8321.0139099999997</v>
      </c>
      <c r="AB186" s="107"/>
      <c r="AC186" s="107">
        <f t="shared" si="159"/>
        <v>9575.39</v>
      </c>
      <c r="AD186" s="107">
        <f t="shared" si="160"/>
        <v>372642.26083333342</v>
      </c>
      <c r="AE186" s="107">
        <f t="shared" si="161"/>
        <v>371844.31166666676</v>
      </c>
      <c r="AF186" s="107">
        <f t="shared" si="162"/>
        <v>371046.3625000001</v>
      </c>
      <c r="AG186" s="107">
        <f t="shared" si="163"/>
        <v>370248.41333333345</v>
      </c>
      <c r="AH186" s="107">
        <f t="shared" si="164"/>
        <v>369450.46416666679</v>
      </c>
      <c r="AI186" s="107">
        <f t="shared" si="165"/>
        <v>368652.51500000013</v>
      </c>
      <c r="AJ186" s="107">
        <f t="shared" si="166"/>
        <v>367854.56583333347</v>
      </c>
      <c r="AK186" s="107">
        <f t="shared" si="167"/>
        <v>367056.61666666681</v>
      </c>
      <c r="AL186" s="107">
        <f t="shared" si="168"/>
        <v>366258.66750000016</v>
      </c>
      <c r="AM186" s="107">
        <f t="shared" si="169"/>
        <v>365460.7183333335</v>
      </c>
      <c r="AN186" s="107">
        <f t="shared" si="170"/>
        <v>364662.76916666684</v>
      </c>
      <c r="AO186" s="107">
        <f t="shared" si="171"/>
        <v>363864.82000000018</v>
      </c>
      <c r="AP186" s="107">
        <f t="shared" si="187"/>
        <v>8110.3553300000012</v>
      </c>
      <c r="AQ186" s="126"/>
      <c r="AR186" s="107">
        <f t="shared" si="173"/>
        <v>9575.39</v>
      </c>
      <c r="AS186" s="107">
        <f t="shared" si="174"/>
        <v>363066.87083333352</v>
      </c>
      <c r="AT186" s="107">
        <f t="shared" si="175"/>
        <v>362268.92166666687</v>
      </c>
      <c r="AU186" s="107">
        <f t="shared" si="176"/>
        <v>361470.97250000021</v>
      </c>
      <c r="AV186" s="107">
        <f t="shared" si="177"/>
        <v>360673.02333333355</v>
      </c>
      <c r="AW186" s="107">
        <f t="shared" si="178"/>
        <v>359875.07416666689</v>
      </c>
      <c r="AX186" s="107">
        <f t="shared" si="179"/>
        <v>359077.12500000023</v>
      </c>
      <c r="AY186" s="107">
        <f t="shared" si="180"/>
        <v>358279.17583333357</v>
      </c>
      <c r="AZ186" s="107">
        <f t="shared" si="181"/>
        <v>357481.22666666692</v>
      </c>
      <c r="BA186" s="107">
        <f t="shared" si="182"/>
        <v>356683.27750000026</v>
      </c>
      <c r="BB186" s="107">
        <f t="shared" si="183"/>
        <v>355885.3283333336</v>
      </c>
      <c r="BC186" s="107">
        <f t="shared" si="184"/>
        <v>355087.37916666694</v>
      </c>
      <c r="BD186" s="107">
        <f t="shared" si="185"/>
        <v>354289.43000000028</v>
      </c>
      <c r="BE186" s="107">
        <f t="shared" si="188"/>
        <v>7899.6967500000055</v>
      </c>
      <c r="BF186" s="127"/>
      <c r="BG186" s="127"/>
      <c r="BH186" s="127"/>
      <c r="BI186" s="127"/>
      <c r="BJ186" s="127"/>
      <c r="BK186" s="127"/>
      <c r="BL186" s="127"/>
      <c r="BM186" s="127"/>
      <c r="BN186" s="127"/>
      <c r="BO186" s="127"/>
      <c r="BP186" s="127"/>
      <c r="BQ186" s="127"/>
      <c r="BR186" s="127"/>
      <c r="BS186" s="127"/>
      <c r="BT186" s="127"/>
      <c r="BU186" s="127"/>
      <c r="BV186" s="127"/>
      <c r="BW186" s="127"/>
    </row>
    <row r="187" spans="1:75" ht="22.5" hidden="1" x14ac:dyDescent="0.2">
      <c r="A187" s="123" t="str">
        <f>'[2]2021 УГРЦТ'!A189</f>
        <v>Воздушная линия 0,4 кВ (ТУ №57 от 12.05.2021 г.)</v>
      </c>
      <c r="B187" s="124" t="str">
        <f>'[2]2021 УГРЦТ'!B189</f>
        <v>000001881</v>
      </c>
      <c r="C187" s="124" t="str">
        <f>VLOOKUP(A:A,'2023-2027'!A:L,1,+FALSE)</f>
        <v>Воздушная линия 0,4 кВ (ТУ №57 от 12.05.2021 г.)</v>
      </c>
      <c r="D187" s="124" t="str">
        <f>'[2]2021 УГРЦТ'!C189</f>
        <v>ПЕРЕДАЧА</v>
      </c>
      <c r="E187" s="124" t="str">
        <f>'[2]2021 УГРЦТ'!D189</f>
        <v>Сооружения</v>
      </c>
      <c r="F187" s="134">
        <f>'[2]2021 УГРЦТ'!E189</f>
        <v>44560</v>
      </c>
      <c r="G187" s="124" t="str">
        <f>'[2]2021 УГРЦТ'!F189</f>
        <v>Цех электрических сетей</v>
      </c>
      <c r="H187" s="124">
        <f>'[2]2021 УГРЦТ'!AC189</f>
        <v>480</v>
      </c>
      <c r="I187" s="107">
        <f>'[2]2021 УГРЦТ'!X189</f>
        <v>161733.60999999999</v>
      </c>
      <c r="J187" s="107">
        <f>'[2]2021 УГРЦТ'!Y189</f>
        <v>0</v>
      </c>
      <c r="K187" s="107">
        <f>'[2]2021 УГРЦТ'!Z189</f>
        <v>161733.60999999999</v>
      </c>
      <c r="L187" s="125" t="e">
        <f>SUMIF([2]облаг!$B$2:$B$259,B187,[2]облаг!$D$2:$D$259)</f>
        <v>#VALUE!</v>
      </c>
      <c r="M187" s="107">
        <f t="shared" si="120"/>
        <v>336.94502083333333</v>
      </c>
      <c r="N187" s="107">
        <f t="shared" si="121"/>
        <v>4043.3402500000002</v>
      </c>
      <c r="O187" s="107">
        <f t="shared" si="122"/>
        <v>161396.66497916664</v>
      </c>
      <c r="P187" s="107">
        <f t="shared" si="123"/>
        <v>161059.7199583333</v>
      </c>
      <c r="Q187" s="107">
        <f t="shared" si="149"/>
        <v>160722.77493749995</v>
      </c>
      <c r="R187" s="107">
        <f t="shared" si="150"/>
        <v>160385.82991666661</v>
      </c>
      <c r="S187" s="107">
        <f t="shared" si="151"/>
        <v>160048.88489583327</v>
      </c>
      <c r="T187" s="107">
        <f t="shared" si="152"/>
        <v>159711.93987499992</v>
      </c>
      <c r="U187" s="107">
        <f t="shared" si="153"/>
        <v>159374.99485416658</v>
      </c>
      <c r="V187" s="107">
        <f t="shared" si="154"/>
        <v>159038.04983333324</v>
      </c>
      <c r="W187" s="107">
        <f t="shared" si="155"/>
        <v>158701.10481249989</v>
      </c>
      <c r="X187" s="107">
        <f t="shared" si="156"/>
        <v>158364.15979166655</v>
      </c>
      <c r="Y187" s="107">
        <f t="shared" si="157"/>
        <v>158027.2147708332</v>
      </c>
      <c r="Z187" s="107">
        <f t="shared" si="158"/>
        <v>157690.26974999986</v>
      </c>
      <c r="AA187" s="107">
        <f t="shared" si="186"/>
        <v>3513.662677249999</v>
      </c>
      <c r="AB187" s="107"/>
      <c r="AC187" s="107">
        <f t="shared" si="159"/>
        <v>4043.3402500000002</v>
      </c>
      <c r="AD187" s="107">
        <f t="shared" si="160"/>
        <v>157353.32472916652</v>
      </c>
      <c r="AE187" s="107">
        <f t="shared" si="161"/>
        <v>157016.37970833317</v>
      </c>
      <c r="AF187" s="107">
        <f t="shared" si="162"/>
        <v>156679.43468749983</v>
      </c>
      <c r="AG187" s="107">
        <f t="shared" si="163"/>
        <v>156342.48966666649</v>
      </c>
      <c r="AH187" s="107">
        <f t="shared" si="164"/>
        <v>156005.54464583314</v>
      </c>
      <c r="AI187" s="107">
        <f t="shared" si="165"/>
        <v>155668.5996249998</v>
      </c>
      <c r="AJ187" s="107">
        <f t="shared" si="166"/>
        <v>155331.65460416646</v>
      </c>
      <c r="AK187" s="107">
        <f t="shared" si="167"/>
        <v>154994.70958333311</v>
      </c>
      <c r="AL187" s="107">
        <f t="shared" si="168"/>
        <v>154657.76456249977</v>
      </c>
      <c r="AM187" s="107">
        <f t="shared" si="169"/>
        <v>154320.81954166642</v>
      </c>
      <c r="AN187" s="107">
        <f t="shared" si="170"/>
        <v>153983.87452083308</v>
      </c>
      <c r="AO187" s="107">
        <f t="shared" si="171"/>
        <v>153646.92949999974</v>
      </c>
      <c r="AP187" s="107">
        <f t="shared" si="187"/>
        <v>3424.7091917499961</v>
      </c>
      <c r="AQ187" s="126"/>
      <c r="AR187" s="107">
        <f t="shared" si="173"/>
        <v>4043.3402500000002</v>
      </c>
      <c r="AS187" s="107">
        <f t="shared" si="174"/>
        <v>153309.98447916639</v>
      </c>
      <c r="AT187" s="107">
        <f t="shared" si="175"/>
        <v>152973.03945833305</v>
      </c>
      <c r="AU187" s="107">
        <f t="shared" si="176"/>
        <v>152636.09443749971</v>
      </c>
      <c r="AV187" s="107">
        <f t="shared" si="177"/>
        <v>152299.14941666636</v>
      </c>
      <c r="AW187" s="107">
        <f t="shared" si="178"/>
        <v>151962.20439583302</v>
      </c>
      <c r="AX187" s="107">
        <f t="shared" si="179"/>
        <v>151625.25937499967</v>
      </c>
      <c r="AY187" s="107">
        <f t="shared" si="180"/>
        <v>151288.31435416633</v>
      </c>
      <c r="AZ187" s="107">
        <f t="shared" si="181"/>
        <v>150951.36933333299</v>
      </c>
      <c r="BA187" s="107">
        <f t="shared" si="182"/>
        <v>150614.42431249964</v>
      </c>
      <c r="BB187" s="107">
        <f t="shared" si="183"/>
        <v>150277.4792916663</v>
      </c>
      <c r="BC187" s="107">
        <f t="shared" si="184"/>
        <v>149940.53427083296</v>
      </c>
      <c r="BD187" s="107">
        <f t="shared" si="185"/>
        <v>149603.58924999961</v>
      </c>
      <c r="BE187" s="107">
        <f t="shared" si="188"/>
        <v>3335.7557062499932</v>
      </c>
      <c r="BF187" s="127"/>
      <c r="BG187" s="127"/>
      <c r="BH187" s="127"/>
      <c r="BI187" s="127"/>
      <c r="BJ187" s="127"/>
      <c r="BK187" s="127"/>
      <c r="BL187" s="127"/>
      <c r="BM187" s="127"/>
      <c r="BN187" s="127"/>
      <c r="BO187" s="127"/>
      <c r="BP187" s="127"/>
      <c r="BQ187" s="127"/>
      <c r="BR187" s="127"/>
      <c r="BS187" s="127"/>
      <c r="BT187" s="127"/>
      <c r="BU187" s="127"/>
      <c r="BV187" s="127"/>
      <c r="BW187" s="127"/>
    </row>
    <row r="188" spans="1:75" ht="22.5" hidden="1" x14ac:dyDescent="0.2">
      <c r="A188" s="123" t="str">
        <f>'[2]2021 УГРЦТ'!A190</f>
        <v>Воздушная линия 0,4 кВ (ТУ №66 от 13.05.2021 г.)</v>
      </c>
      <c r="B188" s="124" t="str">
        <f>'[2]2021 УГРЦТ'!B190</f>
        <v>000001880</v>
      </c>
      <c r="C188" s="124" t="str">
        <f>VLOOKUP(A:A,'2023-2027'!A:L,1,+FALSE)</f>
        <v>Воздушная линия 0,4 кВ (ТУ №66 от 13.05.2021 г.)</v>
      </c>
      <c r="D188" s="124" t="str">
        <f>'[2]2021 УГРЦТ'!C190</f>
        <v>ПЕРЕДАЧА</v>
      </c>
      <c r="E188" s="124" t="str">
        <f>'[2]2021 УГРЦТ'!D190</f>
        <v>Сооружения</v>
      </c>
      <c r="F188" s="134">
        <f>'[2]2021 УГРЦТ'!E190</f>
        <v>44560</v>
      </c>
      <c r="G188" s="124" t="str">
        <f>'[2]2021 УГРЦТ'!F190</f>
        <v>Цех электрических сетей</v>
      </c>
      <c r="H188" s="124">
        <f>'[2]2021 УГРЦТ'!AC190</f>
        <v>480</v>
      </c>
      <c r="I188" s="107">
        <f>'[2]2021 УГРЦТ'!X190</f>
        <v>168246.35</v>
      </c>
      <c r="J188" s="107">
        <f>'[2]2021 УГРЦТ'!Y190</f>
        <v>0</v>
      </c>
      <c r="K188" s="107">
        <f>'[2]2021 УГРЦТ'!Z190</f>
        <v>168246.35</v>
      </c>
      <c r="L188" s="125" t="e">
        <f>SUMIF([2]облаг!$B$2:$B$259,B188,[2]облаг!$D$2:$D$259)</f>
        <v>#VALUE!</v>
      </c>
      <c r="M188" s="107">
        <f t="shared" si="120"/>
        <v>350.51322916666669</v>
      </c>
      <c r="N188" s="107">
        <f t="shared" si="121"/>
        <v>4206.1587500000005</v>
      </c>
      <c r="O188" s="107">
        <f t="shared" si="122"/>
        <v>167895.83677083335</v>
      </c>
      <c r="P188" s="107">
        <f t="shared" si="123"/>
        <v>167545.3235416667</v>
      </c>
      <c r="Q188" s="107">
        <f t="shared" si="149"/>
        <v>167194.81031250005</v>
      </c>
      <c r="R188" s="107">
        <f t="shared" si="150"/>
        <v>166844.2970833334</v>
      </c>
      <c r="S188" s="107">
        <f t="shared" si="151"/>
        <v>166493.78385416674</v>
      </c>
      <c r="T188" s="107">
        <f t="shared" si="152"/>
        <v>166143.27062500009</v>
      </c>
      <c r="U188" s="107">
        <f t="shared" si="153"/>
        <v>165792.75739583344</v>
      </c>
      <c r="V188" s="107">
        <f t="shared" si="154"/>
        <v>165442.24416666679</v>
      </c>
      <c r="W188" s="107">
        <f t="shared" si="155"/>
        <v>165091.73093750014</v>
      </c>
      <c r="X188" s="107">
        <f t="shared" si="156"/>
        <v>164741.21770833348</v>
      </c>
      <c r="Y188" s="107">
        <f t="shared" si="157"/>
        <v>164390.70447916683</v>
      </c>
      <c r="Z188" s="107">
        <f t="shared" si="158"/>
        <v>164040.19125000018</v>
      </c>
      <c r="AA188" s="107">
        <f t="shared" si="186"/>
        <v>3655.1519537500017</v>
      </c>
      <c r="AB188" s="107"/>
      <c r="AC188" s="107">
        <f t="shared" si="159"/>
        <v>4206.1587500000005</v>
      </c>
      <c r="AD188" s="107">
        <f t="shared" si="160"/>
        <v>163689.67802083353</v>
      </c>
      <c r="AE188" s="107">
        <f t="shared" si="161"/>
        <v>163339.16479166687</v>
      </c>
      <c r="AF188" s="107">
        <f t="shared" si="162"/>
        <v>162988.65156250022</v>
      </c>
      <c r="AG188" s="107">
        <f t="shared" si="163"/>
        <v>162638.13833333357</v>
      </c>
      <c r="AH188" s="107">
        <f t="shared" si="164"/>
        <v>162287.62510416692</v>
      </c>
      <c r="AI188" s="107">
        <f t="shared" si="165"/>
        <v>161937.11187500026</v>
      </c>
      <c r="AJ188" s="107">
        <f t="shared" si="166"/>
        <v>161586.59864583361</v>
      </c>
      <c r="AK188" s="107">
        <f t="shared" si="167"/>
        <v>161236.08541666696</v>
      </c>
      <c r="AL188" s="107">
        <f t="shared" si="168"/>
        <v>160885.57218750031</v>
      </c>
      <c r="AM188" s="107">
        <f t="shared" si="169"/>
        <v>160535.05895833366</v>
      </c>
      <c r="AN188" s="107">
        <f t="shared" si="170"/>
        <v>160184.545729167</v>
      </c>
      <c r="AO188" s="107">
        <f t="shared" si="171"/>
        <v>159834.03250000035</v>
      </c>
      <c r="AP188" s="107">
        <f t="shared" si="187"/>
        <v>3562.6164612500061</v>
      </c>
      <c r="AQ188" s="126"/>
      <c r="AR188" s="107">
        <f t="shared" si="173"/>
        <v>4206.1587500000005</v>
      </c>
      <c r="AS188" s="107">
        <f t="shared" si="174"/>
        <v>159483.5192708337</v>
      </c>
      <c r="AT188" s="107">
        <f t="shared" si="175"/>
        <v>159133.00604166705</v>
      </c>
      <c r="AU188" s="107">
        <f t="shared" si="176"/>
        <v>158782.49281250039</v>
      </c>
      <c r="AV188" s="107">
        <f t="shared" si="177"/>
        <v>158431.97958333374</v>
      </c>
      <c r="AW188" s="107">
        <f t="shared" si="178"/>
        <v>158081.46635416709</v>
      </c>
      <c r="AX188" s="107">
        <f t="shared" si="179"/>
        <v>157730.95312500044</v>
      </c>
      <c r="AY188" s="107">
        <f t="shared" si="180"/>
        <v>157380.43989583378</v>
      </c>
      <c r="AZ188" s="107">
        <f t="shared" si="181"/>
        <v>157029.92666666713</v>
      </c>
      <c r="BA188" s="107">
        <f t="shared" si="182"/>
        <v>156679.41343750048</v>
      </c>
      <c r="BB188" s="107">
        <f t="shared" si="183"/>
        <v>156328.90020833383</v>
      </c>
      <c r="BC188" s="107">
        <f t="shared" si="184"/>
        <v>155978.38697916718</v>
      </c>
      <c r="BD188" s="107">
        <f t="shared" si="185"/>
        <v>155627.87375000052</v>
      </c>
      <c r="BE188" s="107">
        <f t="shared" si="188"/>
        <v>3470.0809687500096</v>
      </c>
      <c r="BF188" s="127"/>
      <c r="BG188" s="127"/>
      <c r="BH188" s="127"/>
      <c r="BI188" s="127"/>
      <c r="BJ188" s="127"/>
      <c r="BK188" s="127"/>
      <c r="BL188" s="127"/>
      <c r="BM188" s="127"/>
      <c r="BN188" s="127"/>
      <c r="BO188" s="127"/>
      <c r="BP188" s="127"/>
      <c r="BQ188" s="127"/>
      <c r="BR188" s="127"/>
      <c r="BS188" s="127"/>
      <c r="BT188" s="127"/>
      <c r="BU188" s="127"/>
      <c r="BV188" s="127"/>
      <c r="BW188" s="127"/>
    </row>
    <row r="189" spans="1:75" ht="56.25" hidden="1" x14ac:dyDescent="0.2">
      <c r="A189" s="123" t="str">
        <f>'[2]2021 УГРЦТ'!A191</f>
        <v>Воздушная линия 6кВ от распределительного пункта "Водозабор" до территории Воинской части №12403 и до территории "Свалка"</v>
      </c>
      <c r="B189" s="124" t="str">
        <f>'[2]2021 УГРЦТ'!B191</f>
        <v>000001823</v>
      </c>
      <c r="C189" s="124" t="str">
        <f>VLOOKUP(A:A,'2023-2027'!A:L,1,+FALSE)</f>
        <v>Воздушная линия 6кВ от распределительного пункта "Водозабор" до территории Воинской части №12403 и до территории "Свалка"</v>
      </c>
      <c r="D189" s="124" t="str">
        <f>'[2]2021 УГРЦТ'!C191</f>
        <v>ПЕРЕДАЧА</v>
      </c>
      <c r="E189" s="124" t="str">
        <f>'[2]2021 УГРЦТ'!D191</f>
        <v>Сооружения</v>
      </c>
      <c r="F189" s="124" t="str">
        <f>'[2]2021 УГРЦТ'!E191</f>
        <v>16.09.2020</v>
      </c>
      <c r="G189" s="124" t="str">
        <f>'[2]2021 УГРЦТ'!F191</f>
        <v>Цех электрических сетей</v>
      </c>
      <c r="H189" s="124">
        <f>'[2]2021 УГРЦТ'!AC191</f>
        <v>480</v>
      </c>
      <c r="I189" s="107">
        <f>'[2]2021 УГРЦТ'!X191</f>
        <v>5342040.4000000004</v>
      </c>
      <c r="J189" s="107">
        <f>'[2]2021 УГРЦТ'!Y191</f>
        <v>166938.76000000004</v>
      </c>
      <c r="K189" s="107">
        <f>'[2]2021 УГРЦТ'!Z191</f>
        <v>5175101.6400000006</v>
      </c>
      <c r="L189" s="125" t="e">
        <f>SUMIF([2]облаг!$B$2:$B$259,B189,[2]облаг!$D$2:$D$259)</f>
        <v>#VALUE!</v>
      </c>
      <c r="M189" s="107">
        <f t="shared" si="120"/>
        <v>11129.250833333334</v>
      </c>
      <c r="N189" s="107">
        <f t="shared" si="121"/>
        <v>133551.01</v>
      </c>
      <c r="O189" s="107">
        <f t="shared" si="122"/>
        <v>5163972.3891666671</v>
      </c>
      <c r="P189" s="107">
        <f t="shared" si="123"/>
        <v>5152843.1383333337</v>
      </c>
      <c r="Q189" s="107">
        <f t="shared" si="149"/>
        <v>5141713.8875000002</v>
      </c>
      <c r="R189" s="107">
        <f t="shared" si="150"/>
        <v>5130584.6366666667</v>
      </c>
      <c r="S189" s="107">
        <f t="shared" si="151"/>
        <v>5119455.3858333332</v>
      </c>
      <c r="T189" s="107">
        <f t="shared" si="152"/>
        <v>5108326.1349999998</v>
      </c>
      <c r="U189" s="107">
        <f t="shared" si="153"/>
        <v>5097196.8841666663</v>
      </c>
      <c r="V189" s="107">
        <f t="shared" si="154"/>
        <v>5086067.6333333328</v>
      </c>
      <c r="W189" s="107">
        <f t="shared" si="155"/>
        <v>5074938.3824999994</v>
      </c>
      <c r="X189" s="107">
        <f t="shared" si="156"/>
        <v>5063809.1316666659</v>
      </c>
      <c r="Y189" s="107">
        <f t="shared" si="157"/>
        <v>5052679.8808333324</v>
      </c>
      <c r="Z189" s="107">
        <f t="shared" si="158"/>
        <v>5041550.629999999</v>
      </c>
      <c r="AA189" s="107">
        <f t="shared" si="186"/>
        <v>112383.17496999999</v>
      </c>
      <c r="AB189" s="107"/>
      <c r="AC189" s="107">
        <f t="shared" si="159"/>
        <v>133551.01</v>
      </c>
      <c r="AD189" s="107">
        <f t="shared" si="160"/>
        <v>5030421.3791666655</v>
      </c>
      <c r="AE189" s="107">
        <f t="shared" si="161"/>
        <v>5019292.128333332</v>
      </c>
      <c r="AF189" s="107">
        <f t="shared" si="162"/>
        <v>5008162.8774999985</v>
      </c>
      <c r="AG189" s="107">
        <f t="shared" si="163"/>
        <v>4997033.6266666651</v>
      </c>
      <c r="AH189" s="107">
        <f t="shared" si="164"/>
        <v>4985904.3758333316</v>
      </c>
      <c r="AI189" s="107">
        <f t="shared" si="165"/>
        <v>4974775.1249999981</v>
      </c>
      <c r="AJ189" s="107">
        <f t="shared" si="166"/>
        <v>4963645.8741666647</v>
      </c>
      <c r="AK189" s="107">
        <f t="shared" si="167"/>
        <v>4952516.6233333312</v>
      </c>
      <c r="AL189" s="107">
        <f t="shared" si="168"/>
        <v>4941387.3724999977</v>
      </c>
      <c r="AM189" s="107">
        <f t="shared" si="169"/>
        <v>4930258.1216666643</v>
      </c>
      <c r="AN189" s="107">
        <f t="shared" si="170"/>
        <v>4919128.8708333308</v>
      </c>
      <c r="AO189" s="107">
        <f t="shared" si="171"/>
        <v>4907999.6199999973</v>
      </c>
      <c r="AP189" s="107">
        <f t="shared" si="187"/>
        <v>109445.05274999996</v>
      </c>
      <c r="AQ189" s="126"/>
      <c r="AR189" s="107">
        <f t="shared" si="173"/>
        <v>133551.01</v>
      </c>
      <c r="AS189" s="107">
        <f t="shared" si="174"/>
        <v>4896870.3691666638</v>
      </c>
      <c r="AT189" s="107">
        <f t="shared" si="175"/>
        <v>4885741.1183333304</v>
      </c>
      <c r="AU189" s="107">
        <f t="shared" si="176"/>
        <v>4874611.8674999969</v>
      </c>
      <c r="AV189" s="107">
        <f t="shared" si="177"/>
        <v>4863482.6166666634</v>
      </c>
      <c r="AW189" s="107">
        <f t="shared" si="178"/>
        <v>4852353.36583333</v>
      </c>
      <c r="AX189" s="107">
        <f t="shared" si="179"/>
        <v>4841224.1149999965</v>
      </c>
      <c r="AY189" s="107">
        <f t="shared" si="180"/>
        <v>4830094.864166663</v>
      </c>
      <c r="AZ189" s="107">
        <f t="shared" si="181"/>
        <v>4818965.6133333296</v>
      </c>
      <c r="BA189" s="107">
        <f t="shared" si="182"/>
        <v>4807836.3624999961</v>
      </c>
      <c r="BB189" s="107">
        <f t="shared" si="183"/>
        <v>4796707.1116666626</v>
      </c>
      <c r="BC189" s="107">
        <f t="shared" si="184"/>
        <v>4785577.8608333291</v>
      </c>
      <c r="BD189" s="107">
        <f t="shared" si="185"/>
        <v>4774448.6099999957</v>
      </c>
      <c r="BE189" s="107">
        <f t="shared" si="188"/>
        <v>106506.93052999991</v>
      </c>
      <c r="BF189" s="127"/>
      <c r="BG189" s="127"/>
      <c r="BH189" s="127"/>
      <c r="BI189" s="127"/>
      <c r="BJ189" s="127"/>
      <c r="BK189" s="127"/>
      <c r="BL189" s="127"/>
      <c r="BM189" s="127"/>
      <c r="BN189" s="127"/>
      <c r="BO189" s="127"/>
      <c r="BP189" s="127"/>
      <c r="BQ189" s="127"/>
      <c r="BR189" s="127"/>
      <c r="BS189" s="127"/>
      <c r="BT189" s="127"/>
      <c r="BU189" s="127"/>
      <c r="BV189" s="127"/>
      <c r="BW189" s="127"/>
    </row>
    <row r="190" spans="1:75" ht="33.75" hidden="1" x14ac:dyDescent="0.2">
      <c r="A190" s="123" t="str">
        <f>'[2]2021 УГРЦТ'!A192</f>
        <v>Воздушные линии 6 кВ в составе объекта "ТП-63/1 "Озерная 16" в районе ул. Озерная д.7а"</v>
      </c>
      <c r="B190" s="124" t="str">
        <f>'[2]2021 УГРЦТ'!B192</f>
        <v>000001828</v>
      </c>
      <c r="C190" s="124" t="str">
        <f>VLOOKUP(A:A,'2023-2027'!A:L,1,+FALSE)</f>
        <v>Воздушные линии 6 кВ в составе объекта "ТП-63/1 "Озерная 16" в районе ул. Озерная д.7а"</v>
      </c>
      <c r="D190" s="124" t="str">
        <f>'[2]2021 УГРЦТ'!C192</f>
        <v>ПЕРЕДАЧА</v>
      </c>
      <c r="E190" s="124" t="str">
        <f>'[2]2021 УГРЦТ'!D192</f>
        <v>Сооружения</v>
      </c>
      <c r="F190" s="124" t="str">
        <f>'[2]2021 УГРЦТ'!E192</f>
        <v>30.12.2020</v>
      </c>
      <c r="G190" s="124" t="str">
        <f>'[2]2021 УГРЦТ'!F192</f>
        <v>Цех электрических сетей</v>
      </c>
      <c r="H190" s="124">
        <f>'[2]2021 УГРЦТ'!AC192</f>
        <v>600</v>
      </c>
      <c r="I190" s="107">
        <f>'[2]2021 УГРЦТ'!X192</f>
        <v>10441328.130000001</v>
      </c>
      <c r="J190" s="107">
        <f>'[2]2021 УГРЦТ'!Y192</f>
        <v>208826.56259999995</v>
      </c>
      <c r="K190" s="107">
        <f>'[2]2021 УГРЦТ'!Z192</f>
        <v>10232501.567400001</v>
      </c>
      <c r="L190" s="125" t="e">
        <f>SUMIF([2]облаг!$B$2:$B$259,B190,[2]облаг!$D$2:$D$259)</f>
        <v>#VALUE!</v>
      </c>
      <c r="M190" s="107">
        <f t="shared" si="120"/>
        <v>17402.21355</v>
      </c>
      <c r="N190" s="107">
        <f t="shared" si="121"/>
        <v>208826.5626</v>
      </c>
      <c r="O190" s="107">
        <f t="shared" si="122"/>
        <v>10215099.353850001</v>
      </c>
      <c r="P190" s="107">
        <f t="shared" si="123"/>
        <v>10197697.140300002</v>
      </c>
      <c r="Q190" s="107">
        <f t="shared" si="149"/>
        <v>10180294.926750002</v>
      </c>
      <c r="R190" s="107">
        <f t="shared" si="150"/>
        <v>10162892.713200003</v>
      </c>
      <c r="S190" s="107">
        <f t="shared" si="151"/>
        <v>10145490.499650003</v>
      </c>
      <c r="T190" s="107">
        <f t="shared" si="152"/>
        <v>10128088.286100004</v>
      </c>
      <c r="U190" s="107">
        <f t="shared" si="153"/>
        <v>10110686.072550004</v>
      </c>
      <c r="V190" s="107">
        <f t="shared" si="154"/>
        <v>10093283.859000005</v>
      </c>
      <c r="W190" s="107">
        <f t="shared" si="155"/>
        <v>10075881.645450005</v>
      </c>
      <c r="X190" s="107">
        <f t="shared" si="156"/>
        <v>10058479.431900006</v>
      </c>
      <c r="Y190" s="107">
        <f t="shared" si="157"/>
        <v>10041077.218350006</v>
      </c>
      <c r="Z190" s="107">
        <f t="shared" si="158"/>
        <v>10023675.004800007</v>
      </c>
      <c r="AA190" s="107">
        <f t="shared" si="186"/>
        <v>222817.94229420007</v>
      </c>
      <c r="AB190" s="107"/>
      <c r="AC190" s="107">
        <f t="shared" si="159"/>
        <v>208826.5626</v>
      </c>
      <c r="AD190" s="107">
        <f t="shared" si="160"/>
        <v>10006272.791250007</v>
      </c>
      <c r="AE190" s="107">
        <f t="shared" si="161"/>
        <v>9988870.5777000077</v>
      </c>
      <c r="AF190" s="107">
        <f t="shared" si="162"/>
        <v>9971468.3641500082</v>
      </c>
      <c r="AG190" s="107">
        <f t="shared" si="163"/>
        <v>9954066.1506000087</v>
      </c>
      <c r="AH190" s="107">
        <f t="shared" si="164"/>
        <v>9936663.9370500091</v>
      </c>
      <c r="AI190" s="107">
        <f t="shared" si="165"/>
        <v>9919261.7235000096</v>
      </c>
      <c r="AJ190" s="107">
        <f t="shared" si="166"/>
        <v>9901859.5099500101</v>
      </c>
      <c r="AK190" s="107">
        <f t="shared" si="167"/>
        <v>9884457.2964000106</v>
      </c>
      <c r="AL190" s="107">
        <f t="shared" si="168"/>
        <v>9867055.0828500111</v>
      </c>
      <c r="AM190" s="107">
        <f t="shared" si="169"/>
        <v>9849652.8693000115</v>
      </c>
      <c r="AN190" s="107">
        <f t="shared" si="170"/>
        <v>9832250.655750012</v>
      </c>
      <c r="AO190" s="107">
        <f t="shared" si="171"/>
        <v>9814848.4422000125</v>
      </c>
      <c r="AP190" s="107">
        <f t="shared" si="187"/>
        <v>218223.75791700021</v>
      </c>
      <c r="AQ190" s="126"/>
      <c r="AR190" s="107">
        <f t="shared" si="173"/>
        <v>208826.5626</v>
      </c>
      <c r="AS190" s="107">
        <f t="shared" si="174"/>
        <v>9797446.228650013</v>
      </c>
      <c r="AT190" s="107">
        <f t="shared" si="175"/>
        <v>9780044.0151000135</v>
      </c>
      <c r="AU190" s="107">
        <f t="shared" si="176"/>
        <v>9762641.8015500139</v>
      </c>
      <c r="AV190" s="107">
        <f t="shared" si="177"/>
        <v>9745239.5880000144</v>
      </c>
      <c r="AW190" s="107">
        <f t="shared" si="178"/>
        <v>9727837.3744500149</v>
      </c>
      <c r="AX190" s="107">
        <f t="shared" si="179"/>
        <v>9710435.1609000154</v>
      </c>
      <c r="AY190" s="107">
        <f t="shared" si="180"/>
        <v>9693032.9473500159</v>
      </c>
      <c r="AZ190" s="107">
        <f t="shared" si="181"/>
        <v>9675630.7338000163</v>
      </c>
      <c r="BA190" s="107">
        <f t="shared" si="182"/>
        <v>9658228.5202500168</v>
      </c>
      <c r="BB190" s="107">
        <f t="shared" si="183"/>
        <v>9640826.3067000173</v>
      </c>
      <c r="BC190" s="107">
        <f t="shared" si="184"/>
        <v>9623424.0931500178</v>
      </c>
      <c r="BD190" s="107">
        <f t="shared" si="185"/>
        <v>9606021.8796000183</v>
      </c>
      <c r="BE190" s="107">
        <f t="shared" si="188"/>
        <v>213629.57353980033</v>
      </c>
      <c r="BF190" s="127"/>
      <c r="BG190" s="127"/>
      <c r="BH190" s="127"/>
      <c r="BI190" s="127"/>
      <c r="BJ190" s="127"/>
      <c r="BK190" s="127"/>
      <c r="BL190" s="127"/>
      <c r="BM190" s="127"/>
      <c r="BN190" s="127"/>
      <c r="BO190" s="127"/>
      <c r="BP190" s="127"/>
      <c r="BQ190" s="127"/>
      <c r="BR190" s="127"/>
      <c r="BS190" s="127"/>
      <c r="BT190" s="127"/>
      <c r="BU190" s="127"/>
      <c r="BV190" s="127"/>
      <c r="BW190" s="127"/>
    </row>
    <row r="191" spans="1:75" ht="22.5" hidden="1" x14ac:dyDescent="0.2">
      <c r="A191" s="123" t="str">
        <f>'[2]2021 УГРЦТ'!A193</f>
        <v>Выключатель автоматический ВА-5541 1000А</v>
      </c>
      <c r="B191" s="124" t="str">
        <f>'[2]2021 УГРЦТ'!B193</f>
        <v>00001003</v>
      </c>
      <c r="C191" s="124" t="str">
        <f>VLOOKUP(A:A,'2023-2027'!A:L,1,+FALSE)</f>
        <v>Выключатель автоматический ВА-5541 1000А</v>
      </c>
      <c r="D191" s="124" t="str">
        <f>'[2]2021 УГРЦТ'!C193</f>
        <v>ПЕРЕДАЧА</v>
      </c>
      <c r="E191" s="124" t="str">
        <f>'[2]2021 УГРЦТ'!D193</f>
        <v>Машины и оборудование (кроме офисного)</v>
      </c>
      <c r="F191" s="124" t="str">
        <f>'[2]2021 УГРЦТ'!E193</f>
        <v>30.11.2006</v>
      </c>
      <c r="G191" s="124" t="str">
        <f>'[2]2021 УГРЦТ'!F193</f>
        <v>Цех электрических сетей</v>
      </c>
      <c r="H191" s="124">
        <f>'[2]2021 УГРЦТ'!AC193</f>
        <v>180</v>
      </c>
      <c r="I191" s="107">
        <f>'[2]2021 УГРЦТ'!X193</f>
        <v>23644.07</v>
      </c>
      <c r="J191" s="107">
        <f>'[2]2021 УГРЦТ'!Y193</f>
        <v>23644.069444444445</v>
      </c>
      <c r="K191" s="107">
        <f>'[2]2021 УГРЦТ'!Z193</f>
        <v>5.5555555445607752E-4</v>
      </c>
      <c r="L191" s="125" t="e">
        <f>SUMIF([2]облаг!$B$2:$B$259,B191,[2]облаг!$D$2:$D$259)</f>
        <v>#VALUE!</v>
      </c>
      <c r="M191" s="107">
        <f t="shared" si="120"/>
        <v>131.35594444444445</v>
      </c>
      <c r="N191" s="107">
        <v>0</v>
      </c>
      <c r="O191" s="107">
        <v>0</v>
      </c>
      <c r="P191" s="107">
        <v>0</v>
      </c>
      <c r="Q191" s="107">
        <v>0</v>
      </c>
      <c r="R191" s="107">
        <v>0</v>
      </c>
      <c r="S191" s="107">
        <v>0</v>
      </c>
      <c r="T191" s="107">
        <v>0</v>
      </c>
      <c r="U191" s="107">
        <v>0</v>
      </c>
      <c r="V191" s="107">
        <v>0</v>
      </c>
      <c r="W191" s="107">
        <v>0</v>
      </c>
      <c r="X191" s="107">
        <v>0</v>
      </c>
      <c r="Y191" s="107">
        <v>0</v>
      </c>
      <c r="Z191" s="107">
        <v>0</v>
      </c>
      <c r="AA191" s="107"/>
      <c r="AB191" s="107"/>
      <c r="AC191" s="107">
        <v>0</v>
      </c>
      <c r="AD191" s="107">
        <v>0</v>
      </c>
      <c r="AE191" s="107">
        <v>0</v>
      </c>
      <c r="AF191" s="107">
        <v>0</v>
      </c>
      <c r="AG191" s="107">
        <v>0</v>
      </c>
      <c r="AH191" s="107">
        <v>0</v>
      </c>
      <c r="AI191" s="107">
        <v>0</v>
      </c>
      <c r="AJ191" s="107">
        <v>0</v>
      </c>
      <c r="AK191" s="107">
        <v>0</v>
      </c>
      <c r="AL191" s="107">
        <v>0</v>
      </c>
      <c r="AM191" s="107">
        <v>0</v>
      </c>
      <c r="AN191" s="107">
        <v>0</v>
      </c>
      <c r="AO191" s="107">
        <v>0</v>
      </c>
      <c r="AP191" s="107">
        <v>0</v>
      </c>
      <c r="AQ191" s="126"/>
      <c r="AR191" s="107">
        <v>0</v>
      </c>
      <c r="AS191" s="107">
        <v>0</v>
      </c>
      <c r="AT191" s="107">
        <v>0</v>
      </c>
      <c r="AU191" s="107">
        <v>0</v>
      </c>
      <c r="AV191" s="107">
        <v>0</v>
      </c>
      <c r="AW191" s="107">
        <v>0</v>
      </c>
      <c r="AX191" s="107">
        <v>0</v>
      </c>
      <c r="AY191" s="107">
        <v>0</v>
      </c>
      <c r="AZ191" s="107">
        <v>0</v>
      </c>
      <c r="BA191" s="107">
        <v>0</v>
      </c>
      <c r="BB191" s="107">
        <v>0</v>
      </c>
      <c r="BC191" s="107">
        <v>0</v>
      </c>
      <c r="BD191" s="107">
        <v>0</v>
      </c>
      <c r="BE191" s="124"/>
    </row>
    <row r="192" spans="1:75" ht="33.75" hidden="1" x14ac:dyDescent="0.2">
      <c r="A192" s="123" t="str">
        <f>'[2]2021 УГРЦТ'!A194</f>
        <v>Высоковольтные сети электроснабжения 150 м п. Мирный (ТП №91)</v>
      </c>
      <c r="B192" s="124" t="str">
        <f>'[2]2021 УГРЦТ'!B194</f>
        <v>000001490</v>
      </c>
      <c r="C192" s="124" t="str">
        <f>VLOOKUP(A:A,'2023-2027'!A:L,1,+FALSE)</f>
        <v>Высоковольтные сети электроснабжения 150 м п. Мирный (ТП №91)</v>
      </c>
      <c r="D192" s="124" t="str">
        <f>'[2]2021 УГРЦТ'!C194</f>
        <v>ПЕРЕДАЧА</v>
      </c>
      <c r="E192" s="124" t="str">
        <f>'[2]2021 УГРЦТ'!D194</f>
        <v>Сооружения</v>
      </c>
      <c r="F192" s="124" t="str">
        <f>'[2]2021 УГРЦТ'!E194</f>
        <v>31.10.2012</v>
      </c>
      <c r="G192" s="124" t="str">
        <f>'[2]2021 УГРЦТ'!F194</f>
        <v>Цех электрических сетей</v>
      </c>
      <c r="H192" s="124">
        <f>'[2]2021 УГРЦТ'!AC194</f>
        <v>360</v>
      </c>
      <c r="I192" s="107">
        <v>2610798.79</v>
      </c>
      <c r="J192" s="107">
        <v>797744.18633333337</v>
      </c>
      <c r="K192" s="107">
        <v>1813054.6036666667</v>
      </c>
      <c r="L192" s="125" t="e">
        <f>SUMIF([2]облаг!$B$2:$B$259,B192,[2]облаг!$D$2:$D$259)</f>
        <v>#VALUE!</v>
      </c>
      <c r="M192" s="107">
        <f t="shared" si="120"/>
        <v>7252.2188611111114</v>
      </c>
      <c r="N192" s="107">
        <f t="shared" si="121"/>
        <v>87026.626333333334</v>
      </c>
      <c r="O192" s="107">
        <f t="shared" si="122"/>
        <v>1805802.3848055555</v>
      </c>
      <c r="P192" s="107">
        <f t="shared" si="123"/>
        <v>1798550.1659444442</v>
      </c>
      <c r="Q192" s="107">
        <f t="shared" si="149"/>
        <v>1791297.947083333</v>
      </c>
      <c r="R192" s="107">
        <f t="shared" si="150"/>
        <v>1784045.7282222218</v>
      </c>
      <c r="S192" s="107">
        <f t="shared" si="151"/>
        <v>1776793.5093611106</v>
      </c>
      <c r="T192" s="107">
        <f t="shared" si="152"/>
        <v>1769541.2904999994</v>
      </c>
      <c r="U192" s="107">
        <f t="shared" si="153"/>
        <v>1762289.0716388882</v>
      </c>
      <c r="V192" s="107">
        <f t="shared" si="154"/>
        <v>1755036.852777777</v>
      </c>
      <c r="W192" s="107">
        <f t="shared" si="155"/>
        <v>1747784.6339166658</v>
      </c>
      <c r="X192" s="107">
        <f t="shared" si="156"/>
        <v>1740532.4150555546</v>
      </c>
      <c r="Y192" s="107">
        <f t="shared" si="157"/>
        <v>1733280.1961944434</v>
      </c>
      <c r="Z192" s="107">
        <f t="shared" si="158"/>
        <v>1726027.9773333322</v>
      </c>
      <c r="AA192" s="107">
        <f>SUM(O192:Z192,K192)/13*$AA$2</f>
        <v>38929.90839099999</v>
      </c>
      <c r="AB192" s="107"/>
      <c r="AC192" s="107">
        <f t="shared" si="159"/>
        <v>87026.626333333334</v>
      </c>
      <c r="AD192" s="107">
        <f t="shared" si="160"/>
        <v>1718775.758472221</v>
      </c>
      <c r="AE192" s="107">
        <f t="shared" si="161"/>
        <v>1711523.5396111098</v>
      </c>
      <c r="AF192" s="107">
        <f t="shared" si="162"/>
        <v>1704271.3207499986</v>
      </c>
      <c r="AG192" s="107">
        <f t="shared" si="163"/>
        <v>1697019.1018888874</v>
      </c>
      <c r="AH192" s="107">
        <f t="shared" si="164"/>
        <v>1689766.8830277761</v>
      </c>
      <c r="AI192" s="107">
        <f t="shared" si="165"/>
        <v>1682514.6641666649</v>
      </c>
      <c r="AJ192" s="107">
        <f t="shared" si="166"/>
        <v>1675262.4453055537</v>
      </c>
      <c r="AK192" s="107">
        <f t="shared" si="167"/>
        <v>1668010.2264444425</v>
      </c>
      <c r="AL192" s="107">
        <f t="shared" si="168"/>
        <v>1660758.0075833313</v>
      </c>
      <c r="AM192" s="107">
        <f t="shared" si="169"/>
        <v>1653505.7887222201</v>
      </c>
      <c r="AN192" s="107">
        <f t="shared" si="170"/>
        <v>1646253.5698611089</v>
      </c>
      <c r="AO192" s="107">
        <f t="shared" si="171"/>
        <v>1639001.3509999977</v>
      </c>
      <c r="AP192" s="107">
        <f t="shared" ref="AP192:AP194" si="189">SUM(AD192:AO192,Z192)/13*$AP$2</f>
        <v>37015.322611666634</v>
      </c>
      <c r="AQ192" s="126"/>
      <c r="AR192" s="107">
        <f t="shared" si="173"/>
        <v>87026.626333333334</v>
      </c>
      <c r="AS192" s="107">
        <f t="shared" ref="AS192:AS201" si="190">AO192-M192</f>
        <v>1631749.1321388865</v>
      </c>
      <c r="AT192" s="107">
        <f t="shared" ref="AT192:AT201" si="191">AS192-M192</f>
        <v>1624496.9132777753</v>
      </c>
      <c r="AU192" s="107">
        <f t="shared" ref="AU192:AU201" si="192">AT192-M192</f>
        <v>1617244.6944166641</v>
      </c>
      <c r="AV192" s="107">
        <f t="shared" ref="AV192:AV201" si="193">AU192-M192</f>
        <v>1609992.4755555529</v>
      </c>
      <c r="AW192" s="107">
        <f t="shared" ref="AW192:AW201" si="194">AV192-M192</f>
        <v>1602740.2566944417</v>
      </c>
      <c r="AX192" s="107">
        <f t="shared" ref="AX192:AX201" si="195">AW192-M192</f>
        <v>1595488.0378333305</v>
      </c>
      <c r="AY192" s="107">
        <f t="shared" ref="AY192:AY201" si="196">AX192-M192</f>
        <v>1588235.8189722192</v>
      </c>
      <c r="AZ192" s="107">
        <f t="shared" ref="AZ192:AZ201" si="197">AY192-M192</f>
        <v>1580983.600111108</v>
      </c>
      <c r="BA192" s="107">
        <f t="shared" ref="BA192:BA201" si="198">AZ192-M192</f>
        <v>1573731.3812499968</v>
      </c>
      <c r="BB192" s="107">
        <f t="shared" ref="BB192:BB201" si="199">BA192-M192</f>
        <v>1566479.1623888856</v>
      </c>
      <c r="BC192" s="107">
        <f t="shared" ref="BC192:BC201" si="200">BB192-M192</f>
        <v>1559226.9435277744</v>
      </c>
      <c r="BD192" s="107">
        <f t="shared" ref="BD192:BD201" si="201">BC192-M192</f>
        <v>1551974.7246666632</v>
      </c>
      <c r="BE192" s="107">
        <f>SUM(AS192:BD192,AO192)/13*$BE$2</f>
        <v>35100.736832333263</v>
      </c>
      <c r="BF192" s="127"/>
      <c r="BG192" s="127"/>
      <c r="BH192" s="127"/>
      <c r="BI192" s="127"/>
      <c r="BJ192" s="127"/>
      <c r="BK192" s="127"/>
      <c r="BL192" s="127"/>
      <c r="BM192" s="127"/>
      <c r="BN192" s="127"/>
      <c r="BO192" s="127"/>
      <c r="BP192" s="127"/>
      <c r="BQ192" s="127"/>
      <c r="BR192" s="127"/>
      <c r="BS192" s="127"/>
      <c r="BT192" s="127"/>
      <c r="BU192" s="127"/>
      <c r="BV192" s="127"/>
      <c r="BW192" s="127"/>
    </row>
    <row r="193" spans="1:75" hidden="1" x14ac:dyDescent="0.2">
      <c r="A193" s="123" t="str">
        <f>'[2]2021 УГРЦТ'!A195</f>
        <v>Гараж 3-секционный от Н-Мстрой</v>
      </c>
      <c r="B193" s="124" t="str">
        <f>'[2]2021 УГРЦТ'!B195</f>
        <v>00000027</v>
      </c>
      <c r="C193" s="124" t="str">
        <f>VLOOKUP(A:A,'2023-2027'!A:L,1,+FALSE)</f>
        <v>Гараж 3-секционный от Н-Мстрой</v>
      </c>
      <c r="D193" s="124" t="str">
        <f>'[2]2021 УГРЦТ'!C195</f>
        <v>ПЕРЕДАЧА</v>
      </c>
      <c r="E193" s="124" t="str">
        <f>'[2]2021 УГРЦТ'!D195</f>
        <v>Здания</v>
      </c>
      <c r="F193" s="124" t="str">
        <f>'[2]2021 УГРЦТ'!E195</f>
        <v>01.09.1998</v>
      </c>
      <c r="G193" s="124" t="str">
        <f>'[2]2021 УГРЦТ'!F195</f>
        <v>Автотранспортный цех</v>
      </c>
      <c r="H193" s="124">
        <f>'[2]2021 УГРЦТ'!AC195</f>
        <v>480</v>
      </c>
      <c r="I193" s="107">
        <f>'[2]2021 УГРЦТ'!X195</f>
        <v>835229.83</v>
      </c>
      <c r="J193" s="107">
        <f>'[2]2021 УГРЦТ'!Y195</f>
        <v>312532.11000000004</v>
      </c>
      <c r="K193" s="107">
        <f>'[2]2021 УГРЦТ'!Z195</f>
        <v>522697.71999999991</v>
      </c>
      <c r="L193" s="125" t="e">
        <f>SUMIF([2]облаг!$B$2:$B$259,B193,[2]облаг!$D$2:$D$259)</f>
        <v>#VALUE!</v>
      </c>
      <c r="M193" s="107">
        <f t="shared" si="120"/>
        <v>1740.0621458333333</v>
      </c>
      <c r="N193" s="107">
        <f t="shared" si="121"/>
        <v>20880.745749999998</v>
      </c>
      <c r="O193" s="107">
        <f t="shared" si="122"/>
        <v>520957.65785416658</v>
      </c>
      <c r="P193" s="107">
        <f t="shared" si="123"/>
        <v>519217.59570833325</v>
      </c>
      <c r="Q193" s="107">
        <f t="shared" si="149"/>
        <v>517477.53356249991</v>
      </c>
      <c r="R193" s="107">
        <f t="shared" si="150"/>
        <v>515737.47141666658</v>
      </c>
      <c r="S193" s="107">
        <f t="shared" si="151"/>
        <v>513997.40927083325</v>
      </c>
      <c r="T193" s="107">
        <f t="shared" si="152"/>
        <v>512257.34712499991</v>
      </c>
      <c r="U193" s="107">
        <f t="shared" si="153"/>
        <v>510517.28497916658</v>
      </c>
      <c r="V193" s="107">
        <f t="shared" si="154"/>
        <v>508777.22283333325</v>
      </c>
      <c r="W193" s="107">
        <f t="shared" si="155"/>
        <v>507037.16068749991</v>
      </c>
      <c r="X193" s="107">
        <f t="shared" si="156"/>
        <v>505297.09854166658</v>
      </c>
      <c r="Y193" s="107">
        <f t="shared" si="157"/>
        <v>503557.03639583325</v>
      </c>
      <c r="Z193" s="107">
        <f t="shared" si="158"/>
        <v>501816.97424999991</v>
      </c>
      <c r="AA193" s="107">
        <f>SUM(O193:Z193,K193)/13*$AA$2</f>
        <v>11269.661636749997</v>
      </c>
      <c r="AB193" s="107"/>
      <c r="AC193" s="107">
        <f t="shared" si="159"/>
        <v>20880.745749999998</v>
      </c>
      <c r="AD193" s="107">
        <f t="shared" si="160"/>
        <v>500076.91210416658</v>
      </c>
      <c r="AE193" s="107">
        <f t="shared" si="161"/>
        <v>498336.84995833325</v>
      </c>
      <c r="AF193" s="107">
        <f t="shared" si="162"/>
        <v>496596.78781249991</v>
      </c>
      <c r="AG193" s="107">
        <f t="shared" si="163"/>
        <v>494856.72566666658</v>
      </c>
      <c r="AH193" s="107">
        <f t="shared" si="164"/>
        <v>493116.66352083324</v>
      </c>
      <c r="AI193" s="107">
        <f t="shared" si="165"/>
        <v>491376.60137499991</v>
      </c>
      <c r="AJ193" s="107">
        <f t="shared" si="166"/>
        <v>489636.53922916658</v>
      </c>
      <c r="AK193" s="107">
        <f t="shared" si="167"/>
        <v>487896.47708333324</v>
      </c>
      <c r="AL193" s="107">
        <f t="shared" si="168"/>
        <v>486156.41493749991</v>
      </c>
      <c r="AM193" s="107">
        <f t="shared" si="169"/>
        <v>484416.35279166658</v>
      </c>
      <c r="AN193" s="107">
        <f t="shared" si="170"/>
        <v>482676.29064583324</v>
      </c>
      <c r="AO193" s="107">
        <f t="shared" si="171"/>
        <v>480936.22849999991</v>
      </c>
      <c r="AP193" s="107">
        <f t="shared" si="189"/>
        <v>10810.28523025</v>
      </c>
      <c r="AQ193" s="126"/>
      <c r="AR193" s="107">
        <f t="shared" si="173"/>
        <v>20880.745749999998</v>
      </c>
      <c r="AS193" s="107">
        <f t="shared" si="190"/>
        <v>479196.16635416658</v>
      </c>
      <c r="AT193" s="107">
        <f t="shared" si="191"/>
        <v>477456.10420833324</v>
      </c>
      <c r="AU193" s="107">
        <f t="shared" si="192"/>
        <v>475716.04206249991</v>
      </c>
      <c r="AV193" s="107">
        <f t="shared" si="193"/>
        <v>473975.97991666658</v>
      </c>
      <c r="AW193" s="107">
        <f t="shared" si="194"/>
        <v>472235.91777083324</v>
      </c>
      <c r="AX193" s="107">
        <f t="shared" si="195"/>
        <v>470495.85562499991</v>
      </c>
      <c r="AY193" s="107">
        <f t="shared" si="196"/>
        <v>468755.79347916658</v>
      </c>
      <c r="AZ193" s="107">
        <f t="shared" si="197"/>
        <v>467015.73133333324</v>
      </c>
      <c r="BA193" s="107">
        <f t="shared" si="198"/>
        <v>465275.66918749991</v>
      </c>
      <c r="BB193" s="107">
        <f t="shared" si="199"/>
        <v>463535.60704166658</v>
      </c>
      <c r="BC193" s="107">
        <f t="shared" si="200"/>
        <v>461795.54489583324</v>
      </c>
      <c r="BD193" s="107">
        <f t="shared" si="201"/>
        <v>460055.48274999991</v>
      </c>
      <c r="BE193" s="107">
        <f>SUM(AS193:BD193,AO193)/13*$BE$2</f>
        <v>10350.908823749996</v>
      </c>
      <c r="BF193" s="127"/>
      <c r="BG193" s="127"/>
      <c r="BH193" s="127"/>
      <c r="BI193" s="127"/>
      <c r="BJ193" s="127"/>
      <c r="BK193" s="127"/>
      <c r="BL193" s="127"/>
      <c r="BM193" s="127"/>
      <c r="BN193" s="127"/>
      <c r="BO193" s="127"/>
      <c r="BP193" s="127"/>
      <c r="BQ193" s="127"/>
      <c r="BR193" s="127"/>
      <c r="BS193" s="127"/>
      <c r="BT193" s="127"/>
      <c r="BU193" s="127"/>
      <c r="BV193" s="127"/>
      <c r="BW193" s="127"/>
    </row>
    <row r="194" spans="1:75" hidden="1" x14ac:dyDescent="0.2">
      <c r="A194" s="123" t="str">
        <f>'[2]2021 УГРЦТ'!A196</f>
        <v>Гаражный бокс 2007г</v>
      </c>
      <c r="B194" s="124" t="str">
        <f>'[2]2021 УГРЦТ'!B196</f>
        <v>00001055</v>
      </c>
      <c r="C194" s="124" t="str">
        <f>VLOOKUP(A:A,'2023-2027'!A:L,1,+FALSE)</f>
        <v>Гаражный бокс 2007г</v>
      </c>
      <c r="D194" s="124" t="str">
        <f>'[2]2021 УГРЦТ'!C196</f>
        <v>ПЕРЕДАЧА</v>
      </c>
      <c r="E194" s="124" t="str">
        <f>'[2]2021 УГРЦТ'!D196</f>
        <v>Здания</v>
      </c>
      <c r="F194" s="124" t="str">
        <f>'[2]2021 УГРЦТ'!E196</f>
        <v>31.10.2007</v>
      </c>
      <c r="G194" s="124" t="str">
        <f>'[2]2021 УГРЦТ'!F196</f>
        <v>Автотранспортный цех</v>
      </c>
      <c r="H194" s="124">
        <f>'[2]2021 УГРЦТ'!AC196</f>
        <v>300</v>
      </c>
      <c r="I194" s="107">
        <f>'[2]2021 УГРЦТ'!X196</f>
        <v>1142387.3600000001</v>
      </c>
      <c r="J194" s="107">
        <f>'[2]2021 УГРЦТ'!Y196</f>
        <v>619246.88</v>
      </c>
      <c r="K194" s="107">
        <f>'[2]2021 УГРЦТ'!Z196</f>
        <v>523140.4800000001</v>
      </c>
      <c r="L194" s="125" t="e">
        <f>SUMIF([2]облаг!$B$2:$B$259,B194,[2]облаг!$D$2:$D$259)</f>
        <v>#VALUE!</v>
      </c>
      <c r="M194" s="107">
        <f t="shared" si="120"/>
        <v>3807.9578666666671</v>
      </c>
      <c r="N194" s="107">
        <f t="shared" si="121"/>
        <v>45695.494400000003</v>
      </c>
      <c r="O194" s="107">
        <f t="shared" si="122"/>
        <v>519332.52213333343</v>
      </c>
      <c r="P194" s="107">
        <f t="shared" si="123"/>
        <v>515524.56426666677</v>
      </c>
      <c r="Q194" s="107">
        <f t="shared" si="149"/>
        <v>511716.60640000011</v>
      </c>
      <c r="R194" s="107">
        <f t="shared" si="150"/>
        <v>507908.64853333344</v>
      </c>
      <c r="S194" s="107">
        <f t="shared" si="151"/>
        <v>504100.69066666678</v>
      </c>
      <c r="T194" s="107">
        <f t="shared" si="152"/>
        <v>500292.73280000011</v>
      </c>
      <c r="U194" s="107">
        <f t="shared" si="153"/>
        <v>496484.77493333345</v>
      </c>
      <c r="V194" s="107">
        <f t="shared" si="154"/>
        <v>492676.81706666679</v>
      </c>
      <c r="W194" s="107">
        <f t="shared" si="155"/>
        <v>488868.85920000012</v>
      </c>
      <c r="X194" s="107">
        <f t="shared" si="156"/>
        <v>485060.90133333346</v>
      </c>
      <c r="Y194" s="107">
        <f t="shared" si="157"/>
        <v>481252.94346666679</v>
      </c>
      <c r="Z194" s="107">
        <f t="shared" si="158"/>
        <v>477444.98560000013</v>
      </c>
      <c r="AA194" s="107">
        <f>SUM(O194:Z194,K194)/13*$AA$2</f>
        <v>11006.440121600002</v>
      </c>
      <c r="AB194" s="107"/>
      <c r="AC194" s="107">
        <f t="shared" si="159"/>
        <v>45695.494400000003</v>
      </c>
      <c r="AD194" s="107">
        <f t="shared" si="160"/>
        <v>473637.02773333347</v>
      </c>
      <c r="AE194" s="107">
        <f t="shared" si="161"/>
        <v>469829.0698666668</v>
      </c>
      <c r="AF194" s="107">
        <f t="shared" si="162"/>
        <v>466021.11200000014</v>
      </c>
      <c r="AG194" s="107">
        <f t="shared" si="163"/>
        <v>462213.15413333348</v>
      </c>
      <c r="AH194" s="107">
        <f t="shared" si="164"/>
        <v>458405.19626666681</v>
      </c>
      <c r="AI194" s="107">
        <f t="shared" si="165"/>
        <v>454597.23840000015</v>
      </c>
      <c r="AJ194" s="107">
        <f t="shared" si="166"/>
        <v>450789.28053333348</v>
      </c>
      <c r="AK194" s="107">
        <f t="shared" si="167"/>
        <v>446981.32266666682</v>
      </c>
      <c r="AL194" s="107">
        <f t="shared" si="168"/>
        <v>443173.36480000016</v>
      </c>
      <c r="AM194" s="107">
        <f t="shared" si="169"/>
        <v>439365.40693333349</v>
      </c>
      <c r="AN194" s="107">
        <f t="shared" si="170"/>
        <v>435557.44906666683</v>
      </c>
      <c r="AO194" s="107">
        <f t="shared" si="171"/>
        <v>431749.49120000016</v>
      </c>
      <c r="AP194" s="107">
        <f t="shared" si="189"/>
        <v>10001.139244800002</v>
      </c>
      <c r="AQ194" s="126"/>
      <c r="AR194" s="107">
        <f t="shared" si="173"/>
        <v>45695.494400000003</v>
      </c>
      <c r="AS194" s="107">
        <f t="shared" si="190"/>
        <v>427941.5333333335</v>
      </c>
      <c r="AT194" s="107">
        <f t="shared" si="191"/>
        <v>424133.57546666684</v>
      </c>
      <c r="AU194" s="107">
        <f t="shared" si="192"/>
        <v>420325.61760000017</v>
      </c>
      <c r="AV194" s="107">
        <f t="shared" si="193"/>
        <v>416517.65973333351</v>
      </c>
      <c r="AW194" s="107">
        <f t="shared" si="194"/>
        <v>412709.70186666684</v>
      </c>
      <c r="AX194" s="107">
        <f t="shared" si="195"/>
        <v>408901.74400000018</v>
      </c>
      <c r="AY194" s="107">
        <f t="shared" si="196"/>
        <v>405093.78613333352</v>
      </c>
      <c r="AZ194" s="107">
        <f t="shared" si="197"/>
        <v>401285.82826666685</v>
      </c>
      <c r="BA194" s="107">
        <f t="shared" si="198"/>
        <v>397477.87040000019</v>
      </c>
      <c r="BB194" s="107">
        <f t="shared" si="199"/>
        <v>393669.91253333353</v>
      </c>
      <c r="BC194" s="107">
        <f t="shared" si="200"/>
        <v>389861.95466666686</v>
      </c>
      <c r="BD194" s="107">
        <f t="shared" si="201"/>
        <v>386053.9968000002</v>
      </c>
      <c r="BE194" s="107">
        <f>SUM(AS194:BD194,AO194)/13*$BE$2</f>
        <v>8995.8383680000043</v>
      </c>
      <c r="BF194" s="127"/>
      <c r="BG194" s="127"/>
      <c r="BH194" s="127"/>
      <c r="BI194" s="127"/>
      <c r="BJ194" s="127"/>
      <c r="BK194" s="127"/>
      <c r="BL194" s="127"/>
      <c r="BM194" s="127"/>
      <c r="BN194" s="127"/>
      <c r="BO194" s="127"/>
      <c r="BP194" s="127"/>
      <c r="BQ194" s="127"/>
      <c r="BR194" s="127"/>
      <c r="BS194" s="127"/>
      <c r="BT194" s="127"/>
      <c r="BU194" s="127"/>
      <c r="BV194" s="127"/>
      <c r="BW194" s="127"/>
    </row>
    <row r="195" spans="1:75" hidden="1" x14ac:dyDescent="0.2">
      <c r="A195" s="123" t="str">
        <f>'[2]2021 УГРЦТ'!A197</f>
        <v>Генератор силовой Е-100</v>
      </c>
      <c r="B195" s="124" t="str">
        <f>'[2]2021 УГРЦТ'!B197</f>
        <v>000001724</v>
      </c>
      <c r="C195" s="124" t="str">
        <f>VLOOKUP(A:A,'2023-2027'!A:L,1,+FALSE)</f>
        <v>Генератор силовой Е-100</v>
      </c>
      <c r="D195" s="124" t="str">
        <f>'[2]2021 УГРЦТ'!C197</f>
        <v>ПЕРЕДАЧА</v>
      </c>
      <c r="E195" s="124" t="str">
        <f>'[2]2021 УГРЦТ'!D197</f>
        <v>Машины и оборудование (кроме офисного)</v>
      </c>
      <c r="F195" s="124" t="str">
        <f>'[2]2021 УГРЦТ'!E197</f>
        <v>14.05.2018</v>
      </c>
      <c r="G195" s="124" t="str">
        <f>'[2]2021 УГРЦТ'!F197</f>
        <v>Цех электрических сетей</v>
      </c>
      <c r="H195" s="124">
        <f>'[2]2021 УГРЦТ'!AC197</f>
        <v>84</v>
      </c>
      <c r="I195" s="107">
        <f>'[2]2021 УГРЦТ'!X197</f>
        <v>87175.76</v>
      </c>
      <c r="J195" s="107">
        <f>'[2]2021 УГРЦТ'!Y197</f>
        <v>44625.79</v>
      </c>
      <c r="K195" s="107">
        <f>'[2]2021 УГРЦТ'!Z197</f>
        <v>42549.969999999994</v>
      </c>
      <c r="L195" s="125" t="e">
        <f>SUMIF([2]облаг!$B$2:$B$259,B195,[2]облаг!$D$2:$D$259)</f>
        <v>#VALUE!</v>
      </c>
      <c r="M195" s="107">
        <f t="shared" si="120"/>
        <v>1037.8066666666666</v>
      </c>
      <c r="N195" s="107">
        <f t="shared" si="121"/>
        <v>12453.68</v>
      </c>
      <c r="O195" s="107">
        <f t="shared" si="122"/>
        <v>41512.16333333333</v>
      </c>
      <c r="P195" s="107">
        <f t="shared" si="123"/>
        <v>40474.356666666667</v>
      </c>
      <c r="Q195" s="107">
        <f t="shared" si="149"/>
        <v>39436.550000000003</v>
      </c>
      <c r="R195" s="107">
        <f t="shared" si="150"/>
        <v>38398.743333333339</v>
      </c>
      <c r="S195" s="107">
        <f t="shared" si="151"/>
        <v>37360.936666666676</v>
      </c>
      <c r="T195" s="107">
        <f t="shared" si="152"/>
        <v>36323.130000000012</v>
      </c>
      <c r="U195" s="107">
        <f t="shared" si="153"/>
        <v>35285.323333333348</v>
      </c>
      <c r="V195" s="107">
        <f t="shared" si="154"/>
        <v>34247.516666666685</v>
      </c>
      <c r="W195" s="107">
        <f t="shared" si="155"/>
        <v>33209.710000000021</v>
      </c>
      <c r="X195" s="107">
        <f t="shared" si="156"/>
        <v>32171.903333333354</v>
      </c>
      <c r="Y195" s="107">
        <f t="shared" si="157"/>
        <v>31134.096666666686</v>
      </c>
      <c r="Z195" s="107">
        <f t="shared" si="158"/>
        <v>30096.290000000019</v>
      </c>
      <c r="AA195" s="107"/>
      <c r="AB195" s="107"/>
      <c r="AC195" s="107">
        <f t="shared" si="159"/>
        <v>12453.68</v>
      </c>
      <c r="AD195" s="107">
        <f t="shared" si="160"/>
        <v>29058.483333333352</v>
      </c>
      <c r="AE195" s="107">
        <f t="shared" si="161"/>
        <v>28020.676666666684</v>
      </c>
      <c r="AF195" s="107">
        <f t="shared" si="162"/>
        <v>26982.870000000017</v>
      </c>
      <c r="AG195" s="107">
        <f t="shared" si="163"/>
        <v>25945.06333333335</v>
      </c>
      <c r="AH195" s="107">
        <f t="shared" si="164"/>
        <v>24907.256666666683</v>
      </c>
      <c r="AI195" s="107">
        <f t="shared" si="165"/>
        <v>23869.450000000015</v>
      </c>
      <c r="AJ195" s="107">
        <f t="shared" si="166"/>
        <v>22831.643333333348</v>
      </c>
      <c r="AK195" s="107">
        <f t="shared" si="167"/>
        <v>21793.836666666681</v>
      </c>
      <c r="AL195" s="107">
        <f t="shared" si="168"/>
        <v>20756.030000000013</v>
      </c>
      <c r="AM195" s="107">
        <f t="shared" si="169"/>
        <v>19718.223333333346</v>
      </c>
      <c r="AN195" s="107">
        <f t="shared" si="170"/>
        <v>18680.416666666679</v>
      </c>
      <c r="AO195" s="107">
        <f t="shared" si="171"/>
        <v>17642.610000000011</v>
      </c>
      <c r="AP195" s="107"/>
      <c r="AQ195" s="126"/>
      <c r="AR195" s="107">
        <f t="shared" si="173"/>
        <v>12453.68</v>
      </c>
      <c r="AS195" s="107">
        <f t="shared" si="190"/>
        <v>16604.803333333344</v>
      </c>
      <c r="AT195" s="107">
        <f t="shared" si="191"/>
        <v>15566.996666666677</v>
      </c>
      <c r="AU195" s="107">
        <f t="shared" si="192"/>
        <v>14529.19000000001</v>
      </c>
      <c r="AV195" s="107">
        <f t="shared" si="193"/>
        <v>13491.383333333342</v>
      </c>
      <c r="AW195" s="107">
        <f t="shared" si="194"/>
        <v>12453.576666666675</v>
      </c>
      <c r="AX195" s="107">
        <f t="shared" si="195"/>
        <v>11415.770000000008</v>
      </c>
      <c r="AY195" s="107">
        <f t="shared" si="196"/>
        <v>10377.96333333334</v>
      </c>
      <c r="AZ195" s="107">
        <f t="shared" si="197"/>
        <v>9340.1566666666731</v>
      </c>
      <c r="BA195" s="107">
        <f t="shared" si="198"/>
        <v>8302.3500000000058</v>
      </c>
      <c r="BB195" s="107">
        <f t="shared" si="199"/>
        <v>7264.5433333333394</v>
      </c>
      <c r="BC195" s="107">
        <f t="shared" si="200"/>
        <v>6226.736666666673</v>
      </c>
      <c r="BD195" s="107">
        <f t="shared" si="201"/>
        <v>5188.9300000000067</v>
      </c>
      <c r="BE195" s="107"/>
      <c r="BF195" s="127"/>
      <c r="BG195" s="127"/>
      <c r="BI195" s="127"/>
      <c r="BJ195" s="127"/>
      <c r="BK195" s="127"/>
      <c r="BL195" s="127"/>
      <c r="BM195" s="127"/>
      <c r="BN195" s="127"/>
      <c r="BO195" s="127"/>
      <c r="BP195" s="127"/>
      <c r="BQ195" s="127"/>
      <c r="BR195" s="127"/>
      <c r="BS195" s="127"/>
      <c r="BT195" s="127"/>
      <c r="BU195" s="127"/>
      <c r="BV195" s="127"/>
    </row>
    <row r="196" spans="1:75" ht="22.5" hidden="1" x14ac:dyDescent="0.2">
      <c r="A196" s="123" t="str">
        <f>'[2]2021 УГРЦТ'!A198</f>
        <v>Двуцепная ЛЭП от ДЭС п Искателей  до ТП</v>
      </c>
      <c r="B196" s="124" t="str">
        <f>'[2]2021 УГРЦТ'!B198</f>
        <v>00000254</v>
      </c>
      <c r="C196" s="124" t="str">
        <f>VLOOKUP(A:A,'2023-2027'!A:L,1,+FALSE)</f>
        <v>Двуцепная ЛЭП от ДЭС п Искателей  до ТП</v>
      </c>
      <c r="D196" s="124" t="str">
        <f>'[2]2021 УГРЦТ'!C198</f>
        <v>ПЕРЕДАЧА</v>
      </c>
      <c r="E196" s="124" t="str">
        <f>'[2]2021 УГРЦТ'!D198</f>
        <v>Сооружения</v>
      </c>
      <c r="F196" s="124" t="str">
        <f>'[2]2021 УГРЦТ'!E198</f>
        <v>01.09.1998</v>
      </c>
      <c r="G196" s="124" t="str">
        <f>'[2]2021 УГРЦТ'!F198</f>
        <v>Цех электрических сетей</v>
      </c>
      <c r="H196" s="124">
        <f>'[2]2021 УГРЦТ'!AC198</f>
        <v>396</v>
      </c>
      <c r="I196" s="107">
        <f>'[2]2021 УГРЦТ'!X198</f>
        <v>0</v>
      </c>
      <c r="J196" s="107">
        <f>'[2]2021 УГРЦТ'!Y198</f>
        <v>0</v>
      </c>
      <c r="K196" s="107">
        <f>'[2]2021 УГРЦТ'!Z198</f>
        <v>0</v>
      </c>
      <c r="L196" s="125" t="e">
        <f>SUMIF([2]облаг!$B$2:$B$259,B196,[2]облаг!$D$2:$D$259)</f>
        <v>#VALUE!</v>
      </c>
      <c r="M196" s="107">
        <f t="shared" si="120"/>
        <v>0</v>
      </c>
      <c r="N196" s="107">
        <f t="shared" si="121"/>
        <v>0</v>
      </c>
      <c r="O196" s="107">
        <f t="shared" si="122"/>
        <v>0</v>
      </c>
      <c r="P196" s="107">
        <f t="shared" si="123"/>
        <v>0</v>
      </c>
      <c r="Q196" s="107">
        <f t="shared" si="149"/>
        <v>0</v>
      </c>
      <c r="R196" s="107">
        <f t="shared" si="150"/>
        <v>0</v>
      </c>
      <c r="S196" s="107">
        <f t="shared" si="151"/>
        <v>0</v>
      </c>
      <c r="T196" s="107">
        <f t="shared" si="152"/>
        <v>0</v>
      </c>
      <c r="U196" s="107">
        <f t="shared" si="153"/>
        <v>0</v>
      </c>
      <c r="V196" s="107">
        <f t="shared" si="154"/>
        <v>0</v>
      </c>
      <c r="W196" s="107">
        <f t="shared" si="155"/>
        <v>0</v>
      </c>
      <c r="X196" s="107">
        <f t="shared" si="156"/>
        <v>0</v>
      </c>
      <c r="Y196" s="107">
        <f t="shared" si="157"/>
        <v>0</v>
      </c>
      <c r="Z196" s="107">
        <f t="shared" si="158"/>
        <v>0</v>
      </c>
      <c r="AA196" s="107">
        <f>SUM(O196:Z196,K196)/13*$AA$2</f>
        <v>0</v>
      </c>
      <c r="AB196" s="107"/>
      <c r="AC196" s="107">
        <f t="shared" si="159"/>
        <v>0</v>
      </c>
      <c r="AD196" s="107">
        <f t="shared" si="160"/>
        <v>0</v>
      </c>
      <c r="AE196" s="107">
        <f t="shared" si="161"/>
        <v>0</v>
      </c>
      <c r="AF196" s="107">
        <f t="shared" si="162"/>
        <v>0</v>
      </c>
      <c r="AG196" s="107">
        <f t="shared" si="163"/>
        <v>0</v>
      </c>
      <c r="AH196" s="107">
        <f t="shared" si="164"/>
        <v>0</v>
      </c>
      <c r="AI196" s="107">
        <f t="shared" si="165"/>
        <v>0</v>
      </c>
      <c r="AJ196" s="107">
        <f t="shared" si="166"/>
        <v>0</v>
      </c>
      <c r="AK196" s="107">
        <f t="shared" si="167"/>
        <v>0</v>
      </c>
      <c r="AL196" s="107">
        <f t="shared" si="168"/>
        <v>0</v>
      </c>
      <c r="AM196" s="107">
        <f t="shared" si="169"/>
        <v>0</v>
      </c>
      <c r="AN196" s="107">
        <f t="shared" si="170"/>
        <v>0</v>
      </c>
      <c r="AO196" s="107">
        <f t="shared" si="171"/>
        <v>0</v>
      </c>
      <c r="AP196" s="107">
        <f>SUM(AD196:AO196,Z196)/13*$AP$2</f>
        <v>0</v>
      </c>
      <c r="AQ196" s="126"/>
      <c r="AR196" s="107">
        <f t="shared" si="173"/>
        <v>0</v>
      </c>
      <c r="AS196" s="107">
        <f t="shared" si="190"/>
        <v>0</v>
      </c>
      <c r="AT196" s="107">
        <f t="shared" si="191"/>
        <v>0</v>
      </c>
      <c r="AU196" s="107">
        <f t="shared" si="192"/>
        <v>0</v>
      </c>
      <c r="AV196" s="107">
        <f t="shared" si="193"/>
        <v>0</v>
      </c>
      <c r="AW196" s="107">
        <f t="shared" si="194"/>
        <v>0</v>
      </c>
      <c r="AX196" s="107">
        <f t="shared" si="195"/>
        <v>0</v>
      </c>
      <c r="AY196" s="107">
        <f t="shared" si="196"/>
        <v>0</v>
      </c>
      <c r="AZ196" s="107">
        <f t="shared" si="197"/>
        <v>0</v>
      </c>
      <c r="BA196" s="107">
        <f t="shared" si="198"/>
        <v>0</v>
      </c>
      <c r="BB196" s="107">
        <f t="shared" si="199"/>
        <v>0</v>
      </c>
      <c r="BC196" s="107">
        <f t="shared" si="200"/>
        <v>0</v>
      </c>
      <c r="BD196" s="107">
        <f t="shared" si="201"/>
        <v>0</v>
      </c>
      <c r="BE196" s="107">
        <f>SUM(AS196:BD196,AO196)/13*$BE$2</f>
        <v>0</v>
      </c>
      <c r="BG196" s="127"/>
      <c r="BV196" s="127"/>
    </row>
    <row r="197" spans="1:75" ht="22.5" hidden="1" x14ac:dyDescent="0.2">
      <c r="A197" s="123" t="str">
        <f>'[2]2021 УГРЦТ'!A199</f>
        <v>Диагностический сканер FCAR F7S-G</v>
      </c>
      <c r="B197" s="139" t="str">
        <f>'[2]2021 УГРЦТ'!B199</f>
        <v>000001805</v>
      </c>
      <c r="C197" s="124" t="str">
        <f>VLOOKUP(A:A,'2023-2027'!A:L,1,+FALSE)</f>
        <v>Диагностический сканер FCAR F7S-G</v>
      </c>
      <c r="D197" s="124" t="str">
        <f>'[2]2021 УГРЦТ'!C199</f>
        <v>ПЕРЕДАЧА</v>
      </c>
      <c r="E197" s="124" t="str">
        <f>'[2]2021 УГРЦТ'!D199</f>
        <v>Машины и оборудование (кроме офисного)</v>
      </c>
      <c r="F197" s="124" t="str">
        <f>'[2]2021 УГРЦТ'!E199</f>
        <v>24.03.2020</v>
      </c>
      <c r="G197" s="124" t="str">
        <f>'[2]2021 УГРЦТ'!F199</f>
        <v>Автотранспортный цех</v>
      </c>
      <c r="H197" s="124">
        <f>'[2]2021 УГРЦТ'!AC199</f>
        <v>60</v>
      </c>
      <c r="I197" s="107">
        <f>'[2]2021 УГРЦТ'!X199</f>
        <v>130523.72</v>
      </c>
      <c r="J197" s="107">
        <f>'[2]2021 УГРЦТ'!Y199</f>
        <v>45683.343999999997</v>
      </c>
      <c r="K197" s="107">
        <f>'[2]2021 УГРЦТ'!Z199</f>
        <v>84840.376000000004</v>
      </c>
      <c r="L197" s="125" t="e">
        <f>SUMIF([2]облаг!$B$2:$B$259,B197,[2]облаг!$D$2:$D$259)</f>
        <v>#VALUE!</v>
      </c>
      <c r="M197" s="107">
        <f t="shared" si="120"/>
        <v>2175.3953333333334</v>
      </c>
      <c r="N197" s="107">
        <f t="shared" si="121"/>
        <v>26104.743999999999</v>
      </c>
      <c r="O197" s="107">
        <f t="shared" si="122"/>
        <v>82664.98066666667</v>
      </c>
      <c r="P197" s="107">
        <f t="shared" si="123"/>
        <v>80489.585333333336</v>
      </c>
      <c r="Q197" s="107">
        <f t="shared" si="149"/>
        <v>78314.19</v>
      </c>
      <c r="R197" s="107">
        <f t="shared" si="150"/>
        <v>76138.794666666668</v>
      </c>
      <c r="S197" s="107">
        <f t="shared" si="151"/>
        <v>73963.399333333335</v>
      </c>
      <c r="T197" s="107">
        <f t="shared" si="152"/>
        <v>71788.004000000001</v>
      </c>
      <c r="U197" s="107">
        <f t="shared" si="153"/>
        <v>69612.608666666667</v>
      </c>
      <c r="V197" s="107">
        <f t="shared" si="154"/>
        <v>67437.213333333333</v>
      </c>
      <c r="W197" s="107">
        <f t="shared" si="155"/>
        <v>65261.817999999999</v>
      </c>
      <c r="X197" s="107">
        <f t="shared" si="156"/>
        <v>63086.422666666665</v>
      </c>
      <c r="Y197" s="107">
        <f t="shared" si="157"/>
        <v>60911.027333333332</v>
      </c>
      <c r="Z197" s="107">
        <f t="shared" si="158"/>
        <v>58735.631999999998</v>
      </c>
      <c r="AA197" s="107"/>
      <c r="AB197" s="107"/>
      <c r="AC197" s="107">
        <f t="shared" si="159"/>
        <v>26104.743999999999</v>
      </c>
      <c r="AD197" s="107">
        <f t="shared" si="160"/>
        <v>56560.236666666664</v>
      </c>
      <c r="AE197" s="107">
        <f t="shared" si="161"/>
        <v>54384.84133333333</v>
      </c>
      <c r="AF197" s="107">
        <f t="shared" si="162"/>
        <v>52209.445999999996</v>
      </c>
      <c r="AG197" s="107">
        <f t="shared" si="163"/>
        <v>50034.050666666662</v>
      </c>
      <c r="AH197" s="107">
        <f t="shared" si="164"/>
        <v>47858.655333333329</v>
      </c>
      <c r="AI197" s="107">
        <f t="shared" si="165"/>
        <v>45683.259999999995</v>
      </c>
      <c r="AJ197" s="107">
        <f t="shared" si="166"/>
        <v>43507.864666666661</v>
      </c>
      <c r="AK197" s="107">
        <f t="shared" si="167"/>
        <v>41332.469333333327</v>
      </c>
      <c r="AL197" s="107">
        <f t="shared" si="168"/>
        <v>39157.073999999993</v>
      </c>
      <c r="AM197" s="107">
        <f t="shared" si="169"/>
        <v>36981.678666666659</v>
      </c>
      <c r="AN197" s="107">
        <f t="shared" si="170"/>
        <v>34806.283333333326</v>
      </c>
      <c r="AO197" s="107">
        <f t="shared" si="171"/>
        <v>32630.887999999992</v>
      </c>
      <c r="AP197" s="107"/>
      <c r="AQ197" s="126"/>
      <c r="AR197" s="107">
        <f t="shared" si="173"/>
        <v>26104.743999999999</v>
      </c>
      <c r="AS197" s="107">
        <f t="shared" si="190"/>
        <v>30455.492666666658</v>
      </c>
      <c r="AT197" s="107">
        <f t="shared" si="191"/>
        <v>28280.097333333324</v>
      </c>
      <c r="AU197" s="107">
        <f t="shared" si="192"/>
        <v>26104.70199999999</v>
      </c>
      <c r="AV197" s="107">
        <f t="shared" si="193"/>
        <v>23929.306666666656</v>
      </c>
      <c r="AW197" s="107">
        <f t="shared" si="194"/>
        <v>21753.911333333323</v>
      </c>
      <c r="AX197" s="107">
        <f t="shared" si="195"/>
        <v>19578.515999999989</v>
      </c>
      <c r="AY197" s="107">
        <f t="shared" si="196"/>
        <v>17403.120666666655</v>
      </c>
      <c r="AZ197" s="107">
        <f t="shared" si="197"/>
        <v>15227.725333333321</v>
      </c>
      <c r="BA197" s="107">
        <f t="shared" si="198"/>
        <v>13052.329999999987</v>
      </c>
      <c r="BB197" s="107">
        <f t="shared" si="199"/>
        <v>10876.934666666653</v>
      </c>
      <c r="BC197" s="107">
        <f t="shared" si="200"/>
        <v>8701.5393333333195</v>
      </c>
      <c r="BD197" s="107">
        <f t="shared" si="201"/>
        <v>6526.1439999999857</v>
      </c>
      <c r="BE197" s="107"/>
      <c r="BF197" s="127"/>
      <c r="BG197" s="127"/>
      <c r="BI197" s="127"/>
      <c r="BJ197" s="127"/>
      <c r="BK197" s="127"/>
      <c r="BL197" s="127"/>
      <c r="BM197" s="127"/>
      <c r="BN197" s="127"/>
      <c r="BO197" s="127"/>
      <c r="BP197" s="127"/>
      <c r="BQ197" s="127"/>
      <c r="BR197" s="127"/>
      <c r="BS197" s="127"/>
      <c r="BT197" s="127"/>
      <c r="BU197" s="127"/>
      <c r="BV197" s="127"/>
    </row>
    <row r="198" spans="1:75" ht="22.5" hidden="1" x14ac:dyDescent="0.2">
      <c r="A198" s="123" t="str">
        <f>'[2]2021 УГРЦТ'!A200</f>
        <v>Дорожное покрытие ул 60 лет Окт 1996г.</v>
      </c>
      <c r="B198" s="124" t="str">
        <f>'[2]2021 УГРЦТ'!B200</f>
        <v>00000026</v>
      </c>
      <c r="C198" s="124" t="str">
        <f>VLOOKUP(A:A,'2023-2027'!A:L,1,+FALSE)</f>
        <v>Дорожное покрытие ул 60 лет Окт 1996г.</v>
      </c>
      <c r="D198" s="124" t="str">
        <f>'[2]2021 УГРЦТ'!C200</f>
        <v>ПЕРЕДАЧА</v>
      </c>
      <c r="E198" s="124" t="str">
        <f>'[2]2021 УГРЦТ'!D200</f>
        <v>Сооружения</v>
      </c>
      <c r="F198" s="124" t="str">
        <f>'[2]2021 УГРЦТ'!E200</f>
        <v>30.12.1996</v>
      </c>
      <c r="G198" s="124" t="str">
        <f>'[2]2021 УГРЦТ'!F200</f>
        <v>Автотранспортный цех</v>
      </c>
      <c r="H198" s="124">
        <f>'[2]2021 УГРЦТ'!AC200</f>
        <v>600</v>
      </c>
      <c r="I198" s="107">
        <f>'[2]2021 УГРЦТ'!X200</f>
        <v>183653.11</v>
      </c>
      <c r="J198" s="107">
        <f>'[2]2021 УГРЦТ'!Y200</f>
        <v>40400.07</v>
      </c>
      <c r="K198" s="107">
        <f>'[2]2021 УГРЦТ'!Z200</f>
        <v>143253.03999999998</v>
      </c>
      <c r="L198" s="125" t="e">
        <f>SUMIF([2]облаг!$B$2:$B$259,B198,[2]облаг!$D$2:$D$259)</f>
        <v>#VALUE!</v>
      </c>
      <c r="M198" s="107">
        <f t="shared" ref="M198:M261" si="202">I198/H198</f>
        <v>306.08851666666664</v>
      </c>
      <c r="N198" s="107">
        <f t="shared" ref="N198:N261" si="203">M198*12</f>
        <v>3673.0621999999994</v>
      </c>
      <c r="O198" s="107">
        <f t="shared" ref="O198:O261" si="204">K198-M198</f>
        <v>142946.95148333331</v>
      </c>
      <c r="P198" s="107">
        <f t="shared" ref="P198:P261" si="205">O198-M198</f>
        <v>142640.86296666664</v>
      </c>
      <c r="Q198" s="107">
        <f t="shared" si="149"/>
        <v>142334.77444999997</v>
      </c>
      <c r="R198" s="107">
        <f t="shared" si="150"/>
        <v>142028.6859333333</v>
      </c>
      <c r="S198" s="107">
        <f t="shared" si="151"/>
        <v>141722.59741666663</v>
      </c>
      <c r="T198" s="107">
        <f t="shared" si="152"/>
        <v>141416.50889999996</v>
      </c>
      <c r="U198" s="107">
        <f t="shared" si="153"/>
        <v>141110.42038333329</v>
      </c>
      <c r="V198" s="107">
        <f t="shared" si="154"/>
        <v>140804.33186666662</v>
      </c>
      <c r="W198" s="107">
        <f t="shared" si="155"/>
        <v>140498.24334999995</v>
      </c>
      <c r="X198" s="107">
        <f t="shared" si="156"/>
        <v>140192.15483333328</v>
      </c>
      <c r="Y198" s="107">
        <f t="shared" si="157"/>
        <v>139886.06631666661</v>
      </c>
      <c r="Z198" s="107">
        <f t="shared" si="158"/>
        <v>139579.97779999994</v>
      </c>
      <c r="AA198" s="107">
        <f>SUM(O198:Z198,K198)/13*$AA$2</f>
        <v>3111.1631957999989</v>
      </c>
      <c r="AB198" s="107"/>
      <c r="AC198" s="107">
        <f t="shared" si="159"/>
        <v>3673.0621999999994</v>
      </c>
      <c r="AD198" s="107">
        <f t="shared" si="160"/>
        <v>139273.88928333326</v>
      </c>
      <c r="AE198" s="107">
        <f t="shared" si="161"/>
        <v>138967.80076666659</v>
      </c>
      <c r="AF198" s="107">
        <f t="shared" si="162"/>
        <v>138661.71224999992</v>
      </c>
      <c r="AG198" s="107">
        <f t="shared" si="163"/>
        <v>138355.62373333325</v>
      </c>
      <c r="AH198" s="107">
        <f t="shared" si="164"/>
        <v>138049.53521666658</v>
      </c>
      <c r="AI198" s="107">
        <f t="shared" si="165"/>
        <v>137743.44669999991</v>
      </c>
      <c r="AJ198" s="107">
        <f t="shared" si="166"/>
        <v>137437.35818333324</v>
      </c>
      <c r="AK198" s="107">
        <f t="shared" si="167"/>
        <v>137131.26966666657</v>
      </c>
      <c r="AL198" s="107">
        <f t="shared" si="168"/>
        <v>136825.1811499999</v>
      </c>
      <c r="AM198" s="107">
        <f t="shared" si="169"/>
        <v>136519.09263333323</v>
      </c>
      <c r="AN198" s="107">
        <f t="shared" si="170"/>
        <v>136213.00411666656</v>
      </c>
      <c r="AO198" s="107">
        <f t="shared" si="171"/>
        <v>135906.91559999989</v>
      </c>
      <c r="AP198" s="107">
        <f>SUM(AD198:AO198,Z198)/13*$AP$2</f>
        <v>3030.3558273999979</v>
      </c>
      <c r="AQ198" s="126"/>
      <c r="AR198" s="107">
        <f t="shared" si="173"/>
        <v>3673.0621999999994</v>
      </c>
      <c r="AS198" s="107">
        <f t="shared" si="190"/>
        <v>135600.82708333322</v>
      </c>
      <c r="AT198" s="107">
        <f t="shared" si="191"/>
        <v>135294.73856666655</v>
      </c>
      <c r="AU198" s="107">
        <f t="shared" si="192"/>
        <v>134988.65004999988</v>
      </c>
      <c r="AV198" s="107">
        <f t="shared" si="193"/>
        <v>134682.56153333321</v>
      </c>
      <c r="AW198" s="107">
        <f t="shared" si="194"/>
        <v>134376.47301666654</v>
      </c>
      <c r="AX198" s="107">
        <f t="shared" si="195"/>
        <v>134070.38449999987</v>
      </c>
      <c r="AY198" s="107">
        <f t="shared" si="196"/>
        <v>133764.2959833332</v>
      </c>
      <c r="AZ198" s="107">
        <f t="shared" si="197"/>
        <v>133458.20746666653</v>
      </c>
      <c r="BA198" s="107">
        <f t="shared" si="198"/>
        <v>133152.11894999986</v>
      </c>
      <c r="BB198" s="107">
        <f t="shared" si="199"/>
        <v>132846.03043333319</v>
      </c>
      <c r="BC198" s="107">
        <f t="shared" si="200"/>
        <v>132539.94191666652</v>
      </c>
      <c r="BD198" s="107">
        <f t="shared" si="201"/>
        <v>132233.85339999985</v>
      </c>
      <c r="BE198" s="107">
        <f>SUM(AS198:BD198,AO198)/13*$BE$2</f>
        <v>2949.5484589999969</v>
      </c>
      <c r="BF198" s="127"/>
      <c r="BG198" s="127"/>
      <c r="BH198" s="127"/>
      <c r="BI198" s="127"/>
      <c r="BJ198" s="127"/>
      <c r="BK198" s="127"/>
      <c r="BL198" s="127"/>
      <c r="BM198" s="127"/>
      <c r="BN198" s="127"/>
      <c r="BO198" s="127"/>
      <c r="BP198" s="127"/>
      <c r="BQ198" s="127"/>
      <c r="BR198" s="127"/>
      <c r="BS198" s="127"/>
      <c r="BT198" s="127"/>
      <c r="BU198" s="127"/>
      <c r="BV198" s="127"/>
      <c r="BW198" s="127"/>
    </row>
    <row r="199" spans="1:75" ht="22.5" hidden="1" x14ac:dyDescent="0.2">
      <c r="A199" s="123" t="str">
        <f>'[2]2021 УГРЦТ'!A201</f>
        <v>Защищённый ноутбук Cyberbook S874</v>
      </c>
      <c r="B199" s="124" t="str">
        <f>'[2]2021 УГРЦТ'!B201</f>
        <v>000001754</v>
      </c>
      <c r="C199" s="124" t="str">
        <f>VLOOKUP(A:A,'2023-2027'!A:L,1,+FALSE)</f>
        <v>Защищённый ноутбук Cyberbook S874</v>
      </c>
      <c r="D199" s="124" t="str">
        <f>'[2]2021 УГРЦТ'!C201</f>
        <v>ПЕРЕДАЧА</v>
      </c>
      <c r="E199" s="124" t="str">
        <f>'[2]2021 УГРЦТ'!D201</f>
        <v>Машины и оборудование (кроме офисного)</v>
      </c>
      <c r="F199" s="124" t="str">
        <f>'[2]2021 УГРЦТ'!E201</f>
        <v>21.11.2018</v>
      </c>
      <c r="G199" s="124" t="str">
        <f>'[2]2021 УГРЦТ'!F201</f>
        <v>Цех электрических сетей</v>
      </c>
      <c r="H199" s="124">
        <f>'[2]2021 УГРЦТ'!AC201</f>
        <v>36</v>
      </c>
      <c r="I199" s="107">
        <f>'[2]2021 УГРЦТ'!X201</f>
        <v>134957.63</v>
      </c>
      <c r="J199" s="107">
        <f>'[2]2021 УГРЦТ'!Y201</f>
        <v>134957.63361111112</v>
      </c>
      <c r="K199" s="107">
        <f>'[2]2021 УГРЦТ'!Z201</f>
        <v>-3.6111111112404615E-3</v>
      </c>
      <c r="L199" s="125" t="e">
        <f>SUMIF([2]облаг!$B$2:$B$259,B199,[2]облаг!$D$2:$D$259)</f>
        <v>#VALUE!</v>
      </c>
      <c r="M199" s="107">
        <v>0</v>
      </c>
      <c r="N199" s="107">
        <v>0</v>
      </c>
      <c r="O199" s="107">
        <v>0</v>
      </c>
      <c r="P199" s="107">
        <v>0</v>
      </c>
      <c r="Q199" s="107">
        <v>0</v>
      </c>
      <c r="R199" s="107">
        <v>0</v>
      </c>
      <c r="S199" s="107">
        <v>0</v>
      </c>
      <c r="T199" s="107">
        <v>0</v>
      </c>
      <c r="U199" s="107">
        <v>0</v>
      </c>
      <c r="V199" s="107">
        <v>0</v>
      </c>
      <c r="W199" s="107">
        <v>0</v>
      </c>
      <c r="X199" s="107">
        <v>0</v>
      </c>
      <c r="Y199" s="107">
        <f t="shared" si="157"/>
        <v>0</v>
      </c>
      <c r="Z199" s="107">
        <f t="shared" si="158"/>
        <v>0</v>
      </c>
      <c r="AA199" s="107"/>
      <c r="AB199" s="107"/>
      <c r="AC199" s="107">
        <f t="shared" si="159"/>
        <v>0</v>
      </c>
      <c r="AD199" s="107">
        <f t="shared" si="160"/>
        <v>0</v>
      </c>
      <c r="AE199" s="107">
        <f t="shared" si="161"/>
        <v>0</v>
      </c>
      <c r="AF199" s="107">
        <f t="shared" si="162"/>
        <v>0</v>
      </c>
      <c r="AG199" s="107">
        <f t="shared" si="163"/>
        <v>0</v>
      </c>
      <c r="AH199" s="107">
        <f t="shared" si="164"/>
        <v>0</v>
      </c>
      <c r="AI199" s="107">
        <f t="shared" si="165"/>
        <v>0</v>
      </c>
      <c r="AJ199" s="107">
        <f t="shared" si="166"/>
        <v>0</v>
      </c>
      <c r="AK199" s="107">
        <f t="shared" si="167"/>
        <v>0</v>
      </c>
      <c r="AL199" s="107">
        <f t="shared" si="168"/>
        <v>0</v>
      </c>
      <c r="AM199" s="107">
        <f t="shared" si="169"/>
        <v>0</v>
      </c>
      <c r="AN199" s="107">
        <f t="shared" si="170"/>
        <v>0</v>
      </c>
      <c r="AO199" s="107">
        <f t="shared" si="171"/>
        <v>0</v>
      </c>
      <c r="AP199" s="107"/>
      <c r="AQ199" s="126"/>
      <c r="AR199" s="107">
        <f t="shared" si="173"/>
        <v>0</v>
      </c>
      <c r="AS199" s="107">
        <f t="shared" si="190"/>
        <v>0</v>
      </c>
      <c r="AT199" s="107">
        <f t="shared" si="191"/>
        <v>0</v>
      </c>
      <c r="AU199" s="107">
        <f t="shared" si="192"/>
        <v>0</v>
      </c>
      <c r="AV199" s="107">
        <f t="shared" si="193"/>
        <v>0</v>
      </c>
      <c r="AW199" s="107">
        <f t="shared" si="194"/>
        <v>0</v>
      </c>
      <c r="AX199" s="107">
        <f t="shared" si="195"/>
        <v>0</v>
      </c>
      <c r="AY199" s="107">
        <f t="shared" si="196"/>
        <v>0</v>
      </c>
      <c r="AZ199" s="107">
        <f t="shared" si="197"/>
        <v>0</v>
      </c>
      <c r="BA199" s="107">
        <f t="shared" si="198"/>
        <v>0</v>
      </c>
      <c r="BB199" s="107">
        <f t="shared" si="199"/>
        <v>0</v>
      </c>
      <c r="BC199" s="107">
        <f t="shared" si="200"/>
        <v>0</v>
      </c>
      <c r="BD199" s="107">
        <f t="shared" si="201"/>
        <v>0</v>
      </c>
      <c r="BE199" s="124"/>
    </row>
    <row r="200" spans="1:75" hidden="1" x14ac:dyDescent="0.2">
      <c r="A200" s="123" t="str">
        <f>'[2]2021 УГРЦТ'!A202</f>
        <v>Здание углеподачи  1955г.</v>
      </c>
      <c r="B200" s="124" t="str">
        <f>'[2]2021 УГРЦТ'!B202</f>
        <v>00000090</v>
      </c>
      <c r="C200" s="124" t="str">
        <f>VLOOKUP(A:A,'2023-2027'!A:L,1,+FALSE)</f>
        <v>Здание углеподачи  1955г.</v>
      </c>
      <c r="D200" s="123" t="str">
        <f>'[2]2021 УГРЦТ'!C202</f>
        <v>ПЕРЕДАЧА</v>
      </c>
      <c r="E200" s="124" t="str">
        <f>'[2]2021 УГРЦТ'!D202</f>
        <v>Здания</v>
      </c>
      <c r="F200" s="124" t="str">
        <f>'[2]2021 УГРЦТ'!E202</f>
        <v>01.01.1955</v>
      </c>
      <c r="G200" s="124" t="str">
        <f>'[2]2021 УГРЦТ'!F202</f>
        <v>Теплоэнергия</v>
      </c>
      <c r="H200" s="124">
        <f>'[2]2021 УГРЦТ'!AC202</f>
        <v>180</v>
      </c>
      <c r="I200" s="107">
        <f>'[2]2021 УГРЦТ'!X202</f>
        <v>152831.26</v>
      </c>
      <c r="J200" s="107">
        <f>'[2]2021 УГРЦТ'!Y202</f>
        <v>46314.068111111112</v>
      </c>
      <c r="K200" s="107">
        <f>'[2]2021 УГРЦТ'!Z202</f>
        <v>106517.19188888889</v>
      </c>
      <c r="L200" s="125" t="e">
        <f>SUMIF([2]облаг!$B$2:$B$259,B200,[2]облаг!$D$2:$D$259)</f>
        <v>#VALUE!</v>
      </c>
      <c r="M200" s="107">
        <f t="shared" si="202"/>
        <v>849.0625555555556</v>
      </c>
      <c r="N200" s="107">
        <f t="shared" si="203"/>
        <v>10188.750666666667</v>
      </c>
      <c r="O200" s="107">
        <f t="shared" si="204"/>
        <v>105668.12933333333</v>
      </c>
      <c r="P200" s="107">
        <f t="shared" si="205"/>
        <v>104819.06677777777</v>
      </c>
      <c r="Q200" s="107">
        <f t="shared" si="149"/>
        <v>103970.00422222221</v>
      </c>
      <c r="R200" s="107">
        <f t="shared" si="150"/>
        <v>103120.94166666665</v>
      </c>
      <c r="S200" s="107">
        <f t="shared" si="151"/>
        <v>102271.87911111109</v>
      </c>
      <c r="T200" s="107">
        <f t="shared" si="152"/>
        <v>101422.81655555553</v>
      </c>
      <c r="U200" s="107">
        <f t="shared" si="153"/>
        <v>100573.75399999997</v>
      </c>
      <c r="V200" s="107">
        <f t="shared" si="154"/>
        <v>99724.691444444412</v>
      </c>
      <c r="W200" s="107">
        <f t="shared" si="155"/>
        <v>98875.628888888852</v>
      </c>
      <c r="X200" s="107">
        <f t="shared" si="156"/>
        <v>98026.566333333292</v>
      </c>
      <c r="Y200" s="107">
        <f t="shared" si="157"/>
        <v>97177.503777777732</v>
      </c>
      <c r="Z200" s="107">
        <f t="shared" si="158"/>
        <v>96328.441222222173</v>
      </c>
      <c r="AA200" s="107"/>
      <c r="AB200" s="107"/>
      <c r="AC200" s="107">
        <f t="shared" si="159"/>
        <v>10188.750666666667</v>
      </c>
      <c r="AD200" s="107">
        <f t="shared" si="160"/>
        <v>95479.378666666613</v>
      </c>
      <c r="AE200" s="107">
        <f t="shared" si="161"/>
        <v>94630.316111111053</v>
      </c>
      <c r="AF200" s="107">
        <f t="shared" si="162"/>
        <v>93781.253555555493</v>
      </c>
      <c r="AG200" s="107">
        <f t="shared" si="163"/>
        <v>92932.190999999933</v>
      </c>
      <c r="AH200" s="107">
        <f t="shared" si="164"/>
        <v>92083.128444444374</v>
      </c>
      <c r="AI200" s="107">
        <f t="shared" si="165"/>
        <v>91234.065888888814</v>
      </c>
      <c r="AJ200" s="107">
        <f t="shared" si="166"/>
        <v>90385.003333333254</v>
      </c>
      <c r="AK200" s="107">
        <f t="shared" si="167"/>
        <v>89535.940777777694</v>
      </c>
      <c r="AL200" s="107">
        <f t="shared" si="168"/>
        <v>88686.878222222134</v>
      </c>
      <c r="AM200" s="107">
        <f t="shared" si="169"/>
        <v>87837.815666666575</v>
      </c>
      <c r="AN200" s="107">
        <f t="shared" si="170"/>
        <v>86988.753111111015</v>
      </c>
      <c r="AO200" s="107">
        <f t="shared" si="171"/>
        <v>86139.690555555455</v>
      </c>
      <c r="AP200" s="107"/>
      <c r="AQ200" s="126"/>
      <c r="AR200" s="107">
        <f t="shared" si="173"/>
        <v>10188.750666666667</v>
      </c>
      <c r="AS200" s="107">
        <f t="shared" si="190"/>
        <v>85290.627999999895</v>
      </c>
      <c r="AT200" s="107">
        <f t="shared" si="191"/>
        <v>84441.565444444335</v>
      </c>
      <c r="AU200" s="107">
        <f t="shared" si="192"/>
        <v>83592.502888888775</v>
      </c>
      <c r="AV200" s="107">
        <f t="shared" si="193"/>
        <v>82743.440333333216</v>
      </c>
      <c r="AW200" s="107">
        <f t="shared" si="194"/>
        <v>81894.377777777656</v>
      </c>
      <c r="AX200" s="107">
        <f t="shared" si="195"/>
        <v>81045.315222222096</v>
      </c>
      <c r="AY200" s="107">
        <f t="shared" si="196"/>
        <v>80196.252666666536</v>
      </c>
      <c r="AZ200" s="107">
        <f t="shared" si="197"/>
        <v>79347.190111110976</v>
      </c>
      <c r="BA200" s="107">
        <f t="shared" si="198"/>
        <v>78498.127555555417</v>
      </c>
      <c r="BB200" s="107">
        <f t="shared" si="199"/>
        <v>77649.064999999857</v>
      </c>
      <c r="BC200" s="107">
        <f t="shared" si="200"/>
        <v>76800.002444444297</v>
      </c>
      <c r="BD200" s="107">
        <f t="shared" si="201"/>
        <v>75950.939888888737</v>
      </c>
      <c r="BE200" s="107"/>
      <c r="BF200" s="127"/>
      <c r="BG200" s="127"/>
      <c r="BH200" s="127"/>
      <c r="BI200" s="127"/>
      <c r="BJ200" s="127"/>
      <c r="BK200" s="127"/>
      <c r="BL200" s="127"/>
      <c r="BM200" s="127"/>
      <c r="BN200" s="127"/>
      <c r="BO200" s="127"/>
      <c r="BP200" s="127"/>
      <c r="BQ200" s="127"/>
      <c r="BR200" s="127"/>
      <c r="BS200" s="127"/>
      <c r="BT200" s="127"/>
      <c r="BU200" s="127"/>
      <c r="BV200" s="127"/>
      <c r="BW200" s="127"/>
    </row>
    <row r="201" spans="1:75" ht="22.5" hidden="1" x14ac:dyDescent="0.2">
      <c r="A201" s="123" t="str">
        <f>'[2]2021 УГРЦТ'!A203</f>
        <v>ЗРУ 6кВ в районе оз. Заводская Курья</v>
      </c>
      <c r="B201" s="124" t="str">
        <f>'[2]2021 УГРЦТ'!B203</f>
        <v>000001785</v>
      </c>
      <c r="C201" s="124" t="str">
        <f>VLOOKUP(A:A,'2023-2027'!A:L,1,+FALSE)</f>
        <v>ЗРУ 6кВ в районе оз. Заводская Курья</v>
      </c>
      <c r="D201" s="124" t="str">
        <f>'[2]2021 УГРЦТ'!C203</f>
        <v>ПЕРЕДАЧА</v>
      </c>
      <c r="E201" s="124" t="str">
        <f>'[2]2021 УГРЦТ'!D203</f>
        <v>Сооружения</v>
      </c>
      <c r="F201" s="124" t="str">
        <f>'[2]2021 УГРЦТ'!E203</f>
        <v>19.12.2019</v>
      </c>
      <c r="G201" s="124" t="str">
        <f>'[2]2021 УГРЦТ'!F203</f>
        <v>Цех электрических сетей</v>
      </c>
      <c r="H201" s="124">
        <f>'[2]2021 УГРЦТ'!AC203</f>
        <v>300</v>
      </c>
      <c r="I201" s="107">
        <f>'[2]2021 УГРЦТ'!X203</f>
        <v>35573705.259999998</v>
      </c>
      <c r="J201" s="107">
        <f>'[2]2021 УГРЦТ'!Y203</f>
        <v>2845896.4503999995</v>
      </c>
      <c r="K201" s="107">
        <f>'[2]2021 УГРЦТ'!Z203</f>
        <v>32727808.809599999</v>
      </c>
      <c r="L201" s="125" t="e">
        <f>SUMIF([2]облаг!$B$2:$B$259,B201,[2]облаг!$D$2:$D$259)</f>
        <v>#VALUE!</v>
      </c>
      <c r="M201" s="107">
        <f t="shared" si="202"/>
        <v>118579.01753333333</v>
      </c>
      <c r="N201" s="107">
        <f t="shared" si="203"/>
        <v>1422948.2104</v>
      </c>
      <c r="O201" s="107">
        <f t="shared" si="204"/>
        <v>32609229.792066667</v>
      </c>
      <c r="P201" s="107">
        <f t="shared" si="205"/>
        <v>32490650.774533335</v>
      </c>
      <c r="Q201" s="107">
        <f t="shared" si="149"/>
        <v>32372071.757000003</v>
      </c>
      <c r="R201" s="107">
        <f t="shared" si="150"/>
        <v>32253492.739466671</v>
      </c>
      <c r="S201" s="107">
        <f t="shared" si="151"/>
        <v>32134913.721933339</v>
      </c>
      <c r="T201" s="107">
        <f t="shared" si="152"/>
        <v>32016334.704400007</v>
      </c>
      <c r="U201" s="107">
        <f t="shared" si="153"/>
        <v>31897755.686866675</v>
      </c>
      <c r="V201" s="107">
        <f t="shared" si="154"/>
        <v>31779176.669333342</v>
      </c>
      <c r="W201" s="107">
        <f t="shared" si="155"/>
        <v>31660597.65180001</v>
      </c>
      <c r="X201" s="107">
        <f t="shared" si="156"/>
        <v>31542018.634266678</v>
      </c>
      <c r="Y201" s="107">
        <f t="shared" si="157"/>
        <v>31423439.616733346</v>
      </c>
      <c r="Z201" s="107">
        <f t="shared" si="158"/>
        <v>31304860.599200014</v>
      </c>
      <c r="AA201" s="107">
        <f>SUM(O201:Z201,K201)/13*$AA$2</f>
        <v>704359.36349680007</v>
      </c>
      <c r="AB201" s="107"/>
      <c r="AC201" s="107">
        <f t="shared" si="159"/>
        <v>1422948.2104</v>
      </c>
      <c r="AD201" s="107">
        <f t="shared" si="160"/>
        <v>31186281.581666682</v>
      </c>
      <c r="AE201" s="107">
        <f t="shared" si="161"/>
        <v>31067702.56413335</v>
      </c>
      <c r="AF201" s="107">
        <f t="shared" si="162"/>
        <v>30949123.546600018</v>
      </c>
      <c r="AG201" s="107">
        <f t="shared" si="163"/>
        <v>30830544.529066686</v>
      </c>
      <c r="AH201" s="107">
        <f t="shared" si="164"/>
        <v>30711965.511533353</v>
      </c>
      <c r="AI201" s="107">
        <f t="shared" si="165"/>
        <v>30593386.494000021</v>
      </c>
      <c r="AJ201" s="107">
        <f t="shared" si="166"/>
        <v>30474807.476466689</v>
      </c>
      <c r="AK201" s="107">
        <f t="shared" si="167"/>
        <v>30356228.458933357</v>
      </c>
      <c r="AL201" s="107">
        <f t="shared" si="168"/>
        <v>30237649.441400025</v>
      </c>
      <c r="AM201" s="107">
        <f t="shared" si="169"/>
        <v>30119070.423866693</v>
      </c>
      <c r="AN201" s="107">
        <f t="shared" si="170"/>
        <v>30000491.406333361</v>
      </c>
      <c r="AO201" s="107">
        <f t="shared" si="171"/>
        <v>29881912.388800029</v>
      </c>
      <c r="AP201" s="107">
        <f>SUM(AD201:AO201,Z201)/13*$AP$2</f>
        <v>673054.50286800042</v>
      </c>
      <c r="AQ201" s="126"/>
      <c r="AR201" s="107">
        <f t="shared" si="173"/>
        <v>1422948.2104</v>
      </c>
      <c r="AS201" s="107">
        <f t="shared" si="190"/>
        <v>29763333.371266697</v>
      </c>
      <c r="AT201" s="107">
        <f t="shared" si="191"/>
        <v>29644754.353733364</v>
      </c>
      <c r="AU201" s="107">
        <f t="shared" si="192"/>
        <v>29526175.336200032</v>
      </c>
      <c r="AV201" s="107">
        <f t="shared" si="193"/>
        <v>29407596.3186667</v>
      </c>
      <c r="AW201" s="107">
        <f t="shared" si="194"/>
        <v>29289017.301133368</v>
      </c>
      <c r="AX201" s="107">
        <f t="shared" si="195"/>
        <v>29170438.283600036</v>
      </c>
      <c r="AY201" s="107">
        <f t="shared" si="196"/>
        <v>29051859.266066704</v>
      </c>
      <c r="AZ201" s="107">
        <f t="shared" si="197"/>
        <v>28933280.248533372</v>
      </c>
      <c r="BA201" s="107">
        <f t="shared" si="198"/>
        <v>28814701.23100004</v>
      </c>
      <c r="BB201" s="107">
        <f t="shared" si="199"/>
        <v>28696122.213466708</v>
      </c>
      <c r="BC201" s="107">
        <f t="shared" si="200"/>
        <v>28577543.195933376</v>
      </c>
      <c r="BD201" s="107">
        <f t="shared" si="201"/>
        <v>28458964.178400043</v>
      </c>
      <c r="BE201" s="107">
        <f>SUM(AS201:BD201,AO201)/13*$BE$2</f>
        <v>641749.64223920077</v>
      </c>
      <c r="BF201" s="127"/>
      <c r="BG201" s="127"/>
      <c r="BH201" s="127"/>
      <c r="BI201" s="127"/>
      <c r="BJ201" s="127"/>
      <c r="BK201" s="127"/>
      <c r="BL201" s="127"/>
      <c r="BM201" s="127"/>
      <c r="BN201" s="127"/>
      <c r="BO201" s="127"/>
      <c r="BP201" s="127"/>
      <c r="BQ201" s="127"/>
      <c r="BR201" s="127"/>
      <c r="BS201" s="127"/>
      <c r="BT201" s="127"/>
      <c r="BU201" s="127"/>
      <c r="BV201" s="127"/>
      <c r="BW201" s="127"/>
    </row>
    <row r="202" spans="1:75" ht="22.5" hidden="1" x14ac:dyDescent="0.2">
      <c r="A202" s="123" t="str">
        <f>'[2]2021 УГРЦТ'!A204</f>
        <v>Индикатор емкости свинцовых аккумуляторов Кулон-12/6р</v>
      </c>
      <c r="B202" s="124" t="str">
        <f>'[2]2021 УГРЦТ'!B204</f>
        <v>000001743</v>
      </c>
      <c r="C202" s="124" t="str">
        <f>VLOOKUP(A:A,'2023-2027'!A:L,1,+FALSE)</f>
        <v>Индикатор емкости свинцовых аккумуляторов Кулон-12/6р</v>
      </c>
      <c r="D202" s="124" t="str">
        <f>'[2]2021 УГРЦТ'!C204</f>
        <v>ПЕРЕДАЧА</v>
      </c>
      <c r="E202" s="124" t="str">
        <f>'[2]2021 УГРЦТ'!D204</f>
        <v>Машины и оборудование (кроме офисного)</v>
      </c>
      <c r="F202" s="124" t="str">
        <f>'[2]2021 УГРЦТ'!E204</f>
        <v>28.08.2018</v>
      </c>
      <c r="G202" s="124" t="str">
        <f>'[2]2021 УГРЦТ'!F204</f>
        <v>Цех электрических сетей</v>
      </c>
      <c r="H202" s="124">
        <f>'[2]2021 УГРЦТ'!AC204</f>
        <v>60</v>
      </c>
      <c r="I202" s="107">
        <f>'[2]2021 УГРЦТ'!X204</f>
        <v>90383.52</v>
      </c>
      <c r="J202" s="107">
        <f>'[2]2021 УГРЦТ'!Y204</f>
        <v>60255.623999999996</v>
      </c>
      <c r="K202" s="107">
        <f>'[2]2021 УГРЦТ'!Z204</f>
        <v>30127.896000000008</v>
      </c>
      <c r="L202" s="125" t="e">
        <f>SUMIF([2]облаг!$B$2:$B$259,B202,[2]облаг!$D$2:$D$259)</f>
        <v>#VALUE!</v>
      </c>
      <c r="M202" s="107">
        <f t="shared" si="202"/>
        <v>1506.3920000000001</v>
      </c>
      <c r="N202" s="107">
        <f t="shared" si="203"/>
        <v>18076.704000000002</v>
      </c>
      <c r="O202" s="107">
        <f t="shared" si="204"/>
        <v>28621.504000000008</v>
      </c>
      <c r="P202" s="107">
        <f t="shared" si="205"/>
        <v>27115.112000000008</v>
      </c>
      <c r="Q202" s="107">
        <f t="shared" si="149"/>
        <v>25608.720000000008</v>
      </c>
      <c r="R202" s="107">
        <f t="shared" si="150"/>
        <v>24102.328000000009</v>
      </c>
      <c r="S202" s="107">
        <f t="shared" si="151"/>
        <v>22595.936000000009</v>
      </c>
      <c r="T202" s="107">
        <f t="shared" si="152"/>
        <v>21089.544000000009</v>
      </c>
      <c r="U202" s="107">
        <f t="shared" si="153"/>
        <v>19583.152000000009</v>
      </c>
      <c r="V202" s="107">
        <f t="shared" si="154"/>
        <v>18076.760000000009</v>
      </c>
      <c r="W202" s="107">
        <f t="shared" si="155"/>
        <v>16570.368000000009</v>
      </c>
      <c r="X202" s="107">
        <f t="shared" si="156"/>
        <v>15063.97600000001</v>
      </c>
      <c r="Y202" s="107">
        <f t="shared" si="157"/>
        <v>13557.58400000001</v>
      </c>
      <c r="Z202" s="107">
        <f t="shared" si="158"/>
        <v>12051.19200000001</v>
      </c>
      <c r="AA202" s="107"/>
      <c r="AB202" s="107"/>
      <c r="AC202" s="107">
        <f>K202</f>
        <v>30127.896000000008</v>
      </c>
      <c r="AD202" s="107">
        <f t="shared" si="160"/>
        <v>10544.80000000001</v>
      </c>
      <c r="AE202" s="107">
        <f t="shared" si="161"/>
        <v>9038.4080000000104</v>
      </c>
      <c r="AF202" s="107">
        <f t="shared" si="162"/>
        <v>7532.0160000000105</v>
      </c>
      <c r="AG202" s="107">
        <f t="shared" si="163"/>
        <v>6025.6240000000107</v>
      </c>
      <c r="AH202" s="107">
        <f t="shared" si="164"/>
        <v>4519.2320000000109</v>
      </c>
      <c r="AI202" s="107">
        <f t="shared" si="165"/>
        <v>3012.8400000000111</v>
      </c>
      <c r="AJ202" s="107">
        <f t="shared" si="166"/>
        <v>1506.448000000011</v>
      </c>
      <c r="AK202" s="107">
        <f t="shared" si="167"/>
        <v>5.6000000010953954E-2</v>
      </c>
      <c r="AL202" s="107">
        <v>0</v>
      </c>
      <c r="AM202" s="107">
        <v>0</v>
      </c>
      <c r="AN202" s="107">
        <v>0</v>
      </c>
      <c r="AO202" s="107">
        <v>0</v>
      </c>
      <c r="AP202" s="107"/>
      <c r="AQ202" s="126"/>
      <c r="AR202" s="107">
        <v>0</v>
      </c>
      <c r="AS202" s="107">
        <v>0</v>
      </c>
      <c r="AT202" s="107">
        <v>0</v>
      </c>
      <c r="AU202" s="107">
        <v>0</v>
      </c>
      <c r="AV202" s="107">
        <v>0</v>
      </c>
      <c r="AW202" s="107">
        <v>0</v>
      </c>
      <c r="AX202" s="107">
        <v>0</v>
      </c>
      <c r="AY202" s="107">
        <v>0</v>
      </c>
      <c r="AZ202" s="107">
        <v>0</v>
      </c>
      <c r="BA202" s="107">
        <v>0</v>
      </c>
      <c r="BB202" s="107">
        <v>0</v>
      </c>
      <c r="BC202" s="107">
        <v>0</v>
      </c>
      <c r="BD202" s="107">
        <v>0</v>
      </c>
      <c r="BE202" s="124"/>
    </row>
    <row r="203" spans="1:75" ht="22.5" hidden="1" x14ac:dyDescent="0.2">
      <c r="A203" s="123" t="str">
        <f>'[2]2021 УГРЦТ'!A205</f>
        <v>К/л. в/в от ТП-82 "Бассейн" до ТП-87 "Промз."</v>
      </c>
      <c r="B203" s="124" t="str">
        <f>'[2]2021 УГРЦТ'!B205</f>
        <v>00001090</v>
      </c>
      <c r="C203" s="124" t="str">
        <f>VLOOKUP(A:A,'2023-2027'!A:L,1,+FALSE)</f>
        <v>К/л. в/в от ТП-82 "Бассейн" до ТП-87 "Промз."</v>
      </c>
      <c r="D203" s="124" t="str">
        <f>'[2]2021 УГРЦТ'!C205</f>
        <v>ПЕРЕДАЧА</v>
      </c>
      <c r="E203" s="124" t="str">
        <f>'[2]2021 УГРЦТ'!D205</f>
        <v>Сооружения</v>
      </c>
      <c r="F203" s="124" t="str">
        <f>'[2]2021 УГРЦТ'!E205</f>
        <v>30.09.2008</v>
      </c>
      <c r="G203" s="124" t="str">
        <f>'[2]2021 УГРЦТ'!F205</f>
        <v>Цех электрических сетей</v>
      </c>
      <c r="H203" s="124">
        <f>'[2]2021 УГРЦТ'!AC205</f>
        <v>300</v>
      </c>
      <c r="I203" s="107">
        <f>'[2]2021 УГРЦТ'!X205</f>
        <v>1799427.23</v>
      </c>
      <c r="J203" s="107">
        <f>'[2]2021 УГРЦТ'!Y205</f>
        <v>953696.31920000003</v>
      </c>
      <c r="K203" s="107">
        <f>'[2]2021 УГРЦТ'!Z205</f>
        <v>845730.91079999995</v>
      </c>
      <c r="L203" s="125" t="e">
        <f>SUMIF([2]облаг!$B$2:$B$259,B203,[2]облаг!$D$2:$D$259)</f>
        <v>#VALUE!</v>
      </c>
      <c r="M203" s="107">
        <f t="shared" si="202"/>
        <v>5998.0907666666662</v>
      </c>
      <c r="N203" s="107">
        <f t="shared" si="203"/>
        <v>71977.089199999988</v>
      </c>
      <c r="O203" s="107">
        <f t="shared" si="204"/>
        <v>839732.82003333326</v>
      </c>
      <c r="P203" s="107">
        <f t="shared" si="205"/>
        <v>833734.72926666657</v>
      </c>
      <c r="Q203" s="107">
        <f t="shared" si="149"/>
        <v>827736.63849999988</v>
      </c>
      <c r="R203" s="107">
        <f t="shared" si="150"/>
        <v>821738.54773333319</v>
      </c>
      <c r="S203" s="107">
        <f t="shared" si="151"/>
        <v>815740.4569666665</v>
      </c>
      <c r="T203" s="107">
        <f t="shared" si="152"/>
        <v>809742.36619999981</v>
      </c>
      <c r="U203" s="107">
        <f t="shared" si="153"/>
        <v>803744.27543333312</v>
      </c>
      <c r="V203" s="107">
        <f t="shared" si="154"/>
        <v>797746.18466666644</v>
      </c>
      <c r="W203" s="107">
        <f t="shared" si="155"/>
        <v>791748.09389999975</v>
      </c>
      <c r="X203" s="107">
        <f t="shared" si="156"/>
        <v>785750.00313333306</v>
      </c>
      <c r="Y203" s="107">
        <f t="shared" si="157"/>
        <v>779751.91236666637</v>
      </c>
      <c r="Z203" s="107">
        <f t="shared" si="158"/>
        <v>773753.82159999968</v>
      </c>
      <c r="AA203" s="107">
        <f t="shared" ref="AA203:AA219" si="206">SUM(O203:Z203,K203)/13*$AA$2</f>
        <v>17814.332056399999</v>
      </c>
      <c r="AB203" s="107"/>
      <c r="AC203" s="107">
        <f t="shared" si="159"/>
        <v>71977.089199999988</v>
      </c>
      <c r="AD203" s="107">
        <f t="shared" si="160"/>
        <v>767755.73083333299</v>
      </c>
      <c r="AE203" s="107">
        <f t="shared" si="161"/>
        <v>761757.6400666663</v>
      </c>
      <c r="AF203" s="107">
        <f t="shared" si="162"/>
        <v>755759.54929999961</v>
      </c>
      <c r="AG203" s="107">
        <f t="shared" si="163"/>
        <v>749761.45853333292</v>
      </c>
      <c r="AH203" s="107">
        <f t="shared" si="164"/>
        <v>743763.36776666623</v>
      </c>
      <c r="AI203" s="107">
        <f t="shared" si="165"/>
        <v>737765.27699999954</v>
      </c>
      <c r="AJ203" s="107">
        <f t="shared" si="166"/>
        <v>731767.18623333285</v>
      </c>
      <c r="AK203" s="107">
        <f t="shared" si="167"/>
        <v>725769.09546666616</v>
      </c>
      <c r="AL203" s="107">
        <f t="shared" si="168"/>
        <v>719771.00469999947</v>
      </c>
      <c r="AM203" s="107">
        <f t="shared" si="169"/>
        <v>713772.91393333278</v>
      </c>
      <c r="AN203" s="107">
        <f t="shared" si="170"/>
        <v>707774.82316666609</v>
      </c>
      <c r="AO203" s="107">
        <f t="shared" si="171"/>
        <v>701776.7323999994</v>
      </c>
      <c r="AP203" s="107">
        <f t="shared" ref="AP203:AP219" si="207">SUM(AD203:AO203,Z203)/13*$AP$2</f>
        <v>16230.836093999989</v>
      </c>
      <c r="AQ203" s="126"/>
      <c r="AR203" s="107">
        <f t="shared" si="173"/>
        <v>71977.089199999988</v>
      </c>
      <c r="AS203" s="107">
        <f t="shared" ref="AS203:AS219" si="208">AO203-M203</f>
        <v>695778.64163333271</v>
      </c>
      <c r="AT203" s="107">
        <f t="shared" ref="AT203:AT219" si="209">AS203-M203</f>
        <v>689780.55086666602</v>
      </c>
      <c r="AU203" s="107">
        <f t="shared" ref="AU203:AU219" si="210">AT203-M203</f>
        <v>683782.46009999933</v>
      </c>
      <c r="AV203" s="107">
        <f t="shared" ref="AV203:AV219" si="211">AU203-M203</f>
        <v>677784.36933333264</v>
      </c>
      <c r="AW203" s="107">
        <f t="shared" ref="AW203:AW219" si="212">AV203-M203</f>
        <v>671786.27856666595</v>
      </c>
      <c r="AX203" s="107">
        <f t="shared" ref="AX203:AX219" si="213">AW203-M203</f>
        <v>665788.18779999926</v>
      </c>
      <c r="AY203" s="107">
        <f t="shared" ref="AY203:AY219" si="214">AX203-M203</f>
        <v>659790.09703333257</v>
      </c>
      <c r="AZ203" s="107">
        <f t="shared" ref="AZ203:AZ219" si="215">AY203-M203</f>
        <v>653792.00626666588</v>
      </c>
      <c r="BA203" s="107">
        <f t="shared" ref="BA203:BA219" si="216">AZ203-M203</f>
        <v>647793.91549999919</v>
      </c>
      <c r="BB203" s="107">
        <f t="shared" ref="BB203:BB219" si="217">BA203-M203</f>
        <v>641795.8247333325</v>
      </c>
      <c r="BC203" s="107">
        <f t="shared" ref="BC203:BC219" si="218">BB203-M203</f>
        <v>635797.73396666581</v>
      </c>
      <c r="BD203" s="107">
        <f t="shared" ref="BD203:BD219" si="219">BC203-M203</f>
        <v>629799.64319999912</v>
      </c>
      <c r="BE203" s="107">
        <f t="shared" ref="BE203:BE219" si="220">SUM(AS203:BD203,AO203)/13*$BE$2</f>
        <v>14647.340131599985</v>
      </c>
      <c r="BF203" s="127"/>
      <c r="BG203" s="127"/>
      <c r="BH203" s="127"/>
      <c r="BI203" s="127"/>
      <c r="BJ203" s="127"/>
      <c r="BK203" s="127"/>
      <c r="BL203" s="127"/>
      <c r="BM203" s="127"/>
      <c r="BN203" s="127"/>
      <c r="BO203" s="127"/>
      <c r="BP203" s="127"/>
      <c r="BQ203" s="127"/>
      <c r="BR203" s="127"/>
      <c r="BS203" s="127"/>
      <c r="BT203" s="127"/>
      <c r="BU203" s="127"/>
      <c r="BV203" s="127"/>
      <c r="BW203" s="127"/>
    </row>
    <row r="204" spans="1:75" ht="22.5" hidden="1" x14ac:dyDescent="0.2">
      <c r="A204" s="123" t="str">
        <f>'[2]2021 УГРЦТ'!A206</f>
        <v>Кабельная высоковольтная линия 6 кВ в с. Тельвиска НАО</v>
      </c>
      <c r="B204" s="140" t="str">
        <f>'[2]2021 УГРЦТ'!B206</f>
        <v>000001844</v>
      </c>
      <c r="C204" s="124" t="str">
        <f>VLOOKUP(A:A,'2023-2027'!A:L,1,+FALSE)</f>
        <v>Кабельная высоковольтная линия 6 кВ в с. Тельвиска НАО</v>
      </c>
      <c r="D204" s="124" t="str">
        <f>'[2]2021 УГРЦТ'!C206</f>
        <v>ПЕРЕДАЧА</v>
      </c>
      <c r="E204" s="124" t="str">
        <f>'[2]2021 УГРЦТ'!D206</f>
        <v>Сооружения</v>
      </c>
      <c r="F204" s="124" t="str">
        <f>'[2]2021 УГРЦТ'!E206</f>
        <v>14.04.2021</v>
      </c>
      <c r="G204" s="124" t="str">
        <f>'[2]2021 УГРЦТ'!F206</f>
        <v>Цех электрических сетей</v>
      </c>
      <c r="H204" s="124">
        <f>'[2]2021 УГРЦТ'!AC206</f>
        <v>180</v>
      </c>
      <c r="I204" s="107">
        <f>'[2]2021 УГРЦТ'!X206</f>
        <v>444333.5</v>
      </c>
      <c r="J204" s="107">
        <f>'[2]2021 УГРЦТ'!Y206</f>
        <v>19748.155555555557</v>
      </c>
      <c r="K204" s="107">
        <f>'[2]2021 УГРЦТ'!Z206</f>
        <v>424585.34444444446</v>
      </c>
      <c r="L204" s="125" t="e">
        <f>SUMIF([2]облаг!$B$2:$B$259,B204,[2]облаг!$D$2:$D$259)</f>
        <v>#VALUE!</v>
      </c>
      <c r="M204" s="107">
        <f t="shared" si="202"/>
        <v>2468.5194444444446</v>
      </c>
      <c r="N204" s="107">
        <f t="shared" si="203"/>
        <v>29622.233333333337</v>
      </c>
      <c r="O204" s="107">
        <f t="shared" si="204"/>
        <v>422116.82500000001</v>
      </c>
      <c r="P204" s="107">
        <f t="shared" si="205"/>
        <v>419648.30555555556</v>
      </c>
      <c r="Q204" s="107">
        <f t="shared" si="149"/>
        <v>417179.78611111111</v>
      </c>
      <c r="R204" s="107">
        <f t="shared" si="150"/>
        <v>414711.26666666666</v>
      </c>
      <c r="S204" s="107">
        <f t="shared" si="151"/>
        <v>412242.74722222221</v>
      </c>
      <c r="T204" s="107">
        <f t="shared" si="152"/>
        <v>409774.22777777776</v>
      </c>
      <c r="U204" s="107">
        <f t="shared" si="153"/>
        <v>407305.70833333331</v>
      </c>
      <c r="V204" s="107">
        <f t="shared" si="154"/>
        <v>404837.18888888886</v>
      </c>
      <c r="W204" s="107">
        <f t="shared" si="155"/>
        <v>402368.66944444441</v>
      </c>
      <c r="X204" s="107">
        <f t="shared" si="156"/>
        <v>399900.14999999997</v>
      </c>
      <c r="Y204" s="107">
        <f t="shared" si="157"/>
        <v>397431.63055555552</v>
      </c>
      <c r="Z204" s="107">
        <f t="shared" si="158"/>
        <v>394963.11111111107</v>
      </c>
      <c r="AA204" s="107">
        <f t="shared" si="206"/>
        <v>9015.0330111111107</v>
      </c>
      <c r="AB204" s="107"/>
      <c r="AC204" s="107">
        <f t="shared" si="159"/>
        <v>29622.233333333337</v>
      </c>
      <c r="AD204" s="107">
        <f t="shared" si="160"/>
        <v>392494.59166666662</v>
      </c>
      <c r="AE204" s="107">
        <f t="shared" si="161"/>
        <v>390026.07222222217</v>
      </c>
      <c r="AF204" s="107">
        <f t="shared" si="162"/>
        <v>387557.55277777772</v>
      </c>
      <c r="AG204" s="107">
        <f t="shared" si="163"/>
        <v>385089.03333333327</v>
      </c>
      <c r="AH204" s="107">
        <f t="shared" si="164"/>
        <v>382620.51388888882</v>
      </c>
      <c r="AI204" s="107">
        <f t="shared" si="165"/>
        <v>380151.99444444437</v>
      </c>
      <c r="AJ204" s="107">
        <f t="shared" si="166"/>
        <v>377683.47499999992</v>
      </c>
      <c r="AK204" s="107">
        <f t="shared" si="167"/>
        <v>375214.95555555547</v>
      </c>
      <c r="AL204" s="107">
        <f t="shared" si="168"/>
        <v>372746.43611111102</v>
      </c>
      <c r="AM204" s="107">
        <f t="shared" si="169"/>
        <v>370277.91666666657</v>
      </c>
      <c r="AN204" s="107">
        <f t="shared" si="170"/>
        <v>367809.39722222212</v>
      </c>
      <c r="AO204" s="107">
        <f t="shared" si="171"/>
        <v>365340.87777777767</v>
      </c>
      <c r="AP204" s="107">
        <f t="shared" si="207"/>
        <v>8363.3438777777774</v>
      </c>
      <c r="AQ204" s="126"/>
      <c r="AR204" s="107">
        <f t="shared" si="173"/>
        <v>29622.233333333337</v>
      </c>
      <c r="AS204" s="107">
        <f t="shared" si="208"/>
        <v>362872.35833333322</v>
      </c>
      <c r="AT204" s="107">
        <f t="shared" si="209"/>
        <v>360403.83888888877</v>
      </c>
      <c r="AU204" s="107">
        <f t="shared" si="210"/>
        <v>357935.31944444432</v>
      </c>
      <c r="AV204" s="107">
        <f t="shared" si="211"/>
        <v>355466.79999999987</v>
      </c>
      <c r="AW204" s="107">
        <f t="shared" si="212"/>
        <v>352998.28055555542</v>
      </c>
      <c r="AX204" s="107">
        <f t="shared" si="213"/>
        <v>350529.76111111097</v>
      </c>
      <c r="AY204" s="107">
        <f t="shared" si="214"/>
        <v>348061.24166666652</v>
      </c>
      <c r="AZ204" s="107">
        <f t="shared" si="215"/>
        <v>345592.72222222207</v>
      </c>
      <c r="BA204" s="107">
        <f t="shared" si="216"/>
        <v>343124.20277777762</v>
      </c>
      <c r="BB204" s="107">
        <f t="shared" si="217"/>
        <v>340655.68333333317</v>
      </c>
      <c r="BC204" s="107">
        <f t="shared" si="218"/>
        <v>338187.16388888872</v>
      </c>
      <c r="BD204" s="107">
        <f t="shared" si="219"/>
        <v>335718.64444444427</v>
      </c>
      <c r="BE204" s="107">
        <f t="shared" si="220"/>
        <v>7711.6547444444423</v>
      </c>
      <c r="BF204" s="127"/>
      <c r="BG204" s="127"/>
      <c r="BH204" s="127"/>
      <c r="BI204" s="127"/>
      <c r="BJ204" s="127"/>
      <c r="BK204" s="127"/>
      <c r="BL204" s="127"/>
      <c r="BM204" s="127"/>
      <c r="BN204" s="127"/>
      <c r="BO204" s="127"/>
      <c r="BP204" s="127"/>
      <c r="BQ204" s="127"/>
      <c r="BR204" s="127"/>
      <c r="BS204" s="127"/>
      <c r="BT204" s="127"/>
      <c r="BU204" s="127"/>
      <c r="BV204" s="127"/>
      <c r="BW204" s="127"/>
    </row>
    <row r="205" spans="1:75" ht="22.5" hidden="1" x14ac:dyDescent="0.2">
      <c r="A205" s="123" t="str">
        <f>'[2]2021 УГРЦТ'!A207</f>
        <v>Кабельная линия   "ЗРУ 6кВ-выход ф.Искателей" 2007</v>
      </c>
      <c r="B205" s="124" t="str">
        <f>'[2]2021 УГРЦТ'!B207</f>
        <v>00001035</v>
      </c>
      <c r="C205" s="124" t="str">
        <f>VLOOKUP(A:A,'2023-2027'!A:L,1,+FALSE)</f>
        <v>Кабельная линия   "ЗРУ 6кВ-выход ф.Искателей" 2007</v>
      </c>
      <c r="D205" s="124" t="str">
        <f>'[2]2021 УГРЦТ'!C207</f>
        <v>ПЕРЕДАЧА</v>
      </c>
      <c r="E205" s="124" t="str">
        <f>'[2]2021 УГРЦТ'!D207</f>
        <v>Сооружения</v>
      </c>
      <c r="F205" s="124" t="str">
        <f>'[2]2021 УГРЦТ'!E207</f>
        <v>30.05.2007</v>
      </c>
      <c r="G205" s="124" t="str">
        <f>'[2]2021 УГРЦТ'!F207</f>
        <v>Цех электрических сетей</v>
      </c>
      <c r="H205" s="124">
        <f>'[2]2021 УГРЦТ'!AC207</f>
        <v>300</v>
      </c>
      <c r="I205" s="107">
        <f>'[2]2021 УГРЦТ'!X207</f>
        <v>51841</v>
      </c>
      <c r="J205" s="107">
        <f>'[2]2021 УГРЦТ'!Y207</f>
        <v>30240.04</v>
      </c>
      <c r="K205" s="107">
        <f>'[2]2021 УГРЦТ'!Z207</f>
        <v>21600.959999999999</v>
      </c>
      <c r="L205" s="125" t="e">
        <f>SUMIF([2]облаг!$B$2:$B$259,B205,[2]облаг!$D$2:$D$259)</f>
        <v>#VALUE!</v>
      </c>
      <c r="M205" s="107">
        <f t="shared" si="202"/>
        <v>172.80333333333334</v>
      </c>
      <c r="N205" s="107">
        <f t="shared" si="203"/>
        <v>2073.6400000000003</v>
      </c>
      <c r="O205" s="107">
        <f t="shared" si="204"/>
        <v>21428.156666666666</v>
      </c>
      <c r="P205" s="107">
        <f t="shared" si="205"/>
        <v>21255.353333333333</v>
      </c>
      <c r="Q205" s="107">
        <f t="shared" si="149"/>
        <v>21082.55</v>
      </c>
      <c r="R205" s="107">
        <f t="shared" si="150"/>
        <v>20909.746666666666</v>
      </c>
      <c r="S205" s="107">
        <f t="shared" si="151"/>
        <v>20736.943333333333</v>
      </c>
      <c r="T205" s="107">
        <f t="shared" si="152"/>
        <v>20564.14</v>
      </c>
      <c r="U205" s="107">
        <f t="shared" si="153"/>
        <v>20391.336666666666</v>
      </c>
      <c r="V205" s="107">
        <f t="shared" si="154"/>
        <v>20218.533333333333</v>
      </c>
      <c r="W205" s="107">
        <f t="shared" si="155"/>
        <v>20045.73</v>
      </c>
      <c r="X205" s="107">
        <f t="shared" si="156"/>
        <v>19872.926666666666</v>
      </c>
      <c r="Y205" s="107">
        <f t="shared" si="157"/>
        <v>19700.123333333333</v>
      </c>
      <c r="Z205" s="107">
        <f t="shared" si="158"/>
        <v>19527.32</v>
      </c>
      <c r="AA205" s="107">
        <f t="shared" si="206"/>
        <v>452.41107999999997</v>
      </c>
      <c r="AB205" s="107"/>
      <c r="AC205" s="107">
        <f t="shared" si="159"/>
        <v>2073.6400000000003</v>
      </c>
      <c r="AD205" s="107">
        <f t="shared" si="160"/>
        <v>19354.516666666666</v>
      </c>
      <c r="AE205" s="107">
        <f t="shared" si="161"/>
        <v>19181.713333333333</v>
      </c>
      <c r="AF205" s="107">
        <f t="shared" si="162"/>
        <v>19008.91</v>
      </c>
      <c r="AG205" s="107">
        <f t="shared" si="163"/>
        <v>18836.106666666667</v>
      </c>
      <c r="AH205" s="107">
        <f t="shared" si="164"/>
        <v>18663.303333333333</v>
      </c>
      <c r="AI205" s="107">
        <f t="shared" si="165"/>
        <v>18490.5</v>
      </c>
      <c r="AJ205" s="107">
        <f t="shared" si="166"/>
        <v>18317.696666666667</v>
      </c>
      <c r="AK205" s="107">
        <f t="shared" si="167"/>
        <v>18144.893333333333</v>
      </c>
      <c r="AL205" s="107">
        <f t="shared" si="168"/>
        <v>17972.09</v>
      </c>
      <c r="AM205" s="107">
        <f t="shared" si="169"/>
        <v>17799.286666666667</v>
      </c>
      <c r="AN205" s="107">
        <f t="shared" si="170"/>
        <v>17626.483333333334</v>
      </c>
      <c r="AO205" s="107">
        <f t="shared" si="171"/>
        <v>17453.68</v>
      </c>
      <c r="AP205" s="107">
        <f t="shared" si="207"/>
        <v>406.791</v>
      </c>
      <c r="AQ205" s="126"/>
      <c r="AR205" s="107">
        <f t="shared" si="173"/>
        <v>2073.6400000000003</v>
      </c>
      <c r="AS205" s="107">
        <f t="shared" si="208"/>
        <v>17280.876666666667</v>
      </c>
      <c r="AT205" s="107">
        <f t="shared" si="209"/>
        <v>17108.073333333334</v>
      </c>
      <c r="AU205" s="107">
        <f t="shared" si="210"/>
        <v>16935.27</v>
      </c>
      <c r="AV205" s="107">
        <f t="shared" si="211"/>
        <v>16762.466666666667</v>
      </c>
      <c r="AW205" s="107">
        <f t="shared" si="212"/>
        <v>16589.663333333334</v>
      </c>
      <c r="AX205" s="107">
        <f t="shared" si="213"/>
        <v>16416.86</v>
      </c>
      <c r="AY205" s="107">
        <f t="shared" si="214"/>
        <v>16244.056666666667</v>
      </c>
      <c r="AZ205" s="107">
        <f t="shared" si="215"/>
        <v>16071.253333333334</v>
      </c>
      <c r="BA205" s="107">
        <f t="shared" si="216"/>
        <v>15898.45</v>
      </c>
      <c r="BB205" s="107">
        <f t="shared" si="217"/>
        <v>15725.646666666667</v>
      </c>
      <c r="BC205" s="107">
        <f t="shared" si="218"/>
        <v>15552.843333333334</v>
      </c>
      <c r="BD205" s="107">
        <f t="shared" si="219"/>
        <v>15380.04</v>
      </c>
      <c r="BE205" s="107">
        <f t="shared" si="220"/>
        <v>361.17091999999997</v>
      </c>
      <c r="BF205" s="127"/>
      <c r="BG205" s="127"/>
      <c r="BH205" s="127"/>
      <c r="BI205" s="127"/>
      <c r="BJ205" s="127"/>
      <c r="BK205" s="127"/>
      <c r="BL205" s="127"/>
      <c r="BM205" s="127"/>
      <c r="BN205" s="127"/>
      <c r="BO205" s="127"/>
      <c r="BP205" s="127"/>
      <c r="BQ205" s="127"/>
      <c r="BR205" s="127"/>
      <c r="BS205" s="127"/>
      <c r="BT205" s="127"/>
      <c r="BU205" s="127"/>
      <c r="BV205" s="127"/>
      <c r="BW205" s="127"/>
    </row>
    <row r="206" spans="1:75" ht="22.5" hidden="1" x14ac:dyDescent="0.2">
      <c r="A206" s="123" t="str">
        <f>'[2]2021 УГРЦТ'!A208</f>
        <v>Кабельная линия 0,4 кВ (ДТП №336 от 01.10.2021)</v>
      </c>
      <c r="B206" s="124" t="str">
        <f>'[2]2021 УГРЦТ'!B208</f>
        <v>000001879</v>
      </c>
      <c r="C206" s="124" t="str">
        <f>VLOOKUP(A:A,'2023-2027'!A:L,1,+FALSE)</f>
        <v>Кабельная линия 0,4 кВ (ДТП №336 от 01.10.2021)</v>
      </c>
      <c r="D206" s="124" t="str">
        <f>'[2]2021 УГРЦТ'!C208</f>
        <v>ПЕРЕДАЧА</v>
      </c>
      <c r="E206" s="124" t="str">
        <f>'[2]2021 УГРЦТ'!D208</f>
        <v>Сооружения</v>
      </c>
      <c r="F206" s="134">
        <f>'[2]2021 УГРЦТ'!E208</f>
        <v>44560</v>
      </c>
      <c r="G206" s="124" t="str">
        <f>'[2]2021 УГРЦТ'!F208</f>
        <v>Цех электрических сетей</v>
      </c>
      <c r="H206" s="124">
        <f>'[2]2021 УГРЦТ'!AC208</f>
        <v>300</v>
      </c>
      <c r="I206" s="107">
        <f>'[2]2021 УГРЦТ'!X208</f>
        <v>256945.19</v>
      </c>
      <c r="J206" s="107">
        <f>'[2]2021 УГРЦТ'!Y208</f>
        <v>0</v>
      </c>
      <c r="K206" s="107">
        <f>'[2]2021 УГРЦТ'!Z208</f>
        <v>256945.19</v>
      </c>
      <c r="L206" s="125" t="e">
        <f>SUMIF([2]облаг!$B$2:$B$259,B206,[2]облаг!$D$2:$D$259)</f>
        <v>#VALUE!</v>
      </c>
      <c r="M206" s="107">
        <f t="shared" si="202"/>
        <v>856.48396666666667</v>
      </c>
      <c r="N206" s="107">
        <f t="shared" si="203"/>
        <v>10277.8076</v>
      </c>
      <c r="O206" s="107">
        <f t="shared" si="204"/>
        <v>256088.70603333332</v>
      </c>
      <c r="P206" s="107">
        <f t="shared" si="205"/>
        <v>255232.22206666664</v>
      </c>
      <c r="Q206" s="107">
        <f t="shared" si="149"/>
        <v>254375.73809999996</v>
      </c>
      <c r="R206" s="107">
        <f t="shared" si="150"/>
        <v>253519.25413333328</v>
      </c>
      <c r="S206" s="107">
        <f t="shared" si="151"/>
        <v>252662.7701666666</v>
      </c>
      <c r="T206" s="107">
        <f t="shared" si="152"/>
        <v>251806.28619999991</v>
      </c>
      <c r="U206" s="107">
        <f t="shared" si="153"/>
        <v>250949.80223333323</v>
      </c>
      <c r="V206" s="107">
        <f t="shared" si="154"/>
        <v>250093.31826666655</v>
      </c>
      <c r="W206" s="107">
        <f t="shared" si="155"/>
        <v>249236.83429999987</v>
      </c>
      <c r="X206" s="107">
        <f t="shared" si="156"/>
        <v>248380.35033333319</v>
      </c>
      <c r="Y206" s="107">
        <f t="shared" si="157"/>
        <v>247523.86636666651</v>
      </c>
      <c r="Z206" s="107">
        <f t="shared" si="158"/>
        <v>246667.38239999983</v>
      </c>
      <c r="AA206" s="107">
        <f t="shared" si="206"/>
        <v>5539.738296399998</v>
      </c>
      <c r="AB206" s="107"/>
      <c r="AC206" s="107">
        <f t="shared" si="159"/>
        <v>10277.8076</v>
      </c>
      <c r="AD206" s="107">
        <f t="shared" si="160"/>
        <v>245810.89843333315</v>
      </c>
      <c r="AE206" s="107">
        <f t="shared" si="161"/>
        <v>244954.41446666647</v>
      </c>
      <c r="AF206" s="107">
        <f t="shared" si="162"/>
        <v>244097.93049999978</v>
      </c>
      <c r="AG206" s="107">
        <f t="shared" si="163"/>
        <v>243241.4465333331</v>
      </c>
      <c r="AH206" s="107">
        <f t="shared" si="164"/>
        <v>242384.96256666642</v>
      </c>
      <c r="AI206" s="107">
        <f t="shared" si="165"/>
        <v>241528.47859999974</v>
      </c>
      <c r="AJ206" s="107">
        <f t="shared" si="166"/>
        <v>240671.99463333306</v>
      </c>
      <c r="AK206" s="107">
        <f t="shared" si="167"/>
        <v>239815.51066666638</v>
      </c>
      <c r="AL206" s="107">
        <f t="shared" si="168"/>
        <v>238959.0266999997</v>
      </c>
      <c r="AM206" s="107">
        <f t="shared" si="169"/>
        <v>238102.54273333302</v>
      </c>
      <c r="AN206" s="107">
        <f t="shared" si="170"/>
        <v>237246.05876666633</v>
      </c>
      <c r="AO206" s="107">
        <f t="shared" si="171"/>
        <v>236389.57479999965</v>
      </c>
      <c r="AP206" s="107">
        <f t="shared" si="207"/>
        <v>5313.6265291999944</v>
      </c>
      <c r="AQ206" s="126"/>
      <c r="AR206" s="107">
        <f t="shared" si="173"/>
        <v>10277.8076</v>
      </c>
      <c r="AS206" s="107">
        <f t="shared" si="208"/>
        <v>235533.09083333297</v>
      </c>
      <c r="AT206" s="107">
        <f t="shared" si="209"/>
        <v>234676.60686666629</v>
      </c>
      <c r="AU206" s="107">
        <f t="shared" si="210"/>
        <v>233820.12289999961</v>
      </c>
      <c r="AV206" s="107">
        <f t="shared" si="211"/>
        <v>232963.63893333293</v>
      </c>
      <c r="AW206" s="107">
        <f t="shared" si="212"/>
        <v>232107.15496666625</v>
      </c>
      <c r="AX206" s="107">
        <f t="shared" si="213"/>
        <v>231250.67099999957</v>
      </c>
      <c r="AY206" s="107">
        <f t="shared" si="214"/>
        <v>230394.18703333288</v>
      </c>
      <c r="AZ206" s="107">
        <f t="shared" si="215"/>
        <v>229537.7030666662</v>
      </c>
      <c r="BA206" s="107">
        <f t="shared" si="216"/>
        <v>228681.21909999952</v>
      </c>
      <c r="BB206" s="107">
        <f t="shared" si="217"/>
        <v>227824.73513333284</v>
      </c>
      <c r="BC206" s="107">
        <f t="shared" si="218"/>
        <v>226968.25116666616</v>
      </c>
      <c r="BD206" s="107">
        <f t="shared" si="219"/>
        <v>226111.76719999948</v>
      </c>
      <c r="BE206" s="107">
        <f t="shared" si="220"/>
        <v>5087.5147619999889</v>
      </c>
      <c r="BF206" s="127"/>
      <c r="BG206" s="127"/>
      <c r="BH206" s="127"/>
      <c r="BI206" s="127"/>
      <c r="BJ206" s="127"/>
      <c r="BK206" s="127"/>
      <c r="BL206" s="127"/>
      <c r="BM206" s="127"/>
      <c r="BN206" s="127"/>
      <c r="BO206" s="127"/>
      <c r="BP206" s="127"/>
      <c r="BQ206" s="127"/>
      <c r="BR206" s="127"/>
      <c r="BS206" s="127"/>
      <c r="BT206" s="127"/>
      <c r="BU206" s="127"/>
      <c r="BV206" s="127"/>
      <c r="BW206" s="127"/>
    </row>
    <row r="207" spans="1:75" ht="22.5" hidden="1" x14ac:dyDescent="0.2">
      <c r="A207" s="123" t="str">
        <f>'[2]2021 УГРЦТ'!A209</f>
        <v>Кабельная линия 0,4 кВ (ТУ 174 от 20.10.20)</v>
      </c>
      <c r="B207" s="124" t="str">
        <f>'[2]2021 УГРЦТ'!B209</f>
        <v>000001862</v>
      </c>
      <c r="C207" s="124" t="str">
        <f>VLOOKUP(A:A,'2023-2027'!A:L,1,+FALSE)</f>
        <v>Кабельная линия 0,4 кВ (ТУ 174 от 20.10.20)</v>
      </c>
      <c r="D207" s="124" t="str">
        <f>'[2]2021 УГРЦТ'!C209</f>
        <v>ПЕРЕДАЧА</v>
      </c>
      <c r="E207" s="124" t="str">
        <f>'[2]2021 УГРЦТ'!D209</f>
        <v>Сооружения</v>
      </c>
      <c r="F207" s="124" t="str">
        <f>'[2]2021 УГРЦТ'!E209</f>
        <v>19.10.2021</v>
      </c>
      <c r="G207" s="124" t="str">
        <f>'[2]2021 УГРЦТ'!F209</f>
        <v>Цех электрических сетей</v>
      </c>
      <c r="H207" s="124">
        <f>'[2]2021 УГРЦТ'!AC209</f>
        <v>300</v>
      </c>
      <c r="I207" s="107">
        <f>'[2]2021 УГРЦТ'!X209</f>
        <v>208735.37</v>
      </c>
      <c r="J207" s="107">
        <f>'[2]2021 УГРЦТ'!Y209</f>
        <v>1391.5691333333334</v>
      </c>
      <c r="K207" s="107">
        <f>'[2]2021 УГРЦТ'!Z209</f>
        <v>207343.80086666666</v>
      </c>
      <c r="L207" s="125" t="e">
        <f>SUMIF([2]облаг!$B$2:$B$259,B207,[2]облаг!$D$2:$D$259)</f>
        <v>#VALUE!</v>
      </c>
      <c r="M207" s="107">
        <f t="shared" si="202"/>
        <v>695.78456666666671</v>
      </c>
      <c r="N207" s="107">
        <f t="shared" si="203"/>
        <v>8349.4148000000005</v>
      </c>
      <c r="O207" s="107">
        <f t="shared" si="204"/>
        <v>206648.01629999999</v>
      </c>
      <c r="P207" s="107">
        <f t="shared" si="205"/>
        <v>205952.23173333332</v>
      </c>
      <c r="Q207" s="107">
        <f t="shared" si="149"/>
        <v>205256.44716666665</v>
      </c>
      <c r="R207" s="107">
        <f t="shared" si="150"/>
        <v>204560.66259999998</v>
      </c>
      <c r="S207" s="107">
        <f t="shared" si="151"/>
        <v>203864.87803333331</v>
      </c>
      <c r="T207" s="107">
        <f t="shared" si="152"/>
        <v>203169.09346666664</v>
      </c>
      <c r="U207" s="107">
        <f t="shared" si="153"/>
        <v>202473.30889999997</v>
      </c>
      <c r="V207" s="107">
        <f t="shared" si="154"/>
        <v>201777.52433333331</v>
      </c>
      <c r="W207" s="107">
        <f t="shared" si="155"/>
        <v>201081.73976666664</v>
      </c>
      <c r="X207" s="107">
        <f t="shared" si="156"/>
        <v>200385.95519999997</v>
      </c>
      <c r="Y207" s="107">
        <f t="shared" si="157"/>
        <v>199690.1706333333</v>
      </c>
      <c r="Z207" s="107">
        <f t="shared" si="158"/>
        <v>198994.38606666663</v>
      </c>
      <c r="AA207" s="107">
        <f t="shared" si="206"/>
        <v>4469.7200562666667</v>
      </c>
      <c r="AB207" s="107"/>
      <c r="AC207" s="107">
        <f t="shared" si="159"/>
        <v>8349.4148000000005</v>
      </c>
      <c r="AD207" s="107">
        <f t="shared" si="160"/>
        <v>198298.60149999996</v>
      </c>
      <c r="AE207" s="107">
        <f t="shared" si="161"/>
        <v>197602.81693333329</v>
      </c>
      <c r="AF207" s="107">
        <f t="shared" si="162"/>
        <v>196907.03236666662</v>
      </c>
      <c r="AG207" s="107">
        <f t="shared" si="163"/>
        <v>196211.24779999995</v>
      </c>
      <c r="AH207" s="107">
        <f t="shared" si="164"/>
        <v>195515.46323333328</v>
      </c>
      <c r="AI207" s="107">
        <f t="shared" si="165"/>
        <v>194819.67866666662</v>
      </c>
      <c r="AJ207" s="107">
        <f t="shared" si="166"/>
        <v>194123.89409999995</v>
      </c>
      <c r="AK207" s="107">
        <f t="shared" si="167"/>
        <v>193428.10953333328</v>
      </c>
      <c r="AL207" s="107">
        <f t="shared" si="168"/>
        <v>192732.32496666661</v>
      </c>
      <c r="AM207" s="107">
        <f t="shared" si="169"/>
        <v>192036.54039999994</v>
      </c>
      <c r="AN207" s="107">
        <f t="shared" si="170"/>
        <v>191340.75583333327</v>
      </c>
      <c r="AO207" s="107">
        <f t="shared" si="171"/>
        <v>190644.9712666666</v>
      </c>
      <c r="AP207" s="107">
        <f t="shared" si="207"/>
        <v>4286.0329306666654</v>
      </c>
      <c r="AQ207" s="126"/>
      <c r="AR207" s="107">
        <f t="shared" si="173"/>
        <v>8349.4148000000005</v>
      </c>
      <c r="AS207" s="107">
        <f t="shared" si="208"/>
        <v>189949.18669999993</v>
      </c>
      <c r="AT207" s="107">
        <f t="shared" si="209"/>
        <v>189253.40213333326</v>
      </c>
      <c r="AU207" s="107">
        <f t="shared" si="210"/>
        <v>188557.61756666659</v>
      </c>
      <c r="AV207" s="107">
        <f t="shared" si="211"/>
        <v>187861.83299999993</v>
      </c>
      <c r="AW207" s="107">
        <f t="shared" si="212"/>
        <v>187166.04843333326</v>
      </c>
      <c r="AX207" s="107">
        <f t="shared" si="213"/>
        <v>186470.26386666659</v>
      </c>
      <c r="AY207" s="107">
        <f t="shared" si="214"/>
        <v>185774.47929999992</v>
      </c>
      <c r="AZ207" s="107">
        <f t="shared" si="215"/>
        <v>185078.69473333325</v>
      </c>
      <c r="BA207" s="107">
        <f t="shared" si="216"/>
        <v>184382.91016666658</v>
      </c>
      <c r="BB207" s="107">
        <f t="shared" si="217"/>
        <v>183687.12559999991</v>
      </c>
      <c r="BC207" s="107">
        <f t="shared" si="218"/>
        <v>182991.34103333324</v>
      </c>
      <c r="BD207" s="107">
        <f t="shared" si="219"/>
        <v>182295.55646666657</v>
      </c>
      <c r="BE207" s="107">
        <f t="shared" si="220"/>
        <v>4102.345805066665</v>
      </c>
      <c r="BF207" s="127"/>
      <c r="BG207" s="127"/>
      <c r="BH207" s="127"/>
      <c r="BI207" s="127"/>
      <c r="BJ207" s="127"/>
      <c r="BK207" s="127"/>
      <c r="BL207" s="127"/>
      <c r="BM207" s="127"/>
      <c r="BN207" s="127"/>
      <c r="BO207" s="127"/>
      <c r="BP207" s="127"/>
      <c r="BQ207" s="127"/>
      <c r="BR207" s="127"/>
      <c r="BS207" s="127"/>
      <c r="BT207" s="127"/>
      <c r="BU207" s="127"/>
      <c r="BV207" s="127"/>
      <c r="BW207" s="127"/>
    </row>
    <row r="208" spans="1:75" ht="22.5" hidden="1" x14ac:dyDescent="0.2">
      <c r="A208" s="123" t="str">
        <f>'[2]2021 УГРЦТ'!A210</f>
        <v>Кабельная линия 0,4 кВ (ТУ 200 от 23.10.20)</v>
      </c>
      <c r="B208" s="124" t="str">
        <f>'[2]2021 УГРЦТ'!B210</f>
        <v>000001861</v>
      </c>
      <c r="C208" s="124" t="str">
        <f>VLOOKUP(A:A,'2023-2027'!A:L,1,+FALSE)</f>
        <v>Кабельная линия 0,4 кВ (ТУ 200 от 23.10.20)</v>
      </c>
      <c r="D208" s="124" t="str">
        <f>'[2]2021 УГРЦТ'!C210</f>
        <v>ПЕРЕДАЧА</v>
      </c>
      <c r="E208" s="124" t="str">
        <f>'[2]2021 УГРЦТ'!D210</f>
        <v>Сооружения</v>
      </c>
      <c r="F208" s="124" t="str">
        <f>'[2]2021 УГРЦТ'!E210</f>
        <v>19.10.2021</v>
      </c>
      <c r="G208" s="124" t="str">
        <f>'[2]2021 УГРЦТ'!F210</f>
        <v>Цех электрических сетей</v>
      </c>
      <c r="H208" s="124">
        <f>'[2]2021 УГРЦТ'!AC210</f>
        <v>300</v>
      </c>
      <c r="I208" s="107">
        <f>'[2]2021 УГРЦТ'!X210</f>
        <v>93334.95</v>
      </c>
      <c r="J208" s="107">
        <f>'[2]2021 УГРЦТ'!Y210</f>
        <v>622.23299999999995</v>
      </c>
      <c r="K208" s="107">
        <f>'[2]2021 УГРЦТ'!Z210</f>
        <v>92712.717000000004</v>
      </c>
      <c r="L208" s="125" t="e">
        <f>SUMIF([2]облаг!$B$2:$B$259,B208,[2]облаг!$D$2:$D$259)</f>
        <v>#VALUE!</v>
      </c>
      <c r="M208" s="107">
        <f t="shared" si="202"/>
        <v>311.11649999999997</v>
      </c>
      <c r="N208" s="107">
        <f t="shared" si="203"/>
        <v>3733.3979999999997</v>
      </c>
      <c r="O208" s="107">
        <f t="shared" si="204"/>
        <v>92401.6005</v>
      </c>
      <c r="P208" s="107">
        <f t="shared" si="205"/>
        <v>92090.483999999997</v>
      </c>
      <c r="Q208" s="107">
        <f t="shared" si="149"/>
        <v>91779.367499999993</v>
      </c>
      <c r="R208" s="107">
        <f t="shared" si="150"/>
        <v>91468.250999999989</v>
      </c>
      <c r="S208" s="107">
        <f t="shared" si="151"/>
        <v>91157.134499999986</v>
      </c>
      <c r="T208" s="107">
        <f t="shared" si="152"/>
        <v>90846.017999999982</v>
      </c>
      <c r="U208" s="107">
        <f t="shared" si="153"/>
        <v>90534.901499999978</v>
      </c>
      <c r="V208" s="107">
        <f t="shared" si="154"/>
        <v>90223.784999999974</v>
      </c>
      <c r="W208" s="107">
        <f t="shared" si="155"/>
        <v>89912.668499999971</v>
      </c>
      <c r="X208" s="107">
        <f t="shared" si="156"/>
        <v>89601.551999999967</v>
      </c>
      <c r="Y208" s="107">
        <f t="shared" si="157"/>
        <v>89290.435499999963</v>
      </c>
      <c r="Z208" s="107">
        <f t="shared" si="158"/>
        <v>88979.318999999959</v>
      </c>
      <c r="AA208" s="107">
        <f t="shared" si="206"/>
        <v>1998.6123959999989</v>
      </c>
      <c r="AB208" s="107"/>
      <c r="AC208" s="107">
        <f t="shared" si="159"/>
        <v>3733.3979999999997</v>
      </c>
      <c r="AD208" s="107">
        <f t="shared" si="160"/>
        <v>88668.202499999956</v>
      </c>
      <c r="AE208" s="107">
        <f t="shared" si="161"/>
        <v>88357.085999999952</v>
      </c>
      <c r="AF208" s="107">
        <f t="shared" si="162"/>
        <v>88045.969499999948</v>
      </c>
      <c r="AG208" s="107">
        <f t="shared" si="163"/>
        <v>87734.852999999945</v>
      </c>
      <c r="AH208" s="107">
        <f t="shared" si="164"/>
        <v>87423.736499999941</v>
      </c>
      <c r="AI208" s="107">
        <f t="shared" si="165"/>
        <v>87112.619999999937</v>
      </c>
      <c r="AJ208" s="107">
        <f t="shared" si="166"/>
        <v>86801.503499999933</v>
      </c>
      <c r="AK208" s="107">
        <f t="shared" si="167"/>
        <v>86490.38699999993</v>
      </c>
      <c r="AL208" s="107">
        <f t="shared" si="168"/>
        <v>86179.270499999926</v>
      </c>
      <c r="AM208" s="107">
        <f t="shared" si="169"/>
        <v>85868.153999999922</v>
      </c>
      <c r="AN208" s="107">
        <f t="shared" si="170"/>
        <v>85557.037499999919</v>
      </c>
      <c r="AO208" s="107">
        <f t="shared" si="171"/>
        <v>85245.920999999915</v>
      </c>
      <c r="AP208" s="107">
        <f t="shared" si="207"/>
        <v>1916.4776399999978</v>
      </c>
      <c r="AQ208" s="126"/>
      <c r="AR208" s="107">
        <f t="shared" si="173"/>
        <v>3733.3979999999997</v>
      </c>
      <c r="AS208" s="107">
        <f t="shared" si="208"/>
        <v>84934.804499999911</v>
      </c>
      <c r="AT208" s="107">
        <f t="shared" si="209"/>
        <v>84623.687999999907</v>
      </c>
      <c r="AU208" s="107">
        <f t="shared" si="210"/>
        <v>84312.571499999904</v>
      </c>
      <c r="AV208" s="107">
        <f t="shared" si="211"/>
        <v>84001.4549999999</v>
      </c>
      <c r="AW208" s="107">
        <f t="shared" si="212"/>
        <v>83690.338499999896</v>
      </c>
      <c r="AX208" s="107">
        <f t="shared" si="213"/>
        <v>83379.221999999892</v>
      </c>
      <c r="AY208" s="107">
        <f t="shared" si="214"/>
        <v>83068.105499999889</v>
      </c>
      <c r="AZ208" s="107">
        <f t="shared" si="215"/>
        <v>82756.988999999885</v>
      </c>
      <c r="BA208" s="107">
        <f t="shared" si="216"/>
        <v>82445.872499999881</v>
      </c>
      <c r="BB208" s="107">
        <f t="shared" si="217"/>
        <v>82134.755999999878</v>
      </c>
      <c r="BC208" s="107">
        <f t="shared" si="218"/>
        <v>81823.639499999874</v>
      </c>
      <c r="BD208" s="107">
        <f t="shared" si="219"/>
        <v>81512.52299999987</v>
      </c>
      <c r="BE208" s="107">
        <f t="shared" si="220"/>
        <v>1834.342883999997</v>
      </c>
      <c r="BF208" s="127"/>
      <c r="BG208" s="127"/>
      <c r="BH208" s="127"/>
      <c r="BI208" s="127"/>
      <c r="BJ208" s="127"/>
      <c r="BK208" s="127"/>
      <c r="BL208" s="127"/>
      <c r="BM208" s="127"/>
      <c r="BN208" s="127"/>
      <c r="BO208" s="127"/>
      <c r="BP208" s="127"/>
      <c r="BQ208" s="127"/>
      <c r="BR208" s="127"/>
      <c r="BS208" s="127"/>
      <c r="BT208" s="127"/>
      <c r="BU208" s="127"/>
      <c r="BV208" s="127"/>
      <c r="BW208" s="127"/>
    </row>
    <row r="209" spans="1:75" ht="22.5" hidden="1" x14ac:dyDescent="0.2">
      <c r="A209" s="123" t="str">
        <f>'[2]2021 УГРЦТ'!A211</f>
        <v>Кабельная линия 0,4 кВ (ТУ 581 от 25.02.21)</v>
      </c>
      <c r="B209" s="124" t="str">
        <f>'[2]2021 УГРЦТ'!B211</f>
        <v>000001877</v>
      </c>
      <c r="C209" s="124" t="str">
        <f>VLOOKUP(A:A,'2023-2027'!A:L,1,+FALSE)</f>
        <v>Кабельная линия 0,4 кВ (ТУ 581 от 25.02.21)</v>
      </c>
      <c r="D209" s="124" t="str">
        <f>'[2]2021 УГРЦТ'!C211</f>
        <v>ПЕРЕДАЧА</v>
      </c>
      <c r="E209" s="124" t="str">
        <f>'[2]2021 УГРЦТ'!D211</f>
        <v>Сооружения</v>
      </c>
      <c r="F209" s="134">
        <f>'[2]2021 УГРЦТ'!E211</f>
        <v>44560</v>
      </c>
      <c r="G209" s="124" t="str">
        <f>'[2]2021 УГРЦТ'!F211</f>
        <v>Цех электрических сетей</v>
      </c>
      <c r="H209" s="124">
        <f>'[2]2021 УГРЦТ'!AC211</f>
        <v>300</v>
      </c>
      <c r="I209" s="107">
        <f>'[2]2021 УГРЦТ'!X211</f>
        <v>160319.39000000001</v>
      </c>
      <c r="J209" s="107">
        <f>'[2]2021 УГРЦТ'!Y211</f>
        <v>0</v>
      </c>
      <c r="K209" s="107">
        <f>'[2]2021 УГРЦТ'!Z211</f>
        <v>160319.39000000001</v>
      </c>
      <c r="L209" s="125" t="e">
        <f>SUMIF([2]облаг!$B$2:$B$259,B209,[2]облаг!$D$2:$D$259)</f>
        <v>#VALUE!</v>
      </c>
      <c r="M209" s="107">
        <f t="shared" si="202"/>
        <v>534.39796666666666</v>
      </c>
      <c r="N209" s="107">
        <f t="shared" si="203"/>
        <v>6412.7755999999999</v>
      </c>
      <c r="O209" s="107">
        <f t="shared" si="204"/>
        <v>159784.99203333334</v>
      </c>
      <c r="P209" s="107">
        <f t="shared" si="205"/>
        <v>159250.59406666667</v>
      </c>
      <c r="Q209" s="107">
        <f t="shared" si="149"/>
        <v>158716.1961</v>
      </c>
      <c r="R209" s="107">
        <f t="shared" si="150"/>
        <v>158181.79813333333</v>
      </c>
      <c r="S209" s="107">
        <f t="shared" si="151"/>
        <v>157647.40016666666</v>
      </c>
      <c r="T209" s="107">
        <f t="shared" si="152"/>
        <v>157113.00219999999</v>
      </c>
      <c r="U209" s="107">
        <f t="shared" si="153"/>
        <v>156578.60423333332</v>
      </c>
      <c r="V209" s="107">
        <f t="shared" si="154"/>
        <v>156044.20626666665</v>
      </c>
      <c r="W209" s="107">
        <f t="shared" si="155"/>
        <v>155509.80829999998</v>
      </c>
      <c r="X209" s="107">
        <f t="shared" si="156"/>
        <v>154975.4103333333</v>
      </c>
      <c r="Y209" s="107">
        <f t="shared" si="157"/>
        <v>154441.01236666663</v>
      </c>
      <c r="Z209" s="107">
        <f t="shared" si="158"/>
        <v>153906.61439999996</v>
      </c>
      <c r="AA209" s="107">
        <f t="shared" si="206"/>
        <v>3456.4860484000001</v>
      </c>
      <c r="AB209" s="107"/>
      <c r="AC209" s="107">
        <f t="shared" si="159"/>
        <v>6412.7755999999999</v>
      </c>
      <c r="AD209" s="107">
        <f t="shared" si="160"/>
        <v>153372.21643333329</v>
      </c>
      <c r="AE209" s="107">
        <f t="shared" si="161"/>
        <v>152837.81846666662</v>
      </c>
      <c r="AF209" s="107">
        <f t="shared" si="162"/>
        <v>152303.42049999995</v>
      </c>
      <c r="AG209" s="107">
        <f t="shared" si="163"/>
        <v>151769.02253333328</v>
      </c>
      <c r="AH209" s="107">
        <f t="shared" si="164"/>
        <v>151234.62456666661</v>
      </c>
      <c r="AI209" s="107">
        <f t="shared" si="165"/>
        <v>150700.22659999994</v>
      </c>
      <c r="AJ209" s="107">
        <f t="shared" si="166"/>
        <v>150165.82863333327</v>
      </c>
      <c r="AK209" s="107">
        <f t="shared" si="167"/>
        <v>149631.43066666659</v>
      </c>
      <c r="AL209" s="107">
        <f t="shared" si="168"/>
        <v>149097.03269999992</v>
      </c>
      <c r="AM209" s="107">
        <f t="shared" si="169"/>
        <v>148562.63473333325</v>
      </c>
      <c r="AN209" s="107">
        <f t="shared" si="170"/>
        <v>148028.23676666658</v>
      </c>
      <c r="AO209" s="107">
        <f t="shared" si="171"/>
        <v>147493.83879999991</v>
      </c>
      <c r="AP209" s="107">
        <f t="shared" si="207"/>
        <v>3315.4049851999989</v>
      </c>
      <c r="AQ209" s="126"/>
      <c r="AR209" s="107">
        <f t="shared" si="173"/>
        <v>6412.7755999999999</v>
      </c>
      <c r="AS209" s="107">
        <f t="shared" si="208"/>
        <v>146959.44083333324</v>
      </c>
      <c r="AT209" s="107">
        <f t="shared" si="209"/>
        <v>146425.04286666657</v>
      </c>
      <c r="AU209" s="107">
        <f t="shared" si="210"/>
        <v>145890.6448999999</v>
      </c>
      <c r="AV209" s="107">
        <f t="shared" si="211"/>
        <v>145356.24693333323</v>
      </c>
      <c r="AW209" s="107">
        <f t="shared" si="212"/>
        <v>144821.84896666656</v>
      </c>
      <c r="AX209" s="107">
        <f t="shared" si="213"/>
        <v>144287.45099999988</v>
      </c>
      <c r="AY209" s="107">
        <f t="shared" si="214"/>
        <v>143753.05303333321</v>
      </c>
      <c r="AZ209" s="107">
        <f t="shared" si="215"/>
        <v>143218.65506666654</v>
      </c>
      <c r="BA209" s="107">
        <f t="shared" si="216"/>
        <v>142684.25709999987</v>
      </c>
      <c r="BB209" s="107">
        <f t="shared" si="217"/>
        <v>142149.8591333332</v>
      </c>
      <c r="BC209" s="107">
        <f t="shared" si="218"/>
        <v>141615.46116666653</v>
      </c>
      <c r="BD209" s="107">
        <f t="shared" si="219"/>
        <v>141081.06319999986</v>
      </c>
      <c r="BE209" s="107">
        <f t="shared" si="220"/>
        <v>3174.3239219999978</v>
      </c>
      <c r="BF209" s="127"/>
      <c r="BG209" s="127"/>
      <c r="BH209" s="127"/>
      <c r="BI209" s="127"/>
      <c r="BJ209" s="127"/>
      <c r="BK209" s="127"/>
      <c r="BL209" s="127"/>
      <c r="BM209" s="127"/>
      <c r="BN209" s="127"/>
      <c r="BO209" s="127"/>
      <c r="BP209" s="127"/>
      <c r="BQ209" s="127"/>
      <c r="BR209" s="127"/>
      <c r="BS209" s="127"/>
      <c r="BT209" s="127"/>
      <c r="BU209" s="127"/>
      <c r="BV209" s="127"/>
      <c r="BW209" s="127"/>
    </row>
    <row r="210" spans="1:75" ht="22.5" hidden="1" x14ac:dyDescent="0.2">
      <c r="A210" s="123" t="str">
        <f>'[2]2021 УГРЦТ'!A212</f>
        <v>Кабельная линия 0,4 кВ (ТУ 589 от 14.04.21)</v>
      </c>
      <c r="B210" s="124" t="str">
        <f>'[2]2021 УГРЦТ'!B212</f>
        <v>000001864</v>
      </c>
      <c r="C210" s="124" t="str">
        <f>VLOOKUP(A:A,'2023-2027'!A:L,1,+FALSE)</f>
        <v>Кабельная линия 0,4 кВ (ТУ 589 от 14.04.21)</v>
      </c>
      <c r="D210" s="124" t="str">
        <f>'[2]2021 УГРЦТ'!C212</f>
        <v>ПЕРЕДАЧА</v>
      </c>
      <c r="E210" s="124" t="str">
        <f>'[2]2021 УГРЦТ'!D212</f>
        <v>Сооружения</v>
      </c>
      <c r="F210" s="124" t="str">
        <f>'[2]2021 УГРЦТ'!E212</f>
        <v>19.10.2021</v>
      </c>
      <c r="G210" s="124" t="str">
        <f>'[2]2021 УГРЦТ'!F212</f>
        <v>Цех электрических сетей</v>
      </c>
      <c r="H210" s="124">
        <f>'[2]2021 УГРЦТ'!AC212</f>
        <v>300</v>
      </c>
      <c r="I210" s="107">
        <f>'[2]2021 УГРЦТ'!X212</f>
        <v>2244355.14</v>
      </c>
      <c r="J210" s="107">
        <f>'[2]2021 УГРЦТ'!Y212</f>
        <v>14962.367600000001</v>
      </c>
      <c r="K210" s="107">
        <f>'[2]2021 УГРЦТ'!Z212</f>
        <v>2229392.7724000001</v>
      </c>
      <c r="L210" s="125" t="e">
        <f>SUMIF([2]облаг!$B$2:$B$259,B210,[2]облаг!$D$2:$D$259)</f>
        <v>#VALUE!</v>
      </c>
      <c r="M210" s="107">
        <f t="shared" si="202"/>
        <v>7481.1838000000007</v>
      </c>
      <c r="N210" s="107">
        <f t="shared" si="203"/>
        <v>89774.205600000016</v>
      </c>
      <c r="O210" s="107">
        <f t="shared" si="204"/>
        <v>2221911.5885999999</v>
      </c>
      <c r="P210" s="107">
        <f t="shared" si="205"/>
        <v>2214430.4047999997</v>
      </c>
      <c r="Q210" s="107">
        <f t="shared" si="149"/>
        <v>2206949.2209999994</v>
      </c>
      <c r="R210" s="107">
        <f t="shared" si="150"/>
        <v>2199468.0371999992</v>
      </c>
      <c r="S210" s="107">
        <f t="shared" si="151"/>
        <v>2191986.853399999</v>
      </c>
      <c r="T210" s="107">
        <f t="shared" si="152"/>
        <v>2184505.6695999987</v>
      </c>
      <c r="U210" s="107">
        <f t="shared" si="153"/>
        <v>2177024.4857999985</v>
      </c>
      <c r="V210" s="107">
        <f t="shared" si="154"/>
        <v>2169543.3019999983</v>
      </c>
      <c r="W210" s="107">
        <f t="shared" si="155"/>
        <v>2162062.118199998</v>
      </c>
      <c r="X210" s="107">
        <f t="shared" si="156"/>
        <v>2154580.9343999978</v>
      </c>
      <c r="Y210" s="107">
        <f t="shared" si="157"/>
        <v>2147099.7505999976</v>
      </c>
      <c r="Z210" s="107">
        <f t="shared" si="158"/>
        <v>2139618.5667999974</v>
      </c>
      <c r="AA210" s="107">
        <f t="shared" si="206"/>
        <v>48059.124731199969</v>
      </c>
      <c r="AB210" s="107"/>
      <c r="AC210" s="107">
        <f t="shared" si="159"/>
        <v>89774.205600000016</v>
      </c>
      <c r="AD210" s="107">
        <f t="shared" si="160"/>
        <v>2132137.3829999971</v>
      </c>
      <c r="AE210" s="107">
        <f t="shared" si="161"/>
        <v>2124656.1991999969</v>
      </c>
      <c r="AF210" s="107">
        <f t="shared" si="162"/>
        <v>2117175.0153999967</v>
      </c>
      <c r="AG210" s="107">
        <f t="shared" si="163"/>
        <v>2109693.8315999964</v>
      </c>
      <c r="AH210" s="107">
        <f t="shared" si="164"/>
        <v>2102212.6477999962</v>
      </c>
      <c r="AI210" s="107">
        <f t="shared" si="165"/>
        <v>2094731.4639999962</v>
      </c>
      <c r="AJ210" s="107">
        <f t="shared" si="166"/>
        <v>2087250.2801999962</v>
      </c>
      <c r="AK210" s="107">
        <f t="shared" si="167"/>
        <v>2079769.0963999962</v>
      </c>
      <c r="AL210" s="107">
        <f t="shared" si="168"/>
        <v>2072287.9125999962</v>
      </c>
      <c r="AM210" s="107">
        <f t="shared" si="169"/>
        <v>2064806.7287999962</v>
      </c>
      <c r="AN210" s="107">
        <f t="shared" si="170"/>
        <v>2057325.5449999962</v>
      </c>
      <c r="AO210" s="107">
        <f t="shared" si="171"/>
        <v>2049844.3611999962</v>
      </c>
      <c r="AP210" s="107">
        <f t="shared" si="207"/>
        <v>46084.092207999922</v>
      </c>
      <c r="AQ210" s="126"/>
      <c r="AR210" s="107">
        <f t="shared" si="173"/>
        <v>89774.205600000016</v>
      </c>
      <c r="AS210" s="107">
        <f t="shared" si="208"/>
        <v>2042363.1773999962</v>
      </c>
      <c r="AT210" s="107">
        <f t="shared" si="209"/>
        <v>2034881.9935999962</v>
      </c>
      <c r="AU210" s="107">
        <f t="shared" si="210"/>
        <v>2027400.8097999962</v>
      </c>
      <c r="AV210" s="107">
        <f t="shared" si="211"/>
        <v>2019919.6259999962</v>
      </c>
      <c r="AW210" s="107">
        <f t="shared" si="212"/>
        <v>2012438.4421999962</v>
      </c>
      <c r="AX210" s="107">
        <f t="shared" si="213"/>
        <v>2004957.2583999962</v>
      </c>
      <c r="AY210" s="107">
        <f t="shared" si="214"/>
        <v>1997476.0745999962</v>
      </c>
      <c r="AZ210" s="107">
        <f t="shared" si="215"/>
        <v>1989994.8907999962</v>
      </c>
      <c r="BA210" s="107">
        <f t="shared" si="216"/>
        <v>1982513.7069999962</v>
      </c>
      <c r="BB210" s="107">
        <f t="shared" si="217"/>
        <v>1975032.5231999962</v>
      </c>
      <c r="BC210" s="107">
        <f t="shared" si="218"/>
        <v>1967551.3393999962</v>
      </c>
      <c r="BD210" s="107">
        <f t="shared" si="219"/>
        <v>1960070.1555999962</v>
      </c>
      <c r="BE210" s="107">
        <f t="shared" si="220"/>
        <v>44109.059684799926</v>
      </c>
      <c r="BF210" s="127"/>
      <c r="BG210" s="127"/>
      <c r="BH210" s="127"/>
      <c r="BI210" s="127"/>
      <c r="BJ210" s="127"/>
      <c r="BK210" s="127"/>
      <c r="BL210" s="127"/>
      <c r="BM210" s="127"/>
      <c r="BN210" s="127"/>
      <c r="BO210" s="127"/>
      <c r="BP210" s="127"/>
      <c r="BQ210" s="127"/>
      <c r="BR210" s="127"/>
      <c r="BS210" s="127"/>
      <c r="BT210" s="127"/>
      <c r="BU210" s="127"/>
      <c r="BV210" s="127"/>
      <c r="BW210" s="127"/>
    </row>
    <row r="211" spans="1:75" ht="22.5" hidden="1" x14ac:dyDescent="0.2">
      <c r="A211" s="123" t="str">
        <f>'[2]2021 УГРЦТ'!A213</f>
        <v>Кабельная линия 0,4 кВ (ТУ №26 от 29.03.21 г.)</v>
      </c>
      <c r="B211" s="124" t="str">
        <f>'[2]2021 УГРЦТ'!B213</f>
        <v>000001875</v>
      </c>
      <c r="C211" s="124" t="str">
        <f>VLOOKUP(A:A,'2023-2027'!A:L,1,+FALSE)</f>
        <v>Кабельная линия 0,4 кВ (ТУ №26 от 29.03.21 г.)</v>
      </c>
      <c r="D211" s="124" t="str">
        <f>'[2]2021 УГРЦТ'!C213</f>
        <v>ПЕРЕДАЧА</v>
      </c>
      <c r="E211" s="124" t="str">
        <f>'[2]2021 УГРЦТ'!D213</f>
        <v>Сооружения</v>
      </c>
      <c r="F211" s="134">
        <f>'[2]2021 УГРЦТ'!E213</f>
        <v>44553</v>
      </c>
      <c r="G211" s="124" t="str">
        <f>'[2]2021 УГРЦТ'!F213</f>
        <v>Цех электрических сетей</v>
      </c>
      <c r="H211" s="124">
        <f>'[2]2021 УГРЦТ'!AC213</f>
        <v>300</v>
      </c>
      <c r="I211" s="107">
        <f>'[2]2021 УГРЦТ'!X213</f>
        <v>187693.41</v>
      </c>
      <c r="J211" s="107">
        <f>'[2]2021 УГРЦТ'!Y213</f>
        <v>0</v>
      </c>
      <c r="K211" s="107">
        <f>'[2]2021 УГРЦТ'!Z213</f>
        <v>187693.41</v>
      </c>
      <c r="L211" s="125" t="e">
        <f>SUMIF([2]облаг!$B$2:$B$259,B211,[2]облаг!$D$2:$D$259)</f>
        <v>#VALUE!</v>
      </c>
      <c r="M211" s="107">
        <f t="shared" si="202"/>
        <v>625.64470000000006</v>
      </c>
      <c r="N211" s="107">
        <f t="shared" si="203"/>
        <v>7507.7364000000007</v>
      </c>
      <c r="O211" s="107">
        <f t="shared" si="204"/>
        <v>187067.7653</v>
      </c>
      <c r="P211" s="107">
        <f t="shared" si="205"/>
        <v>186442.12059999999</v>
      </c>
      <c r="Q211" s="107">
        <f t="shared" si="149"/>
        <v>185816.47589999999</v>
      </c>
      <c r="R211" s="107">
        <f t="shared" si="150"/>
        <v>185190.83119999999</v>
      </c>
      <c r="S211" s="107">
        <f t="shared" si="151"/>
        <v>184565.18649999998</v>
      </c>
      <c r="T211" s="107">
        <f t="shared" si="152"/>
        <v>183939.54179999998</v>
      </c>
      <c r="U211" s="107">
        <f t="shared" si="153"/>
        <v>183313.89709999997</v>
      </c>
      <c r="V211" s="107">
        <f t="shared" si="154"/>
        <v>182688.25239999997</v>
      </c>
      <c r="W211" s="107">
        <f t="shared" si="155"/>
        <v>182062.60769999996</v>
      </c>
      <c r="X211" s="107">
        <f t="shared" si="156"/>
        <v>181436.96299999996</v>
      </c>
      <c r="Y211" s="107">
        <f t="shared" si="157"/>
        <v>180811.31829999996</v>
      </c>
      <c r="Z211" s="107">
        <f t="shared" si="158"/>
        <v>180185.67359999995</v>
      </c>
      <c r="AA211" s="107">
        <f t="shared" si="206"/>
        <v>4046.669919599999</v>
      </c>
      <c r="AB211" s="107"/>
      <c r="AC211" s="107">
        <f t="shared" si="159"/>
        <v>7507.7364000000007</v>
      </c>
      <c r="AD211" s="107">
        <f t="shared" si="160"/>
        <v>179560.02889999995</v>
      </c>
      <c r="AE211" s="107">
        <f t="shared" si="161"/>
        <v>178934.38419999994</v>
      </c>
      <c r="AF211" s="107">
        <f t="shared" si="162"/>
        <v>178308.73949999994</v>
      </c>
      <c r="AG211" s="107">
        <f t="shared" si="163"/>
        <v>177683.09479999993</v>
      </c>
      <c r="AH211" s="107">
        <f t="shared" si="164"/>
        <v>177057.45009999993</v>
      </c>
      <c r="AI211" s="107">
        <f t="shared" si="165"/>
        <v>176431.80539999992</v>
      </c>
      <c r="AJ211" s="107">
        <f t="shared" si="166"/>
        <v>175806.16069999992</v>
      </c>
      <c r="AK211" s="107">
        <f t="shared" si="167"/>
        <v>175180.51599999992</v>
      </c>
      <c r="AL211" s="107">
        <f t="shared" si="168"/>
        <v>174554.87129999991</v>
      </c>
      <c r="AM211" s="107">
        <f t="shared" si="169"/>
        <v>173929.22659999991</v>
      </c>
      <c r="AN211" s="107">
        <f t="shared" si="170"/>
        <v>173303.5818999999</v>
      </c>
      <c r="AO211" s="107">
        <f t="shared" si="171"/>
        <v>172677.9371999999</v>
      </c>
      <c r="AP211" s="107">
        <f t="shared" si="207"/>
        <v>3881.4997187999979</v>
      </c>
      <c r="AQ211" s="126"/>
      <c r="AR211" s="107">
        <f t="shared" si="173"/>
        <v>7507.7364000000007</v>
      </c>
      <c r="AS211" s="107">
        <f t="shared" si="208"/>
        <v>172052.29249999989</v>
      </c>
      <c r="AT211" s="107">
        <f t="shared" si="209"/>
        <v>171426.64779999989</v>
      </c>
      <c r="AU211" s="107">
        <f t="shared" si="210"/>
        <v>170801.00309999989</v>
      </c>
      <c r="AV211" s="107">
        <f t="shared" si="211"/>
        <v>170175.35839999988</v>
      </c>
      <c r="AW211" s="107">
        <f t="shared" si="212"/>
        <v>169549.71369999988</v>
      </c>
      <c r="AX211" s="107">
        <f t="shared" si="213"/>
        <v>168924.06899999987</v>
      </c>
      <c r="AY211" s="107">
        <f t="shared" si="214"/>
        <v>168298.42429999987</v>
      </c>
      <c r="AZ211" s="107">
        <f t="shared" si="215"/>
        <v>167672.77959999986</v>
      </c>
      <c r="BA211" s="107">
        <f t="shared" si="216"/>
        <v>167047.13489999986</v>
      </c>
      <c r="BB211" s="107">
        <f t="shared" si="217"/>
        <v>166421.49019999985</v>
      </c>
      <c r="BC211" s="107">
        <f t="shared" si="218"/>
        <v>165795.84549999985</v>
      </c>
      <c r="BD211" s="107">
        <f t="shared" si="219"/>
        <v>165170.20079999985</v>
      </c>
      <c r="BE211" s="107">
        <f t="shared" si="220"/>
        <v>3716.3295179999968</v>
      </c>
      <c r="BF211" s="127"/>
      <c r="BG211" s="127"/>
      <c r="BH211" s="127"/>
      <c r="BI211" s="127"/>
      <c r="BJ211" s="127"/>
      <c r="BK211" s="127"/>
      <c r="BL211" s="127"/>
      <c r="BM211" s="127"/>
      <c r="BN211" s="127"/>
      <c r="BO211" s="127"/>
      <c r="BP211" s="127"/>
      <c r="BQ211" s="127"/>
      <c r="BR211" s="127"/>
      <c r="BS211" s="127"/>
      <c r="BT211" s="127"/>
      <c r="BU211" s="127"/>
      <c r="BV211" s="127"/>
      <c r="BW211" s="127"/>
    </row>
    <row r="212" spans="1:75" ht="22.5" hidden="1" x14ac:dyDescent="0.2">
      <c r="A212" s="123" t="str">
        <f>'[2]2021 УГРЦТ'!A214</f>
        <v>Кабельная линия 0,4 кВ (ТУ №630 от 02.08.2021г)</v>
      </c>
      <c r="B212" s="124" t="str">
        <f>'[2]2021 УГРЦТ'!B214</f>
        <v>000001884</v>
      </c>
      <c r="C212" s="124" t="str">
        <f>VLOOKUP(A:A,'2023-2027'!A:L,1,+FALSE)</f>
        <v>Кабельная линия 0,4 кВ (ТУ №630 от 02.08.2021г)</v>
      </c>
      <c r="D212" s="124" t="str">
        <f>'[2]2021 УГРЦТ'!C214</f>
        <v>ПЕРЕДАЧА</v>
      </c>
      <c r="E212" s="124" t="str">
        <f>'[2]2021 УГРЦТ'!D214</f>
        <v>Сооружения</v>
      </c>
      <c r="F212" s="134">
        <f>'[2]2021 УГРЦТ'!E214</f>
        <v>44560</v>
      </c>
      <c r="G212" s="124" t="str">
        <f>'[2]2021 УГРЦТ'!F214</f>
        <v>Цех электрических сетей</v>
      </c>
      <c r="H212" s="124">
        <f>'[2]2021 УГРЦТ'!AC214</f>
        <v>300</v>
      </c>
      <c r="I212" s="107">
        <f>'[2]2021 УГРЦТ'!X214</f>
        <v>1310961.83</v>
      </c>
      <c r="J212" s="107">
        <f>'[2]2021 УГРЦТ'!Y214</f>
        <v>0</v>
      </c>
      <c r="K212" s="107">
        <f>'[2]2021 УГРЦТ'!Z214</f>
        <v>1310961.83</v>
      </c>
      <c r="L212" s="125" t="e">
        <f>SUMIF([2]облаг!$B$2:$B$259,B212,[2]облаг!$D$2:$D$259)</f>
        <v>#VALUE!</v>
      </c>
      <c r="M212" s="107">
        <f t="shared" si="202"/>
        <v>4369.8727666666673</v>
      </c>
      <c r="N212" s="107">
        <f t="shared" si="203"/>
        <v>52438.473200000008</v>
      </c>
      <c r="O212" s="107">
        <f t="shared" si="204"/>
        <v>1306591.9572333335</v>
      </c>
      <c r="P212" s="107">
        <f t="shared" si="205"/>
        <v>1302222.0844666669</v>
      </c>
      <c r="Q212" s="107">
        <f t="shared" si="149"/>
        <v>1297852.2117000003</v>
      </c>
      <c r="R212" s="107">
        <f t="shared" si="150"/>
        <v>1293482.3389333338</v>
      </c>
      <c r="S212" s="107">
        <f t="shared" si="151"/>
        <v>1289112.4661666672</v>
      </c>
      <c r="T212" s="107">
        <f t="shared" si="152"/>
        <v>1284742.5934000006</v>
      </c>
      <c r="U212" s="107">
        <f t="shared" si="153"/>
        <v>1280372.720633334</v>
      </c>
      <c r="V212" s="107">
        <f t="shared" si="154"/>
        <v>1276002.8478666674</v>
      </c>
      <c r="W212" s="107">
        <f t="shared" si="155"/>
        <v>1271632.9751000009</v>
      </c>
      <c r="X212" s="107">
        <f t="shared" si="156"/>
        <v>1267263.1023333343</v>
      </c>
      <c r="Y212" s="107">
        <f t="shared" si="157"/>
        <v>1262893.2295666677</v>
      </c>
      <c r="Z212" s="107">
        <f t="shared" si="158"/>
        <v>1258523.3568000011</v>
      </c>
      <c r="AA212" s="107">
        <f t="shared" si="206"/>
        <v>28264.337054800013</v>
      </c>
      <c r="AB212" s="107"/>
      <c r="AC212" s="107">
        <f t="shared" si="159"/>
        <v>52438.473200000008</v>
      </c>
      <c r="AD212" s="107">
        <f t="shared" si="160"/>
        <v>1254153.4840333345</v>
      </c>
      <c r="AE212" s="107">
        <f t="shared" si="161"/>
        <v>1249783.611266668</v>
      </c>
      <c r="AF212" s="107">
        <f t="shared" si="162"/>
        <v>1245413.7385000014</v>
      </c>
      <c r="AG212" s="107">
        <f t="shared" si="163"/>
        <v>1241043.8657333348</v>
      </c>
      <c r="AH212" s="107">
        <f t="shared" si="164"/>
        <v>1236673.9929666682</v>
      </c>
      <c r="AI212" s="107">
        <f t="shared" si="165"/>
        <v>1232304.1202000016</v>
      </c>
      <c r="AJ212" s="107">
        <f t="shared" si="166"/>
        <v>1227934.2474333351</v>
      </c>
      <c r="AK212" s="107">
        <f t="shared" si="167"/>
        <v>1223564.3746666685</v>
      </c>
      <c r="AL212" s="107">
        <f t="shared" si="168"/>
        <v>1219194.5019000019</v>
      </c>
      <c r="AM212" s="107">
        <f t="shared" si="169"/>
        <v>1214824.6291333353</v>
      </c>
      <c r="AN212" s="107">
        <f t="shared" si="170"/>
        <v>1210454.7563666687</v>
      </c>
      <c r="AO212" s="107">
        <f t="shared" si="171"/>
        <v>1206084.8836000022</v>
      </c>
      <c r="AP212" s="107">
        <f t="shared" si="207"/>
        <v>27110.690644400034</v>
      </c>
      <c r="AQ212" s="126"/>
      <c r="AR212" s="107">
        <f t="shared" si="173"/>
        <v>52438.473200000008</v>
      </c>
      <c r="AS212" s="107">
        <f t="shared" si="208"/>
        <v>1201715.0108333356</v>
      </c>
      <c r="AT212" s="107">
        <f t="shared" si="209"/>
        <v>1197345.138066669</v>
      </c>
      <c r="AU212" s="107">
        <f t="shared" si="210"/>
        <v>1192975.2653000024</v>
      </c>
      <c r="AV212" s="107">
        <f t="shared" si="211"/>
        <v>1188605.3925333358</v>
      </c>
      <c r="AW212" s="107">
        <f t="shared" si="212"/>
        <v>1184235.5197666693</v>
      </c>
      <c r="AX212" s="107">
        <f t="shared" si="213"/>
        <v>1179865.6470000027</v>
      </c>
      <c r="AY212" s="107">
        <f t="shared" si="214"/>
        <v>1175495.7742333361</v>
      </c>
      <c r="AZ212" s="107">
        <f t="shared" si="215"/>
        <v>1171125.9014666695</v>
      </c>
      <c r="BA212" s="107">
        <f t="shared" si="216"/>
        <v>1166756.0287000029</v>
      </c>
      <c r="BB212" s="107">
        <f t="shared" si="217"/>
        <v>1162386.1559333364</v>
      </c>
      <c r="BC212" s="107">
        <f t="shared" si="218"/>
        <v>1158016.2831666698</v>
      </c>
      <c r="BD212" s="107">
        <f t="shared" si="219"/>
        <v>1153646.4104000032</v>
      </c>
      <c r="BE212" s="107">
        <f t="shared" si="220"/>
        <v>25957.044234000059</v>
      </c>
      <c r="BF212" s="127"/>
      <c r="BG212" s="127"/>
      <c r="BH212" s="127"/>
      <c r="BI212" s="127"/>
      <c r="BJ212" s="127"/>
      <c r="BK212" s="127"/>
      <c r="BL212" s="127"/>
      <c r="BM212" s="127"/>
      <c r="BN212" s="127"/>
      <c r="BO212" s="127"/>
      <c r="BP212" s="127"/>
      <c r="BQ212" s="127"/>
      <c r="BR212" s="127"/>
      <c r="BS212" s="127"/>
      <c r="BT212" s="127"/>
      <c r="BU212" s="127"/>
      <c r="BV212" s="127"/>
      <c r="BW212" s="127"/>
    </row>
    <row r="213" spans="1:75" ht="33.75" hidden="1" x14ac:dyDescent="0.2">
      <c r="A213" s="123" t="str">
        <f>'[2]2021 УГРЦТ'!A215</f>
        <v>Кабельная линия 0,4 кВ от ТП №15 до ЩУ объекта "Ясли-сад №2 в г.Нарьян-Маре"</v>
      </c>
      <c r="B213" s="124" t="str">
        <f>'[2]2021 УГРЦТ'!B215</f>
        <v>000001863</v>
      </c>
      <c r="C213" s="124" t="str">
        <f>VLOOKUP(A:A,'2023-2027'!A:L,1,+FALSE)</f>
        <v>Кабельная линия 0,4 кВ от ТП №15 до ЩУ объекта "Ясли-сад №2 в г.Нарьян-Маре"</v>
      </c>
      <c r="D213" s="124" t="str">
        <f>'[2]2021 УГРЦТ'!C215</f>
        <v>ПЕРЕДАЧА</v>
      </c>
      <c r="E213" s="124" t="str">
        <f>'[2]2021 УГРЦТ'!D215</f>
        <v>Сооружения</v>
      </c>
      <c r="F213" s="124" t="str">
        <f>'[2]2021 УГРЦТ'!E215</f>
        <v>19.10.2021</v>
      </c>
      <c r="G213" s="124" t="str">
        <f>'[2]2021 УГРЦТ'!F215</f>
        <v>Цех электрических сетей</v>
      </c>
      <c r="H213" s="124">
        <f>'[2]2021 УГРЦТ'!AC215</f>
        <v>300</v>
      </c>
      <c r="I213" s="107">
        <f>'[2]2021 УГРЦТ'!X215</f>
        <v>2646577.9500000002</v>
      </c>
      <c r="J213" s="107">
        <f>'[2]2021 УГРЦТ'!Y215</f>
        <v>17643.853000000003</v>
      </c>
      <c r="K213" s="107">
        <f>'[2]2021 УГРЦТ'!Z215</f>
        <v>2628934.0970000001</v>
      </c>
      <c r="L213" s="125" t="e">
        <f>SUMIF([2]облаг!$B$2:$B$259,B213,[2]облаг!$D$2:$D$259)</f>
        <v>#VALUE!</v>
      </c>
      <c r="M213" s="107">
        <f t="shared" si="202"/>
        <v>8821.9265000000014</v>
      </c>
      <c r="N213" s="107">
        <f t="shared" si="203"/>
        <v>105863.11800000002</v>
      </c>
      <c r="O213" s="107">
        <f t="shared" si="204"/>
        <v>2620112.1705</v>
      </c>
      <c r="P213" s="107">
        <f t="shared" si="205"/>
        <v>2611290.2439999999</v>
      </c>
      <c r="Q213" s="107">
        <f t="shared" si="149"/>
        <v>2602468.3174999999</v>
      </c>
      <c r="R213" s="107">
        <f t="shared" si="150"/>
        <v>2593646.3909999998</v>
      </c>
      <c r="S213" s="107">
        <f t="shared" si="151"/>
        <v>2584824.4644999998</v>
      </c>
      <c r="T213" s="107">
        <f t="shared" si="152"/>
        <v>2576002.5379999997</v>
      </c>
      <c r="U213" s="107">
        <f t="shared" si="153"/>
        <v>2567180.6114999996</v>
      </c>
      <c r="V213" s="107">
        <f t="shared" si="154"/>
        <v>2558358.6849999996</v>
      </c>
      <c r="W213" s="107">
        <f t="shared" si="155"/>
        <v>2549536.7584999995</v>
      </c>
      <c r="X213" s="107">
        <f t="shared" si="156"/>
        <v>2540714.8319999995</v>
      </c>
      <c r="Y213" s="107">
        <f t="shared" si="157"/>
        <v>2531892.9054999994</v>
      </c>
      <c r="Z213" s="107">
        <f t="shared" si="158"/>
        <v>2523070.9789999994</v>
      </c>
      <c r="AA213" s="107">
        <f t="shared" si="206"/>
        <v>56672.055835999978</v>
      </c>
      <c r="AB213" s="107"/>
      <c r="AC213" s="107">
        <f t="shared" si="159"/>
        <v>105863.11800000002</v>
      </c>
      <c r="AD213" s="107">
        <f t="shared" si="160"/>
        <v>2514249.0524999993</v>
      </c>
      <c r="AE213" s="107">
        <f t="shared" si="161"/>
        <v>2505427.1259999992</v>
      </c>
      <c r="AF213" s="107">
        <f t="shared" si="162"/>
        <v>2496605.1994999992</v>
      </c>
      <c r="AG213" s="107">
        <f t="shared" si="163"/>
        <v>2487783.2729999991</v>
      </c>
      <c r="AH213" s="107">
        <f t="shared" si="164"/>
        <v>2478961.3464999991</v>
      </c>
      <c r="AI213" s="107">
        <f t="shared" si="165"/>
        <v>2470139.419999999</v>
      </c>
      <c r="AJ213" s="107">
        <f t="shared" si="166"/>
        <v>2461317.4934999989</v>
      </c>
      <c r="AK213" s="107">
        <f t="shared" si="167"/>
        <v>2452495.5669999989</v>
      </c>
      <c r="AL213" s="107">
        <f t="shared" si="168"/>
        <v>2443673.6404999988</v>
      </c>
      <c r="AM213" s="107">
        <f t="shared" si="169"/>
        <v>2434851.7139999988</v>
      </c>
      <c r="AN213" s="107">
        <f t="shared" si="170"/>
        <v>2426029.7874999987</v>
      </c>
      <c r="AO213" s="107">
        <f t="shared" si="171"/>
        <v>2417207.8609999986</v>
      </c>
      <c r="AP213" s="107">
        <f t="shared" si="207"/>
        <v>54343.067239999968</v>
      </c>
      <c r="AQ213" s="126"/>
      <c r="AR213" s="107">
        <f t="shared" si="173"/>
        <v>105863.11800000002</v>
      </c>
      <c r="AS213" s="107">
        <f t="shared" si="208"/>
        <v>2408385.9344999986</v>
      </c>
      <c r="AT213" s="107">
        <f t="shared" si="209"/>
        <v>2399564.0079999985</v>
      </c>
      <c r="AU213" s="107">
        <f t="shared" si="210"/>
        <v>2390742.0814999985</v>
      </c>
      <c r="AV213" s="107">
        <f t="shared" si="211"/>
        <v>2381920.1549999984</v>
      </c>
      <c r="AW213" s="107">
        <f t="shared" si="212"/>
        <v>2373098.2284999983</v>
      </c>
      <c r="AX213" s="107">
        <f t="shared" si="213"/>
        <v>2364276.3019999983</v>
      </c>
      <c r="AY213" s="107">
        <f t="shared" si="214"/>
        <v>2355454.3754999982</v>
      </c>
      <c r="AZ213" s="107">
        <f t="shared" si="215"/>
        <v>2346632.4489999982</v>
      </c>
      <c r="BA213" s="107">
        <f t="shared" si="216"/>
        <v>2337810.5224999981</v>
      </c>
      <c r="BB213" s="107">
        <f t="shared" si="217"/>
        <v>2328988.595999998</v>
      </c>
      <c r="BC213" s="107">
        <f t="shared" si="218"/>
        <v>2320166.669499998</v>
      </c>
      <c r="BD213" s="107">
        <f t="shared" si="219"/>
        <v>2311344.7429999979</v>
      </c>
      <c r="BE213" s="107">
        <f t="shared" si="220"/>
        <v>52014.07864399995</v>
      </c>
      <c r="BF213" s="127"/>
      <c r="BG213" s="127"/>
      <c r="BH213" s="127"/>
      <c r="BI213" s="127"/>
      <c r="BJ213" s="127"/>
      <c r="BK213" s="127"/>
      <c r="BL213" s="127"/>
      <c r="BM213" s="127"/>
      <c r="BN213" s="127"/>
      <c r="BO213" s="127"/>
      <c r="BP213" s="127"/>
      <c r="BQ213" s="127"/>
      <c r="BR213" s="127"/>
      <c r="BS213" s="127"/>
      <c r="BT213" s="127"/>
      <c r="BU213" s="127"/>
      <c r="BV213" s="127"/>
      <c r="BW213" s="127"/>
    </row>
    <row r="214" spans="1:75" ht="22.5" hidden="1" x14ac:dyDescent="0.2">
      <c r="A214" s="123" t="str">
        <f>'[2]2021 УГРЦТ'!A216</f>
        <v>Кабельная линия в районе школы №2 (ТП - возд.ЛЭП)</v>
      </c>
      <c r="B214" s="124" t="str">
        <f>'[2]2021 УГРЦТ'!B216</f>
        <v>00001158</v>
      </c>
      <c r="C214" s="124" t="str">
        <f>VLOOKUP(A:A,'2023-2027'!A:L,1,+FALSE)</f>
        <v>Кабельная линия в районе школы №2 (ТП - возд.ЛЭП)</v>
      </c>
      <c r="D214" s="124" t="str">
        <f>'[2]2021 УГРЦТ'!C216</f>
        <v>ПЕРЕДАЧА</v>
      </c>
      <c r="E214" s="124" t="str">
        <f>'[2]2021 УГРЦТ'!D216</f>
        <v>Сооружения</v>
      </c>
      <c r="F214" s="124" t="str">
        <f>'[2]2021 УГРЦТ'!E216</f>
        <v>31.12.2009</v>
      </c>
      <c r="G214" s="124" t="str">
        <f>'[2]2021 УГРЦТ'!F216</f>
        <v>Цех электрических сетей</v>
      </c>
      <c r="H214" s="124">
        <f>'[2]2021 УГРЦТ'!AC216</f>
        <v>300</v>
      </c>
      <c r="I214" s="107">
        <f>'[2]2021 УГРЦТ'!X216</f>
        <v>367664.48</v>
      </c>
      <c r="J214" s="107">
        <f>'[2]2021 УГРЦТ'!Y216</f>
        <v>176479.17920000001</v>
      </c>
      <c r="K214" s="107">
        <f>'[2]2021 УГРЦТ'!Z216</f>
        <v>191185.30079999997</v>
      </c>
      <c r="L214" s="125" t="e">
        <f>SUMIF([2]облаг!$B$2:$B$259,B214,[2]облаг!$D$2:$D$259)</f>
        <v>#VALUE!</v>
      </c>
      <c r="M214" s="107">
        <f t="shared" si="202"/>
        <v>1225.5482666666667</v>
      </c>
      <c r="N214" s="107">
        <f t="shared" si="203"/>
        <v>14706.5792</v>
      </c>
      <c r="O214" s="107">
        <f t="shared" si="204"/>
        <v>189959.75253333329</v>
      </c>
      <c r="P214" s="107">
        <f t="shared" si="205"/>
        <v>188734.20426666661</v>
      </c>
      <c r="Q214" s="107">
        <f t="shared" si="149"/>
        <v>187508.65599999993</v>
      </c>
      <c r="R214" s="107">
        <f t="shared" si="150"/>
        <v>186283.10773333325</v>
      </c>
      <c r="S214" s="107">
        <f t="shared" si="151"/>
        <v>185057.55946666657</v>
      </c>
      <c r="T214" s="107">
        <f t="shared" si="152"/>
        <v>183832.01119999989</v>
      </c>
      <c r="U214" s="107">
        <f t="shared" si="153"/>
        <v>182606.46293333321</v>
      </c>
      <c r="V214" s="107">
        <f t="shared" si="154"/>
        <v>181380.91466666653</v>
      </c>
      <c r="W214" s="107">
        <f t="shared" si="155"/>
        <v>180155.36639999985</v>
      </c>
      <c r="X214" s="107">
        <f t="shared" si="156"/>
        <v>178929.81813333317</v>
      </c>
      <c r="Y214" s="107">
        <f t="shared" si="157"/>
        <v>177704.26986666649</v>
      </c>
      <c r="Z214" s="107">
        <f t="shared" si="158"/>
        <v>176478.72159999982</v>
      </c>
      <c r="AA214" s="107">
        <f t="shared" si="206"/>
        <v>4044.3042463999973</v>
      </c>
      <c r="AB214" s="107"/>
      <c r="AC214" s="107">
        <f t="shared" si="159"/>
        <v>14706.5792</v>
      </c>
      <c r="AD214" s="107">
        <f t="shared" si="160"/>
        <v>175253.17333333314</v>
      </c>
      <c r="AE214" s="107">
        <f t="shared" si="161"/>
        <v>174027.62506666646</v>
      </c>
      <c r="AF214" s="107">
        <f t="shared" si="162"/>
        <v>172802.07679999978</v>
      </c>
      <c r="AG214" s="107">
        <f t="shared" si="163"/>
        <v>171576.5285333331</v>
      </c>
      <c r="AH214" s="107">
        <f t="shared" si="164"/>
        <v>170350.98026666642</v>
      </c>
      <c r="AI214" s="107">
        <f t="shared" si="165"/>
        <v>169125.43199999974</v>
      </c>
      <c r="AJ214" s="107">
        <f t="shared" si="166"/>
        <v>167899.88373333306</v>
      </c>
      <c r="AK214" s="107">
        <f t="shared" si="167"/>
        <v>166674.33546666638</v>
      </c>
      <c r="AL214" s="107">
        <f t="shared" si="168"/>
        <v>165448.7871999997</v>
      </c>
      <c r="AM214" s="107">
        <f t="shared" si="169"/>
        <v>164223.23893333302</v>
      </c>
      <c r="AN214" s="107">
        <f t="shared" si="170"/>
        <v>162997.69066666634</v>
      </c>
      <c r="AO214" s="107">
        <f t="shared" si="171"/>
        <v>161772.14239999966</v>
      </c>
      <c r="AP214" s="107">
        <f t="shared" si="207"/>
        <v>3720.7595039999942</v>
      </c>
      <c r="AQ214" s="126"/>
      <c r="AR214" s="107">
        <f t="shared" si="173"/>
        <v>14706.5792</v>
      </c>
      <c r="AS214" s="107">
        <f t="shared" si="208"/>
        <v>160546.59413333298</v>
      </c>
      <c r="AT214" s="107">
        <f t="shared" si="209"/>
        <v>159321.0458666663</v>
      </c>
      <c r="AU214" s="107">
        <f t="shared" si="210"/>
        <v>158095.49759999962</v>
      </c>
      <c r="AV214" s="107">
        <f t="shared" si="211"/>
        <v>156869.94933333294</v>
      </c>
      <c r="AW214" s="107">
        <f t="shared" si="212"/>
        <v>155644.40106666627</v>
      </c>
      <c r="AX214" s="107">
        <f t="shared" si="213"/>
        <v>154418.85279999959</v>
      </c>
      <c r="AY214" s="107">
        <f t="shared" si="214"/>
        <v>153193.30453333291</v>
      </c>
      <c r="AZ214" s="107">
        <f t="shared" si="215"/>
        <v>151967.75626666623</v>
      </c>
      <c r="BA214" s="107">
        <f t="shared" si="216"/>
        <v>150742.20799999955</v>
      </c>
      <c r="BB214" s="107">
        <f t="shared" si="217"/>
        <v>149516.65973333287</v>
      </c>
      <c r="BC214" s="107">
        <f t="shared" si="218"/>
        <v>148291.11146666619</v>
      </c>
      <c r="BD214" s="107">
        <f t="shared" si="219"/>
        <v>147065.56319999951</v>
      </c>
      <c r="BE214" s="107">
        <f t="shared" si="220"/>
        <v>3397.2147615999907</v>
      </c>
      <c r="BF214" s="127"/>
      <c r="BG214" s="127"/>
      <c r="BH214" s="127"/>
      <c r="BI214" s="127"/>
      <c r="BJ214" s="127"/>
      <c r="BK214" s="127"/>
      <c r="BL214" s="127"/>
      <c r="BM214" s="127"/>
      <c r="BN214" s="127"/>
      <c r="BO214" s="127"/>
      <c r="BP214" s="127"/>
      <c r="BQ214" s="127"/>
      <c r="BR214" s="127"/>
      <c r="BS214" s="127"/>
      <c r="BT214" s="127"/>
      <c r="BU214" s="127"/>
      <c r="BV214" s="127"/>
      <c r="BW214" s="127"/>
    </row>
    <row r="215" spans="1:75" ht="22.5" hidden="1" x14ac:dyDescent="0.2">
      <c r="A215" s="123" t="str">
        <f>'[2]2021 УГРЦТ'!A217</f>
        <v>Кабельная линия в районе школы №2 (ТП - школа)</v>
      </c>
      <c r="B215" s="124" t="str">
        <f>'[2]2021 УГРЦТ'!B217</f>
        <v>00001156</v>
      </c>
      <c r="C215" s="124" t="str">
        <f>VLOOKUP(A:A,'2023-2027'!A:L,1,+FALSE)</f>
        <v>Кабельная линия в районе школы №2 (ТП - школа)</v>
      </c>
      <c r="D215" s="124" t="str">
        <f>'[2]2021 УГРЦТ'!C217</f>
        <v>ПЕРЕДАЧА</v>
      </c>
      <c r="E215" s="124" t="str">
        <f>'[2]2021 УГРЦТ'!D217</f>
        <v>Сооружения</v>
      </c>
      <c r="F215" s="124" t="str">
        <f>'[2]2021 УГРЦТ'!E217</f>
        <v>31.12.2009</v>
      </c>
      <c r="G215" s="124" t="str">
        <f>'[2]2021 УГРЦТ'!F217</f>
        <v>Цех электрических сетей</v>
      </c>
      <c r="H215" s="124">
        <f>'[2]2021 УГРЦТ'!AC217</f>
        <v>300</v>
      </c>
      <c r="I215" s="107">
        <f>'[2]2021 УГРЦТ'!X217</f>
        <v>367664.48</v>
      </c>
      <c r="J215" s="107">
        <f>'[2]2021 УГРЦТ'!Y217</f>
        <v>176479.17920000001</v>
      </c>
      <c r="K215" s="107">
        <f>'[2]2021 УГРЦТ'!Z217</f>
        <v>191185.30079999997</v>
      </c>
      <c r="L215" s="125" t="e">
        <f>SUMIF([2]облаг!$B$2:$B$259,B215,[2]облаг!$D$2:$D$259)</f>
        <v>#VALUE!</v>
      </c>
      <c r="M215" s="107">
        <f t="shared" si="202"/>
        <v>1225.5482666666667</v>
      </c>
      <c r="N215" s="107">
        <f t="shared" si="203"/>
        <v>14706.5792</v>
      </c>
      <c r="O215" s="107">
        <f t="shared" si="204"/>
        <v>189959.75253333329</v>
      </c>
      <c r="P215" s="107">
        <f t="shared" si="205"/>
        <v>188734.20426666661</v>
      </c>
      <c r="Q215" s="107">
        <f t="shared" si="149"/>
        <v>187508.65599999993</v>
      </c>
      <c r="R215" s="107">
        <f t="shared" si="150"/>
        <v>186283.10773333325</v>
      </c>
      <c r="S215" s="107">
        <f t="shared" si="151"/>
        <v>185057.55946666657</v>
      </c>
      <c r="T215" s="107">
        <f t="shared" si="152"/>
        <v>183832.01119999989</v>
      </c>
      <c r="U215" s="107">
        <f t="shared" si="153"/>
        <v>182606.46293333321</v>
      </c>
      <c r="V215" s="107">
        <f t="shared" si="154"/>
        <v>181380.91466666653</v>
      </c>
      <c r="W215" s="107">
        <f t="shared" si="155"/>
        <v>180155.36639999985</v>
      </c>
      <c r="X215" s="107">
        <f t="shared" si="156"/>
        <v>178929.81813333317</v>
      </c>
      <c r="Y215" s="107">
        <f t="shared" si="157"/>
        <v>177704.26986666649</v>
      </c>
      <c r="Z215" s="107">
        <f t="shared" si="158"/>
        <v>176478.72159999982</v>
      </c>
      <c r="AA215" s="107">
        <f t="shared" si="206"/>
        <v>4044.3042463999973</v>
      </c>
      <c r="AB215" s="107"/>
      <c r="AC215" s="107">
        <f t="shared" si="159"/>
        <v>14706.5792</v>
      </c>
      <c r="AD215" s="107">
        <f t="shared" si="160"/>
        <v>175253.17333333314</v>
      </c>
      <c r="AE215" s="107">
        <f t="shared" si="161"/>
        <v>174027.62506666646</v>
      </c>
      <c r="AF215" s="107">
        <f t="shared" si="162"/>
        <v>172802.07679999978</v>
      </c>
      <c r="AG215" s="107">
        <f t="shared" si="163"/>
        <v>171576.5285333331</v>
      </c>
      <c r="AH215" s="107">
        <f t="shared" si="164"/>
        <v>170350.98026666642</v>
      </c>
      <c r="AI215" s="107">
        <f t="shared" si="165"/>
        <v>169125.43199999974</v>
      </c>
      <c r="AJ215" s="107">
        <f t="shared" si="166"/>
        <v>167899.88373333306</v>
      </c>
      <c r="AK215" s="107">
        <f t="shared" si="167"/>
        <v>166674.33546666638</v>
      </c>
      <c r="AL215" s="107">
        <f t="shared" si="168"/>
        <v>165448.7871999997</v>
      </c>
      <c r="AM215" s="107">
        <f t="shared" si="169"/>
        <v>164223.23893333302</v>
      </c>
      <c r="AN215" s="107">
        <f t="shared" si="170"/>
        <v>162997.69066666634</v>
      </c>
      <c r="AO215" s="107">
        <f t="shared" si="171"/>
        <v>161772.14239999966</v>
      </c>
      <c r="AP215" s="107">
        <f t="shared" si="207"/>
        <v>3720.7595039999942</v>
      </c>
      <c r="AQ215" s="126"/>
      <c r="AR215" s="107">
        <f t="shared" si="173"/>
        <v>14706.5792</v>
      </c>
      <c r="AS215" s="107">
        <f t="shared" si="208"/>
        <v>160546.59413333298</v>
      </c>
      <c r="AT215" s="107">
        <f t="shared" si="209"/>
        <v>159321.0458666663</v>
      </c>
      <c r="AU215" s="107">
        <f t="shared" si="210"/>
        <v>158095.49759999962</v>
      </c>
      <c r="AV215" s="107">
        <f t="shared" si="211"/>
        <v>156869.94933333294</v>
      </c>
      <c r="AW215" s="107">
        <f t="shared" si="212"/>
        <v>155644.40106666627</v>
      </c>
      <c r="AX215" s="107">
        <f t="shared" si="213"/>
        <v>154418.85279999959</v>
      </c>
      <c r="AY215" s="107">
        <f t="shared" si="214"/>
        <v>153193.30453333291</v>
      </c>
      <c r="AZ215" s="107">
        <f t="shared" si="215"/>
        <v>151967.75626666623</v>
      </c>
      <c r="BA215" s="107">
        <f t="shared" si="216"/>
        <v>150742.20799999955</v>
      </c>
      <c r="BB215" s="107">
        <f t="shared" si="217"/>
        <v>149516.65973333287</v>
      </c>
      <c r="BC215" s="107">
        <f t="shared" si="218"/>
        <v>148291.11146666619</v>
      </c>
      <c r="BD215" s="107">
        <f t="shared" si="219"/>
        <v>147065.56319999951</v>
      </c>
      <c r="BE215" s="107">
        <f t="shared" si="220"/>
        <v>3397.2147615999907</v>
      </c>
      <c r="BF215" s="127"/>
      <c r="BG215" s="127"/>
      <c r="BH215" s="127"/>
      <c r="BI215" s="127"/>
      <c r="BJ215" s="127"/>
      <c r="BK215" s="127"/>
      <c r="BL215" s="127"/>
      <c r="BM215" s="127"/>
      <c r="BN215" s="127"/>
      <c r="BO215" s="127"/>
      <c r="BP215" s="127"/>
      <c r="BQ215" s="127"/>
      <c r="BR215" s="127"/>
      <c r="BS215" s="127"/>
      <c r="BT215" s="127"/>
      <c r="BU215" s="127"/>
      <c r="BV215" s="127"/>
      <c r="BW215" s="127"/>
    </row>
    <row r="216" spans="1:75" ht="22.5" hidden="1" x14ac:dyDescent="0.2">
      <c r="A216" s="123" t="str">
        <f>'[2]2021 УГРЦТ'!A218</f>
        <v>Кабельная линия эл.передач 6кВ 10760 м</v>
      </c>
      <c r="B216" s="140" t="str">
        <f>'[2]2021 УГРЦТ'!B218</f>
        <v>000001843</v>
      </c>
      <c r="C216" s="124" t="str">
        <f>VLOOKUP(A:A,'2023-2027'!A:L,1,+FALSE)</f>
        <v>Кабельная линия эл.передач 6кВ 10760 м</v>
      </c>
      <c r="D216" s="124" t="str">
        <f>'[2]2021 УГРЦТ'!C218</f>
        <v>ПЕРЕДАЧА</v>
      </c>
      <c r="E216" s="124" t="str">
        <f>'[2]2021 УГРЦТ'!D218</f>
        <v>Сооружения</v>
      </c>
      <c r="F216" s="124" t="str">
        <f>'[2]2021 УГРЦТ'!E218</f>
        <v>14.04.2021</v>
      </c>
      <c r="G216" s="124" t="str">
        <f>'[2]2021 УГРЦТ'!F218</f>
        <v>Цех электрических сетей</v>
      </c>
      <c r="H216" s="124">
        <f>'[2]2021 УГРЦТ'!AC218</f>
        <v>180</v>
      </c>
      <c r="I216" s="107">
        <f>'[2]2021 УГРЦТ'!X218</f>
        <v>13999773.300000001</v>
      </c>
      <c r="J216" s="107">
        <f>'[2]2021 УГРЦТ'!Y218</f>
        <v>622212.14666666661</v>
      </c>
      <c r="K216" s="107">
        <f>'[2]2021 УГРЦТ'!Z218</f>
        <v>13377561.153333334</v>
      </c>
      <c r="L216" s="125" t="e">
        <f>SUMIF([2]облаг!$B$2:$B$259,B216,[2]облаг!$D$2:$D$259)</f>
        <v>#VALUE!</v>
      </c>
      <c r="M216" s="107">
        <f t="shared" si="202"/>
        <v>77776.518333333341</v>
      </c>
      <c r="N216" s="107">
        <f t="shared" si="203"/>
        <v>933318.22000000009</v>
      </c>
      <c r="O216" s="107">
        <f t="shared" si="204"/>
        <v>13299784.635000002</v>
      </c>
      <c r="P216" s="107">
        <f t="shared" si="205"/>
        <v>13222008.116666669</v>
      </c>
      <c r="Q216" s="107">
        <f t="shared" si="149"/>
        <v>13144231.598333336</v>
      </c>
      <c r="R216" s="107">
        <f t="shared" si="150"/>
        <v>13066455.080000004</v>
      </c>
      <c r="S216" s="107">
        <f t="shared" si="151"/>
        <v>12988678.561666671</v>
      </c>
      <c r="T216" s="107">
        <f t="shared" si="152"/>
        <v>12910902.043333339</v>
      </c>
      <c r="U216" s="107">
        <f t="shared" si="153"/>
        <v>12833125.525000006</v>
      </c>
      <c r="V216" s="107">
        <f t="shared" si="154"/>
        <v>12755349.006666673</v>
      </c>
      <c r="W216" s="107">
        <f t="shared" si="155"/>
        <v>12677572.488333341</v>
      </c>
      <c r="X216" s="107">
        <f t="shared" si="156"/>
        <v>12599795.970000008</v>
      </c>
      <c r="Y216" s="107">
        <f t="shared" si="157"/>
        <v>12522019.451666676</v>
      </c>
      <c r="Z216" s="107">
        <f t="shared" si="158"/>
        <v>12444242.933333343</v>
      </c>
      <c r="AA216" s="107">
        <f t="shared" si="206"/>
        <v>284039.84495333349</v>
      </c>
      <c r="AB216" s="107"/>
      <c r="AC216" s="107">
        <f t="shared" si="159"/>
        <v>933318.22000000009</v>
      </c>
      <c r="AD216" s="107">
        <f t="shared" si="160"/>
        <v>12366466.41500001</v>
      </c>
      <c r="AE216" s="107">
        <f t="shared" si="161"/>
        <v>12288689.896666678</v>
      </c>
      <c r="AF216" s="107">
        <f t="shared" si="162"/>
        <v>12210913.378333345</v>
      </c>
      <c r="AG216" s="107">
        <f t="shared" si="163"/>
        <v>12133136.860000012</v>
      </c>
      <c r="AH216" s="107">
        <f t="shared" si="164"/>
        <v>12055360.34166668</v>
      </c>
      <c r="AI216" s="107">
        <f t="shared" si="165"/>
        <v>11977583.823333347</v>
      </c>
      <c r="AJ216" s="107">
        <f t="shared" si="166"/>
        <v>11899807.305000015</v>
      </c>
      <c r="AK216" s="107">
        <f t="shared" si="167"/>
        <v>11822030.786666682</v>
      </c>
      <c r="AL216" s="107">
        <f t="shared" si="168"/>
        <v>11744254.268333349</v>
      </c>
      <c r="AM216" s="107">
        <f t="shared" si="169"/>
        <v>11666477.750000017</v>
      </c>
      <c r="AN216" s="107">
        <f t="shared" si="170"/>
        <v>11588701.231666684</v>
      </c>
      <c r="AO216" s="107">
        <f t="shared" si="171"/>
        <v>11510924.713333352</v>
      </c>
      <c r="AP216" s="107">
        <f t="shared" si="207"/>
        <v>263506.84411333356</v>
      </c>
      <c r="AQ216" s="126"/>
      <c r="AR216" s="107">
        <f t="shared" si="173"/>
        <v>933318.22000000009</v>
      </c>
      <c r="AS216" s="107">
        <f t="shared" si="208"/>
        <v>11433148.195000019</v>
      </c>
      <c r="AT216" s="107">
        <f t="shared" si="209"/>
        <v>11355371.676666686</v>
      </c>
      <c r="AU216" s="107">
        <f t="shared" si="210"/>
        <v>11277595.158333354</v>
      </c>
      <c r="AV216" s="107">
        <f t="shared" si="211"/>
        <v>11199818.640000021</v>
      </c>
      <c r="AW216" s="107">
        <f t="shared" si="212"/>
        <v>11122042.121666688</v>
      </c>
      <c r="AX216" s="107">
        <f t="shared" si="213"/>
        <v>11044265.603333356</v>
      </c>
      <c r="AY216" s="107">
        <f t="shared" si="214"/>
        <v>10966489.085000023</v>
      </c>
      <c r="AZ216" s="107">
        <f t="shared" si="215"/>
        <v>10888712.566666691</v>
      </c>
      <c r="BA216" s="107">
        <f t="shared" si="216"/>
        <v>10810936.048333358</v>
      </c>
      <c r="BB216" s="107">
        <f t="shared" si="217"/>
        <v>10733159.530000025</v>
      </c>
      <c r="BC216" s="107">
        <f t="shared" si="218"/>
        <v>10655383.011666693</v>
      </c>
      <c r="BD216" s="107">
        <f t="shared" si="219"/>
        <v>10577606.49333336</v>
      </c>
      <c r="BE216" s="107">
        <f t="shared" si="220"/>
        <v>242973.84327333383</v>
      </c>
      <c r="BF216" s="127"/>
      <c r="BG216" s="127"/>
      <c r="BH216" s="127"/>
      <c r="BI216" s="127"/>
      <c r="BJ216" s="127"/>
      <c r="BK216" s="127"/>
      <c r="BL216" s="127"/>
      <c r="BM216" s="127"/>
      <c r="BN216" s="127"/>
      <c r="BO216" s="127"/>
      <c r="BP216" s="127"/>
      <c r="BQ216" s="127"/>
      <c r="BR216" s="127"/>
      <c r="BS216" s="127"/>
      <c r="BT216" s="127"/>
      <c r="BU216" s="127"/>
      <c r="BV216" s="127"/>
      <c r="BW216" s="127"/>
    </row>
    <row r="217" spans="1:75" ht="22.5" hidden="1" x14ac:dyDescent="0.2">
      <c r="A217" s="123" t="str">
        <f>'[2]2021 УГРЦТ'!A219</f>
        <v>Кабельная ЛЭП-6кВ РУ-6кВ ДЭС-ТП№24 фидера Город-1</v>
      </c>
      <c r="B217" s="124" t="str">
        <f>'[2]2021 УГРЦТ'!B219</f>
        <v>00001049</v>
      </c>
      <c r="C217" s="124" t="str">
        <f>VLOOKUP(A:A,'2023-2027'!A:L,1,+FALSE)</f>
        <v>Кабельная ЛЭП-6кВ РУ-6кВ ДЭС-ТП№24 фидера Город-1</v>
      </c>
      <c r="D217" s="124" t="str">
        <f>'[2]2021 УГРЦТ'!C219</f>
        <v>ПЕРЕДАЧА</v>
      </c>
      <c r="E217" s="124" t="str">
        <f>'[2]2021 УГРЦТ'!D219</f>
        <v>Сооружения</v>
      </c>
      <c r="F217" s="124" t="str">
        <f>'[2]2021 УГРЦТ'!E219</f>
        <v>30.09.2007</v>
      </c>
      <c r="G217" s="124" t="str">
        <f>'[2]2021 УГРЦТ'!F219</f>
        <v>Цех электрических сетей</v>
      </c>
      <c r="H217" s="124">
        <f>'[2]2021 УГРЦТ'!AC219</f>
        <v>300</v>
      </c>
      <c r="I217" s="107">
        <f>'[2]2021 УГРЦТ'!X219</f>
        <v>654039.01</v>
      </c>
      <c r="J217" s="107">
        <f>'[2]2021 УГРЦТ'!Y219</f>
        <v>372802.2304</v>
      </c>
      <c r="K217" s="107">
        <f>'[2]2021 УГРЦТ'!Z219</f>
        <v>281236.77960000001</v>
      </c>
      <c r="L217" s="125" t="e">
        <f>SUMIF([2]облаг!$B$2:$B$259,B217,[2]облаг!$D$2:$D$259)</f>
        <v>#VALUE!</v>
      </c>
      <c r="M217" s="107">
        <f t="shared" si="202"/>
        <v>2180.1300333333334</v>
      </c>
      <c r="N217" s="107">
        <f t="shared" si="203"/>
        <v>26161.560400000002</v>
      </c>
      <c r="O217" s="107">
        <f t="shared" si="204"/>
        <v>279056.64956666669</v>
      </c>
      <c r="P217" s="107">
        <f t="shared" si="205"/>
        <v>276876.51953333337</v>
      </c>
      <c r="Q217" s="107">
        <f t="shared" si="149"/>
        <v>274696.38950000005</v>
      </c>
      <c r="R217" s="107">
        <f t="shared" si="150"/>
        <v>272516.25946666673</v>
      </c>
      <c r="S217" s="107">
        <f t="shared" si="151"/>
        <v>270336.12943333341</v>
      </c>
      <c r="T217" s="107">
        <f t="shared" si="152"/>
        <v>268155.99940000009</v>
      </c>
      <c r="U217" s="107">
        <f t="shared" si="153"/>
        <v>265975.86936666677</v>
      </c>
      <c r="V217" s="107">
        <f t="shared" si="154"/>
        <v>263795.73933333345</v>
      </c>
      <c r="W217" s="107">
        <f t="shared" si="155"/>
        <v>261615.60930000013</v>
      </c>
      <c r="X217" s="107">
        <f t="shared" si="156"/>
        <v>259435.47926666681</v>
      </c>
      <c r="Y217" s="107">
        <f t="shared" si="157"/>
        <v>257255.34923333349</v>
      </c>
      <c r="Z217" s="107">
        <f t="shared" si="158"/>
        <v>255075.21920000017</v>
      </c>
      <c r="AA217" s="107">
        <f t="shared" si="206"/>
        <v>5899.4319868000011</v>
      </c>
      <c r="AB217" s="107"/>
      <c r="AC217" s="107">
        <f t="shared" si="159"/>
        <v>26161.560400000002</v>
      </c>
      <c r="AD217" s="107">
        <f t="shared" si="160"/>
        <v>252895.08916666685</v>
      </c>
      <c r="AE217" s="107">
        <f t="shared" si="161"/>
        <v>250714.95913333353</v>
      </c>
      <c r="AF217" s="107">
        <f t="shared" si="162"/>
        <v>248534.82910000021</v>
      </c>
      <c r="AG217" s="107">
        <f t="shared" si="163"/>
        <v>246354.69906666689</v>
      </c>
      <c r="AH217" s="107">
        <f t="shared" si="164"/>
        <v>244174.56903333357</v>
      </c>
      <c r="AI217" s="107">
        <f t="shared" si="165"/>
        <v>241994.43900000025</v>
      </c>
      <c r="AJ217" s="107">
        <f t="shared" si="166"/>
        <v>239814.30896666693</v>
      </c>
      <c r="AK217" s="107">
        <f t="shared" si="167"/>
        <v>237634.17893333361</v>
      </c>
      <c r="AL217" s="107">
        <f t="shared" si="168"/>
        <v>235454.04890000029</v>
      </c>
      <c r="AM217" s="107">
        <f t="shared" si="169"/>
        <v>233273.91886666697</v>
      </c>
      <c r="AN217" s="107">
        <f t="shared" si="170"/>
        <v>231093.78883333365</v>
      </c>
      <c r="AO217" s="107">
        <f t="shared" si="171"/>
        <v>228913.65880000032</v>
      </c>
      <c r="AP217" s="107">
        <f t="shared" si="207"/>
        <v>5323.8776580000049</v>
      </c>
      <c r="AQ217" s="126"/>
      <c r="AR217" s="107">
        <f t="shared" si="173"/>
        <v>26161.560400000002</v>
      </c>
      <c r="AS217" s="107">
        <f t="shared" si="208"/>
        <v>226733.528766667</v>
      </c>
      <c r="AT217" s="107">
        <f t="shared" si="209"/>
        <v>224553.39873333368</v>
      </c>
      <c r="AU217" s="107">
        <f t="shared" si="210"/>
        <v>222373.26870000036</v>
      </c>
      <c r="AV217" s="107">
        <f t="shared" si="211"/>
        <v>220193.13866666704</v>
      </c>
      <c r="AW217" s="107">
        <f t="shared" si="212"/>
        <v>218013.00863333372</v>
      </c>
      <c r="AX217" s="107">
        <f t="shared" si="213"/>
        <v>215832.8786000004</v>
      </c>
      <c r="AY217" s="107">
        <f t="shared" si="214"/>
        <v>213652.74856666708</v>
      </c>
      <c r="AZ217" s="107">
        <f t="shared" si="215"/>
        <v>211472.61853333376</v>
      </c>
      <c r="BA217" s="107">
        <f t="shared" si="216"/>
        <v>209292.48850000044</v>
      </c>
      <c r="BB217" s="107">
        <f t="shared" si="217"/>
        <v>207112.35846666712</v>
      </c>
      <c r="BC217" s="107">
        <f t="shared" si="218"/>
        <v>204932.2284333338</v>
      </c>
      <c r="BD217" s="107">
        <f t="shared" si="219"/>
        <v>202752.09840000048</v>
      </c>
      <c r="BE217" s="107">
        <f t="shared" si="220"/>
        <v>4748.3233292000086</v>
      </c>
      <c r="BF217" s="127"/>
      <c r="BG217" s="127"/>
      <c r="BH217" s="127"/>
      <c r="BI217" s="127"/>
      <c r="BJ217" s="127"/>
      <c r="BK217" s="127"/>
      <c r="BL217" s="127"/>
      <c r="BM217" s="127"/>
      <c r="BN217" s="127"/>
      <c r="BO217" s="127"/>
      <c r="BP217" s="127"/>
      <c r="BQ217" s="127"/>
      <c r="BR217" s="127"/>
      <c r="BS217" s="127"/>
      <c r="BT217" s="127"/>
      <c r="BU217" s="127"/>
      <c r="BV217" s="127"/>
      <c r="BW217" s="127"/>
    </row>
    <row r="218" spans="1:75" ht="22.5" hidden="1" x14ac:dyDescent="0.2">
      <c r="A218" s="123" t="str">
        <f>'[2]2021 УГРЦТ'!A220</f>
        <v>Кабельная ЛЭП-6кВ РУ-6кВ ДЭС-ТП№3 фидера Город-2</v>
      </c>
      <c r="B218" s="124" t="str">
        <f>'[2]2021 УГРЦТ'!B220</f>
        <v>00001050</v>
      </c>
      <c r="C218" s="124" t="str">
        <f>VLOOKUP(A:A,'2023-2027'!A:L,1,+FALSE)</f>
        <v>Кабельная ЛЭП-6кВ РУ-6кВ ДЭС-ТП№3 фидера Город-2</v>
      </c>
      <c r="D218" s="124" t="str">
        <f>'[2]2021 УГРЦТ'!C220</f>
        <v>ПЕРЕДАЧА</v>
      </c>
      <c r="E218" s="124" t="str">
        <f>'[2]2021 УГРЦТ'!D220</f>
        <v>Сооружения</v>
      </c>
      <c r="F218" s="124" t="str">
        <f>'[2]2021 УГРЦТ'!E220</f>
        <v>30.09.2007</v>
      </c>
      <c r="G218" s="124" t="str">
        <f>'[2]2021 УГРЦТ'!F220</f>
        <v>Цех электрических сетей</v>
      </c>
      <c r="H218" s="124">
        <f>'[2]2021 УГРЦТ'!AC220</f>
        <v>300</v>
      </c>
      <c r="I218" s="107">
        <f>'[2]2021 УГРЦТ'!X220</f>
        <v>1466828.36</v>
      </c>
      <c r="J218" s="107">
        <f>'[2]2021 УГРЦТ'!Y220</f>
        <v>836092.50439999998</v>
      </c>
      <c r="K218" s="107">
        <f>'[2]2021 УГРЦТ'!Z220</f>
        <v>630735.85560000013</v>
      </c>
      <c r="L218" s="125" t="e">
        <f>SUMIF([2]облаг!$B$2:$B$259,B218,[2]облаг!$D$2:$D$259)</f>
        <v>#VALUE!</v>
      </c>
      <c r="M218" s="107">
        <f t="shared" si="202"/>
        <v>4889.4278666666669</v>
      </c>
      <c r="N218" s="107">
        <f t="shared" si="203"/>
        <v>58673.134400000003</v>
      </c>
      <c r="O218" s="107">
        <f t="shared" si="204"/>
        <v>625846.42773333343</v>
      </c>
      <c r="P218" s="107">
        <f t="shared" si="205"/>
        <v>620956.99986666674</v>
      </c>
      <c r="Q218" s="107">
        <f t="shared" si="149"/>
        <v>616067.57200000004</v>
      </c>
      <c r="R218" s="107">
        <f t="shared" si="150"/>
        <v>611178.14413333335</v>
      </c>
      <c r="S218" s="107">
        <f t="shared" si="151"/>
        <v>606288.71626666666</v>
      </c>
      <c r="T218" s="107">
        <f t="shared" si="152"/>
        <v>601399.28839999996</v>
      </c>
      <c r="U218" s="107">
        <f t="shared" si="153"/>
        <v>596509.86053333327</v>
      </c>
      <c r="V218" s="107">
        <f t="shared" si="154"/>
        <v>591620.43266666657</v>
      </c>
      <c r="W218" s="107">
        <f t="shared" si="155"/>
        <v>586731.00479999988</v>
      </c>
      <c r="X218" s="107">
        <f t="shared" si="156"/>
        <v>581841.57693333318</v>
      </c>
      <c r="Y218" s="107">
        <f t="shared" si="157"/>
        <v>576952.14906666649</v>
      </c>
      <c r="Z218" s="107">
        <f t="shared" si="158"/>
        <v>572062.7211999998</v>
      </c>
      <c r="AA218" s="107">
        <f t="shared" si="206"/>
        <v>13230.784344799999</v>
      </c>
      <c r="AB218" s="107"/>
      <c r="AC218" s="107">
        <f t="shared" si="159"/>
        <v>58673.134400000003</v>
      </c>
      <c r="AD218" s="107">
        <f t="shared" si="160"/>
        <v>567173.2933333331</v>
      </c>
      <c r="AE218" s="107">
        <f t="shared" si="161"/>
        <v>562283.86546666641</v>
      </c>
      <c r="AF218" s="107">
        <f t="shared" si="162"/>
        <v>557394.43759999971</v>
      </c>
      <c r="AG218" s="107">
        <f t="shared" si="163"/>
        <v>552505.00973333302</v>
      </c>
      <c r="AH218" s="107">
        <f t="shared" si="164"/>
        <v>547615.58186666633</v>
      </c>
      <c r="AI218" s="107">
        <f t="shared" si="165"/>
        <v>542726.15399999963</v>
      </c>
      <c r="AJ218" s="107">
        <f t="shared" si="166"/>
        <v>537836.72613333294</v>
      </c>
      <c r="AK218" s="107">
        <f t="shared" si="167"/>
        <v>532947.29826666624</v>
      </c>
      <c r="AL218" s="107">
        <f t="shared" si="168"/>
        <v>528057.87039999955</v>
      </c>
      <c r="AM218" s="107">
        <f t="shared" si="169"/>
        <v>523168.44253333285</v>
      </c>
      <c r="AN218" s="107">
        <f t="shared" si="170"/>
        <v>518279.01466666616</v>
      </c>
      <c r="AO218" s="107">
        <f t="shared" si="171"/>
        <v>513389.58679999947</v>
      </c>
      <c r="AP218" s="107">
        <f t="shared" si="207"/>
        <v>11939.975387999992</v>
      </c>
      <c r="AQ218" s="126"/>
      <c r="AR218" s="107">
        <f t="shared" si="173"/>
        <v>58673.134400000003</v>
      </c>
      <c r="AS218" s="107">
        <f t="shared" si="208"/>
        <v>508500.15893333277</v>
      </c>
      <c r="AT218" s="107">
        <f t="shared" si="209"/>
        <v>503610.73106666608</v>
      </c>
      <c r="AU218" s="107">
        <f t="shared" si="210"/>
        <v>498721.30319999938</v>
      </c>
      <c r="AV218" s="107">
        <f t="shared" si="211"/>
        <v>493831.87533333269</v>
      </c>
      <c r="AW218" s="107">
        <f t="shared" si="212"/>
        <v>488942.447466666</v>
      </c>
      <c r="AX218" s="107">
        <f t="shared" si="213"/>
        <v>484053.0195999993</v>
      </c>
      <c r="AY218" s="107">
        <f t="shared" si="214"/>
        <v>479163.59173333261</v>
      </c>
      <c r="AZ218" s="107">
        <f t="shared" si="215"/>
        <v>474274.16386666591</v>
      </c>
      <c r="BA218" s="107">
        <f t="shared" si="216"/>
        <v>469384.73599999922</v>
      </c>
      <c r="BB218" s="107">
        <f t="shared" si="217"/>
        <v>464495.30813333252</v>
      </c>
      <c r="BC218" s="107">
        <f t="shared" si="218"/>
        <v>459605.88026666583</v>
      </c>
      <c r="BD218" s="107">
        <f t="shared" si="219"/>
        <v>454716.45239999914</v>
      </c>
      <c r="BE218" s="107">
        <f t="shared" si="220"/>
        <v>10649.166431199985</v>
      </c>
      <c r="BF218" s="127"/>
      <c r="BG218" s="127"/>
      <c r="BH218" s="127"/>
      <c r="BI218" s="127"/>
      <c r="BJ218" s="127"/>
      <c r="BK218" s="127"/>
      <c r="BL218" s="127"/>
      <c r="BM218" s="127"/>
      <c r="BN218" s="127"/>
      <c r="BO218" s="127"/>
      <c r="BP218" s="127"/>
      <c r="BQ218" s="127"/>
      <c r="BR218" s="127"/>
      <c r="BS218" s="127"/>
      <c r="BT218" s="127"/>
      <c r="BU218" s="127"/>
      <c r="BV218" s="127"/>
      <c r="BW218" s="127"/>
    </row>
    <row r="219" spans="1:75" ht="33.75" hidden="1" x14ac:dyDescent="0.2">
      <c r="A219" s="123" t="str">
        <f>'[2]2021 УГРЦТ'!A221</f>
        <v>Кабельные линии 6 кВ в составе объекта "ТП-63/1 "Озерная 16" в районе ул. Озерная д.7а"</v>
      </c>
      <c r="B219" s="124" t="str">
        <f>'[2]2021 УГРЦТ'!B221</f>
        <v>000001838</v>
      </c>
      <c r="C219" s="124" t="str">
        <f>VLOOKUP(A:A,'2023-2027'!A:L,1,+FALSE)</f>
        <v>Кабельные линии 6 кВ в составе объекта "ТП-63/1 "Озерная 16" в районе ул. Озерная д.7а"</v>
      </c>
      <c r="D219" s="124" t="str">
        <f>'[2]2021 УГРЦТ'!C221</f>
        <v>ПЕРЕДАЧА</v>
      </c>
      <c r="E219" s="124" t="str">
        <f>'[2]2021 УГРЦТ'!D221</f>
        <v>Сооружения</v>
      </c>
      <c r="F219" s="124" t="str">
        <f>'[2]2021 УГРЦТ'!E221</f>
        <v>30.12.2020</v>
      </c>
      <c r="G219" s="124" t="str">
        <f>'[2]2021 УГРЦТ'!F221</f>
        <v>Цех электрических сетей</v>
      </c>
      <c r="H219" s="124">
        <f>'[2]2021 УГРЦТ'!AC221</f>
        <v>300</v>
      </c>
      <c r="I219" s="107">
        <f>'[2]2021 УГРЦТ'!X221</f>
        <v>11990246.640000001</v>
      </c>
      <c r="J219" s="107">
        <f>'[2]2021 УГРЦТ'!Y221</f>
        <v>479609.86559999996</v>
      </c>
      <c r="K219" s="107">
        <f>'[2]2021 УГРЦТ'!Z221</f>
        <v>11510636.774400001</v>
      </c>
      <c r="L219" s="125" t="e">
        <f>SUMIF([2]облаг!$B$2:$B$259,B219,[2]облаг!$D$2:$D$259)</f>
        <v>#VALUE!</v>
      </c>
      <c r="M219" s="107">
        <f t="shared" si="202"/>
        <v>39967.488799999999</v>
      </c>
      <c r="N219" s="107">
        <f t="shared" si="203"/>
        <v>479609.86560000002</v>
      </c>
      <c r="O219" s="107">
        <f t="shared" si="204"/>
        <v>11470669.285600001</v>
      </c>
      <c r="P219" s="107">
        <f t="shared" si="205"/>
        <v>11430701.796800001</v>
      </c>
      <c r="Q219" s="107">
        <f t="shared" si="149"/>
        <v>11390734.308</v>
      </c>
      <c r="R219" s="107">
        <f t="shared" si="150"/>
        <v>11350766.8192</v>
      </c>
      <c r="S219" s="107">
        <f t="shared" si="151"/>
        <v>11310799.330399999</v>
      </c>
      <c r="T219" s="107">
        <f t="shared" si="152"/>
        <v>11270831.841599999</v>
      </c>
      <c r="U219" s="107">
        <f t="shared" si="153"/>
        <v>11230864.352799999</v>
      </c>
      <c r="V219" s="107">
        <f t="shared" si="154"/>
        <v>11190896.863999998</v>
      </c>
      <c r="W219" s="107">
        <f t="shared" si="155"/>
        <v>11150929.375199998</v>
      </c>
      <c r="X219" s="107">
        <f t="shared" si="156"/>
        <v>11110961.886399997</v>
      </c>
      <c r="Y219" s="107">
        <f t="shared" si="157"/>
        <v>11070994.397599997</v>
      </c>
      <c r="Z219" s="107">
        <f t="shared" si="158"/>
        <v>11031026.908799997</v>
      </c>
      <c r="AA219" s="107">
        <f t="shared" si="206"/>
        <v>247958.30051519995</v>
      </c>
      <c r="AB219" s="107"/>
      <c r="AC219" s="107">
        <f t="shared" si="159"/>
        <v>479609.86560000002</v>
      </c>
      <c r="AD219" s="107">
        <f t="shared" si="160"/>
        <v>10991059.419999996</v>
      </c>
      <c r="AE219" s="107">
        <f t="shared" si="161"/>
        <v>10951091.931199996</v>
      </c>
      <c r="AF219" s="107">
        <f t="shared" si="162"/>
        <v>10911124.442399995</v>
      </c>
      <c r="AG219" s="107">
        <f t="shared" si="163"/>
        <v>10871156.953599995</v>
      </c>
      <c r="AH219" s="107">
        <f t="shared" si="164"/>
        <v>10831189.464799995</v>
      </c>
      <c r="AI219" s="107">
        <f t="shared" si="165"/>
        <v>10791221.975999994</v>
      </c>
      <c r="AJ219" s="107">
        <f t="shared" si="166"/>
        <v>10751254.487199994</v>
      </c>
      <c r="AK219" s="107">
        <f t="shared" si="167"/>
        <v>10711286.998399993</v>
      </c>
      <c r="AL219" s="107">
        <f t="shared" si="168"/>
        <v>10671319.509599993</v>
      </c>
      <c r="AM219" s="107">
        <f t="shared" si="169"/>
        <v>10631352.020799993</v>
      </c>
      <c r="AN219" s="107">
        <f t="shared" si="170"/>
        <v>10591384.531999992</v>
      </c>
      <c r="AO219" s="107">
        <f t="shared" si="171"/>
        <v>10551417.043199992</v>
      </c>
      <c r="AP219" s="107">
        <f t="shared" si="207"/>
        <v>237406.88347199987</v>
      </c>
      <c r="AQ219" s="126"/>
      <c r="AR219" s="107">
        <f t="shared" si="173"/>
        <v>479609.86560000002</v>
      </c>
      <c r="AS219" s="107">
        <f t="shared" si="208"/>
        <v>10511449.554399991</v>
      </c>
      <c r="AT219" s="107">
        <f t="shared" si="209"/>
        <v>10471482.065599991</v>
      </c>
      <c r="AU219" s="107">
        <f t="shared" si="210"/>
        <v>10431514.576799991</v>
      </c>
      <c r="AV219" s="107">
        <f t="shared" si="211"/>
        <v>10391547.08799999</v>
      </c>
      <c r="AW219" s="107">
        <f t="shared" si="212"/>
        <v>10351579.59919999</v>
      </c>
      <c r="AX219" s="107">
        <f t="shared" si="213"/>
        <v>10311612.110399989</v>
      </c>
      <c r="AY219" s="107">
        <f t="shared" si="214"/>
        <v>10271644.621599989</v>
      </c>
      <c r="AZ219" s="107">
        <f t="shared" si="215"/>
        <v>10231677.132799989</v>
      </c>
      <c r="BA219" s="107">
        <f t="shared" si="216"/>
        <v>10191709.643999988</v>
      </c>
      <c r="BB219" s="107">
        <f t="shared" si="217"/>
        <v>10151742.155199988</v>
      </c>
      <c r="BC219" s="107">
        <f t="shared" si="218"/>
        <v>10111774.666399987</v>
      </c>
      <c r="BD219" s="107">
        <f t="shared" si="219"/>
        <v>10071807.177599987</v>
      </c>
      <c r="BE219" s="107">
        <f t="shared" si="220"/>
        <v>226855.46642879976</v>
      </c>
      <c r="BF219" s="127"/>
      <c r="BG219" s="127"/>
      <c r="BH219" s="127"/>
      <c r="BI219" s="127"/>
      <c r="BJ219" s="127"/>
      <c r="BK219" s="127"/>
      <c r="BL219" s="127"/>
      <c r="BM219" s="127"/>
      <c r="BN219" s="127"/>
      <c r="BO219" s="127"/>
      <c r="BP219" s="127"/>
      <c r="BQ219" s="127"/>
      <c r="BR219" s="127"/>
      <c r="BS219" s="127"/>
      <c r="BT219" s="127"/>
      <c r="BU219" s="127"/>
      <c r="BV219" s="127"/>
      <c r="BW219" s="127"/>
    </row>
    <row r="220" spans="1:75" hidden="1" x14ac:dyDescent="0.2">
      <c r="A220" s="123" t="str">
        <f>'[2]2021 УГРЦТ'!A222</f>
        <v>Камера  КСО-366 1996г.</v>
      </c>
      <c r="B220" s="124" t="str">
        <f>'[2]2021 УГРЦТ'!B222</f>
        <v>00000270</v>
      </c>
      <c r="C220" s="124" t="str">
        <f>VLOOKUP(A:A,'2023-2027'!A:L,1,+FALSE)</f>
        <v>Камера  КСО-366 1996г.</v>
      </c>
      <c r="D220" s="124" t="str">
        <f>'[2]2021 УГРЦТ'!C222</f>
        <v>ПЕРЕДАЧА</v>
      </c>
      <c r="E220" s="124" t="str">
        <f>'[2]2021 УГРЦТ'!D222</f>
        <v>Машины и оборудование (кроме офисного)</v>
      </c>
      <c r="F220" s="124" t="str">
        <f>'[2]2021 УГРЦТ'!E222</f>
        <v>30.12.1996</v>
      </c>
      <c r="G220" s="124" t="str">
        <f>'[2]2021 УГРЦТ'!F222</f>
        <v>Цех электрических сетей</v>
      </c>
      <c r="H220" s="124">
        <f>'[2]2021 УГРЦТ'!AC222</f>
        <v>276</v>
      </c>
      <c r="I220" s="107">
        <f>'[2]2021 УГРЦТ'!X222</f>
        <v>15254</v>
      </c>
      <c r="J220" s="107">
        <f>'[2]2021 УГРЦТ'!Y222</f>
        <v>13939.907391304348</v>
      </c>
      <c r="K220" s="107">
        <f>'[2]2021 УГРЦТ'!Z222</f>
        <v>1314.0926086956515</v>
      </c>
      <c r="L220" s="125" t="e">
        <f>SUMIF([2]облаг!$B$2:$B$259,B220,[2]облаг!$D$2:$D$259)</f>
        <v>#VALUE!</v>
      </c>
      <c r="M220" s="107">
        <f t="shared" si="202"/>
        <v>55.268115942028984</v>
      </c>
      <c r="N220" s="107">
        <f t="shared" si="203"/>
        <v>663.21739130434776</v>
      </c>
      <c r="O220" s="107">
        <f t="shared" si="204"/>
        <v>1258.8244927536225</v>
      </c>
      <c r="P220" s="107">
        <f t="shared" si="205"/>
        <v>1203.5563768115935</v>
      </c>
      <c r="Q220" s="107">
        <f t="shared" ref="Q220:Q283" si="221">P220-M220</f>
        <v>1148.2882608695645</v>
      </c>
      <c r="R220" s="107">
        <f t="shared" ref="R220:R283" si="222">Q220-M220</f>
        <v>1093.0201449275355</v>
      </c>
      <c r="S220" s="107">
        <f t="shared" ref="S220:S283" si="223">R220-M220</f>
        <v>1037.7520289855065</v>
      </c>
      <c r="T220" s="107">
        <f t="shared" ref="T220:T283" si="224">S220-M220</f>
        <v>982.48391304347751</v>
      </c>
      <c r="U220" s="107">
        <f t="shared" ref="U220:U283" si="225">T220-M220</f>
        <v>927.21579710144852</v>
      </c>
      <c r="V220" s="107">
        <f t="shared" ref="V220:V283" si="226">U220-M220</f>
        <v>871.94768115941952</v>
      </c>
      <c r="W220" s="107">
        <f t="shared" ref="W220:W283" si="227">V220-M220</f>
        <v>816.67956521739052</v>
      </c>
      <c r="X220" s="107">
        <f t="shared" ref="X220:X283" si="228">W220-M220</f>
        <v>761.41144927536152</v>
      </c>
      <c r="Y220" s="107">
        <f t="shared" ref="Y220:Y283" si="229">X220-M220</f>
        <v>706.14333333333252</v>
      </c>
      <c r="Z220" s="107">
        <f t="shared" ref="Z220:Z283" si="230">Y220-M220</f>
        <v>650.87521739130352</v>
      </c>
      <c r="AA220" s="107"/>
      <c r="AB220" s="107"/>
      <c r="AC220" s="107">
        <f>AD220</f>
        <v>595.60710144927452</v>
      </c>
      <c r="AD220" s="107">
        <f t="shared" ref="AD220:AD283" si="231">Z220-M220</f>
        <v>595.60710144927452</v>
      </c>
      <c r="AE220" s="107">
        <f t="shared" ref="AE220:AE283" si="232">AD220-M220</f>
        <v>540.33898550724552</v>
      </c>
      <c r="AF220" s="107">
        <f t="shared" ref="AF220:AF283" si="233">AE220-M220</f>
        <v>485.07086956521653</v>
      </c>
      <c r="AG220" s="107">
        <f t="shared" ref="AG220:AG283" si="234">AF220-M220</f>
        <v>429.80275362318753</v>
      </c>
      <c r="AH220" s="107">
        <f t="shared" ref="AH220:AH283" si="235">AG220-M220</f>
        <v>374.53463768115853</v>
      </c>
      <c r="AI220" s="107">
        <f t="shared" ref="AI220:AI283" si="236">AH220-M220</f>
        <v>319.26652173912953</v>
      </c>
      <c r="AJ220" s="107">
        <f t="shared" ref="AJ220:AJ283" si="237">AI220-M220</f>
        <v>263.99840579710053</v>
      </c>
      <c r="AK220" s="107">
        <f t="shared" ref="AK220:AK283" si="238">AJ220-M220</f>
        <v>208.73028985507153</v>
      </c>
      <c r="AL220" s="107">
        <f t="shared" ref="AL220:AL283" si="239">AK220-M220</f>
        <v>153.46217391304253</v>
      </c>
      <c r="AM220" s="107">
        <f t="shared" ref="AM220:AM283" si="240">AL220-M220</f>
        <v>98.194057971013549</v>
      </c>
      <c r="AN220" s="107">
        <f t="shared" ref="AN220:AN283" si="241">AM220-M220</f>
        <v>42.925942028984565</v>
      </c>
      <c r="AO220" s="107">
        <v>0</v>
      </c>
      <c r="AP220" s="107"/>
      <c r="AQ220" s="126"/>
      <c r="AR220" s="107">
        <v>0</v>
      </c>
      <c r="AS220" s="107">
        <v>0</v>
      </c>
      <c r="AT220" s="107">
        <v>0</v>
      </c>
      <c r="AU220" s="107">
        <v>0</v>
      </c>
      <c r="AV220" s="107">
        <v>0</v>
      </c>
      <c r="AW220" s="107">
        <v>0</v>
      </c>
      <c r="AX220" s="107">
        <v>0</v>
      </c>
      <c r="AY220" s="107">
        <v>0</v>
      </c>
      <c r="AZ220" s="107">
        <v>0</v>
      </c>
      <c r="BA220" s="107">
        <v>0</v>
      </c>
      <c r="BB220" s="107">
        <v>0</v>
      </c>
      <c r="BC220" s="107">
        <v>0</v>
      </c>
      <c r="BD220" s="107">
        <v>0</v>
      </c>
      <c r="BE220" s="124"/>
      <c r="BI220" s="127"/>
    </row>
    <row r="221" spans="1:75" ht="22.5" hidden="1" x14ac:dyDescent="0.2">
      <c r="A221" s="123" t="str">
        <f>'[2]2021 УГРЦТ'!A223</f>
        <v>Камера в/в КСО 393 №1 01/09-827</v>
      </c>
      <c r="B221" s="124" t="str">
        <f>'[2]2021 УГРЦТ'!B223</f>
        <v>00001123</v>
      </c>
      <c r="C221" s="124" t="str">
        <f>VLOOKUP(A:A,'2023-2027'!A:L,1,+FALSE)</f>
        <v>Камера в/в КСО 393 №1 01/09-827</v>
      </c>
      <c r="D221" s="124" t="str">
        <f>'[2]2021 УГРЦТ'!C223</f>
        <v>ПЕРЕДАЧА</v>
      </c>
      <c r="E221" s="124" t="str">
        <f>'[2]2021 УГРЦТ'!D223</f>
        <v>Машины и оборудование (кроме офисного)</v>
      </c>
      <c r="F221" s="124" t="str">
        <f>'[2]2021 УГРЦТ'!E223</f>
        <v>31.07.2009</v>
      </c>
      <c r="G221" s="124" t="str">
        <f>'[2]2021 УГРЦТ'!F223</f>
        <v>Цех электрических сетей</v>
      </c>
      <c r="H221" s="124">
        <f>'[2]2021 УГРЦТ'!AC223</f>
        <v>180</v>
      </c>
      <c r="I221" s="107">
        <f>'[2]2021 УГРЦТ'!X223</f>
        <v>85301.6</v>
      </c>
      <c r="J221" s="107">
        <f>'[2]2021 УГРЦТ'!Y223</f>
        <v>70611.073333333334</v>
      </c>
      <c r="K221" s="107">
        <f>'[2]2021 УГРЦТ'!Z223</f>
        <v>14690.526666666672</v>
      </c>
      <c r="L221" s="125" t="e">
        <f>SUMIF([2]облаг!$B$2:$B$259,B221,[2]облаг!$D$2:$D$259)</f>
        <v>#VALUE!</v>
      </c>
      <c r="M221" s="107">
        <f t="shared" si="202"/>
        <v>473.89777777777783</v>
      </c>
      <c r="N221" s="107">
        <f t="shared" si="203"/>
        <v>5686.7733333333344</v>
      </c>
      <c r="O221" s="107">
        <f t="shared" si="204"/>
        <v>14216.628888888894</v>
      </c>
      <c r="P221" s="107">
        <f t="shared" si="205"/>
        <v>13742.731111111116</v>
      </c>
      <c r="Q221" s="107">
        <f t="shared" si="221"/>
        <v>13268.833333333338</v>
      </c>
      <c r="R221" s="107">
        <f t="shared" si="222"/>
        <v>12794.935555555559</v>
      </c>
      <c r="S221" s="107">
        <f t="shared" si="223"/>
        <v>12321.037777777781</v>
      </c>
      <c r="T221" s="107">
        <f t="shared" si="224"/>
        <v>11847.140000000003</v>
      </c>
      <c r="U221" s="107">
        <f t="shared" si="225"/>
        <v>11373.242222222225</v>
      </c>
      <c r="V221" s="107">
        <f t="shared" si="226"/>
        <v>10899.344444444447</v>
      </c>
      <c r="W221" s="107">
        <f t="shared" si="227"/>
        <v>10425.446666666669</v>
      </c>
      <c r="X221" s="107">
        <f t="shared" si="228"/>
        <v>9951.5488888888904</v>
      </c>
      <c r="Y221" s="107">
        <f t="shared" si="229"/>
        <v>9477.6511111111122</v>
      </c>
      <c r="Z221" s="107">
        <f t="shared" si="230"/>
        <v>9003.753333333334</v>
      </c>
      <c r="AA221" s="107"/>
      <c r="AB221" s="107"/>
      <c r="AC221" s="107">
        <f t="shared" ref="AC221:AC284" si="242">M221*12</f>
        <v>5686.7733333333344</v>
      </c>
      <c r="AD221" s="107">
        <f t="shared" si="231"/>
        <v>8529.8555555555558</v>
      </c>
      <c r="AE221" s="107">
        <f t="shared" si="232"/>
        <v>8055.9577777777777</v>
      </c>
      <c r="AF221" s="107">
        <f t="shared" si="233"/>
        <v>7582.0599999999995</v>
      </c>
      <c r="AG221" s="107">
        <f t="shared" si="234"/>
        <v>7108.1622222222213</v>
      </c>
      <c r="AH221" s="107">
        <f t="shared" si="235"/>
        <v>6634.2644444444431</v>
      </c>
      <c r="AI221" s="107">
        <f t="shared" si="236"/>
        <v>6160.366666666665</v>
      </c>
      <c r="AJ221" s="107">
        <f t="shared" si="237"/>
        <v>5686.4688888888868</v>
      </c>
      <c r="AK221" s="107">
        <f t="shared" si="238"/>
        <v>5212.5711111111086</v>
      </c>
      <c r="AL221" s="107">
        <f t="shared" si="239"/>
        <v>4738.6733333333304</v>
      </c>
      <c r="AM221" s="107">
        <f t="shared" si="240"/>
        <v>4264.7755555555523</v>
      </c>
      <c r="AN221" s="107">
        <f t="shared" si="241"/>
        <v>3790.8777777777746</v>
      </c>
      <c r="AO221" s="107">
        <f t="shared" ref="AO221:AO284" si="243">AN221-M221</f>
        <v>3316.9799999999968</v>
      </c>
      <c r="AP221" s="107"/>
      <c r="AQ221" s="126"/>
      <c r="AR221" s="107">
        <f t="shared" ref="AR221:AR284" si="244">M221*12</f>
        <v>5686.7733333333344</v>
      </c>
      <c r="AS221" s="107">
        <f t="shared" ref="AS221:AS243" si="245">AO221-M221</f>
        <v>2843.0822222222191</v>
      </c>
      <c r="AT221" s="107">
        <f t="shared" ref="AT221:AT243" si="246">AS221-M221</f>
        <v>2369.1844444444414</v>
      </c>
      <c r="AU221" s="107">
        <f t="shared" ref="AU221:AU243" si="247">AT221-M221</f>
        <v>1895.2866666666637</v>
      </c>
      <c r="AV221" s="107">
        <f t="shared" ref="AV221:AV243" si="248">AU221-M221</f>
        <v>1421.388888888886</v>
      </c>
      <c r="AW221" s="107">
        <f t="shared" ref="AW221:AW243" si="249">AV221-M221</f>
        <v>947.49111111110813</v>
      </c>
      <c r="AX221" s="107">
        <f t="shared" ref="AX221:AX243" si="250">AW221-M221</f>
        <v>473.59333333333029</v>
      </c>
      <c r="AY221" s="107">
        <v>0</v>
      </c>
      <c r="AZ221" s="107">
        <v>0</v>
      </c>
      <c r="BA221" s="107">
        <v>0</v>
      </c>
      <c r="BB221" s="107">
        <v>0</v>
      </c>
      <c r="BC221" s="107">
        <v>0</v>
      </c>
      <c r="BD221" s="107">
        <v>0</v>
      </c>
      <c r="BE221" s="107"/>
      <c r="BI221" s="127"/>
    </row>
    <row r="222" spans="1:75" ht="22.5" hidden="1" x14ac:dyDescent="0.2">
      <c r="A222" s="123" t="str">
        <f>'[2]2021 УГРЦТ'!A224</f>
        <v>Камера КСО 298-6.1 ВВ-600, зав.№2235.1</v>
      </c>
      <c r="B222" s="124" t="str">
        <f>'[2]2021 УГРЦТ'!B224</f>
        <v>000001739</v>
      </c>
      <c r="C222" s="124" t="str">
        <f>VLOOKUP(A:A,'2023-2027'!A:L,1,+FALSE)</f>
        <v>Камера КСО 298-6.1 ВВ-600, зав.№2235.1</v>
      </c>
      <c r="D222" s="124" t="str">
        <f>'[2]2021 УГРЦТ'!C224</f>
        <v>ПЕРЕДАЧА</v>
      </c>
      <c r="E222" s="124" t="str">
        <f>'[2]2021 УГРЦТ'!D224</f>
        <v>Машины и оборудование (кроме офисного)</v>
      </c>
      <c r="F222" s="124" t="str">
        <f>'[2]2021 УГРЦТ'!E224</f>
        <v>31.07.2018</v>
      </c>
      <c r="G222" s="124" t="str">
        <f>'[2]2021 УГРЦТ'!F224</f>
        <v>Цех электрических сетей</v>
      </c>
      <c r="H222" s="124">
        <f>'[2]2021 УГРЦТ'!AC224</f>
        <v>240</v>
      </c>
      <c r="I222" s="107">
        <f>'[2]2021 УГРЦТ'!X224</f>
        <v>749690.38</v>
      </c>
      <c r="J222" s="107">
        <f>'[2]2021 УГРЦТ'!Y224</f>
        <v>128072.109</v>
      </c>
      <c r="K222" s="107">
        <f>'[2]2021 УГРЦТ'!Z224</f>
        <v>621618.27099999995</v>
      </c>
      <c r="L222" s="125" t="e">
        <f>SUMIF([2]облаг!$B$2:$B$259,B222,[2]облаг!$D$2:$D$259)</f>
        <v>#VALUE!</v>
      </c>
      <c r="M222" s="107">
        <f t="shared" si="202"/>
        <v>3123.7099166666667</v>
      </c>
      <c r="N222" s="107">
        <f t="shared" si="203"/>
        <v>37484.519</v>
      </c>
      <c r="O222" s="107">
        <f t="shared" si="204"/>
        <v>618494.56108333333</v>
      </c>
      <c r="P222" s="107">
        <f t="shared" si="205"/>
        <v>615370.85116666672</v>
      </c>
      <c r="Q222" s="107">
        <f t="shared" si="221"/>
        <v>612247.1412500001</v>
      </c>
      <c r="R222" s="107">
        <f t="shared" si="222"/>
        <v>609123.43133333349</v>
      </c>
      <c r="S222" s="107">
        <f t="shared" si="223"/>
        <v>605999.72141666687</v>
      </c>
      <c r="T222" s="107">
        <f t="shared" si="224"/>
        <v>602876.01150000026</v>
      </c>
      <c r="U222" s="107">
        <f t="shared" si="225"/>
        <v>599752.30158333364</v>
      </c>
      <c r="V222" s="107">
        <f t="shared" si="226"/>
        <v>596628.59166666702</v>
      </c>
      <c r="W222" s="107">
        <f t="shared" si="227"/>
        <v>593504.88175000041</v>
      </c>
      <c r="X222" s="107">
        <f t="shared" si="228"/>
        <v>590381.17183333379</v>
      </c>
      <c r="Y222" s="107">
        <f t="shared" si="229"/>
        <v>587257.46191666718</v>
      </c>
      <c r="Z222" s="107">
        <f t="shared" si="230"/>
        <v>584133.75200000056</v>
      </c>
      <c r="AA222" s="107"/>
      <c r="AB222" s="107"/>
      <c r="AC222" s="107">
        <f t="shared" si="242"/>
        <v>37484.519</v>
      </c>
      <c r="AD222" s="107">
        <f t="shared" si="231"/>
        <v>581010.04208333394</v>
      </c>
      <c r="AE222" s="107">
        <f t="shared" si="232"/>
        <v>577886.33216666733</v>
      </c>
      <c r="AF222" s="107">
        <f t="shared" si="233"/>
        <v>574762.62225000071</v>
      </c>
      <c r="AG222" s="107">
        <f t="shared" si="234"/>
        <v>571638.9123333341</v>
      </c>
      <c r="AH222" s="107">
        <f t="shared" si="235"/>
        <v>568515.20241666748</v>
      </c>
      <c r="AI222" s="107">
        <f t="shared" si="236"/>
        <v>565391.49250000087</v>
      </c>
      <c r="AJ222" s="107">
        <f t="shared" si="237"/>
        <v>562267.78258333425</v>
      </c>
      <c r="AK222" s="107">
        <f t="shared" si="238"/>
        <v>559144.07266666763</v>
      </c>
      <c r="AL222" s="107">
        <f t="shared" si="239"/>
        <v>556020.36275000102</v>
      </c>
      <c r="AM222" s="107">
        <f t="shared" si="240"/>
        <v>552896.6528333344</v>
      </c>
      <c r="AN222" s="107">
        <f t="shared" si="241"/>
        <v>549772.94291666779</v>
      </c>
      <c r="AO222" s="107">
        <f t="shared" si="243"/>
        <v>546649.23300000117</v>
      </c>
      <c r="AP222" s="107"/>
      <c r="AQ222" s="126"/>
      <c r="AR222" s="107">
        <f t="shared" si="244"/>
        <v>37484.519</v>
      </c>
      <c r="AS222" s="107">
        <f t="shared" si="245"/>
        <v>543525.52308333456</v>
      </c>
      <c r="AT222" s="107">
        <f t="shared" si="246"/>
        <v>540401.81316666794</v>
      </c>
      <c r="AU222" s="107">
        <f t="shared" si="247"/>
        <v>537278.10325000132</v>
      </c>
      <c r="AV222" s="107">
        <f t="shared" si="248"/>
        <v>534154.39333333471</v>
      </c>
      <c r="AW222" s="107">
        <f t="shared" si="249"/>
        <v>531030.68341666809</v>
      </c>
      <c r="AX222" s="107">
        <f t="shared" si="250"/>
        <v>527906.97350000148</v>
      </c>
      <c r="AY222" s="107">
        <f t="shared" ref="AY222:AY243" si="251">AX222-M222</f>
        <v>524783.26358333486</v>
      </c>
      <c r="AZ222" s="107">
        <f t="shared" ref="AZ222:AZ243" si="252">AY222-M222</f>
        <v>521659.55366666819</v>
      </c>
      <c r="BA222" s="107">
        <f t="shared" ref="BA222:BA243" si="253">AZ222-M222</f>
        <v>518535.84375000151</v>
      </c>
      <c r="BB222" s="107">
        <f t="shared" ref="BB222:BB241" si="254">BA222-M222</f>
        <v>515412.13383333484</v>
      </c>
      <c r="BC222" s="107">
        <f t="shared" ref="BC222:BC241" si="255">BB222-M222</f>
        <v>512288.42391666817</v>
      </c>
      <c r="BD222" s="107">
        <f t="shared" ref="BD222:BD241" si="256">BC222-M222</f>
        <v>509164.71400000149</v>
      </c>
      <c r="BE222" s="107"/>
      <c r="BF222" s="127"/>
      <c r="BG222" s="127"/>
      <c r="BH222" s="127"/>
      <c r="BI222" s="127"/>
      <c r="BJ222" s="127"/>
      <c r="BK222" s="127"/>
      <c r="BL222" s="127"/>
      <c r="BM222" s="127"/>
      <c r="BN222" s="127"/>
      <c r="BO222" s="127"/>
      <c r="BP222" s="127"/>
      <c r="BQ222" s="127"/>
      <c r="BR222" s="127"/>
      <c r="BS222" s="127"/>
      <c r="BT222" s="127"/>
      <c r="BU222" s="127"/>
      <c r="BV222" s="127"/>
      <c r="BW222" s="127"/>
    </row>
    <row r="223" spans="1:75" ht="22.5" hidden="1" x14ac:dyDescent="0.2">
      <c r="A223" s="123" t="str">
        <f>'[2]2021 УГРЦТ'!A225</f>
        <v>Камера КСО 298-8.1 ВВ-600, зав.№2235.2</v>
      </c>
      <c r="B223" s="124" t="str">
        <f>'[2]2021 УГРЦТ'!B225</f>
        <v>000001740</v>
      </c>
      <c r="C223" s="124" t="str">
        <f>VLOOKUP(A:A,'2023-2027'!A:L,1,+FALSE)</f>
        <v>Камера КСО 298-8.1 ВВ-600, зав.№2235.2</v>
      </c>
      <c r="D223" s="124" t="str">
        <f>'[2]2021 УГРЦТ'!C225</f>
        <v>ПЕРЕДАЧА</v>
      </c>
      <c r="E223" s="124" t="str">
        <f>'[2]2021 УГРЦТ'!D225</f>
        <v>Машины и оборудование (кроме офисного)</v>
      </c>
      <c r="F223" s="124" t="str">
        <f>'[2]2021 УГРЦТ'!E225</f>
        <v>31.07.2018</v>
      </c>
      <c r="G223" s="124" t="str">
        <f>'[2]2021 УГРЦТ'!F225</f>
        <v>Цех электрических сетей</v>
      </c>
      <c r="H223" s="124">
        <f>'[2]2021 УГРЦТ'!AC225</f>
        <v>240</v>
      </c>
      <c r="I223" s="107">
        <f>'[2]2021 УГРЦТ'!X225</f>
        <v>720334.85</v>
      </c>
      <c r="J223" s="107">
        <f>'[2]2021 УГРЦТ'!Y225</f>
        <v>123057.34250000001</v>
      </c>
      <c r="K223" s="107">
        <f>'[2]2021 УГРЦТ'!Z225</f>
        <v>597277.50749999995</v>
      </c>
      <c r="L223" s="125" t="e">
        <f>SUMIF([2]облаг!$B$2:$B$259,B223,[2]облаг!$D$2:$D$259)</f>
        <v>#VALUE!</v>
      </c>
      <c r="M223" s="107">
        <f t="shared" si="202"/>
        <v>3001.3952083333334</v>
      </c>
      <c r="N223" s="107">
        <f t="shared" si="203"/>
        <v>36016.7425</v>
      </c>
      <c r="O223" s="107">
        <f t="shared" si="204"/>
        <v>594276.11229166656</v>
      </c>
      <c r="P223" s="107">
        <f t="shared" si="205"/>
        <v>591274.71708333318</v>
      </c>
      <c r="Q223" s="107">
        <f t="shared" si="221"/>
        <v>588273.32187499979</v>
      </c>
      <c r="R223" s="107">
        <f t="shared" si="222"/>
        <v>585271.9266666664</v>
      </c>
      <c r="S223" s="107">
        <f t="shared" si="223"/>
        <v>582270.53145833302</v>
      </c>
      <c r="T223" s="107">
        <f t="shared" si="224"/>
        <v>579269.13624999963</v>
      </c>
      <c r="U223" s="107">
        <f t="shared" si="225"/>
        <v>576267.74104166625</v>
      </c>
      <c r="V223" s="107">
        <f t="shared" si="226"/>
        <v>573266.34583333286</v>
      </c>
      <c r="W223" s="107">
        <f t="shared" si="227"/>
        <v>570264.95062499947</v>
      </c>
      <c r="X223" s="107">
        <f t="shared" si="228"/>
        <v>567263.55541666609</v>
      </c>
      <c r="Y223" s="107">
        <f t="shared" si="229"/>
        <v>564262.1602083327</v>
      </c>
      <c r="Z223" s="107">
        <f t="shared" si="230"/>
        <v>561260.76499999932</v>
      </c>
      <c r="AA223" s="107"/>
      <c r="AB223" s="107"/>
      <c r="AC223" s="107">
        <f t="shared" si="242"/>
        <v>36016.7425</v>
      </c>
      <c r="AD223" s="107">
        <f t="shared" si="231"/>
        <v>558259.36979166593</v>
      </c>
      <c r="AE223" s="107">
        <f t="shared" si="232"/>
        <v>555257.97458333254</v>
      </c>
      <c r="AF223" s="107">
        <f t="shared" si="233"/>
        <v>552256.57937499916</v>
      </c>
      <c r="AG223" s="107">
        <f t="shared" si="234"/>
        <v>549255.18416666577</v>
      </c>
      <c r="AH223" s="107">
        <f t="shared" si="235"/>
        <v>546253.78895833238</v>
      </c>
      <c r="AI223" s="107">
        <f t="shared" si="236"/>
        <v>543252.393749999</v>
      </c>
      <c r="AJ223" s="107">
        <f t="shared" si="237"/>
        <v>540250.99854166561</v>
      </c>
      <c r="AK223" s="107">
        <f t="shared" si="238"/>
        <v>537249.60333333223</v>
      </c>
      <c r="AL223" s="107">
        <f t="shared" si="239"/>
        <v>534248.20812499884</v>
      </c>
      <c r="AM223" s="107">
        <f t="shared" si="240"/>
        <v>531246.81291666545</v>
      </c>
      <c r="AN223" s="107">
        <f t="shared" si="241"/>
        <v>528245.41770833207</v>
      </c>
      <c r="AO223" s="107">
        <f t="shared" si="243"/>
        <v>525244.02249999868</v>
      </c>
      <c r="AP223" s="107"/>
      <c r="AQ223" s="126"/>
      <c r="AR223" s="107">
        <f t="shared" si="244"/>
        <v>36016.7425</v>
      </c>
      <c r="AS223" s="107">
        <f t="shared" si="245"/>
        <v>522242.62729166535</v>
      </c>
      <c r="AT223" s="107">
        <f t="shared" si="246"/>
        <v>519241.23208333203</v>
      </c>
      <c r="AU223" s="107">
        <f t="shared" si="247"/>
        <v>516239.8368749987</v>
      </c>
      <c r="AV223" s="107">
        <f t="shared" si="248"/>
        <v>513238.44166666537</v>
      </c>
      <c r="AW223" s="107">
        <f t="shared" si="249"/>
        <v>510237.04645833204</v>
      </c>
      <c r="AX223" s="107">
        <f t="shared" si="250"/>
        <v>507235.65124999871</v>
      </c>
      <c r="AY223" s="107">
        <f t="shared" si="251"/>
        <v>504234.25604166539</v>
      </c>
      <c r="AZ223" s="107">
        <f t="shared" si="252"/>
        <v>501232.86083333206</v>
      </c>
      <c r="BA223" s="107">
        <f t="shared" si="253"/>
        <v>498231.46562499873</v>
      </c>
      <c r="BB223" s="107">
        <f t="shared" si="254"/>
        <v>495230.0704166654</v>
      </c>
      <c r="BC223" s="107">
        <f t="shared" si="255"/>
        <v>492228.67520833208</v>
      </c>
      <c r="BD223" s="107">
        <f t="shared" si="256"/>
        <v>489227.27999999875</v>
      </c>
      <c r="BE223" s="10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</row>
    <row r="224" spans="1:75" hidden="1" x14ac:dyDescent="0.2">
      <c r="A224" s="123" t="str">
        <f>'[2]2021 УГРЦТ'!A226</f>
        <v>Камера КСО 393-03 № 1113</v>
      </c>
      <c r="B224" s="124" t="str">
        <f>'[2]2021 УГРЦТ'!B226</f>
        <v>00000911</v>
      </c>
      <c r="C224" s="124" t="str">
        <f>VLOOKUP(A:A,'2023-2027'!A:L,1,+FALSE)</f>
        <v>Камера КСО 393-03 № 1113</v>
      </c>
      <c r="D224" s="124" t="str">
        <f>'[2]2021 УГРЦТ'!C226</f>
        <v>ПЕРЕДАЧА</v>
      </c>
      <c r="E224" s="124" t="str">
        <f>'[2]2021 УГРЦТ'!D226</f>
        <v>Машины и оборудование (кроме офисного)</v>
      </c>
      <c r="F224" s="124" t="str">
        <f>'[2]2021 УГРЦТ'!E226</f>
        <v>31.08.2006</v>
      </c>
      <c r="G224" s="124" t="str">
        <f>'[2]2021 УГРЦТ'!F226</f>
        <v>Цех электрических сетей</v>
      </c>
      <c r="H224" s="124">
        <f>'[2]2021 УГРЦТ'!AC226</f>
        <v>180</v>
      </c>
      <c r="I224" s="107">
        <f>'[2]2021 УГРЦТ'!X226</f>
        <v>26916</v>
      </c>
      <c r="J224" s="107">
        <f>'[2]2021 УГРЦТ'!Y226</f>
        <v>26916</v>
      </c>
      <c r="K224" s="107">
        <f>'[2]2021 УГРЦТ'!Z226</f>
        <v>0</v>
      </c>
      <c r="L224" s="125" t="e">
        <f>SUMIF([2]облаг!$B$2:$B$259,B224,[2]облаг!$D$2:$D$259)</f>
        <v>#VALUE!</v>
      </c>
      <c r="M224" s="107">
        <v>0</v>
      </c>
      <c r="N224" s="107">
        <f t="shared" si="203"/>
        <v>0</v>
      </c>
      <c r="O224" s="107">
        <f t="shared" si="204"/>
        <v>0</v>
      </c>
      <c r="P224" s="107">
        <f t="shared" si="205"/>
        <v>0</v>
      </c>
      <c r="Q224" s="107">
        <f t="shared" si="221"/>
        <v>0</v>
      </c>
      <c r="R224" s="107">
        <f t="shared" si="222"/>
        <v>0</v>
      </c>
      <c r="S224" s="107">
        <f t="shared" si="223"/>
        <v>0</v>
      </c>
      <c r="T224" s="107">
        <f t="shared" si="224"/>
        <v>0</v>
      </c>
      <c r="U224" s="107">
        <f t="shared" si="225"/>
        <v>0</v>
      </c>
      <c r="V224" s="107">
        <f t="shared" si="226"/>
        <v>0</v>
      </c>
      <c r="W224" s="107">
        <f t="shared" si="227"/>
        <v>0</v>
      </c>
      <c r="X224" s="107">
        <f t="shared" si="228"/>
        <v>0</v>
      </c>
      <c r="Y224" s="107">
        <f t="shared" si="229"/>
        <v>0</v>
      </c>
      <c r="Z224" s="107">
        <f t="shared" si="230"/>
        <v>0</v>
      </c>
      <c r="AA224" s="107"/>
      <c r="AB224" s="107"/>
      <c r="AC224" s="107">
        <f t="shared" si="242"/>
        <v>0</v>
      </c>
      <c r="AD224" s="107">
        <f t="shared" si="231"/>
        <v>0</v>
      </c>
      <c r="AE224" s="107">
        <f t="shared" si="232"/>
        <v>0</v>
      </c>
      <c r="AF224" s="107">
        <f t="shared" si="233"/>
        <v>0</v>
      </c>
      <c r="AG224" s="107">
        <f t="shared" si="234"/>
        <v>0</v>
      </c>
      <c r="AH224" s="107">
        <f t="shared" si="235"/>
        <v>0</v>
      </c>
      <c r="AI224" s="107">
        <f t="shared" si="236"/>
        <v>0</v>
      </c>
      <c r="AJ224" s="107">
        <f t="shared" si="237"/>
        <v>0</v>
      </c>
      <c r="AK224" s="107">
        <f t="shared" si="238"/>
        <v>0</v>
      </c>
      <c r="AL224" s="107">
        <f t="shared" si="239"/>
        <v>0</v>
      </c>
      <c r="AM224" s="107">
        <f t="shared" si="240"/>
        <v>0</v>
      </c>
      <c r="AN224" s="107">
        <f t="shared" si="241"/>
        <v>0</v>
      </c>
      <c r="AO224" s="107">
        <f t="shared" si="243"/>
        <v>0</v>
      </c>
      <c r="AP224" s="107"/>
      <c r="AQ224" s="126"/>
      <c r="AR224" s="107">
        <f t="shared" si="244"/>
        <v>0</v>
      </c>
      <c r="AS224" s="107">
        <f t="shared" si="245"/>
        <v>0</v>
      </c>
      <c r="AT224" s="107">
        <f t="shared" si="246"/>
        <v>0</v>
      </c>
      <c r="AU224" s="107">
        <f t="shared" si="247"/>
        <v>0</v>
      </c>
      <c r="AV224" s="107">
        <f t="shared" si="248"/>
        <v>0</v>
      </c>
      <c r="AW224" s="107">
        <f t="shared" si="249"/>
        <v>0</v>
      </c>
      <c r="AX224" s="107">
        <f t="shared" si="250"/>
        <v>0</v>
      </c>
      <c r="AY224" s="107">
        <f t="shared" si="251"/>
        <v>0</v>
      </c>
      <c r="AZ224" s="107">
        <f t="shared" si="252"/>
        <v>0</v>
      </c>
      <c r="BA224" s="107">
        <f t="shared" si="253"/>
        <v>0</v>
      </c>
      <c r="BB224" s="107">
        <f t="shared" si="254"/>
        <v>0</v>
      </c>
      <c r="BC224" s="107">
        <f t="shared" si="255"/>
        <v>0</v>
      </c>
      <c r="BD224" s="107">
        <f t="shared" si="256"/>
        <v>0</v>
      </c>
      <c r="BE224" s="124"/>
      <c r="BI224" s="127"/>
    </row>
    <row r="225" spans="1:75" hidden="1" x14ac:dyDescent="0.2">
      <c r="A225" s="123" t="str">
        <f>'[2]2021 УГРЦТ'!A227</f>
        <v>Камера КСО 393-03 №1</v>
      </c>
      <c r="B225" s="124" t="str">
        <f>'[2]2021 УГРЦТ'!B227</f>
        <v>00001240</v>
      </c>
      <c r="C225" s="124" t="str">
        <f>VLOOKUP(A:A,'2023-2027'!A:L,1,+FALSE)</f>
        <v>Камера КСО 393-03 №1</v>
      </c>
      <c r="D225" s="124" t="str">
        <f>'[2]2021 УГРЦТ'!C227</f>
        <v>ПЕРЕДАЧА</v>
      </c>
      <c r="E225" s="124" t="str">
        <f>'[2]2021 УГРЦТ'!D227</f>
        <v>Машины и оборудование (кроме офисного)</v>
      </c>
      <c r="F225" s="124" t="str">
        <f>'[2]2021 УГРЦТ'!E227</f>
        <v>31.10.2010</v>
      </c>
      <c r="G225" s="124" t="str">
        <f>'[2]2021 УГРЦТ'!F227</f>
        <v>Цех электрических сетей</v>
      </c>
      <c r="H225" s="124">
        <f>'[2]2021 УГРЦТ'!AC227</f>
        <v>180</v>
      </c>
      <c r="I225" s="107">
        <f>'[2]2021 УГРЦТ'!X227</f>
        <v>29086.7</v>
      </c>
      <c r="J225" s="107">
        <f>'[2]2021 УГРЦТ'!Y227</f>
        <v>21653.093333333334</v>
      </c>
      <c r="K225" s="107">
        <f>'[2]2021 УГРЦТ'!Z227</f>
        <v>7433.6066666666666</v>
      </c>
      <c r="L225" s="125" t="e">
        <f>SUMIF([2]облаг!$B$2:$B$259,B225,[2]облаг!$D$2:$D$259)</f>
        <v>#VALUE!</v>
      </c>
      <c r="M225" s="107">
        <f t="shared" si="202"/>
        <v>161.59277777777777</v>
      </c>
      <c r="N225" s="107">
        <f t="shared" si="203"/>
        <v>1939.1133333333332</v>
      </c>
      <c r="O225" s="107">
        <f t="shared" si="204"/>
        <v>7272.0138888888887</v>
      </c>
      <c r="P225" s="107">
        <f t="shared" si="205"/>
        <v>7110.4211111111108</v>
      </c>
      <c r="Q225" s="107">
        <f t="shared" si="221"/>
        <v>6948.8283333333329</v>
      </c>
      <c r="R225" s="107">
        <f t="shared" si="222"/>
        <v>6787.235555555555</v>
      </c>
      <c r="S225" s="107">
        <f t="shared" si="223"/>
        <v>6625.6427777777772</v>
      </c>
      <c r="T225" s="107">
        <f t="shared" si="224"/>
        <v>6464.0499999999993</v>
      </c>
      <c r="U225" s="107">
        <f t="shared" si="225"/>
        <v>6302.4572222222214</v>
      </c>
      <c r="V225" s="107">
        <f t="shared" si="226"/>
        <v>6140.8644444444435</v>
      </c>
      <c r="W225" s="107">
        <f t="shared" si="227"/>
        <v>5979.2716666666656</v>
      </c>
      <c r="X225" s="107">
        <f t="shared" si="228"/>
        <v>5817.6788888888877</v>
      </c>
      <c r="Y225" s="107">
        <f t="shared" si="229"/>
        <v>5656.0861111111099</v>
      </c>
      <c r="Z225" s="107">
        <f t="shared" si="230"/>
        <v>5494.493333333332</v>
      </c>
      <c r="AA225" s="107"/>
      <c r="AB225" s="107"/>
      <c r="AC225" s="107">
        <f t="shared" si="242"/>
        <v>1939.1133333333332</v>
      </c>
      <c r="AD225" s="107">
        <f t="shared" si="231"/>
        <v>5332.9005555555541</v>
      </c>
      <c r="AE225" s="107">
        <f t="shared" si="232"/>
        <v>5171.3077777777762</v>
      </c>
      <c r="AF225" s="107">
        <f t="shared" si="233"/>
        <v>5009.7149999999983</v>
      </c>
      <c r="AG225" s="107">
        <f t="shared" si="234"/>
        <v>4848.1222222222204</v>
      </c>
      <c r="AH225" s="107">
        <f t="shared" si="235"/>
        <v>4686.5294444444426</v>
      </c>
      <c r="AI225" s="107">
        <f t="shared" si="236"/>
        <v>4524.9366666666647</v>
      </c>
      <c r="AJ225" s="107">
        <f t="shared" si="237"/>
        <v>4363.3438888888868</v>
      </c>
      <c r="AK225" s="107">
        <f t="shared" si="238"/>
        <v>4201.7511111111089</v>
      </c>
      <c r="AL225" s="107">
        <f t="shared" si="239"/>
        <v>4040.158333333331</v>
      </c>
      <c r="AM225" s="107">
        <f t="shared" si="240"/>
        <v>3878.5655555555531</v>
      </c>
      <c r="AN225" s="107">
        <f t="shared" si="241"/>
        <v>3716.9727777777753</v>
      </c>
      <c r="AO225" s="107">
        <f t="shared" si="243"/>
        <v>3555.3799999999974</v>
      </c>
      <c r="AP225" s="107"/>
      <c r="AQ225" s="126"/>
      <c r="AR225" s="107">
        <f t="shared" si="244"/>
        <v>1939.1133333333332</v>
      </c>
      <c r="AS225" s="107">
        <f t="shared" si="245"/>
        <v>3393.7872222222195</v>
      </c>
      <c r="AT225" s="107">
        <f t="shared" si="246"/>
        <v>3232.1944444444416</v>
      </c>
      <c r="AU225" s="107">
        <f t="shared" si="247"/>
        <v>3070.6016666666637</v>
      </c>
      <c r="AV225" s="107">
        <f t="shared" si="248"/>
        <v>2909.0088888888858</v>
      </c>
      <c r="AW225" s="107">
        <f t="shared" si="249"/>
        <v>2747.416111111108</v>
      </c>
      <c r="AX225" s="107">
        <f t="shared" si="250"/>
        <v>2585.8233333333301</v>
      </c>
      <c r="AY225" s="107">
        <f t="shared" si="251"/>
        <v>2424.2305555555522</v>
      </c>
      <c r="AZ225" s="107">
        <f t="shared" si="252"/>
        <v>2262.6377777777743</v>
      </c>
      <c r="BA225" s="107">
        <f t="shared" si="253"/>
        <v>2101.0449999999964</v>
      </c>
      <c r="BB225" s="107">
        <f t="shared" si="254"/>
        <v>1939.4522222222186</v>
      </c>
      <c r="BC225" s="107">
        <f t="shared" si="255"/>
        <v>1777.8594444444407</v>
      </c>
      <c r="BD225" s="107">
        <f t="shared" si="256"/>
        <v>1616.2666666666628</v>
      </c>
      <c r="BE225" s="107"/>
      <c r="BF225" s="127"/>
      <c r="BG225" s="127"/>
      <c r="BI225" s="127"/>
      <c r="BJ225" s="127"/>
      <c r="BK225" s="127"/>
      <c r="BL225" s="127"/>
      <c r="BM225" s="127"/>
      <c r="BN225" s="127"/>
      <c r="BO225" s="127"/>
      <c r="BP225" s="127"/>
      <c r="BQ225" s="127"/>
      <c r="BR225" s="127"/>
      <c r="BS225" s="127"/>
      <c r="BT225" s="127"/>
      <c r="BU225" s="127"/>
      <c r="BV225" s="127"/>
    </row>
    <row r="226" spans="1:75" hidden="1" x14ac:dyDescent="0.2">
      <c r="A226" s="123" t="str">
        <f>'[2]2021 УГРЦТ'!A228</f>
        <v>Камера КСО 393-03 №1111</v>
      </c>
      <c r="B226" s="124" t="str">
        <f>'[2]2021 УГРЦТ'!B228</f>
        <v>00001005</v>
      </c>
      <c r="C226" s="124" t="str">
        <f>VLOOKUP(A:A,'2023-2027'!A:L,1,+FALSE)</f>
        <v>Камера КСО 393-03 №1111</v>
      </c>
      <c r="D226" s="124" t="str">
        <f>'[2]2021 УГРЦТ'!C228</f>
        <v>ПЕРЕДАЧА</v>
      </c>
      <c r="E226" s="124" t="str">
        <f>'[2]2021 УГРЦТ'!D228</f>
        <v>Машины и оборудование (кроме офисного)</v>
      </c>
      <c r="F226" s="124" t="str">
        <f>'[2]2021 УГРЦТ'!E228</f>
        <v>30.11.2006</v>
      </c>
      <c r="G226" s="124" t="str">
        <f>'[2]2021 УГРЦТ'!F228</f>
        <v>Цех электрических сетей</v>
      </c>
      <c r="H226" s="124">
        <f>'[2]2021 УГРЦТ'!AC228</f>
        <v>180</v>
      </c>
      <c r="I226" s="107">
        <f>'[2]2021 УГРЦТ'!X228</f>
        <v>26916</v>
      </c>
      <c r="J226" s="107">
        <f>'[2]2021 УГРЦТ'!Y228</f>
        <v>26915.996666666666</v>
      </c>
      <c r="K226" s="107">
        <f>'[2]2021 УГРЦТ'!Z228</f>
        <v>3.3333333340124227E-3</v>
      </c>
      <c r="L226" s="125" t="e">
        <f>SUMIF([2]облаг!$B$2:$B$259,B226,[2]облаг!$D$2:$D$259)</f>
        <v>#VALUE!</v>
      </c>
      <c r="M226" s="107">
        <v>0</v>
      </c>
      <c r="N226" s="107">
        <f t="shared" si="203"/>
        <v>0</v>
      </c>
      <c r="O226" s="107">
        <f t="shared" si="204"/>
        <v>3.3333333340124227E-3</v>
      </c>
      <c r="P226" s="107">
        <f t="shared" si="205"/>
        <v>3.3333333340124227E-3</v>
      </c>
      <c r="Q226" s="107">
        <f t="shared" si="221"/>
        <v>3.3333333340124227E-3</v>
      </c>
      <c r="R226" s="107">
        <f t="shared" si="222"/>
        <v>3.3333333340124227E-3</v>
      </c>
      <c r="S226" s="107">
        <f t="shared" si="223"/>
        <v>3.3333333340124227E-3</v>
      </c>
      <c r="T226" s="107">
        <f t="shared" si="224"/>
        <v>3.3333333340124227E-3</v>
      </c>
      <c r="U226" s="107">
        <f t="shared" si="225"/>
        <v>3.3333333340124227E-3</v>
      </c>
      <c r="V226" s="107">
        <f t="shared" si="226"/>
        <v>3.3333333340124227E-3</v>
      </c>
      <c r="W226" s="107">
        <f t="shared" si="227"/>
        <v>3.3333333340124227E-3</v>
      </c>
      <c r="X226" s="107">
        <f t="shared" si="228"/>
        <v>3.3333333340124227E-3</v>
      </c>
      <c r="Y226" s="107">
        <f t="shared" si="229"/>
        <v>3.3333333340124227E-3</v>
      </c>
      <c r="Z226" s="107">
        <f t="shared" si="230"/>
        <v>3.3333333340124227E-3</v>
      </c>
      <c r="AA226" s="107"/>
      <c r="AB226" s="107"/>
      <c r="AC226" s="107">
        <f t="shared" si="242"/>
        <v>0</v>
      </c>
      <c r="AD226" s="107">
        <f t="shared" si="231"/>
        <v>3.3333333340124227E-3</v>
      </c>
      <c r="AE226" s="107">
        <f t="shared" si="232"/>
        <v>3.3333333340124227E-3</v>
      </c>
      <c r="AF226" s="107">
        <f t="shared" si="233"/>
        <v>3.3333333340124227E-3</v>
      </c>
      <c r="AG226" s="107">
        <f t="shared" si="234"/>
        <v>3.3333333340124227E-3</v>
      </c>
      <c r="AH226" s="107">
        <f t="shared" si="235"/>
        <v>3.3333333340124227E-3</v>
      </c>
      <c r="AI226" s="107">
        <f t="shared" si="236"/>
        <v>3.3333333340124227E-3</v>
      </c>
      <c r="AJ226" s="107">
        <f t="shared" si="237"/>
        <v>3.3333333340124227E-3</v>
      </c>
      <c r="AK226" s="107">
        <f t="shared" si="238"/>
        <v>3.3333333340124227E-3</v>
      </c>
      <c r="AL226" s="107">
        <f t="shared" si="239"/>
        <v>3.3333333340124227E-3</v>
      </c>
      <c r="AM226" s="107">
        <f t="shared" si="240"/>
        <v>3.3333333340124227E-3</v>
      </c>
      <c r="AN226" s="107">
        <f t="shared" si="241"/>
        <v>3.3333333340124227E-3</v>
      </c>
      <c r="AO226" s="107">
        <f t="shared" si="243"/>
        <v>3.3333333340124227E-3</v>
      </c>
      <c r="AP226" s="107"/>
      <c r="AQ226" s="126"/>
      <c r="AR226" s="107">
        <f t="shared" si="244"/>
        <v>0</v>
      </c>
      <c r="AS226" s="107">
        <f t="shared" si="245"/>
        <v>3.3333333340124227E-3</v>
      </c>
      <c r="AT226" s="107">
        <f t="shared" si="246"/>
        <v>3.3333333340124227E-3</v>
      </c>
      <c r="AU226" s="107">
        <f t="shared" si="247"/>
        <v>3.3333333340124227E-3</v>
      </c>
      <c r="AV226" s="107">
        <f t="shared" si="248"/>
        <v>3.3333333340124227E-3</v>
      </c>
      <c r="AW226" s="107">
        <f t="shared" si="249"/>
        <v>3.3333333340124227E-3</v>
      </c>
      <c r="AX226" s="107">
        <f t="shared" si="250"/>
        <v>3.3333333340124227E-3</v>
      </c>
      <c r="AY226" s="107">
        <f t="shared" si="251"/>
        <v>3.3333333340124227E-3</v>
      </c>
      <c r="AZ226" s="107">
        <f t="shared" si="252"/>
        <v>3.3333333340124227E-3</v>
      </c>
      <c r="BA226" s="107">
        <f t="shared" si="253"/>
        <v>3.3333333340124227E-3</v>
      </c>
      <c r="BB226" s="107">
        <f t="shared" si="254"/>
        <v>3.3333333340124227E-3</v>
      </c>
      <c r="BC226" s="107">
        <f t="shared" si="255"/>
        <v>3.3333333340124227E-3</v>
      </c>
      <c r="BD226" s="107">
        <f t="shared" si="256"/>
        <v>3.3333333340124227E-3</v>
      </c>
      <c r="BE226" s="124"/>
      <c r="BI226" s="127"/>
    </row>
    <row r="227" spans="1:75" hidden="1" x14ac:dyDescent="0.2">
      <c r="A227" s="123" t="str">
        <f>'[2]2021 УГРЦТ'!A229</f>
        <v>Камера КСО 393-03 №1112</v>
      </c>
      <c r="B227" s="124" t="str">
        <f>'[2]2021 УГРЦТ'!B229</f>
        <v>00001006</v>
      </c>
      <c r="C227" s="124" t="str">
        <f>VLOOKUP(A:A,'2023-2027'!A:L,1,+FALSE)</f>
        <v>Камера КСО 393-03 №1112</v>
      </c>
      <c r="D227" s="124" t="str">
        <f>'[2]2021 УГРЦТ'!C229</f>
        <v>ПЕРЕДАЧА</v>
      </c>
      <c r="E227" s="124" t="str">
        <f>'[2]2021 УГРЦТ'!D229</f>
        <v>Машины и оборудование (кроме офисного)</v>
      </c>
      <c r="F227" s="124" t="str">
        <f>'[2]2021 УГРЦТ'!E229</f>
        <v>30.11.2006</v>
      </c>
      <c r="G227" s="124" t="str">
        <f>'[2]2021 УГРЦТ'!F229</f>
        <v>Цех электрических сетей</v>
      </c>
      <c r="H227" s="124">
        <f>'[2]2021 УГРЦТ'!AC229</f>
        <v>180</v>
      </c>
      <c r="I227" s="107">
        <f>'[2]2021 УГРЦТ'!X229</f>
        <v>26916</v>
      </c>
      <c r="J227" s="107">
        <f>'[2]2021 УГРЦТ'!Y229</f>
        <v>26915.996666666666</v>
      </c>
      <c r="K227" s="107">
        <f>'[2]2021 УГРЦТ'!Z229</f>
        <v>3.3333333340124227E-3</v>
      </c>
      <c r="L227" s="125" t="e">
        <f>SUMIF([2]облаг!$B$2:$B$259,B227,[2]облаг!$D$2:$D$259)</f>
        <v>#VALUE!</v>
      </c>
      <c r="M227" s="107">
        <v>0</v>
      </c>
      <c r="N227" s="107">
        <f t="shared" si="203"/>
        <v>0</v>
      </c>
      <c r="O227" s="107">
        <f t="shared" si="204"/>
        <v>3.3333333340124227E-3</v>
      </c>
      <c r="P227" s="107">
        <f t="shared" si="205"/>
        <v>3.3333333340124227E-3</v>
      </c>
      <c r="Q227" s="107">
        <f t="shared" si="221"/>
        <v>3.3333333340124227E-3</v>
      </c>
      <c r="R227" s="107">
        <f t="shared" si="222"/>
        <v>3.3333333340124227E-3</v>
      </c>
      <c r="S227" s="107">
        <f t="shared" si="223"/>
        <v>3.3333333340124227E-3</v>
      </c>
      <c r="T227" s="107">
        <f t="shared" si="224"/>
        <v>3.3333333340124227E-3</v>
      </c>
      <c r="U227" s="107">
        <f t="shared" si="225"/>
        <v>3.3333333340124227E-3</v>
      </c>
      <c r="V227" s="107">
        <f t="shared" si="226"/>
        <v>3.3333333340124227E-3</v>
      </c>
      <c r="W227" s="107">
        <f t="shared" si="227"/>
        <v>3.3333333340124227E-3</v>
      </c>
      <c r="X227" s="107">
        <f t="shared" si="228"/>
        <v>3.3333333340124227E-3</v>
      </c>
      <c r="Y227" s="107">
        <f t="shared" si="229"/>
        <v>3.3333333340124227E-3</v>
      </c>
      <c r="Z227" s="107">
        <f t="shared" si="230"/>
        <v>3.3333333340124227E-3</v>
      </c>
      <c r="AA227" s="107"/>
      <c r="AB227" s="107"/>
      <c r="AC227" s="107">
        <f t="shared" si="242"/>
        <v>0</v>
      </c>
      <c r="AD227" s="107">
        <f t="shared" si="231"/>
        <v>3.3333333340124227E-3</v>
      </c>
      <c r="AE227" s="107">
        <f t="shared" si="232"/>
        <v>3.3333333340124227E-3</v>
      </c>
      <c r="AF227" s="107">
        <f t="shared" si="233"/>
        <v>3.3333333340124227E-3</v>
      </c>
      <c r="AG227" s="107">
        <f t="shared" si="234"/>
        <v>3.3333333340124227E-3</v>
      </c>
      <c r="AH227" s="107">
        <f t="shared" si="235"/>
        <v>3.3333333340124227E-3</v>
      </c>
      <c r="AI227" s="107">
        <f t="shared" si="236"/>
        <v>3.3333333340124227E-3</v>
      </c>
      <c r="AJ227" s="107">
        <f t="shared" si="237"/>
        <v>3.3333333340124227E-3</v>
      </c>
      <c r="AK227" s="107">
        <f t="shared" si="238"/>
        <v>3.3333333340124227E-3</v>
      </c>
      <c r="AL227" s="107">
        <f t="shared" si="239"/>
        <v>3.3333333340124227E-3</v>
      </c>
      <c r="AM227" s="107">
        <f t="shared" si="240"/>
        <v>3.3333333340124227E-3</v>
      </c>
      <c r="AN227" s="107">
        <f t="shared" si="241"/>
        <v>3.3333333340124227E-3</v>
      </c>
      <c r="AO227" s="107">
        <f t="shared" si="243"/>
        <v>3.3333333340124227E-3</v>
      </c>
      <c r="AP227" s="107"/>
      <c r="AQ227" s="126"/>
      <c r="AR227" s="107">
        <f t="shared" si="244"/>
        <v>0</v>
      </c>
      <c r="AS227" s="107">
        <f t="shared" si="245"/>
        <v>3.3333333340124227E-3</v>
      </c>
      <c r="AT227" s="107">
        <f t="shared" si="246"/>
        <v>3.3333333340124227E-3</v>
      </c>
      <c r="AU227" s="107">
        <f t="shared" si="247"/>
        <v>3.3333333340124227E-3</v>
      </c>
      <c r="AV227" s="107">
        <f t="shared" si="248"/>
        <v>3.3333333340124227E-3</v>
      </c>
      <c r="AW227" s="107">
        <f t="shared" si="249"/>
        <v>3.3333333340124227E-3</v>
      </c>
      <c r="AX227" s="107">
        <f t="shared" si="250"/>
        <v>3.3333333340124227E-3</v>
      </c>
      <c r="AY227" s="107">
        <f t="shared" si="251"/>
        <v>3.3333333340124227E-3</v>
      </c>
      <c r="AZ227" s="107">
        <f t="shared" si="252"/>
        <v>3.3333333340124227E-3</v>
      </c>
      <c r="BA227" s="107">
        <f t="shared" si="253"/>
        <v>3.3333333340124227E-3</v>
      </c>
      <c r="BB227" s="107">
        <f t="shared" si="254"/>
        <v>3.3333333340124227E-3</v>
      </c>
      <c r="BC227" s="107">
        <f t="shared" si="255"/>
        <v>3.3333333340124227E-3</v>
      </c>
      <c r="BD227" s="107">
        <f t="shared" si="256"/>
        <v>3.3333333340124227E-3</v>
      </c>
      <c r="BE227" s="124"/>
      <c r="BI227" s="127"/>
    </row>
    <row r="228" spans="1:75" hidden="1" x14ac:dyDescent="0.2">
      <c r="A228" s="123" t="str">
        <f>'[2]2021 УГРЦТ'!A230</f>
        <v>Камера КСО 393-03 №2</v>
      </c>
      <c r="B228" s="124" t="str">
        <f>'[2]2021 УГРЦТ'!B230</f>
        <v>00001241</v>
      </c>
      <c r="C228" s="124" t="str">
        <f>VLOOKUP(A:A,'2023-2027'!A:L,1,+FALSE)</f>
        <v>Камера КСО 393-03 №2</v>
      </c>
      <c r="D228" s="124" t="str">
        <f>'[2]2021 УГРЦТ'!C230</f>
        <v>ПЕРЕДАЧА</v>
      </c>
      <c r="E228" s="124" t="str">
        <f>'[2]2021 УГРЦТ'!D230</f>
        <v>Машины и оборудование (кроме офисного)</v>
      </c>
      <c r="F228" s="124" t="str">
        <f>'[2]2021 УГРЦТ'!E230</f>
        <v>31.10.2010</v>
      </c>
      <c r="G228" s="124" t="str">
        <f>'[2]2021 УГРЦТ'!F230</f>
        <v>Газотурбинный цех</v>
      </c>
      <c r="H228" s="124">
        <f>'[2]2021 УГРЦТ'!AC230</f>
        <v>180</v>
      </c>
      <c r="I228" s="107">
        <f>'[2]2021 УГРЦТ'!X230</f>
        <v>29086.7</v>
      </c>
      <c r="J228" s="107">
        <f>'[2]2021 УГРЦТ'!Y230</f>
        <v>21653.093333333334</v>
      </c>
      <c r="K228" s="107">
        <f>'[2]2021 УГРЦТ'!Z230</f>
        <v>7433.6066666666666</v>
      </c>
      <c r="L228" s="125" t="e">
        <f>SUMIF([2]облаг!$B$2:$B$259,B228,[2]облаг!$D$2:$D$259)</f>
        <v>#VALUE!</v>
      </c>
      <c r="M228" s="107">
        <f t="shared" si="202"/>
        <v>161.59277777777777</v>
      </c>
      <c r="N228" s="107">
        <f t="shared" si="203"/>
        <v>1939.1133333333332</v>
      </c>
      <c r="O228" s="107">
        <f t="shared" si="204"/>
        <v>7272.0138888888887</v>
      </c>
      <c r="P228" s="107">
        <f t="shared" si="205"/>
        <v>7110.4211111111108</v>
      </c>
      <c r="Q228" s="107">
        <f t="shared" si="221"/>
        <v>6948.8283333333329</v>
      </c>
      <c r="R228" s="107">
        <f t="shared" si="222"/>
        <v>6787.235555555555</v>
      </c>
      <c r="S228" s="107">
        <f t="shared" si="223"/>
        <v>6625.6427777777772</v>
      </c>
      <c r="T228" s="107">
        <f t="shared" si="224"/>
        <v>6464.0499999999993</v>
      </c>
      <c r="U228" s="107">
        <f t="shared" si="225"/>
        <v>6302.4572222222214</v>
      </c>
      <c r="V228" s="107">
        <f t="shared" si="226"/>
        <v>6140.8644444444435</v>
      </c>
      <c r="W228" s="107">
        <f t="shared" si="227"/>
        <v>5979.2716666666656</v>
      </c>
      <c r="X228" s="107">
        <f t="shared" si="228"/>
        <v>5817.6788888888877</v>
      </c>
      <c r="Y228" s="107">
        <f t="shared" si="229"/>
        <v>5656.0861111111099</v>
      </c>
      <c r="Z228" s="107">
        <f t="shared" si="230"/>
        <v>5494.493333333332</v>
      </c>
      <c r="AA228" s="107"/>
      <c r="AB228" s="107"/>
      <c r="AC228" s="107">
        <f t="shared" si="242"/>
        <v>1939.1133333333332</v>
      </c>
      <c r="AD228" s="107">
        <f t="shared" si="231"/>
        <v>5332.9005555555541</v>
      </c>
      <c r="AE228" s="107">
        <f t="shared" si="232"/>
        <v>5171.3077777777762</v>
      </c>
      <c r="AF228" s="107">
        <f t="shared" si="233"/>
        <v>5009.7149999999983</v>
      </c>
      <c r="AG228" s="107">
        <f t="shared" si="234"/>
        <v>4848.1222222222204</v>
      </c>
      <c r="AH228" s="107">
        <f t="shared" si="235"/>
        <v>4686.5294444444426</v>
      </c>
      <c r="AI228" s="107">
        <f t="shared" si="236"/>
        <v>4524.9366666666647</v>
      </c>
      <c r="AJ228" s="107">
        <f t="shared" si="237"/>
        <v>4363.3438888888868</v>
      </c>
      <c r="AK228" s="107">
        <f t="shared" si="238"/>
        <v>4201.7511111111089</v>
      </c>
      <c r="AL228" s="107">
        <f t="shared" si="239"/>
        <v>4040.158333333331</v>
      </c>
      <c r="AM228" s="107">
        <f t="shared" si="240"/>
        <v>3878.5655555555531</v>
      </c>
      <c r="AN228" s="107">
        <f t="shared" si="241"/>
        <v>3716.9727777777753</v>
      </c>
      <c r="AO228" s="107">
        <f t="shared" si="243"/>
        <v>3555.3799999999974</v>
      </c>
      <c r="AP228" s="107"/>
      <c r="AQ228" s="126"/>
      <c r="AR228" s="107">
        <f t="shared" si="244"/>
        <v>1939.1133333333332</v>
      </c>
      <c r="AS228" s="107">
        <f t="shared" si="245"/>
        <v>3393.7872222222195</v>
      </c>
      <c r="AT228" s="107">
        <f t="shared" si="246"/>
        <v>3232.1944444444416</v>
      </c>
      <c r="AU228" s="107">
        <f t="shared" si="247"/>
        <v>3070.6016666666637</v>
      </c>
      <c r="AV228" s="107">
        <f t="shared" si="248"/>
        <v>2909.0088888888858</v>
      </c>
      <c r="AW228" s="107">
        <f t="shared" si="249"/>
        <v>2747.416111111108</v>
      </c>
      <c r="AX228" s="107">
        <f t="shared" si="250"/>
        <v>2585.8233333333301</v>
      </c>
      <c r="AY228" s="107">
        <f t="shared" si="251"/>
        <v>2424.2305555555522</v>
      </c>
      <c r="AZ228" s="107">
        <f t="shared" si="252"/>
        <v>2262.6377777777743</v>
      </c>
      <c r="BA228" s="107">
        <f t="shared" si="253"/>
        <v>2101.0449999999964</v>
      </c>
      <c r="BB228" s="107">
        <f t="shared" si="254"/>
        <v>1939.4522222222186</v>
      </c>
      <c r="BC228" s="107">
        <f t="shared" si="255"/>
        <v>1777.8594444444407</v>
      </c>
      <c r="BD228" s="107">
        <f t="shared" si="256"/>
        <v>1616.2666666666628</v>
      </c>
      <c r="BE228" s="107"/>
      <c r="BF228" s="127"/>
      <c r="BG228" s="127"/>
      <c r="BI228" s="127"/>
      <c r="BJ228" s="127"/>
      <c r="BK228" s="127"/>
      <c r="BL228" s="127"/>
      <c r="BM228" s="127"/>
      <c r="BN228" s="127"/>
      <c r="BO228" s="127"/>
      <c r="BP228" s="127"/>
      <c r="BQ228" s="127"/>
      <c r="BR228" s="127"/>
      <c r="BS228" s="127"/>
      <c r="BT228" s="127"/>
      <c r="BU228" s="127"/>
      <c r="BV228" s="127"/>
    </row>
    <row r="229" spans="1:75" hidden="1" x14ac:dyDescent="0.2">
      <c r="A229" s="123" t="str">
        <f>'[2]2021 УГРЦТ'!A231</f>
        <v>Камера КСО 393-03 №3</v>
      </c>
      <c r="B229" s="124" t="str">
        <f>'[2]2021 УГРЦТ'!B231</f>
        <v>00001242</v>
      </c>
      <c r="C229" s="124" t="str">
        <f>VLOOKUP(A:A,'2023-2027'!A:L,1,+FALSE)</f>
        <v>Камера КСО 393-03 №3</v>
      </c>
      <c r="D229" s="124" t="str">
        <f>'[2]2021 УГРЦТ'!C231</f>
        <v>ПЕРЕДАЧА</v>
      </c>
      <c r="E229" s="124" t="str">
        <f>'[2]2021 УГРЦТ'!D231</f>
        <v>Машины и оборудование (кроме офисного)</v>
      </c>
      <c r="F229" s="124" t="str">
        <f>'[2]2021 УГРЦТ'!E231</f>
        <v>31.10.2010</v>
      </c>
      <c r="G229" s="124" t="str">
        <f>'[2]2021 УГРЦТ'!F231</f>
        <v>Газотурбинный цех</v>
      </c>
      <c r="H229" s="124">
        <f>'[2]2021 УГРЦТ'!AC231</f>
        <v>180</v>
      </c>
      <c r="I229" s="107">
        <f>'[2]2021 УГРЦТ'!X231</f>
        <v>29086.7</v>
      </c>
      <c r="J229" s="107">
        <f>'[2]2021 УГРЦТ'!Y231</f>
        <v>21653.093333333334</v>
      </c>
      <c r="K229" s="107">
        <f>'[2]2021 УГРЦТ'!Z231</f>
        <v>7433.6066666666666</v>
      </c>
      <c r="L229" s="125" t="e">
        <f>SUMIF([2]облаг!$B$2:$B$259,B229,[2]облаг!$D$2:$D$259)</f>
        <v>#VALUE!</v>
      </c>
      <c r="M229" s="107">
        <f t="shared" si="202"/>
        <v>161.59277777777777</v>
      </c>
      <c r="N229" s="107">
        <f t="shared" si="203"/>
        <v>1939.1133333333332</v>
      </c>
      <c r="O229" s="107">
        <f t="shared" si="204"/>
        <v>7272.0138888888887</v>
      </c>
      <c r="P229" s="107">
        <f t="shared" si="205"/>
        <v>7110.4211111111108</v>
      </c>
      <c r="Q229" s="107">
        <f t="shared" si="221"/>
        <v>6948.8283333333329</v>
      </c>
      <c r="R229" s="107">
        <f t="shared" si="222"/>
        <v>6787.235555555555</v>
      </c>
      <c r="S229" s="107">
        <f t="shared" si="223"/>
        <v>6625.6427777777772</v>
      </c>
      <c r="T229" s="107">
        <f t="shared" si="224"/>
        <v>6464.0499999999993</v>
      </c>
      <c r="U229" s="107">
        <f t="shared" si="225"/>
        <v>6302.4572222222214</v>
      </c>
      <c r="V229" s="107">
        <f t="shared" si="226"/>
        <v>6140.8644444444435</v>
      </c>
      <c r="W229" s="107">
        <f t="shared" si="227"/>
        <v>5979.2716666666656</v>
      </c>
      <c r="X229" s="107">
        <f t="shared" si="228"/>
        <v>5817.6788888888877</v>
      </c>
      <c r="Y229" s="107">
        <f t="shared" si="229"/>
        <v>5656.0861111111099</v>
      </c>
      <c r="Z229" s="107">
        <f t="shared" si="230"/>
        <v>5494.493333333332</v>
      </c>
      <c r="AA229" s="107"/>
      <c r="AB229" s="107"/>
      <c r="AC229" s="107">
        <f t="shared" si="242"/>
        <v>1939.1133333333332</v>
      </c>
      <c r="AD229" s="107">
        <f t="shared" si="231"/>
        <v>5332.9005555555541</v>
      </c>
      <c r="AE229" s="107">
        <f t="shared" si="232"/>
        <v>5171.3077777777762</v>
      </c>
      <c r="AF229" s="107">
        <f t="shared" si="233"/>
        <v>5009.7149999999983</v>
      </c>
      <c r="AG229" s="107">
        <f t="shared" si="234"/>
        <v>4848.1222222222204</v>
      </c>
      <c r="AH229" s="107">
        <f t="shared" si="235"/>
        <v>4686.5294444444426</v>
      </c>
      <c r="AI229" s="107">
        <f t="shared" si="236"/>
        <v>4524.9366666666647</v>
      </c>
      <c r="AJ229" s="107">
        <f t="shared" si="237"/>
        <v>4363.3438888888868</v>
      </c>
      <c r="AK229" s="107">
        <f t="shared" si="238"/>
        <v>4201.7511111111089</v>
      </c>
      <c r="AL229" s="107">
        <f t="shared" si="239"/>
        <v>4040.158333333331</v>
      </c>
      <c r="AM229" s="107">
        <f t="shared" si="240"/>
        <v>3878.5655555555531</v>
      </c>
      <c r="AN229" s="107">
        <f t="shared" si="241"/>
        <v>3716.9727777777753</v>
      </c>
      <c r="AO229" s="107">
        <f t="shared" si="243"/>
        <v>3555.3799999999974</v>
      </c>
      <c r="AP229" s="107"/>
      <c r="AQ229" s="126"/>
      <c r="AR229" s="107">
        <f t="shared" si="244"/>
        <v>1939.1133333333332</v>
      </c>
      <c r="AS229" s="107">
        <f t="shared" si="245"/>
        <v>3393.7872222222195</v>
      </c>
      <c r="AT229" s="107">
        <f t="shared" si="246"/>
        <v>3232.1944444444416</v>
      </c>
      <c r="AU229" s="107">
        <f t="shared" si="247"/>
        <v>3070.6016666666637</v>
      </c>
      <c r="AV229" s="107">
        <f t="shared" si="248"/>
        <v>2909.0088888888858</v>
      </c>
      <c r="AW229" s="107">
        <f t="shared" si="249"/>
        <v>2747.416111111108</v>
      </c>
      <c r="AX229" s="107">
        <f t="shared" si="250"/>
        <v>2585.8233333333301</v>
      </c>
      <c r="AY229" s="107">
        <f t="shared" si="251"/>
        <v>2424.2305555555522</v>
      </c>
      <c r="AZ229" s="107">
        <f t="shared" si="252"/>
        <v>2262.6377777777743</v>
      </c>
      <c r="BA229" s="107">
        <f t="shared" si="253"/>
        <v>2101.0449999999964</v>
      </c>
      <c r="BB229" s="107">
        <f t="shared" si="254"/>
        <v>1939.4522222222186</v>
      </c>
      <c r="BC229" s="107">
        <f t="shared" si="255"/>
        <v>1777.8594444444407</v>
      </c>
      <c r="BD229" s="107">
        <f t="shared" si="256"/>
        <v>1616.2666666666628</v>
      </c>
      <c r="BE229" s="107"/>
      <c r="BF229" s="127"/>
      <c r="BG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</row>
    <row r="230" spans="1:75" hidden="1" x14ac:dyDescent="0.2">
      <c r="A230" s="123" t="str">
        <f>'[2]2021 УГРЦТ'!A232</f>
        <v>Камера КСО 393-03 №4</v>
      </c>
      <c r="B230" s="124" t="str">
        <f>'[2]2021 УГРЦТ'!B232</f>
        <v>00001243</v>
      </c>
      <c r="C230" s="124" t="str">
        <f>VLOOKUP(A:A,'2023-2027'!A:L,1,+FALSE)</f>
        <v>Камера КСО 393-03 №4</v>
      </c>
      <c r="D230" s="124" t="str">
        <f>'[2]2021 УГРЦТ'!C232</f>
        <v>ПЕРЕДАЧА</v>
      </c>
      <c r="E230" s="124" t="str">
        <f>'[2]2021 УГРЦТ'!D232</f>
        <v>Машины и оборудование (кроме офисного)</v>
      </c>
      <c r="F230" s="124" t="str">
        <f>'[2]2021 УГРЦТ'!E232</f>
        <v>31.10.2010</v>
      </c>
      <c r="G230" s="124" t="str">
        <f>'[2]2021 УГРЦТ'!F232</f>
        <v>Газотурбинный цех</v>
      </c>
      <c r="H230" s="124">
        <f>'[2]2021 УГРЦТ'!AC232</f>
        <v>180</v>
      </c>
      <c r="I230" s="107">
        <f>'[2]2021 УГРЦТ'!X232</f>
        <v>29086.7</v>
      </c>
      <c r="J230" s="107">
        <f>'[2]2021 УГРЦТ'!Y232</f>
        <v>21653.093333333334</v>
      </c>
      <c r="K230" s="107">
        <f>'[2]2021 УГРЦТ'!Z232</f>
        <v>7433.6066666666666</v>
      </c>
      <c r="L230" s="125" t="e">
        <f>SUMIF([2]облаг!$B$2:$B$259,B230,[2]облаг!$D$2:$D$259)</f>
        <v>#VALUE!</v>
      </c>
      <c r="M230" s="107">
        <f t="shared" si="202"/>
        <v>161.59277777777777</v>
      </c>
      <c r="N230" s="107">
        <f t="shared" si="203"/>
        <v>1939.1133333333332</v>
      </c>
      <c r="O230" s="107">
        <f t="shared" si="204"/>
        <v>7272.0138888888887</v>
      </c>
      <c r="P230" s="107">
        <f t="shared" si="205"/>
        <v>7110.4211111111108</v>
      </c>
      <c r="Q230" s="107">
        <f t="shared" si="221"/>
        <v>6948.8283333333329</v>
      </c>
      <c r="R230" s="107">
        <f t="shared" si="222"/>
        <v>6787.235555555555</v>
      </c>
      <c r="S230" s="107">
        <f t="shared" si="223"/>
        <v>6625.6427777777772</v>
      </c>
      <c r="T230" s="107">
        <f t="shared" si="224"/>
        <v>6464.0499999999993</v>
      </c>
      <c r="U230" s="107">
        <f t="shared" si="225"/>
        <v>6302.4572222222214</v>
      </c>
      <c r="V230" s="107">
        <f t="shared" si="226"/>
        <v>6140.8644444444435</v>
      </c>
      <c r="W230" s="107">
        <f t="shared" si="227"/>
        <v>5979.2716666666656</v>
      </c>
      <c r="X230" s="107">
        <f t="shared" si="228"/>
        <v>5817.6788888888877</v>
      </c>
      <c r="Y230" s="107">
        <f t="shared" si="229"/>
        <v>5656.0861111111099</v>
      </c>
      <c r="Z230" s="107">
        <f t="shared" si="230"/>
        <v>5494.493333333332</v>
      </c>
      <c r="AA230" s="107"/>
      <c r="AB230" s="107"/>
      <c r="AC230" s="107">
        <f t="shared" si="242"/>
        <v>1939.1133333333332</v>
      </c>
      <c r="AD230" s="107">
        <f t="shared" si="231"/>
        <v>5332.9005555555541</v>
      </c>
      <c r="AE230" s="107">
        <f t="shared" si="232"/>
        <v>5171.3077777777762</v>
      </c>
      <c r="AF230" s="107">
        <f t="shared" si="233"/>
        <v>5009.7149999999983</v>
      </c>
      <c r="AG230" s="107">
        <f t="shared" si="234"/>
        <v>4848.1222222222204</v>
      </c>
      <c r="AH230" s="107">
        <f t="shared" si="235"/>
        <v>4686.5294444444426</v>
      </c>
      <c r="AI230" s="107">
        <f t="shared" si="236"/>
        <v>4524.9366666666647</v>
      </c>
      <c r="AJ230" s="107">
        <f t="shared" si="237"/>
        <v>4363.3438888888868</v>
      </c>
      <c r="AK230" s="107">
        <f t="shared" si="238"/>
        <v>4201.7511111111089</v>
      </c>
      <c r="AL230" s="107">
        <f t="shared" si="239"/>
        <v>4040.158333333331</v>
      </c>
      <c r="AM230" s="107">
        <f t="shared" si="240"/>
        <v>3878.5655555555531</v>
      </c>
      <c r="AN230" s="107">
        <f t="shared" si="241"/>
        <v>3716.9727777777753</v>
      </c>
      <c r="AO230" s="107">
        <f t="shared" si="243"/>
        <v>3555.3799999999974</v>
      </c>
      <c r="AP230" s="107"/>
      <c r="AQ230" s="126"/>
      <c r="AR230" s="107">
        <f t="shared" si="244"/>
        <v>1939.1133333333332</v>
      </c>
      <c r="AS230" s="107">
        <f t="shared" si="245"/>
        <v>3393.7872222222195</v>
      </c>
      <c r="AT230" s="107">
        <f t="shared" si="246"/>
        <v>3232.1944444444416</v>
      </c>
      <c r="AU230" s="107">
        <f t="shared" si="247"/>
        <v>3070.6016666666637</v>
      </c>
      <c r="AV230" s="107">
        <f t="shared" si="248"/>
        <v>2909.0088888888858</v>
      </c>
      <c r="AW230" s="107">
        <f t="shared" si="249"/>
        <v>2747.416111111108</v>
      </c>
      <c r="AX230" s="107">
        <f t="shared" si="250"/>
        <v>2585.8233333333301</v>
      </c>
      <c r="AY230" s="107">
        <f t="shared" si="251"/>
        <v>2424.2305555555522</v>
      </c>
      <c r="AZ230" s="107">
        <f t="shared" si="252"/>
        <v>2262.6377777777743</v>
      </c>
      <c r="BA230" s="107">
        <f t="shared" si="253"/>
        <v>2101.0449999999964</v>
      </c>
      <c r="BB230" s="107">
        <f t="shared" si="254"/>
        <v>1939.4522222222186</v>
      </c>
      <c r="BC230" s="107">
        <f t="shared" si="255"/>
        <v>1777.8594444444407</v>
      </c>
      <c r="BD230" s="107">
        <f t="shared" si="256"/>
        <v>1616.2666666666628</v>
      </c>
      <c r="BE230" s="107"/>
      <c r="BF230" s="127"/>
      <c r="BG230" s="127"/>
      <c r="BI230" s="127"/>
      <c r="BJ230" s="127"/>
      <c r="BK230" s="127"/>
      <c r="BL230" s="127"/>
      <c r="BM230" s="127"/>
      <c r="BN230" s="127"/>
      <c r="BO230" s="127"/>
      <c r="BP230" s="127"/>
      <c r="BQ230" s="127"/>
      <c r="BR230" s="127"/>
      <c r="BS230" s="127"/>
      <c r="BT230" s="127"/>
      <c r="BU230" s="127"/>
      <c r="BV230" s="127"/>
    </row>
    <row r="231" spans="1:75" hidden="1" x14ac:dyDescent="0.2">
      <c r="A231" s="123" t="str">
        <f>'[2]2021 УГРЦТ'!A233</f>
        <v>Камера КСО 393-03 №5</v>
      </c>
      <c r="B231" s="124" t="str">
        <f>'[2]2021 УГРЦТ'!B233</f>
        <v>00001244</v>
      </c>
      <c r="C231" s="124" t="str">
        <f>VLOOKUP(A:A,'2023-2027'!A:L,1,+FALSE)</f>
        <v>Камера КСО 393-03 №5</v>
      </c>
      <c r="D231" s="124" t="str">
        <f>'[2]2021 УГРЦТ'!C233</f>
        <v>ПЕРЕДАЧА</v>
      </c>
      <c r="E231" s="124" t="str">
        <f>'[2]2021 УГРЦТ'!D233</f>
        <v>Машины и оборудование (кроме офисного)</v>
      </c>
      <c r="F231" s="124" t="str">
        <f>'[2]2021 УГРЦТ'!E233</f>
        <v>31.10.2010</v>
      </c>
      <c r="G231" s="124" t="str">
        <f>'[2]2021 УГРЦТ'!F233</f>
        <v>Цех электрических сетей</v>
      </c>
      <c r="H231" s="124">
        <f>'[2]2021 УГРЦТ'!AC233</f>
        <v>180</v>
      </c>
      <c r="I231" s="107">
        <f>'[2]2021 УГРЦТ'!X233</f>
        <v>29086.7</v>
      </c>
      <c r="J231" s="107">
        <f>'[2]2021 УГРЦТ'!Y233</f>
        <v>21653.059999999998</v>
      </c>
      <c r="K231" s="107">
        <f>'[2]2021 УГРЦТ'!Z233</f>
        <v>7433.6400000000031</v>
      </c>
      <c r="L231" s="125" t="e">
        <f>SUMIF([2]облаг!$B$2:$B$259,B231,[2]облаг!$D$2:$D$259)</f>
        <v>#VALUE!</v>
      </c>
      <c r="M231" s="107">
        <f t="shared" si="202"/>
        <v>161.59277777777777</v>
      </c>
      <c r="N231" s="107">
        <f t="shared" si="203"/>
        <v>1939.1133333333332</v>
      </c>
      <c r="O231" s="107">
        <f t="shared" si="204"/>
        <v>7272.0472222222252</v>
      </c>
      <c r="P231" s="107">
        <f t="shared" si="205"/>
        <v>7110.4544444444473</v>
      </c>
      <c r="Q231" s="107">
        <f t="shared" si="221"/>
        <v>6948.8616666666694</v>
      </c>
      <c r="R231" s="107">
        <f t="shared" si="222"/>
        <v>6787.2688888888915</v>
      </c>
      <c r="S231" s="107">
        <f t="shared" si="223"/>
        <v>6625.6761111111136</v>
      </c>
      <c r="T231" s="107">
        <f t="shared" si="224"/>
        <v>6464.0833333333358</v>
      </c>
      <c r="U231" s="107">
        <f t="shared" si="225"/>
        <v>6302.4905555555579</v>
      </c>
      <c r="V231" s="107">
        <f t="shared" si="226"/>
        <v>6140.89777777778</v>
      </c>
      <c r="W231" s="107">
        <f t="shared" si="227"/>
        <v>5979.3050000000021</v>
      </c>
      <c r="X231" s="107">
        <f t="shared" si="228"/>
        <v>5817.7122222222242</v>
      </c>
      <c r="Y231" s="107">
        <f t="shared" si="229"/>
        <v>5656.1194444444463</v>
      </c>
      <c r="Z231" s="107">
        <f t="shared" si="230"/>
        <v>5494.5266666666685</v>
      </c>
      <c r="AA231" s="107"/>
      <c r="AB231" s="107"/>
      <c r="AC231" s="107">
        <f t="shared" si="242"/>
        <v>1939.1133333333332</v>
      </c>
      <c r="AD231" s="107">
        <f t="shared" si="231"/>
        <v>5332.9338888888906</v>
      </c>
      <c r="AE231" s="107">
        <f t="shared" si="232"/>
        <v>5171.3411111111127</v>
      </c>
      <c r="AF231" s="107">
        <f t="shared" si="233"/>
        <v>5009.7483333333348</v>
      </c>
      <c r="AG231" s="107">
        <f t="shared" si="234"/>
        <v>4848.1555555555569</v>
      </c>
      <c r="AH231" s="107">
        <f t="shared" si="235"/>
        <v>4686.562777777779</v>
      </c>
      <c r="AI231" s="107">
        <f t="shared" si="236"/>
        <v>4524.9700000000012</v>
      </c>
      <c r="AJ231" s="107">
        <f t="shared" si="237"/>
        <v>4363.3772222222233</v>
      </c>
      <c r="AK231" s="107">
        <f t="shared" si="238"/>
        <v>4201.7844444444454</v>
      </c>
      <c r="AL231" s="107">
        <f t="shared" si="239"/>
        <v>4040.1916666666675</v>
      </c>
      <c r="AM231" s="107">
        <f t="shared" si="240"/>
        <v>3878.5988888888896</v>
      </c>
      <c r="AN231" s="107">
        <f t="shared" si="241"/>
        <v>3717.0061111111117</v>
      </c>
      <c r="AO231" s="107">
        <f t="shared" si="243"/>
        <v>3555.4133333333339</v>
      </c>
      <c r="AP231" s="107"/>
      <c r="AQ231" s="126"/>
      <c r="AR231" s="107">
        <f t="shared" si="244"/>
        <v>1939.1133333333332</v>
      </c>
      <c r="AS231" s="107">
        <f t="shared" si="245"/>
        <v>3393.820555555556</v>
      </c>
      <c r="AT231" s="107">
        <f t="shared" si="246"/>
        <v>3232.2277777777781</v>
      </c>
      <c r="AU231" s="107">
        <f t="shared" si="247"/>
        <v>3070.6350000000002</v>
      </c>
      <c r="AV231" s="107">
        <f t="shared" si="248"/>
        <v>2909.0422222222223</v>
      </c>
      <c r="AW231" s="107">
        <f t="shared" si="249"/>
        <v>2747.4494444444445</v>
      </c>
      <c r="AX231" s="107">
        <f t="shared" si="250"/>
        <v>2585.8566666666666</v>
      </c>
      <c r="AY231" s="107">
        <f t="shared" si="251"/>
        <v>2424.2638888888887</v>
      </c>
      <c r="AZ231" s="107">
        <f t="shared" si="252"/>
        <v>2262.6711111111108</v>
      </c>
      <c r="BA231" s="107">
        <f t="shared" si="253"/>
        <v>2101.0783333333329</v>
      </c>
      <c r="BB231" s="107">
        <f t="shared" si="254"/>
        <v>1939.485555555555</v>
      </c>
      <c r="BC231" s="107">
        <f t="shared" si="255"/>
        <v>1777.8927777777772</v>
      </c>
      <c r="BD231" s="107">
        <f t="shared" si="256"/>
        <v>1616.2999999999993</v>
      </c>
      <c r="BE231" s="107"/>
      <c r="BF231" s="127"/>
      <c r="BG231" s="127"/>
      <c r="BI231" s="127"/>
      <c r="BJ231" s="127"/>
      <c r="BK231" s="127"/>
      <c r="BL231" s="127"/>
      <c r="BM231" s="127"/>
      <c r="BN231" s="127"/>
      <c r="BO231" s="127"/>
      <c r="BP231" s="127"/>
      <c r="BQ231" s="127"/>
      <c r="BR231" s="127"/>
      <c r="BS231" s="127"/>
      <c r="BT231" s="127"/>
      <c r="BU231" s="127"/>
      <c r="BV231" s="127"/>
    </row>
    <row r="232" spans="1:75" hidden="1" x14ac:dyDescent="0.2">
      <c r="A232" s="123" t="str">
        <f>'[2]2021 УГРЦТ'!A234</f>
        <v>Камера КСО 393-03 №6</v>
      </c>
      <c r="B232" s="124" t="str">
        <f>'[2]2021 УГРЦТ'!B234</f>
        <v>00001245</v>
      </c>
      <c r="C232" s="124" t="str">
        <f>VLOOKUP(A:A,'2023-2027'!A:L,1,+FALSE)</f>
        <v>Камера КСО 393-03 №6</v>
      </c>
      <c r="D232" s="124" t="str">
        <f>'[2]2021 УГРЦТ'!C234</f>
        <v>ПЕРЕДАЧА</v>
      </c>
      <c r="E232" s="124" t="str">
        <f>'[2]2021 УГРЦТ'!D234</f>
        <v>Машины и оборудование (кроме офисного)</v>
      </c>
      <c r="F232" s="124" t="str">
        <f>'[2]2021 УГРЦТ'!E234</f>
        <v>31.10.2010</v>
      </c>
      <c r="G232" s="124" t="str">
        <f>'[2]2021 УГРЦТ'!F234</f>
        <v>Цех электрических сетей</v>
      </c>
      <c r="H232" s="124">
        <f>'[2]2021 УГРЦТ'!AC234</f>
        <v>180</v>
      </c>
      <c r="I232" s="107">
        <f>'[2]2021 УГРЦТ'!X234</f>
        <v>29086.7</v>
      </c>
      <c r="J232" s="107">
        <f>'[2]2021 УГРЦТ'!Y234</f>
        <v>21653.093333333334</v>
      </c>
      <c r="K232" s="107">
        <f>'[2]2021 УГРЦТ'!Z234</f>
        <v>7433.6066666666666</v>
      </c>
      <c r="L232" s="125" t="e">
        <f>SUMIF([2]облаг!$B$2:$B$259,B232,[2]облаг!$D$2:$D$259)</f>
        <v>#VALUE!</v>
      </c>
      <c r="M232" s="107">
        <f t="shared" si="202"/>
        <v>161.59277777777777</v>
      </c>
      <c r="N232" s="107">
        <f t="shared" si="203"/>
        <v>1939.1133333333332</v>
      </c>
      <c r="O232" s="107">
        <f t="shared" si="204"/>
        <v>7272.0138888888887</v>
      </c>
      <c r="P232" s="107">
        <f t="shared" si="205"/>
        <v>7110.4211111111108</v>
      </c>
      <c r="Q232" s="107">
        <f t="shared" si="221"/>
        <v>6948.8283333333329</v>
      </c>
      <c r="R232" s="107">
        <f t="shared" si="222"/>
        <v>6787.235555555555</v>
      </c>
      <c r="S232" s="107">
        <f t="shared" si="223"/>
        <v>6625.6427777777772</v>
      </c>
      <c r="T232" s="107">
        <f t="shared" si="224"/>
        <v>6464.0499999999993</v>
      </c>
      <c r="U232" s="107">
        <f t="shared" si="225"/>
        <v>6302.4572222222214</v>
      </c>
      <c r="V232" s="107">
        <f t="shared" si="226"/>
        <v>6140.8644444444435</v>
      </c>
      <c r="W232" s="107">
        <f t="shared" si="227"/>
        <v>5979.2716666666656</v>
      </c>
      <c r="X232" s="107">
        <f t="shared" si="228"/>
        <v>5817.6788888888877</v>
      </c>
      <c r="Y232" s="107">
        <f t="shared" si="229"/>
        <v>5656.0861111111099</v>
      </c>
      <c r="Z232" s="107">
        <f t="shared" si="230"/>
        <v>5494.493333333332</v>
      </c>
      <c r="AA232" s="107"/>
      <c r="AB232" s="107"/>
      <c r="AC232" s="107">
        <f t="shared" si="242"/>
        <v>1939.1133333333332</v>
      </c>
      <c r="AD232" s="107">
        <f t="shared" si="231"/>
        <v>5332.9005555555541</v>
      </c>
      <c r="AE232" s="107">
        <f t="shared" si="232"/>
        <v>5171.3077777777762</v>
      </c>
      <c r="AF232" s="107">
        <f t="shared" si="233"/>
        <v>5009.7149999999983</v>
      </c>
      <c r="AG232" s="107">
        <f t="shared" si="234"/>
        <v>4848.1222222222204</v>
      </c>
      <c r="AH232" s="107">
        <f t="shared" si="235"/>
        <v>4686.5294444444426</v>
      </c>
      <c r="AI232" s="107">
        <f t="shared" si="236"/>
        <v>4524.9366666666647</v>
      </c>
      <c r="AJ232" s="107">
        <f t="shared" si="237"/>
        <v>4363.3438888888868</v>
      </c>
      <c r="AK232" s="107">
        <f t="shared" si="238"/>
        <v>4201.7511111111089</v>
      </c>
      <c r="AL232" s="107">
        <f t="shared" si="239"/>
        <v>4040.158333333331</v>
      </c>
      <c r="AM232" s="107">
        <f t="shared" si="240"/>
        <v>3878.5655555555531</v>
      </c>
      <c r="AN232" s="107">
        <f t="shared" si="241"/>
        <v>3716.9727777777753</v>
      </c>
      <c r="AO232" s="107">
        <f t="shared" si="243"/>
        <v>3555.3799999999974</v>
      </c>
      <c r="AP232" s="107"/>
      <c r="AQ232" s="126"/>
      <c r="AR232" s="107">
        <f t="shared" si="244"/>
        <v>1939.1133333333332</v>
      </c>
      <c r="AS232" s="107">
        <f t="shared" si="245"/>
        <v>3393.7872222222195</v>
      </c>
      <c r="AT232" s="107">
        <f t="shared" si="246"/>
        <v>3232.1944444444416</v>
      </c>
      <c r="AU232" s="107">
        <f t="shared" si="247"/>
        <v>3070.6016666666637</v>
      </c>
      <c r="AV232" s="107">
        <f t="shared" si="248"/>
        <v>2909.0088888888858</v>
      </c>
      <c r="AW232" s="107">
        <f t="shared" si="249"/>
        <v>2747.416111111108</v>
      </c>
      <c r="AX232" s="107">
        <f t="shared" si="250"/>
        <v>2585.8233333333301</v>
      </c>
      <c r="AY232" s="107">
        <f t="shared" si="251"/>
        <v>2424.2305555555522</v>
      </c>
      <c r="AZ232" s="107">
        <f t="shared" si="252"/>
        <v>2262.6377777777743</v>
      </c>
      <c r="BA232" s="107">
        <f t="shared" si="253"/>
        <v>2101.0449999999964</v>
      </c>
      <c r="BB232" s="107">
        <f t="shared" si="254"/>
        <v>1939.4522222222186</v>
      </c>
      <c r="BC232" s="107">
        <f t="shared" si="255"/>
        <v>1777.8594444444407</v>
      </c>
      <c r="BD232" s="107">
        <f t="shared" si="256"/>
        <v>1616.2666666666628</v>
      </c>
      <c r="BE232" s="107"/>
      <c r="BF232" s="127"/>
      <c r="BG232" s="127"/>
      <c r="BI232" s="127"/>
      <c r="BJ232" s="127"/>
      <c r="BK232" s="127"/>
      <c r="BL232" s="127"/>
      <c r="BM232" s="127"/>
      <c r="BN232" s="127"/>
      <c r="BO232" s="127"/>
      <c r="BP232" s="127"/>
      <c r="BQ232" s="127"/>
      <c r="BR232" s="127"/>
      <c r="BS232" s="127"/>
      <c r="BT232" s="127"/>
      <c r="BU232" s="127"/>
      <c r="BV232" s="127"/>
    </row>
    <row r="233" spans="1:75" ht="22.5" hidden="1" x14ac:dyDescent="0.2">
      <c r="A233" s="123" t="str">
        <f>'[2]2021 УГРЦТ'!A235</f>
        <v>Камера КСО 393-04 (панель трансформатора), зав.№2235.9</v>
      </c>
      <c r="B233" s="124" t="str">
        <f>'[2]2021 УГРЦТ'!B235</f>
        <v>000001741</v>
      </c>
      <c r="C233" s="124" t="str">
        <f>VLOOKUP(A:A,'2023-2027'!A:L,1,+FALSE)</f>
        <v>Камера КСО 393-04 (панель трансформатора), зав.№2235.9</v>
      </c>
      <c r="D233" s="124" t="str">
        <f>'[2]2021 УГРЦТ'!C235</f>
        <v>ПЕРЕДАЧА</v>
      </c>
      <c r="E233" s="124" t="str">
        <f>'[2]2021 УГРЦТ'!D235</f>
        <v>Машины и оборудование (кроме офисного)</v>
      </c>
      <c r="F233" s="124" t="str">
        <f>'[2]2021 УГРЦТ'!E235</f>
        <v>31.07.2018</v>
      </c>
      <c r="G233" s="124" t="str">
        <f>'[2]2021 УГРЦТ'!F235</f>
        <v>Цех электрических сетей</v>
      </c>
      <c r="H233" s="124">
        <f>'[2]2021 УГРЦТ'!AC235</f>
        <v>240</v>
      </c>
      <c r="I233" s="107">
        <f>'[2]2021 УГРЦТ'!X235</f>
        <v>43196.81</v>
      </c>
      <c r="J233" s="107">
        <f>'[2]2021 УГРЦТ'!Y235</f>
        <v>7379.5504999999994</v>
      </c>
      <c r="K233" s="107">
        <f>'[2]2021 УГРЦТ'!Z235</f>
        <v>35817.2595</v>
      </c>
      <c r="L233" s="125" t="e">
        <f>SUMIF([2]облаг!$B$2:$B$259,B233,[2]облаг!$D$2:$D$259)</f>
        <v>#VALUE!</v>
      </c>
      <c r="M233" s="107">
        <f t="shared" si="202"/>
        <v>179.98670833333333</v>
      </c>
      <c r="N233" s="107">
        <f t="shared" si="203"/>
        <v>2159.8404999999998</v>
      </c>
      <c r="O233" s="107">
        <f t="shared" si="204"/>
        <v>35637.27279166667</v>
      </c>
      <c r="P233" s="107">
        <f t="shared" si="205"/>
        <v>35457.28608333334</v>
      </c>
      <c r="Q233" s="107">
        <f t="shared" si="221"/>
        <v>35277.29937500001</v>
      </c>
      <c r="R233" s="107">
        <f t="shared" si="222"/>
        <v>35097.312666666679</v>
      </c>
      <c r="S233" s="107">
        <f t="shared" si="223"/>
        <v>34917.325958333349</v>
      </c>
      <c r="T233" s="107">
        <f t="shared" si="224"/>
        <v>34737.339250000019</v>
      </c>
      <c r="U233" s="107">
        <f t="shared" si="225"/>
        <v>34557.352541666689</v>
      </c>
      <c r="V233" s="107">
        <f t="shared" si="226"/>
        <v>34377.365833333359</v>
      </c>
      <c r="W233" s="107">
        <f t="shared" si="227"/>
        <v>34197.379125000029</v>
      </c>
      <c r="X233" s="107">
        <f t="shared" si="228"/>
        <v>34017.392416666698</v>
      </c>
      <c r="Y233" s="107">
        <f t="shared" si="229"/>
        <v>33837.405708333368</v>
      </c>
      <c r="Z233" s="107">
        <f t="shared" si="230"/>
        <v>33657.419000000038</v>
      </c>
      <c r="AA233" s="107"/>
      <c r="AB233" s="107"/>
      <c r="AC233" s="107">
        <f t="shared" si="242"/>
        <v>2159.8404999999998</v>
      </c>
      <c r="AD233" s="107">
        <f t="shared" si="231"/>
        <v>33477.432291666708</v>
      </c>
      <c r="AE233" s="107">
        <f t="shared" si="232"/>
        <v>33297.445583333378</v>
      </c>
      <c r="AF233" s="107">
        <f t="shared" si="233"/>
        <v>33117.458875000048</v>
      </c>
      <c r="AG233" s="107">
        <f t="shared" si="234"/>
        <v>32937.472166666717</v>
      </c>
      <c r="AH233" s="107">
        <f t="shared" si="235"/>
        <v>32757.485458333384</v>
      </c>
      <c r="AI233" s="107">
        <f t="shared" si="236"/>
        <v>32577.49875000005</v>
      </c>
      <c r="AJ233" s="107">
        <f t="shared" si="237"/>
        <v>32397.512041666716</v>
      </c>
      <c r="AK233" s="107">
        <f t="shared" si="238"/>
        <v>32217.525333333382</v>
      </c>
      <c r="AL233" s="107">
        <f t="shared" si="239"/>
        <v>32037.538625000048</v>
      </c>
      <c r="AM233" s="107">
        <f t="shared" si="240"/>
        <v>31857.551916666715</v>
      </c>
      <c r="AN233" s="107">
        <f t="shared" si="241"/>
        <v>31677.565208333381</v>
      </c>
      <c r="AO233" s="107">
        <f t="shared" si="243"/>
        <v>31497.578500000047</v>
      </c>
      <c r="AP233" s="107"/>
      <c r="AQ233" s="126"/>
      <c r="AR233" s="107">
        <f t="shared" si="244"/>
        <v>2159.8404999999998</v>
      </c>
      <c r="AS233" s="107">
        <f t="shared" si="245"/>
        <v>31317.591791666713</v>
      </c>
      <c r="AT233" s="107">
        <f t="shared" si="246"/>
        <v>31137.605083333379</v>
      </c>
      <c r="AU233" s="107">
        <f t="shared" si="247"/>
        <v>30957.618375000045</v>
      </c>
      <c r="AV233" s="107">
        <f t="shared" si="248"/>
        <v>30777.631666666712</v>
      </c>
      <c r="AW233" s="107">
        <f t="shared" si="249"/>
        <v>30597.644958333378</v>
      </c>
      <c r="AX233" s="107">
        <f t="shared" si="250"/>
        <v>30417.658250000044</v>
      </c>
      <c r="AY233" s="107">
        <f t="shared" si="251"/>
        <v>30237.67154166671</v>
      </c>
      <c r="AZ233" s="107">
        <f t="shared" si="252"/>
        <v>30057.684833333376</v>
      </c>
      <c r="BA233" s="107">
        <f t="shared" si="253"/>
        <v>29877.698125000043</v>
      </c>
      <c r="BB233" s="107">
        <f t="shared" si="254"/>
        <v>29697.711416666709</v>
      </c>
      <c r="BC233" s="107">
        <f t="shared" si="255"/>
        <v>29517.724708333375</v>
      </c>
      <c r="BD233" s="107">
        <f t="shared" si="256"/>
        <v>29337.738000000041</v>
      </c>
      <c r="BE233" s="107"/>
      <c r="BF233" s="127"/>
      <c r="BG233" s="127"/>
      <c r="BH233" s="127"/>
      <c r="BI233" s="127"/>
      <c r="BJ233" s="127"/>
      <c r="BK233" s="127"/>
      <c r="BL233" s="127"/>
      <c r="BM233" s="127"/>
      <c r="BN233" s="127"/>
      <c r="BO233" s="127"/>
      <c r="BP233" s="127"/>
      <c r="BQ233" s="127"/>
      <c r="BR233" s="127"/>
      <c r="BS233" s="127"/>
      <c r="BT233" s="127"/>
      <c r="BU233" s="127"/>
      <c r="BV233" s="127"/>
      <c r="BW233" s="127"/>
    </row>
    <row r="234" spans="1:75" hidden="1" x14ac:dyDescent="0.2">
      <c r="A234" s="123" t="str">
        <f>'[2]2021 УГРЦТ'!A236</f>
        <v>Камера КСО 393-04 №1</v>
      </c>
      <c r="B234" s="124" t="str">
        <f>'[2]2021 УГРЦТ'!B236</f>
        <v>00001246</v>
      </c>
      <c r="C234" s="124" t="str">
        <f>VLOOKUP(A:A,'2023-2027'!A:L,1,+FALSE)</f>
        <v>Камера КСО 393-04 №1</v>
      </c>
      <c r="D234" s="124" t="str">
        <f>'[2]2021 УГРЦТ'!C236</f>
        <v>ПЕРЕДАЧА</v>
      </c>
      <c r="E234" s="124" t="str">
        <f>'[2]2021 УГРЦТ'!D236</f>
        <v>Машины и оборудование (кроме офисного)</v>
      </c>
      <c r="F234" s="124" t="str">
        <f>'[2]2021 УГРЦТ'!E236</f>
        <v>31.10.2010</v>
      </c>
      <c r="G234" s="124" t="str">
        <f>'[2]2021 УГРЦТ'!F236</f>
        <v>Цех электрических сетей</v>
      </c>
      <c r="H234" s="124">
        <f>'[2]2021 УГРЦТ'!AC236</f>
        <v>180</v>
      </c>
      <c r="I234" s="107">
        <f>'[2]2021 УГРЦТ'!X236</f>
        <v>34199.17</v>
      </c>
      <c r="J234" s="107">
        <f>'[2]2021 УГРЦТ'!Y236</f>
        <v>25459.944666666666</v>
      </c>
      <c r="K234" s="107">
        <f>'[2]2021 УГРЦТ'!Z236</f>
        <v>8739.2253333333319</v>
      </c>
      <c r="L234" s="125" t="e">
        <f>SUMIF([2]облаг!$B$2:$B$259,B234,[2]облаг!$D$2:$D$259)</f>
        <v>#VALUE!</v>
      </c>
      <c r="M234" s="107">
        <f t="shared" si="202"/>
        <v>189.99538888888887</v>
      </c>
      <c r="N234" s="107">
        <f t="shared" si="203"/>
        <v>2279.9446666666663</v>
      </c>
      <c r="O234" s="107">
        <f t="shared" si="204"/>
        <v>8549.2299444444434</v>
      </c>
      <c r="P234" s="107">
        <f t="shared" si="205"/>
        <v>8359.2345555555548</v>
      </c>
      <c r="Q234" s="107">
        <f t="shared" si="221"/>
        <v>8169.2391666666663</v>
      </c>
      <c r="R234" s="107">
        <f t="shared" si="222"/>
        <v>7979.2437777777777</v>
      </c>
      <c r="S234" s="107">
        <f t="shared" si="223"/>
        <v>7789.2483888888892</v>
      </c>
      <c r="T234" s="107">
        <f t="shared" si="224"/>
        <v>7599.2530000000006</v>
      </c>
      <c r="U234" s="107">
        <f t="shared" si="225"/>
        <v>7409.2576111111121</v>
      </c>
      <c r="V234" s="107">
        <f t="shared" si="226"/>
        <v>7219.2622222222235</v>
      </c>
      <c r="W234" s="107">
        <f t="shared" si="227"/>
        <v>7029.2668333333349</v>
      </c>
      <c r="X234" s="107">
        <f t="shared" si="228"/>
        <v>6839.2714444444464</v>
      </c>
      <c r="Y234" s="107">
        <f t="shared" si="229"/>
        <v>6649.2760555555578</v>
      </c>
      <c r="Z234" s="107">
        <f t="shared" si="230"/>
        <v>6459.2806666666693</v>
      </c>
      <c r="AA234" s="107"/>
      <c r="AB234" s="107"/>
      <c r="AC234" s="107">
        <f t="shared" si="242"/>
        <v>2279.9446666666663</v>
      </c>
      <c r="AD234" s="107">
        <f t="shared" si="231"/>
        <v>6269.2852777777807</v>
      </c>
      <c r="AE234" s="107">
        <f t="shared" si="232"/>
        <v>6079.2898888888922</v>
      </c>
      <c r="AF234" s="107">
        <f t="shared" si="233"/>
        <v>5889.2945000000036</v>
      </c>
      <c r="AG234" s="107">
        <f t="shared" si="234"/>
        <v>5699.2991111111151</v>
      </c>
      <c r="AH234" s="107">
        <f t="shared" si="235"/>
        <v>5509.3037222222265</v>
      </c>
      <c r="AI234" s="107">
        <f t="shared" si="236"/>
        <v>5319.3083333333379</v>
      </c>
      <c r="AJ234" s="107">
        <f t="shared" si="237"/>
        <v>5129.3129444444494</v>
      </c>
      <c r="AK234" s="107">
        <f t="shared" si="238"/>
        <v>4939.3175555555608</v>
      </c>
      <c r="AL234" s="107">
        <f t="shared" si="239"/>
        <v>4749.3221666666723</v>
      </c>
      <c r="AM234" s="107">
        <f t="shared" si="240"/>
        <v>4559.3267777777837</v>
      </c>
      <c r="AN234" s="107">
        <f t="shared" si="241"/>
        <v>4369.3313888888952</v>
      </c>
      <c r="AO234" s="107">
        <f t="shared" si="243"/>
        <v>4179.3360000000066</v>
      </c>
      <c r="AP234" s="107"/>
      <c r="AQ234" s="126"/>
      <c r="AR234" s="107">
        <f t="shared" si="244"/>
        <v>2279.9446666666663</v>
      </c>
      <c r="AS234" s="107">
        <f t="shared" si="245"/>
        <v>3989.3406111111176</v>
      </c>
      <c r="AT234" s="107">
        <f t="shared" si="246"/>
        <v>3799.3452222222286</v>
      </c>
      <c r="AU234" s="107">
        <f t="shared" si="247"/>
        <v>3609.3498333333396</v>
      </c>
      <c r="AV234" s="107">
        <f t="shared" si="248"/>
        <v>3419.3544444444506</v>
      </c>
      <c r="AW234" s="107">
        <f t="shared" si="249"/>
        <v>3229.3590555555616</v>
      </c>
      <c r="AX234" s="107">
        <f t="shared" si="250"/>
        <v>3039.3636666666725</v>
      </c>
      <c r="AY234" s="107">
        <f t="shared" si="251"/>
        <v>2849.3682777777835</v>
      </c>
      <c r="AZ234" s="107">
        <f t="shared" si="252"/>
        <v>2659.3728888888945</v>
      </c>
      <c r="BA234" s="107">
        <f t="shared" si="253"/>
        <v>2469.3775000000055</v>
      </c>
      <c r="BB234" s="107">
        <f t="shared" si="254"/>
        <v>2279.3821111111165</v>
      </c>
      <c r="BC234" s="107">
        <f t="shared" si="255"/>
        <v>2089.3867222222275</v>
      </c>
      <c r="BD234" s="107">
        <f t="shared" si="256"/>
        <v>1899.3913333333387</v>
      </c>
      <c r="BE234" s="107"/>
      <c r="BF234" s="127"/>
      <c r="BG234" s="127"/>
      <c r="BI234" s="127"/>
      <c r="BJ234" s="127"/>
      <c r="BK234" s="127"/>
      <c r="BL234" s="127"/>
      <c r="BM234" s="127"/>
      <c r="BN234" s="127"/>
      <c r="BO234" s="127"/>
      <c r="BP234" s="127"/>
      <c r="BQ234" s="127"/>
      <c r="BR234" s="127"/>
      <c r="BS234" s="127"/>
      <c r="BT234" s="127"/>
      <c r="BU234" s="127"/>
      <c r="BV234" s="127"/>
    </row>
    <row r="235" spans="1:75" hidden="1" x14ac:dyDescent="0.2">
      <c r="A235" s="123" t="str">
        <f>'[2]2021 УГРЦТ'!A237</f>
        <v>Камера КСО 393-04 №2</v>
      </c>
      <c r="B235" s="124" t="str">
        <f>'[2]2021 УГРЦТ'!B237</f>
        <v>00001247</v>
      </c>
      <c r="C235" s="124" t="str">
        <f>VLOOKUP(A:A,'2023-2027'!A:L,1,+FALSE)</f>
        <v>Камера КСО 393-04 №2</v>
      </c>
      <c r="D235" s="124" t="str">
        <f>'[2]2021 УГРЦТ'!C237</f>
        <v>ПЕРЕДАЧА</v>
      </c>
      <c r="E235" s="124" t="str">
        <f>'[2]2021 УГРЦТ'!D237</f>
        <v>Машины и оборудование (кроме офисного)</v>
      </c>
      <c r="F235" s="124" t="str">
        <f>'[2]2021 УГРЦТ'!E237</f>
        <v>31.10.2010</v>
      </c>
      <c r="G235" s="124" t="str">
        <f>'[2]2021 УГРЦТ'!F237</f>
        <v>Газотурбинный цех</v>
      </c>
      <c r="H235" s="124">
        <f>'[2]2021 УГРЦТ'!AC237</f>
        <v>180</v>
      </c>
      <c r="I235" s="107">
        <f>'[2]2021 УГРЦТ'!X237</f>
        <v>34199.17</v>
      </c>
      <c r="J235" s="107">
        <f>'[2]2021 УГРЦТ'!Y237</f>
        <v>25459.944666666666</v>
      </c>
      <c r="K235" s="107">
        <f>'[2]2021 УГРЦТ'!Z237</f>
        <v>8739.2253333333319</v>
      </c>
      <c r="L235" s="125" t="e">
        <f>SUMIF([2]облаг!$B$2:$B$259,B235,[2]облаг!$D$2:$D$259)</f>
        <v>#VALUE!</v>
      </c>
      <c r="M235" s="107">
        <f t="shared" si="202"/>
        <v>189.99538888888887</v>
      </c>
      <c r="N235" s="107">
        <f t="shared" si="203"/>
        <v>2279.9446666666663</v>
      </c>
      <c r="O235" s="107">
        <f t="shared" si="204"/>
        <v>8549.2299444444434</v>
      </c>
      <c r="P235" s="107">
        <f t="shared" si="205"/>
        <v>8359.2345555555548</v>
      </c>
      <c r="Q235" s="107">
        <f t="shared" si="221"/>
        <v>8169.2391666666663</v>
      </c>
      <c r="R235" s="107">
        <f t="shared" si="222"/>
        <v>7979.2437777777777</v>
      </c>
      <c r="S235" s="107">
        <f t="shared" si="223"/>
        <v>7789.2483888888892</v>
      </c>
      <c r="T235" s="107">
        <f t="shared" si="224"/>
        <v>7599.2530000000006</v>
      </c>
      <c r="U235" s="107">
        <f t="shared" si="225"/>
        <v>7409.2576111111121</v>
      </c>
      <c r="V235" s="107">
        <f t="shared" si="226"/>
        <v>7219.2622222222235</v>
      </c>
      <c r="W235" s="107">
        <f t="shared" si="227"/>
        <v>7029.2668333333349</v>
      </c>
      <c r="X235" s="107">
        <f t="shared" si="228"/>
        <v>6839.2714444444464</v>
      </c>
      <c r="Y235" s="107">
        <f t="shared" si="229"/>
        <v>6649.2760555555578</v>
      </c>
      <c r="Z235" s="107">
        <f t="shared" si="230"/>
        <v>6459.2806666666693</v>
      </c>
      <c r="AA235" s="107"/>
      <c r="AB235" s="107"/>
      <c r="AC235" s="107">
        <f t="shared" si="242"/>
        <v>2279.9446666666663</v>
      </c>
      <c r="AD235" s="107">
        <f t="shared" si="231"/>
        <v>6269.2852777777807</v>
      </c>
      <c r="AE235" s="107">
        <f t="shared" si="232"/>
        <v>6079.2898888888922</v>
      </c>
      <c r="AF235" s="107">
        <f t="shared" si="233"/>
        <v>5889.2945000000036</v>
      </c>
      <c r="AG235" s="107">
        <f t="shared" si="234"/>
        <v>5699.2991111111151</v>
      </c>
      <c r="AH235" s="107">
        <f t="shared" si="235"/>
        <v>5509.3037222222265</v>
      </c>
      <c r="AI235" s="107">
        <f t="shared" si="236"/>
        <v>5319.3083333333379</v>
      </c>
      <c r="AJ235" s="107">
        <f t="shared" si="237"/>
        <v>5129.3129444444494</v>
      </c>
      <c r="AK235" s="107">
        <f t="shared" si="238"/>
        <v>4939.3175555555608</v>
      </c>
      <c r="AL235" s="107">
        <f t="shared" si="239"/>
        <v>4749.3221666666723</v>
      </c>
      <c r="AM235" s="107">
        <f t="shared" si="240"/>
        <v>4559.3267777777837</v>
      </c>
      <c r="AN235" s="107">
        <f t="shared" si="241"/>
        <v>4369.3313888888952</v>
      </c>
      <c r="AO235" s="107">
        <f t="shared" si="243"/>
        <v>4179.3360000000066</v>
      </c>
      <c r="AP235" s="107"/>
      <c r="AQ235" s="126"/>
      <c r="AR235" s="107">
        <f t="shared" si="244"/>
        <v>2279.9446666666663</v>
      </c>
      <c r="AS235" s="107">
        <f t="shared" si="245"/>
        <v>3989.3406111111176</v>
      </c>
      <c r="AT235" s="107">
        <f t="shared" si="246"/>
        <v>3799.3452222222286</v>
      </c>
      <c r="AU235" s="107">
        <f t="shared" si="247"/>
        <v>3609.3498333333396</v>
      </c>
      <c r="AV235" s="107">
        <f t="shared" si="248"/>
        <v>3419.3544444444506</v>
      </c>
      <c r="AW235" s="107">
        <f t="shared" si="249"/>
        <v>3229.3590555555616</v>
      </c>
      <c r="AX235" s="107">
        <f t="shared" si="250"/>
        <v>3039.3636666666725</v>
      </c>
      <c r="AY235" s="107">
        <f t="shared" si="251"/>
        <v>2849.3682777777835</v>
      </c>
      <c r="AZ235" s="107">
        <f t="shared" si="252"/>
        <v>2659.3728888888945</v>
      </c>
      <c r="BA235" s="107">
        <f t="shared" si="253"/>
        <v>2469.3775000000055</v>
      </c>
      <c r="BB235" s="107">
        <f t="shared" si="254"/>
        <v>2279.3821111111165</v>
      </c>
      <c r="BC235" s="107">
        <f t="shared" si="255"/>
        <v>2089.3867222222275</v>
      </c>
      <c r="BD235" s="107">
        <f t="shared" si="256"/>
        <v>1899.3913333333387</v>
      </c>
      <c r="BE235" s="107"/>
      <c r="BF235" s="127"/>
      <c r="BG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</row>
    <row r="236" spans="1:75" hidden="1" x14ac:dyDescent="0.2">
      <c r="A236" s="123" t="str">
        <f>'[2]2021 УГРЦТ'!A238</f>
        <v>Камера КСО 393-04 №3</v>
      </c>
      <c r="B236" s="124" t="str">
        <f>'[2]2021 УГРЦТ'!B238</f>
        <v>00001248</v>
      </c>
      <c r="C236" s="124" t="str">
        <f>VLOOKUP(A:A,'2023-2027'!A:L,1,+FALSE)</f>
        <v>Камера КСО 393-04 №3</v>
      </c>
      <c r="D236" s="124" t="str">
        <f>'[2]2021 УГРЦТ'!C238</f>
        <v>ПЕРЕДАЧА</v>
      </c>
      <c r="E236" s="124" t="str">
        <f>'[2]2021 УГРЦТ'!D238</f>
        <v>Машины и оборудование (кроме офисного)</v>
      </c>
      <c r="F236" s="124" t="str">
        <f>'[2]2021 УГРЦТ'!E238</f>
        <v>31.10.2010</v>
      </c>
      <c r="G236" s="124" t="str">
        <f>'[2]2021 УГРЦТ'!F238</f>
        <v>Газотурбинный цех</v>
      </c>
      <c r="H236" s="124">
        <f>'[2]2021 УГРЦТ'!AC238</f>
        <v>180</v>
      </c>
      <c r="I236" s="107">
        <f>'[2]2021 УГРЦТ'!X238</f>
        <v>34199.17</v>
      </c>
      <c r="J236" s="107">
        <f>'[2]2021 УГРЦТ'!Y238</f>
        <v>25459.944666666666</v>
      </c>
      <c r="K236" s="107">
        <f>'[2]2021 УГРЦТ'!Z238</f>
        <v>8739.2253333333319</v>
      </c>
      <c r="L236" s="125" t="e">
        <f>SUMIF([2]облаг!$B$2:$B$259,B236,[2]облаг!$D$2:$D$259)</f>
        <v>#VALUE!</v>
      </c>
      <c r="M236" s="107">
        <f t="shared" si="202"/>
        <v>189.99538888888887</v>
      </c>
      <c r="N236" s="107">
        <f t="shared" si="203"/>
        <v>2279.9446666666663</v>
      </c>
      <c r="O236" s="107">
        <f t="shared" si="204"/>
        <v>8549.2299444444434</v>
      </c>
      <c r="P236" s="107">
        <f t="shared" si="205"/>
        <v>8359.2345555555548</v>
      </c>
      <c r="Q236" s="107">
        <f t="shared" si="221"/>
        <v>8169.2391666666663</v>
      </c>
      <c r="R236" s="107">
        <f t="shared" si="222"/>
        <v>7979.2437777777777</v>
      </c>
      <c r="S236" s="107">
        <f t="shared" si="223"/>
        <v>7789.2483888888892</v>
      </c>
      <c r="T236" s="107">
        <f t="shared" si="224"/>
        <v>7599.2530000000006</v>
      </c>
      <c r="U236" s="107">
        <f t="shared" si="225"/>
        <v>7409.2576111111121</v>
      </c>
      <c r="V236" s="107">
        <f t="shared" si="226"/>
        <v>7219.2622222222235</v>
      </c>
      <c r="W236" s="107">
        <f t="shared" si="227"/>
        <v>7029.2668333333349</v>
      </c>
      <c r="X236" s="107">
        <f t="shared" si="228"/>
        <v>6839.2714444444464</v>
      </c>
      <c r="Y236" s="107">
        <f t="shared" si="229"/>
        <v>6649.2760555555578</v>
      </c>
      <c r="Z236" s="107">
        <f t="shared" si="230"/>
        <v>6459.2806666666693</v>
      </c>
      <c r="AA236" s="107"/>
      <c r="AB236" s="107"/>
      <c r="AC236" s="107">
        <f t="shared" si="242"/>
        <v>2279.9446666666663</v>
      </c>
      <c r="AD236" s="107">
        <f t="shared" si="231"/>
        <v>6269.2852777777807</v>
      </c>
      <c r="AE236" s="107">
        <f t="shared" si="232"/>
        <v>6079.2898888888922</v>
      </c>
      <c r="AF236" s="107">
        <f t="shared" si="233"/>
        <v>5889.2945000000036</v>
      </c>
      <c r="AG236" s="107">
        <f t="shared" si="234"/>
        <v>5699.2991111111151</v>
      </c>
      <c r="AH236" s="107">
        <f t="shared" si="235"/>
        <v>5509.3037222222265</v>
      </c>
      <c r="AI236" s="107">
        <f t="shared" si="236"/>
        <v>5319.3083333333379</v>
      </c>
      <c r="AJ236" s="107">
        <f t="shared" si="237"/>
        <v>5129.3129444444494</v>
      </c>
      <c r="AK236" s="107">
        <f t="shared" si="238"/>
        <v>4939.3175555555608</v>
      </c>
      <c r="AL236" s="107">
        <f t="shared" si="239"/>
        <v>4749.3221666666723</v>
      </c>
      <c r="AM236" s="107">
        <f t="shared" si="240"/>
        <v>4559.3267777777837</v>
      </c>
      <c r="AN236" s="107">
        <f t="shared" si="241"/>
        <v>4369.3313888888952</v>
      </c>
      <c r="AO236" s="107">
        <f t="shared" si="243"/>
        <v>4179.3360000000066</v>
      </c>
      <c r="AP236" s="107"/>
      <c r="AQ236" s="126"/>
      <c r="AR236" s="107">
        <f t="shared" si="244"/>
        <v>2279.9446666666663</v>
      </c>
      <c r="AS236" s="107">
        <f t="shared" si="245"/>
        <v>3989.3406111111176</v>
      </c>
      <c r="AT236" s="107">
        <f t="shared" si="246"/>
        <v>3799.3452222222286</v>
      </c>
      <c r="AU236" s="107">
        <f t="shared" si="247"/>
        <v>3609.3498333333396</v>
      </c>
      <c r="AV236" s="107">
        <f t="shared" si="248"/>
        <v>3419.3544444444506</v>
      </c>
      <c r="AW236" s="107">
        <f t="shared" si="249"/>
        <v>3229.3590555555616</v>
      </c>
      <c r="AX236" s="107">
        <f t="shared" si="250"/>
        <v>3039.3636666666725</v>
      </c>
      <c r="AY236" s="107">
        <f t="shared" si="251"/>
        <v>2849.3682777777835</v>
      </c>
      <c r="AZ236" s="107">
        <f t="shared" si="252"/>
        <v>2659.3728888888945</v>
      </c>
      <c r="BA236" s="107">
        <f t="shared" si="253"/>
        <v>2469.3775000000055</v>
      </c>
      <c r="BB236" s="107">
        <f t="shared" si="254"/>
        <v>2279.3821111111165</v>
      </c>
      <c r="BC236" s="107">
        <f t="shared" si="255"/>
        <v>2089.3867222222275</v>
      </c>
      <c r="BD236" s="107">
        <f t="shared" si="256"/>
        <v>1899.3913333333387</v>
      </c>
      <c r="BE236" s="107"/>
      <c r="BF236" s="127"/>
      <c r="BG236" s="127"/>
      <c r="BI236" s="127"/>
      <c r="BJ236" s="127"/>
      <c r="BK236" s="127"/>
      <c r="BL236" s="127"/>
      <c r="BM236" s="127"/>
      <c r="BN236" s="127"/>
      <c r="BO236" s="127"/>
      <c r="BP236" s="127"/>
      <c r="BQ236" s="127"/>
      <c r="BR236" s="127"/>
      <c r="BS236" s="127"/>
      <c r="BT236" s="127"/>
      <c r="BU236" s="127"/>
      <c r="BV236" s="127"/>
    </row>
    <row r="237" spans="1:75" hidden="1" x14ac:dyDescent="0.2">
      <c r="A237" s="123" t="str">
        <f>'[2]2021 УГРЦТ'!A239</f>
        <v>Камера КСО 393-04 №4</v>
      </c>
      <c r="B237" s="124" t="str">
        <f>'[2]2021 УГРЦТ'!B239</f>
        <v>00001249</v>
      </c>
      <c r="C237" s="124" t="str">
        <f>VLOOKUP(A:A,'2023-2027'!A:L,1,+FALSE)</f>
        <v>Камера КСО 393-04 №4</v>
      </c>
      <c r="D237" s="124" t="str">
        <f>'[2]2021 УГРЦТ'!C239</f>
        <v>ПЕРЕДАЧА</v>
      </c>
      <c r="E237" s="124" t="str">
        <f>'[2]2021 УГРЦТ'!D239</f>
        <v>Машины и оборудование (кроме офисного)</v>
      </c>
      <c r="F237" s="124" t="str">
        <f>'[2]2021 УГРЦТ'!E239</f>
        <v>31.10.2010</v>
      </c>
      <c r="G237" s="124" t="str">
        <f>'[2]2021 УГРЦТ'!F239</f>
        <v>Газотурбинный цех</v>
      </c>
      <c r="H237" s="124">
        <f>'[2]2021 УГРЦТ'!AC239</f>
        <v>180</v>
      </c>
      <c r="I237" s="107">
        <f>'[2]2021 УГРЦТ'!X239</f>
        <v>34199.17</v>
      </c>
      <c r="J237" s="107">
        <f>'[2]2021 УГРЦТ'!Y239</f>
        <v>25459.944666666666</v>
      </c>
      <c r="K237" s="107">
        <f>'[2]2021 УГРЦТ'!Z239</f>
        <v>8739.2253333333319</v>
      </c>
      <c r="L237" s="125" t="e">
        <f>SUMIF([2]облаг!$B$2:$B$259,B237,[2]облаг!$D$2:$D$259)</f>
        <v>#VALUE!</v>
      </c>
      <c r="M237" s="107">
        <f t="shared" si="202"/>
        <v>189.99538888888887</v>
      </c>
      <c r="N237" s="107">
        <f t="shared" si="203"/>
        <v>2279.9446666666663</v>
      </c>
      <c r="O237" s="107">
        <f t="shared" si="204"/>
        <v>8549.2299444444434</v>
      </c>
      <c r="P237" s="107">
        <f t="shared" si="205"/>
        <v>8359.2345555555548</v>
      </c>
      <c r="Q237" s="107">
        <f t="shared" si="221"/>
        <v>8169.2391666666663</v>
      </c>
      <c r="R237" s="107">
        <f t="shared" si="222"/>
        <v>7979.2437777777777</v>
      </c>
      <c r="S237" s="107">
        <f t="shared" si="223"/>
        <v>7789.2483888888892</v>
      </c>
      <c r="T237" s="107">
        <f t="shared" si="224"/>
        <v>7599.2530000000006</v>
      </c>
      <c r="U237" s="107">
        <f t="shared" si="225"/>
        <v>7409.2576111111121</v>
      </c>
      <c r="V237" s="107">
        <f t="shared" si="226"/>
        <v>7219.2622222222235</v>
      </c>
      <c r="W237" s="107">
        <f t="shared" si="227"/>
        <v>7029.2668333333349</v>
      </c>
      <c r="X237" s="107">
        <f t="shared" si="228"/>
        <v>6839.2714444444464</v>
      </c>
      <c r="Y237" s="107">
        <f t="shared" si="229"/>
        <v>6649.2760555555578</v>
      </c>
      <c r="Z237" s="107">
        <f t="shared" si="230"/>
        <v>6459.2806666666693</v>
      </c>
      <c r="AA237" s="107"/>
      <c r="AB237" s="107"/>
      <c r="AC237" s="107">
        <f t="shared" si="242"/>
        <v>2279.9446666666663</v>
      </c>
      <c r="AD237" s="107">
        <f t="shared" si="231"/>
        <v>6269.2852777777807</v>
      </c>
      <c r="AE237" s="107">
        <f t="shared" si="232"/>
        <v>6079.2898888888922</v>
      </c>
      <c r="AF237" s="107">
        <f t="shared" si="233"/>
        <v>5889.2945000000036</v>
      </c>
      <c r="AG237" s="107">
        <f t="shared" si="234"/>
        <v>5699.2991111111151</v>
      </c>
      <c r="AH237" s="107">
        <f t="shared" si="235"/>
        <v>5509.3037222222265</v>
      </c>
      <c r="AI237" s="107">
        <f t="shared" si="236"/>
        <v>5319.3083333333379</v>
      </c>
      <c r="AJ237" s="107">
        <f t="shared" si="237"/>
        <v>5129.3129444444494</v>
      </c>
      <c r="AK237" s="107">
        <f t="shared" si="238"/>
        <v>4939.3175555555608</v>
      </c>
      <c r="AL237" s="107">
        <f t="shared" si="239"/>
        <v>4749.3221666666723</v>
      </c>
      <c r="AM237" s="107">
        <f t="shared" si="240"/>
        <v>4559.3267777777837</v>
      </c>
      <c r="AN237" s="107">
        <f t="shared" si="241"/>
        <v>4369.3313888888952</v>
      </c>
      <c r="AO237" s="107">
        <f t="shared" si="243"/>
        <v>4179.3360000000066</v>
      </c>
      <c r="AP237" s="107"/>
      <c r="AQ237" s="126"/>
      <c r="AR237" s="107">
        <f t="shared" si="244"/>
        <v>2279.9446666666663</v>
      </c>
      <c r="AS237" s="107">
        <f t="shared" si="245"/>
        <v>3989.3406111111176</v>
      </c>
      <c r="AT237" s="107">
        <f t="shared" si="246"/>
        <v>3799.3452222222286</v>
      </c>
      <c r="AU237" s="107">
        <f t="shared" si="247"/>
        <v>3609.3498333333396</v>
      </c>
      <c r="AV237" s="107">
        <f t="shared" si="248"/>
        <v>3419.3544444444506</v>
      </c>
      <c r="AW237" s="107">
        <f t="shared" si="249"/>
        <v>3229.3590555555616</v>
      </c>
      <c r="AX237" s="107">
        <f t="shared" si="250"/>
        <v>3039.3636666666725</v>
      </c>
      <c r="AY237" s="107">
        <f t="shared" si="251"/>
        <v>2849.3682777777835</v>
      </c>
      <c r="AZ237" s="107">
        <f t="shared" si="252"/>
        <v>2659.3728888888945</v>
      </c>
      <c r="BA237" s="107">
        <f t="shared" si="253"/>
        <v>2469.3775000000055</v>
      </c>
      <c r="BB237" s="107">
        <f t="shared" si="254"/>
        <v>2279.3821111111165</v>
      </c>
      <c r="BC237" s="107">
        <f t="shared" si="255"/>
        <v>2089.3867222222275</v>
      </c>
      <c r="BD237" s="107">
        <f t="shared" si="256"/>
        <v>1899.3913333333387</v>
      </c>
      <c r="BE237" s="107"/>
      <c r="BF237" s="127"/>
      <c r="BG237" s="127"/>
      <c r="BI237" s="127"/>
      <c r="BJ237" s="127"/>
      <c r="BK237" s="127"/>
      <c r="BL237" s="127"/>
      <c r="BM237" s="127"/>
      <c r="BN237" s="127"/>
      <c r="BO237" s="127"/>
      <c r="BP237" s="127"/>
      <c r="BQ237" s="127"/>
      <c r="BR237" s="127"/>
      <c r="BS237" s="127"/>
      <c r="BT237" s="127"/>
      <c r="BU237" s="127"/>
      <c r="BV237" s="127"/>
    </row>
    <row r="238" spans="1:75" hidden="1" x14ac:dyDescent="0.2">
      <c r="A238" s="123" t="str">
        <f>'[2]2021 УГРЦТ'!A240</f>
        <v>Камера КСО 393-24УЗ №1</v>
      </c>
      <c r="B238" s="124" t="str">
        <f>'[2]2021 УГРЦТ'!B240</f>
        <v>00001373</v>
      </c>
      <c r="C238" s="124" t="str">
        <f>VLOOKUP(A:A,'2023-2027'!A:L,1,+FALSE)</f>
        <v>Камера КСО 393-24УЗ №1</v>
      </c>
      <c r="D238" s="124" t="str">
        <f>'[2]2021 УГРЦТ'!C240</f>
        <v>ПЕРЕДАЧА</v>
      </c>
      <c r="E238" s="124" t="str">
        <f>'[2]2021 УГРЦТ'!D240</f>
        <v>Машины и оборудование (кроме офисного)</v>
      </c>
      <c r="F238" s="124" t="str">
        <f>'[2]2021 УГРЦТ'!E240</f>
        <v>18.10.2011</v>
      </c>
      <c r="G238" s="124" t="str">
        <f>'[2]2021 УГРЦТ'!F240</f>
        <v>Цех электрических сетей</v>
      </c>
      <c r="H238" s="124">
        <f>'[2]2021 УГРЦТ'!AC240</f>
        <v>180</v>
      </c>
      <c r="I238" s="107">
        <f>'[2]2021 УГРЦТ'!X240</f>
        <v>87044.07</v>
      </c>
      <c r="J238" s="107">
        <f>'[2]2021 УГРЦТ'!Y240</f>
        <v>58996.738000000005</v>
      </c>
      <c r="K238" s="107">
        <f>'[2]2021 УГРЦТ'!Z240</f>
        <v>28047.332000000002</v>
      </c>
      <c r="L238" s="125" t="e">
        <f>SUMIF([2]облаг!$B$2:$B$259,B238,[2]облаг!$D$2:$D$259)</f>
        <v>#VALUE!</v>
      </c>
      <c r="M238" s="107">
        <f t="shared" si="202"/>
        <v>483.57816666666673</v>
      </c>
      <c r="N238" s="107">
        <f t="shared" si="203"/>
        <v>5802.938000000001</v>
      </c>
      <c r="O238" s="107">
        <f t="shared" si="204"/>
        <v>27563.753833333336</v>
      </c>
      <c r="P238" s="107">
        <f t="shared" si="205"/>
        <v>27080.17566666667</v>
      </c>
      <c r="Q238" s="107">
        <f t="shared" si="221"/>
        <v>26596.597500000003</v>
      </c>
      <c r="R238" s="107">
        <f t="shared" si="222"/>
        <v>26113.019333333337</v>
      </c>
      <c r="S238" s="107">
        <f t="shared" si="223"/>
        <v>25629.441166666671</v>
      </c>
      <c r="T238" s="107">
        <f t="shared" si="224"/>
        <v>25145.863000000005</v>
      </c>
      <c r="U238" s="107">
        <f t="shared" si="225"/>
        <v>24662.284833333339</v>
      </c>
      <c r="V238" s="107">
        <f t="shared" si="226"/>
        <v>24178.706666666672</v>
      </c>
      <c r="W238" s="107">
        <f t="shared" si="227"/>
        <v>23695.128500000006</v>
      </c>
      <c r="X238" s="107">
        <f t="shared" si="228"/>
        <v>23211.55033333334</v>
      </c>
      <c r="Y238" s="107">
        <f t="shared" si="229"/>
        <v>22727.972166666674</v>
      </c>
      <c r="Z238" s="107">
        <f t="shared" si="230"/>
        <v>22244.394000000008</v>
      </c>
      <c r="AA238" s="107"/>
      <c r="AB238" s="107"/>
      <c r="AC238" s="107">
        <f t="shared" si="242"/>
        <v>5802.938000000001</v>
      </c>
      <c r="AD238" s="107">
        <f t="shared" si="231"/>
        <v>21760.815833333341</v>
      </c>
      <c r="AE238" s="107">
        <f t="shared" si="232"/>
        <v>21277.237666666675</v>
      </c>
      <c r="AF238" s="107">
        <f t="shared" si="233"/>
        <v>20793.659500000009</v>
      </c>
      <c r="AG238" s="107">
        <f t="shared" si="234"/>
        <v>20310.081333333343</v>
      </c>
      <c r="AH238" s="107">
        <f t="shared" si="235"/>
        <v>19826.503166666676</v>
      </c>
      <c r="AI238" s="107">
        <f t="shared" si="236"/>
        <v>19342.92500000001</v>
      </c>
      <c r="AJ238" s="107">
        <f t="shared" si="237"/>
        <v>18859.346833333344</v>
      </c>
      <c r="AK238" s="107">
        <f t="shared" si="238"/>
        <v>18375.768666666678</v>
      </c>
      <c r="AL238" s="107">
        <f t="shared" si="239"/>
        <v>17892.190500000012</v>
      </c>
      <c r="AM238" s="107">
        <f t="shared" si="240"/>
        <v>17408.612333333345</v>
      </c>
      <c r="AN238" s="107">
        <f t="shared" si="241"/>
        <v>16925.034166666679</v>
      </c>
      <c r="AO238" s="107">
        <f t="shared" si="243"/>
        <v>16441.456000000013</v>
      </c>
      <c r="AP238" s="107"/>
      <c r="AQ238" s="126"/>
      <c r="AR238" s="107">
        <f t="shared" si="244"/>
        <v>5802.938000000001</v>
      </c>
      <c r="AS238" s="107">
        <f t="shared" si="245"/>
        <v>15957.877833333347</v>
      </c>
      <c r="AT238" s="107">
        <f t="shared" si="246"/>
        <v>15474.29966666668</v>
      </c>
      <c r="AU238" s="107">
        <f t="shared" si="247"/>
        <v>14990.721500000014</v>
      </c>
      <c r="AV238" s="107">
        <f t="shared" si="248"/>
        <v>14507.143333333348</v>
      </c>
      <c r="AW238" s="107">
        <f t="shared" si="249"/>
        <v>14023.565166666682</v>
      </c>
      <c r="AX238" s="107">
        <f t="shared" si="250"/>
        <v>13539.987000000016</v>
      </c>
      <c r="AY238" s="107">
        <f t="shared" si="251"/>
        <v>13056.408833333349</v>
      </c>
      <c r="AZ238" s="107">
        <f t="shared" si="252"/>
        <v>12572.830666666683</v>
      </c>
      <c r="BA238" s="107">
        <f t="shared" si="253"/>
        <v>12089.252500000017</v>
      </c>
      <c r="BB238" s="107">
        <f t="shared" si="254"/>
        <v>11605.674333333351</v>
      </c>
      <c r="BC238" s="107">
        <f t="shared" si="255"/>
        <v>11122.096166666684</v>
      </c>
      <c r="BD238" s="107">
        <f t="shared" si="256"/>
        <v>10638.518000000018</v>
      </c>
      <c r="BE238" s="10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</row>
    <row r="239" spans="1:75" hidden="1" x14ac:dyDescent="0.2">
      <c r="A239" s="123" t="str">
        <f>'[2]2021 УГРЦТ'!A241</f>
        <v>Камера КСО 393-24УЗ №2</v>
      </c>
      <c r="B239" s="124" t="str">
        <f>'[2]2021 УГРЦТ'!B241</f>
        <v>00001374</v>
      </c>
      <c r="C239" s="124" t="str">
        <f>VLOOKUP(A:A,'2023-2027'!A:L,1,+FALSE)</f>
        <v>Камера КСО 393-24УЗ №2</v>
      </c>
      <c r="D239" s="124" t="str">
        <f>'[2]2021 УГРЦТ'!C241</f>
        <v>ПЕРЕДАЧА</v>
      </c>
      <c r="E239" s="124" t="str">
        <f>'[2]2021 УГРЦТ'!D241</f>
        <v>Машины и оборудование (кроме офисного)</v>
      </c>
      <c r="F239" s="124" t="str">
        <f>'[2]2021 УГРЦТ'!E241</f>
        <v>18.10.2011</v>
      </c>
      <c r="G239" s="124" t="str">
        <f>'[2]2021 УГРЦТ'!F241</f>
        <v>Цех электрических сетей</v>
      </c>
      <c r="H239" s="124">
        <f>'[2]2021 УГРЦТ'!AC241</f>
        <v>180</v>
      </c>
      <c r="I239" s="107">
        <f>'[2]2021 УГРЦТ'!X241</f>
        <v>87044.07</v>
      </c>
      <c r="J239" s="107">
        <f>'[2]2021 УГРЦТ'!Y241</f>
        <v>58996.738000000005</v>
      </c>
      <c r="K239" s="107">
        <f>'[2]2021 УГРЦТ'!Z241</f>
        <v>28047.332000000002</v>
      </c>
      <c r="L239" s="125" t="e">
        <f>SUMIF([2]облаг!$B$2:$B$259,B239,[2]облаг!$D$2:$D$259)</f>
        <v>#VALUE!</v>
      </c>
      <c r="M239" s="107">
        <f t="shared" si="202"/>
        <v>483.57816666666673</v>
      </c>
      <c r="N239" s="107">
        <f t="shared" si="203"/>
        <v>5802.938000000001</v>
      </c>
      <c r="O239" s="107">
        <f t="shared" si="204"/>
        <v>27563.753833333336</v>
      </c>
      <c r="P239" s="107">
        <f t="shared" si="205"/>
        <v>27080.17566666667</v>
      </c>
      <c r="Q239" s="107">
        <f t="shared" si="221"/>
        <v>26596.597500000003</v>
      </c>
      <c r="R239" s="107">
        <f t="shared" si="222"/>
        <v>26113.019333333337</v>
      </c>
      <c r="S239" s="107">
        <f t="shared" si="223"/>
        <v>25629.441166666671</v>
      </c>
      <c r="T239" s="107">
        <f t="shared" si="224"/>
        <v>25145.863000000005</v>
      </c>
      <c r="U239" s="107">
        <f t="shared" si="225"/>
        <v>24662.284833333339</v>
      </c>
      <c r="V239" s="107">
        <f t="shared" si="226"/>
        <v>24178.706666666672</v>
      </c>
      <c r="W239" s="107">
        <f t="shared" si="227"/>
        <v>23695.128500000006</v>
      </c>
      <c r="X239" s="107">
        <f t="shared" si="228"/>
        <v>23211.55033333334</v>
      </c>
      <c r="Y239" s="107">
        <f t="shared" si="229"/>
        <v>22727.972166666674</v>
      </c>
      <c r="Z239" s="107">
        <f t="shared" si="230"/>
        <v>22244.394000000008</v>
      </c>
      <c r="AA239" s="107"/>
      <c r="AB239" s="107"/>
      <c r="AC239" s="107">
        <f t="shared" si="242"/>
        <v>5802.938000000001</v>
      </c>
      <c r="AD239" s="107">
        <f t="shared" si="231"/>
        <v>21760.815833333341</v>
      </c>
      <c r="AE239" s="107">
        <f t="shared" si="232"/>
        <v>21277.237666666675</v>
      </c>
      <c r="AF239" s="107">
        <f t="shared" si="233"/>
        <v>20793.659500000009</v>
      </c>
      <c r="AG239" s="107">
        <f t="shared" si="234"/>
        <v>20310.081333333343</v>
      </c>
      <c r="AH239" s="107">
        <f t="shared" si="235"/>
        <v>19826.503166666676</v>
      </c>
      <c r="AI239" s="107">
        <f t="shared" si="236"/>
        <v>19342.92500000001</v>
      </c>
      <c r="AJ239" s="107">
        <f t="shared" si="237"/>
        <v>18859.346833333344</v>
      </c>
      <c r="AK239" s="107">
        <f t="shared" si="238"/>
        <v>18375.768666666678</v>
      </c>
      <c r="AL239" s="107">
        <f t="shared" si="239"/>
        <v>17892.190500000012</v>
      </c>
      <c r="AM239" s="107">
        <f t="shared" si="240"/>
        <v>17408.612333333345</v>
      </c>
      <c r="AN239" s="107">
        <f t="shared" si="241"/>
        <v>16925.034166666679</v>
      </c>
      <c r="AO239" s="107">
        <f t="shared" si="243"/>
        <v>16441.456000000013</v>
      </c>
      <c r="AP239" s="107"/>
      <c r="AQ239" s="126"/>
      <c r="AR239" s="107">
        <f t="shared" si="244"/>
        <v>5802.938000000001</v>
      </c>
      <c r="AS239" s="107">
        <f t="shared" si="245"/>
        <v>15957.877833333347</v>
      </c>
      <c r="AT239" s="107">
        <f t="shared" si="246"/>
        <v>15474.29966666668</v>
      </c>
      <c r="AU239" s="107">
        <f t="shared" si="247"/>
        <v>14990.721500000014</v>
      </c>
      <c r="AV239" s="107">
        <f t="shared" si="248"/>
        <v>14507.143333333348</v>
      </c>
      <c r="AW239" s="107">
        <f t="shared" si="249"/>
        <v>14023.565166666682</v>
      </c>
      <c r="AX239" s="107">
        <f t="shared" si="250"/>
        <v>13539.987000000016</v>
      </c>
      <c r="AY239" s="107">
        <f t="shared" si="251"/>
        <v>13056.408833333349</v>
      </c>
      <c r="AZ239" s="107">
        <f t="shared" si="252"/>
        <v>12572.830666666683</v>
      </c>
      <c r="BA239" s="107">
        <f t="shared" si="253"/>
        <v>12089.252500000017</v>
      </c>
      <c r="BB239" s="107">
        <f t="shared" si="254"/>
        <v>11605.674333333351</v>
      </c>
      <c r="BC239" s="107">
        <f t="shared" si="255"/>
        <v>11122.096166666684</v>
      </c>
      <c r="BD239" s="107">
        <f t="shared" si="256"/>
        <v>10638.518000000018</v>
      </c>
      <c r="BE239" s="107"/>
      <c r="BF239" s="127"/>
      <c r="BG239" s="127"/>
      <c r="BH239" s="127"/>
      <c r="BI239" s="127"/>
      <c r="BJ239" s="127"/>
      <c r="BK239" s="127"/>
      <c r="BL239" s="127"/>
      <c r="BM239" s="127"/>
      <c r="BN239" s="127"/>
      <c r="BO239" s="127"/>
      <c r="BP239" s="127"/>
      <c r="BQ239" s="127"/>
      <c r="BR239" s="127"/>
      <c r="BS239" s="127"/>
      <c r="BT239" s="127"/>
      <c r="BU239" s="127"/>
      <c r="BV239" s="127"/>
    </row>
    <row r="240" spans="1:75" hidden="1" x14ac:dyDescent="0.2">
      <c r="A240" s="123" t="str">
        <f>'[2]2021 УГРЦТ'!A242</f>
        <v>Камера КСО 393-24УЗ №3</v>
      </c>
      <c r="B240" s="124" t="str">
        <f>'[2]2021 УГРЦТ'!B242</f>
        <v>00001375</v>
      </c>
      <c r="C240" s="124" t="str">
        <f>VLOOKUP(A:A,'2023-2027'!A:L,1,+FALSE)</f>
        <v>Камера КСО 393-24УЗ №3</v>
      </c>
      <c r="D240" s="124" t="str">
        <f>'[2]2021 УГРЦТ'!C242</f>
        <v>ПЕРЕДАЧА</v>
      </c>
      <c r="E240" s="124" t="str">
        <f>'[2]2021 УГРЦТ'!D242</f>
        <v>Машины и оборудование (кроме офисного)</v>
      </c>
      <c r="F240" s="124" t="str">
        <f>'[2]2021 УГРЦТ'!E242</f>
        <v>18.10.2011</v>
      </c>
      <c r="G240" s="124" t="str">
        <f>'[2]2021 УГРЦТ'!F242</f>
        <v>Цех электрических сетей</v>
      </c>
      <c r="H240" s="124">
        <f>'[2]2021 УГРЦТ'!AC242</f>
        <v>180</v>
      </c>
      <c r="I240" s="107">
        <f>'[2]2021 УГРЦТ'!X242</f>
        <v>87044.07</v>
      </c>
      <c r="J240" s="107">
        <f>'[2]2021 УГРЦТ'!Y242</f>
        <v>58996.738000000005</v>
      </c>
      <c r="K240" s="107">
        <f>'[2]2021 УГРЦТ'!Z242</f>
        <v>28047.332000000002</v>
      </c>
      <c r="L240" s="125" t="e">
        <f>SUMIF([2]облаг!$B$2:$B$259,B240,[2]облаг!$D$2:$D$259)</f>
        <v>#VALUE!</v>
      </c>
      <c r="M240" s="107">
        <f t="shared" si="202"/>
        <v>483.57816666666673</v>
      </c>
      <c r="N240" s="107">
        <f t="shared" si="203"/>
        <v>5802.938000000001</v>
      </c>
      <c r="O240" s="107">
        <f t="shared" si="204"/>
        <v>27563.753833333336</v>
      </c>
      <c r="P240" s="107">
        <f t="shared" si="205"/>
        <v>27080.17566666667</v>
      </c>
      <c r="Q240" s="107">
        <f t="shared" si="221"/>
        <v>26596.597500000003</v>
      </c>
      <c r="R240" s="107">
        <f t="shared" si="222"/>
        <v>26113.019333333337</v>
      </c>
      <c r="S240" s="107">
        <f t="shared" si="223"/>
        <v>25629.441166666671</v>
      </c>
      <c r="T240" s="107">
        <f t="shared" si="224"/>
        <v>25145.863000000005</v>
      </c>
      <c r="U240" s="107">
        <f t="shared" si="225"/>
        <v>24662.284833333339</v>
      </c>
      <c r="V240" s="107">
        <f t="shared" si="226"/>
        <v>24178.706666666672</v>
      </c>
      <c r="W240" s="107">
        <f t="shared" si="227"/>
        <v>23695.128500000006</v>
      </c>
      <c r="X240" s="107">
        <f t="shared" si="228"/>
        <v>23211.55033333334</v>
      </c>
      <c r="Y240" s="107">
        <f t="shared" si="229"/>
        <v>22727.972166666674</v>
      </c>
      <c r="Z240" s="107">
        <f t="shared" si="230"/>
        <v>22244.394000000008</v>
      </c>
      <c r="AA240" s="107"/>
      <c r="AB240" s="107"/>
      <c r="AC240" s="107">
        <f t="shared" si="242"/>
        <v>5802.938000000001</v>
      </c>
      <c r="AD240" s="107">
        <f t="shared" si="231"/>
        <v>21760.815833333341</v>
      </c>
      <c r="AE240" s="107">
        <f t="shared" si="232"/>
        <v>21277.237666666675</v>
      </c>
      <c r="AF240" s="107">
        <f t="shared" si="233"/>
        <v>20793.659500000009</v>
      </c>
      <c r="AG240" s="107">
        <f t="shared" si="234"/>
        <v>20310.081333333343</v>
      </c>
      <c r="AH240" s="107">
        <f t="shared" si="235"/>
        <v>19826.503166666676</v>
      </c>
      <c r="AI240" s="107">
        <f t="shared" si="236"/>
        <v>19342.92500000001</v>
      </c>
      <c r="AJ240" s="107">
        <f t="shared" si="237"/>
        <v>18859.346833333344</v>
      </c>
      <c r="AK240" s="107">
        <f t="shared" si="238"/>
        <v>18375.768666666678</v>
      </c>
      <c r="AL240" s="107">
        <f t="shared" si="239"/>
        <v>17892.190500000012</v>
      </c>
      <c r="AM240" s="107">
        <f t="shared" si="240"/>
        <v>17408.612333333345</v>
      </c>
      <c r="AN240" s="107">
        <f t="shared" si="241"/>
        <v>16925.034166666679</v>
      </c>
      <c r="AO240" s="107">
        <f t="shared" si="243"/>
        <v>16441.456000000013</v>
      </c>
      <c r="AP240" s="107"/>
      <c r="AQ240" s="126"/>
      <c r="AR240" s="107">
        <f t="shared" si="244"/>
        <v>5802.938000000001</v>
      </c>
      <c r="AS240" s="107">
        <f t="shared" si="245"/>
        <v>15957.877833333347</v>
      </c>
      <c r="AT240" s="107">
        <f t="shared" si="246"/>
        <v>15474.29966666668</v>
      </c>
      <c r="AU240" s="107">
        <f t="shared" si="247"/>
        <v>14990.721500000014</v>
      </c>
      <c r="AV240" s="107">
        <f t="shared" si="248"/>
        <v>14507.143333333348</v>
      </c>
      <c r="AW240" s="107">
        <f t="shared" si="249"/>
        <v>14023.565166666682</v>
      </c>
      <c r="AX240" s="107">
        <f t="shared" si="250"/>
        <v>13539.987000000016</v>
      </c>
      <c r="AY240" s="107">
        <f t="shared" si="251"/>
        <v>13056.408833333349</v>
      </c>
      <c r="AZ240" s="107">
        <f t="shared" si="252"/>
        <v>12572.830666666683</v>
      </c>
      <c r="BA240" s="107">
        <f t="shared" si="253"/>
        <v>12089.252500000017</v>
      </c>
      <c r="BB240" s="107">
        <f t="shared" si="254"/>
        <v>11605.674333333351</v>
      </c>
      <c r="BC240" s="107">
        <f t="shared" si="255"/>
        <v>11122.096166666684</v>
      </c>
      <c r="BD240" s="107">
        <f t="shared" si="256"/>
        <v>10638.518000000018</v>
      </c>
      <c r="BE240" s="107"/>
      <c r="BF240" s="127"/>
      <c r="BG240" s="127"/>
      <c r="BH240" s="127"/>
      <c r="BI240" s="127"/>
      <c r="BJ240" s="127"/>
      <c r="BK240" s="127"/>
      <c r="BL240" s="127"/>
      <c r="BM240" s="127"/>
      <c r="BN240" s="127"/>
      <c r="BO240" s="127"/>
      <c r="BP240" s="127"/>
      <c r="BQ240" s="127"/>
      <c r="BR240" s="127"/>
      <c r="BS240" s="127"/>
      <c r="BT240" s="127"/>
      <c r="BU240" s="127"/>
      <c r="BV240" s="127"/>
    </row>
    <row r="241" spans="1:75" hidden="1" x14ac:dyDescent="0.2">
      <c r="A241" s="123" t="str">
        <f>'[2]2021 УГРЦТ'!A243</f>
        <v>Камера КСО 393-24УЗ №4</v>
      </c>
      <c r="B241" s="124" t="str">
        <f>'[2]2021 УГРЦТ'!B243</f>
        <v>00001376</v>
      </c>
      <c r="C241" s="124" t="str">
        <f>VLOOKUP(A:A,'2023-2027'!A:L,1,+FALSE)</f>
        <v>Камера КСО 393-24УЗ №4</v>
      </c>
      <c r="D241" s="124" t="str">
        <f>'[2]2021 УГРЦТ'!C243</f>
        <v>ПЕРЕДАЧА</v>
      </c>
      <c r="E241" s="124" t="str">
        <f>'[2]2021 УГРЦТ'!D243</f>
        <v>Машины и оборудование (кроме офисного)</v>
      </c>
      <c r="F241" s="124" t="str">
        <f>'[2]2021 УГРЦТ'!E243</f>
        <v>18.10.2011</v>
      </c>
      <c r="G241" s="124" t="str">
        <f>'[2]2021 УГРЦТ'!F243</f>
        <v>Цех электрических сетей</v>
      </c>
      <c r="H241" s="124">
        <f>'[2]2021 УГРЦТ'!AC243</f>
        <v>180</v>
      </c>
      <c r="I241" s="107">
        <f>'[2]2021 УГРЦТ'!X243</f>
        <v>87044.06</v>
      </c>
      <c r="J241" s="107">
        <f>'[2]2021 УГРЦТ'!Y243</f>
        <v>58996.737333333338</v>
      </c>
      <c r="K241" s="107">
        <f>'[2]2021 УГРЦТ'!Z243</f>
        <v>28047.32266666666</v>
      </c>
      <c r="L241" s="125" t="e">
        <f>SUMIF([2]облаг!$B$2:$B$259,B241,[2]облаг!$D$2:$D$259)</f>
        <v>#VALUE!</v>
      </c>
      <c r="M241" s="107">
        <f t="shared" si="202"/>
        <v>483.57811111111107</v>
      </c>
      <c r="N241" s="107">
        <f t="shared" si="203"/>
        <v>5802.9373333333333</v>
      </c>
      <c r="O241" s="107">
        <f t="shared" si="204"/>
        <v>27563.74455555555</v>
      </c>
      <c r="P241" s="107">
        <f t="shared" si="205"/>
        <v>27080.16644444444</v>
      </c>
      <c r="Q241" s="107">
        <f t="shared" si="221"/>
        <v>26596.58833333333</v>
      </c>
      <c r="R241" s="107">
        <f t="shared" si="222"/>
        <v>26113.010222222219</v>
      </c>
      <c r="S241" s="107">
        <f t="shared" si="223"/>
        <v>25629.432111111109</v>
      </c>
      <c r="T241" s="107">
        <f t="shared" si="224"/>
        <v>25145.853999999999</v>
      </c>
      <c r="U241" s="107">
        <f t="shared" si="225"/>
        <v>24662.275888888889</v>
      </c>
      <c r="V241" s="107">
        <f t="shared" si="226"/>
        <v>24178.697777777779</v>
      </c>
      <c r="W241" s="107">
        <f t="shared" si="227"/>
        <v>23695.119666666669</v>
      </c>
      <c r="X241" s="107">
        <f t="shared" si="228"/>
        <v>23211.541555555559</v>
      </c>
      <c r="Y241" s="107">
        <f t="shared" si="229"/>
        <v>22727.963444444449</v>
      </c>
      <c r="Z241" s="107">
        <f t="shared" si="230"/>
        <v>22244.385333333339</v>
      </c>
      <c r="AA241" s="107"/>
      <c r="AB241" s="107"/>
      <c r="AC241" s="107">
        <f t="shared" si="242"/>
        <v>5802.9373333333333</v>
      </c>
      <c r="AD241" s="107">
        <f t="shared" si="231"/>
        <v>21760.807222222229</v>
      </c>
      <c r="AE241" s="107">
        <f t="shared" si="232"/>
        <v>21277.229111111119</v>
      </c>
      <c r="AF241" s="107">
        <f t="shared" si="233"/>
        <v>20793.651000000009</v>
      </c>
      <c r="AG241" s="107">
        <f t="shared" si="234"/>
        <v>20310.072888888899</v>
      </c>
      <c r="AH241" s="107">
        <f t="shared" si="235"/>
        <v>19826.494777777789</v>
      </c>
      <c r="AI241" s="107">
        <f t="shared" si="236"/>
        <v>19342.916666666679</v>
      </c>
      <c r="AJ241" s="107">
        <f t="shared" si="237"/>
        <v>18859.338555555569</v>
      </c>
      <c r="AK241" s="107">
        <f t="shared" si="238"/>
        <v>18375.760444444459</v>
      </c>
      <c r="AL241" s="107">
        <f t="shared" si="239"/>
        <v>17892.182333333349</v>
      </c>
      <c r="AM241" s="107">
        <f t="shared" si="240"/>
        <v>17408.604222222239</v>
      </c>
      <c r="AN241" s="107">
        <f t="shared" si="241"/>
        <v>16925.026111111129</v>
      </c>
      <c r="AO241" s="107">
        <f t="shared" si="243"/>
        <v>16441.448000000019</v>
      </c>
      <c r="AP241" s="107"/>
      <c r="AQ241" s="126"/>
      <c r="AR241" s="107">
        <f t="shared" si="244"/>
        <v>5802.9373333333333</v>
      </c>
      <c r="AS241" s="107">
        <f t="shared" si="245"/>
        <v>15957.869888888907</v>
      </c>
      <c r="AT241" s="107">
        <f t="shared" si="246"/>
        <v>15474.291777777795</v>
      </c>
      <c r="AU241" s="107">
        <f t="shared" si="247"/>
        <v>14990.713666666683</v>
      </c>
      <c r="AV241" s="107">
        <f t="shared" si="248"/>
        <v>14507.135555555571</v>
      </c>
      <c r="AW241" s="107">
        <f t="shared" si="249"/>
        <v>14023.557444444459</v>
      </c>
      <c r="AX241" s="107">
        <f t="shared" si="250"/>
        <v>13539.979333333347</v>
      </c>
      <c r="AY241" s="107">
        <f t="shared" si="251"/>
        <v>13056.401222222235</v>
      </c>
      <c r="AZ241" s="107">
        <f t="shared" si="252"/>
        <v>12572.823111111124</v>
      </c>
      <c r="BA241" s="107">
        <f t="shared" si="253"/>
        <v>12089.245000000012</v>
      </c>
      <c r="BB241" s="107">
        <f t="shared" si="254"/>
        <v>11605.6668888889</v>
      </c>
      <c r="BC241" s="107">
        <f t="shared" si="255"/>
        <v>11122.088777777788</v>
      </c>
      <c r="BD241" s="107">
        <f t="shared" si="256"/>
        <v>10638.510666666676</v>
      </c>
      <c r="BE241" s="107"/>
      <c r="BF241" s="127"/>
      <c r="BG241" s="127"/>
      <c r="BH241" s="127"/>
      <c r="BI241" s="127"/>
      <c r="BJ241" s="127"/>
      <c r="BK241" s="127"/>
      <c r="BL241" s="127"/>
      <c r="BM241" s="127"/>
      <c r="BN241" s="127"/>
      <c r="BO241" s="127"/>
      <c r="BP241" s="127"/>
      <c r="BQ241" s="127"/>
      <c r="BR241" s="127"/>
      <c r="BS241" s="127"/>
      <c r="BT241" s="127"/>
      <c r="BU241" s="127"/>
      <c r="BV241" s="127"/>
    </row>
    <row r="242" spans="1:75" hidden="1" x14ac:dyDescent="0.2">
      <c r="A242" s="123" t="str">
        <f>'[2]2021 УГРЦТ'!A244</f>
        <v>Камера КСО-366-3 2001г</v>
      </c>
      <c r="B242" s="124" t="str">
        <f>'[2]2021 УГРЦТ'!B244</f>
        <v>00000318</v>
      </c>
      <c r="C242" s="124" t="str">
        <f>VLOOKUP(A:A,'2023-2027'!A:L,1,+FALSE)</f>
        <v>Камера КСО-366-3 2001г</v>
      </c>
      <c r="D242" s="124" t="str">
        <f>'[2]2021 УГРЦТ'!C244</f>
        <v>ПЕРЕДАЧА</v>
      </c>
      <c r="E242" s="124" t="str">
        <f>'[2]2021 УГРЦТ'!D244</f>
        <v>Машины и оборудование (кроме офисного)</v>
      </c>
      <c r="F242" s="124" t="str">
        <f>'[2]2021 УГРЦТ'!E244</f>
        <v>30.06.2001</v>
      </c>
      <c r="G242" s="124" t="str">
        <f>'[2]2021 УГРЦТ'!F244</f>
        <v>Цех электрических сетей</v>
      </c>
      <c r="H242" s="124">
        <f>'[2]2021 УГРЦТ'!AC244</f>
        <v>276</v>
      </c>
      <c r="I242" s="107">
        <f>'[2]2021 УГРЦТ'!X244</f>
        <v>15587.15</v>
      </c>
      <c r="J242" s="107">
        <f>'[2]2021 УГРЦТ'!Y244</f>
        <v>13673.482173913044</v>
      </c>
      <c r="K242" s="107">
        <f>'[2]2021 УГРЦТ'!Z244</f>
        <v>1913.6678260869558</v>
      </c>
      <c r="L242" s="125" t="e">
        <f>SUMIF([2]облаг!$B$2:$B$259,B242,[2]облаг!$D$2:$D$259)</f>
        <v>#VALUE!</v>
      </c>
      <c r="M242" s="107">
        <f t="shared" si="202"/>
        <v>56.475181159420288</v>
      </c>
      <c r="N242" s="107">
        <f t="shared" si="203"/>
        <v>677.70217391304345</v>
      </c>
      <c r="O242" s="107">
        <f t="shared" si="204"/>
        <v>1857.1926449275354</v>
      </c>
      <c r="P242" s="107">
        <f t="shared" si="205"/>
        <v>1800.7174637681151</v>
      </c>
      <c r="Q242" s="107">
        <f t="shared" si="221"/>
        <v>1744.2422826086947</v>
      </c>
      <c r="R242" s="107">
        <f t="shared" si="222"/>
        <v>1687.7671014492744</v>
      </c>
      <c r="S242" s="107">
        <f t="shared" si="223"/>
        <v>1631.291920289854</v>
      </c>
      <c r="T242" s="107">
        <f t="shared" si="224"/>
        <v>1574.8167391304337</v>
      </c>
      <c r="U242" s="107">
        <f t="shared" si="225"/>
        <v>1518.3415579710133</v>
      </c>
      <c r="V242" s="107">
        <f t="shared" si="226"/>
        <v>1461.866376811593</v>
      </c>
      <c r="W242" s="107">
        <f t="shared" si="227"/>
        <v>1405.3911956521727</v>
      </c>
      <c r="X242" s="107">
        <f t="shared" si="228"/>
        <v>1348.9160144927523</v>
      </c>
      <c r="Y242" s="107">
        <f t="shared" si="229"/>
        <v>1292.440833333332</v>
      </c>
      <c r="Z242" s="107">
        <f t="shared" si="230"/>
        <v>1235.9656521739116</v>
      </c>
      <c r="AA242" s="107"/>
      <c r="AB242" s="107"/>
      <c r="AC242" s="107">
        <f t="shared" si="242"/>
        <v>677.70217391304345</v>
      </c>
      <c r="AD242" s="107">
        <f t="shared" si="231"/>
        <v>1179.4904710144913</v>
      </c>
      <c r="AE242" s="107">
        <f t="shared" si="232"/>
        <v>1123.0152898550709</v>
      </c>
      <c r="AF242" s="107">
        <f t="shared" si="233"/>
        <v>1066.5401086956506</v>
      </c>
      <c r="AG242" s="107">
        <f t="shared" si="234"/>
        <v>1010.0649275362302</v>
      </c>
      <c r="AH242" s="107">
        <f t="shared" si="235"/>
        <v>953.5897463768099</v>
      </c>
      <c r="AI242" s="107">
        <f t="shared" si="236"/>
        <v>897.11456521738955</v>
      </c>
      <c r="AJ242" s="107">
        <f t="shared" si="237"/>
        <v>840.63938405796921</v>
      </c>
      <c r="AK242" s="107">
        <f t="shared" si="238"/>
        <v>784.16420289854887</v>
      </c>
      <c r="AL242" s="107">
        <f t="shared" si="239"/>
        <v>727.68902173912852</v>
      </c>
      <c r="AM242" s="107">
        <f t="shared" si="240"/>
        <v>671.21384057970818</v>
      </c>
      <c r="AN242" s="107">
        <f t="shared" si="241"/>
        <v>614.73865942028783</v>
      </c>
      <c r="AO242" s="107">
        <f t="shared" si="243"/>
        <v>558.26347826086749</v>
      </c>
      <c r="AP242" s="107"/>
      <c r="AQ242" s="126"/>
      <c r="AR242" s="107">
        <f>AO242</f>
        <v>558.26347826086749</v>
      </c>
      <c r="AS242" s="107">
        <f t="shared" si="245"/>
        <v>501.7882971014472</v>
      </c>
      <c r="AT242" s="107">
        <f t="shared" si="246"/>
        <v>445.31311594202691</v>
      </c>
      <c r="AU242" s="107">
        <f t="shared" si="247"/>
        <v>388.83793478260662</v>
      </c>
      <c r="AV242" s="107">
        <f t="shared" si="248"/>
        <v>332.36275362318634</v>
      </c>
      <c r="AW242" s="107">
        <f t="shared" si="249"/>
        <v>275.88757246376605</v>
      </c>
      <c r="AX242" s="107">
        <f t="shared" si="250"/>
        <v>219.41239130434576</v>
      </c>
      <c r="AY242" s="107">
        <f t="shared" si="251"/>
        <v>162.93721014492547</v>
      </c>
      <c r="AZ242" s="107">
        <f t="shared" si="252"/>
        <v>106.46202898550519</v>
      </c>
      <c r="BA242" s="107">
        <f t="shared" si="253"/>
        <v>49.986847826084897</v>
      </c>
      <c r="BB242" s="107">
        <v>0</v>
      </c>
      <c r="BC242" s="107">
        <v>0</v>
      </c>
      <c r="BD242" s="107">
        <v>0</v>
      </c>
      <c r="BE242" s="107"/>
      <c r="BI242" s="127"/>
    </row>
    <row r="243" spans="1:75" hidden="1" x14ac:dyDescent="0.2">
      <c r="A243" s="123" t="str">
        <f>'[2]2021 УГРЦТ'!A245</f>
        <v>Камера КСО-386-1 2001г</v>
      </c>
      <c r="B243" s="124" t="str">
        <f>'[2]2021 УГРЦТ'!B245</f>
        <v>00000319</v>
      </c>
      <c r="C243" s="124" t="str">
        <f>VLOOKUP(A:A,'2023-2027'!A:L,1,+FALSE)</f>
        <v>Камера КСО-386-1 2001г</v>
      </c>
      <c r="D243" s="124" t="str">
        <f>'[2]2021 УГРЦТ'!C245</f>
        <v>ПЕРЕДАЧА</v>
      </c>
      <c r="E243" s="124" t="str">
        <f>'[2]2021 УГРЦТ'!D245</f>
        <v>Машины и оборудование (кроме офисного)</v>
      </c>
      <c r="F243" s="124" t="str">
        <f>'[2]2021 УГРЦТ'!E245</f>
        <v>30.06.2001</v>
      </c>
      <c r="G243" s="124" t="str">
        <f>'[2]2021 УГРЦТ'!F245</f>
        <v>Цех электрических сетей</v>
      </c>
      <c r="H243" s="124">
        <f>'[2]2021 УГРЦТ'!AC245</f>
        <v>276</v>
      </c>
      <c r="I243" s="107">
        <f>'[2]2021 УГРЦТ'!X245</f>
        <v>13306.52</v>
      </c>
      <c r="J243" s="107">
        <f>'[2]2021 УГРЦТ'!Y245</f>
        <v>11671.484347826088</v>
      </c>
      <c r="K243" s="107">
        <f>'[2]2021 УГРЦТ'!Z245</f>
        <v>1635.0356521739122</v>
      </c>
      <c r="L243" s="125" t="e">
        <f>SUMIF([2]облаг!$B$2:$B$259,B243,[2]облаг!$D$2:$D$259)</f>
        <v>#VALUE!</v>
      </c>
      <c r="M243" s="107">
        <f t="shared" si="202"/>
        <v>48.212028985507246</v>
      </c>
      <c r="N243" s="107">
        <f t="shared" si="203"/>
        <v>578.54434782608701</v>
      </c>
      <c r="O243" s="107">
        <f t="shared" si="204"/>
        <v>1586.823623188405</v>
      </c>
      <c r="P243" s="107">
        <f t="shared" si="205"/>
        <v>1538.6115942028978</v>
      </c>
      <c r="Q243" s="107">
        <f t="shared" si="221"/>
        <v>1490.3995652173905</v>
      </c>
      <c r="R243" s="107">
        <f t="shared" si="222"/>
        <v>1442.1875362318833</v>
      </c>
      <c r="S243" s="107">
        <f t="shared" si="223"/>
        <v>1393.9755072463761</v>
      </c>
      <c r="T243" s="107">
        <f t="shared" si="224"/>
        <v>1345.7634782608689</v>
      </c>
      <c r="U243" s="107">
        <f t="shared" si="225"/>
        <v>1297.5514492753616</v>
      </c>
      <c r="V243" s="107">
        <f t="shared" si="226"/>
        <v>1249.3394202898544</v>
      </c>
      <c r="W243" s="107">
        <f t="shared" si="227"/>
        <v>1201.1273913043472</v>
      </c>
      <c r="X243" s="107">
        <f t="shared" si="228"/>
        <v>1152.9153623188399</v>
      </c>
      <c r="Y243" s="107">
        <f t="shared" si="229"/>
        <v>1104.7033333333327</v>
      </c>
      <c r="Z243" s="107">
        <f t="shared" si="230"/>
        <v>1056.4913043478255</v>
      </c>
      <c r="AA243" s="107"/>
      <c r="AB243" s="107"/>
      <c r="AC243" s="107">
        <f t="shared" si="242"/>
        <v>578.54434782608701</v>
      </c>
      <c r="AD243" s="107">
        <f t="shared" si="231"/>
        <v>1008.2792753623182</v>
      </c>
      <c r="AE243" s="107">
        <f t="shared" si="232"/>
        <v>960.067246376811</v>
      </c>
      <c r="AF243" s="107">
        <f t="shared" si="233"/>
        <v>911.85521739130377</v>
      </c>
      <c r="AG243" s="107">
        <f t="shared" si="234"/>
        <v>863.64318840579654</v>
      </c>
      <c r="AH243" s="107">
        <f t="shared" si="235"/>
        <v>815.4311594202893</v>
      </c>
      <c r="AI243" s="107">
        <f t="shared" si="236"/>
        <v>767.21913043478207</v>
      </c>
      <c r="AJ243" s="107">
        <f t="shared" si="237"/>
        <v>719.00710144927484</v>
      </c>
      <c r="AK243" s="107">
        <f t="shared" si="238"/>
        <v>670.79507246376761</v>
      </c>
      <c r="AL243" s="107">
        <f t="shared" si="239"/>
        <v>622.58304347826038</v>
      </c>
      <c r="AM243" s="107">
        <f t="shared" si="240"/>
        <v>574.37101449275315</v>
      </c>
      <c r="AN243" s="107">
        <f t="shared" si="241"/>
        <v>526.15898550724592</v>
      </c>
      <c r="AO243" s="107">
        <f t="shared" si="243"/>
        <v>477.94695652173868</v>
      </c>
      <c r="AP243" s="107"/>
      <c r="AQ243" s="126"/>
      <c r="AR243" s="107">
        <f>AO243</f>
        <v>477.94695652173868</v>
      </c>
      <c r="AS243" s="107">
        <f t="shared" si="245"/>
        <v>429.73492753623145</v>
      </c>
      <c r="AT243" s="107">
        <f t="shared" si="246"/>
        <v>381.52289855072422</v>
      </c>
      <c r="AU243" s="107">
        <f t="shared" si="247"/>
        <v>333.31086956521699</v>
      </c>
      <c r="AV243" s="107">
        <f t="shared" si="248"/>
        <v>285.09884057970976</v>
      </c>
      <c r="AW243" s="107">
        <f t="shared" si="249"/>
        <v>236.88681159420253</v>
      </c>
      <c r="AX243" s="107">
        <f t="shared" si="250"/>
        <v>188.6747826086953</v>
      </c>
      <c r="AY243" s="107">
        <f t="shared" si="251"/>
        <v>140.46275362318806</v>
      </c>
      <c r="AZ243" s="107">
        <f t="shared" si="252"/>
        <v>92.250724637680818</v>
      </c>
      <c r="BA243" s="107">
        <f t="shared" si="253"/>
        <v>44.038695652173573</v>
      </c>
      <c r="BB243" s="107">
        <v>0</v>
      </c>
      <c r="BC243" s="107">
        <v>0</v>
      </c>
      <c r="BD243" s="107">
        <v>0</v>
      </c>
      <c r="BE243" s="107"/>
      <c r="BI243" s="127"/>
    </row>
    <row r="244" spans="1:75" ht="33.75" hidden="1" x14ac:dyDescent="0.2">
      <c r="A244" s="123" t="str">
        <f>'[2]2021 УГРЦТ'!A246</f>
        <v>Камера сборная одностороннего обслуживания КСО-298-8ВВ-630-УЗ зав.№124-1</v>
      </c>
      <c r="B244" s="124" t="str">
        <f>'[2]2021 УГРЦТ'!B246</f>
        <v>000001483</v>
      </c>
      <c r="C244" s="124" t="str">
        <f>VLOOKUP(A:A,'2023-2027'!A:L,1,+FALSE)</f>
        <v>Камера сборная одностороннего обслуживания КСО-298-8ВВ-630-УЗ зав.№124-1</v>
      </c>
      <c r="D244" s="124" t="str">
        <f>'[2]2021 УГРЦТ'!C246</f>
        <v>ПЕРЕДАЧА</v>
      </c>
      <c r="E244" s="124" t="str">
        <f>'[2]2021 УГРЦТ'!D246</f>
        <v>Машины и оборудование (кроме офисного)</v>
      </c>
      <c r="F244" s="124" t="str">
        <f>'[2]2021 УГРЦТ'!E246</f>
        <v>24.09.2012</v>
      </c>
      <c r="G244" s="124" t="str">
        <f>'[2]2021 УГРЦТ'!F246</f>
        <v>Цех электрических сетей</v>
      </c>
      <c r="H244" s="124">
        <f>'[2]2021 УГРЦТ'!AC246</f>
        <v>120</v>
      </c>
      <c r="I244" s="107">
        <f>'[2]2021 УГРЦТ'!X246</f>
        <v>451297.63</v>
      </c>
      <c r="J244" s="107">
        <f>'[2]2021 УГРЦТ'!Y246</f>
        <v>417449.95299999998</v>
      </c>
      <c r="K244" s="107">
        <f>'[2]2021 УГРЦТ'!Z246</f>
        <v>33847.677000000025</v>
      </c>
      <c r="L244" s="125" t="e">
        <f>SUMIF([2]облаг!$B$2:$B$259,B244,[2]облаг!$D$2:$D$259)</f>
        <v>#VALUE!</v>
      </c>
      <c r="M244" s="107">
        <f t="shared" si="202"/>
        <v>3760.8135833333336</v>
      </c>
      <c r="N244" s="107">
        <f>O244</f>
        <v>30086.863416666693</v>
      </c>
      <c r="O244" s="107">
        <f t="shared" si="204"/>
        <v>30086.863416666693</v>
      </c>
      <c r="P244" s="107">
        <f t="shared" si="205"/>
        <v>26326.04983333336</v>
      </c>
      <c r="Q244" s="107">
        <f t="shared" si="221"/>
        <v>22565.236250000027</v>
      </c>
      <c r="R244" s="107">
        <f t="shared" si="222"/>
        <v>18804.422666666695</v>
      </c>
      <c r="S244" s="107">
        <f t="shared" si="223"/>
        <v>15043.609083333362</v>
      </c>
      <c r="T244" s="107">
        <f t="shared" si="224"/>
        <v>11282.795500000029</v>
      </c>
      <c r="U244" s="107">
        <f t="shared" si="225"/>
        <v>7521.9819166666957</v>
      </c>
      <c r="V244" s="107">
        <f t="shared" si="226"/>
        <v>3761.1683333333622</v>
      </c>
      <c r="W244" s="107">
        <f t="shared" si="227"/>
        <v>0.35475000002861634</v>
      </c>
      <c r="X244" s="107">
        <v>0</v>
      </c>
      <c r="Y244" s="107">
        <v>0</v>
      </c>
      <c r="Z244" s="107">
        <v>0</v>
      </c>
      <c r="AA244" s="107"/>
      <c r="AB244" s="107"/>
      <c r="AC244" s="107">
        <v>0</v>
      </c>
      <c r="AD244" s="107">
        <v>0</v>
      </c>
      <c r="AE244" s="107">
        <v>0</v>
      </c>
      <c r="AF244" s="107">
        <v>0</v>
      </c>
      <c r="AG244" s="107">
        <v>0</v>
      </c>
      <c r="AH244" s="107">
        <v>0</v>
      </c>
      <c r="AI244" s="107">
        <v>0</v>
      </c>
      <c r="AJ244" s="107">
        <v>0</v>
      </c>
      <c r="AK244" s="107">
        <v>0</v>
      </c>
      <c r="AL244" s="107">
        <v>0</v>
      </c>
      <c r="AM244" s="107">
        <v>0</v>
      </c>
      <c r="AN244" s="107">
        <v>0</v>
      </c>
      <c r="AO244" s="107">
        <v>0</v>
      </c>
      <c r="AP244" s="107"/>
      <c r="AQ244" s="126"/>
      <c r="AR244" s="107">
        <v>0</v>
      </c>
      <c r="AS244" s="107">
        <v>0</v>
      </c>
      <c r="AT244" s="107">
        <v>0</v>
      </c>
      <c r="AU244" s="107">
        <v>0</v>
      </c>
      <c r="AV244" s="107">
        <v>0</v>
      </c>
      <c r="AW244" s="107">
        <v>0</v>
      </c>
      <c r="AX244" s="107">
        <v>0</v>
      </c>
      <c r="AY244" s="107">
        <v>0</v>
      </c>
      <c r="AZ244" s="107">
        <v>0</v>
      </c>
      <c r="BA244" s="107">
        <v>0</v>
      </c>
      <c r="BB244" s="107">
        <v>0</v>
      </c>
      <c r="BC244" s="107">
        <v>0</v>
      </c>
      <c r="BD244" s="107">
        <v>0</v>
      </c>
      <c r="BE244" s="124"/>
      <c r="BI244" s="127"/>
    </row>
    <row r="245" spans="1:75" ht="33.75" hidden="1" x14ac:dyDescent="0.2">
      <c r="A245" s="123" t="str">
        <f>'[2]2021 УГРЦТ'!A247</f>
        <v>Камера сборная одностороннего обслуживания КСО-298-8ВВ-630-УЗ зав.№124-2</v>
      </c>
      <c r="B245" s="124" t="str">
        <f>'[2]2021 УГРЦТ'!B247</f>
        <v>000001484</v>
      </c>
      <c r="C245" s="124" t="str">
        <f>VLOOKUP(A:A,'2023-2027'!A:L,1,+FALSE)</f>
        <v>Камера сборная одностороннего обслуживания КСО-298-8ВВ-630-УЗ зав.№124-2</v>
      </c>
      <c r="D245" s="124" t="str">
        <f>'[2]2021 УГРЦТ'!C247</f>
        <v>ПЕРЕДАЧА</v>
      </c>
      <c r="E245" s="124" t="str">
        <f>'[2]2021 УГРЦТ'!D247</f>
        <v>Машины и оборудование (кроме офисного)</v>
      </c>
      <c r="F245" s="124" t="str">
        <f>'[2]2021 УГРЦТ'!E247</f>
        <v>24.09.2012</v>
      </c>
      <c r="G245" s="124" t="str">
        <f>'[2]2021 УГРЦТ'!F247</f>
        <v>Цех электрических сетей</v>
      </c>
      <c r="H245" s="124">
        <f>'[2]2021 УГРЦТ'!AC247</f>
        <v>120</v>
      </c>
      <c r="I245" s="107">
        <f>'[2]2021 УГРЦТ'!X247</f>
        <v>451297.63</v>
      </c>
      <c r="J245" s="107">
        <f>'[2]2021 УГРЦТ'!Y247</f>
        <v>417449.95299999998</v>
      </c>
      <c r="K245" s="107">
        <f>'[2]2021 УГРЦТ'!Z247</f>
        <v>33847.677000000025</v>
      </c>
      <c r="L245" s="125" t="e">
        <f>SUMIF([2]облаг!$B$2:$B$259,B245,[2]облаг!$D$2:$D$259)</f>
        <v>#VALUE!</v>
      </c>
      <c r="M245" s="107">
        <f t="shared" si="202"/>
        <v>3760.8135833333336</v>
      </c>
      <c r="N245" s="107">
        <f>O245</f>
        <v>30086.863416666693</v>
      </c>
      <c r="O245" s="107">
        <f t="shared" si="204"/>
        <v>30086.863416666693</v>
      </c>
      <c r="P245" s="107">
        <f t="shared" si="205"/>
        <v>26326.04983333336</v>
      </c>
      <c r="Q245" s="107">
        <f t="shared" si="221"/>
        <v>22565.236250000027</v>
      </c>
      <c r="R245" s="107">
        <f t="shared" si="222"/>
        <v>18804.422666666695</v>
      </c>
      <c r="S245" s="107">
        <f t="shared" si="223"/>
        <v>15043.609083333362</v>
      </c>
      <c r="T245" s="107">
        <f t="shared" si="224"/>
        <v>11282.795500000029</v>
      </c>
      <c r="U245" s="107">
        <f t="shared" si="225"/>
        <v>7521.9819166666957</v>
      </c>
      <c r="V245" s="107">
        <f t="shared" si="226"/>
        <v>3761.1683333333622</v>
      </c>
      <c r="W245" s="107">
        <f t="shared" si="227"/>
        <v>0.35475000002861634</v>
      </c>
      <c r="X245" s="107">
        <v>0</v>
      </c>
      <c r="Y245" s="107">
        <v>0</v>
      </c>
      <c r="Z245" s="107">
        <v>0</v>
      </c>
      <c r="AA245" s="107"/>
      <c r="AB245" s="107"/>
      <c r="AC245" s="107">
        <v>0</v>
      </c>
      <c r="AD245" s="107">
        <v>0</v>
      </c>
      <c r="AE245" s="107">
        <v>0</v>
      </c>
      <c r="AF245" s="107">
        <v>0</v>
      </c>
      <c r="AG245" s="107">
        <v>0</v>
      </c>
      <c r="AH245" s="107">
        <v>0</v>
      </c>
      <c r="AI245" s="107">
        <v>0</v>
      </c>
      <c r="AJ245" s="107">
        <v>0</v>
      </c>
      <c r="AK245" s="107">
        <v>0</v>
      </c>
      <c r="AL245" s="107">
        <v>0</v>
      </c>
      <c r="AM245" s="107">
        <v>0</v>
      </c>
      <c r="AN245" s="107">
        <v>0</v>
      </c>
      <c r="AO245" s="107">
        <v>0</v>
      </c>
      <c r="AP245" s="107"/>
      <c r="AQ245" s="126"/>
      <c r="AR245" s="107">
        <v>0</v>
      </c>
      <c r="AS245" s="107">
        <v>0</v>
      </c>
      <c r="AT245" s="107">
        <v>0</v>
      </c>
      <c r="AU245" s="107">
        <v>0</v>
      </c>
      <c r="AV245" s="107">
        <v>0</v>
      </c>
      <c r="AW245" s="107">
        <v>0</v>
      </c>
      <c r="AX245" s="107">
        <v>0</v>
      </c>
      <c r="AY245" s="107">
        <v>0</v>
      </c>
      <c r="AZ245" s="107">
        <v>0</v>
      </c>
      <c r="BA245" s="107">
        <v>0</v>
      </c>
      <c r="BB245" s="107">
        <v>0</v>
      </c>
      <c r="BC245" s="107">
        <v>0</v>
      </c>
      <c r="BD245" s="107">
        <v>0</v>
      </c>
      <c r="BE245" s="124"/>
      <c r="BI245" s="127"/>
    </row>
    <row r="246" spans="1:75" ht="33.75" hidden="1" x14ac:dyDescent="0.2">
      <c r="A246" s="123" t="str">
        <f>'[2]2021 УГРЦТ'!A248</f>
        <v>Камера сборная одностороннего обслуживания КСО-298-8ВВ-630-УЗ зав.№124-3</v>
      </c>
      <c r="B246" s="124" t="str">
        <f>'[2]2021 УГРЦТ'!B248</f>
        <v>000001485</v>
      </c>
      <c r="C246" s="124" t="str">
        <f>VLOOKUP(A:A,'2023-2027'!A:L,1,+FALSE)</f>
        <v>Камера сборная одностороннего обслуживания КСО-298-8ВВ-630-УЗ зав.№124-3</v>
      </c>
      <c r="D246" s="124" t="str">
        <f>'[2]2021 УГРЦТ'!C248</f>
        <v>ПЕРЕДАЧА</v>
      </c>
      <c r="E246" s="124" t="str">
        <f>'[2]2021 УГРЦТ'!D248</f>
        <v>Машины и оборудование (кроме офисного)</v>
      </c>
      <c r="F246" s="124" t="str">
        <f>'[2]2021 УГРЦТ'!E248</f>
        <v>24.09.2012</v>
      </c>
      <c r="G246" s="124" t="str">
        <f>'[2]2021 УГРЦТ'!F248</f>
        <v>Цех электрических сетей</v>
      </c>
      <c r="H246" s="124">
        <f>'[2]2021 УГРЦТ'!AC248</f>
        <v>120</v>
      </c>
      <c r="I246" s="107">
        <f>'[2]2021 УГРЦТ'!X248</f>
        <v>451297.63</v>
      </c>
      <c r="J246" s="107">
        <f>'[2]2021 УГРЦТ'!Y248</f>
        <v>417449.95299999998</v>
      </c>
      <c r="K246" s="107">
        <f>'[2]2021 УГРЦТ'!Z248</f>
        <v>33847.677000000025</v>
      </c>
      <c r="L246" s="125" t="e">
        <f>SUMIF([2]облаг!$B$2:$B$259,B246,[2]облаг!$D$2:$D$259)</f>
        <v>#VALUE!</v>
      </c>
      <c r="M246" s="107">
        <f t="shared" si="202"/>
        <v>3760.8135833333336</v>
      </c>
      <c r="N246" s="107">
        <f>O246</f>
        <v>30086.863416666693</v>
      </c>
      <c r="O246" s="107">
        <f t="shared" si="204"/>
        <v>30086.863416666693</v>
      </c>
      <c r="P246" s="107">
        <f t="shared" si="205"/>
        <v>26326.04983333336</v>
      </c>
      <c r="Q246" s="107">
        <f t="shared" si="221"/>
        <v>22565.236250000027</v>
      </c>
      <c r="R246" s="107">
        <f t="shared" si="222"/>
        <v>18804.422666666695</v>
      </c>
      <c r="S246" s="107">
        <f t="shared" si="223"/>
        <v>15043.609083333362</v>
      </c>
      <c r="T246" s="107">
        <f t="shared" si="224"/>
        <v>11282.795500000029</v>
      </c>
      <c r="U246" s="107">
        <f t="shared" si="225"/>
        <v>7521.9819166666957</v>
      </c>
      <c r="V246" s="107">
        <f t="shared" si="226"/>
        <v>3761.1683333333622</v>
      </c>
      <c r="W246" s="107">
        <f t="shared" si="227"/>
        <v>0.35475000002861634</v>
      </c>
      <c r="X246" s="107">
        <v>0</v>
      </c>
      <c r="Y246" s="107">
        <v>0</v>
      </c>
      <c r="Z246" s="107">
        <v>0</v>
      </c>
      <c r="AA246" s="107"/>
      <c r="AB246" s="107"/>
      <c r="AC246" s="107">
        <v>0</v>
      </c>
      <c r="AD246" s="107">
        <v>0</v>
      </c>
      <c r="AE246" s="107">
        <v>0</v>
      </c>
      <c r="AF246" s="107">
        <v>0</v>
      </c>
      <c r="AG246" s="107">
        <v>0</v>
      </c>
      <c r="AH246" s="107">
        <v>0</v>
      </c>
      <c r="AI246" s="107">
        <v>0</v>
      </c>
      <c r="AJ246" s="107">
        <v>0</v>
      </c>
      <c r="AK246" s="107">
        <v>0</v>
      </c>
      <c r="AL246" s="107">
        <v>0</v>
      </c>
      <c r="AM246" s="107">
        <v>0</v>
      </c>
      <c r="AN246" s="107">
        <v>0</v>
      </c>
      <c r="AO246" s="107">
        <v>0</v>
      </c>
      <c r="AP246" s="107"/>
      <c r="AQ246" s="126"/>
      <c r="AR246" s="107">
        <v>0</v>
      </c>
      <c r="AS246" s="107">
        <v>0</v>
      </c>
      <c r="AT246" s="107">
        <v>0</v>
      </c>
      <c r="AU246" s="107">
        <v>0</v>
      </c>
      <c r="AV246" s="107">
        <v>0</v>
      </c>
      <c r="AW246" s="107">
        <v>0</v>
      </c>
      <c r="AX246" s="107">
        <v>0</v>
      </c>
      <c r="AY246" s="107">
        <v>0</v>
      </c>
      <c r="AZ246" s="107">
        <v>0</v>
      </c>
      <c r="BA246" s="107">
        <v>0</v>
      </c>
      <c r="BB246" s="107">
        <v>0</v>
      </c>
      <c r="BC246" s="107">
        <v>0</v>
      </c>
      <c r="BD246" s="107">
        <v>0</v>
      </c>
      <c r="BE246" s="124"/>
      <c r="BI246" s="127"/>
    </row>
    <row r="247" spans="1:75" ht="33.75" hidden="1" x14ac:dyDescent="0.2">
      <c r="A247" s="123" t="str">
        <f>'[2]2021 УГРЦТ'!A249</f>
        <v>Камера сборная одностороннего обслуживания КСО-298-8ВВ-630-УЗ зав.№124-4</v>
      </c>
      <c r="B247" s="124" t="str">
        <f>'[2]2021 УГРЦТ'!B249</f>
        <v>000001486</v>
      </c>
      <c r="C247" s="124" t="str">
        <f>VLOOKUP(A:A,'2023-2027'!A:L,1,+FALSE)</f>
        <v>Камера сборная одностороннего обслуживания КСО-298-8ВВ-630-УЗ зав.№124-4</v>
      </c>
      <c r="D247" s="124" t="str">
        <f>'[2]2021 УГРЦТ'!C249</f>
        <v>ПЕРЕДАЧА</v>
      </c>
      <c r="E247" s="124" t="str">
        <f>'[2]2021 УГРЦТ'!D249</f>
        <v>Машины и оборудование (кроме офисного)</v>
      </c>
      <c r="F247" s="124" t="str">
        <f>'[2]2021 УГРЦТ'!E249</f>
        <v>24.09.2012</v>
      </c>
      <c r="G247" s="124" t="str">
        <f>'[2]2021 УГРЦТ'!F249</f>
        <v>Цех электрических сетей</v>
      </c>
      <c r="H247" s="124">
        <f>'[2]2021 УГРЦТ'!AC249</f>
        <v>120</v>
      </c>
      <c r="I247" s="107">
        <f>'[2]2021 УГРЦТ'!X249</f>
        <v>451297.63</v>
      </c>
      <c r="J247" s="107">
        <f>'[2]2021 УГРЦТ'!Y249</f>
        <v>417449.95299999998</v>
      </c>
      <c r="K247" s="107">
        <f>'[2]2021 УГРЦТ'!Z249</f>
        <v>33847.677000000025</v>
      </c>
      <c r="L247" s="125" t="e">
        <f>SUMIF([2]облаг!$B$2:$B$259,B247,[2]облаг!$D$2:$D$259)</f>
        <v>#VALUE!</v>
      </c>
      <c r="M247" s="107">
        <f t="shared" si="202"/>
        <v>3760.8135833333336</v>
      </c>
      <c r="N247" s="107">
        <f>O247</f>
        <v>30086.863416666693</v>
      </c>
      <c r="O247" s="107">
        <f t="shared" si="204"/>
        <v>30086.863416666693</v>
      </c>
      <c r="P247" s="107">
        <f t="shared" si="205"/>
        <v>26326.04983333336</v>
      </c>
      <c r="Q247" s="107">
        <f t="shared" si="221"/>
        <v>22565.236250000027</v>
      </c>
      <c r="R247" s="107">
        <f t="shared" si="222"/>
        <v>18804.422666666695</v>
      </c>
      <c r="S247" s="107">
        <f t="shared" si="223"/>
        <v>15043.609083333362</v>
      </c>
      <c r="T247" s="107">
        <f t="shared" si="224"/>
        <v>11282.795500000029</v>
      </c>
      <c r="U247" s="107">
        <f t="shared" si="225"/>
        <v>7521.9819166666957</v>
      </c>
      <c r="V247" s="107">
        <f t="shared" si="226"/>
        <v>3761.1683333333622</v>
      </c>
      <c r="W247" s="107">
        <f t="shared" si="227"/>
        <v>0.35475000002861634</v>
      </c>
      <c r="X247" s="107">
        <v>0</v>
      </c>
      <c r="Y247" s="107">
        <v>0</v>
      </c>
      <c r="Z247" s="107">
        <v>0</v>
      </c>
      <c r="AA247" s="107"/>
      <c r="AB247" s="107"/>
      <c r="AC247" s="107">
        <v>0</v>
      </c>
      <c r="AD247" s="107">
        <v>0</v>
      </c>
      <c r="AE247" s="107">
        <v>0</v>
      </c>
      <c r="AF247" s="107">
        <v>0</v>
      </c>
      <c r="AG247" s="107">
        <v>0</v>
      </c>
      <c r="AH247" s="107">
        <v>0</v>
      </c>
      <c r="AI247" s="107">
        <v>0</v>
      </c>
      <c r="AJ247" s="107">
        <v>0</v>
      </c>
      <c r="AK247" s="107">
        <v>0</v>
      </c>
      <c r="AL247" s="107">
        <v>0</v>
      </c>
      <c r="AM247" s="107">
        <v>0</v>
      </c>
      <c r="AN247" s="107">
        <v>0</v>
      </c>
      <c r="AO247" s="107">
        <v>0</v>
      </c>
      <c r="AP247" s="107"/>
      <c r="AQ247" s="126"/>
      <c r="AR247" s="107">
        <v>0</v>
      </c>
      <c r="AS247" s="107">
        <v>0</v>
      </c>
      <c r="AT247" s="107">
        <v>0</v>
      </c>
      <c r="AU247" s="107">
        <v>0</v>
      </c>
      <c r="AV247" s="107">
        <v>0</v>
      </c>
      <c r="AW247" s="107">
        <v>0</v>
      </c>
      <c r="AX247" s="107">
        <v>0</v>
      </c>
      <c r="AY247" s="107">
        <v>0</v>
      </c>
      <c r="AZ247" s="107">
        <v>0</v>
      </c>
      <c r="BA247" s="107">
        <v>0</v>
      </c>
      <c r="BB247" s="107">
        <v>0</v>
      </c>
      <c r="BC247" s="107">
        <v>0</v>
      </c>
      <c r="BD247" s="107">
        <v>0</v>
      </c>
      <c r="BE247" s="124"/>
      <c r="BI247" s="127"/>
    </row>
    <row r="248" spans="1:75" ht="33.75" hidden="1" x14ac:dyDescent="0.2">
      <c r="A248" s="123" t="str">
        <f>'[2]2021 УГРЦТ'!A250</f>
        <v>Камера сборная одностороннего обслуживания КСО-298-8ВВ-630-УЗ зав.№124-5</v>
      </c>
      <c r="B248" s="124" t="str">
        <f>'[2]2021 УГРЦТ'!B250</f>
        <v>000001487</v>
      </c>
      <c r="C248" s="124" t="str">
        <f>VLOOKUP(A:A,'2023-2027'!A:L,1,+FALSE)</f>
        <v>Камера сборная одностороннего обслуживания КСО-298-8ВВ-630-УЗ зав.№124-5</v>
      </c>
      <c r="D248" s="124" t="str">
        <f>'[2]2021 УГРЦТ'!C250</f>
        <v>ПЕРЕДАЧА</v>
      </c>
      <c r="E248" s="124" t="str">
        <f>'[2]2021 УГРЦТ'!D250</f>
        <v>Машины и оборудование (кроме офисного)</v>
      </c>
      <c r="F248" s="124" t="str">
        <f>'[2]2021 УГРЦТ'!E250</f>
        <v>24.09.2012</v>
      </c>
      <c r="G248" s="124" t="str">
        <f>'[2]2021 УГРЦТ'!F250</f>
        <v>Цех электрических сетей</v>
      </c>
      <c r="H248" s="124">
        <f>'[2]2021 УГРЦТ'!AC250</f>
        <v>120</v>
      </c>
      <c r="I248" s="107">
        <f>'[2]2021 УГРЦТ'!X250</f>
        <v>451297.63</v>
      </c>
      <c r="J248" s="107">
        <f>'[2]2021 УГРЦТ'!Y250</f>
        <v>417449.95299999998</v>
      </c>
      <c r="K248" s="107">
        <f>'[2]2021 УГРЦТ'!Z250</f>
        <v>33847.677000000025</v>
      </c>
      <c r="L248" s="125" t="e">
        <f>SUMIF([2]облаг!$B$2:$B$259,B248,[2]облаг!$D$2:$D$259)</f>
        <v>#VALUE!</v>
      </c>
      <c r="M248" s="107">
        <f t="shared" si="202"/>
        <v>3760.8135833333336</v>
      </c>
      <c r="N248" s="107">
        <f>O248</f>
        <v>30086.863416666693</v>
      </c>
      <c r="O248" s="107">
        <f t="shared" si="204"/>
        <v>30086.863416666693</v>
      </c>
      <c r="P248" s="107">
        <f t="shared" si="205"/>
        <v>26326.04983333336</v>
      </c>
      <c r="Q248" s="107">
        <f t="shared" si="221"/>
        <v>22565.236250000027</v>
      </c>
      <c r="R248" s="107">
        <f t="shared" si="222"/>
        <v>18804.422666666695</v>
      </c>
      <c r="S248" s="107">
        <f t="shared" si="223"/>
        <v>15043.609083333362</v>
      </c>
      <c r="T248" s="107">
        <f t="shared" si="224"/>
        <v>11282.795500000029</v>
      </c>
      <c r="U248" s="107">
        <f t="shared" si="225"/>
        <v>7521.9819166666957</v>
      </c>
      <c r="V248" s="107">
        <f t="shared" si="226"/>
        <v>3761.1683333333622</v>
      </c>
      <c r="W248" s="107">
        <f t="shared" si="227"/>
        <v>0.35475000002861634</v>
      </c>
      <c r="X248" s="107">
        <v>0</v>
      </c>
      <c r="Y248" s="107">
        <v>0</v>
      </c>
      <c r="Z248" s="107">
        <v>0</v>
      </c>
      <c r="AA248" s="107"/>
      <c r="AB248" s="107"/>
      <c r="AC248" s="107">
        <v>0</v>
      </c>
      <c r="AD248" s="107">
        <v>0</v>
      </c>
      <c r="AE248" s="107">
        <v>0</v>
      </c>
      <c r="AF248" s="107">
        <v>0</v>
      </c>
      <c r="AG248" s="107">
        <v>0</v>
      </c>
      <c r="AH248" s="107">
        <v>0</v>
      </c>
      <c r="AI248" s="107">
        <v>0</v>
      </c>
      <c r="AJ248" s="107">
        <v>0</v>
      </c>
      <c r="AK248" s="107">
        <v>0</v>
      </c>
      <c r="AL248" s="107">
        <v>0</v>
      </c>
      <c r="AM248" s="107">
        <v>0</v>
      </c>
      <c r="AN248" s="107">
        <v>0</v>
      </c>
      <c r="AO248" s="107">
        <v>0</v>
      </c>
      <c r="AP248" s="107"/>
      <c r="AQ248" s="126"/>
      <c r="AR248" s="107">
        <v>0</v>
      </c>
      <c r="AS248" s="107">
        <v>0</v>
      </c>
      <c r="AT248" s="107">
        <v>0</v>
      </c>
      <c r="AU248" s="107">
        <v>0</v>
      </c>
      <c r="AV248" s="107">
        <v>0</v>
      </c>
      <c r="AW248" s="107">
        <v>0</v>
      </c>
      <c r="AX248" s="107">
        <v>0</v>
      </c>
      <c r="AY248" s="107">
        <v>0</v>
      </c>
      <c r="AZ248" s="107">
        <v>0</v>
      </c>
      <c r="BA248" s="107">
        <v>0</v>
      </c>
      <c r="BB248" s="107">
        <v>0</v>
      </c>
      <c r="BC248" s="107">
        <v>0</v>
      </c>
      <c r="BD248" s="107">
        <v>0</v>
      </c>
      <c r="BE248" s="124"/>
      <c r="BI248" s="127"/>
    </row>
    <row r="249" spans="1:75" ht="22.5" hidden="1" x14ac:dyDescent="0.2">
      <c r="A249" s="123" t="str">
        <f>'[2]2021 УГРЦТ'!A251</f>
        <v>Камеры в/в КСО 393 №2 01/09-828</v>
      </c>
      <c r="B249" s="124" t="str">
        <f>'[2]2021 УГРЦТ'!B251</f>
        <v>00001138</v>
      </c>
      <c r="C249" s="124" t="str">
        <f>VLOOKUP(A:A,'2023-2027'!A:L,1,+FALSE)</f>
        <v>Камеры в/в КСО 393 №2 01/09-828</v>
      </c>
      <c r="D249" s="124" t="str">
        <f>'[2]2021 УГРЦТ'!C251</f>
        <v>ПЕРЕДАЧА</v>
      </c>
      <c r="E249" s="124" t="str">
        <f>'[2]2021 УГРЦТ'!D251</f>
        <v>Машины и оборудование (кроме офисного)</v>
      </c>
      <c r="F249" s="124" t="str">
        <f>'[2]2021 УГРЦТ'!E251</f>
        <v>31.07.2009</v>
      </c>
      <c r="G249" s="124" t="str">
        <f>'[2]2021 УГРЦТ'!F251</f>
        <v>Цех электрических сетей</v>
      </c>
      <c r="H249" s="124">
        <f>'[2]2021 УГРЦТ'!AC251</f>
        <v>180</v>
      </c>
      <c r="I249" s="107">
        <f>'[2]2021 УГРЦТ'!X251</f>
        <v>85301.6</v>
      </c>
      <c r="J249" s="107">
        <f>'[2]2021 УГРЦТ'!Y251</f>
        <v>70611.073333333334</v>
      </c>
      <c r="K249" s="107">
        <f>'[2]2021 УГРЦТ'!Z251</f>
        <v>14690.526666666672</v>
      </c>
      <c r="L249" s="125" t="e">
        <f>SUMIF([2]облаг!$B$2:$B$259,B249,[2]облаг!$D$2:$D$259)</f>
        <v>#VALUE!</v>
      </c>
      <c r="M249" s="107">
        <f t="shared" si="202"/>
        <v>473.89777777777783</v>
      </c>
      <c r="N249" s="107">
        <f t="shared" si="203"/>
        <v>5686.7733333333344</v>
      </c>
      <c r="O249" s="107">
        <f t="shared" si="204"/>
        <v>14216.628888888894</v>
      </c>
      <c r="P249" s="107">
        <f t="shared" si="205"/>
        <v>13742.731111111116</v>
      </c>
      <c r="Q249" s="107">
        <f t="shared" si="221"/>
        <v>13268.833333333338</v>
      </c>
      <c r="R249" s="107">
        <f t="shared" si="222"/>
        <v>12794.935555555559</v>
      </c>
      <c r="S249" s="107">
        <f t="shared" si="223"/>
        <v>12321.037777777781</v>
      </c>
      <c r="T249" s="107">
        <f t="shared" si="224"/>
        <v>11847.140000000003</v>
      </c>
      <c r="U249" s="107">
        <f t="shared" si="225"/>
        <v>11373.242222222225</v>
      </c>
      <c r="V249" s="107">
        <f t="shared" si="226"/>
        <v>10899.344444444447</v>
      </c>
      <c r="W249" s="107">
        <f t="shared" si="227"/>
        <v>10425.446666666669</v>
      </c>
      <c r="X249" s="107">
        <f t="shared" si="228"/>
        <v>9951.5488888888904</v>
      </c>
      <c r="Y249" s="107">
        <f t="shared" si="229"/>
        <v>9477.6511111111122</v>
      </c>
      <c r="Z249" s="107">
        <f t="shared" si="230"/>
        <v>9003.753333333334</v>
      </c>
      <c r="AA249" s="107"/>
      <c r="AB249" s="107"/>
      <c r="AC249" s="107">
        <f t="shared" si="242"/>
        <v>5686.7733333333344</v>
      </c>
      <c r="AD249" s="107">
        <f t="shared" si="231"/>
        <v>8529.8555555555558</v>
      </c>
      <c r="AE249" s="107">
        <f t="shared" si="232"/>
        <v>8055.9577777777777</v>
      </c>
      <c r="AF249" s="107">
        <f t="shared" si="233"/>
        <v>7582.0599999999995</v>
      </c>
      <c r="AG249" s="107">
        <f t="shared" si="234"/>
        <v>7108.1622222222213</v>
      </c>
      <c r="AH249" s="107">
        <f t="shared" si="235"/>
        <v>6634.2644444444431</v>
      </c>
      <c r="AI249" s="107">
        <f t="shared" si="236"/>
        <v>6160.366666666665</v>
      </c>
      <c r="AJ249" s="107">
        <f t="shared" si="237"/>
        <v>5686.4688888888868</v>
      </c>
      <c r="AK249" s="107">
        <f t="shared" si="238"/>
        <v>5212.5711111111086</v>
      </c>
      <c r="AL249" s="107">
        <f t="shared" si="239"/>
        <v>4738.6733333333304</v>
      </c>
      <c r="AM249" s="107">
        <f t="shared" si="240"/>
        <v>4264.7755555555523</v>
      </c>
      <c r="AN249" s="107">
        <f t="shared" si="241"/>
        <v>3790.8777777777746</v>
      </c>
      <c r="AO249" s="107">
        <f t="shared" si="243"/>
        <v>3316.9799999999968</v>
      </c>
      <c r="AP249" s="107"/>
      <c r="AQ249" s="126"/>
      <c r="AR249" s="107">
        <f>AO249</f>
        <v>3316.9799999999968</v>
      </c>
      <c r="AS249" s="107">
        <f t="shared" ref="AS249:AS301" si="257">AO249-M249</f>
        <v>2843.0822222222191</v>
      </c>
      <c r="AT249" s="107">
        <f t="shared" ref="AT249:AT301" si="258">AS249-M249</f>
        <v>2369.1844444444414</v>
      </c>
      <c r="AU249" s="107">
        <f t="shared" ref="AU249:AU301" si="259">AT249-M249</f>
        <v>1895.2866666666637</v>
      </c>
      <c r="AV249" s="107">
        <f t="shared" ref="AV249:AV301" si="260">AU249-M249</f>
        <v>1421.388888888886</v>
      </c>
      <c r="AW249" s="107">
        <f t="shared" ref="AW249:AW301" si="261">AV249-M249</f>
        <v>947.49111111110813</v>
      </c>
      <c r="AX249" s="107">
        <f t="shared" ref="AX249:AX301" si="262">AW249-M249</f>
        <v>473.59333333333029</v>
      </c>
      <c r="AY249" s="107">
        <v>0</v>
      </c>
      <c r="AZ249" s="107">
        <v>0</v>
      </c>
      <c r="BA249" s="107">
        <v>0</v>
      </c>
      <c r="BB249" s="107">
        <v>0</v>
      </c>
      <c r="BC249" s="107">
        <v>0</v>
      </c>
      <c r="BD249" s="107">
        <v>0</v>
      </c>
      <c r="BE249" s="107"/>
      <c r="BI249" s="127"/>
    </row>
    <row r="250" spans="1:75" ht="22.5" hidden="1" x14ac:dyDescent="0.2">
      <c r="A250" s="123" t="str">
        <f>'[2]2021 УГРЦТ'!A252</f>
        <v>Камеры в/в КСО 393 №3 01/09-829</v>
      </c>
      <c r="B250" s="124" t="str">
        <f>'[2]2021 УГРЦТ'!B252</f>
        <v>00001127</v>
      </c>
      <c r="C250" s="124" t="str">
        <f>VLOOKUP(A:A,'2023-2027'!A:L,1,+FALSE)</f>
        <v>Камеры в/в КСО 393 №3 01/09-829</v>
      </c>
      <c r="D250" s="124" t="str">
        <f>'[2]2021 УГРЦТ'!C252</f>
        <v>ПЕРЕДАЧА</v>
      </c>
      <c r="E250" s="124" t="str">
        <f>'[2]2021 УГРЦТ'!D252</f>
        <v>Машины и оборудование (кроме офисного)</v>
      </c>
      <c r="F250" s="124" t="str">
        <f>'[2]2021 УГРЦТ'!E252</f>
        <v>31.07.2009</v>
      </c>
      <c r="G250" s="124" t="str">
        <f>'[2]2021 УГРЦТ'!F252</f>
        <v>Цех электрических сетей</v>
      </c>
      <c r="H250" s="124">
        <f>'[2]2021 УГРЦТ'!AC252</f>
        <v>180</v>
      </c>
      <c r="I250" s="107">
        <f>'[2]2021 УГРЦТ'!X252</f>
        <v>86139.6</v>
      </c>
      <c r="J250" s="107">
        <f>'[2]2021 УГРЦТ'!Y252</f>
        <v>71303.990000000005</v>
      </c>
      <c r="K250" s="107">
        <f>'[2]2021 УГРЦТ'!Z252</f>
        <v>14835.61</v>
      </c>
      <c r="L250" s="125" t="e">
        <f>SUMIF([2]облаг!$B$2:$B$259,B250,[2]облаг!$D$2:$D$259)</f>
        <v>#VALUE!</v>
      </c>
      <c r="M250" s="107">
        <f t="shared" si="202"/>
        <v>478.55333333333334</v>
      </c>
      <c r="N250" s="107">
        <f t="shared" si="203"/>
        <v>5742.64</v>
      </c>
      <c r="O250" s="107">
        <f t="shared" si="204"/>
        <v>14357.056666666667</v>
      </c>
      <c r="P250" s="107">
        <f t="shared" si="205"/>
        <v>13878.503333333334</v>
      </c>
      <c r="Q250" s="107">
        <f t="shared" si="221"/>
        <v>13399.95</v>
      </c>
      <c r="R250" s="107">
        <f t="shared" si="222"/>
        <v>12921.396666666667</v>
      </c>
      <c r="S250" s="107">
        <f t="shared" si="223"/>
        <v>12442.843333333334</v>
      </c>
      <c r="T250" s="107">
        <f t="shared" si="224"/>
        <v>11964.29</v>
      </c>
      <c r="U250" s="107">
        <f t="shared" si="225"/>
        <v>11485.736666666668</v>
      </c>
      <c r="V250" s="107">
        <f t="shared" si="226"/>
        <v>11007.183333333334</v>
      </c>
      <c r="W250" s="107">
        <f t="shared" si="227"/>
        <v>10528.630000000001</v>
      </c>
      <c r="X250" s="107">
        <f t="shared" si="228"/>
        <v>10050.076666666668</v>
      </c>
      <c r="Y250" s="107">
        <f t="shared" si="229"/>
        <v>9571.5233333333344</v>
      </c>
      <c r="Z250" s="107">
        <f t="shared" si="230"/>
        <v>9092.9700000000012</v>
      </c>
      <c r="AA250" s="107"/>
      <c r="AB250" s="107"/>
      <c r="AC250" s="107">
        <f t="shared" si="242"/>
        <v>5742.64</v>
      </c>
      <c r="AD250" s="107">
        <f t="shared" si="231"/>
        <v>8614.4166666666679</v>
      </c>
      <c r="AE250" s="107">
        <f t="shared" si="232"/>
        <v>8135.8633333333346</v>
      </c>
      <c r="AF250" s="107">
        <f t="shared" si="233"/>
        <v>7657.3100000000013</v>
      </c>
      <c r="AG250" s="107">
        <f t="shared" si="234"/>
        <v>7178.756666666668</v>
      </c>
      <c r="AH250" s="107">
        <f t="shared" si="235"/>
        <v>6700.2033333333347</v>
      </c>
      <c r="AI250" s="107">
        <f t="shared" si="236"/>
        <v>6221.6500000000015</v>
      </c>
      <c r="AJ250" s="107">
        <f t="shared" si="237"/>
        <v>5743.0966666666682</v>
      </c>
      <c r="AK250" s="107">
        <f t="shared" si="238"/>
        <v>5264.5433333333349</v>
      </c>
      <c r="AL250" s="107">
        <f t="shared" si="239"/>
        <v>4785.9900000000016</v>
      </c>
      <c r="AM250" s="107">
        <f t="shared" si="240"/>
        <v>4307.4366666666683</v>
      </c>
      <c r="AN250" s="107">
        <f t="shared" si="241"/>
        <v>3828.883333333335</v>
      </c>
      <c r="AO250" s="107">
        <f t="shared" si="243"/>
        <v>3350.3300000000017</v>
      </c>
      <c r="AP250" s="107"/>
      <c r="AQ250" s="126"/>
      <c r="AR250" s="107">
        <f>AO250</f>
        <v>3350.3300000000017</v>
      </c>
      <c r="AS250" s="107">
        <f t="shared" si="257"/>
        <v>2871.7766666666685</v>
      </c>
      <c r="AT250" s="107">
        <f t="shared" si="258"/>
        <v>2393.2233333333352</v>
      </c>
      <c r="AU250" s="107">
        <f t="shared" si="259"/>
        <v>1914.6700000000019</v>
      </c>
      <c r="AV250" s="107">
        <f t="shared" si="260"/>
        <v>1436.1166666666686</v>
      </c>
      <c r="AW250" s="107">
        <f t="shared" si="261"/>
        <v>957.56333333333532</v>
      </c>
      <c r="AX250" s="107">
        <f t="shared" si="262"/>
        <v>479.01000000000198</v>
      </c>
      <c r="AY250" s="107">
        <f t="shared" ref="AY250:AY301" si="263">AX250-M250</f>
        <v>0.45666666666863875</v>
      </c>
      <c r="AZ250" s="107">
        <v>0</v>
      </c>
      <c r="BA250" s="107">
        <v>0</v>
      </c>
      <c r="BB250" s="107">
        <v>0</v>
      </c>
      <c r="BC250" s="107">
        <v>0</v>
      </c>
      <c r="BD250" s="107">
        <v>0</v>
      </c>
      <c r="BE250" s="107"/>
      <c r="BI250" s="127"/>
    </row>
    <row r="251" spans="1:75" ht="22.5" hidden="1" x14ac:dyDescent="0.2">
      <c r="A251" s="123" t="str">
        <f>'[2]2021 УГРЦТ'!A253</f>
        <v>Камеры в/в КСО 393 №4 01/09-825</v>
      </c>
      <c r="B251" s="124" t="str">
        <f>'[2]2021 УГРЦТ'!B253</f>
        <v>00001128</v>
      </c>
      <c r="C251" s="124" t="str">
        <f>VLOOKUP(A:A,'2023-2027'!A:L,1,+FALSE)</f>
        <v>Камеры в/в КСО 393 №4 01/09-825</v>
      </c>
      <c r="D251" s="124" t="str">
        <f>'[2]2021 УГРЦТ'!C253</f>
        <v>ПЕРЕДАЧА</v>
      </c>
      <c r="E251" s="124" t="str">
        <f>'[2]2021 УГРЦТ'!D253</f>
        <v>Машины и оборудование (кроме офисного)</v>
      </c>
      <c r="F251" s="124" t="str">
        <f>'[2]2021 УГРЦТ'!E253</f>
        <v>31.07.2009</v>
      </c>
      <c r="G251" s="124" t="str">
        <f>'[2]2021 УГРЦТ'!F253</f>
        <v>Цех электрических сетей</v>
      </c>
      <c r="H251" s="124">
        <f>'[2]2021 УГРЦТ'!AC253</f>
        <v>180</v>
      </c>
      <c r="I251" s="107">
        <f>'[2]2021 УГРЦТ'!X253</f>
        <v>86139.6</v>
      </c>
      <c r="J251" s="107">
        <f>'[2]2021 УГРЦТ'!Y253</f>
        <v>71303.990000000005</v>
      </c>
      <c r="K251" s="107">
        <f>'[2]2021 УГРЦТ'!Z253</f>
        <v>14835.61</v>
      </c>
      <c r="L251" s="125" t="e">
        <f>SUMIF([2]облаг!$B$2:$B$259,B251,[2]облаг!$D$2:$D$259)</f>
        <v>#VALUE!</v>
      </c>
      <c r="M251" s="107">
        <f t="shared" si="202"/>
        <v>478.55333333333334</v>
      </c>
      <c r="N251" s="107">
        <f t="shared" si="203"/>
        <v>5742.64</v>
      </c>
      <c r="O251" s="107">
        <f t="shared" si="204"/>
        <v>14357.056666666667</v>
      </c>
      <c r="P251" s="107">
        <f t="shared" si="205"/>
        <v>13878.503333333334</v>
      </c>
      <c r="Q251" s="107">
        <f t="shared" si="221"/>
        <v>13399.95</v>
      </c>
      <c r="R251" s="107">
        <f t="shared" si="222"/>
        <v>12921.396666666667</v>
      </c>
      <c r="S251" s="107">
        <f t="shared" si="223"/>
        <v>12442.843333333334</v>
      </c>
      <c r="T251" s="107">
        <f t="shared" si="224"/>
        <v>11964.29</v>
      </c>
      <c r="U251" s="107">
        <f t="shared" si="225"/>
        <v>11485.736666666668</v>
      </c>
      <c r="V251" s="107">
        <f t="shared" si="226"/>
        <v>11007.183333333334</v>
      </c>
      <c r="W251" s="107">
        <f t="shared" si="227"/>
        <v>10528.630000000001</v>
      </c>
      <c r="X251" s="107">
        <f t="shared" si="228"/>
        <v>10050.076666666668</v>
      </c>
      <c r="Y251" s="107">
        <f t="shared" si="229"/>
        <v>9571.5233333333344</v>
      </c>
      <c r="Z251" s="107">
        <f t="shared" si="230"/>
        <v>9092.9700000000012</v>
      </c>
      <c r="AA251" s="107"/>
      <c r="AB251" s="107"/>
      <c r="AC251" s="107">
        <f t="shared" si="242"/>
        <v>5742.64</v>
      </c>
      <c r="AD251" s="107">
        <f t="shared" si="231"/>
        <v>8614.4166666666679</v>
      </c>
      <c r="AE251" s="107">
        <f t="shared" si="232"/>
        <v>8135.8633333333346</v>
      </c>
      <c r="AF251" s="107">
        <f t="shared" si="233"/>
        <v>7657.3100000000013</v>
      </c>
      <c r="AG251" s="107">
        <f t="shared" si="234"/>
        <v>7178.756666666668</v>
      </c>
      <c r="AH251" s="107">
        <f t="shared" si="235"/>
        <v>6700.2033333333347</v>
      </c>
      <c r="AI251" s="107">
        <f t="shared" si="236"/>
        <v>6221.6500000000015</v>
      </c>
      <c r="AJ251" s="107">
        <f t="shared" si="237"/>
        <v>5743.0966666666682</v>
      </c>
      <c r="AK251" s="107">
        <f t="shared" si="238"/>
        <v>5264.5433333333349</v>
      </c>
      <c r="AL251" s="107">
        <f t="shared" si="239"/>
        <v>4785.9900000000016</v>
      </c>
      <c r="AM251" s="107">
        <f t="shared" si="240"/>
        <v>4307.4366666666683</v>
      </c>
      <c r="AN251" s="107">
        <f t="shared" si="241"/>
        <v>3828.883333333335</v>
      </c>
      <c r="AO251" s="107">
        <f t="shared" si="243"/>
        <v>3350.3300000000017</v>
      </c>
      <c r="AP251" s="107"/>
      <c r="AQ251" s="126"/>
      <c r="AR251" s="107">
        <f>AO251</f>
        <v>3350.3300000000017</v>
      </c>
      <c r="AS251" s="107">
        <f t="shared" si="257"/>
        <v>2871.7766666666685</v>
      </c>
      <c r="AT251" s="107">
        <f t="shared" si="258"/>
        <v>2393.2233333333352</v>
      </c>
      <c r="AU251" s="107">
        <f t="shared" si="259"/>
        <v>1914.6700000000019</v>
      </c>
      <c r="AV251" s="107">
        <f t="shared" si="260"/>
        <v>1436.1166666666686</v>
      </c>
      <c r="AW251" s="107">
        <f t="shared" si="261"/>
        <v>957.56333333333532</v>
      </c>
      <c r="AX251" s="107">
        <f t="shared" si="262"/>
        <v>479.01000000000198</v>
      </c>
      <c r="AY251" s="107">
        <f t="shared" si="263"/>
        <v>0.45666666666863875</v>
      </c>
      <c r="AZ251" s="107">
        <v>0</v>
      </c>
      <c r="BA251" s="107">
        <v>0</v>
      </c>
      <c r="BB251" s="107">
        <v>0</v>
      </c>
      <c r="BC251" s="107">
        <v>0</v>
      </c>
      <c r="BD251" s="107">
        <v>0</v>
      </c>
      <c r="BE251" s="107"/>
      <c r="BI251" s="127"/>
    </row>
    <row r="252" spans="1:75" ht="22.5" hidden="1" x14ac:dyDescent="0.2">
      <c r="A252" s="123" t="str">
        <f>'[2]2021 УГРЦТ'!A254</f>
        <v>Камеры в/в КСО 393 №5 01/09-826</v>
      </c>
      <c r="B252" s="124" t="str">
        <f>'[2]2021 УГРЦТ'!B254</f>
        <v>00001129</v>
      </c>
      <c r="C252" s="124" t="str">
        <f>VLOOKUP(A:A,'2023-2027'!A:L,1,+FALSE)</f>
        <v>Камеры в/в КСО 393 №5 01/09-826</v>
      </c>
      <c r="D252" s="124" t="str">
        <f>'[2]2021 УГРЦТ'!C254</f>
        <v>ПЕРЕДАЧА</v>
      </c>
      <c r="E252" s="124" t="str">
        <f>'[2]2021 УГРЦТ'!D254</f>
        <v>Машины и оборудование (кроме офисного)</v>
      </c>
      <c r="F252" s="124" t="str">
        <f>'[2]2021 УГРЦТ'!E254</f>
        <v>31.07.2009</v>
      </c>
      <c r="G252" s="124" t="str">
        <f>'[2]2021 УГРЦТ'!F254</f>
        <v>Цех электрических сетей</v>
      </c>
      <c r="H252" s="124">
        <f>'[2]2021 УГРЦТ'!AC254</f>
        <v>180</v>
      </c>
      <c r="I252" s="107">
        <f>'[2]2021 УГРЦТ'!X254</f>
        <v>86139.6</v>
      </c>
      <c r="J252" s="107">
        <f>'[2]2021 УГРЦТ'!Y254</f>
        <v>71303.990000000005</v>
      </c>
      <c r="K252" s="107">
        <f>'[2]2021 УГРЦТ'!Z254</f>
        <v>14835.61</v>
      </c>
      <c r="L252" s="125" t="e">
        <f>SUMIF([2]облаг!$B$2:$B$259,B252,[2]облаг!$D$2:$D$259)</f>
        <v>#VALUE!</v>
      </c>
      <c r="M252" s="107">
        <f t="shared" si="202"/>
        <v>478.55333333333334</v>
      </c>
      <c r="N252" s="107">
        <f t="shared" si="203"/>
        <v>5742.64</v>
      </c>
      <c r="O252" s="107">
        <f t="shared" si="204"/>
        <v>14357.056666666667</v>
      </c>
      <c r="P252" s="107">
        <f t="shared" si="205"/>
        <v>13878.503333333334</v>
      </c>
      <c r="Q252" s="107">
        <f t="shared" si="221"/>
        <v>13399.95</v>
      </c>
      <c r="R252" s="107">
        <f t="shared" si="222"/>
        <v>12921.396666666667</v>
      </c>
      <c r="S252" s="107">
        <f t="shared" si="223"/>
        <v>12442.843333333334</v>
      </c>
      <c r="T252" s="107">
        <f t="shared" si="224"/>
        <v>11964.29</v>
      </c>
      <c r="U252" s="107">
        <f t="shared" si="225"/>
        <v>11485.736666666668</v>
      </c>
      <c r="V252" s="107">
        <f t="shared" si="226"/>
        <v>11007.183333333334</v>
      </c>
      <c r="W252" s="107">
        <f t="shared" si="227"/>
        <v>10528.630000000001</v>
      </c>
      <c r="X252" s="107">
        <f t="shared" si="228"/>
        <v>10050.076666666668</v>
      </c>
      <c r="Y252" s="107">
        <f t="shared" si="229"/>
        <v>9571.5233333333344</v>
      </c>
      <c r="Z252" s="107">
        <f t="shared" si="230"/>
        <v>9092.9700000000012</v>
      </c>
      <c r="AA252" s="107"/>
      <c r="AB252" s="107"/>
      <c r="AC252" s="107">
        <f t="shared" si="242"/>
        <v>5742.64</v>
      </c>
      <c r="AD252" s="107">
        <f t="shared" si="231"/>
        <v>8614.4166666666679</v>
      </c>
      <c r="AE252" s="107">
        <f t="shared" si="232"/>
        <v>8135.8633333333346</v>
      </c>
      <c r="AF252" s="107">
        <f t="shared" si="233"/>
        <v>7657.3100000000013</v>
      </c>
      <c r="AG252" s="107">
        <f t="shared" si="234"/>
        <v>7178.756666666668</v>
      </c>
      <c r="AH252" s="107">
        <f t="shared" si="235"/>
        <v>6700.2033333333347</v>
      </c>
      <c r="AI252" s="107">
        <f t="shared" si="236"/>
        <v>6221.6500000000015</v>
      </c>
      <c r="AJ252" s="107">
        <f t="shared" si="237"/>
        <v>5743.0966666666682</v>
      </c>
      <c r="AK252" s="107">
        <f t="shared" si="238"/>
        <v>5264.5433333333349</v>
      </c>
      <c r="AL252" s="107">
        <f t="shared" si="239"/>
        <v>4785.9900000000016</v>
      </c>
      <c r="AM252" s="107">
        <f t="shared" si="240"/>
        <v>4307.4366666666683</v>
      </c>
      <c r="AN252" s="107">
        <f t="shared" si="241"/>
        <v>3828.883333333335</v>
      </c>
      <c r="AO252" s="107">
        <f t="shared" si="243"/>
        <v>3350.3300000000017</v>
      </c>
      <c r="AP252" s="107"/>
      <c r="AQ252" s="126"/>
      <c r="AR252" s="107">
        <f>AO252</f>
        <v>3350.3300000000017</v>
      </c>
      <c r="AS252" s="107">
        <f t="shared" si="257"/>
        <v>2871.7766666666685</v>
      </c>
      <c r="AT252" s="107">
        <f t="shared" si="258"/>
        <v>2393.2233333333352</v>
      </c>
      <c r="AU252" s="107">
        <f t="shared" si="259"/>
        <v>1914.6700000000019</v>
      </c>
      <c r="AV252" s="107">
        <f t="shared" si="260"/>
        <v>1436.1166666666686</v>
      </c>
      <c r="AW252" s="107">
        <f t="shared" si="261"/>
        <v>957.56333333333532</v>
      </c>
      <c r="AX252" s="107">
        <f t="shared" si="262"/>
        <v>479.01000000000198</v>
      </c>
      <c r="AY252" s="107">
        <f t="shared" si="263"/>
        <v>0.45666666666863875</v>
      </c>
      <c r="AZ252" s="107">
        <v>0</v>
      </c>
      <c r="BA252" s="107">
        <v>0</v>
      </c>
      <c r="BB252" s="107">
        <v>0</v>
      </c>
      <c r="BC252" s="107">
        <v>0</v>
      </c>
      <c r="BD252" s="107">
        <v>0</v>
      </c>
      <c r="BE252" s="107"/>
      <c r="BI252" s="127"/>
    </row>
    <row r="253" spans="1:75" ht="22.5" hidden="1" x14ac:dyDescent="0.2">
      <c r="A253" s="123" t="str">
        <f>'[2]2021 УГРЦТ'!A255</f>
        <v>Камеры в/в КСО 393 №6 01/09-830</v>
      </c>
      <c r="B253" s="124" t="str">
        <f>'[2]2021 УГРЦТ'!B255</f>
        <v>00001130</v>
      </c>
      <c r="C253" s="124" t="str">
        <f>VLOOKUP(A:A,'2023-2027'!A:L,1,+FALSE)</f>
        <v>Камеры в/в КСО 393 №6 01/09-830</v>
      </c>
      <c r="D253" s="124" t="str">
        <f>'[2]2021 УГРЦТ'!C255</f>
        <v>ПЕРЕДАЧА</v>
      </c>
      <c r="E253" s="124" t="str">
        <f>'[2]2021 УГРЦТ'!D255</f>
        <v>Машины и оборудование (кроме офисного)</v>
      </c>
      <c r="F253" s="124" t="str">
        <f>'[2]2021 УГРЦТ'!E255</f>
        <v>31.07.2009</v>
      </c>
      <c r="G253" s="124" t="str">
        <f>'[2]2021 УГРЦТ'!F255</f>
        <v>Цех электрических сетей</v>
      </c>
      <c r="H253" s="124">
        <f>'[2]2021 УГРЦТ'!AC255</f>
        <v>180</v>
      </c>
      <c r="I253" s="107">
        <f>'[2]2021 УГРЦТ'!X255</f>
        <v>86139.6</v>
      </c>
      <c r="J253" s="107">
        <f>'[2]2021 УГРЦТ'!Y255</f>
        <v>71303.990000000005</v>
      </c>
      <c r="K253" s="107">
        <f>'[2]2021 УГРЦТ'!Z255</f>
        <v>14835.61</v>
      </c>
      <c r="L253" s="125" t="e">
        <f>SUMIF([2]облаг!$B$2:$B$259,B253,[2]облаг!$D$2:$D$259)</f>
        <v>#VALUE!</v>
      </c>
      <c r="M253" s="107">
        <f t="shared" si="202"/>
        <v>478.55333333333334</v>
      </c>
      <c r="N253" s="107">
        <f t="shared" si="203"/>
        <v>5742.64</v>
      </c>
      <c r="O253" s="107">
        <f t="shared" si="204"/>
        <v>14357.056666666667</v>
      </c>
      <c r="P253" s="107">
        <f t="shared" si="205"/>
        <v>13878.503333333334</v>
      </c>
      <c r="Q253" s="107">
        <f t="shared" si="221"/>
        <v>13399.95</v>
      </c>
      <c r="R253" s="107">
        <f t="shared" si="222"/>
        <v>12921.396666666667</v>
      </c>
      <c r="S253" s="107">
        <f t="shared" si="223"/>
        <v>12442.843333333334</v>
      </c>
      <c r="T253" s="107">
        <f t="shared" si="224"/>
        <v>11964.29</v>
      </c>
      <c r="U253" s="107">
        <f t="shared" si="225"/>
        <v>11485.736666666668</v>
      </c>
      <c r="V253" s="107">
        <f t="shared" si="226"/>
        <v>11007.183333333334</v>
      </c>
      <c r="W253" s="107">
        <f t="shared" si="227"/>
        <v>10528.630000000001</v>
      </c>
      <c r="X253" s="107">
        <f t="shared" si="228"/>
        <v>10050.076666666668</v>
      </c>
      <c r="Y253" s="107">
        <f t="shared" si="229"/>
        <v>9571.5233333333344</v>
      </c>
      <c r="Z253" s="107">
        <f t="shared" si="230"/>
        <v>9092.9700000000012</v>
      </c>
      <c r="AA253" s="107"/>
      <c r="AB253" s="107"/>
      <c r="AC253" s="107">
        <f t="shared" si="242"/>
        <v>5742.64</v>
      </c>
      <c r="AD253" s="107">
        <f t="shared" si="231"/>
        <v>8614.4166666666679</v>
      </c>
      <c r="AE253" s="107">
        <f t="shared" si="232"/>
        <v>8135.8633333333346</v>
      </c>
      <c r="AF253" s="107">
        <f t="shared" si="233"/>
        <v>7657.3100000000013</v>
      </c>
      <c r="AG253" s="107">
        <f t="shared" si="234"/>
        <v>7178.756666666668</v>
      </c>
      <c r="AH253" s="107">
        <f t="shared" si="235"/>
        <v>6700.2033333333347</v>
      </c>
      <c r="AI253" s="107">
        <f t="shared" si="236"/>
        <v>6221.6500000000015</v>
      </c>
      <c r="AJ253" s="107">
        <f t="shared" si="237"/>
        <v>5743.0966666666682</v>
      </c>
      <c r="AK253" s="107">
        <f t="shared" si="238"/>
        <v>5264.5433333333349</v>
      </c>
      <c r="AL253" s="107">
        <f t="shared" si="239"/>
        <v>4785.9900000000016</v>
      </c>
      <c r="AM253" s="107">
        <f t="shared" si="240"/>
        <v>4307.4366666666683</v>
      </c>
      <c r="AN253" s="107">
        <f t="shared" si="241"/>
        <v>3828.883333333335</v>
      </c>
      <c r="AO253" s="107">
        <f t="shared" si="243"/>
        <v>3350.3300000000017</v>
      </c>
      <c r="AP253" s="107"/>
      <c r="AQ253" s="126"/>
      <c r="AR253" s="107">
        <f>AO253</f>
        <v>3350.3300000000017</v>
      </c>
      <c r="AS253" s="107">
        <f t="shared" si="257"/>
        <v>2871.7766666666685</v>
      </c>
      <c r="AT253" s="107">
        <f t="shared" si="258"/>
        <v>2393.2233333333352</v>
      </c>
      <c r="AU253" s="107">
        <f t="shared" si="259"/>
        <v>1914.6700000000019</v>
      </c>
      <c r="AV253" s="107">
        <f t="shared" si="260"/>
        <v>1436.1166666666686</v>
      </c>
      <c r="AW253" s="107">
        <f t="shared" si="261"/>
        <v>957.56333333333532</v>
      </c>
      <c r="AX253" s="107">
        <f t="shared" si="262"/>
        <v>479.01000000000198</v>
      </c>
      <c r="AY253" s="107">
        <f t="shared" si="263"/>
        <v>0.45666666666863875</v>
      </c>
      <c r="AZ253" s="107">
        <v>0</v>
      </c>
      <c r="BA253" s="107">
        <v>0</v>
      </c>
      <c r="BB253" s="107">
        <v>0</v>
      </c>
      <c r="BC253" s="107">
        <v>0</v>
      </c>
      <c r="BD253" s="107">
        <v>0</v>
      </c>
      <c r="BE253" s="107"/>
      <c r="BI253" s="127"/>
    </row>
    <row r="254" spans="1:75" ht="22.5" hidden="1" x14ac:dyDescent="0.2">
      <c r="A254" s="123" t="str">
        <f>'[2]2021 УГРЦТ'!A256</f>
        <v>КЛ *- Каб.линия 6кв  2кабеля по 2,31 Жив компл 2000г</v>
      </c>
      <c r="B254" s="124" t="str">
        <f>'[2]2021 УГРЦТ'!B256</f>
        <v>00000265</v>
      </c>
      <c r="C254" s="124" t="str">
        <f>VLOOKUP(A:A,'2023-2027'!A:L,1,+FALSE)</f>
        <v>КЛ *- Каб.линия 6кв  2кабеля по 2,31 Жив компл 2000г</v>
      </c>
      <c r="D254" s="124" t="str">
        <f>'[2]2021 УГРЦТ'!C256</f>
        <v>ПЕРЕДАЧА</v>
      </c>
      <c r="E254" s="124" t="str">
        <f>'[2]2021 УГРЦТ'!D256</f>
        <v>Сооружения</v>
      </c>
      <c r="F254" s="124" t="str">
        <f>'[2]2021 УГРЦТ'!E256</f>
        <v>01.05.2000</v>
      </c>
      <c r="G254" s="124" t="str">
        <f>'[2]2021 УГРЦТ'!F256</f>
        <v>Цех электрических сетей</v>
      </c>
      <c r="H254" s="124">
        <f>'[2]2021 УГРЦТ'!AC256</f>
        <v>300</v>
      </c>
      <c r="I254" s="107">
        <f>'[2]2021 УГРЦТ'!X256</f>
        <v>305800</v>
      </c>
      <c r="J254" s="107">
        <f>'[2]2021 УГРЦТ'!Y256</f>
        <v>264005.54000000004</v>
      </c>
      <c r="K254" s="107">
        <f>'[2]2021 УГРЦТ'!Z256</f>
        <v>41794.459999999963</v>
      </c>
      <c r="L254" s="125" t="e">
        <f>SUMIF([2]облаг!$B$2:$B$259,B254,[2]облаг!$D$2:$D$259)</f>
        <v>#VALUE!</v>
      </c>
      <c r="M254" s="107">
        <f t="shared" si="202"/>
        <v>1019.3333333333334</v>
      </c>
      <c r="N254" s="107">
        <f t="shared" si="203"/>
        <v>12232</v>
      </c>
      <c r="O254" s="107">
        <f t="shared" si="204"/>
        <v>40775.126666666627</v>
      </c>
      <c r="P254" s="107">
        <f t="shared" si="205"/>
        <v>39755.793333333291</v>
      </c>
      <c r="Q254" s="107">
        <f t="shared" si="221"/>
        <v>38736.459999999955</v>
      </c>
      <c r="R254" s="107">
        <f t="shared" si="222"/>
        <v>37717.12666666662</v>
      </c>
      <c r="S254" s="107">
        <f t="shared" si="223"/>
        <v>36697.793333333284</v>
      </c>
      <c r="T254" s="107">
        <f t="shared" si="224"/>
        <v>35678.459999999948</v>
      </c>
      <c r="U254" s="107">
        <f t="shared" si="225"/>
        <v>34659.126666666612</v>
      </c>
      <c r="V254" s="107">
        <f t="shared" si="226"/>
        <v>33639.793333333277</v>
      </c>
      <c r="W254" s="107">
        <f t="shared" si="227"/>
        <v>32620.459999999945</v>
      </c>
      <c r="X254" s="107">
        <f t="shared" si="228"/>
        <v>31601.126666666612</v>
      </c>
      <c r="Y254" s="107">
        <f t="shared" si="229"/>
        <v>30581.79333333328</v>
      </c>
      <c r="Z254" s="107">
        <f t="shared" si="230"/>
        <v>29562.459999999948</v>
      </c>
      <c r="AA254" s="107">
        <f t="shared" ref="AA254:AA281" si="264">SUM(O254:Z254,K254)/13*$AA$2</f>
        <v>784.92611999999883</v>
      </c>
      <c r="AB254" s="107"/>
      <c r="AC254" s="107">
        <f t="shared" si="242"/>
        <v>12232</v>
      </c>
      <c r="AD254" s="107">
        <f t="shared" si="231"/>
        <v>28543.126666666616</v>
      </c>
      <c r="AE254" s="107">
        <f t="shared" si="232"/>
        <v>27523.793333333284</v>
      </c>
      <c r="AF254" s="107">
        <f t="shared" si="233"/>
        <v>26504.459999999952</v>
      </c>
      <c r="AG254" s="107">
        <f t="shared" si="234"/>
        <v>25485.12666666662</v>
      </c>
      <c r="AH254" s="107">
        <f t="shared" si="235"/>
        <v>24465.793333333288</v>
      </c>
      <c r="AI254" s="107">
        <f t="shared" si="236"/>
        <v>23446.459999999955</v>
      </c>
      <c r="AJ254" s="107">
        <f t="shared" si="237"/>
        <v>22427.126666666623</v>
      </c>
      <c r="AK254" s="107">
        <f t="shared" si="238"/>
        <v>21407.793333333291</v>
      </c>
      <c r="AL254" s="107">
        <f t="shared" si="239"/>
        <v>20388.459999999959</v>
      </c>
      <c r="AM254" s="107">
        <f t="shared" si="240"/>
        <v>19369.126666666627</v>
      </c>
      <c r="AN254" s="107">
        <f t="shared" si="241"/>
        <v>18349.793333333295</v>
      </c>
      <c r="AO254" s="107">
        <f t="shared" si="243"/>
        <v>17330.459999999963</v>
      </c>
      <c r="AP254" s="107">
        <f t="shared" ref="AP254:AP281" si="265">SUM(AD254:AO254,Z254)/13*$AP$2</f>
        <v>515.82211999999902</v>
      </c>
      <c r="AQ254" s="126"/>
      <c r="AR254" s="107">
        <f t="shared" si="244"/>
        <v>12232</v>
      </c>
      <c r="AS254" s="107">
        <f t="shared" si="257"/>
        <v>16311.126666666629</v>
      </c>
      <c r="AT254" s="107">
        <f t="shared" si="258"/>
        <v>15291.793333333295</v>
      </c>
      <c r="AU254" s="107">
        <f t="shared" si="259"/>
        <v>14272.459999999961</v>
      </c>
      <c r="AV254" s="107">
        <f t="shared" si="260"/>
        <v>13253.126666666627</v>
      </c>
      <c r="AW254" s="107">
        <f t="shared" si="261"/>
        <v>12233.793333333293</v>
      </c>
      <c r="AX254" s="107">
        <f t="shared" si="262"/>
        <v>11214.459999999959</v>
      </c>
      <c r="AY254" s="107">
        <f t="shared" si="263"/>
        <v>10195.126666666625</v>
      </c>
      <c r="AZ254" s="107">
        <f t="shared" ref="AZ254:AZ301" si="266">AY254-M254</f>
        <v>9175.7933333332912</v>
      </c>
      <c r="BA254" s="107">
        <f t="shared" ref="BA254:BA301" si="267">AZ254-M254</f>
        <v>8156.4599999999582</v>
      </c>
      <c r="BB254" s="107">
        <f t="shared" ref="BB254:BB301" si="268">BA254-M254</f>
        <v>7137.1266666666252</v>
      </c>
      <c r="BC254" s="107">
        <f t="shared" ref="BC254:BC301" si="269">BB254-M254</f>
        <v>6117.7933333332921</v>
      </c>
      <c r="BD254" s="107">
        <f t="shared" ref="BD254:BD301" si="270">BC254-M254</f>
        <v>5098.4599999999591</v>
      </c>
      <c r="BE254" s="107">
        <f t="shared" ref="BE254:BE281" si="271">SUM(AS254:BD254,AO254)/13*$BE$2</f>
        <v>246.71811999999912</v>
      </c>
      <c r="BF254" s="127"/>
      <c r="BG254" s="127"/>
      <c r="BI254" s="127"/>
      <c r="BJ254" s="127"/>
      <c r="BK254" s="127"/>
      <c r="BL254" s="127"/>
      <c r="BM254" s="127"/>
      <c r="BN254" s="127"/>
      <c r="BO254" s="127"/>
      <c r="BP254" s="127"/>
      <c r="BQ254" s="127"/>
      <c r="BR254" s="127"/>
      <c r="BS254" s="127"/>
      <c r="BT254" s="127"/>
      <c r="BU254" s="127"/>
      <c r="BV254" s="127"/>
    </row>
    <row r="255" spans="1:75" ht="22.5" hidden="1" x14ac:dyDescent="0.2">
      <c r="A255" s="123" t="str">
        <f>'[2]2021 УГРЦТ'!A257</f>
        <v>КЛ Каб линия  6кв от ТП10масло-д до ТП-32  1998г.</v>
      </c>
      <c r="B255" s="124" t="str">
        <f>'[2]2021 УГРЦТ'!B257</f>
        <v>00000260</v>
      </c>
      <c r="C255" s="124" t="str">
        <f>VLOOKUP(A:A,'2023-2027'!A:L,1,+FALSE)</f>
        <v>КЛ Каб линия  6кв от ТП10масло-д до ТП-32  1998г.</v>
      </c>
      <c r="D255" s="124" t="str">
        <f>'[2]2021 УГРЦТ'!C257</f>
        <v>ПЕРЕДАЧА</v>
      </c>
      <c r="E255" s="124" t="str">
        <f>'[2]2021 УГРЦТ'!D257</f>
        <v>Сооружения</v>
      </c>
      <c r="F255" s="124" t="str">
        <f>'[2]2021 УГРЦТ'!E257</f>
        <v>01.09.1998</v>
      </c>
      <c r="G255" s="124" t="str">
        <f>'[2]2021 УГРЦТ'!F257</f>
        <v>Цех электрических сетей</v>
      </c>
      <c r="H255" s="124">
        <f>'[2]2021 УГРЦТ'!AC257</f>
        <v>300</v>
      </c>
      <c r="I255" s="107">
        <f>'[2]2021 УГРЦТ'!X257</f>
        <v>35457.019999999997</v>
      </c>
      <c r="J255" s="107">
        <f>'[2]2021 УГРЦТ'!Y257</f>
        <v>28365.6008</v>
      </c>
      <c r="K255" s="107">
        <f>'[2]2021 УГРЦТ'!Z257</f>
        <v>7091.4191999999966</v>
      </c>
      <c r="L255" s="125" t="e">
        <f>SUMIF([2]облаг!$B$2:$B$259,B255,[2]облаг!$D$2:$D$259)</f>
        <v>#VALUE!</v>
      </c>
      <c r="M255" s="107">
        <f t="shared" si="202"/>
        <v>118.19006666666665</v>
      </c>
      <c r="N255" s="107">
        <f t="shared" si="203"/>
        <v>1418.2807999999998</v>
      </c>
      <c r="O255" s="107">
        <f t="shared" si="204"/>
        <v>6973.2291333333296</v>
      </c>
      <c r="P255" s="107">
        <f t="shared" si="205"/>
        <v>6855.0390666666626</v>
      </c>
      <c r="Q255" s="107">
        <f t="shared" si="221"/>
        <v>6736.8489999999956</v>
      </c>
      <c r="R255" s="107">
        <f t="shared" si="222"/>
        <v>6618.6589333333286</v>
      </c>
      <c r="S255" s="107">
        <f t="shared" si="223"/>
        <v>6500.4688666666616</v>
      </c>
      <c r="T255" s="107">
        <f t="shared" si="224"/>
        <v>6382.2787999999946</v>
      </c>
      <c r="U255" s="107">
        <f t="shared" si="225"/>
        <v>6264.0887333333276</v>
      </c>
      <c r="V255" s="107">
        <f t="shared" si="226"/>
        <v>6145.8986666666606</v>
      </c>
      <c r="W255" s="107">
        <f t="shared" si="227"/>
        <v>6027.7085999999936</v>
      </c>
      <c r="X255" s="107">
        <f t="shared" si="228"/>
        <v>5909.5185333333266</v>
      </c>
      <c r="Y255" s="107">
        <f t="shared" si="229"/>
        <v>5791.3284666666596</v>
      </c>
      <c r="Z255" s="107">
        <f t="shared" si="230"/>
        <v>5673.1383999999925</v>
      </c>
      <c r="AA255" s="107">
        <f t="shared" si="264"/>
        <v>140.41013359999988</v>
      </c>
      <c r="AB255" s="107"/>
      <c r="AC255" s="107">
        <f t="shared" si="242"/>
        <v>1418.2807999999998</v>
      </c>
      <c r="AD255" s="107">
        <f t="shared" si="231"/>
        <v>5554.9483333333255</v>
      </c>
      <c r="AE255" s="107">
        <f t="shared" si="232"/>
        <v>5436.7582666666585</v>
      </c>
      <c r="AF255" s="107">
        <f t="shared" si="233"/>
        <v>5318.5681999999915</v>
      </c>
      <c r="AG255" s="107">
        <f t="shared" si="234"/>
        <v>5200.3781333333245</v>
      </c>
      <c r="AH255" s="107">
        <f t="shared" si="235"/>
        <v>5082.1880666666575</v>
      </c>
      <c r="AI255" s="107">
        <f t="shared" si="236"/>
        <v>4963.9979999999905</v>
      </c>
      <c r="AJ255" s="107">
        <f t="shared" si="237"/>
        <v>4845.8079333333235</v>
      </c>
      <c r="AK255" s="107">
        <f t="shared" si="238"/>
        <v>4727.6178666666565</v>
      </c>
      <c r="AL255" s="107">
        <f t="shared" si="239"/>
        <v>4609.4277999999895</v>
      </c>
      <c r="AM255" s="107">
        <f t="shared" si="240"/>
        <v>4491.2377333333225</v>
      </c>
      <c r="AN255" s="107">
        <f t="shared" si="241"/>
        <v>4373.0476666666555</v>
      </c>
      <c r="AO255" s="107">
        <f t="shared" si="243"/>
        <v>4254.8575999999885</v>
      </c>
      <c r="AP255" s="107">
        <f t="shared" si="265"/>
        <v>109.20795599999981</v>
      </c>
      <c r="AQ255" s="126"/>
      <c r="AR255" s="107">
        <f t="shared" si="244"/>
        <v>1418.2807999999998</v>
      </c>
      <c r="AS255" s="107">
        <f t="shared" si="257"/>
        <v>4136.6675333333214</v>
      </c>
      <c r="AT255" s="107">
        <f t="shared" si="258"/>
        <v>4018.4774666666549</v>
      </c>
      <c r="AU255" s="107">
        <f t="shared" si="259"/>
        <v>3900.2873999999883</v>
      </c>
      <c r="AV255" s="107">
        <f t="shared" si="260"/>
        <v>3782.0973333333218</v>
      </c>
      <c r="AW255" s="107">
        <f t="shared" si="261"/>
        <v>3663.9072666666552</v>
      </c>
      <c r="AX255" s="107">
        <f t="shared" si="262"/>
        <v>3545.7171999999887</v>
      </c>
      <c r="AY255" s="107">
        <f t="shared" si="263"/>
        <v>3427.5271333333221</v>
      </c>
      <c r="AZ255" s="107">
        <f t="shared" si="266"/>
        <v>3309.3370666666556</v>
      </c>
      <c r="BA255" s="107">
        <f t="shared" si="267"/>
        <v>3191.146999999989</v>
      </c>
      <c r="BB255" s="107">
        <f t="shared" si="268"/>
        <v>3072.9569333333225</v>
      </c>
      <c r="BC255" s="107">
        <f t="shared" si="269"/>
        <v>2954.7668666666559</v>
      </c>
      <c r="BD255" s="107">
        <f t="shared" si="270"/>
        <v>2836.5767999999894</v>
      </c>
      <c r="BE255" s="107">
        <f t="shared" si="271"/>
        <v>78.005778399999741</v>
      </c>
      <c r="BF255" s="127"/>
      <c r="BG255" s="127"/>
      <c r="BH255" s="127"/>
      <c r="BI255" s="127"/>
      <c r="BJ255" s="127"/>
      <c r="BK255" s="127"/>
      <c r="BL255" s="127"/>
      <c r="BM255" s="127"/>
      <c r="BN255" s="127"/>
      <c r="BO255" s="127"/>
      <c r="BP255" s="127"/>
      <c r="BQ255" s="127"/>
      <c r="BR255" s="127"/>
      <c r="BS255" s="127"/>
      <c r="BT255" s="127"/>
      <c r="BU255" s="127"/>
      <c r="BV255" s="127"/>
      <c r="BW255" s="127"/>
    </row>
    <row r="256" spans="1:75" ht="22.5" hidden="1" x14ac:dyDescent="0.2">
      <c r="A256" s="123" t="str">
        <f>'[2]2021 УГРЦТ'!A258</f>
        <v>КЛ Кабельн линия 6кв от ТП36 до ТП51 ГОСНИ  1997г.</v>
      </c>
      <c r="B256" s="124" t="str">
        <f>'[2]2021 УГРЦТ'!B258</f>
        <v>00000187</v>
      </c>
      <c r="C256" s="124" t="str">
        <f>VLOOKUP(A:A,'2023-2027'!A:L,1,+FALSE)</f>
        <v>КЛ Кабельн линия 6кв от ТП36 до ТП51 ГОСНИ  1997г.</v>
      </c>
      <c r="D256" s="124" t="str">
        <f>'[2]2021 УГРЦТ'!C258</f>
        <v>ПЕРЕДАЧА</v>
      </c>
      <c r="E256" s="124" t="str">
        <f>'[2]2021 УГРЦТ'!D258</f>
        <v>Сооружения</v>
      </c>
      <c r="F256" s="124" t="str">
        <f>'[2]2021 УГРЦТ'!E258</f>
        <v>01.12.1997</v>
      </c>
      <c r="G256" s="124" t="str">
        <f>'[2]2021 УГРЦТ'!F258</f>
        <v>Цех электрических сетей</v>
      </c>
      <c r="H256" s="124">
        <f>'[2]2021 УГРЦТ'!AC258</f>
        <v>300</v>
      </c>
      <c r="I256" s="107">
        <f>'[2]2021 УГРЦТ'!X258</f>
        <v>40341</v>
      </c>
      <c r="J256" s="107">
        <f>'[2]2021 УГРЦТ'!Y258</f>
        <v>34020.44</v>
      </c>
      <c r="K256" s="107">
        <f>'[2]2021 УГРЦТ'!Z258</f>
        <v>6320.5599999999977</v>
      </c>
      <c r="L256" s="125" t="e">
        <f>SUMIF([2]облаг!$B$2:$B$259,B256,[2]облаг!$D$2:$D$259)</f>
        <v>#VALUE!</v>
      </c>
      <c r="M256" s="107">
        <f t="shared" si="202"/>
        <v>134.47</v>
      </c>
      <c r="N256" s="107">
        <f t="shared" si="203"/>
        <v>1613.6399999999999</v>
      </c>
      <c r="O256" s="107">
        <f t="shared" si="204"/>
        <v>6186.0899999999974</v>
      </c>
      <c r="P256" s="107">
        <f t="shared" si="205"/>
        <v>6051.6199999999972</v>
      </c>
      <c r="Q256" s="107">
        <f t="shared" si="221"/>
        <v>5917.1499999999969</v>
      </c>
      <c r="R256" s="107">
        <f t="shared" si="222"/>
        <v>5782.6799999999967</v>
      </c>
      <c r="S256" s="107">
        <f t="shared" si="223"/>
        <v>5648.2099999999964</v>
      </c>
      <c r="T256" s="107">
        <f t="shared" si="224"/>
        <v>5513.7399999999961</v>
      </c>
      <c r="U256" s="107">
        <f t="shared" si="225"/>
        <v>5379.2699999999959</v>
      </c>
      <c r="V256" s="107">
        <f t="shared" si="226"/>
        <v>5244.7999999999956</v>
      </c>
      <c r="W256" s="107">
        <f t="shared" si="227"/>
        <v>5110.3299999999954</v>
      </c>
      <c r="X256" s="107">
        <f t="shared" si="228"/>
        <v>4975.8599999999951</v>
      </c>
      <c r="Y256" s="107">
        <f t="shared" si="229"/>
        <v>4841.3899999999949</v>
      </c>
      <c r="Z256" s="107">
        <f t="shared" si="230"/>
        <v>4706.9199999999946</v>
      </c>
      <c r="AA256" s="107">
        <f t="shared" si="264"/>
        <v>121.30227999999991</v>
      </c>
      <c r="AB256" s="107"/>
      <c r="AC256" s="107">
        <f t="shared" si="242"/>
        <v>1613.6399999999999</v>
      </c>
      <c r="AD256" s="107">
        <f t="shared" si="231"/>
        <v>4572.4499999999944</v>
      </c>
      <c r="AE256" s="107">
        <f t="shared" si="232"/>
        <v>4437.9799999999941</v>
      </c>
      <c r="AF256" s="107">
        <f t="shared" si="233"/>
        <v>4303.5099999999939</v>
      </c>
      <c r="AG256" s="107">
        <f t="shared" si="234"/>
        <v>4169.0399999999936</v>
      </c>
      <c r="AH256" s="107">
        <f t="shared" si="235"/>
        <v>4034.5699999999938</v>
      </c>
      <c r="AI256" s="107">
        <f t="shared" si="236"/>
        <v>3900.099999999994</v>
      </c>
      <c r="AJ256" s="107">
        <f t="shared" si="237"/>
        <v>3765.6299999999942</v>
      </c>
      <c r="AK256" s="107">
        <f t="shared" si="238"/>
        <v>3631.1599999999944</v>
      </c>
      <c r="AL256" s="107">
        <f t="shared" si="239"/>
        <v>3496.6899999999946</v>
      </c>
      <c r="AM256" s="107">
        <f t="shared" si="240"/>
        <v>3362.2199999999948</v>
      </c>
      <c r="AN256" s="107">
        <f t="shared" si="241"/>
        <v>3227.749999999995</v>
      </c>
      <c r="AO256" s="107">
        <f t="shared" si="243"/>
        <v>3093.2799999999952</v>
      </c>
      <c r="AP256" s="107">
        <f t="shared" si="265"/>
        <v>85.802199999999871</v>
      </c>
      <c r="AQ256" s="126"/>
      <c r="AR256" s="107">
        <f t="shared" si="244"/>
        <v>1613.6399999999999</v>
      </c>
      <c r="AS256" s="107">
        <f t="shared" si="257"/>
        <v>2958.8099999999954</v>
      </c>
      <c r="AT256" s="107">
        <f t="shared" si="258"/>
        <v>2824.3399999999956</v>
      </c>
      <c r="AU256" s="107">
        <f t="shared" si="259"/>
        <v>2689.8699999999958</v>
      </c>
      <c r="AV256" s="107">
        <f t="shared" si="260"/>
        <v>2555.399999999996</v>
      </c>
      <c r="AW256" s="107">
        <f t="shared" si="261"/>
        <v>2420.9299999999962</v>
      </c>
      <c r="AX256" s="107">
        <f t="shared" si="262"/>
        <v>2286.4599999999964</v>
      </c>
      <c r="AY256" s="107">
        <f t="shared" si="263"/>
        <v>2151.9899999999966</v>
      </c>
      <c r="AZ256" s="107">
        <f t="shared" si="266"/>
        <v>2017.5199999999966</v>
      </c>
      <c r="BA256" s="107">
        <f t="shared" si="267"/>
        <v>1883.0499999999965</v>
      </c>
      <c r="BB256" s="107">
        <f t="shared" si="268"/>
        <v>1748.5799999999965</v>
      </c>
      <c r="BC256" s="107">
        <f t="shared" si="269"/>
        <v>1614.1099999999965</v>
      </c>
      <c r="BD256" s="107">
        <f t="shared" si="270"/>
        <v>1479.6399999999965</v>
      </c>
      <c r="BE256" s="107">
        <f t="shared" si="271"/>
        <v>50.302119999999917</v>
      </c>
      <c r="BF256" s="127"/>
      <c r="BG256" s="127"/>
      <c r="BI256" s="127"/>
      <c r="BJ256" s="127"/>
      <c r="BK256" s="127"/>
      <c r="BL256" s="127"/>
      <c r="BM256" s="127"/>
      <c r="BN256" s="127"/>
      <c r="BO256" s="127"/>
      <c r="BP256" s="127"/>
      <c r="BQ256" s="127"/>
      <c r="BR256" s="127"/>
      <c r="BS256" s="127"/>
      <c r="BT256" s="127"/>
      <c r="BU256" s="127"/>
      <c r="BV256" s="127"/>
    </row>
    <row r="257" spans="1:75" ht="22.5" hidden="1" x14ac:dyDescent="0.2">
      <c r="A257" s="123" t="str">
        <f>'[2]2021 УГРЦТ'!A259</f>
        <v>КЛ Кабельна линия 6кв  от ТП22 до ТП-67школа5</v>
      </c>
      <c r="B257" s="124" t="str">
        <f>'[2]2021 УГРЦТ'!B259</f>
        <v>00000263</v>
      </c>
      <c r="C257" s="124" t="str">
        <f>VLOOKUP(A:A,'2023-2027'!A:L,1,+FALSE)</f>
        <v>КЛ Кабельна линия 6кв  от ТП22 до ТП-67школа5</v>
      </c>
      <c r="D257" s="124" t="str">
        <f>'[2]2021 УГРЦТ'!C259</f>
        <v>ПЕРЕДАЧА</v>
      </c>
      <c r="E257" s="124" t="str">
        <f>'[2]2021 УГРЦТ'!D259</f>
        <v>Сооружения</v>
      </c>
      <c r="F257" s="124" t="str">
        <f>'[2]2021 УГРЦТ'!E259</f>
        <v>01.05.2000</v>
      </c>
      <c r="G257" s="124" t="str">
        <f>'[2]2021 УГРЦТ'!F259</f>
        <v>Цех электрических сетей</v>
      </c>
      <c r="H257" s="124">
        <f>'[2]2021 УГРЦТ'!AC259</f>
        <v>300</v>
      </c>
      <c r="I257" s="107">
        <f>'[2]2021 УГРЦТ'!X259</f>
        <v>52749</v>
      </c>
      <c r="J257" s="107">
        <f>'[2]2021 УГРЦТ'!Y259</f>
        <v>45540.479999999996</v>
      </c>
      <c r="K257" s="107">
        <f>'[2]2021 УГРЦТ'!Z259</f>
        <v>7208.5200000000041</v>
      </c>
      <c r="L257" s="125" t="e">
        <f>SUMIF([2]облаг!$B$2:$B$259,B257,[2]облаг!$D$2:$D$259)</f>
        <v>#VALUE!</v>
      </c>
      <c r="M257" s="107">
        <f t="shared" si="202"/>
        <v>175.83</v>
      </c>
      <c r="N257" s="107">
        <f t="shared" si="203"/>
        <v>2109.96</v>
      </c>
      <c r="O257" s="107">
        <f t="shared" si="204"/>
        <v>7032.6900000000041</v>
      </c>
      <c r="P257" s="107">
        <f t="shared" si="205"/>
        <v>6856.8600000000042</v>
      </c>
      <c r="Q257" s="107">
        <f t="shared" si="221"/>
        <v>6681.0300000000043</v>
      </c>
      <c r="R257" s="107">
        <f t="shared" si="222"/>
        <v>6505.2000000000044</v>
      </c>
      <c r="S257" s="107">
        <f t="shared" si="223"/>
        <v>6329.3700000000044</v>
      </c>
      <c r="T257" s="107">
        <f t="shared" si="224"/>
        <v>6153.5400000000045</v>
      </c>
      <c r="U257" s="107">
        <f t="shared" si="225"/>
        <v>5977.7100000000046</v>
      </c>
      <c r="V257" s="107">
        <f t="shared" si="226"/>
        <v>5801.8800000000047</v>
      </c>
      <c r="W257" s="107">
        <f t="shared" si="227"/>
        <v>5626.0500000000047</v>
      </c>
      <c r="X257" s="107">
        <f t="shared" si="228"/>
        <v>5450.2200000000048</v>
      </c>
      <c r="Y257" s="107">
        <f t="shared" si="229"/>
        <v>5274.3900000000049</v>
      </c>
      <c r="Z257" s="107">
        <f t="shared" si="230"/>
        <v>5098.5600000000049</v>
      </c>
      <c r="AA257" s="107">
        <f t="shared" si="264"/>
        <v>135.37788000000009</v>
      </c>
      <c r="AB257" s="107"/>
      <c r="AC257" s="107">
        <f t="shared" si="242"/>
        <v>2109.96</v>
      </c>
      <c r="AD257" s="107">
        <f t="shared" si="231"/>
        <v>4922.730000000005</v>
      </c>
      <c r="AE257" s="107">
        <f t="shared" si="232"/>
        <v>4746.9000000000051</v>
      </c>
      <c r="AF257" s="107">
        <f t="shared" si="233"/>
        <v>4571.0700000000052</v>
      </c>
      <c r="AG257" s="107">
        <f t="shared" si="234"/>
        <v>4395.2400000000052</v>
      </c>
      <c r="AH257" s="107">
        <f t="shared" si="235"/>
        <v>4219.4100000000053</v>
      </c>
      <c r="AI257" s="107">
        <f t="shared" si="236"/>
        <v>4043.5800000000054</v>
      </c>
      <c r="AJ257" s="107">
        <f t="shared" si="237"/>
        <v>3867.7500000000055</v>
      </c>
      <c r="AK257" s="107">
        <f t="shared" si="238"/>
        <v>3691.9200000000055</v>
      </c>
      <c r="AL257" s="107">
        <f t="shared" si="239"/>
        <v>3516.0900000000056</v>
      </c>
      <c r="AM257" s="107">
        <f t="shared" si="240"/>
        <v>3340.2600000000057</v>
      </c>
      <c r="AN257" s="107">
        <f t="shared" si="241"/>
        <v>3164.4300000000057</v>
      </c>
      <c r="AO257" s="107">
        <f t="shared" si="243"/>
        <v>2988.6000000000058</v>
      </c>
      <c r="AP257" s="107">
        <f t="shared" si="265"/>
        <v>88.958760000000126</v>
      </c>
      <c r="AQ257" s="126"/>
      <c r="AR257" s="107">
        <f t="shared" si="244"/>
        <v>2109.96</v>
      </c>
      <c r="AS257" s="107">
        <f t="shared" si="257"/>
        <v>2812.7700000000059</v>
      </c>
      <c r="AT257" s="107">
        <f t="shared" si="258"/>
        <v>2636.940000000006</v>
      </c>
      <c r="AU257" s="107">
        <f t="shared" si="259"/>
        <v>2461.110000000006</v>
      </c>
      <c r="AV257" s="107">
        <f t="shared" si="260"/>
        <v>2285.2800000000061</v>
      </c>
      <c r="AW257" s="107">
        <f t="shared" si="261"/>
        <v>2109.4500000000062</v>
      </c>
      <c r="AX257" s="107">
        <f t="shared" si="262"/>
        <v>1933.6200000000063</v>
      </c>
      <c r="AY257" s="107">
        <f t="shared" si="263"/>
        <v>1757.7900000000063</v>
      </c>
      <c r="AZ257" s="107">
        <f t="shared" si="266"/>
        <v>1581.9600000000064</v>
      </c>
      <c r="BA257" s="107">
        <f t="shared" si="267"/>
        <v>1406.1300000000065</v>
      </c>
      <c r="BB257" s="107">
        <f t="shared" si="268"/>
        <v>1230.3000000000065</v>
      </c>
      <c r="BC257" s="107">
        <f t="shared" si="269"/>
        <v>1054.4700000000066</v>
      </c>
      <c r="BD257" s="107">
        <f t="shared" si="270"/>
        <v>878.64000000000658</v>
      </c>
      <c r="BE257" s="107">
        <f t="shared" si="271"/>
        <v>42.539640000000134</v>
      </c>
      <c r="BF257" s="127"/>
      <c r="BG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</row>
    <row r="258" spans="1:75" ht="22.5" hidden="1" x14ac:dyDescent="0.2">
      <c r="A258" s="123" t="str">
        <f>'[2]2021 УГРЦТ'!A260</f>
        <v>КЛ Кабельна линия 6кв от ТП4 до ТП 51 Госни 1997г.</v>
      </c>
      <c r="B258" s="124" t="str">
        <f>'[2]2021 УГРЦТ'!B260</f>
        <v>00000188</v>
      </c>
      <c r="C258" s="124" t="str">
        <f>VLOOKUP(A:A,'2023-2027'!A:L,1,+FALSE)</f>
        <v>КЛ Кабельна линия 6кв от ТП4 до ТП 51 Госни 1997г.</v>
      </c>
      <c r="D258" s="124" t="str">
        <f>'[2]2021 УГРЦТ'!C260</f>
        <v>ПЕРЕДАЧА</v>
      </c>
      <c r="E258" s="124" t="str">
        <f>'[2]2021 УГРЦТ'!D260</f>
        <v>Сооружения</v>
      </c>
      <c r="F258" s="124" t="str">
        <f>'[2]2021 УГРЦТ'!E260</f>
        <v>01.12.1997</v>
      </c>
      <c r="G258" s="124" t="str">
        <f>'[2]2021 УГРЦТ'!F260</f>
        <v>Цех электрических сетей</v>
      </c>
      <c r="H258" s="124">
        <f>'[2]2021 УГРЦТ'!AC260</f>
        <v>300</v>
      </c>
      <c r="I258" s="107">
        <f>'[2]2021 УГРЦТ'!X260</f>
        <v>64033</v>
      </c>
      <c r="J258" s="107">
        <f>'[2]2021 УГРЦТ'!Y260</f>
        <v>53999.94</v>
      </c>
      <c r="K258" s="107">
        <f>'[2]2021 УГРЦТ'!Z260</f>
        <v>10033.059999999998</v>
      </c>
      <c r="L258" s="125" t="e">
        <f>SUMIF([2]облаг!$B$2:$B$259,B258,[2]облаг!$D$2:$D$259)</f>
        <v>#VALUE!</v>
      </c>
      <c r="M258" s="107">
        <f t="shared" si="202"/>
        <v>213.44333333333333</v>
      </c>
      <c r="N258" s="107">
        <f t="shared" si="203"/>
        <v>2561.3199999999997</v>
      </c>
      <c r="O258" s="107">
        <f t="shared" si="204"/>
        <v>9819.616666666665</v>
      </c>
      <c r="P258" s="107">
        <f t="shared" si="205"/>
        <v>9606.1733333333323</v>
      </c>
      <c r="Q258" s="107">
        <f t="shared" si="221"/>
        <v>9392.73</v>
      </c>
      <c r="R258" s="107">
        <f t="shared" si="222"/>
        <v>9179.2866666666669</v>
      </c>
      <c r="S258" s="107">
        <f t="shared" si="223"/>
        <v>8965.8433333333342</v>
      </c>
      <c r="T258" s="107">
        <f t="shared" si="224"/>
        <v>8752.4000000000015</v>
      </c>
      <c r="U258" s="107">
        <f t="shared" si="225"/>
        <v>8538.9566666666688</v>
      </c>
      <c r="V258" s="107">
        <f t="shared" si="226"/>
        <v>8325.513333333336</v>
      </c>
      <c r="W258" s="107">
        <f t="shared" si="227"/>
        <v>8112.0700000000024</v>
      </c>
      <c r="X258" s="107">
        <f t="shared" si="228"/>
        <v>7898.6266666666688</v>
      </c>
      <c r="Y258" s="107">
        <f t="shared" si="229"/>
        <v>7685.1833333333352</v>
      </c>
      <c r="Z258" s="107">
        <f t="shared" si="230"/>
        <v>7471.7400000000016</v>
      </c>
      <c r="AA258" s="107">
        <f t="shared" si="264"/>
        <v>192.55280000000002</v>
      </c>
      <c r="AB258" s="107"/>
      <c r="AC258" s="107">
        <f t="shared" si="242"/>
        <v>2561.3199999999997</v>
      </c>
      <c r="AD258" s="107">
        <f t="shared" si="231"/>
        <v>7258.296666666668</v>
      </c>
      <c r="AE258" s="107">
        <f t="shared" si="232"/>
        <v>7044.8533333333344</v>
      </c>
      <c r="AF258" s="107">
        <f t="shared" si="233"/>
        <v>6831.4100000000008</v>
      </c>
      <c r="AG258" s="107">
        <f t="shared" si="234"/>
        <v>6617.9666666666672</v>
      </c>
      <c r="AH258" s="107">
        <f t="shared" si="235"/>
        <v>6404.5233333333335</v>
      </c>
      <c r="AI258" s="107">
        <f t="shared" si="236"/>
        <v>6191.08</v>
      </c>
      <c r="AJ258" s="107">
        <f t="shared" si="237"/>
        <v>5977.6366666666663</v>
      </c>
      <c r="AK258" s="107">
        <f t="shared" si="238"/>
        <v>5764.1933333333327</v>
      </c>
      <c r="AL258" s="107">
        <f t="shared" si="239"/>
        <v>5550.7499999999991</v>
      </c>
      <c r="AM258" s="107">
        <f t="shared" si="240"/>
        <v>5337.3066666666655</v>
      </c>
      <c r="AN258" s="107">
        <f t="shared" si="241"/>
        <v>5123.8633333333319</v>
      </c>
      <c r="AO258" s="107">
        <f t="shared" si="243"/>
        <v>4910.4199999999983</v>
      </c>
      <c r="AP258" s="107">
        <f t="shared" si="265"/>
        <v>136.20376000000002</v>
      </c>
      <c r="AQ258" s="126"/>
      <c r="AR258" s="107">
        <f t="shared" si="244"/>
        <v>2561.3199999999997</v>
      </c>
      <c r="AS258" s="107">
        <f t="shared" si="257"/>
        <v>4696.9766666666646</v>
      </c>
      <c r="AT258" s="107">
        <f t="shared" si="258"/>
        <v>4483.533333333331</v>
      </c>
      <c r="AU258" s="107">
        <f t="shared" si="259"/>
        <v>4270.0899999999974</v>
      </c>
      <c r="AV258" s="107">
        <f t="shared" si="260"/>
        <v>4056.6466666666643</v>
      </c>
      <c r="AW258" s="107">
        <f t="shared" si="261"/>
        <v>3843.2033333333311</v>
      </c>
      <c r="AX258" s="107">
        <f t="shared" si="262"/>
        <v>3629.7599999999979</v>
      </c>
      <c r="AY258" s="107">
        <f t="shared" si="263"/>
        <v>3416.3166666666648</v>
      </c>
      <c r="AZ258" s="107">
        <f t="shared" si="266"/>
        <v>3202.8733333333316</v>
      </c>
      <c r="BA258" s="107">
        <f t="shared" si="267"/>
        <v>2989.4299999999985</v>
      </c>
      <c r="BB258" s="107">
        <f t="shared" si="268"/>
        <v>2775.9866666666653</v>
      </c>
      <c r="BC258" s="107">
        <f t="shared" si="269"/>
        <v>2562.5433333333322</v>
      </c>
      <c r="BD258" s="107">
        <f t="shared" si="270"/>
        <v>2349.099999999999</v>
      </c>
      <c r="BE258" s="107">
        <f t="shared" si="271"/>
        <v>79.854719999999944</v>
      </c>
      <c r="BF258" s="127"/>
      <c r="BG258" s="127"/>
      <c r="BI258" s="127"/>
      <c r="BJ258" s="127"/>
      <c r="BK258" s="127"/>
      <c r="BL258" s="127"/>
      <c r="BM258" s="127"/>
      <c r="BN258" s="127"/>
      <c r="BO258" s="127"/>
      <c r="BP258" s="127"/>
      <c r="BQ258" s="127"/>
      <c r="BR258" s="127"/>
      <c r="BS258" s="127"/>
      <c r="BT258" s="127"/>
      <c r="BU258" s="127"/>
      <c r="BV258" s="127"/>
    </row>
    <row r="259" spans="1:75" ht="22.5" hidden="1" x14ac:dyDescent="0.2">
      <c r="A259" s="123" t="str">
        <f>'[2]2021 УГРЦТ'!A261</f>
        <v>КЛ Кабельная линия 6 кв от ТП43 до ТП67 школа5</v>
      </c>
      <c r="B259" s="124" t="str">
        <f>'[2]2021 УГРЦТ'!B261</f>
        <v>00000264</v>
      </c>
      <c r="C259" s="124" t="str">
        <f>VLOOKUP(A:A,'2023-2027'!A:L,1,+FALSE)</f>
        <v>КЛ Кабельная линия 6 кв от ТП43 до ТП67 школа5</v>
      </c>
      <c r="D259" s="124" t="str">
        <f>'[2]2021 УГРЦТ'!C261</f>
        <v>ПЕРЕДАЧА</v>
      </c>
      <c r="E259" s="124" t="str">
        <f>'[2]2021 УГРЦТ'!D261</f>
        <v>Сооружения</v>
      </c>
      <c r="F259" s="124" t="str">
        <f>'[2]2021 УГРЦТ'!E261</f>
        <v>01.05.2000</v>
      </c>
      <c r="G259" s="124" t="str">
        <f>'[2]2021 УГРЦТ'!F261</f>
        <v>Цех электрических сетей</v>
      </c>
      <c r="H259" s="124">
        <f>'[2]2021 УГРЦТ'!AC261</f>
        <v>300</v>
      </c>
      <c r="I259" s="107">
        <f>'[2]2021 УГРЦТ'!X261</f>
        <v>216062</v>
      </c>
      <c r="J259" s="107">
        <f>'[2]2021 УГРЦТ'!Y261</f>
        <v>186533.7</v>
      </c>
      <c r="K259" s="107">
        <f>'[2]2021 УГРЦТ'!Z261</f>
        <v>29528.299999999988</v>
      </c>
      <c r="L259" s="125" t="e">
        <f>SUMIF([2]облаг!$B$2:$B$259,B259,[2]облаг!$D$2:$D$259)</f>
        <v>#VALUE!</v>
      </c>
      <c r="M259" s="107">
        <f t="shared" si="202"/>
        <v>720.20666666666671</v>
      </c>
      <c r="N259" s="107">
        <f t="shared" si="203"/>
        <v>8642.48</v>
      </c>
      <c r="O259" s="107">
        <f t="shared" si="204"/>
        <v>28808.093333333323</v>
      </c>
      <c r="P259" s="107">
        <f t="shared" si="205"/>
        <v>28087.886666666658</v>
      </c>
      <c r="Q259" s="107">
        <f t="shared" si="221"/>
        <v>27367.679999999993</v>
      </c>
      <c r="R259" s="107">
        <f t="shared" si="222"/>
        <v>26647.473333333328</v>
      </c>
      <c r="S259" s="107">
        <f t="shared" si="223"/>
        <v>25927.266666666663</v>
      </c>
      <c r="T259" s="107">
        <f t="shared" si="224"/>
        <v>25207.059999999998</v>
      </c>
      <c r="U259" s="107">
        <f t="shared" si="225"/>
        <v>24486.853333333333</v>
      </c>
      <c r="V259" s="107">
        <f t="shared" si="226"/>
        <v>23766.646666666667</v>
      </c>
      <c r="W259" s="107">
        <f t="shared" si="227"/>
        <v>23046.440000000002</v>
      </c>
      <c r="X259" s="107">
        <f t="shared" si="228"/>
        <v>22326.233333333337</v>
      </c>
      <c r="Y259" s="107">
        <f t="shared" si="229"/>
        <v>21606.026666666672</v>
      </c>
      <c r="Z259" s="107">
        <f t="shared" si="230"/>
        <v>20885.820000000007</v>
      </c>
      <c r="AA259" s="107">
        <f t="shared" si="264"/>
        <v>554.55531999999994</v>
      </c>
      <c r="AB259" s="107"/>
      <c r="AC259" s="107">
        <f t="shared" si="242"/>
        <v>8642.48</v>
      </c>
      <c r="AD259" s="107">
        <f t="shared" si="231"/>
        <v>20165.613333333342</v>
      </c>
      <c r="AE259" s="107">
        <f t="shared" si="232"/>
        <v>19445.406666666677</v>
      </c>
      <c r="AF259" s="107">
        <f t="shared" si="233"/>
        <v>18725.200000000012</v>
      </c>
      <c r="AG259" s="107">
        <f t="shared" si="234"/>
        <v>18004.993333333347</v>
      </c>
      <c r="AH259" s="107">
        <f t="shared" si="235"/>
        <v>17284.786666666681</v>
      </c>
      <c r="AI259" s="107">
        <f t="shared" si="236"/>
        <v>16564.580000000016</v>
      </c>
      <c r="AJ259" s="107">
        <f t="shared" si="237"/>
        <v>15844.373333333349</v>
      </c>
      <c r="AK259" s="107">
        <f t="shared" si="238"/>
        <v>15124.166666666682</v>
      </c>
      <c r="AL259" s="107">
        <f t="shared" si="239"/>
        <v>14403.960000000015</v>
      </c>
      <c r="AM259" s="107">
        <f t="shared" si="240"/>
        <v>13683.753333333349</v>
      </c>
      <c r="AN259" s="107">
        <f t="shared" si="241"/>
        <v>12963.546666666682</v>
      </c>
      <c r="AO259" s="107">
        <f t="shared" si="243"/>
        <v>12243.340000000015</v>
      </c>
      <c r="AP259" s="107">
        <f t="shared" si="265"/>
        <v>364.42076000000031</v>
      </c>
      <c r="AQ259" s="126"/>
      <c r="AR259" s="107">
        <f t="shared" si="244"/>
        <v>8642.48</v>
      </c>
      <c r="AS259" s="107">
        <f t="shared" si="257"/>
        <v>11523.133333333348</v>
      </c>
      <c r="AT259" s="107">
        <f t="shared" si="258"/>
        <v>10802.926666666681</v>
      </c>
      <c r="AU259" s="107">
        <f t="shared" si="259"/>
        <v>10082.720000000014</v>
      </c>
      <c r="AV259" s="107">
        <f t="shared" si="260"/>
        <v>9362.513333333347</v>
      </c>
      <c r="AW259" s="107">
        <f t="shared" si="261"/>
        <v>8642.30666666668</v>
      </c>
      <c r="AX259" s="107">
        <f t="shared" si="262"/>
        <v>7922.1000000000131</v>
      </c>
      <c r="AY259" s="107">
        <f t="shared" si="263"/>
        <v>7201.8933333333462</v>
      </c>
      <c r="AZ259" s="107">
        <f t="shared" si="266"/>
        <v>6481.6866666666792</v>
      </c>
      <c r="BA259" s="107">
        <f t="shared" si="267"/>
        <v>5761.4800000000123</v>
      </c>
      <c r="BB259" s="107">
        <f t="shared" si="268"/>
        <v>5041.2733333333454</v>
      </c>
      <c r="BC259" s="107">
        <f t="shared" si="269"/>
        <v>4321.0666666666784</v>
      </c>
      <c r="BD259" s="107">
        <f t="shared" si="270"/>
        <v>3600.8600000000115</v>
      </c>
      <c r="BE259" s="107">
        <f t="shared" si="271"/>
        <v>174.28620000000026</v>
      </c>
      <c r="BF259" s="127"/>
      <c r="BG259" s="127"/>
      <c r="BI259" s="127"/>
      <c r="BJ259" s="127"/>
      <c r="BK259" s="127"/>
      <c r="BL259" s="127"/>
      <c r="BM259" s="127"/>
      <c r="BN259" s="127"/>
      <c r="BO259" s="127"/>
      <c r="BP259" s="127"/>
      <c r="BQ259" s="127"/>
      <c r="BR259" s="127"/>
      <c r="BS259" s="127"/>
      <c r="BT259" s="127"/>
      <c r="BU259" s="127"/>
      <c r="BV259" s="127"/>
    </row>
    <row r="260" spans="1:75" ht="22.5" hidden="1" x14ac:dyDescent="0.2">
      <c r="A260" s="123" t="str">
        <f>'[2]2021 УГРЦТ'!A262</f>
        <v>КЛ Кабельная линия от ТП10 Масл-д до ТП-12  1998г.</v>
      </c>
      <c r="B260" s="124" t="str">
        <f>'[2]2021 УГРЦТ'!B262</f>
        <v>00000259</v>
      </c>
      <c r="C260" s="124" t="str">
        <f>VLOOKUP(A:A,'2023-2027'!A:L,1,+FALSE)</f>
        <v>КЛ Кабельная линия от ТП10 Масл-д до ТП-12  1998г.</v>
      </c>
      <c r="D260" s="124" t="str">
        <f>'[2]2021 УГРЦТ'!C262</f>
        <v>ПЕРЕДАЧА</v>
      </c>
      <c r="E260" s="124" t="str">
        <f>'[2]2021 УГРЦТ'!D262</f>
        <v>Сооружения</v>
      </c>
      <c r="F260" s="124" t="str">
        <f>'[2]2021 УГРЦТ'!E262</f>
        <v>01.09.1998</v>
      </c>
      <c r="G260" s="124" t="str">
        <f>'[2]2021 УГРЦТ'!F262</f>
        <v>Цех электрических сетей</v>
      </c>
      <c r="H260" s="124">
        <f>'[2]2021 УГРЦТ'!AC262</f>
        <v>300</v>
      </c>
      <c r="I260" s="107">
        <f>'[2]2021 УГРЦТ'!X262</f>
        <v>29010.3</v>
      </c>
      <c r="J260" s="107">
        <f>'[2]2021 УГРЦТ'!Y262</f>
        <v>23208.022000000001</v>
      </c>
      <c r="K260" s="107">
        <f>'[2]2021 УГРЦТ'!Z262</f>
        <v>5802.2779999999984</v>
      </c>
      <c r="L260" s="125" t="e">
        <f>SUMIF([2]облаг!$B$2:$B$259,B260,[2]облаг!$D$2:$D$259)</f>
        <v>#VALUE!</v>
      </c>
      <c r="M260" s="107">
        <f t="shared" si="202"/>
        <v>96.700999999999993</v>
      </c>
      <c r="N260" s="107">
        <f t="shared" si="203"/>
        <v>1160.4119999999998</v>
      </c>
      <c r="O260" s="107">
        <f t="shared" si="204"/>
        <v>5705.5769999999984</v>
      </c>
      <c r="P260" s="107">
        <f t="shared" si="205"/>
        <v>5608.8759999999984</v>
      </c>
      <c r="Q260" s="107">
        <f t="shared" si="221"/>
        <v>5512.1749999999984</v>
      </c>
      <c r="R260" s="107">
        <f t="shared" si="222"/>
        <v>5415.4739999999983</v>
      </c>
      <c r="S260" s="107">
        <f t="shared" si="223"/>
        <v>5318.7729999999983</v>
      </c>
      <c r="T260" s="107">
        <f t="shared" si="224"/>
        <v>5222.0719999999983</v>
      </c>
      <c r="U260" s="107">
        <f t="shared" si="225"/>
        <v>5125.3709999999983</v>
      </c>
      <c r="V260" s="107">
        <f t="shared" si="226"/>
        <v>5028.6699999999983</v>
      </c>
      <c r="W260" s="107">
        <f t="shared" si="227"/>
        <v>4931.9689999999982</v>
      </c>
      <c r="X260" s="107">
        <f t="shared" si="228"/>
        <v>4835.2679999999982</v>
      </c>
      <c r="Y260" s="107">
        <f t="shared" si="229"/>
        <v>4738.5669999999982</v>
      </c>
      <c r="Z260" s="107">
        <f t="shared" si="230"/>
        <v>4641.8659999999982</v>
      </c>
      <c r="AA260" s="107">
        <f t="shared" si="264"/>
        <v>114.88558399999998</v>
      </c>
      <c r="AB260" s="107"/>
      <c r="AC260" s="107">
        <f t="shared" si="242"/>
        <v>1160.4119999999998</v>
      </c>
      <c r="AD260" s="107">
        <f t="shared" si="231"/>
        <v>4545.1649999999981</v>
      </c>
      <c r="AE260" s="107">
        <f t="shared" si="232"/>
        <v>4448.4639999999981</v>
      </c>
      <c r="AF260" s="107">
        <f t="shared" si="233"/>
        <v>4351.7629999999981</v>
      </c>
      <c r="AG260" s="107">
        <f t="shared" si="234"/>
        <v>4255.0619999999981</v>
      </c>
      <c r="AH260" s="107">
        <f t="shared" si="235"/>
        <v>4158.3609999999981</v>
      </c>
      <c r="AI260" s="107">
        <f t="shared" si="236"/>
        <v>4061.659999999998</v>
      </c>
      <c r="AJ260" s="107">
        <f t="shared" si="237"/>
        <v>3964.958999999998</v>
      </c>
      <c r="AK260" s="107">
        <f t="shared" si="238"/>
        <v>3868.257999999998</v>
      </c>
      <c r="AL260" s="107">
        <f t="shared" si="239"/>
        <v>3771.556999999998</v>
      </c>
      <c r="AM260" s="107">
        <f t="shared" si="240"/>
        <v>3674.8559999999979</v>
      </c>
      <c r="AN260" s="107">
        <f t="shared" si="241"/>
        <v>3578.1549999999979</v>
      </c>
      <c r="AO260" s="107">
        <f t="shared" si="243"/>
        <v>3481.4539999999979</v>
      </c>
      <c r="AP260" s="107">
        <f t="shared" si="265"/>
        <v>89.356519999999975</v>
      </c>
      <c r="AQ260" s="126"/>
      <c r="AR260" s="107">
        <f t="shared" si="244"/>
        <v>1160.4119999999998</v>
      </c>
      <c r="AS260" s="107">
        <f t="shared" si="257"/>
        <v>3384.7529999999979</v>
      </c>
      <c r="AT260" s="107">
        <f t="shared" si="258"/>
        <v>3288.0519999999979</v>
      </c>
      <c r="AU260" s="107">
        <f t="shared" si="259"/>
        <v>3191.3509999999978</v>
      </c>
      <c r="AV260" s="107">
        <f t="shared" si="260"/>
        <v>3094.6499999999978</v>
      </c>
      <c r="AW260" s="107">
        <f t="shared" si="261"/>
        <v>2997.9489999999978</v>
      </c>
      <c r="AX260" s="107">
        <f t="shared" si="262"/>
        <v>2901.2479999999978</v>
      </c>
      <c r="AY260" s="107">
        <f t="shared" si="263"/>
        <v>2804.5469999999978</v>
      </c>
      <c r="AZ260" s="107">
        <f t="shared" si="266"/>
        <v>2707.8459999999977</v>
      </c>
      <c r="BA260" s="107">
        <f t="shared" si="267"/>
        <v>2611.1449999999977</v>
      </c>
      <c r="BB260" s="107">
        <f t="shared" si="268"/>
        <v>2514.4439999999977</v>
      </c>
      <c r="BC260" s="107">
        <f t="shared" si="269"/>
        <v>2417.7429999999977</v>
      </c>
      <c r="BD260" s="107">
        <f t="shared" si="270"/>
        <v>2321.0419999999976</v>
      </c>
      <c r="BE260" s="107">
        <f t="shared" si="271"/>
        <v>63.827455999999948</v>
      </c>
      <c r="BF260" s="127"/>
      <c r="BG260" s="127"/>
      <c r="BH260" s="127"/>
      <c r="BI260" s="127"/>
      <c r="BJ260" s="127"/>
      <c r="BK260" s="127"/>
      <c r="BL260" s="127"/>
      <c r="BM260" s="127"/>
      <c r="BN260" s="127"/>
      <c r="BO260" s="127"/>
      <c r="BP260" s="127"/>
      <c r="BQ260" s="127"/>
      <c r="BR260" s="127"/>
      <c r="BS260" s="127"/>
      <c r="BT260" s="127"/>
      <c r="BU260" s="127"/>
      <c r="BV260" s="127"/>
      <c r="BW260" s="127"/>
    </row>
    <row r="261" spans="1:75" ht="22.5" hidden="1" x14ac:dyDescent="0.2">
      <c r="A261" s="123" t="str">
        <f>'[2]2021 УГРЦТ'!A263</f>
        <v>КЛ-0,4 кВ от ТП №108 до гаражей КОС</v>
      </c>
      <c r="B261" s="124" t="str">
        <f>'[2]2021 УГРЦТ'!B263</f>
        <v>000001649</v>
      </c>
      <c r="C261" s="124" t="str">
        <f>VLOOKUP(A:A,'2023-2027'!A:L,1,+FALSE)</f>
        <v>КЛ-0,4 кВ от ТП №108 до гаражей КОС</v>
      </c>
      <c r="D261" s="124" t="str">
        <f>'[2]2021 УГРЦТ'!C263</f>
        <v>ПЕРЕДАЧА</v>
      </c>
      <c r="E261" s="124" t="str">
        <f>'[2]2021 УГРЦТ'!D263</f>
        <v>Сооружения</v>
      </c>
      <c r="F261" s="124" t="str">
        <f>'[2]2021 УГРЦТ'!E263</f>
        <v>31.12.2014</v>
      </c>
      <c r="G261" s="124" t="str">
        <f>'[2]2021 УГРЦТ'!F263</f>
        <v>Цех электрических сетей</v>
      </c>
      <c r="H261" s="124">
        <f>'[2]2021 УГРЦТ'!AC263</f>
        <v>300</v>
      </c>
      <c r="I261" s="107">
        <f>'[2]2021 УГРЦТ'!X263</f>
        <v>1587345.72</v>
      </c>
      <c r="J261" s="107">
        <f>'[2]2021 УГРЦТ'!Y263</f>
        <v>444456.62880000001</v>
      </c>
      <c r="K261" s="107">
        <f>'[2]2021 УГРЦТ'!Z263</f>
        <v>1142889.0911999999</v>
      </c>
      <c r="L261" s="125" t="e">
        <f>SUMIF([2]облаг!$B$2:$B$259,B261,[2]облаг!$D$2:$D$259)</f>
        <v>#VALUE!</v>
      </c>
      <c r="M261" s="107">
        <f t="shared" si="202"/>
        <v>5291.1523999999999</v>
      </c>
      <c r="N261" s="107">
        <f t="shared" si="203"/>
        <v>63493.828800000003</v>
      </c>
      <c r="O261" s="107">
        <f t="shared" si="204"/>
        <v>1137597.9387999999</v>
      </c>
      <c r="P261" s="107">
        <f t="shared" si="205"/>
        <v>1132306.7863999999</v>
      </c>
      <c r="Q261" s="107">
        <f t="shared" si="221"/>
        <v>1127015.6339999998</v>
      </c>
      <c r="R261" s="107">
        <f t="shared" si="222"/>
        <v>1121724.4815999998</v>
      </c>
      <c r="S261" s="107">
        <f t="shared" si="223"/>
        <v>1116433.3291999998</v>
      </c>
      <c r="T261" s="107">
        <f t="shared" si="224"/>
        <v>1111142.1767999998</v>
      </c>
      <c r="U261" s="107">
        <f t="shared" si="225"/>
        <v>1105851.0243999998</v>
      </c>
      <c r="V261" s="107">
        <f t="shared" si="226"/>
        <v>1100559.8719999997</v>
      </c>
      <c r="W261" s="107">
        <f t="shared" si="227"/>
        <v>1095268.7195999997</v>
      </c>
      <c r="X261" s="107">
        <f t="shared" si="228"/>
        <v>1089977.5671999997</v>
      </c>
      <c r="Y261" s="107">
        <f t="shared" si="229"/>
        <v>1084686.4147999997</v>
      </c>
      <c r="Z261" s="107">
        <f t="shared" si="230"/>
        <v>1079395.2623999997</v>
      </c>
      <c r="AA261" s="107">
        <f t="shared" si="264"/>
        <v>24445.127889599993</v>
      </c>
      <c r="AB261" s="107"/>
      <c r="AC261" s="107">
        <f t="shared" si="242"/>
        <v>63493.828800000003</v>
      </c>
      <c r="AD261" s="107">
        <f t="shared" si="231"/>
        <v>1074104.1099999996</v>
      </c>
      <c r="AE261" s="107">
        <f t="shared" si="232"/>
        <v>1068812.9575999996</v>
      </c>
      <c r="AF261" s="107">
        <f t="shared" si="233"/>
        <v>1063521.8051999996</v>
      </c>
      <c r="AG261" s="107">
        <f t="shared" si="234"/>
        <v>1058230.6527999996</v>
      </c>
      <c r="AH261" s="107">
        <f t="shared" si="235"/>
        <v>1052939.5003999996</v>
      </c>
      <c r="AI261" s="107">
        <f t="shared" si="236"/>
        <v>1047648.3479999995</v>
      </c>
      <c r="AJ261" s="107">
        <f t="shared" si="237"/>
        <v>1042357.1955999995</v>
      </c>
      <c r="AK261" s="107">
        <f t="shared" si="238"/>
        <v>1037066.0431999995</v>
      </c>
      <c r="AL261" s="107">
        <f t="shared" si="239"/>
        <v>1031774.8907999995</v>
      </c>
      <c r="AM261" s="107">
        <f t="shared" si="240"/>
        <v>1026483.7383999994</v>
      </c>
      <c r="AN261" s="107">
        <f t="shared" si="241"/>
        <v>1021192.5859999994</v>
      </c>
      <c r="AO261" s="107">
        <f t="shared" si="243"/>
        <v>1015901.4335999994</v>
      </c>
      <c r="AP261" s="107">
        <f t="shared" si="265"/>
        <v>23048.263655999985</v>
      </c>
      <c r="AQ261" s="126"/>
      <c r="AR261" s="107">
        <f t="shared" si="244"/>
        <v>63493.828800000003</v>
      </c>
      <c r="AS261" s="107">
        <f t="shared" si="257"/>
        <v>1010610.2811999994</v>
      </c>
      <c r="AT261" s="107">
        <f t="shared" si="258"/>
        <v>1005319.1287999994</v>
      </c>
      <c r="AU261" s="107">
        <f t="shared" si="259"/>
        <v>1000027.9763999993</v>
      </c>
      <c r="AV261" s="107">
        <f t="shared" si="260"/>
        <v>994736.82399999932</v>
      </c>
      <c r="AW261" s="107">
        <f t="shared" si="261"/>
        <v>989445.6715999993</v>
      </c>
      <c r="AX261" s="107">
        <f t="shared" si="262"/>
        <v>984154.51919999928</v>
      </c>
      <c r="AY261" s="107">
        <f t="shared" si="263"/>
        <v>978863.36679999926</v>
      </c>
      <c r="AZ261" s="107">
        <f t="shared" si="266"/>
        <v>973572.21439999924</v>
      </c>
      <c r="BA261" s="107">
        <f t="shared" si="267"/>
        <v>968281.06199999922</v>
      </c>
      <c r="BB261" s="107">
        <f t="shared" si="268"/>
        <v>962989.9095999992</v>
      </c>
      <c r="BC261" s="107">
        <f t="shared" si="269"/>
        <v>957698.75719999918</v>
      </c>
      <c r="BD261" s="107">
        <f t="shared" si="270"/>
        <v>952407.60479999916</v>
      </c>
      <c r="BE261" s="107">
        <f t="shared" si="271"/>
        <v>21651.39942239998</v>
      </c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</row>
    <row r="262" spans="1:75" ht="33.75" hidden="1" x14ac:dyDescent="0.2">
      <c r="A262" s="123" t="str">
        <f>'[2]2021 УГРЦТ'!A264</f>
        <v>КЛ-0,4 кВ от ТП №108 до телерадиовещательной компании</v>
      </c>
      <c r="B262" s="124" t="str">
        <f>'[2]2021 УГРЦТ'!B264</f>
        <v>000001650</v>
      </c>
      <c r="C262" s="124" t="str">
        <f>VLOOKUP(A:A,'2023-2027'!A:L,1,+FALSE)</f>
        <v>КЛ-0,4 кВ от ТП №108 до телерадиовещательной компании</v>
      </c>
      <c r="D262" s="124" t="str">
        <f>'[2]2021 УГРЦТ'!C264</f>
        <v>ПЕРЕДАЧА</v>
      </c>
      <c r="E262" s="124" t="str">
        <f>'[2]2021 УГРЦТ'!D264</f>
        <v>Сооружения</v>
      </c>
      <c r="F262" s="124" t="str">
        <f>'[2]2021 УГРЦТ'!E264</f>
        <v>31.12.2014</v>
      </c>
      <c r="G262" s="124" t="str">
        <f>'[2]2021 УГРЦТ'!F264</f>
        <v>Цех электрических сетей</v>
      </c>
      <c r="H262" s="124">
        <f>'[2]2021 УГРЦТ'!AC264</f>
        <v>300</v>
      </c>
      <c r="I262" s="107">
        <f>'[2]2021 УГРЦТ'!X264</f>
        <v>696158.11</v>
      </c>
      <c r="J262" s="107">
        <f>'[2]2021 УГРЦТ'!Y264</f>
        <v>194924.48439999999</v>
      </c>
      <c r="K262" s="107">
        <f>'[2]2021 УГРЦТ'!Z264</f>
        <v>501233.62560000003</v>
      </c>
      <c r="L262" s="125" t="e">
        <f>SUMIF([2]облаг!$B$2:$B$259,B262,[2]облаг!$D$2:$D$259)</f>
        <v>#VALUE!</v>
      </c>
      <c r="M262" s="107">
        <f t="shared" ref="M262:M325" si="272">I262/H262</f>
        <v>2320.5270333333333</v>
      </c>
      <c r="N262" s="107">
        <f t="shared" ref="N262:N325" si="273">M262*12</f>
        <v>27846.324399999998</v>
      </c>
      <c r="O262" s="107">
        <f t="shared" ref="O262:O325" si="274">K262-M262</f>
        <v>498913.09856666671</v>
      </c>
      <c r="P262" s="107">
        <f t="shared" ref="P262:P325" si="275">O262-M262</f>
        <v>496592.57153333339</v>
      </c>
      <c r="Q262" s="107">
        <f t="shared" si="221"/>
        <v>494272.04450000008</v>
      </c>
      <c r="R262" s="107">
        <f t="shared" si="222"/>
        <v>491951.51746666676</v>
      </c>
      <c r="S262" s="107">
        <f t="shared" si="223"/>
        <v>489630.99043333344</v>
      </c>
      <c r="T262" s="107">
        <f t="shared" si="224"/>
        <v>487310.46340000012</v>
      </c>
      <c r="U262" s="107">
        <f t="shared" si="225"/>
        <v>484989.93636666681</v>
      </c>
      <c r="V262" s="107">
        <f t="shared" si="226"/>
        <v>482669.40933333349</v>
      </c>
      <c r="W262" s="107">
        <f t="shared" si="227"/>
        <v>480348.88230000017</v>
      </c>
      <c r="X262" s="107">
        <f t="shared" si="228"/>
        <v>478028.35526666685</v>
      </c>
      <c r="Y262" s="107">
        <f t="shared" si="229"/>
        <v>475707.82823333354</v>
      </c>
      <c r="Z262" s="107">
        <f t="shared" si="230"/>
        <v>473387.30120000022</v>
      </c>
      <c r="AA262" s="107">
        <f t="shared" si="264"/>
        <v>10720.830194800003</v>
      </c>
      <c r="AB262" s="107"/>
      <c r="AC262" s="107">
        <f t="shared" si="242"/>
        <v>27846.324399999998</v>
      </c>
      <c r="AD262" s="107">
        <f t="shared" si="231"/>
        <v>471066.7741666669</v>
      </c>
      <c r="AE262" s="107">
        <f t="shared" si="232"/>
        <v>468746.24713333359</v>
      </c>
      <c r="AF262" s="107">
        <f t="shared" si="233"/>
        <v>466425.72010000027</v>
      </c>
      <c r="AG262" s="107">
        <f t="shared" si="234"/>
        <v>464105.19306666695</v>
      </c>
      <c r="AH262" s="107">
        <f t="shared" si="235"/>
        <v>461784.66603333363</v>
      </c>
      <c r="AI262" s="107">
        <f t="shared" si="236"/>
        <v>459464.13900000032</v>
      </c>
      <c r="AJ262" s="107">
        <f t="shared" si="237"/>
        <v>457143.611966667</v>
      </c>
      <c r="AK262" s="107">
        <f t="shared" si="238"/>
        <v>454823.08493333368</v>
      </c>
      <c r="AL262" s="107">
        <f t="shared" si="239"/>
        <v>452502.55790000036</v>
      </c>
      <c r="AM262" s="107">
        <f t="shared" si="240"/>
        <v>450182.03086666705</v>
      </c>
      <c r="AN262" s="107">
        <f t="shared" si="241"/>
        <v>447861.50383333373</v>
      </c>
      <c r="AO262" s="107">
        <f t="shared" si="243"/>
        <v>445540.97680000041</v>
      </c>
      <c r="AP262" s="107">
        <f t="shared" si="265"/>
        <v>10108.211058000008</v>
      </c>
      <c r="AQ262" s="126"/>
      <c r="AR262" s="107">
        <f t="shared" si="244"/>
        <v>27846.324399999998</v>
      </c>
      <c r="AS262" s="107">
        <f t="shared" si="257"/>
        <v>443220.44976666709</v>
      </c>
      <c r="AT262" s="107">
        <f t="shared" si="258"/>
        <v>440899.92273333378</v>
      </c>
      <c r="AU262" s="107">
        <f t="shared" si="259"/>
        <v>438579.39570000046</v>
      </c>
      <c r="AV262" s="107">
        <f t="shared" si="260"/>
        <v>436258.86866666714</v>
      </c>
      <c r="AW262" s="107">
        <f t="shared" si="261"/>
        <v>433938.34163333382</v>
      </c>
      <c r="AX262" s="107">
        <f t="shared" si="262"/>
        <v>431617.81460000051</v>
      </c>
      <c r="AY262" s="107">
        <f t="shared" si="263"/>
        <v>429297.28756666719</v>
      </c>
      <c r="AZ262" s="107">
        <f t="shared" si="266"/>
        <v>426976.76053333387</v>
      </c>
      <c r="BA262" s="107">
        <f t="shared" si="267"/>
        <v>424656.23350000056</v>
      </c>
      <c r="BB262" s="107">
        <f t="shared" si="268"/>
        <v>422335.70646666724</v>
      </c>
      <c r="BC262" s="107">
        <f t="shared" si="269"/>
        <v>420015.17943333392</v>
      </c>
      <c r="BD262" s="107">
        <f t="shared" si="270"/>
        <v>417694.6524000006</v>
      </c>
      <c r="BE262" s="107">
        <f t="shared" si="271"/>
        <v>9495.5919212000099</v>
      </c>
      <c r="BF262" s="127"/>
      <c r="BG262" s="127"/>
      <c r="BH262" s="127"/>
      <c r="BI262" s="127"/>
      <c r="BJ262" s="127"/>
      <c r="BK262" s="127"/>
      <c r="BL262" s="127"/>
      <c r="BM262" s="127"/>
      <c r="BN262" s="127"/>
      <c r="BO262" s="127"/>
      <c r="BP262" s="127"/>
      <c r="BQ262" s="127"/>
      <c r="BR262" s="127"/>
      <c r="BS262" s="127"/>
      <c r="BT262" s="127"/>
      <c r="BU262" s="127"/>
      <c r="BV262" s="127"/>
      <c r="BW262" s="127"/>
    </row>
    <row r="263" spans="1:75" ht="33.75" hidden="1" x14ac:dyDescent="0.2">
      <c r="A263" s="123" t="str">
        <f>'[2]2021 УГРЦТ'!A265</f>
        <v>КЛ-0,4 кВ электроснабжение объекта "Ненецкая СББЖ г.Нарьян-Мара"</v>
      </c>
      <c r="B263" s="124" t="str">
        <f>'[2]2021 УГРЦТ'!B265</f>
        <v>000001671</v>
      </c>
      <c r="C263" s="124" t="str">
        <f>VLOOKUP(A:A,'2023-2027'!A:L,1,+FALSE)</f>
        <v>КЛ-0,4 кВ электроснабжение объекта "Ненецкая СББЖ г.Нарьян-Мара"</v>
      </c>
      <c r="D263" s="124" t="str">
        <f>'[2]2021 УГРЦТ'!C265</f>
        <v>ПЕРЕДАЧА</v>
      </c>
      <c r="E263" s="124" t="str">
        <f>'[2]2021 УГРЦТ'!D265</f>
        <v>Сооружения</v>
      </c>
      <c r="F263" s="124" t="str">
        <f>'[2]2021 УГРЦТ'!E265</f>
        <v>31.12.2015</v>
      </c>
      <c r="G263" s="124" t="str">
        <f>'[2]2021 УГРЦТ'!F265</f>
        <v>Цех электрических сетей</v>
      </c>
      <c r="H263" s="124">
        <f>'[2]2021 УГРЦТ'!AC265</f>
        <v>300</v>
      </c>
      <c r="I263" s="107">
        <v>1216470.52</v>
      </c>
      <c r="J263" s="107">
        <v>291952.82079999999</v>
      </c>
      <c r="K263" s="107">
        <v>924517.69920000003</v>
      </c>
      <c r="L263" s="125" t="e">
        <f>SUMIF([2]облаг!$B$2:$B$259,B263,[2]облаг!$D$2:$D$259)</f>
        <v>#VALUE!</v>
      </c>
      <c r="M263" s="107">
        <f t="shared" si="272"/>
        <v>4054.9017333333336</v>
      </c>
      <c r="N263" s="107">
        <f t="shared" si="273"/>
        <v>48658.820800000001</v>
      </c>
      <c r="O263" s="107">
        <f t="shared" si="274"/>
        <v>920462.79746666667</v>
      </c>
      <c r="P263" s="107">
        <f t="shared" si="275"/>
        <v>916407.89573333331</v>
      </c>
      <c r="Q263" s="107">
        <f t="shared" si="221"/>
        <v>912352.99399999995</v>
      </c>
      <c r="R263" s="107">
        <f t="shared" si="222"/>
        <v>908298.09226666659</v>
      </c>
      <c r="S263" s="107">
        <f t="shared" si="223"/>
        <v>904243.19053333323</v>
      </c>
      <c r="T263" s="107">
        <f t="shared" si="224"/>
        <v>900188.28879999986</v>
      </c>
      <c r="U263" s="107">
        <f t="shared" si="225"/>
        <v>896133.3870666665</v>
      </c>
      <c r="V263" s="107">
        <f t="shared" si="226"/>
        <v>892078.48533333314</v>
      </c>
      <c r="W263" s="107">
        <f t="shared" si="227"/>
        <v>888023.58359999978</v>
      </c>
      <c r="X263" s="107">
        <f t="shared" si="228"/>
        <v>883968.68186666642</v>
      </c>
      <c r="Y263" s="107">
        <f t="shared" si="229"/>
        <v>879913.78013333306</v>
      </c>
      <c r="Z263" s="107">
        <f t="shared" si="230"/>
        <v>875858.8783999997</v>
      </c>
      <c r="AA263" s="107">
        <f t="shared" si="264"/>
        <v>19804.142353599997</v>
      </c>
      <c r="AB263" s="107"/>
      <c r="AC263" s="107">
        <f t="shared" si="242"/>
        <v>48658.820800000001</v>
      </c>
      <c r="AD263" s="107">
        <f t="shared" si="231"/>
        <v>871803.97666666633</v>
      </c>
      <c r="AE263" s="107">
        <f t="shared" si="232"/>
        <v>867749.07493333297</v>
      </c>
      <c r="AF263" s="107">
        <f t="shared" si="233"/>
        <v>863694.17319999961</v>
      </c>
      <c r="AG263" s="107">
        <f t="shared" si="234"/>
        <v>859639.27146666625</v>
      </c>
      <c r="AH263" s="107">
        <f t="shared" si="235"/>
        <v>855584.36973333289</v>
      </c>
      <c r="AI263" s="107">
        <f t="shared" si="236"/>
        <v>851529.46799999953</v>
      </c>
      <c r="AJ263" s="107">
        <f t="shared" si="237"/>
        <v>847474.56626666617</v>
      </c>
      <c r="AK263" s="107">
        <f t="shared" si="238"/>
        <v>843419.66453333281</v>
      </c>
      <c r="AL263" s="107">
        <f t="shared" si="239"/>
        <v>839364.76279999944</v>
      </c>
      <c r="AM263" s="107">
        <f t="shared" si="240"/>
        <v>835309.86106666608</v>
      </c>
      <c r="AN263" s="107">
        <f t="shared" si="241"/>
        <v>831254.95933333272</v>
      </c>
      <c r="AO263" s="107">
        <f t="shared" si="243"/>
        <v>827200.05759999936</v>
      </c>
      <c r="AP263" s="107">
        <f t="shared" si="265"/>
        <v>18733.648295999988</v>
      </c>
      <c r="AQ263" s="126"/>
      <c r="AR263" s="107">
        <f t="shared" si="244"/>
        <v>48658.820800000001</v>
      </c>
      <c r="AS263" s="107">
        <f t="shared" si="257"/>
        <v>823145.155866666</v>
      </c>
      <c r="AT263" s="107">
        <f t="shared" si="258"/>
        <v>819090.25413333264</v>
      </c>
      <c r="AU263" s="107">
        <f t="shared" si="259"/>
        <v>815035.35239999928</v>
      </c>
      <c r="AV263" s="107">
        <f t="shared" si="260"/>
        <v>810980.45066666591</v>
      </c>
      <c r="AW263" s="107">
        <f t="shared" si="261"/>
        <v>806925.54893333255</v>
      </c>
      <c r="AX263" s="107">
        <f t="shared" si="262"/>
        <v>802870.64719999919</v>
      </c>
      <c r="AY263" s="107">
        <f t="shared" si="263"/>
        <v>798815.74546666583</v>
      </c>
      <c r="AZ263" s="107">
        <f t="shared" si="266"/>
        <v>794760.84373333247</v>
      </c>
      <c r="BA263" s="107">
        <f t="shared" si="267"/>
        <v>790705.94199999911</v>
      </c>
      <c r="BB263" s="107">
        <f t="shared" si="268"/>
        <v>786651.04026666575</v>
      </c>
      <c r="BC263" s="107">
        <f t="shared" si="269"/>
        <v>782596.13853333239</v>
      </c>
      <c r="BD263" s="107">
        <f t="shared" si="270"/>
        <v>778541.23679999902</v>
      </c>
      <c r="BE263" s="107">
        <f t="shared" si="271"/>
        <v>17663.15423839998</v>
      </c>
      <c r="BF263" s="127"/>
      <c r="BG263" s="127"/>
      <c r="BH263" s="127"/>
      <c r="BI263" s="127"/>
      <c r="BJ263" s="127"/>
      <c r="BK263" s="127"/>
      <c r="BL263" s="127"/>
      <c r="BM263" s="127"/>
      <c r="BN263" s="127"/>
      <c r="BO263" s="127"/>
      <c r="BP263" s="127"/>
      <c r="BQ263" s="127"/>
      <c r="BR263" s="127"/>
      <c r="BS263" s="127"/>
      <c r="BT263" s="127"/>
      <c r="BU263" s="127"/>
      <c r="BV263" s="127"/>
      <c r="BW263" s="127"/>
    </row>
    <row r="264" spans="1:75" ht="22.5" hidden="1" x14ac:dyDescent="0.2">
      <c r="A264" s="123" t="str">
        <f>'[2]2021 УГРЦТ'!A266</f>
        <v>КЛ-0,4 кВ(от  ТП Бондарная до очистных) 40м</v>
      </c>
      <c r="B264" s="124" t="str">
        <f>'[2]2021 УГРЦТ'!B266</f>
        <v>00001222</v>
      </c>
      <c r="C264" s="124" t="str">
        <f>VLOOKUP(A:A,'2023-2027'!A:L,1,+FALSE)</f>
        <v>КЛ-0,4 кВ(от  ТП Бондарная до очистных) 40м</v>
      </c>
      <c r="D264" s="124" t="str">
        <f>'[2]2021 УГРЦТ'!C266</f>
        <v>ПЕРЕДАЧА</v>
      </c>
      <c r="E264" s="124" t="str">
        <f>'[2]2021 УГРЦТ'!D266</f>
        <v>Сооружения</v>
      </c>
      <c r="F264" s="124" t="str">
        <f>'[2]2021 УГРЦТ'!E266</f>
        <v>30.06.2010</v>
      </c>
      <c r="G264" s="124" t="str">
        <f>'[2]2021 УГРЦТ'!F266</f>
        <v>Цех электрических сетей</v>
      </c>
      <c r="H264" s="124">
        <f>'[2]2021 УГРЦТ'!AC266</f>
        <v>300</v>
      </c>
      <c r="I264" s="107">
        <f>'[2]2021 УГРЦТ'!X266</f>
        <v>28330.05</v>
      </c>
      <c r="J264" s="107">
        <f>'[2]2021 УГРЦТ'!Y266</f>
        <v>13031.382</v>
      </c>
      <c r="K264" s="107">
        <f>'[2]2021 УГРЦТ'!Z266</f>
        <v>15298.668</v>
      </c>
      <c r="L264" s="125" t="e">
        <f>SUMIF([2]облаг!$B$2:$B$259,B264,[2]облаг!$D$2:$D$259)</f>
        <v>#VALUE!</v>
      </c>
      <c r="M264" s="107">
        <f t="shared" si="272"/>
        <v>94.433499999999995</v>
      </c>
      <c r="N264" s="107">
        <f t="shared" si="273"/>
        <v>1133.202</v>
      </c>
      <c r="O264" s="107">
        <f t="shared" si="274"/>
        <v>15204.2345</v>
      </c>
      <c r="P264" s="107">
        <f t="shared" si="275"/>
        <v>15109.801000000001</v>
      </c>
      <c r="Q264" s="107">
        <f t="shared" si="221"/>
        <v>15015.367500000002</v>
      </c>
      <c r="R264" s="107">
        <f t="shared" si="222"/>
        <v>14920.934000000003</v>
      </c>
      <c r="S264" s="107">
        <f t="shared" si="223"/>
        <v>14826.500500000004</v>
      </c>
      <c r="T264" s="107">
        <f t="shared" si="224"/>
        <v>14732.067000000005</v>
      </c>
      <c r="U264" s="107">
        <f t="shared" si="225"/>
        <v>14637.633500000005</v>
      </c>
      <c r="V264" s="107">
        <f t="shared" si="226"/>
        <v>14543.200000000006</v>
      </c>
      <c r="W264" s="107">
        <f t="shared" si="227"/>
        <v>14448.766500000007</v>
      </c>
      <c r="X264" s="107">
        <f t="shared" si="228"/>
        <v>14354.333000000008</v>
      </c>
      <c r="Y264" s="107">
        <f t="shared" si="229"/>
        <v>14259.899500000009</v>
      </c>
      <c r="Z264" s="107">
        <f t="shared" si="230"/>
        <v>14165.466000000009</v>
      </c>
      <c r="AA264" s="107">
        <f t="shared" si="264"/>
        <v>324.10547400000013</v>
      </c>
      <c r="AB264" s="107"/>
      <c r="AC264" s="107">
        <f t="shared" si="242"/>
        <v>1133.202</v>
      </c>
      <c r="AD264" s="107">
        <f t="shared" si="231"/>
        <v>14071.03250000001</v>
      </c>
      <c r="AE264" s="107">
        <f t="shared" si="232"/>
        <v>13976.599000000011</v>
      </c>
      <c r="AF264" s="107">
        <f t="shared" si="233"/>
        <v>13882.165500000012</v>
      </c>
      <c r="AG264" s="107">
        <f t="shared" si="234"/>
        <v>13787.732000000013</v>
      </c>
      <c r="AH264" s="107">
        <f t="shared" si="235"/>
        <v>13693.298500000014</v>
      </c>
      <c r="AI264" s="107">
        <f t="shared" si="236"/>
        <v>13598.865000000014</v>
      </c>
      <c r="AJ264" s="107">
        <f t="shared" si="237"/>
        <v>13504.431500000015</v>
      </c>
      <c r="AK264" s="107">
        <f t="shared" si="238"/>
        <v>13409.998000000016</v>
      </c>
      <c r="AL264" s="107">
        <f t="shared" si="239"/>
        <v>13315.564500000017</v>
      </c>
      <c r="AM264" s="107">
        <f t="shared" si="240"/>
        <v>13221.131000000018</v>
      </c>
      <c r="AN264" s="107">
        <f t="shared" si="241"/>
        <v>13126.697500000018</v>
      </c>
      <c r="AO264" s="107">
        <f t="shared" si="243"/>
        <v>13032.264000000019</v>
      </c>
      <c r="AP264" s="107">
        <f t="shared" si="265"/>
        <v>299.17503000000033</v>
      </c>
      <c r="AQ264" s="126"/>
      <c r="AR264" s="107">
        <f t="shared" si="244"/>
        <v>1133.202</v>
      </c>
      <c r="AS264" s="107">
        <f t="shared" si="257"/>
        <v>12937.83050000002</v>
      </c>
      <c r="AT264" s="107">
        <f t="shared" si="258"/>
        <v>12843.397000000021</v>
      </c>
      <c r="AU264" s="107">
        <f t="shared" si="259"/>
        <v>12748.963500000022</v>
      </c>
      <c r="AV264" s="107">
        <f t="shared" si="260"/>
        <v>12654.530000000022</v>
      </c>
      <c r="AW264" s="107">
        <f t="shared" si="261"/>
        <v>12560.096500000023</v>
      </c>
      <c r="AX264" s="107">
        <f t="shared" si="262"/>
        <v>12465.663000000024</v>
      </c>
      <c r="AY264" s="107">
        <f t="shared" si="263"/>
        <v>12371.229500000025</v>
      </c>
      <c r="AZ264" s="107">
        <f t="shared" si="266"/>
        <v>12276.796000000026</v>
      </c>
      <c r="BA264" s="107">
        <f t="shared" si="267"/>
        <v>12182.362500000027</v>
      </c>
      <c r="BB264" s="107">
        <f t="shared" si="268"/>
        <v>12087.929000000027</v>
      </c>
      <c r="BC264" s="107">
        <f t="shared" si="269"/>
        <v>11993.495500000028</v>
      </c>
      <c r="BD264" s="107">
        <f t="shared" si="270"/>
        <v>11899.062000000029</v>
      </c>
      <c r="BE264" s="107">
        <f t="shared" si="271"/>
        <v>274.2445860000006</v>
      </c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</row>
    <row r="265" spans="1:75" ht="22.5" hidden="1" x14ac:dyDescent="0.2">
      <c r="A265" s="123" t="str">
        <f>'[2]2021 УГРЦТ'!A267</f>
        <v>КЛ-0,4кВ (от  ТП Бондарная до ЛЭП-0,4)  25м</v>
      </c>
      <c r="B265" s="124" t="str">
        <f>'[2]2021 УГРЦТ'!B267</f>
        <v>00001227</v>
      </c>
      <c r="C265" s="124" t="str">
        <f>VLOOKUP(A:A,'2023-2027'!A:L,1,+FALSE)</f>
        <v>КЛ-0,4кВ (от  ТП Бондарная до ЛЭП-0,4)  25м</v>
      </c>
      <c r="D265" s="124" t="str">
        <f>'[2]2021 УГРЦТ'!C267</f>
        <v>ПЕРЕДАЧА</v>
      </c>
      <c r="E265" s="124" t="str">
        <f>'[2]2021 УГРЦТ'!D267</f>
        <v>Сооружения</v>
      </c>
      <c r="F265" s="124" t="str">
        <f>'[2]2021 УГРЦТ'!E267</f>
        <v>30.06.2010</v>
      </c>
      <c r="G265" s="124" t="str">
        <f>'[2]2021 УГРЦТ'!F267</f>
        <v>Цех электрических сетей</v>
      </c>
      <c r="H265" s="124">
        <f>'[2]2021 УГРЦТ'!AC267</f>
        <v>300</v>
      </c>
      <c r="I265" s="107">
        <f>'[2]2021 УГРЦТ'!X267</f>
        <v>10494.92</v>
      </c>
      <c r="J265" s="107">
        <f>'[2]2021 УГРЦТ'!Y267</f>
        <v>4827.2767999999996</v>
      </c>
      <c r="K265" s="107">
        <f>'[2]2021 УГРЦТ'!Z267</f>
        <v>5667.6432000000004</v>
      </c>
      <c r="L265" s="125" t="e">
        <f>SUMIF([2]облаг!$B$2:$B$259,B265,[2]облаг!$D$2:$D$259)</f>
        <v>#VALUE!</v>
      </c>
      <c r="M265" s="107">
        <f t="shared" si="272"/>
        <v>34.983066666666666</v>
      </c>
      <c r="N265" s="107">
        <f t="shared" si="273"/>
        <v>419.79679999999996</v>
      </c>
      <c r="O265" s="107">
        <f t="shared" si="274"/>
        <v>5632.6601333333338</v>
      </c>
      <c r="P265" s="107">
        <f t="shared" si="275"/>
        <v>5597.6770666666671</v>
      </c>
      <c r="Q265" s="107">
        <f t="shared" si="221"/>
        <v>5562.6940000000004</v>
      </c>
      <c r="R265" s="107">
        <f t="shared" si="222"/>
        <v>5527.7109333333337</v>
      </c>
      <c r="S265" s="107">
        <f t="shared" si="223"/>
        <v>5492.7278666666671</v>
      </c>
      <c r="T265" s="107">
        <f t="shared" si="224"/>
        <v>5457.7448000000004</v>
      </c>
      <c r="U265" s="107">
        <f t="shared" si="225"/>
        <v>5422.7617333333337</v>
      </c>
      <c r="V265" s="107">
        <f t="shared" si="226"/>
        <v>5387.778666666667</v>
      </c>
      <c r="W265" s="107">
        <f t="shared" si="227"/>
        <v>5352.7956000000004</v>
      </c>
      <c r="X265" s="107">
        <f t="shared" si="228"/>
        <v>5317.8125333333337</v>
      </c>
      <c r="Y265" s="107">
        <f t="shared" si="229"/>
        <v>5282.829466666667</v>
      </c>
      <c r="Z265" s="107">
        <f t="shared" si="230"/>
        <v>5247.8464000000004</v>
      </c>
      <c r="AA265" s="107">
        <f t="shared" si="264"/>
        <v>120.07038560000001</v>
      </c>
      <c r="AB265" s="107"/>
      <c r="AC265" s="107">
        <f t="shared" si="242"/>
        <v>419.79679999999996</v>
      </c>
      <c r="AD265" s="107">
        <f t="shared" si="231"/>
        <v>5212.8633333333337</v>
      </c>
      <c r="AE265" s="107">
        <f t="shared" si="232"/>
        <v>5177.880266666667</v>
      </c>
      <c r="AF265" s="107">
        <f t="shared" si="233"/>
        <v>5142.8972000000003</v>
      </c>
      <c r="AG265" s="107">
        <f t="shared" si="234"/>
        <v>5107.9141333333337</v>
      </c>
      <c r="AH265" s="107">
        <f t="shared" si="235"/>
        <v>5072.931066666667</v>
      </c>
      <c r="AI265" s="107">
        <f t="shared" si="236"/>
        <v>5037.9480000000003</v>
      </c>
      <c r="AJ265" s="107">
        <f t="shared" si="237"/>
        <v>5002.9649333333336</v>
      </c>
      <c r="AK265" s="107">
        <f t="shared" si="238"/>
        <v>4967.981866666667</v>
      </c>
      <c r="AL265" s="107">
        <f t="shared" si="239"/>
        <v>4932.9988000000003</v>
      </c>
      <c r="AM265" s="107">
        <f t="shared" si="240"/>
        <v>4898.0157333333336</v>
      </c>
      <c r="AN265" s="107">
        <f t="shared" si="241"/>
        <v>4863.032666666667</v>
      </c>
      <c r="AO265" s="107">
        <f t="shared" si="243"/>
        <v>4828.0496000000003</v>
      </c>
      <c r="AP265" s="107">
        <f t="shared" si="265"/>
        <v>110.834856</v>
      </c>
      <c r="AQ265" s="126"/>
      <c r="AR265" s="107">
        <f t="shared" si="244"/>
        <v>419.79679999999996</v>
      </c>
      <c r="AS265" s="107">
        <f t="shared" si="257"/>
        <v>4793.0665333333336</v>
      </c>
      <c r="AT265" s="107">
        <f t="shared" si="258"/>
        <v>4758.0834666666669</v>
      </c>
      <c r="AU265" s="107">
        <f t="shared" si="259"/>
        <v>4723.1004000000003</v>
      </c>
      <c r="AV265" s="107">
        <f t="shared" si="260"/>
        <v>4688.1173333333336</v>
      </c>
      <c r="AW265" s="107">
        <f t="shared" si="261"/>
        <v>4653.1342666666669</v>
      </c>
      <c r="AX265" s="107">
        <f t="shared" si="262"/>
        <v>4618.1512000000002</v>
      </c>
      <c r="AY265" s="107">
        <f t="shared" si="263"/>
        <v>4583.1681333333336</v>
      </c>
      <c r="AZ265" s="107">
        <f t="shared" si="266"/>
        <v>4548.1850666666669</v>
      </c>
      <c r="BA265" s="107">
        <f t="shared" si="267"/>
        <v>4513.2020000000002</v>
      </c>
      <c r="BB265" s="107">
        <f t="shared" si="268"/>
        <v>4478.2189333333336</v>
      </c>
      <c r="BC265" s="107">
        <f t="shared" si="269"/>
        <v>4443.2358666666669</v>
      </c>
      <c r="BD265" s="107">
        <f t="shared" si="270"/>
        <v>4408.2528000000002</v>
      </c>
      <c r="BE265" s="107">
        <f t="shared" si="271"/>
        <v>101.59932639999998</v>
      </c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</row>
    <row r="266" spans="1:75" ht="22.5" hidden="1" x14ac:dyDescent="0.2">
      <c r="A266" s="123" t="str">
        <f>'[2]2021 УГРЦТ'!A268</f>
        <v>КЛ-0,4кВ (от ТП № 104  до КНС2)  ул. Авиаторов 2013г (450 м)</v>
      </c>
      <c r="B266" s="124" t="str">
        <f>'[2]2021 УГРЦТ'!B268</f>
        <v>000001613</v>
      </c>
      <c r="C266" s="124" t="str">
        <f>VLOOKUP(A:A,'2023-2027'!A:L,1,+FALSE)</f>
        <v>КЛ-0,4кВ (от ТП № 104  до КНС2)  ул. Авиаторов 2013г (450 м)</v>
      </c>
      <c r="D266" s="124" t="str">
        <f>'[2]2021 УГРЦТ'!C268</f>
        <v>ПЕРЕДАЧА</v>
      </c>
      <c r="E266" s="124" t="str">
        <f>'[2]2021 УГРЦТ'!D268</f>
        <v>Сооружения</v>
      </c>
      <c r="F266" s="124" t="str">
        <f>'[2]2021 УГРЦТ'!E268</f>
        <v>31.01.2014</v>
      </c>
      <c r="G266" s="124" t="str">
        <f>'[2]2021 УГРЦТ'!F268</f>
        <v>Цех электрических сетей</v>
      </c>
      <c r="H266" s="124">
        <f>'[2]2021 УГРЦТ'!AC268</f>
        <v>300</v>
      </c>
      <c r="I266" s="107">
        <f>'[2]2021 УГРЦТ'!X268</f>
        <v>1207827.9099999999</v>
      </c>
      <c r="J266" s="107">
        <f>'[2]2021 УГРЦТ'!Y268</f>
        <v>381492.66639999999</v>
      </c>
      <c r="K266" s="107">
        <f>'[2]2021 УГРЦТ'!Z268</f>
        <v>826335.24359999993</v>
      </c>
      <c r="L266" s="125" t="e">
        <f>SUMIF([2]облаг!$B$2:$B$259,B266,[2]облаг!$D$2:$D$259)</f>
        <v>#VALUE!</v>
      </c>
      <c r="M266" s="107">
        <f t="shared" si="272"/>
        <v>4026.0930333333331</v>
      </c>
      <c r="N266" s="107">
        <f t="shared" si="273"/>
        <v>48313.116399999999</v>
      </c>
      <c r="O266" s="107">
        <f t="shared" si="274"/>
        <v>822309.15056666662</v>
      </c>
      <c r="P266" s="107">
        <f t="shared" si="275"/>
        <v>818283.05753333331</v>
      </c>
      <c r="Q266" s="107">
        <f t="shared" si="221"/>
        <v>814256.9645</v>
      </c>
      <c r="R266" s="107">
        <f t="shared" si="222"/>
        <v>810230.87146666669</v>
      </c>
      <c r="S266" s="107">
        <f t="shared" si="223"/>
        <v>806204.77843333338</v>
      </c>
      <c r="T266" s="107">
        <f t="shared" si="224"/>
        <v>802178.68540000007</v>
      </c>
      <c r="U266" s="107">
        <f t="shared" si="225"/>
        <v>798152.59236666677</v>
      </c>
      <c r="V266" s="107">
        <f t="shared" si="226"/>
        <v>794126.49933333346</v>
      </c>
      <c r="W266" s="107">
        <f t="shared" si="227"/>
        <v>790100.40630000015</v>
      </c>
      <c r="X266" s="107">
        <f t="shared" si="228"/>
        <v>786074.31326666684</v>
      </c>
      <c r="Y266" s="107">
        <f t="shared" si="229"/>
        <v>782048.22023333353</v>
      </c>
      <c r="Z266" s="107">
        <f t="shared" si="230"/>
        <v>778022.12720000022</v>
      </c>
      <c r="AA266" s="107">
        <f t="shared" si="264"/>
        <v>17647.931078799997</v>
      </c>
      <c r="AB266" s="107"/>
      <c r="AC266" s="107">
        <f t="shared" si="242"/>
        <v>48313.116399999999</v>
      </c>
      <c r="AD266" s="107">
        <f t="shared" si="231"/>
        <v>773996.03416666691</v>
      </c>
      <c r="AE266" s="107">
        <f t="shared" si="232"/>
        <v>769969.9411333336</v>
      </c>
      <c r="AF266" s="107">
        <f t="shared" si="233"/>
        <v>765943.84810000029</v>
      </c>
      <c r="AG266" s="107">
        <f t="shared" si="234"/>
        <v>761917.75506666698</v>
      </c>
      <c r="AH266" s="107">
        <f t="shared" si="235"/>
        <v>757891.66203333368</v>
      </c>
      <c r="AI266" s="107">
        <f t="shared" si="236"/>
        <v>753865.56900000037</v>
      </c>
      <c r="AJ266" s="107">
        <f t="shared" si="237"/>
        <v>749839.47596666706</v>
      </c>
      <c r="AK266" s="107">
        <f t="shared" si="238"/>
        <v>745813.38293333375</v>
      </c>
      <c r="AL266" s="107">
        <f t="shared" si="239"/>
        <v>741787.28990000044</v>
      </c>
      <c r="AM266" s="107">
        <f t="shared" si="240"/>
        <v>737761.19686666713</v>
      </c>
      <c r="AN266" s="107">
        <f t="shared" si="241"/>
        <v>733735.10383333382</v>
      </c>
      <c r="AO266" s="107">
        <f t="shared" si="243"/>
        <v>729709.01080000051</v>
      </c>
      <c r="AP266" s="107">
        <f t="shared" si="265"/>
        <v>16585.042518000006</v>
      </c>
      <c r="AQ266" s="126"/>
      <c r="AR266" s="107">
        <f t="shared" si="244"/>
        <v>48313.116399999999</v>
      </c>
      <c r="AS266" s="107">
        <f t="shared" si="257"/>
        <v>725682.9177666672</v>
      </c>
      <c r="AT266" s="107">
        <f t="shared" si="258"/>
        <v>721656.82473333389</v>
      </c>
      <c r="AU266" s="107">
        <f t="shared" si="259"/>
        <v>717630.73170000059</v>
      </c>
      <c r="AV266" s="107">
        <f t="shared" si="260"/>
        <v>713604.63866666728</v>
      </c>
      <c r="AW266" s="107">
        <f t="shared" si="261"/>
        <v>709578.54563333397</v>
      </c>
      <c r="AX266" s="107">
        <f t="shared" si="262"/>
        <v>705552.45260000066</v>
      </c>
      <c r="AY266" s="107">
        <f t="shared" si="263"/>
        <v>701526.35956666735</v>
      </c>
      <c r="AZ266" s="107">
        <f t="shared" si="266"/>
        <v>697500.26653333404</v>
      </c>
      <c r="BA266" s="107">
        <f t="shared" si="267"/>
        <v>693474.17350000073</v>
      </c>
      <c r="BB266" s="107">
        <f t="shared" si="268"/>
        <v>689448.08046666742</v>
      </c>
      <c r="BC266" s="107">
        <f t="shared" si="269"/>
        <v>685421.98743333411</v>
      </c>
      <c r="BD266" s="107">
        <f t="shared" si="270"/>
        <v>681395.89440000081</v>
      </c>
      <c r="BE266" s="107">
        <f t="shared" si="271"/>
        <v>15522.153957200011</v>
      </c>
      <c r="BF266" s="127"/>
      <c r="BG266" s="127"/>
      <c r="BH266" s="127"/>
      <c r="BI266" s="127"/>
      <c r="BJ266" s="127"/>
      <c r="BK266" s="127"/>
      <c r="BL266" s="127"/>
      <c r="BM266" s="127"/>
      <c r="BN266" s="127"/>
      <c r="BO266" s="127"/>
      <c r="BP266" s="127"/>
      <c r="BQ266" s="127"/>
      <c r="BR266" s="127"/>
      <c r="BS266" s="127"/>
      <c r="BT266" s="127"/>
      <c r="BU266" s="127"/>
      <c r="BV266" s="127"/>
      <c r="BW266" s="127"/>
    </row>
    <row r="267" spans="1:75" ht="33.75" hidden="1" x14ac:dyDescent="0.2">
      <c r="A267" s="123" t="str">
        <f>'[2]2021 УГРЦТ'!A269</f>
        <v>КЛ-0,4кВ (от ТП № 104  до котельной)  ул. Авиаторов 2013г (50 м)</v>
      </c>
      <c r="B267" s="124" t="str">
        <f>'[2]2021 УГРЦТ'!B269</f>
        <v>000001612</v>
      </c>
      <c r="C267" s="124" t="str">
        <f>VLOOKUP(A:A,'2023-2027'!A:L,1,+FALSE)</f>
        <v>КЛ-0,4кВ (от ТП № 104  до котельной)  ул. Авиаторов 2013г (50 м)</v>
      </c>
      <c r="D267" s="124" t="str">
        <f>'[2]2021 УГРЦТ'!C269</f>
        <v>ПЕРЕДАЧА</v>
      </c>
      <c r="E267" s="124" t="str">
        <f>'[2]2021 УГРЦТ'!D269</f>
        <v>Сооружения</v>
      </c>
      <c r="F267" s="124" t="str">
        <f>'[2]2021 УГРЦТ'!E269</f>
        <v>31.01.2014</v>
      </c>
      <c r="G267" s="124" t="str">
        <f>'[2]2021 УГРЦТ'!F269</f>
        <v>Цех электрических сетей</v>
      </c>
      <c r="H267" s="124">
        <f>'[2]2021 УГРЦТ'!AC269</f>
        <v>300</v>
      </c>
      <c r="I267" s="107">
        <f>'[2]2021 УГРЦТ'!X269</f>
        <v>159632.63</v>
      </c>
      <c r="J267" s="107">
        <f>'[2]2021 УГРЦТ'!Y269</f>
        <v>53562.195200000002</v>
      </c>
      <c r="K267" s="107">
        <f>'[2]2021 УГРЦТ'!Z269</f>
        <v>106070.4348</v>
      </c>
      <c r="L267" s="125" t="e">
        <f>SUMIF([2]облаг!$B$2:$B$259,B267,[2]облаг!$D$2:$D$259)</f>
        <v>#VALUE!</v>
      </c>
      <c r="M267" s="107">
        <f t="shared" si="272"/>
        <v>532.10876666666672</v>
      </c>
      <c r="N267" s="107">
        <f t="shared" si="273"/>
        <v>6385.3052000000007</v>
      </c>
      <c r="O267" s="107">
        <f t="shared" si="274"/>
        <v>105538.32603333333</v>
      </c>
      <c r="P267" s="107">
        <f t="shared" si="275"/>
        <v>105006.21726666666</v>
      </c>
      <c r="Q267" s="107">
        <f t="shared" si="221"/>
        <v>104474.10849999999</v>
      </c>
      <c r="R267" s="107">
        <f t="shared" si="222"/>
        <v>103941.99973333332</v>
      </c>
      <c r="S267" s="107">
        <f t="shared" si="223"/>
        <v>103409.89096666664</v>
      </c>
      <c r="T267" s="107">
        <f t="shared" si="224"/>
        <v>102877.78219999997</v>
      </c>
      <c r="U267" s="107">
        <f t="shared" si="225"/>
        <v>102345.6734333333</v>
      </c>
      <c r="V267" s="107">
        <f t="shared" si="226"/>
        <v>101813.56466666663</v>
      </c>
      <c r="W267" s="107">
        <f t="shared" si="227"/>
        <v>101281.45589999996</v>
      </c>
      <c r="X267" s="107">
        <f t="shared" si="228"/>
        <v>100749.34713333329</v>
      </c>
      <c r="Y267" s="107">
        <f t="shared" si="229"/>
        <v>100217.23836666661</v>
      </c>
      <c r="Z267" s="107">
        <f t="shared" si="230"/>
        <v>99685.129599999942</v>
      </c>
      <c r="AA267" s="107">
        <f t="shared" si="264"/>
        <v>2263.311208399999</v>
      </c>
      <c r="AB267" s="107"/>
      <c r="AC267" s="107">
        <f t="shared" si="242"/>
        <v>6385.3052000000007</v>
      </c>
      <c r="AD267" s="107">
        <f t="shared" si="231"/>
        <v>99153.02083333327</v>
      </c>
      <c r="AE267" s="107">
        <f t="shared" si="232"/>
        <v>98620.912066666599</v>
      </c>
      <c r="AF267" s="107">
        <f t="shared" si="233"/>
        <v>98088.803299999927</v>
      </c>
      <c r="AG267" s="107">
        <f t="shared" si="234"/>
        <v>97556.694533333255</v>
      </c>
      <c r="AH267" s="107">
        <f t="shared" si="235"/>
        <v>97024.585766666583</v>
      </c>
      <c r="AI267" s="107">
        <f t="shared" si="236"/>
        <v>96492.476999999912</v>
      </c>
      <c r="AJ267" s="107">
        <f t="shared" si="237"/>
        <v>95960.36823333324</v>
      </c>
      <c r="AK267" s="107">
        <f t="shared" si="238"/>
        <v>95428.259466666568</v>
      </c>
      <c r="AL267" s="107">
        <f t="shared" si="239"/>
        <v>94896.150699999896</v>
      </c>
      <c r="AM267" s="107">
        <f t="shared" si="240"/>
        <v>94364.041933333225</v>
      </c>
      <c r="AN267" s="107">
        <f t="shared" si="241"/>
        <v>93831.933166666553</v>
      </c>
      <c r="AO267" s="107">
        <f t="shared" si="243"/>
        <v>93299.824399999881</v>
      </c>
      <c r="AP267" s="107">
        <f t="shared" si="265"/>
        <v>2122.8344939999974</v>
      </c>
      <c r="AQ267" s="126"/>
      <c r="AR267" s="107">
        <f t="shared" si="244"/>
        <v>6385.3052000000007</v>
      </c>
      <c r="AS267" s="107">
        <f t="shared" si="257"/>
        <v>92767.71563333321</v>
      </c>
      <c r="AT267" s="107">
        <f t="shared" si="258"/>
        <v>92235.606866666538</v>
      </c>
      <c r="AU267" s="107">
        <f t="shared" si="259"/>
        <v>91703.498099999866</v>
      </c>
      <c r="AV267" s="107">
        <f t="shared" si="260"/>
        <v>91171.389333333194</v>
      </c>
      <c r="AW267" s="107">
        <f t="shared" si="261"/>
        <v>90639.280566666523</v>
      </c>
      <c r="AX267" s="107">
        <f t="shared" si="262"/>
        <v>90107.171799999851</v>
      </c>
      <c r="AY267" s="107">
        <f t="shared" si="263"/>
        <v>89575.063033333179</v>
      </c>
      <c r="AZ267" s="107">
        <f t="shared" si="266"/>
        <v>89042.954266666507</v>
      </c>
      <c r="BA267" s="107">
        <f t="shared" si="267"/>
        <v>88510.845499999836</v>
      </c>
      <c r="BB267" s="107">
        <f t="shared" si="268"/>
        <v>87978.736733333164</v>
      </c>
      <c r="BC267" s="107">
        <f t="shared" si="269"/>
        <v>87446.627966666492</v>
      </c>
      <c r="BD267" s="107">
        <f t="shared" si="270"/>
        <v>86914.519199999821</v>
      </c>
      <c r="BE267" s="107">
        <f t="shared" si="271"/>
        <v>1982.3577795999963</v>
      </c>
      <c r="BF267" s="127"/>
      <c r="BG267" s="127"/>
      <c r="BH267" s="127"/>
      <c r="BI267" s="127"/>
      <c r="BJ267" s="127"/>
      <c r="BK267" s="127"/>
      <c r="BL267" s="127"/>
      <c r="BM267" s="127"/>
      <c r="BN267" s="127"/>
      <c r="BO267" s="127"/>
      <c r="BP267" s="127"/>
      <c r="BQ267" s="127"/>
      <c r="BR267" s="127"/>
      <c r="BS267" s="127"/>
      <c r="BT267" s="127"/>
      <c r="BU267" s="127"/>
      <c r="BV267" s="127"/>
      <c r="BW267" s="127"/>
    </row>
    <row r="268" spans="1:75" ht="22.5" hidden="1" x14ac:dyDescent="0.2">
      <c r="A268" s="123" t="str">
        <f>'[2]2021 УГРЦТ'!A270</f>
        <v>КЛ-0,4кВ от ТП-61 до магазина "Арбат"</v>
      </c>
      <c r="B268" s="124" t="str">
        <f>'[2]2021 УГРЦТ'!B270</f>
        <v>00001357</v>
      </c>
      <c r="C268" s="124" t="str">
        <f>VLOOKUP(A:A,'2023-2027'!A:L,1,+FALSE)</f>
        <v>КЛ-0,4кВ от ТП-61 до магазина "Арбат"</v>
      </c>
      <c r="D268" s="124" t="str">
        <f>'[2]2021 УГРЦТ'!C270</f>
        <v>ПЕРЕДАЧА</v>
      </c>
      <c r="E268" s="124" t="str">
        <f>'[2]2021 УГРЦТ'!D270</f>
        <v>Сооружения</v>
      </c>
      <c r="F268" s="124" t="str">
        <f>'[2]2021 УГРЦТ'!E270</f>
        <v>30.06.2011</v>
      </c>
      <c r="G268" s="124" t="str">
        <f>'[2]2021 УГРЦТ'!F270</f>
        <v>Цех электрических сетей</v>
      </c>
      <c r="H268" s="124">
        <f>'[2]2021 УГРЦТ'!AC270</f>
        <v>300</v>
      </c>
      <c r="I268" s="107">
        <f>'[2]2021 УГРЦТ'!X270</f>
        <v>43118.239999999998</v>
      </c>
      <c r="J268" s="107">
        <f>'[2]2021 УГРЦТ'!Y270</f>
        <v>18109.9496</v>
      </c>
      <c r="K268" s="107">
        <f>'[2]2021 УГРЦТ'!Z270</f>
        <v>25008.290399999998</v>
      </c>
      <c r="L268" s="125" t="e">
        <f>SUMIF([2]облаг!$B$2:$B$259,B268,[2]облаг!$D$2:$D$259)</f>
        <v>#VALUE!</v>
      </c>
      <c r="M268" s="107">
        <f t="shared" si="272"/>
        <v>143.72746666666666</v>
      </c>
      <c r="N268" s="107">
        <f t="shared" si="273"/>
        <v>1724.7295999999999</v>
      </c>
      <c r="O268" s="107">
        <f t="shared" si="274"/>
        <v>24864.562933333331</v>
      </c>
      <c r="P268" s="107">
        <f t="shared" si="275"/>
        <v>24720.835466666664</v>
      </c>
      <c r="Q268" s="107">
        <f t="shared" si="221"/>
        <v>24577.107999999997</v>
      </c>
      <c r="R268" s="107">
        <f t="shared" si="222"/>
        <v>24433.380533333329</v>
      </c>
      <c r="S268" s="107">
        <f t="shared" si="223"/>
        <v>24289.653066666662</v>
      </c>
      <c r="T268" s="107">
        <f t="shared" si="224"/>
        <v>24145.925599999995</v>
      </c>
      <c r="U268" s="107">
        <f t="shared" si="225"/>
        <v>24002.198133333328</v>
      </c>
      <c r="V268" s="107">
        <f t="shared" si="226"/>
        <v>23858.470666666661</v>
      </c>
      <c r="W268" s="107">
        <f t="shared" si="227"/>
        <v>23714.743199999994</v>
      </c>
      <c r="X268" s="107">
        <f t="shared" si="228"/>
        <v>23571.015733333326</v>
      </c>
      <c r="Y268" s="107">
        <f t="shared" si="229"/>
        <v>23427.288266666659</v>
      </c>
      <c r="Z268" s="107">
        <f t="shared" si="230"/>
        <v>23283.560799999992</v>
      </c>
      <c r="AA268" s="107">
        <f t="shared" si="264"/>
        <v>531.21036319999985</v>
      </c>
      <c r="AB268" s="107"/>
      <c r="AC268" s="107">
        <f t="shared" si="242"/>
        <v>1724.7295999999999</v>
      </c>
      <c r="AD268" s="107">
        <f t="shared" si="231"/>
        <v>23139.833333333325</v>
      </c>
      <c r="AE268" s="107">
        <f t="shared" si="232"/>
        <v>22996.105866666658</v>
      </c>
      <c r="AF268" s="107">
        <f t="shared" si="233"/>
        <v>22852.378399999991</v>
      </c>
      <c r="AG268" s="107">
        <f t="shared" si="234"/>
        <v>22708.650933333323</v>
      </c>
      <c r="AH268" s="107">
        <f t="shared" si="235"/>
        <v>22564.923466666656</v>
      </c>
      <c r="AI268" s="107">
        <f t="shared" si="236"/>
        <v>22421.195999999989</v>
      </c>
      <c r="AJ268" s="107">
        <f t="shared" si="237"/>
        <v>22277.468533333322</v>
      </c>
      <c r="AK268" s="107">
        <f t="shared" si="238"/>
        <v>22133.741066666655</v>
      </c>
      <c r="AL268" s="107">
        <f t="shared" si="239"/>
        <v>21990.013599999987</v>
      </c>
      <c r="AM268" s="107">
        <f t="shared" si="240"/>
        <v>21846.28613333332</v>
      </c>
      <c r="AN268" s="107">
        <f t="shared" si="241"/>
        <v>21702.558666666653</v>
      </c>
      <c r="AO268" s="107">
        <f t="shared" si="243"/>
        <v>21558.831199999986</v>
      </c>
      <c r="AP268" s="107">
        <f t="shared" si="265"/>
        <v>493.26631199999974</v>
      </c>
      <c r="AQ268" s="126"/>
      <c r="AR268" s="107">
        <f t="shared" si="244"/>
        <v>1724.7295999999999</v>
      </c>
      <c r="AS268" s="107">
        <f t="shared" si="257"/>
        <v>21415.103733333319</v>
      </c>
      <c r="AT268" s="107">
        <f t="shared" si="258"/>
        <v>21271.376266666652</v>
      </c>
      <c r="AU268" s="107">
        <f t="shared" si="259"/>
        <v>21127.648799999984</v>
      </c>
      <c r="AV268" s="107">
        <f t="shared" si="260"/>
        <v>20983.921333333317</v>
      </c>
      <c r="AW268" s="107">
        <f t="shared" si="261"/>
        <v>20840.19386666665</v>
      </c>
      <c r="AX268" s="107">
        <f t="shared" si="262"/>
        <v>20696.466399999983</v>
      </c>
      <c r="AY268" s="107">
        <f t="shared" si="263"/>
        <v>20552.738933333316</v>
      </c>
      <c r="AZ268" s="107">
        <f t="shared" si="266"/>
        <v>20409.011466666649</v>
      </c>
      <c r="BA268" s="107">
        <f t="shared" si="267"/>
        <v>20265.283999999981</v>
      </c>
      <c r="BB268" s="107">
        <f t="shared" si="268"/>
        <v>20121.556533333314</v>
      </c>
      <c r="BC268" s="107">
        <f t="shared" si="269"/>
        <v>19977.829066666647</v>
      </c>
      <c r="BD268" s="107">
        <f t="shared" si="270"/>
        <v>19834.10159999998</v>
      </c>
      <c r="BE268" s="107">
        <f t="shared" si="271"/>
        <v>455.32226079999953</v>
      </c>
      <c r="BF268" s="127"/>
      <c r="BG268" s="127"/>
      <c r="BH268" s="127"/>
      <c r="BI268" s="127"/>
      <c r="BJ268" s="127"/>
      <c r="BK268" s="127"/>
      <c r="BL268" s="127"/>
      <c r="BM268" s="127"/>
      <c r="BN268" s="127"/>
      <c r="BO268" s="127"/>
      <c r="BP268" s="127"/>
      <c r="BQ268" s="127"/>
      <c r="BR268" s="127"/>
      <c r="BS268" s="127"/>
      <c r="BT268" s="127"/>
      <c r="BU268" s="127"/>
      <c r="BV268" s="127"/>
      <c r="BW268" s="127"/>
    </row>
    <row r="269" spans="1:75" ht="22.5" hidden="1" x14ac:dyDescent="0.2">
      <c r="A269" s="123" t="str">
        <f>'[2]2021 УГРЦТ'!A271</f>
        <v>КЛ-0,4кВ от ТП-98 до ВЛ-0,4кВ"ЛедовыйДворец"120м</v>
      </c>
      <c r="B269" s="124" t="str">
        <f>'[2]2021 УГРЦТ'!B271</f>
        <v>00001473</v>
      </c>
      <c r="C269" s="124" t="str">
        <f>VLOOKUP(A:A,'2023-2027'!A:L,1,+FALSE)</f>
        <v>КЛ-0,4кВ от ТП-98 до ВЛ-0,4кВ"ЛедовыйДворец"120м</v>
      </c>
      <c r="D269" s="124" t="str">
        <f>'[2]2021 УГРЦТ'!C271</f>
        <v>ПЕРЕДАЧА</v>
      </c>
      <c r="E269" s="124" t="str">
        <f>'[2]2021 УГРЦТ'!D271</f>
        <v>Сооружения</v>
      </c>
      <c r="F269" s="124" t="str">
        <f>'[2]2021 УГРЦТ'!E271</f>
        <v>31.12.2011</v>
      </c>
      <c r="G269" s="124" t="str">
        <f>'[2]2021 УГРЦТ'!F271</f>
        <v>Цех электрических сетей</v>
      </c>
      <c r="H269" s="124">
        <f>'[2]2021 УГРЦТ'!AC271</f>
        <v>300</v>
      </c>
      <c r="I269" s="107">
        <f>'[2]2021 УГРЦТ'!X271</f>
        <v>160102.93</v>
      </c>
      <c r="J269" s="107">
        <f>'[2]2021 УГРЦТ'!Y271</f>
        <v>64041.557200000003</v>
      </c>
      <c r="K269" s="107">
        <f>'[2]2021 УГРЦТ'!Z271</f>
        <v>96061.372799999983</v>
      </c>
      <c r="L269" s="125" t="e">
        <f>SUMIF([2]облаг!$B$2:$B$259,B269,[2]облаг!$D$2:$D$259)</f>
        <v>#VALUE!</v>
      </c>
      <c r="M269" s="107">
        <f t="shared" si="272"/>
        <v>533.67643333333331</v>
      </c>
      <c r="N269" s="107">
        <f t="shared" si="273"/>
        <v>6404.1171999999997</v>
      </c>
      <c r="O269" s="107">
        <f t="shared" si="274"/>
        <v>95527.696366666656</v>
      </c>
      <c r="P269" s="107">
        <f t="shared" si="275"/>
        <v>94994.019933333329</v>
      </c>
      <c r="Q269" s="107">
        <f t="shared" si="221"/>
        <v>94460.343500000003</v>
      </c>
      <c r="R269" s="107">
        <f t="shared" si="222"/>
        <v>93926.667066666676</v>
      </c>
      <c r="S269" s="107">
        <f t="shared" si="223"/>
        <v>93392.990633333349</v>
      </c>
      <c r="T269" s="107">
        <f t="shared" si="224"/>
        <v>92859.314200000023</v>
      </c>
      <c r="U269" s="107">
        <f t="shared" si="225"/>
        <v>92325.637766666696</v>
      </c>
      <c r="V269" s="107">
        <f t="shared" si="226"/>
        <v>91791.961333333369</v>
      </c>
      <c r="W269" s="107">
        <f t="shared" si="227"/>
        <v>91258.284900000042</v>
      </c>
      <c r="X269" s="107">
        <f t="shared" si="228"/>
        <v>90724.608466666716</v>
      </c>
      <c r="Y269" s="107">
        <f t="shared" si="229"/>
        <v>90190.932033333389</v>
      </c>
      <c r="Z269" s="107">
        <f t="shared" si="230"/>
        <v>89657.255600000062</v>
      </c>
      <c r="AA269" s="107">
        <f t="shared" si="264"/>
        <v>2042.9049124000007</v>
      </c>
      <c r="AB269" s="107"/>
      <c r="AC269" s="107">
        <f t="shared" si="242"/>
        <v>6404.1171999999997</v>
      </c>
      <c r="AD269" s="107">
        <f t="shared" si="231"/>
        <v>89123.579166666736</v>
      </c>
      <c r="AE269" s="107">
        <f t="shared" si="232"/>
        <v>88589.902733333409</v>
      </c>
      <c r="AF269" s="107">
        <f t="shared" si="233"/>
        <v>88056.226300000082</v>
      </c>
      <c r="AG269" s="107">
        <f t="shared" si="234"/>
        <v>87522.549866666755</v>
      </c>
      <c r="AH269" s="107">
        <f t="shared" si="235"/>
        <v>86988.873433333429</v>
      </c>
      <c r="AI269" s="107">
        <f t="shared" si="236"/>
        <v>86455.197000000102</v>
      </c>
      <c r="AJ269" s="107">
        <f t="shared" si="237"/>
        <v>85921.520566666775</v>
      </c>
      <c r="AK269" s="107">
        <f t="shared" si="238"/>
        <v>85387.844133333449</v>
      </c>
      <c r="AL269" s="107">
        <f t="shared" si="239"/>
        <v>84854.167700000122</v>
      </c>
      <c r="AM269" s="107">
        <f t="shared" si="240"/>
        <v>84320.491266666795</v>
      </c>
      <c r="AN269" s="107">
        <f t="shared" si="241"/>
        <v>83786.814833333468</v>
      </c>
      <c r="AO269" s="107">
        <f t="shared" si="243"/>
        <v>83253.138400000142</v>
      </c>
      <c r="AP269" s="107">
        <f t="shared" si="265"/>
        <v>1902.0143340000022</v>
      </c>
      <c r="AQ269" s="126"/>
      <c r="AR269" s="107">
        <f t="shared" si="244"/>
        <v>6404.1171999999997</v>
      </c>
      <c r="AS269" s="107">
        <f t="shared" si="257"/>
        <v>82719.461966666815</v>
      </c>
      <c r="AT269" s="107">
        <f t="shared" si="258"/>
        <v>82185.785533333488</v>
      </c>
      <c r="AU269" s="107">
        <f t="shared" si="259"/>
        <v>81652.109100000162</v>
      </c>
      <c r="AV269" s="107">
        <f t="shared" si="260"/>
        <v>81118.432666666835</v>
      </c>
      <c r="AW269" s="107">
        <f t="shared" si="261"/>
        <v>80584.756233333508</v>
      </c>
      <c r="AX269" s="107">
        <f t="shared" si="262"/>
        <v>80051.079800000181</v>
      </c>
      <c r="AY269" s="107">
        <f t="shared" si="263"/>
        <v>79517.403366666855</v>
      </c>
      <c r="AZ269" s="107">
        <f t="shared" si="266"/>
        <v>78983.726933333528</v>
      </c>
      <c r="BA269" s="107">
        <f t="shared" si="267"/>
        <v>78450.050500000201</v>
      </c>
      <c r="BB269" s="107">
        <f t="shared" si="268"/>
        <v>77916.374066666875</v>
      </c>
      <c r="BC269" s="107">
        <f t="shared" si="269"/>
        <v>77382.697633333548</v>
      </c>
      <c r="BD269" s="107">
        <f t="shared" si="270"/>
        <v>76849.021200000221</v>
      </c>
      <c r="BE269" s="107">
        <f t="shared" si="271"/>
        <v>1761.123755600004</v>
      </c>
      <c r="BF269" s="127"/>
      <c r="BG269" s="127"/>
      <c r="BH269" s="127"/>
      <c r="BI269" s="127"/>
      <c r="BJ269" s="127"/>
      <c r="BK269" s="127"/>
      <c r="BL269" s="127"/>
      <c r="BM269" s="127"/>
      <c r="BN269" s="127"/>
      <c r="BO269" s="127"/>
      <c r="BP269" s="127"/>
      <c r="BQ269" s="127"/>
      <c r="BR269" s="127"/>
      <c r="BS269" s="127"/>
      <c r="BT269" s="127"/>
      <c r="BU269" s="127"/>
      <c r="BV269" s="127"/>
      <c r="BW269" s="127"/>
    </row>
    <row r="270" spans="1:75" hidden="1" x14ac:dyDescent="0.2">
      <c r="A270" s="123" t="str">
        <f>'[2]2021 УГРЦТ'!A272</f>
        <v>КЛ-6 кВ ввод в ТП №44</v>
      </c>
      <c r="B270" s="124" t="str">
        <f>'[2]2021 УГРЦТ'!B272</f>
        <v>000001670</v>
      </c>
      <c r="C270" s="124" t="str">
        <f>VLOOKUP(A:A,'2023-2027'!A:L,1,+FALSE)</f>
        <v>КЛ-6 кВ ввод в ТП №44</v>
      </c>
      <c r="D270" s="124" t="str">
        <f>'[2]2021 УГРЦТ'!C272</f>
        <v>ПЕРЕДАЧА</v>
      </c>
      <c r="E270" s="124" t="str">
        <f>'[2]2021 УГРЦТ'!D272</f>
        <v>Сооружения</v>
      </c>
      <c r="F270" s="124" t="str">
        <f>'[2]2021 УГРЦТ'!E272</f>
        <v>31.12.2015</v>
      </c>
      <c r="G270" s="124" t="str">
        <f>'[2]2021 УГРЦТ'!F272</f>
        <v>Цех электрических сетей</v>
      </c>
      <c r="H270" s="124">
        <f>'[2]2021 УГРЦТ'!AC272</f>
        <v>300</v>
      </c>
      <c r="I270" s="107">
        <v>810099.76</v>
      </c>
      <c r="J270" s="107">
        <v>194423.7904</v>
      </c>
      <c r="K270" s="107">
        <v>615675.96959999995</v>
      </c>
      <c r="L270" s="125" t="e">
        <f>SUMIF([2]облаг!$B$2:$B$259,B270,[2]облаг!$D$2:$D$259)</f>
        <v>#VALUE!</v>
      </c>
      <c r="M270" s="107">
        <f t="shared" si="272"/>
        <v>2700.3325333333332</v>
      </c>
      <c r="N270" s="107">
        <f t="shared" si="273"/>
        <v>32403.990399999999</v>
      </c>
      <c r="O270" s="107">
        <f t="shared" si="274"/>
        <v>612975.63706666662</v>
      </c>
      <c r="P270" s="107">
        <f t="shared" si="275"/>
        <v>610275.30453333328</v>
      </c>
      <c r="Q270" s="107">
        <f t="shared" si="221"/>
        <v>607574.97199999995</v>
      </c>
      <c r="R270" s="107">
        <f t="shared" si="222"/>
        <v>604874.63946666662</v>
      </c>
      <c r="S270" s="107">
        <f t="shared" si="223"/>
        <v>602174.30693333328</v>
      </c>
      <c r="T270" s="107">
        <f t="shared" si="224"/>
        <v>599473.97439999995</v>
      </c>
      <c r="U270" s="107">
        <f t="shared" si="225"/>
        <v>596773.64186666661</v>
      </c>
      <c r="V270" s="107">
        <f t="shared" si="226"/>
        <v>594073.30933333328</v>
      </c>
      <c r="W270" s="107">
        <f t="shared" si="227"/>
        <v>591372.97679999995</v>
      </c>
      <c r="X270" s="107">
        <f t="shared" si="228"/>
        <v>588672.64426666661</v>
      </c>
      <c r="Y270" s="107">
        <f t="shared" si="229"/>
        <v>585972.31173333328</v>
      </c>
      <c r="Z270" s="107">
        <f t="shared" si="230"/>
        <v>583271.97919999994</v>
      </c>
      <c r="AA270" s="107">
        <f t="shared" si="264"/>
        <v>13188.427436799999</v>
      </c>
      <c r="AB270" s="107"/>
      <c r="AC270" s="107">
        <f t="shared" si="242"/>
        <v>32403.990399999999</v>
      </c>
      <c r="AD270" s="107">
        <f t="shared" si="231"/>
        <v>580571.64666666661</v>
      </c>
      <c r="AE270" s="107">
        <f t="shared" si="232"/>
        <v>577871.31413333328</v>
      </c>
      <c r="AF270" s="107">
        <f t="shared" si="233"/>
        <v>575170.98159999994</v>
      </c>
      <c r="AG270" s="107">
        <f t="shared" si="234"/>
        <v>572470.64906666661</v>
      </c>
      <c r="AH270" s="107">
        <f t="shared" si="235"/>
        <v>569770.31653333327</v>
      </c>
      <c r="AI270" s="107">
        <f t="shared" si="236"/>
        <v>567069.98399999994</v>
      </c>
      <c r="AJ270" s="107">
        <f t="shared" si="237"/>
        <v>564369.6514666666</v>
      </c>
      <c r="AK270" s="107">
        <f t="shared" si="238"/>
        <v>561669.31893333327</v>
      </c>
      <c r="AL270" s="107">
        <f t="shared" si="239"/>
        <v>558968.98639999994</v>
      </c>
      <c r="AM270" s="107">
        <f t="shared" si="240"/>
        <v>556268.6538666666</v>
      </c>
      <c r="AN270" s="107">
        <f t="shared" si="241"/>
        <v>553568.32133333327</v>
      </c>
      <c r="AO270" s="107">
        <f t="shared" si="243"/>
        <v>550867.98879999993</v>
      </c>
      <c r="AP270" s="107">
        <f t="shared" si="265"/>
        <v>12475.539647999998</v>
      </c>
      <c r="AQ270" s="126"/>
      <c r="AR270" s="107">
        <f t="shared" si="244"/>
        <v>32403.990399999999</v>
      </c>
      <c r="AS270" s="107">
        <f t="shared" si="257"/>
        <v>548167.6562666666</v>
      </c>
      <c r="AT270" s="107">
        <f t="shared" si="258"/>
        <v>545467.32373333327</v>
      </c>
      <c r="AU270" s="107">
        <f t="shared" si="259"/>
        <v>542766.99119999993</v>
      </c>
      <c r="AV270" s="107">
        <f t="shared" si="260"/>
        <v>540066.6586666666</v>
      </c>
      <c r="AW270" s="107">
        <f t="shared" si="261"/>
        <v>537366.32613333326</v>
      </c>
      <c r="AX270" s="107">
        <f t="shared" si="262"/>
        <v>534665.99359999993</v>
      </c>
      <c r="AY270" s="107">
        <f t="shared" si="263"/>
        <v>531965.66106666659</v>
      </c>
      <c r="AZ270" s="107">
        <f t="shared" si="266"/>
        <v>529265.32853333326</v>
      </c>
      <c r="BA270" s="107">
        <f t="shared" si="267"/>
        <v>526564.99599999993</v>
      </c>
      <c r="BB270" s="107">
        <f t="shared" si="268"/>
        <v>523864.66346666659</v>
      </c>
      <c r="BC270" s="107">
        <f t="shared" si="269"/>
        <v>521164.33093333326</v>
      </c>
      <c r="BD270" s="107">
        <f t="shared" si="270"/>
        <v>518463.99839999992</v>
      </c>
      <c r="BE270" s="107">
        <f t="shared" si="271"/>
        <v>11762.651859199997</v>
      </c>
      <c r="BF270" s="127"/>
      <c r="BG270" s="127"/>
      <c r="BH270" s="127"/>
      <c r="BI270" s="127"/>
      <c r="BJ270" s="127"/>
      <c r="BK270" s="127"/>
      <c r="BL270" s="127"/>
      <c r="BM270" s="127"/>
      <c r="BN270" s="127"/>
      <c r="BO270" s="127"/>
      <c r="BP270" s="127"/>
      <c r="BQ270" s="127"/>
      <c r="BR270" s="127"/>
      <c r="BS270" s="127"/>
      <c r="BT270" s="127"/>
      <c r="BU270" s="127"/>
      <c r="BV270" s="127"/>
      <c r="BW270" s="127"/>
    </row>
    <row r="271" spans="1:75" ht="22.5" hidden="1" x14ac:dyDescent="0.2">
      <c r="A271" s="123" t="str">
        <f>'[2]2021 УГРЦТ'!A273</f>
        <v>КЛ-6 кВ от ВЛ-6 кВ до ТП 57 "Геолог"</v>
      </c>
      <c r="B271" s="124" t="str">
        <f>'[2]2021 УГРЦТ'!B273</f>
        <v>000001858</v>
      </c>
      <c r="C271" s="124" t="str">
        <f>VLOOKUP(A:A,'2023-2027'!A:L,1,+FALSE)</f>
        <v>КЛ-6 кВ от ВЛ-6 кВ до ТП 57 "Геолог"</v>
      </c>
      <c r="D271" s="124" t="str">
        <f>'[2]2021 УГРЦТ'!C273</f>
        <v>ПЕРЕДАЧА</v>
      </c>
      <c r="E271" s="124" t="str">
        <f>'[2]2021 УГРЦТ'!D273</f>
        <v>Сооружения</v>
      </c>
      <c r="F271" s="124" t="str">
        <f>'[2]2021 УГРЦТ'!E273</f>
        <v>11.06.2021</v>
      </c>
      <c r="G271" s="124" t="str">
        <f>'[2]2021 УГРЦТ'!F273</f>
        <v>Цех электрических сетей</v>
      </c>
      <c r="H271" s="124">
        <f>'[2]2021 УГРЦТ'!AC273</f>
        <v>300</v>
      </c>
      <c r="I271" s="107">
        <f>'[2]2021 УГРЦТ'!X273</f>
        <v>5154423.37</v>
      </c>
      <c r="J271" s="107">
        <f>'[2]2021 УГРЦТ'!Y273</f>
        <v>103088.46739999999</v>
      </c>
      <c r="K271" s="107">
        <f>'[2]2021 УГРЦТ'!Z273</f>
        <v>5051334.9025999997</v>
      </c>
      <c r="L271" s="125" t="e">
        <f>SUMIF([2]облаг!$B$2:$B$259,B271,[2]облаг!$D$2:$D$259)</f>
        <v>#VALUE!</v>
      </c>
      <c r="M271" s="107">
        <f t="shared" si="272"/>
        <v>17181.411233333332</v>
      </c>
      <c r="N271" s="107">
        <f t="shared" si="273"/>
        <v>206176.93479999999</v>
      </c>
      <c r="O271" s="107">
        <f t="shared" si="274"/>
        <v>5034153.4913666667</v>
      </c>
      <c r="P271" s="107">
        <f t="shared" si="275"/>
        <v>5016972.0801333338</v>
      </c>
      <c r="Q271" s="107">
        <f t="shared" si="221"/>
        <v>4999790.6689000009</v>
      </c>
      <c r="R271" s="107">
        <f t="shared" si="222"/>
        <v>4982609.2576666679</v>
      </c>
      <c r="S271" s="107">
        <f t="shared" si="223"/>
        <v>4965427.846433335</v>
      </c>
      <c r="T271" s="107">
        <f t="shared" si="224"/>
        <v>4948246.435200002</v>
      </c>
      <c r="U271" s="107">
        <f t="shared" si="225"/>
        <v>4931065.0239666691</v>
      </c>
      <c r="V271" s="107">
        <f t="shared" si="226"/>
        <v>4913883.6127333362</v>
      </c>
      <c r="W271" s="107">
        <f t="shared" si="227"/>
        <v>4896702.2015000032</v>
      </c>
      <c r="X271" s="107">
        <f t="shared" si="228"/>
        <v>4879520.7902666703</v>
      </c>
      <c r="Y271" s="107">
        <f t="shared" si="229"/>
        <v>4862339.3790333373</v>
      </c>
      <c r="Z271" s="107">
        <f t="shared" si="230"/>
        <v>4845157.9678000044</v>
      </c>
      <c r="AA271" s="107">
        <f t="shared" si="264"/>
        <v>108861.42157440004</v>
      </c>
      <c r="AB271" s="107"/>
      <c r="AC271" s="107">
        <f t="shared" si="242"/>
        <v>206176.93479999999</v>
      </c>
      <c r="AD271" s="107">
        <f t="shared" si="231"/>
        <v>4827976.5565666715</v>
      </c>
      <c r="AE271" s="107">
        <f t="shared" si="232"/>
        <v>4810795.1453333385</v>
      </c>
      <c r="AF271" s="107">
        <f t="shared" si="233"/>
        <v>4793613.7341000056</v>
      </c>
      <c r="AG271" s="107">
        <f t="shared" si="234"/>
        <v>4776432.3228666726</v>
      </c>
      <c r="AH271" s="107">
        <f t="shared" si="235"/>
        <v>4759250.9116333397</v>
      </c>
      <c r="AI271" s="107">
        <f t="shared" si="236"/>
        <v>4742069.5004000068</v>
      </c>
      <c r="AJ271" s="107">
        <f t="shared" si="237"/>
        <v>4724888.0891666738</v>
      </c>
      <c r="AK271" s="107">
        <f t="shared" si="238"/>
        <v>4707706.6779333409</v>
      </c>
      <c r="AL271" s="107">
        <f t="shared" si="239"/>
        <v>4690525.266700008</v>
      </c>
      <c r="AM271" s="107">
        <f t="shared" si="240"/>
        <v>4673343.855466675</v>
      </c>
      <c r="AN271" s="107">
        <f t="shared" si="241"/>
        <v>4656162.4442333421</v>
      </c>
      <c r="AO271" s="107">
        <f t="shared" si="243"/>
        <v>4638981.0330000091</v>
      </c>
      <c r="AP271" s="107">
        <f t="shared" si="265"/>
        <v>104325.52900880015</v>
      </c>
      <c r="AQ271" s="126"/>
      <c r="AR271" s="107">
        <f t="shared" si="244"/>
        <v>206176.93479999999</v>
      </c>
      <c r="AS271" s="107">
        <f t="shared" si="257"/>
        <v>4621799.6217666762</v>
      </c>
      <c r="AT271" s="107">
        <f t="shared" si="258"/>
        <v>4604618.2105333433</v>
      </c>
      <c r="AU271" s="107">
        <f t="shared" si="259"/>
        <v>4587436.7993000103</v>
      </c>
      <c r="AV271" s="107">
        <f t="shared" si="260"/>
        <v>4570255.3880666774</v>
      </c>
      <c r="AW271" s="107">
        <f t="shared" si="261"/>
        <v>4553073.9768333444</v>
      </c>
      <c r="AX271" s="107">
        <f t="shared" si="262"/>
        <v>4535892.5656000115</v>
      </c>
      <c r="AY271" s="107">
        <f t="shared" si="263"/>
        <v>4518711.1543666786</v>
      </c>
      <c r="AZ271" s="107">
        <f t="shared" si="266"/>
        <v>4501529.7431333456</v>
      </c>
      <c r="BA271" s="107">
        <f t="shared" si="267"/>
        <v>4484348.3319000127</v>
      </c>
      <c r="BB271" s="107">
        <f t="shared" si="268"/>
        <v>4467166.9206666797</v>
      </c>
      <c r="BC271" s="107">
        <f t="shared" si="269"/>
        <v>4449985.5094333468</v>
      </c>
      <c r="BD271" s="107">
        <f t="shared" si="270"/>
        <v>4432804.0982000139</v>
      </c>
      <c r="BE271" s="107">
        <f t="shared" si="271"/>
        <v>99789.636443200245</v>
      </c>
      <c r="BF271" s="127"/>
      <c r="BG271" s="127"/>
      <c r="BH271" s="127"/>
      <c r="BI271" s="127"/>
      <c r="BJ271" s="127"/>
      <c r="BK271" s="127"/>
      <c r="BL271" s="127"/>
      <c r="BM271" s="127"/>
      <c r="BN271" s="127"/>
      <c r="BO271" s="127"/>
      <c r="BP271" s="127"/>
      <c r="BQ271" s="127"/>
      <c r="BR271" s="127"/>
      <c r="BS271" s="127"/>
      <c r="BT271" s="127"/>
      <c r="BU271" s="127"/>
      <c r="BV271" s="127"/>
      <c r="BW271" s="127"/>
    </row>
    <row r="272" spans="1:75" hidden="1" x14ac:dyDescent="0.2">
      <c r="A272" s="123" t="str">
        <f>'[2]2021 УГРЦТ'!A274</f>
        <v>КЛ-6кВ "Малый Качгорт"</v>
      </c>
      <c r="B272" s="124" t="str">
        <f>'[2]2021 УГРЦТ'!B274</f>
        <v>000001697</v>
      </c>
      <c r="C272" s="124" t="str">
        <f>VLOOKUP(A:A,'2023-2027'!A:L,1,+FALSE)</f>
        <v>КЛ-6кВ "Малый Качгорт"</v>
      </c>
      <c r="D272" s="124" t="str">
        <f>'[2]2021 УГРЦТ'!C274</f>
        <v>ПЕРЕДАЧА</v>
      </c>
      <c r="E272" s="124" t="str">
        <f>'[2]2021 УГРЦТ'!D274</f>
        <v>Сооружения</v>
      </c>
      <c r="F272" s="124" t="str">
        <f>'[2]2021 УГРЦТ'!E274</f>
        <v>09.12.2016</v>
      </c>
      <c r="G272" s="124" t="str">
        <f>'[2]2021 УГРЦТ'!F274</f>
        <v>Цех электрических сетей</v>
      </c>
      <c r="H272" s="124">
        <f>'[2]2021 УГРЦТ'!AC274</f>
        <v>300</v>
      </c>
      <c r="I272" s="107">
        <f>'[2]2021 УГРЦТ'!X274</f>
        <v>839595.6</v>
      </c>
      <c r="J272" s="107">
        <f>'[2]2021 УГРЦТ'!Y274</f>
        <v>167919.02400000003</v>
      </c>
      <c r="K272" s="107">
        <f>'[2]2021 УГРЦТ'!Z274</f>
        <v>671676.57599999988</v>
      </c>
      <c r="L272" s="125" t="e">
        <f>SUMIF([2]облаг!$B$2:$B$259,B272,[2]облаг!$D$2:$D$259)</f>
        <v>#VALUE!</v>
      </c>
      <c r="M272" s="107">
        <f t="shared" si="272"/>
        <v>2798.652</v>
      </c>
      <c r="N272" s="107">
        <f t="shared" si="273"/>
        <v>33583.824000000001</v>
      </c>
      <c r="O272" s="107">
        <f t="shared" si="274"/>
        <v>668877.92399999988</v>
      </c>
      <c r="P272" s="107">
        <f t="shared" si="275"/>
        <v>666079.27199999988</v>
      </c>
      <c r="Q272" s="107">
        <f t="shared" si="221"/>
        <v>663280.61999999988</v>
      </c>
      <c r="R272" s="107">
        <f t="shared" si="222"/>
        <v>660481.96799999988</v>
      </c>
      <c r="S272" s="107">
        <f t="shared" si="223"/>
        <v>657683.31599999988</v>
      </c>
      <c r="T272" s="107">
        <f t="shared" si="224"/>
        <v>654884.66399999987</v>
      </c>
      <c r="U272" s="107">
        <f t="shared" si="225"/>
        <v>652086.01199999987</v>
      </c>
      <c r="V272" s="107">
        <f t="shared" si="226"/>
        <v>649287.35999999987</v>
      </c>
      <c r="W272" s="107">
        <f t="shared" si="227"/>
        <v>646488.70799999987</v>
      </c>
      <c r="X272" s="107">
        <f t="shared" si="228"/>
        <v>643690.05599999987</v>
      </c>
      <c r="Y272" s="107">
        <f t="shared" si="229"/>
        <v>640891.40399999986</v>
      </c>
      <c r="Z272" s="107">
        <f t="shared" si="230"/>
        <v>638092.75199999986</v>
      </c>
      <c r="AA272" s="107">
        <f t="shared" si="264"/>
        <v>14407.462608</v>
      </c>
      <c r="AB272" s="107"/>
      <c r="AC272" s="107">
        <f t="shared" si="242"/>
        <v>33583.824000000001</v>
      </c>
      <c r="AD272" s="107">
        <f t="shared" si="231"/>
        <v>635294.09999999986</v>
      </c>
      <c r="AE272" s="107">
        <f t="shared" si="232"/>
        <v>632495.44799999986</v>
      </c>
      <c r="AF272" s="107">
        <f t="shared" si="233"/>
        <v>629696.79599999986</v>
      </c>
      <c r="AG272" s="107">
        <f t="shared" si="234"/>
        <v>626898.14399999985</v>
      </c>
      <c r="AH272" s="107">
        <f t="shared" si="235"/>
        <v>624099.49199999985</v>
      </c>
      <c r="AI272" s="107">
        <f t="shared" si="236"/>
        <v>621300.83999999985</v>
      </c>
      <c r="AJ272" s="107">
        <f t="shared" si="237"/>
        <v>618502.18799999985</v>
      </c>
      <c r="AK272" s="107">
        <f t="shared" si="238"/>
        <v>615703.53599999985</v>
      </c>
      <c r="AL272" s="107">
        <f t="shared" si="239"/>
        <v>612904.88399999985</v>
      </c>
      <c r="AM272" s="107">
        <f t="shared" si="240"/>
        <v>610106.23199999984</v>
      </c>
      <c r="AN272" s="107">
        <f t="shared" si="241"/>
        <v>607307.57999999984</v>
      </c>
      <c r="AO272" s="107">
        <f t="shared" si="243"/>
        <v>604508.92799999984</v>
      </c>
      <c r="AP272" s="107">
        <f t="shared" si="265"/>
        <v>13668.618479999999</v>
      </c>
      <c r="AQ272" s="126"/>
      <c r="AR272" s="107">
        <f t="shared" si="244"/>
        <v>33583.824000000001</v>
      </c>
      <c r="AS272" s="107">
        <f t="shared" si="257"/>
        <v>601710.27599999984</v>
      </c>
      <c r="AT272" s="107">
        <f t="shared" si="258"/>
        <v>598911.62399999984</v>
      </c>
      <c r="AU272" s="107">
        <f t="shared" si="259"/>
        <v>596112.97199999983</v>
      </c>
      <c r="AV272" s="107">
        <f t="shared" si="260"/>
        <v>593314.31999999983</v>
      </c>
      <c r="AW272" s="107">
        <f t="shared" si="261"/>
        <v>590515.66799999983</v>
      </c>
      <c r="AX272" s="107">
        <f t="shared" si="262"/>
        <v>587717.01599999983</v>
      </c>
      <c r="AY272" s="107">
        <f t="shared" si="263"/>
        <v>584918.36399999983</v>
      </c>
      <c r="AZ272" s="107">
        <f t="shared" si="266"/>
        <v>582119.71199999982</v>
      </c>
      <c r="BA272" s="107">
        <f t="shared" si="267"/>
        <v>579321.05999999982</v>
      </c>
      <c r="BB272" s="107">
        <f t="shared" si="268"/>
        <v>576522.40799999982</v>
      </c>
      <c r="BC272" s="107">
        <f t="shared" si="269"/>
        <v>573723.75599999982</v>
      </c>
      <c r="BD272" s="107">
        <f t="shared" si="270"/>
        <v>570925.10399999982</v>
      </c>
      <c r="BE272" s="107">
        <f t="shared" si="271"/>
        <v>12929.774351999999</v>
      </c>
      <c r="BF272" s="127"/>
      <c r="BG272" s="127"/>
      <c r="BH272" s="127"/>
      <c r="BI272" s="127"/>
      <c r="BJ272" s="127"/>
      <c r="BK272" s="127"/>
      <c r="BL272" s="127"/>
      <c r="BM272" s="127"/>
      <c r="BN272" s="127"/>
      <c r="BO272" s="127"/>
      <c r="BP272" s="127"/>
      <c r="BQ272" s="127"/>
      <c r="BR272" s="127"/>
      <c r="BS272" s="127"/>
      <c r="BT272" s="127"/>
      <c r="BU272" s="127"/>
      <c r="BV272" s="127"/>
      <c r="BW272" s="127"/>
    </row>
    <row r="273" spans="1:75" ht="22.5" hidden="1" x14ac:dyDescent="0.2">
      <c r="A273" s="123" t="str">
        <f>'[2]2021 УГРЦТ'!A275</f>
        <v>КЛ-6кВ (от ВЛ до ТП Бондарная) 70м</v>
      </c>
      <c r="B273" s="124" t="str">
        <f>'[2]2021 УГРЦТ'!B275</f>
        <v>00001224</v>
      </c>
      <c r="C273" s="124" t="str">
        <f>VLOOKUP(A:A,'2023-2027'!A:L,1,+FALSE)</f>
        <v>КЛ-6кВ (от ВЛ до ТП Бондарная) 70м</v>
      </c>
      <c r="D273" s="124" t="str">
        <f>'[2]2021 УГРЦТ'!C275</f>
        <v>ПЕРЕДАЧА</v>
      </c>
      <c r="E273" s="124" t="str">
        <f>'[2]2021 УГРЦТ'!D275</f>
        <v>Сооружения</v>
      </c>
      <c r="F273" s="124" t="str">
        <f>'[2]2021 УГРЦТ'!E275</f>
        <v>30.06.2010</v>
      </c>
      <c r="G273" s="124" t="str">
        <f>'[2]2021 УГРЦТ'!F275</f>
        <v>Цех электрических сетей</v>
      </c>
      <c r="H273" s="124">
        <f>'[2]2021 УГРЦТ'!AC275</f>
        <v>300</v>
      </c>
      <c r="I273" s="107">
        <f>'[2]2021 УГРЦТ'!X275</f>
        <v>78003.429999999993</v>
      </c>
      <c r="J273" s="107">
        <f>'[2]2021 УГРЦТ'!Y275</f>
        <v>35881.397199999999</v>
      </c>
      <c r="K273" s="107">
        <f>'[2]2021 УГРЦТ'!Z275</f>
        <v>42122.032799999994</v>
      </c>
      <c r="L273" s="125" t="e">
        <f>SUMIF([2]облаг!$B$2:$B$259,B273,[2]облаг!$D$2:$D$259)</f>
        <v>#VALUE!</v>
      </c>
      <c r="M273" s="107">
        <f t="shared" si="272"/>
        <v>260.01143333333329</v>
      </c>
      <c r="N273" s="107">
        <f t="shared" si="273"/>
        <v>3120.1371999999992</v>
      </c>
      <c r="O273" s="107">
        <f t="shared" si="274"/>
        <v>41862.02136666666</v>
      </c>
      <c r="P273" s="107">
        <f t="shared" si="275"/>
        <v>41602.009933333327</v>
      </c>
      <c r="Q273" s="107">
        <f t="shared" si="221"/>
        <v>41341.998499999994</v>
      </c>
      <c r="R273" s="107">
        <f t="shared" si="222"/>
        <v>41081.987066666661</v>
      </c>
      <c r="S273" s="107">
        <f t="shared" si="223"/>
        <v>40821.975633333328</v>
      </c>
      <c r="T273" s="107">
        <f t="shared" si="224"/>
        <v>40561.964199999995</v>
      </c>
      <c r="U273" s="107">
        <f t="shared" si="225"/>
        <v>40301.952766666662</v>
      </c>
      <c r="V273" s="107">
        <f t="shared" si="226"/>
        <v>40041.941333333329</v>
      </c>
      <c r="W273" s="107">
        <f t="shared" si="227"/>
        <v>39781.929899999996</v>
      </c>
      <c r="X273" s="107">
        <f t="shared" si="228"/>
        <v>39521.918466666662</v>
      </c>
      <c r="Y273" s="107">
        <f t="shared" si="229"/>
        <v>39261.907033333329</v>
      </c>
      <c r="Z273" s="107">
        <f t="shared" si="230"/>
        <v>39001.895599999996</v>
      </c>
      <c r="AA273" s="107">
        <f t="shared" si="264"/>
        <v>892.36321239999984</v>
      </c>
      <c r="AB273" s="107"/>
      <c r="AC273" s="107">
        <f t="shared" si="242"/>
        <v>3120.1371999999992</v>
      </c>
      <c r="AD273" s="107">
        <f t="shared" si="231"/>
        <v>38741.884166666663</v>
      </c>
      <c r="AE273" s="107">
        <f t="shared" si="232"/>
        <v>38481.87273333333</v>
      </c>
      <c r="AF273" s="107">
        <f t="shared" si="233"/>
        <v>38221.861299999997</v>
      </c>
      <c r="AG273" s="107">
        <f t="shared" si="234"/>
        <v>37961.849866666664</v>
      </c>
      <c r="AH273" s="107">
        <f t="shared" si="235"/>
        <v>37701.838433333331</v>
      </c>
      <c r="AI273" s="107">
        <f t="shared" si="236"/>
        <v>37441.826999999997</v>
      </c>
      <c r="AJ273" s="107">
        <f t="shared" si="237"/>
        <v>37181.815566666664</v>
      </c>
      <c r="AK273" s="107">
        <f t="shared" si="238"/>
        <v>36921.804133333331</v>
      </c>
      <c r="AL273" s="107">
        <f t="shared" si="239"/>
        <v>36661.792699999998</v>
      </c>
      <c r="AM273" s="107">
        <f t="shared" si="240"/>
        <v>36401.781266666665</v>
      </c>
      <c r="AN273" s="107">
        <f t="shared" si="241"/>
        <v>36141.769833333332</v>
      </c>
      <c r="AO273" s="107">
        <f t="shared" si="243"/>
        <v>35881.758399999999</v>
      </c>
      <c r="AP273" s="107">
        <f t="shared" si="265"/>
        <v>823.72019399999988</v>
      </c>
      <c r="AQ273" s="126"/>
      <c r="AR273" s="107">
        <f t="shared" si="244"/>
        <v>3120.1371999999992</v>
      </c>
      <c r="AS273" s="107">
        <f t="shared" si="257"/>
        <v>35621.746966666666</v>
      </c>
      <c r="AT273" s="107">
        <f t="shared" si="258"/>
        <v>35361.735533333333</v>
      </c>
      <c r="AU273" s="107">
        <f t="shared" si="259"/>
        <v>35101.724099999999</v>
      </c>
      <c r="AV273" s="107">
        <f t="shared" si="260"/>
        <v>34841.712666666666</v>
      </c>
      <c r="AW273" s="107">
        <f t="shared" si="261"/>
        <v>34581.701233333333</v>
      </c>
      <c r="AX273" s="107">
        <f t="shared" si="262"/>
        <v>34321.6898</v>
      </c>
      <c r="AY273" s="107">
        <f t="shared" si="263"/>
        <v>34061.678366666667</v>
      </c>
      <c r="AZ273" s="107">
        <f t="shared" si="266"/>
        <v>33801.666933333334</v>
      </c>
      <c r="BA273" s="107">
        <f t="shared" si="267"/>
        <v>33541.655500000001</v>
      </c>
      <c r="BB273" s="107">
        <f t="shared" si="268"/>
        <v>33281.644066666668</v>
      </c>
      <c r="BC273" s="107">
        <f t="shared" si="269"/>
        <v>33021.632633333335</v>
      </c>
      <c r="BD273" s="107">
        <f t="shared" si="270"/>
        <v>32761.621200000001</v>
      </c>
      <c r="BE273" s="107">
        <f t="shared" si="271"/>
        <v>755.07717559999992</v>
      </c>
      <c r="BF273" s="127"/>
      <c r="BG273" s="127"/>
      <c r="BH273" s="127"/>
      <c r="BI273" s="127"/>
      <c r="BJ273" s="127"/>
      <c r="BK273" s="127"/>
      <c r="BL273" s="127"/>
      <c r="BM273" s="127"/>
      <c r="BN273" s="127"/>
      <c r="BO273" s="127"/>
      <c r="BP273" s="127"/>
      <c r="BQ273" s="127"/>
      <c r="BR273" s="127"/>
      <c r="BS273" s="127"/>
      <c r="BT273" s="127"/>
      <c r="BU273" s="127"/>
      <c r="BV273" s="127"/>
      <c r="BW273" s="127"/>
    </row>
    <row r="274" spans="1:75" ht="22.5" hidden="1" x14ac:dyDescent="0.2">
      <c r="A274" s="123" t="str">
        <f>'[2]2021 УГРЦТ'!A276</f>
        <v>КЛ-6кВ (от ГРУ до ТП № 104)  ул. Авиаторов 2013г (2320 м)</v>
      </c>
      <c r="B274" s="124" t="str">
        <f>'[2]2021 УГРЦТ'!B276</f>
        <v>000001609</v>
      </c>
      <c r="C274" s="124" t="str">
        <f>VLOOKUP(A:A,'2023-2027'!A:L,1,+FALSE)</f>
        <v>КЛ-6кВ (от ГРУ до ТП № 104)  ул. Авиаторов 2013г (2320 м)</v>
      </c>
      <c r="D274" s="124" t="str">
        <f>'[2]2021 УГРЦТ'!C276</f>
        <v>ПЕРЕДАЧА</v>
      </c>
      <c r="E274" s="124" t="str">
        <f>'[2]2021 УГРЦТ'!D276</f>
        <v>Сооружения</v>
      </c>
      <c r="F274" s="124" t="str">
        <f>'[2]2021 УГРЦТ'!E276</f>
        <v>31.01.2014</v>
      </c>
      <c r="G274" s="124" t="str">
        <f>'[2]2021 УГРЦТ'!F276</f>
        <v>Цех электрических сетей</v>
      </c>
      <c r="H274" s="124">
        <f>'[2]2021 УГРЦТ'!AC276</f>
        <v>300</v>
      </c>
      <c r="I274" s="107">
        <f>'[2]2021 УГРЦТ'!X276</f>
        <v>6108140.8300000001</v>
      </c>
      <c r="J274" s="107">
        <f>'[2]2021 УГРЦТ'!Y276</f>
        <v>1935361.8832</v>
      </c>
      <c r="K274" s="107">
        <f>'[2]2021 УГРЦТ'!Z276</f>
        <v>4172778.9468</v>
      </c>
      <c r="L274" s="125" t="e">
        <f>SUMIF([2]облаг!$B$2:$B$259,B274,[2]облаг!$D$2:$D$259)</f>
        <v>#VALUE!</v>
      </c>
      <c r="M274" s="107">
        <f t="shared" si="272"/>
        <v>20360.469433333332</v>
      </c>
      <c r="N274" s="107">
        <f t="shared" si="273"/>
        <v>244325.63319999998</v>
      </c>
      <c r="O274" s="107">
        <f t="shared" si="274"/>
        <v>4152418.4773666668</v>
      </c>
      <c r="P274" s="107">
        <f t="shared" si="275"/>
        <v>4132058.0079333335</v>
      </c>
      <c r="Q274" s="107">
        <f t="shared" si="221"/>
        <v>4111697.5385000003</v>
      </c>
      <c r="R274" s="107">
        <f t="shared" si="222"/>
        <v>4091337.069066667</v>
      </c>
      <c r="S274" s="107">
        <f t="shared" si="223"/>
        <v>4070976.5996333337</v>
      </c>
      <c r="T274" s="107">
        <f t="shared" si="224"/>
        <v>4050616.1302000005</v>
      </c>
      <c r="U274" s="107">
        <f t="shared" si="225"/>
        <v>4030255.6607666672</v>
      </c>
      <c r="V274" s="107">
        <f t="shared" si="226"/>
        <v>4009895.191333334</v>
      </c>
      <c r="W274" s="107">
        <f t="shared" si="227"/>
        <v>3989534.7219000007</v>
      </c>
      <c r="X274" s="107">
        <f t="shared" si="228"/>
        <v>3969174.2524666674</v>
      </c>
      <c r="Y274" s="107">
        <f t="shared" si="229"/>
        <v>3948813.7830333342</v>
      </c>
      <c r="Z274" s="107">
        <f t="shared" si="230"/>
        <v>3928453.3136000009</v>
      </c>
      <c r="AA274" s="107">
        <f t="shared" si="264"/>
        <v>89113.554864400023</v>
      </c>
      <c r="AB274" s="107"/>
      <c r="AC274" s="107">
        <f t="shared" si="242"/>
        <v>244325.63319999998</v>
      </c>
      <c r="AD274" s="107">
        <f t="shared" si="231"/>
        <v>3908092.8441666677</v>
      </c>
      <c r="AE274" s="107">
        <f t="shared" si="232"/>
        <v>3887732.3747333344</v>
      </c>
      <c r="AF274" s="107">
        <f t="shared" si="233"/>
        <v>3867371.9053000011</v>
      </c>
      <c r="AG274" s="107">
        <f t="shared" si="234"/>
        <v>3847011.4358666679</v>
      </c>
      <c r="AH274" s="107">
        <f t="shared" si="235"/>
        <v>3826650.9664333346</v>
      </c>
      <c r="AI274" s="107">
        <f t="shared" si="236"/>
        <v>3806290.4970000014</v>
      </c>
      <c r="AJ274" s="107">
        <f t="shared" si="237"/>
        <v>3785930.0275666681</v>
      </c>
      <c r="AK274" s="107">
        <f t="shared" si="238"/>
        <v>3765569.5581333349</v>
      </c>
      <c r="AL274" s="107">
        <f t="shared" si="239"/>
        <v>3745209.0887000016</v>
      </c>
      <c r="AM274" s="107">
        <f t="shared" si="240"/>
        <v>3724848.6192666683</v>
      </c>
      <c r="AN274" s="107">
        <f t="shared" si="241"/>
        <v>3704488.1498333351</v>
      </c>
      <c r="AO274" s="107">
        <f t="shared" si="243"/>
        <v>3684127.6804000018</v>
      </c>
      <c r="AP274" s="107">
        <f t="shared" si="265"/>
        <v>83738.390934000025</v>
      </c>
      <c r="AQ274" s="126"/>
      <c r="AR274" s="107">
        <f t="shared" si="244"/>
        <v>244325.63319999998</v>
      </c>
      <c r="AS274" s="107">
        <f t="shared" si="257"/>
        <v>3663767.2109666686</v>
      </c>
      <c r="AT274" s="107">
        <f t="shared" si="258"/>
        <v>3643406.7415333353</v>
      </c>
      <c r="AU274" s="107">
        <f t="shared" si="259"/>
        <v>3623046.272100002</v>
      </c>
      <c r="AV274" s="107">
        <f t="shared" si="260"/>
        <v>3602685.8026666688</v>
      </c>
      <c r="AW274" s="107">
        <f t="shared" si="261"/>
        <v>3582325.3332333355</v>
      </c>
      <c r="AX274" s="107">
        <f t="shared" si="262"/>
        <v>3561964.8638000023</v>
      </c>
      <c r="AY274" s="107">
        <f t="shared" si="263"/>
        <v>3541604.394366669</v>
      </c>
      <c r="AZ274" s="107">
        <f t="shared" si="266"/>
        <v>3521243.9249333357</v>
      </c>
      <c r="BA274" s="107">
        <f t="shared" si="267"/>
        <v>3500883.4555000025</v>
      </c>
      <c r="BB274" s="107">
        <f t="shared" si="268"/>
        <v>3480522.9860666692</v>
      </c>
      <c r="BC274" s="107">
        <f t="shared" si="269"/>
        <v>3460162.516633336</v>
      </c>
      <c r="BD274" s="107">
        <f t="shared" si="270"/>
        <v>3439802.0472000027</v>
      </c>
      <c r="BE274" s="107">
        <f t="shared" si="271"/>
        <v>78363.227003600041</v>
      </c>
      <c r="BF274" s="127"/>
      <c r="BG274" s="127"/>
      <c r="BH274" s="127"/>
      <c r="BI274" s="127"/>
      <c r="BJ274" s="127"/>
      <c r="BK274" s="127"/>
      <c r="BL274" s="127"/>
      <c r="BM274" s="127"/>
      <c r="BN274" s="127"/>
      <c r="BO274" s="127"/>
      <c r="BP274" s="127"/>
      <c r="BQ274" s="127"/>
      <c r="BR274" s="127"/>
      <c r="BS274" s="127"/>
      <c r="BT274" s="127"/>
      <c r="BU274" s="127"/>
      <c r="BV274" s="127"/>
      <c r="BW274" s="127"/>
    </row>
    <row r="275" spans="1:75" ht="22.5" hidden="1" x14ac:dyDescent="0.2">
      <c r="A275" s="123" t="str">
        <f>'[2]2021 УГРЦТ'!A277</f>
        <v>КЛ-6кВ (от ГРУ до ТП № 105)  ул. Авиаторов 2013г (1850 м)</v>
      </c>
      <c r="B275" s="124" t="str">
        <f>'[2]2021 УГРЦТ'!B277</f>
        <v>000001610</v>
      </c>
      <c r="C275" s="124" t="str">
        <f>VLOOKUP(A:A,'2023-2027'!A:L,1,+FALSE)</f>
        <v>КЛ-6кВ (от ГРУ до ТП № 105)  ул. Авиаторов 2013г (1850 м)</v>
      </c>
      <c r="D275" s="124" t="str">
        <f>'[2]2021 УГРЦТ'!C277</f>
        <v>ПЕРЕДАЧА</v>
      </c>
      <c r="E275" s="124" t="str">
        <f>'[2]2021 УГРЦТ'!D277</f>
        <v>Сооружения</v>
      </c>
      <c r="F275" s="124" t="str">
        <f>'[2]2021 УГРЦТ'!E277</f>
        <v>31.01.2014</v>
      </c>
      <c r="G275" s="124" t="str">
        <f>'[2]2021 УГРЦТ'!F277</f>
        <v>Цех электрических сетей</v>
      </c>
      <c r="H275" s="124">
        <f>'[2]2021 УГРЦТ'!AC277</f>
        <v>300</v>
      </c>
      <c r="I275" s="107">
        <f>'[2]2021 УГРЦТ'!X277</f>
        <v>4876511.38</v>
      </c>
      <c r="J275" s="107">
        <f>'[2]2021 УГРЦТ'!Y277</f>
        <v>1545409.7952000001</v>
      </c>
      <c r="K275" s="107">
        <f>'[2]2021 УГРЦТ'!Z277</f>
        <v>3331101.5847999998</v>
      </c>
      <c r="L275" s="125" t="e">
        <f>SUMIF([2]облаг!$B$2:$B$259,B275,[2]облаг!$D$2:$D$259)</f>
        <v>#VALUE!</v>
      </c>
      <c r="M275" s="107">
        <f t="shared" si="272"/>
        <v>16255.037933333333</v>
      </c>
      <c r="N275" s="107">
        <f t="shared" si="273"/>
        <v>195060.4552</v>
      </c>
      <c r="O275" s="107">
        <f t="shared" si="274"/>
        <v>3314846.5468666665</v>
      </c>
      <c r="P275" s="107">
        <f t="shared" si="275"/>
        <v>3298591.5089333332</v>
      </c>
      <c r="Q275" s="107">
        <f t="shared" si="221"/>
        <v>3282336.4709999999</v>
      </c>
      <c r="R275" s="107">
        <f t="shared" si="222"/>
        <v>3266081.4330666666</v>
      </c>
      <c r="S275" s="107">
        <f t="shared" si="223"/>
        <v>3249826.3951333333</v>
      </c>
      <c r="T275" s="107">
        <f t="shared" si="224"/>
        <v>3233571.3572</v>
      </c>
      <c r="U275" s="107">
        <f t="shared" si="225"/>
        <v>3217316.3192666667</v>
      </c>
      <c r="V275" s="107">
        <f t="shared" si="226"/>
        <v>3201061.2813333333</v>
      </c>
      <c r="W275" s="107">
        <f t="shared" si="227"/>
        <v>3184806.2434</v>
      </c>
      <c r="X275" s="107">
        <f t="shared" si="228"/>
        <v>3168551.2054666667</v>
      </c>
      <c r="Y275" s="107">
        <f t="shared" si="229"/>
        <v>3152296.1675333334</v>
      </c>
      <c r="Z275" s="107">
        <f t="shared" si="230"/>
        <v>3136041.1296000001</v>
      </c>
      <c r="AA275" s="107">
        <f t="shared" si="264"/>
        <v>71138.569858399991</v>
      </c>
      <c r="AB275" s="107"/>
      <c r="AC275" s="107">
        <f t="shared" si="242"/>
        <v>195060.4552</v>
      </c>
      <c r="AD275" s="107">
        <f t="shared" si="231"/>
        <v>3119786.0916666668</v>
      </c>
      <c r="AE275" s="107">
        <f t="shared" si="232"/>
        <v>3103531.0537333335</v>
      </c>
      <c r="AF275" s="107">
        <f t="shared" si="233"/>
        <v>3087276.0158000002</v>
      </c>
      <c r="AG275" s="107">
        <f t="shared" si="234"/>
        <v>3071020.9778666669</v>
      </c>
      <c r="AH275" s="107">
        <f t="shared" si="235"/>
        <v>3054765.9399333335</v>
      </c>
      <c r="AI275" s="107">
        <f t="shared" si="236"/>
        <v>3038510.9020000002</v>
      </c>
      <c r="AJ275" s="107">
        <f t="shared" si="237"/>
        <v>3022255.8640666669</v>
      </c>
      <c r="AK275" s="107">
        <f t="shared" si="238"/>
        <v>3006000.8261333336</v>
      </c>
      <c r="AL275" s="107">
        <f t="shared" si="239"/>
        <v>2989745.7882000003</v>
      </c>
      <c r="AM275" s="107">
        <f t="shared" si="240"/>
        <v>2973490.750266667</v>
      </c>
      <c r="AN275" s="107">
        <f t="shared" si="241"/>
        <v>2957235.7123333337</v>
      </c>
      <c r="AO275" s="107">
        <f t="shared" si="243"/>
        <v>2940980.6744000004</v>
      </c>
      <c r="AP275" s="107">
        <f t="shared" si="265"/>
        <v>66847.239844000011</v>
      </c>
      <c r="AQ275" s="126"/>
      <c r="AR275" s="107">
        <f t="shared" si="244"/>
        <v>195060.4552</v>
      </c>
      <c r="AS275" s="107">
        <f t="shared" si="257"/>
        <v>2924725.6364666671</v>
      </c>
      <c r="AT275" s="107">
        <f t="shared" si="258"/>
        <v>2908470.5985333337</v>
      </c>
      <c r="AU275" s="107">
        <f t="shared" si="259"/>
        <v>2892215.5606000004</v>
      </c>
      <c r="AV275" s="107">
        <f t="shared" si="260"/>
        <v>2875960.5226666671</v>
      </c>
      <c r="AW275" s="107">
        <f t="shared" si="261"/>
        <v>2859705.4847333338</v>
      </c>
      <c r="AX275" s="107">
        <f t="shared" si="262"/>
        <v>2843450.4468000005</v>
      </c>
      <c r="AY275" s="107">
        <f t="shared" si="263"/>
        <v>2827195.4088666672</v>
      </c>
      <c r="AZ275" s="107">
        <f t="shared" si="266"/>
        <v>2810940.3709333339</v>
      </c>
      <c r="BA275" s="107">
        <f t="shared" si="267"/>
        <v>2794685.3330000006</v>
      </c>
      <c r="BB275" s="107">
        <f t="shared" si="268"/>
        <v>2778430.2950666673</v>
      </c>
      <c r="BC275" s="107">
        <f t="shared" si="269"/>
        <v>2762175.2571333339</v>
      </c>
      <c r="BD275" s="107">
        <f t="shared" si="270"/>
        <v>2745920.2192000006</v>
      </c>
      <c r="BE275" s="107">
        <f t="shared" si="271"/>
        <v>62555.909829600008</v>
      </c>
      <c r="BF275" s="127"/>
      <c r="BG275" s="127"/>
      <c r="BH275" s="127"/>
      <c r="BI275" s="127"/>
      <c r="BJ275" s="127"/>
      <c r="BK275" s="127"/>
      <c r="BL275" s="127"/>
      <c r="BM275" s="127"/>
      <c r="BN275" s="127"/>
      <c r="BO275" s="127"/>
      <c r="BP275" s="127"/>
      <c r="BQ275" s="127"/>
      <c r="BR275" s="127"/>
      <c r="BS275" s="127"/>
      <c r="BT275" s="127"/>
      <c r="BU275" s="127"/>
      <c r="BV275" s="127"/>
      <c r="BW275" s="127"/>
    </row>
    <row r="276" spans="1:75" ht="33.75" hidden="1" x14ac:dyDescent="0.2">
      <c r="A276" s="123" t="str">
        <f>'[2]2021 УГРЦТ'!A278</f>
        <v>КЛ-6кВ (от ТП № 104  до ТП № 105)  ул. Авиаторов 2013г (470 м)</v>
      </c>
      <c r="B276" s="124" t="str">
        <f>'[2]2021 УГРЦТ'!B278</f>
        <v>000001611</v>
      </c>
      <c r="C276" s="124" t="str">
        <f>VLOOKUP(A:A,'2023-2027'!A:L,1,+FALSE)</f>
        <v>КЛ-6кВ (от ТП № 104  до ТП № 105)  ул. Авиаторов 2013г (470 м)</v>
      </c>
      <c r="D276" s="124" t="str">
        <f>'[2]2021 УГРЦТ'!C278</f>
        <v>ПЕРЕДАЧА</v>
      </c>
      <c r="E276" s="124" t="str">
        <f>'[2]2021 УГРЦТ'!D278</f>
        <v>Сооружения</v>
      </c>
      <c r="F276" s="124" t="str">
        <f>'[2]2021 УГРЦТ'!E278</f>
        <v>31.01.2014</v>
      </c>
      <c r="G276" s="124" t="str">
        <f>'[2]2021 УГРЦТ'!F278</f>
        <v>Цех электрических сетей</v>
      </c>
      <c r="H276" s="124">
        <f>'[2]2021 УГРЦТ'!AC278</f>
        <v>300</v>
      </c>
      <c r="I276" s="107">
        <f>'[2]2021 УГРЦТ'!X278</f>
        <v>1260237.67</v>
      </c>
      <c r="J276" s="107">
        <f>'[2]2021 УГРЦТ'!Y278</f>
        <v>400446.0968</v>
      </c>
      <c r="K276" s="107">
        <f>'[2]2021 УГРЦТ'!Z278</f>
        <v>859791.57319999998</v>
      </c>
      <c r="L276" s="125" t="e">
        <f>SUMIF([2]облаг!$B$2:$B$259,B276,[2]облаг!$D$2:$D$259)</f>
        <v>#VALUE!</v>
      </c>
      <c r="M276" s="107">
        <f t="shared" si="272"/>
        <v>4200.7922333333327</v>
      </c>
      <c r="N276" s="107">
        <f t="shared" si="273"/>
        <v>50409.506799999988</v>
      </c>
      <c r="O276" s="107">
        <f t="shared" si="274"/>
        <v>855590.78096666664</v>
      </c>
      <c r="P276" s="107">
        <f t="shared" si="275"/>
        <v>851389.9887333333</v>
      </c>
      <c r="Q276" s="107">
        <f t="shared" si="221"/>
        <v>847189.19649999996</v>
      </c>
      <c r="R276" s="107">
        <f t="shared" si="222"/>
        <v>842988.40426666662</v>
      </c>
      <c r="S276" s="107">
        <f t="shared" si="223"/>
        <v>838787.61203333328</v>
      </c>
      <c r="T276" s="107">
        <f t="shared" si="224"/>
        <v>834586.81979999994</v>
      </c>
      <c r="U276" s="107">
        <f t="shared" si="225"/>
        <v>830386.0275666666</v>
      </c>
      <c r="V276" s="107">
        <f t="shared" si="226"/>
        <v>826185.23533333326</v>
      </c>
      <c r="W276" s="107">
        <f t="shared" si="227"/>
        <v>821984.44309999992</v>
      </c>
      <c r="X276" s="107">
        <f t="shared" si="228"/>
        <v>817783.65086666658</v>
      </c>
      <c r="Y276" s="107">
        <f t="shared" si="229"/>
        <v>813582.85863333324</v>
      </c>
      <c r="Z276" s="107">
        <f t="shared" si="230"/>
        <v>809382.06639999989</v>
      </c>
      <c r="AA276" s="107">
        <f t="shared" si="264"/>
        <v>18360.910035599998</v>
      </c>
      <c r="AB276" s="107"/>
      <c r="AC276" s="107">
        <f t="shared" si="242"/>
        <v>50409.506799999988</v>
      </c>
      <c r="AD276" s="107">
        <f t="shared" si="231"/>
        <v>805181.27416666655</v>
      </c>
      <c r="AE276" s="107">
        <f t="shared" si="232"/>
        <v>800980.48193333321</v>
      </c>
      <c r="AF276" s="107">
        <f t="shared" si="233"/>
        <v>796779.68969999987</v>
      </c>
      <c r="AG276" s="107">
        <f t="shared" si="234"/>
        <v>792578.89746666653</v>
      </c>
      <c r="AH276" s="107">
        <f t="shared" si="235"/>
        <v>788378.10523333319</v>
      </c>
      <c r="AI276" s="107">
        <f t="shared" si="236"/>
        <v>784177.31299999985</v>
      </c>
      <c r="AJ276" s="107">
        <f t="shared" si="237"/>
        <v>779976.52076666651</v>
      </c>
      <c r="AK276" s="107">
        <f t="shared" si="238"/>
        <v>775775.72853333317</v>
      </c>
      <c r="AL276" s="107">
        <f t="shared" si="239"/>
        <v>771574.93629999983</v>
      </c>
      <c r="AM276" s="107">
        <f t="shared" si="240"/>
        <v>767374.14406666649</v>
      </c>
      <c r="AN276" s="107">
        <f t="shared" si="241"/>
        <v>763173.35183333314</v>
      </c>
      <c r="AO276" s="107">
        <f t="shared" si="243"/>
        <v>758972.5595999998</v>
      </c>
      <c r="AP276" s="107">
        <f t="shared" si="265"/>
        <v>17251.900885999996</v>
      </c>
      <c r="AQ276" s="126"/>
      <c r="AR276" s="107">
        <f t="shared" si="244"/>
        <v>50409.506799999988</v>
      </c>
      <c r="AS276" s="107">
        <f t="shared" si="257"/>
        <v>754771.76736666646</v>
      </c>
      <c r="AT276" s="107">
        <f t="shared" si="258"/>
        <v>750570.97513333312</v>
      </c>
      <c r="AU276" s="107">
        <f t="shared" si="259"/>
        <v>746370.18289999978</v>
      </c>
      <c r="AV276" s="107">
        <f t="shared" si="260"/>
        <v>742169.39066666644</v>
      </c>
      <c r="AW276" s="107">
        <f t="shared" si="261"/>
        <v>737968.5984333331</v>
      </c>
      <c r="AX276" s="107">
        <f t="shared" si="262"/>
        <v>733767.80619999976</v>
      </c>
      <c r="AY276" s="107">
        <f t="shared" si="263"/>
        <v>729567.01396666642</v>
      </c>
      <c r="AZ276" s="107">
        <f t="shared" si="266"/>
        <v>725366.22173333308</v>
      </c>
      <c r="BA276" s="107">
        <f t="shared" si="267"/>
        <v>721165.42949999974</v>
      </c>
      <c r="BB276" s="107">
        <f t="shared" si="268"/>
        <v>716964.6372666664</v>
      </c>
      <c r="BC276" s="107">
        <f t="shared" si="269"/>
        <v>712763.84503333305</v>
      </c>
      <c r="BD276" s="107">
        <f t="shared" si="270"/>
        <v>708563.05279999971</v>
      </c>
      <c r="BE276" s="107">
        <f t="shared" si="271"/>
        <v>16142.891736399992</v>
      </c>
      <c r="BF276" s="127"/>
      <c r="BG276" s="127"/>
      <c r="BH276" s="127"/>
      <c r="BI276" s="127"/>
      <c r="BJ276" s="127"/>
      <c r="BK276" s="127"/>
      <c r="BL276" s="127"/>
      <c r="BM276" s="127"/>
      <c r="BN276" s="127"/>
      <c r="BO276" s="127"/>
      <c r="BP276" s="127"/>
      <c r="BQ276" s="127"/>
      <c r="BR276" s="127"/>
      <c r="BS276" s="127"/>
      <c r="BT276" s="127"/>
      <c r="BU276" s="127"/>
      <c r="BV276" s="127"/>
      <c r="BW276" s="127"/>
    </row>
    <row r="277" spans="1:75" ht="22.5" hidden="1" x14ac:dyDescent="0.2">
      <c r="A277" s="123" t="str">
        <f>'[2]2021 УГРЦТ'!A279</f>
        <v>КЛ-6кВ по улице Южная от ТП №34 до ТП №104</v>
      </c>
      <c r="B277" s="124" t="str">
        <f>'[2]2021 УГРЦТ'!B279</f>
        <v>000001691</v>
      </c>
      <c r="C277" s="124" t="str">
        <f>VLOOKUP(A:A,'2023-2027'!A:L,1,+FALSE)</f>
        <v>КЛ-6кВ по улице Южная от ТП №34 до ТП №104</v>
      </c>
      <c r="D277" s="124" t="str">
        <f>'[2]2021 УГРЦТ'!C279</f>
        <v>ПЕРЕДАЧА</v>
      </c>
      <c r="E277" s="124" t="str">
        <f>'[2]2021 УГРЦТ'!D279</f>
        <v>Сооружения</v>
      </c>
      <c r="F277" s="124" t="str">
        <f>'[2]2021 УГРЦТ'!E279</f>
        <v>30.11.2016</v>
      </c>
      <c r="G277" s="124" t="str">
        <f>'[2]2021 УГРЦТ'!F279</f>
        <v>Цех электрических сетей</v>
      </c>
      <c r="H277" s="124">
        <f>'[2]2021 УГРЦТ'!AC279</f>
        <v>300</v>
      </c>
      <c r="I277" s="107">
        <f>'[2]2021 УГРЦТ'!X279</f>
        <v>1603423.77</v>
      </c>
      <c r="J277" s="107">
        <f>'[2]2021 УГРЦТ'!Y279</f>
        <v>326029.70079999999</v>
      </c>
      <c r="K277" s="107">
        <f>'[2]2021 УГРЦТ'!Z279</f>
        <v>1277394.0692</v>
      </c>
      <c r="L277" s="125" t="e">
        <f>SUMIF([2]облаг!$B$2:$B$259,B277,[2]облаг!$D$2:$D$259)</f>
        <v>#VALUE!</v>
      </c>
      <c r="M277" s="107">
        <f t="shared" si="272"/>
        <v>5344.7458999999999</v>
      </c>
      <c r="N277" s="107">
        <f t="shared" si="273"/>
        <v>64136.950799999999</v>
      </c>
      <c r="O277" s="107">
        <f t="shared" si="274"/>
        <v>1272049.3233</v>
      </c>
      <c r="P277" s="107">
        <f t="shared" si="275"/>
        <v>1266704.5774000001</v>
      </c>
      <c r="Q277" s="107">
        <f t="shared" si="221"/>
        <v>1261359.8315000001</v>
      </c>
      <c r="R277" s="107">
        <f t="shared" si="222"/>
        <v>1256015.0856000001</v>
      </c>
      <c r="S277" s="107">
        <f t="shared" si="223"/>
        <v>1250670.3397000001</v>
      </c>
      <c r="T277" s="107">
        <f t="shared" si="224"/>
        <v>1245325.5938000001</v>
      </c>
      <c r="U277" s="107">
        <f t="shared" si="225"/>
        <v>1239980.8479000002</v>
      </c>
      <c r="V277" s="107">
        <f t="shared" si="226"/>
        <v>1234636.1020000002</v>
      </c>
      <c r="W277" s="107">
        <f t="shared" si="227"/>
        <v>1229291.3561000002</v>
      </c>
      <c r="X277" s="107">
        <f t="shared" si="228"/>
        <v>1223946.6102000002</v>
      </c>
      <c r="Y277" s="107">
        <f t="shared" si="229"/>
        <v>1218601.8643000002</v>
      </c>
      <c r="Z277" s="107">
        <f t="shared" si="230"/>
        <v>1213257.1184000003</v>
      </c>
      <c r="AA277" s="107">
        <f t="shared" si="264"/>
        <v>27397.163063600001</v>
      </c>
      <c r="AB277" s="107"/>
      <c r="AC277" s="107">
        <f t="shared" si="242"/>
        <v>64136.950799999999</v>
      </c>
      <c r="AD277" s="107">
        <f t="shared" si="231"/>
        <v>1207912.3725000003</v>
      </c>
      <c r="AE277" s="107">
        <f t="shared" si="232"/>
        <v>1202567.6266000003</v>
      </c>
      <c r="AF277" s="107">
        <f t="shared" si="233"/>
        <v>1197222.8807000003</v>
      </c>
      <c r="AG277" s="107">
        <f t="shared" si="234"/>
        <v>1191878.1348000003</v>
      </c>
      <c r="AH277" s="107">
        <f t="shared" si="235"/>
        <v>1186533.3889000004</v>
      </c>
      <c r="AI277" s="107">
        <f t="shared" si="236"/>
        <v>1181188.6430000004</v>
      </c>
      <c r="AJ277" s="107">
        <f t="shared" si="237"/>
        <v>1175843.8971000004</v>
      </c>
      <c r="AK277" s="107">
        <f t="shared" si="238"/>
        <v>1170499.1512000004</v>
      </c>
      <c r="AL277" s="107">
        <f t="shared" si="239"/>
        <v>1165154.4053000004</v>
      </c>
      <c r="AM277" s="107">
        <f t="shared" si="240"/>
        <v>1159809.6594000005</v>
      </c>
      <c r="AN277" s="107">
        <f t="shared" si="241"/>
        <v>1154464.9135000005</v>
      </c>
      <c r="AO277" s="107">
        <f t="shared" si="243"/>
        <v>1149120.1676000005</v>
      </c>
      <c r="AP277" s="107">
        <f t="shared" si="265"/>
        <v>25986.150146000007</v>
      </c>
      <c r="AQ277" s="126"/>
      <c r="AR277" s="107">
        <f t="shared" si="244"/>
        <v>64136.950799999999</v>
      </c>
      <c r="AS277" s="107">
        <f t="shared" si="257"/>
        <v>1143775.4217000005</v>
      </c>
      <c r="AT277" s="107">
        <f t="shared" si="258"/>
        <v>1138430.6758000006</v>
      </c>
      <c r="AU277" s="107">
        <f t="shared" si="259"/>
        <v>1133085.9299000006</v>
      </c>
      <c r="AV277" s="107">
        <f t="shared" si="260"/>
        <v>1127741.1840000006</v>
      </c>
      <c r="AW277" s="107">
        <f t="shared" si="261"/>
        <v>1122396.4381000006</v>
      </c>
      <c r="AX277" s="107">
        <f t="shared" si="262"/>
        <v>1117051.6922000006</v>
      </c>
      <c r="AY277" s="107">
        <f t="shared" si="263"/>
        <v>1111706.9463000007</v>
      </c>
      <c r="AZ277" s="107">
        <f t="shared" si="266"/>
        <v>1106362.2004000007</v>
      </c>
      <c r="BA277" s="107">
        <f t="shared" si="267"/>
        <v>1101017.4545000007</v>
      </c>
      <c r="BB277" s="107">
        <f t="shared" si="268"/>
        <v>1095672.7086000007</v>
      </c>
      <c r="BC277" s="107">
        <f t="shared" si="269"/>
        <v>1090327.9627000007</v>
      </c>
      <c r="BD277" s="107">
        <f t="shared" si="270"/>
        <v>1084983.2168000008</v>
      </c>
      <c r="BE277" s="107">
        <f t="shared" si="271"/>
        <v>24575.137228400014</v>
      </c>
      <c r="BF277" s="127"/>
      <c r="BG277" s="127"/>
      <c r="BH277" s="127"/>
      <c r="BI277" s="127"/>
      <c r="BJ277" s="127"/>
      <c r="BK277" s="127"/>
      <c r="BL277" s="127"/>
      <c r="BM277" s="127"/>
      <c r="BN277" s="127"/>
      <c r="BO277" s="127"/>
      <c r="BP277" s="127"/>
      <c r="BQ277" s="127"/>
      <c r="BR277" s="127"/>
      <c r="BS277" s="127"/>
      <c r="BT277" s="127"/>
      <c r="BU277" s="127"/>
      <c r="BV277" s="127"/>
      <c r="BW277" s="127"/>
    </row>
    <row r="278" spans="1:75" ht="22.5" hidden="1" x14ac:dyDescent="0.2">
      <c r="A278" s="123" t="str">
        <f>'[2]2021 УГРЦТ'!A280</f>
        <v>КЛ-6кВ ТП №21-ТП №113 "Молодежный центр"</v>
      </c>
      <c r="B278" s="124" t="str">
        <f>'[2]2021 УГРЦТ'!B280</f>
        <v>000001693</v>
      </c>
      <c r="C278" s="124" t="str">
        <f>VLOOKUP(A:A,'2023-2027'!A:L,1,+FALSE)</f>
        <v>КЛ-6кВ ТП №21-ТП №113 "Молодежный центр"</v>
      </c>
      <c r="D278" s="124" t="str">
        <f>'[2]2021 УГРЦТ'!C280</f>
        <v>ПЕРЕДАЧА</v>
      </c>
      <c r="E278" s="124" t="str">
        <f>'[2]2021 УГРЦТ'!D280</f>
        <v>Сооружения</v>
      </c>
      <c r="F278" s="124" t="str">
        <f>'[2]2021 УГРЦТ'!E280</f>
        <v>30.11.2016</v>
      </c>
      <c r="G278" s="124" t="str">
        <f>'[2]2021 УГРЦТ'!F280</f>
        <v>Цех электрических сетей</v>
      </c>
      <c r="H278" s="124">
        <f>'[2]2021 УГРЦТ'!AC280</f>
        <v>300</v>
      </c>
      <c r="I278" s="107">
        <f>'[2]2021 УГРЦТ'!X280</f>
        <v>534839</v>
      </c>
      <c r="J278" s="107">
        <f>'[2]2021 УГРЦТ'!Y280</f>
        <v>108750.76</v>
      </c>
      <c r="K278" s="107">
        <f>'[2]2021 УГРЦТ'!Z280</f>
        <v>426088.24</v>
      </c>
      <c r="L278" s="125" t="e">
        <f>SUMIF([2]облаг!$B$2:$B$259,B278,[2]облаг!$D$2:$D$259)</f>
        <v>#VALUE!</v>
      </c>
      <c r="M278" s="107">
        <f t="shared" si="272"/>
        <v>1782.7966666666666</v>
      </c>
      <c r="N278" s="107">
        <f t="shared" si="273"/>
        <v>21393.559999999998</v>
      </c>
      <c r="O278" s="107">
        <f t="shared" si="274"/>
        <v>424305.4433333333</v>
      </c>
      <c r="P278" s="107">
        <f t="shared" si="275"/>
        <v>422522.64666666661</v>
      </c>
      <c r="Q278" s="107">
        <f t="shared" si="221"/>
        <v>420739.84999999992</v>
      </c>
      <c r="R278" s="107">
        <f t="shared" si="222"/>
        <v>418957.05333333323</v>
      </c>
      <c r="S278" s="107">
        <f t="shared" si="223"/>
        <v>417174.25666666654</v>
      </c>
      <c r="T278" s="107">
        <f t="shared" si="224"/>
        <v>415391.45999999985</v>
      </c>
      <c r="U278" s="107">
        <f t="shared" si="225"/>
        <v>413608.66333333316</v>
      </c>
      <c r="V278" s="107">
        <f t="shared" si="226"/>
        <v>411825.86666666646</v>
      </c>
      <c r="W278" s="107">
        <f t="shared" si="227"/>
        <v>410043.06999999977</v>
      </c>
      <c r="X278" s="107">
        <f t="shared" si="228"/>
        <v>408260.27333333308</v>
      </c>
      <c r="Y278" s="107">
        <f t="shared" si="229"/>
        <v>406477.47666666639</v>
      </c>
      <c r="Z278" s="107">
        <f t="shared" si="230"/>
        <v>404694.6799999997</v>
      </c>
      <c r="AA278" s="107">
        <f t="shared" si="264"/>
        <v>9138.612119999998</v>
      </c>
      <c r="AB278" s="107"/>
      <c r="AC278" s="107">
        <f t="shared" si="242"/>
        <v>21393.559999999998</v>
      </c>
      <c r="AD278" s="107">
        <f t="shared" si="231"/>
        <v>402911.88333333301</v>
      </c>
      <c r="AE278" s="107">
        <f t="shared" si="232"/>
        <v>401129.08666666632</v>
      </c>
      <c r="AF278" s="107">
        <f t="shared" si="233"/>
        <v>399346.28999999963</v>
      </c>
      <c r="AG278" s="107">
        <f t="shared" si="234"/>
        <v>397563.49333333294</v>
      </c>
      <c r="AH278" s="107">
        <f t="shared" si="235"/>
        <v>395780.69666666625</v>
      </c>
      <c r="AI278" s="107">
        <f t="shared" si="236"/>
        <v>393997.89999999956</v>
      </c>
      <c r="AJ278" s="107">
        <f t="shared" si="237"/>
        <v>392215.10333333287</v>
      </c>
      <c r="AK278" s="107">
        <f t="shared" si="238"/>
        <v>390432.30666666618</v>
      </c>
      <c r="AL278" s="107">
        <f t="shared" si="239"/>
        <v>388649.50999999949</v>
      </c>
      <c r="AM278" s="107">
        <f t="shared" si="240"/>
        <v>386866.71333333279</v>
      </c>
      <c r="AN278" s="107">
        <f t="shared" si="241"/>
        <v>385083.9166666661</v>
      </c>
      <c r="AO278" s="107">
        <f t="shared" si="243"/>
        <v>383301.11999999941</v>
      </c>
      <c r="AP278" s="107">
        <f t="shared" si="265"/>
        <v>8667.9537999999902</v>
      </c>
      <c r="AQ278" s="126"/>
      <c r="AR278" s="107">
        <f t="shared" si="244"/>
        <v>21393.559999999998</v>
      </c>
      <c r="AS278" s="107">
        <f t="shared" si="257"/>
        <v>381518.32333333272</v>
      </c>
      <c r="AT278" s="107">
        <f t="shared" si="258"/>
        <v>379735.52666666603</v>
      </c>
      <c r="AU278" s="107">
        <f t="shared" si="259"/>
        <v>377952.72999999934</v>
      </c>
      <c r="AV278" s="107">
        <f t="shared" si="260"/>
        <v>376169.93333333265</v>
      </c>
      <c r="AW278" s="107">
        <f t="shared" si="261"/>
        <v>374387.13666666596</v>
      </c>
      <c r="AX278" s="107">
        <f t="shared" si="262"/>
        <v>372604.33999999927</v>
      </c>
      <c r="AY278" s="107">
        <f t="shared" si="263"/>
        <v>370821.54333333258</v>
      </c>
      <c r="AZ278" s="107">
        <f t="shared" si="266"/>
        <v>369038.74666666589</v>
      </c>
      <c r="BA278" s="107">
        <f t="shared" si="267"/>
        <v>367255.9499999992</v>
      </c>
      <c r="BB278" s="107">
        <f t="shared" si="268"/>
        <v>365473.15333333251</v>
      </c>
      <c r="BC278" s="107">
        <f t="shared" si="269"/>
        <v>363690.35666666582</v>
      </c>
      <c r="BD278" s="107">
        <f t="shared" si="270"/>
        <v>361907.55999999912</v>
      </c>
      <c r="BE278" s="107">
        <f t="shared" si="271"/>
        <v>8197.2954799999843</v>
      </c>
      <c r="BF278" s="127"/>
      <c r="BG278" s="127"/>
      <c r="BH278" s="127"/>
      <c r="BI278" s="127"/>
      <c r="BJ278" s="127"/>
      <c r="BK278" s="127"/>
      <c r="BL278" s="127"/>
      <c r="BM278" s="127"/>
      <c r="BN278" s="127"/>
      <c r="BO278" s="127"/>
      <c r="BP278" s="127"/>
      <c r="BQ278" s="127"/>
      <c r="BR278" s="127"/>
      <c r="BS278" s="127"/>
      <c r="BT278" s="127"/>
      <c r="BU278" s="127"/>
      <c r="BV278" s="127"/>
      <c r="BW278" s="127"/>
    </row>
    <row r="279" spans="1:75" ht="22.5" hidden="1" x14ac:dyDescent="0.2">
      <c r="A279" s="123" t="str">
        <f>'[2]2021 УГРЦТ'!A281</f>
        <v>КЛ-6кВ ТП №7-ТП №113 "Молодежный центр"</v>
      </c>
      <c r="B279" s="124" t="str">
        <f>'[2]2021 УГРЦТ'!B281</f>
        <v>000001692</v>
      </c>
      <c r="C279" s="124" t="str">
        <f>VLOOKUP(A:A,'2023-2027'!A:L,1,+FALSE)</f>
        <v>КЛ-6кВ ТП №7-ТП №113 "Молодежный центр"</v>
      </c>
      <c r="D279" s="124" t="str">
        <f>'[2]2021 УГРЦТ'!C281</f>
        <v>ПЕРЕДАЧА</v>
      </c>
      <c r="E279" s="124" t="str">
        <f>'[2]2021 УГРЦТ'!D281</f>
        <v>Сооружения</v>
      </c>
      <c r="F279" s="124" t="str">
        <f>'[2]2021 УГРЦТ'!E281</f>
        <v>30.11.2016</v>
      </c>
      <c r="G279" s="124" t="str">
        <f>'[2]2021 УГРЦТ'!F281</f>
        <v>Цех электрических сетей</v>
      </c>
      <c r="H279" s="124">
        <f>'[2]2021 УГРЦТ'!AC281</f>
        <v>300</v>
      </c>
      <c r="I279" s="107">
        <f>'[2]2021 УГРЦТ'!X281</f>
        <v>1839551</v>
      </c>
      <c r="J279" s="107">
        <f>'[2]2021 УГРЦТ'!Y281</f>
        <v>374042.2</v>
      </c>
      <c r="K279" s="107">
        <f>'[2]2021 УГРЦТ'!Z281</f>
        <v>1465508.8</v>
      </c>
      <c r="L279" s="125" t="e">
        <f>SUMIF([2]облаг!$B$2:$B$259,B279,[2]облаг!$D$2:$D$259)</f>
        <v>#VALUE!</v>
      </c>
      <c r="M279" s="107">
        <f t="shared" si="272"/>
        <v>6131.836666666667</v>
      </c>
      <c r="N279" s="107">
        <f t="shared" si="273"/>
        <v>73582.040000000008</v>
      </c>
      <c r="O279" s="107">
        <f t="shared" si="274"/>
        <v>1459376.9633333334</v>
      </c>
      <c r="P279" s="107">
        <f t="shared" si="275"/>
        <v>1453245.1266666667</v>
      </c>
      <c r="Q279" s="107">
        <f t="shared" si="221"/>
        <v>1447113.29</v>
      </c>
      <c r="R279" s="107">
        <f t="shared" si="222"/>
        <v>1440981.4533333334</v>
      </c>
      <c r="S279" s="107">
        <f t="shared" si="223"/>
        <v>1434849.6166666667</v>
      </c>
      <c r="T279" s="107">
        <f t="shared" si="224"/>
        <v>1428717.78</v>
      </c>
      <c r="U279" s="107">
        <f t="shared" si="225"/>
        <v>1422585.9433333334</v>
      </c>
      <c r="V279" s="107">
        <f t="shared" si="226"/>
        <v>1416454.1066666667</v>
      </c>
      <c r="W279" s="107">
        <f t="shared" si="227"/>
        <v>1410322.27</v>
      </c>
      <c r="X279" s="107">
        <f t="shared" si="228"/>
        <v>1404190.4333333333</v>
      </c>
      <c r="Y279" s="107">
        <f t="shared" si="229"/>
        <v>1398058.5966666667</v>
      </c>
      <c r="Z279" s="107">
        <f t="shared" si="230"/>
        <v>1391926.76</v>
      </c>
      <c r="AA279" s="107">
        <f t="shared" si="264"/>
        <v>31431.791159999997</v>
      </c>
      <c r="AB279" s="107"/>
      <c r="AC279" s="107">
        <f t="shared" si="242"/>
        <v>73582.040000000008</v>
      </c>
      <c r="AD279" s="107">
        <f t="shared" si="231"/>
        <v>1385794.9233333333</v>
      </c>
      <c r="AE279" s="107">
        <f t="shared" si="232"/>
        <v>1379663.0866666667</v>
      </c>
      <c r="AF279" s="107">
        <f t="shared" si="233"/>
        <v>1373531.25</v>
      </c>
      <c r="AG279" s="107">
        <f t="shared" si="234"/>
        <v>1367399.4133333333</v>
      </c>
      <c r="AH279" s="107">
        <f t="shared" si="235"/>
        <v>1361267.5766666667</v>
      </c>
      <c r="AI279" s="107">
        <f t="shared" si="236"/>
        <v>1355135.74</v>
      </c>
      <c r="AJ279" s="107">
        <f t="shared" si="237"/>
        <v>1349003.9033333333</v>
      </c>
      <c r="AK279" s="107">
        <f t="shared" si="238"/>
        <v>1342872.0666666667</v>
      </c>
      <c r="AL279" s="107">
        <f t="shared" si="239"/>
        <v>1336740.23</v>
      </c>
      <c r="AM279" s="107">
        <f t="shared" si="240"/>
        <v>1330608.3933333333</v>
      </c>
      <c r="AN279" s="107">
        <f t="shared" si="241"/>
        <v>1324476.5566666666</v>
      </c>
      <c r="AO279" s="107">
        <f t="shared" si="243"/>
        <v>1318344.72</v>
      </c>
      <c r="AP279" s="107">
        <f t="shared" si="265"/>
        <v>29812.986279999997</v>
      </c>
      <c r="AQ279" s="126"/>
      <c r="AR279" s="107">
        <f t="shared" si="244"/>
        <v>73582.040000000008</v>
      </c>
      <c r="AS279" s="107">
        <f t="shared" si="257"/>
        <v>1312212.8833333333</v>
      </c>
      <c r="AT279" s="107">
        <f t="shared" si="258"/>
        <v>1306081.0466666666</v>
      </c>
      <c r="AU279" s="107">
        <f t="shared" si="259"/>
        <v>1299949.21</v>
      </c>
      <c r="AV279" s="107">
        <f t="shared" si="260"/>
        <v>1293817.3733333333</v>
      </c>
      <c r="AW279" s="107">
        <f t="shared" si="261"/>
        <v>1287685.5366666666</v>
      </c>
      <c r="AX279" s="107">
        <f t="shared" si="262"/>
        <v>1281553.7</v>
      </c>
      <c r="AY279" s="107">
        <f t="shared" si="263"/>
        <v>1275421.8633333333</v>
      </c>
      <c r="AZ279" s="107">
        <f t="shared" si="266"/>
        <v>1269290.0266666666</v>
      </c>
      <c r="BA279" s="107">
        <f t="shared" si="267"/>
        <v>1263158.19</v>
      </c>
      <c r="BB279" s="107">
        <f t="shared" si="268"/>
        <v>1257026.3533333333</v>
      </c>
      <c r="BC279" s="107">
        <f t="shared" si="269"/>
        <v>1250894.5166666666</v>
      </c>
      <c r="BD279" s="107">
        <f t="shared" si="270"/>
        <v>1244762.68</v>
      </c>
      <c r="BE279" s="107">
        <f t="shared" si="271"/>
        <v>28194.181399999998</v>
      </c>
      <c r="BF279" s="127"/>
      <c r="BG279" s="127"/>
      <c r="BH279" s="127"/>
      <c r="BI279" s="127"/>
      <c r="BJ279" s="127"/>
      <c r="BK279" s="127"/>
      <c r="BL279" s="127"/>
      <c r="BM279" s="127"/>
      <c r="BN279" s="127"/>
      <c r="BO279" s="127"/>
      <c r="BP279" s="127"/>
      <c r="BQ279" s="127"/>
      <c r="BR279" s="127"/>
      <c r="BS279" s="127"/>
      <c r="BT279" s="127"/>
      <c r="BU279" s="127"/>
      <c r="BV279" s="127"/>
      <c r="BW279" s="127"/>
    </row>
    <row r="280" spans="1:75" ht="22.5" hidden="1" x14ac:dyDescent="0.2">
      <c r="A280" s="123" t="str">
        <f>'[2]2021 УГРЦТ'!A282</f>
        <v>Комплексная трансформаторная подстанция</v>
      </c>
      <c r="B280" s="140" t="str">
        <f>'[2]2021 УГРЦТ'!B282</f>
        <v>000001846</v>
      </c>
      <c r="C280" s="124" t="str">
        <f>VLOOKUP(A:A,'2023-2027'!A:L,1,+FALSE)</f>
        <v>Комплексная трансформаторная подстанция</v>
      </c>
      <c r="D280" s="124" t="str">
        <f>'[2]2021 УГРЦТ'!C282</f>
        <v>ПЕРЕДАЧА</v>
      </c>
      <c r="E280" s="124" t="str">
        <f>'[2]2021 УГРЦТ'!D282</f>
        <v>Сооружения</v>
      </c>
      <c r="F280" s="124" t="str">
        <f>'[2]2021 УГРЦТ'!E282</f>
        <v>14.04.2021</v>
      </c>
      <c r="G280" s="124" t="str">
        <f>'[2]2021 УГРЦТ'!F282</f>
        <v>Цех электрических сетей</v>
      </c>
      <c r="H280" s="124">
        <f>'[2]2021 УГРЦТ'!AC282</f>
        <v>300</v>
      </c>
      <c r="I280" s="107">
        <v>13972965.5</v>
      </c>
      <c r="J280" s="107">
        <v>372612.41333333333</v>
      </c>
      <c r="K280" s="107">
        <v>13600353.086666666</v>
      </c>
      <c r="L280" s="125" t="e">
        <f>SUMIF([2]облаг!$B$2:$B$259,B280,[2]облаг!$D$2:$D$259)</f>
        <v>#VALUE!</v>
      </c>
      <c r="M280" s="107">
        <f t="shared" si="272"/>
        <v>46576.551666666666</v>
      </c>
      <c r="N280" s="107">
        <f t="shared" si="273"/>
        <v>558918.62</v>
      </c>
      <c r="O280" s="107">
        <f t="shared" si="274"/>
        <v>13553776.535</v>
      </c>
      <c r="P280" s="107">
        <f t="shared" si="275"/>
        <v>13507199.983333334</v>
      </c>
      <c r="Q280" s="107">
        <f t="shared" si="221"/>
        <v>13460623.431666669</v>
      </c>
      <c r="R280" s="107">
        <f t="shared" si="222"/>
        <v>13414046.880000003</v>
      </c>
      <c r="S280" s="107">
        <f t="shared" si="223"/>
        <v>13367470.328333337</v>
      </c>
      <c r="T280" s="107">
        <f t="shared" si="224"/>
        <v>13320893.776666671</v>
      </c>
      <c r="U280" s="107">
        <f t="shared" si="225"/>
        <v>13274317.225000005</v>
      </c>
      <c r="V280" s="107">
        <f t="shared" si="226"/>
        <v>13227740.673333339</v>
      </c>
      <c r="W280" s="107">
        <f t="shared" si="227"/>
        <v>13181164.121666674</v>
      </c>
      <c r="X280" s="107">
        <f t="shared" si="228"/>
        <v>13134587.570000008</v>
      </c>
      <c r="Y280" s="107">
        <f t="shared" si="229"/>
        <v>13088011.018333342</v>
      </c>
      <c r="Z280" s="107">
        <f t="shared" si="230"/>
        <v>13041434.466666676</v>
      </c>
      <c r="AA280" s="107">
        <f t="shared" si="264"/>
        <v>293059.66308666673</v>
      </c>
      <c r="AB280" s="107"/>
      <c r="AC280" s="107">
        <f t="shared" si="242"/>
        <v>558918.62</v>
      </c>
      <c r="AD280" s="107">
        <f t="shared" si="231"/>
        <v>12994857.91500001</v>
      </c>
      <c r="AE280" s="107">
        <f t="shared" si="232"/>
        <v>12948281.363333344</v>
      </c>
      <c r="AF280" s="107">
        <f t="shared" si="233"/>
        <v>12901704.811666679</v>
      </c>
      <c r="AG280" s="107">
        <f t="shared" si="234"/>
        <v>12855128.260000013</v>
      </c>
      <c r="AH280" s="107">
        <f t="shared" si="235"/>
        <v>12808551.708333347</v>
      </c>
      <c r="AI280" s="107">
        <f t="shared" si="236"/>
        <v>12761975.156666681</v>
      </c>
      <c r="AJ280" s="107">
        <f t="shared" si="237"/>
        <v>12715398.605000015</v>
      </c>
      <c r="AK280" s="107">
        <f t="shared" si="238"/>
        <v>12668822.05333335</v>
      </c>
      <c r="AL280" s="107">
        <f t="shared" si="239"/>
        <v>12622245.501666684</v>
      </c>
      <c r="AM280" s="107">
        <f t="shared" si="240"/>
        <v>12575668.950000018</v>
      </c>
      <c r="AN280" s="107">
        <f t="shared" si="241"/>
        <v>12529092.398333352</v>
      </c>
      <c r="AO280" s="107">
        <f t="shared" si="243"/>
        <v>12482515.846666686</v>
      </c>
      <c r="AP280" s="107">
        <f t="shared" si="265"/>
        <v>280763.453446667</v>
      </c>
      <c r="AQ280" s="126"/>
      <c r="AR280" s="107">
        <f t="shared" si="244"/>
        <v>558918.62</v>
      </c>
      <c r="AS280" s="107">
        <f t="shared" si="257"/>
        <v>12435939.29500002</v>
      </c>
      <c r="AT280" s="107">
        <f t="shared" si="258"/>
        <v>12389362.743333355</v>
      </c>
      <c r="AU280" s="107">
        <f t="shared" si="259"/>
        <v>12342786.191666689</v>
      </c>
      <c r="AV280" s="107">
        <f t="shared" si="260"/>
        <v>12296209.640000023</v>
      </c>
      <c r="AW280" s="107">
        <f t="shared" si="261"/>
        <v>12249633.088333357</v>
      </c>
      <c r="AX280" s="107">
        <f t="shared" si="262"/>
        <v>12203056.536666691</v>
      </c>
      <c r="AY280" s="107">
        <f t="shared" si="263"/>
        <v>12156479.985000025</v>
      </c>
      <c r="AZ280" s="107">
        <f t="shared" si="266"/>
        <v>12109903.43333336</v>
      </c>
      <c r="BA280" s="107">
        <f t="shared" si="267"/>
        <v>12063326.881666694</v>
      </c>
      <c r="BB280" s="107">
        <f t="shared" si="268"/>
        <v>12016750.330000028</v>
      </c>
      <c r="BC280" s="107">
        <f t="shared" si="269"/>
        <v>11970173.778333362</v>
      </c>
      <c r="BD280" s="107">
        <f t="shared" si="270"/>
        <v>11923597.226666696</v>
      </c>
      <c r="BE280" s="107">
        <f t="shared" si="271"/>
        <v>268467.24380666722</v>
      </c>
      <c r="BF280" s="127"/>
      <c r="BG280" s="127"/>
      <c r="BH280" s="127"/>
      <c r="BI280" s="127"/>
      <c r="BJ280" s="127"/>
      <c r="BK280" s="127"/>
      <c r="BL280" s="127"/>
      <c r="BM280" s="127"/>
      <c r="BN280" s="127"/>
      <c r="BO280" s="127"/>
      <c r="BP280" s="127"/>
      <c r="BQ280" s="127"/>
      <c r="BR280" s="127"/>
      <c r="BS280" s="127"/>
      <c r="BT280" s="127"/>
      <c r="BU280" s="127"/>
      <c r="BV280" s="127"/>
      <c r="BW280" s="127"/>
    </row>
    <row r="281" spans="1:75" ht="22.5" hidden="1" x14ac:dyDescent="0.2">
      <c r="A281" s="123" t="str">
        <f>'[2]2021 УГРЦТ'!A283</f>
        <v>Комплексная трансформаторная подстанция ЗРУ-6кВ</v>
      </c>
      <c r="B281" s="124" t="str">
        <f>'[2]2021 УГРЦТ'!B283</f>
        <v>000001779</v>
      </c>
      <c r="C281" s="124" t="str">
        <f>VLOOKUP(A:A,'2023-2027'!A:L,1,+FALSE)</f>
        <v>Комплексная трансформаторная подстанция ЗРУ-6кВ</v>
      </c>
      <c r="D281" s="124" t="str">
        <f>'[2]2021 УГРЦТ'!C283</f>
        <v>ПЕРЕДАЧА</v>
      </c>
      <c r="E281" s="124" t="str">
        <f>'[2]2021 УГРЦТ'!D283</f>
        <v>Сооружения</v>
      </c>
      <c r="F281" s="124" t="str">
        <f>'[2]2021 УГРЦТ'!E283</f>
        <v>30.09.2019</v>
      </c>
      <c r="G281" s="124" t="str">
        <f>'[2]2021 УГРЦТ'!F283</f>
        <v>Цех электрических сетей</v>
      </c>
      <c r="H281" s="124">
        <f>'[2]2021 УГРЦТ'!AC283</f>
        <v>271</v>
      </c>
      <c r="I281" s="107">
        <v>4968188.32</v>
      </c>
      <c r="J281" s="107">
        <v>494985.57874538738</v>
      </c>
      <c r="K281" s="107">
        <v>4473202.7412546128</v>
      </c>
      <c r="L281" s="125" t="e">
        <f>SUMIF([2]облаг!$B$2:$B$259,B281,[2]облаг!$D$2:$D$259)</f>
        <v>#VALUE!</v>
      </c>
      <c r="M281" s="107">
        <f t="shared" si="272"/>
        <v>18332.798228782289</v>
      </c>
      <c r="N281" s="107">
        <f t="shared" si="273"/>
        <v>219993.57874538747</v>
      </c>
      <c r="O281" s="107">
        <f t="shared" si="274"/>
        <v>4454869.9430258302</v>
      </c>
      <c r="P281" s="107">
        <f t="shared" si="275"/>
        <v>4436537.1447970476</v>
      </c>
      <c r="Q281" s="107">
        <f t="shared" si="221"/>
        <v>4418204.346568265</v>
      </c>
      <c r="R281" s="107">
        <f t="shared" si="222"/>
        <v>4399871.5483394824</v>
      </c>
      <c r="S281" s="107">
        <f t="shared" si="223"/>
        <v>4381538.7501106998</v>
      </c>
      <c r="T281" s="107">
        <f t="shared" si="224"/>
        <v>4363205.9518819172</v>
      </c>
      <c r="U281" s="107">
        <f t="shared" si="225"/>
        <v>4344873.1536531346</v>
      </c>
      <c r="V281" s="107">
        <f t="shared" si="226"/>
        <v>4326540.355424352</v>
      </c>
      <c r="W281" s="107">
        <f t="shared" si="227"/>
        <v>4308207.5571955694</v>
      </c>
      <c r="X281" s="107">
        <f t="shared" si="228"/>
        <v>4289874.7589667868</v>
      </c>
      <c r="Y281" s="107">
        <f t="shared" si="229"/>
        <v>4271541.9607380042</v>
      </c>
      <c r="Z281" s="107">
        <f t="shared" si="230"/>
        <v>4253209.1625092216</v>
      </c>
      <c r="AA281" s="107">
        <f t="shared" si="264"/>
        <v>95990.530941402176</v>
      </c>
      <c r="AB281" s="107"/>
      <c r="AC281" s="107">
        <f t="shared" si="242"/>
        <v>219993.57874538747</v>
      </c>
      <c r="AD281" s="107">
        <f t="shared" si="231"/>
        <v>4234876.364280439</v>
      </c>
      <c r="AE281" s="107">
        <f t="shared" si="232"/>
        <v>4216543.5660516564</v>
      </c>
      <c r="AF281" s="107">
        <f t="shared" si="233"/>
        <v>4198210.7678228738</v>
      </c>
      <c r="AG281" s="107">
        <f t="shared" si="234"/>
        <v>4179877.9695940916</v>
      </c>
      <c r="AH281" s="107">
        <f t="shared" si="235"/>
        <v>4161545.1713653095</v>
      </c>
      <c r="AI281" s="107">
        <f t="shared" si="236"/>
        <v>4143212.3731365274</v>
      </c>
      <c r="AJ281" s="107">
        <f t="shared" si="237"/>
        <v>4124879.5749077452</v>
      </c>
      <c r="AK281" s="107">
        <f t="shared" si="238"/>
        <v>4106546.7766789631</v>
      </c>
      <c r="AL281" s="107">
        <f t="shared" si="239"/>
        <v>4088213.978450181</v>
      </c>
      <c r="AM281" s="107">
        <f t="shared" si="240"/>
        <v>4069881.1802213988</v>
      </c>
      <c r="AN281" s="107">
        <f t="shared" si="241"/>
        <v>4051548.3819926167</v>
      </c>
      <c r="AO281" s="107">
        <f t="shared" si="243"/>
        <v>4033215.5837638346</v>
      </c>
      <c r="AP281" s="107">
        <f t="shared" si="265"/>
        <v>91150.67220900362</v>
      </c>
      <c r="AQ281" s="126"/>
      <c r="AR281" s="107">
        <f t="shared" si="244"/>
        <v>219993.57874538747</v>
      </c>
      <c r="AS281" s="107">
        <f t="shared" si="257"/>
        <v>4014882.7855350524</v>
      </c>
      <c r="AT281" s="107">
        <f t="shared" si="258"/>
        <v>3996549.9873062703</v>
      </c>
      <c r="AU281" s="107">
        <f t="shared" si="259"/>
        <v>3978217.1890774881</v>
      </c>
      <c r="AV281" s="107">
        <f t="shared" si="260"/>
        <v>3959884.390848706</v>
      </c>
      <c r="AW281" s="107">
        <f t="shared" si="261"/>
        <v>3941551.5926199239</v>
      </c>
      <c r="AX281" s="107">
        <f t="shared" si="262"/>
        <v>3923218.7943911417</v>
      </c>
      <c r="AY281" s="107">
        <f t="shared" si="263"/>
        <v>3904885.9961623596</v>
      </c>
      <c r="AZ281" s="107">
        <f t="shared" si="266"/>
        <v>3886553.1979335775</v>
      </c>
      <c r="BA281" s="107">
        <f t="shared" si="267"/>
        <v>3868220.3997047953</v>
      </c>
      <c r="BB281" s="107">
        <f t="shared" si="268"/>
        <v>3849887.6014760132</v>
      </c>
      <c r="BC281" s="107">
        <f t="shared" si="269"/>
        <v>3831554.8032472311</v>
      </c>
      <c r="BD281" s="107">
        <f t="shared" si="270"/>
        <v>3813222.0050184489</v>
      </c>
      <c r="BE281" s="107">
        <f t="shared" si="271"/>
        <v>86310.813476605123</v>
      </c>
      <c r="BF281" s="127"/>
      <c r="BG281" s="127"/>
      <c r="BH281" s="127"/>
      <c r="BI281" s="127"/>
      <c r="BJ281" s="127"/>
      <c r="BK281" s="127"/>
      <c r="BL281" s="127"/>
      <c r="BM281" s="127"/>
      <c r="BN281" s="127"/>
      <c r="BO281" s="127"/>
      <c r="BP281" s="127"/>
      <c r="BQ281" s="127"/>
      <c r="BR281" s="127"/>
      <c r="BS281" s="127"/>
      <c r="BT281" s="127"/>
      <c r="BU281" s="127"/>
      <c r="BV281" s="127"/>
      <c r="BW281" s="127"/>
    </row>
    <row r="282" spans="1:75" ht="22.5" hidden="1" x14ac:dyDescent="0.2">
      <c r="A282" s="123" t="str">
        <f>'[2]2021 УГРЦТ'!A284</f>
        <v>Комплект индикаторов короткого замыкания ИКЗ-В34Л-У3</v>
      </c>
      <c r="B282" s="124" t="str">
        <f>'[2]2021 УГРЦТ'!B284</f>
        <v>000001813</v>
      </c>
      <c r="C282" s="124" t="str">
        <f>VLOOKUP(A:A,'2023-2027'!A:L,1,+FALSE)</f>
        <v>Комплект индикаторов короткого замыкания ИКЗ-В34Л-У3</v>
      </c>
      <c r="D282" s="124" t="str">
        <f>'[2]2021 УГРЦТ'!C284</f>
        <v>ПЕРЕДАЧА</v>
      </c>
      <c r="E282" s="124" t="str">
        <f>'[2]2021 УГРЦТ'!D284</f>
        <v>Машины и оборудование (кроме офисного)</v>
      </c>
      <c r="F282" s="124" t="str">
        <f>'[2]2021 УГРЦТ'!E284</f>
        <v>16.06.2020</v>
      </c>
      <c r="G282" s="124" t="str">
        <f>'[2]2021 УГРЦТ'!F284</f>
        <v>Цех электрических сетей</v>
      </c>
      <c r="H282" s="124">
        <f>'[2]2021 УГРЦТ'!AC284</f>
        <v>84</v>
      </c>
      <c r="I282" s="107">
        <f>'[2]2021 УГРЦТ'!X284</f>
        <v>148800.01</v>
      </c>
      <c r="J282" s="107">
        <f>'[2]2021 УГРЦТ'!Y284</f>
        <v>31885.724285714285</v>
      </c>
      <c r="K282" s="107">
        <f>'[2]2021 УГРЦТ'!Z284</f>
        <v>116914.28571428572</v>
      </c>
      <c r="L282" s="125" t="e">
        <f>SUMIF([2]облаг!$B$2:$B$259,B282,[2]облаг!$D$2:$D$259)</f>
        <v>#VALUE!</v>
      </c>
      <c r="M282" s="107">
        <f t="shared" si="272"/>
        <v>1771.4286904761907</v>
      </c>
      <c r="N282" s="107">
        <f t="shared" si="273"/>
        <v>21257.14428571429</v>
      </c>
      <c r="O282" s="107">
        <f t="shared" si="274"/>
        <v>115142.85702380953</v>
      </c>
      <c r="P282" s="107">
        <f t="shared" si="275"/>
        <v>113371.42833333333</v>
      </c>
      <c r="Q282" s="107">
        <f t="shared" si="221"/>
        <v>111599.99964285713</v>
      </c>
      <c r="R282" s="107">
        <f t="shared" si="222"/>
        <v>109828.57095238093</v>
      </c>
      <c r="S282" s="107">
        <f t="shared" si="223"/>
        <v>108057.14226190474</v>
      </c>
      <c r="T282" s="107">
        <f t="shared" si="224"/>
        <v>106285.71357142854</v>
      </c>
      <c r="U282" s="107">
        <f t="shared" si="225"/>
        <v>104514.28488095234</v>
      </c>
      <c r="V282" s="107">
        <f t="shared" si="226"/>
        <v>102742.85619047614</v>
      </c>
      <c r="W282" s="107">
        <f t="shared" si="227"/>
        <v>100971.42749999995</v>
      </c>
      <c r="X282" s="107">
        <f t="shared" si="228"/>
        <v>99199.99880952375</v>
      </c>
      <c r="Y282" s="107">
        <f t="shared" si="229"/>
        <v>97428.570119047552</v>
      </c>
      <c r="Z282" s="107">
        <f t="shared" si="230"/>
        <v>95657.141428571354</v>
      </c>
      <c r="AA282" s="107"/>
      <c r="AB282" s="107"/>
      <c r="AC282" s="107">
        <f t="shared" si="242"/>
        <v>21257.14428571429</v>
      </c>
      <c r="AD282" s="107">
        <f t="shared" si="231"/>
        <v>93885.712738095157</v>
      </c>
      <c r="AE282" s="107">
        <f t="shared" si="232"/>
        <v>92114.284047618959</v>
      </c>
      <c r="AF282" s="107">
        <f t="shared" si="233"/>
        <v>90342.855357142762</v>
      </c>
      <c r="AG282" s="107">
        <f t="shared" si="234"/>
        <v>88571.426666666564</v>
      </c>
      <c r="AH282" s="107">
        <f t="shared" si="235"/>
        <v>86799.997976190367</v>
      </c>
      <c r="AI282" s="107">
        <f t="shared" si="236"/>
        <v>85028.569285714169</v>
      </c>
      <c r="AJ282" s="107">
        <f t="shared" si="237"/>
        <v>83257.140595237972</v>
      </c>
      <c r="AK282" s="107">
        <f t="shared" si="238"/>
        <v>81485.711904761774</v>
      </c>
      <c r="AL282" s="107">
        <f t="shared" si="239"/>
        <v>79714.283214285577</v>
      </c>
      <c r="AM282" s="107">
        <f t="shared" si="240"/>
        <v>77942.854523809379</v>
      </c>
      <c r="AN282" s="107">
        <f t="shared" si="241"/>
        <v>76171.425833333182</v>
      </c>
      <c r="AO282" s="107">
        <f t="shared" si="243"/>
        <v>74399.997142856984</v>
      </c>
      <c r="AP282" s="107"/>
      <c r="AQ282" s="126"/>
      <c r="AR282" s="107">
        <f t="shared" si="244"/>
        <v>21257.14428571429</v>
      </c>
      <c r="AS282" s="107">
        <f t="shared" si="257"/>
        <v>72628.568452380787</v>
      </c>
      <c r="AT282" s="107">
        <f t="shared" si="258"/>
        <v>70857.139761904589</v>
      </c>
      <c r="AU282" s="107">
        <f t="shared" si="259"/>
        <v>69085.711071428392</v>
      </c>
      <c r="AV282" s="107">
        <f t="shared" si="260"/>
        <v>67314.282380952194</v>
      </c>
      <c r="AW282" s="107">
        <f t="shared" si="261"/>
        <v>65542.853690475997</v>
      </c>
      <c r="AX282" s="107">
        <f t="shared" si="262"/>
        <v>63771.424999999806</v>
      </c>
      <c r="AY282" s="107">
        <f t="shared" si="263"/>
        <v>61999.996309523616</v>
      </c>
      <c r="AZ282" s="107">
        <f t="shared" si="266"/>
        <v>60228.567619047426</v>
      </c>
      <c r="BA282" s="107">
        <f t="shared" si="267"/>
        <v>58457.138928571236</v>
      </c>
      <c r="BB282" s="107">
        <f t="shared" si="268"/>
        <v>56685.710238095045</v>
      </c>
      <c r="BC282" s="107">
        <f t="shared" si="269"/>
        <v>54914.281547618855</v>
      </c>
      <c r="BD282" s="107">
        <f t="shared" si="270"/>
        <v>53142.852857142665</v>
      </c>
      <c r="BE282" s="107"/>
      <c r="BF282" s="127"/>
      <c r="BG282" s="127"/>
      <c r="BH282" s="127"/>
      <c r="BI282" s="127"/>
      <c r="BJ282" s="127"/>
      <c r="BK282" s="127"/>
      <c r="BL282" s="127"/>
      <c r="BM282" s="127"/>
      <c r="BN282" s="127"/>
      <c r="BO282" s="127"/>
      <c r="BP282" s="127"/>
      <c r="BQ282" s="127"/>
      <c r="BR282" s="127"/>
      <c r="BS282" s="127"/>
      <c r="BT282" s="127"/>
      <c r="BU282" s="127"/>
      <c r="BV282" s="127"/>
      <c r="BW282" s="127"/>
    </row>
    <row r="283" spans="1:75" ht="45" hidden="1" x14ac:dyDescent="0.2">
      <c r="A283" s="123" t="str">
        <f>'[2]2021 УГРЦТ'!A285</f>
        <v>Комплектная трансф.подстанция 2КТПН-400 6-0,4 кВ ТП№108"район очистных сооружений"</v>
      </c>
      <c r="B283" s="124" t="str">
        <f>'[2]2021 УГРЦТ'!B285</f>
        <v>000001481</v>
      </c>
      <c r="C283" s="124" t="str">
        <f>VLOOKUP(A:A,'2023-2027'!A:L,1,+FALSE)</f>
        <v>Комплектная трансф.подстанция 2КТПН-400 6-0,4 кВ ТП№108"район очистных сооружений"</v>
      </c>
      <c r="D283" s="124" t="str">
        <f>'[2]2021 УГРЦТ'!C285</f>
        <v>ПЕРЕДАЧА</v>
      </c>
      <c r="E283" s="124" t="str">
        <f>'[2]2021 УГРЦТ'!D285</f>
        <v>Сооружения</v>
      </c>
      <c r="F283" s="124" t="str">
        <f>'[2]2021 УГРЦТ'!E285</f>
        <v>24.09.2012</v>
      </c>
      <c r="G283" s="124" t="str">
        <f>'[2]2021 УГРЦТ'!F285</f>
        <v>Цех электрических сетей</v>
      </c>
      <c r="H283" s="124">
        <f>'[2]2021 УГРЦТ'!AC285</f>
        <v>240</v>
      </c>
      <c r="I283" s="107">
        <f>'[2]2021 УГРЦТ'!X285</f>
        <v>4878439.33</v>
      </c>
      <c r="J283" s="107">
        <f>'[2]2021 УГРЦТ'!Y285</f>
        <v>2083140.57</v>
      </c>
      <c r="K283" s="107">
        <f>'[2]2021 УГРЦТ'!Z285</f>
        <v>2795298.76</v>
      </c>
      <c r="L283" s="125" t="e">
        <f>SUMIF([2]облаг!$B$2:$B$259,B283,[2]облаг!$D$2:$D$259)</f>
        <v>#VALUE!</v>
      </c>
      <c r="M283" s="107">
        <f t="shared" si="272"/>
        <v>20326.830541666666</v>
      </c>
      <c r="N283" s="107">
        <f t="shared" si="273"/>
        <v>243921.96649999998</v>
      </c>
      <c r="O283" s="107">
        <f t="shared" si="274"/>
        <v>2774971.9294583332</v>
      </c>
      <c r="P283" s="107">
        <f t="shared" si="275"/>
        <v>2754645.0989166666</v>
      </c>
      <c r="Q283" s="107">
        <f t="shared" si="221"/>
        <v>2734318.268375</v>
      </c>
      <c r="R283" s="107">
        <f t="shared" si="222"/>
        <v>2713991.4378333334</v>
      </c>
      <c r="S283" s="107">
        <f t="shared" si="223"/>
        <v>2693664.6072916668</v>
      </c>
      <c r="T283" s="107">
        <f t="shared" si="224"/>
        <v>2673337.7767500002</v>
      </c>
      <c r="U283" s="107">
        <f t="shared" si="225"/>
        <v>2653010.9462083336</v>
      </c>
      <c r="V283" s="107">
        <f t="shared" si="226"/>
        <v>2632684.115666667</v>
      </c>
      <c r="W283" s="107">
        <f t="shared" si="227"/>
        <v>2612357.2851250004</v>
      </c>
      <c r="X283" s="107">
        <f t="shared" si="228"/>
        <v>2592030.4545833338</v>
      </c>
      <c r="Y283" s="107">
        <f t="shared" si="229"/>
        <v>2571703.6240416672</v>
      </c>
      <c r="Z283" s="107">
        <f t="shared" si="230"/>
        <v>2551376.7935000006</v>
      </c>
      <c r="AA283" s="107">
        <f>SUM(O283:Z283,K283)/13*$AA$2</f>
        <v>58813.431088500001</v>
      </c>
      <c r="AB283" s="107"/>
      <c r="AC283" s="107">
        <f t="shared" si="242"/>
        <v>243921.96649999998</v>
      </c>
      <c r="AD283" s="107">
        <f t="shared" si="231"/>
        <v>2531049.962958334</v>
      </c>
      <c r="AE283" s="107">
        <f t="shared" si="232"/>
        <v>2510723.1324166674</v>
      </c>
      <c r="AF283" s="107">
        <f t="shared" si="233"/>
        <v>2490396.3018750008</v>
      </c>
      <c r="AG283" s="107">
        <f t="shared" si="234"/>
        <v>2470069.4713333342</v>
      </c>
      <c r="AH283" s="107">
        <f t="shared" si="235"/>
        <v>2449742.6407916676</v>
      </c>
      <c r="AI283" s="107">
        <f t="shared" si="236"/>
        <v>2429415.810250001</v>
      </c>
      <c r="AJ283" s="107">
        <f t="shared" si="237"/>
        <v>2409088.9797083344</v>
      </c>
      <c r="AK283" s="107">
        <f t="shared" si="238"/>
        <v>2388762.1491666678</v>
      </c>
      <c r="AL283" s="107">
        <f t="shared" si="239"/>
        <v>2368435.3186250012</v>
      </c>
      <c r="AM283" s="107">
        <f t="shared" si="240"/>
        <v>2348108.4880833346</v>
      </c>
      <c r="AN283" s="107">
        <f t="shared" si="241"/>
        <v>2327781.657541668</v>
      </c>
      <c r="AO283" s="107">
        <f t="shared" si="243"/>
        <v>2307454.8270000014</v>
      </c>
      <c r="AP283" s="107">
        <f t="shared" ref="AP283:AP287" si="276">SUM(AD283:AO283,Z283)/13*$AP$2</f>
        <v>53447.147825500018</v>
      </c>
      <c r="AQ283" s="126"/>
      <c r="AR283" s="107">
        <f t="shared" si="244"/>
        <v>243921.96649999998</v>
      </c>
      <c r="AS283" s="107">
        <f t="shared" si="257"/>
        <v>2287127.9964583348</v>
      </c>
      <c r="AT283" s="107">
        <f t="shared" si="258"/>
        <v>2266801.1659166683</v>
      </c>
      <c r="AU283" s="107">
        <f t="shared" si="259"/>
        <v>2246474.3353750017</v>
      </c>
      <c r="AV283" s="107">
        <f t="shared" si="260"/>
        <v>2226147.5048333351</v>
      </c>
      <c r="AW283" s="107">
        <f t="shared" si="261"/>
        <v>2205820.6742916685</v>
      </c>
      <c r="AX283" s="107">
        <f t="shared" si="262"/>
        <v>2185493.8437500019</v>
      </c>
      <c r="AY283" s="107">
        <f t="shared" si="263"/>
        <v>2165167.0132083353</v>
      </c>
      <c r="AZ283" s="107">
        <f t="shared" si="266"/>
        <v>2144840.1826666687</v>
      </c>
      <c r="BA283" s="107">
        <f t="shared" si="267"/>
        <v>2124513.3521250021</v>
      </c>
      <c r="BB283" s="107">
        <f t="shared" si="268"/>
        <v>2104186.5215833355</v>
      </c>
      <c r="BC283" s="107">
        <f t="shared" si="269"/>
        <v>2083859.6910416689</v>
      </c>
      <c r="BD283" s="107">
        <f t="shared" si="270"/>
        <v>2063532.8605000023</v>
      </c>
      <c r="BE283" s="107">
        <f>SUM(AS283:BD283,AO283)/13*$BE$2</f>
        <v>48080.864562500035</v>
      </c>
      <c r="BF283" s="127"/>
      <c r="BG283" s="127"/>
      <c r="BH283" s="127"/>
      <c r="BI283" s="127"/>
      <c r="BJ283" s="127"/>
      <c r="BK283" s="127"/>
      <c r="BL283" s="127"/>
      <c r="BM283" s="127"/>
      <c r="BN283" s="127"/>
      <c r="BO283" s="127"/>
      <c r="BP283" s="127"/>
      <c r="BQ283" s="127"/>
      <c r="BR283" s="127"/>
      <c r="BS283" s="127"/>
      <c r="BT283" s="127"/>
      <c r="BU283" s="127"/>
      <c r="BV283" s="127"/>
      <c r="BW283" s="127"/>
    </row>
    <row r="284" spans="1:75" ht="22.5" hidden="1" x14ac:dyDescent="0.2">
      <c r="A284" s="123" t="str">
        <f>'[2]2021 УГРЦТ'!A286</f>
        <v>Комплектная трансф.подстанция 2КТПН-400 6-0,4 кВ ТП№15 "СЭС"</v>
      </c>
      <c r="B284" s="124" t="str">
        <f>'[2]2021 УГРЦТ'!B286</f>
        <v>000001480</v>
      </c>
      <c r="C284" s="124" t="str">
        <f>VLOOKUP(A:A,'2023-2027'!A:L,1,+FALSE)</f>
        <v>Комплектная трансф.подстанция 2КТПН-400 6-0,4 кВ ТП№15 "СЭС"</v>
      </c>
      <c r="D284" s="124" t="str">
        <f>'[2]2021 УГРЦТ'!C286</f>
        <v>ПЕРЕДАЧА</v>
      </c>
      <c r="E284" s="124" t="str">
        <f>'[2]2021 УГРЦТ'!D286</f>
        <v>Сооружения</v>
      </c>
      <c r="F284" s="124" t="str">
        <f>'[2]2021 УГРЦТ'!E286</f>
        <v>24.09.2012</v>
      </c>
      <c r="G284" s="124" t="str">
        <f>'[2]2021 УГРЦТ'!F286</f>
        <v>Цех электрических сетей</v>
      </c>
      <c r="H284" s="124">
        <f>'[2]2021 УГРЦТ'!AC286</f>
        <v>240</v>
      </c>
      <c r="I284" s="107">
        <f>'[2]2021 УГРЦТ'!X286</f>
        <v>3311006.56</v>
      </c>
      <c r="J284" s="107">
        <f>'[2]2021 УГРЦТ'!Y286</f>
        <v>1470484.0699999998</v>
      </c>
      <c r="K284" s="107">
        <f>'[2]2021 УГРЦТ'!Z286</f>
        <v>1840522.4900000002</v>
      </c>
      <c r="L284" s="125" t="e">
        <f>SUMIF([2]облаг!$B$2:$B$259,B284,[2]облаг!$D$2:$D$259)</f>
        <v>#VALUE!</v>
      </c>
      <c r="M284" s="107">
        <f t="shared" si="272"/>
        <v>13795.860666666667</v>
      </c>
      <c r="N284" s="107">
        <f t="shared" si="273"/>
        <v>165550.32800000001</v>
      </c>
      <c r="O284" s="107">
        <f t="shared" si="274"/>
        <v>1826726.6293333336</v>
      </c>
      <c r="P284" s="107">
        <f t="shared" si="275"/>
        <v>1812930.7686666669</v>
      </c>
      <c r="Q284" s="107">
        <f t="shared" ref="Q284:Q347" si="277">P284-M284</f>
        <v>1799134.9080000003</v>
      </c>
      <c r="R284" s="107">
        <f t="shared" ref="R284:R347" si="278">Q284-M284</f>
        <v>1785339.0473333336</v>
      </c>
      <c r="S284" s="107">
        <f t="shared" ref="S284:S347" si="279">R284-M284</f>
        <v>1771543.186666667</v>
      </c>
      <c r="T284" s="107">
        <f t="shared" ref="T284:T347" si="280">S284-M284</f>
        <v>1757747.3260000004</v>
      </c>
      <c r="U284" s="107">
        <f t="shared" ref="U284:U347" si="281">T284-M284</f>
        <v>1743951.4653333337</v>
      </c>
      <c r="V284" s="107">
        <f t="shared" ref="V284:V347" si="282">U284-M284</f>
        <v>1730155.6046666671</v>
      </c>
      <c r="W284" s="107">
        <f t="shared" ref="W284:W347" si="283">V284-M284</f>
        <v>1716359.7440000004</v>
      </c>
      <c r="X284" s="107">
        <f t="shared" ref="X284:X347" si="284">W284-M284</f>
        <v>1702563.8833333338</v>
      </c>
      <c r="Y284" s="107">
        <f t="shared" ref="Y284:Y347" si="285">X284-M284</f>
        <v>1688768.0226666671</v>
      </c>
      <c r="Z284" s="107">
        <f t="shared" ref="Z284:Z347" si="286">Y284-M284</f>
        <v>1674972.1620000005</v>
      </c>
      <c r="AA284" s="107">
        <f>SUM(O284:Z284,K284)/13*$AA$2</f>
        <v>38670.441172000006</v>
      </c>
      <c r="AB284" s="107"/>
      <c r="AC284" s="107">
        <f t="shared" si="242"/>
        <v>165550.32800000001</v>
      </c>
      <c r="AD284" s="107">
        <f t="shared" ref="AD284:AD347" si="287">Z284-M284</f>
        <v>1661176.3013333338</v>
      </c>
      <c r="AE284" s="107">
        <f t="shared" ref="AE284:AE347" si="288">AD284-M284</f>
        <v>1647380.4406666672</v>
      </c>
      <c r="AF284" s="107">
        <f t="shared" ref="AF284:AF347" si="289">AE284-M284</f>
        <v>1633584.5800000005</v>
      </c>
      <c r="AG284" s="107">
        <f t="shared" ref="AG284:AG347" si="290">AF284-M284</f>
        <v>1619788.7193333339</v>
      </c>
      <c r="AH284" s="107">
        <f t="shared" ref="AH284:AH347" si="291">AG284-M284</f>
        <v>1605992.8586666672</v>
      </c>
      <c r="AI284" s="107">
        <f t="shared" ref="AI284:AI347" si="292">AH284-M284</f>
        <v>1592196.9980000006</v>
      </c>
      <c r="AJ284" s="107">
        <f t="shared" ref="AJ284:AJ347" si="293">AI284-M284</f>
        <v>1578401.137333334</v>
      </c>
      <c r="AK284" s="107">
        <f t="shared" ref="AK284:AK347" si="294">AJ284-M284</f>
        <v>1564605.2766666673</v>
      </c>
      <c r="AL284" s="107">
        <f t="shared" ref="AL284:AL347" si="295">AK284-M284</f>
        <v>1550809.4160000007</v>
      </c>
      <c r="AM284" s="107">
        <f t="shared" ref="AM284:AM347" si="296">AL284-M284</f>
        <v>1537013.555333334</v>
      </c>
      <c r="AN284" s="107">
        <f t="shared" ref="AN284:AN347" si="297">AM284-M284</f>
        <v>1523217.6946666674</v>
      </c>
      <c r="AO284" s="107">
        <f t="shared" si="243"/>
        <v>1509421.8340000007</v>
      </c>
      <c r="AP284" s="107">
        <f t="shared" si="276"/>
        <v>35028.333956000009</v>
      </c>
      <c r="AQ284" s="126"/>
      <c r="AR284" s="107">
        <f t="shared" si="244"/>
        <v>165550.32800000001</v>
      </c>
      <c r="AS284" s="107">
        <f t="shared" si="257"/>
        <v>1495625.9733333341</v>
      </c>
      <c r="AT284" s="107">
        <f t="shared" si="258"/>
        <v>1481830.1126666674</v>
      </c>
      <c r="AU284" s="107">
        <f t="shared" si="259"/>
        <v>1468034.2520000008</v>
      </c>
      <c r="AV284" s="107">
        <f t="shared" si="260"/>
        <v>1454238.3913333341</v>
      </c>
      <c r="AW284" s="107">
        <f t="shared" si="261"/>
        <v>1440442.5306666675</v>
      </c>
      <c r="AX284" s="107">
        <f t="shared" si="262"/>
        <v>1426646.6700000009</v>
      </c>
      <c r="AY284" s="107">
        <f t="shared" si="263"/>
        <v>1412850.8093333342</v>
      </c>
      <c r="AZ284" s="107">
        <f t="shared" si="266"/>
        <v>1399054.9486666676</v>
      </c>
      <c r="BA284" s="107">
        <f t="shared" si="267"/>
        <v>1385259.0880000009</v>
      </c>
      <c r="BB284" s="107">
        <f t="shared" si="268"/>
        <v>1371463.2273333343</v>
      </c>
      <c r="BC284" s="107">
        <f t="shared" si="269"/>
        <v>1357667.3666666676</v>
      </c>
      <c r="BD284" s="107">
        <f t="shared" si="270"/>
        <v>1343871.506000001</v>
      </c>
      <c r="BE284" s="107">
        <f>SUM(AS284:BD284,AO284)/13*$BE$2</f>
        <v>31386.226740000013</v>
      </c>
      <c r="BF284" s="127"/>
      <c r="BG284" s="127"/>
      <c r="BH284" s="127"/>
      <c r="BI284" s="127"/>
      <c r="BJ284" s="127"/>
      <c r="BK284" s="127"/>
      <c r="BL284" s="127"/>
      <c r="BM284" s="127"/>
      <c r="BN284" s="127"/>
      <c r="BO284" s="127"/>
      <c r="BP284" s="127"/>
      <c r="BQ284" s="127"/>
      <c r="BR284" s="127"/>
      <c r="BS284" s="127"/>
      <c r="BT284" s="127"/>
      <c r="BU284" s="127"/>
      <c r="BV284" s="127"/>
      <c r="BW284" s="127"/>
    </row>
    <row r="285" spans="1:75" ht="33.75" hidden="1" x14ac:dyDescent="0.2">
      <c r="A285" s="123" t="str">
        <f>'[2]2021 УГРЦТ'!A287</f>
        <v>Комплектная трансф.подстанция 2КТПН-400 6-0,4 кВ ТП№61 "поликлиника"</v>
      </c>
      <c r="B285" s="124" t="str">
        <f>'[2]2021 УГРЦТ'!B287</f>
        <v>000001482</v>
      </c>
      <c r="C285" s="124" t="str">
        <f>VLOOKUP(A:A,'2023-2027'!A:L,1,+FALSE)</f>
        <v>Комплектная трансф.подстанция 2КТПН-400 6-0,4 кВ ТП№61 "поликлиника"</v>
      </c>
      <c r="D285" s="124" t="str">
        <f>'[2]2021 УГРЦТ'!C287</f>
        <v>ПЕРЕДАЧА</v>
      </c>
      <c r="E285" s="124" t="str">
        <f>'[2]2021 УГРЦТ'!D287</f>
        <v>Сооружения</v>
      </c>
      <c r="F285" s="124" t="str">
        <f>'[2]2021 УГРЦТ'!E287</f>
        <v>24.09.2012</v>
      </c>
      <c r="G285" s="124" t="str">
        <f>'[2]2021 УГРЦТ'!F287</f>
        <v>Цех электрических сетей</v>
      </c>
      <c r="H285" s="124">
        <f>'[2]2021 УГРЦТ'!AC287</f>
        <v>240</v>
      </c>
      <c r="I285" s="107">
        <f>'[2]2021 УГРЦТ'!X287</f>
        <v>2507189.35</v>
      </c>
      <c r="J285" s="107">
        <f>'[2]2021 УГРЦТ'!Y287</f>
        <v>1153618.3500000001</v>
      </c>
      <c r="K285" s="107">
        <f>'[2]2021 УГРЦТ'!Z287</f>
        <v>1353571</v>
      </c>
      <c r="L285" s="125" t="e">
        <f>SUMIF([2]облаг!$B$2:$B$259,B285,[2]облаг!$D$2:$D$259)</f>
        <v>#VALUE!</v>
      </c>
      <c r="M285" s="107">
        <f t="shared" si="272"/>
        <v>10446.622291666667</v>
      </c>
      <c r="N285" s="107">
        <f t="shared" si="273"/>
        <v>125359.4675</v>
      </c>
      <c r="O285" s="107">
        <f t="shared" si="274"/>
        <v>1343124.3777083333</v>
      </c>
      <c r="P285" s="107">
        <f t="shared" si="275"/>
        <v>1332677.7554166666</v>
      </c>
      <c r="Q285" s="107">
        <f t="shared" si="277"/>
        <v>1322231.1331249999</v>
      </c>
      <c r="R285" s="107">
        <f t="shared" si="278"/>
        <v>1311784.5108333332</v>
      </c>
      <c r="S285" s="107">
        <f t="shared" si="279"/>
        <v>1301337.8885416666</v>
      </c>
      <c r="T285" s="107">
        <f t="shared" si="280"/>
        <v>1290891.2662499999</v>
      </c>
      <c r="U285" s="107">
        <f t="shared" si="281"/>
        <v>1280444.6439583332</v>
      </c>
      <c r="V285" s="107">
        <f t="shared" si="282"/>
        <v>1269998.0216666665</v>
      </c>
      <c r="W285" s="107">
        <f t="shared" si="283"/>
        <v>1259551.3993749998</v>
      </c>
      <c r="X285" s="107">
        <f t="shared" si="284"/>
        <v>1249104.7770833331</v>
      </c>
      <c r="Y285" s="107">
        <f t="shared" si="285"/>
        <v>1238658.1547916664</v>
      </c>
      <c r="Z285" s="107">
        <f t="shared" si="286"/>
        <v>1228211.5324999997</v>
      </c>
      <c r="AA285" s="107">
        <f>SUM(O285:Z285,K285)/13*$AA$2</f>
        <v>28399.607857499996</v>
      </c>
      <c r="AB285" s="107"/>
      <c r="AC285" s="107">
        <f t="shared" ref="AC285:AC347" si="298">M285*12</f>
        <v>125359.4675</v>
      </c>
      <c r="AD285" s="107">
        <f t="shared" si="287"/>
        <v>1217764.9102083331</v>
      </c>
      <c r="AE285" s="107">
        <f t="shared" si="288"/>
        <v>1207318.2879166664</v>
      </c>
      <c r="AF285" s="107">
        <f t="shared" si="289"/>
        <v>1196871.6656249997</v>
      </c>
      <c r="AG285" s="107">
        <f t="shared" si="290"/>
        <v>1186425.043333333</v>
      </c>
      <c r="AH285" s="107">
        <f t="shared" si="291"/>
        <v>1175978.4210416663</v>
      </c>
      <c r="AI285" s="107">
        <f t="shared" si="292"/>
        <v>1165531.7987499996</v>
      </c>
      <c r="AJ285" s="107">
        <f t="shared" si="293"/>
        <v>1155085.1764583329</v>
      </c>
      <c r="AK285" s="107">
        <f t="shared" si="294"/>
        <v>1144638.5541666662</v>
      </c>
      <c r="AL285" s="107">
        <f t="shared" si="295"/>
        <v>1134191.9318749995</v>
      </c>
      <c r="AM285" s="107">
        <f t="shared" si="296"/>
        <v>1123745.3095833329</v>
      </c>
      <c r="AN285" s="107">
        <f t="shared" si="297"/>
        <v>1113298.6872916662</v>
      </c>
      <c r="AO285" s="107">
        <f t="shared" ref="AO285:AO347" si="299">AN285-M285</f>
        <v>1102852.0649999995</v>
      </c>
      <c r="AP285" s="107">
        <f t="shared" si="276"/>
        <v>25641.699572499991</v>
      </c>
      <c r="AQ285" s="126"/>
      <c r="AR285" s="107">
        <f t="shared" ref="AR285:AR347" si="300">M285*12</f>
        <v>125359.4675</v>
      </c>
      <c r="AS285" s="107">
        <f t="shared" si="257"/>
        <v>1092405.4427083328</v>
      </c>
      <c r="AT285" s="107">
        <f t="shared" si="258"/>
        <v>1081958.8204166661</v>
      </c>
      <c r="AU285" s="107">
        <f t="shared" si="259"/>
        <v>1071512.1981249994</v>
      </c>
      <c r="AV285" s="107">
        <f t="shared" si="260"/>
        <v>1061065.5758333327</v>
      </c>
      <c r="AW285" s="107">
        <f t="shared" si="261"/>
        <v>1050618.953541666</v>
      </c>
      <c r="AX285" s="107">
        <f t="shared" si="262"/>
        <v>1040172.3312499993</v>
      </c>
      <c r="AY285" s="107">
        <f t="shared" si="263"/>
        <v>1029725.7089583327</v>
      </c>
      <c r="AZ285" s="107">
        <f t="shared" si="266"/>
        <v>1019279.086666666</v>
      </c>
      <c r="BA285" s="107">
        <f t="shared" si="267"/>
        <v>1008832.4643749993</v>
      </c>
      <c r="BB285" s="107">
        <f t="shared" si="268"/>
        <v>998385.84208333259</v>
      </c>
      <c r="BC285" s="107">
        <f t="shared" si="269"/>
        <v>987939.21979166591</v>
      </c>
      <c r="BD285" s="107">
        <f t="shared" si="270"/>
        <v>977492.59749999922</v>
      </c>
      <c r="BE285" s="107">
        <f>SUM(AS285:BD285,AO285)/13*$BE$2</f>
        <v>22883.791287499986</v>
      </c>
      <c r="BF285" s="127"/>
      <c r="BG285" s="127"/>
      <c r="BH285" s="127"/>
      <c r="BI285" s="127"/>
      <c r="BJ285" s="127"/>
      <c r="BK285" s="127"/>
      <c r="BL285" s="127"/>
      <c r="BM285" s="127"/>
      <c r="BN285" s="127"/>
      <c r="BO285" s="127"/>
      <c r="BP285" s="127"/>
      <c r="BQ285" s="127"/>
      <c r="BR285" s="127"/>
      <c r="BS285" s="127"/>
      <c r="BT285" s="127"/>
      <c r="BU285" s="127"/>
      <c r="BV285" s="127"/>
      <c r="BW285" s="127"/>
    </row>
    <row r="286" spans="1:75" ht="22.5" hidden="1" x14ac:dyDescent="0.2">
      <c r="A286" s="123" t="str">
        <f>'[2]2021 УГРЦТ'!A288</f>
        <v>Комплектная трансформаторная подстанция 6/0,4 кВ</v>
      </c>
      <c r="B286" s="124" t="str">
        <f>'[2]2021 УГРЦТ'!B288</f>
        <v>000001886</v>
      </c>
      <c r="C286" s="124" t="str">
        <f>VLOOKUP(A:A,'2023-2027'!A:L,1,+FALSE)</f>
        <v>Комплектная трансформаторная подстанция 6/0,4 кВ</v>
      </c>
      <c r="D286" s="124" t="str">
        <f>'[2]2021 УГРЦТ'!C288</f>
        <v>ПЕРЕДАЧА</v>
      </c>
      <c r="E286" s="124" t="str">
        <f>'[2]2021 УГРЦТ'!D288</f>
        <v>Здания</v>
      </c>
      <c r="F286" s="134">
        <f>'[2]2021 УГРЦТ'!E288</f>
        <v>44560</v>
      </c>
      <c r="G286" s="124" t="str">
        <f>'[2]2021 УГРЦТ'!F288</f>
        <v>Цех электрических сетей</v>
      </c>
      <c r="H286" s="124">
        <f>'[2]2021 УГРЦТ'!AC288</f>
        <v>360</v>
      </c>
      <c r="I286" s="107">
        <f>'[2]2021 УГРЦТ'!X288</f>
        <v>3745581.16</v>
      </c>
      <c r="J286" s="107">
        <f>'[2]2021 УГРЦТ'!Y288</f>
        <v>0</v>
      </c>
      <c r="K286" s="107">
        <f>'[2]2021 УГРЦТ'!Z288</f>
        <v>3745581.16</v>
      </c>
      <c r="L286" s="125" t="e">
        <f>SUMIF([2]облаг!$B$2:$B$259,B286,[2]облаг!$D$2:$D$259)</f>
        <v>#VALUE!</v>
      </c>
      <c r="M286" s="107">
        <f t="shared" si="272"/>
        <v>10404.392111111112</v>
      </c>
      <c r="N286" s="107">
        <f t="shared" si="273"/>
        <v>124852.70533333335</v>
      </c>
      <c r="O286" s="107">
        <f t="shared" si="274"/>
        <v>3735176.7678888892</v>
      </c>
      <c r="P286" s="107">
        <f t="shared" si="275"/>
        <v>3724772.3757777782</v>
      </c>
      <c r="Q286" s="107">
        <f t="shared" si="277"/>
        <v>3714367.9836666672</v>
      </c>
      <c r="R286" s="107">
        <f t="shared" si="278"/>
        <v>3703963.5915555563</v>
      </c>
      <c r="S286" s="107">
        <f t="shared" si="279"/>
        <v>3693559.1994444453</v>
      </c>
      <c r="T286" s="107">
        <f t="shared" si="280"/>
        <v>3683154.8073333343</v>
      </c>
      <c r="U286" s="107">
        <f t="shared" si="281"/>
        <v>3672750.4152222234</v>
      </c>
      <c r="V286" s="107">
        <f t="shared" si="282"/>
        <v>3662346.0231111124</v>
      </c>
      <c r="W286" s="107">
        <f t="shared" si="283"/>
        <v>3651941.6310000014</v>
      </c>
      <c r="X286" s="107">
        <f t="shared" si="284"/>
        <v>3641537.2388888905</v>
      </c>
      <c r="Y286" s="107">
        <f t="shared" si="285"/>
        <v>3631132.8467777795</v>
      </c>
      <c r="Z286" s="107">
        <f t="shared" si="286"/>
        <v>3620728.4546666685</v>
      </c>
      <c r="AA286" s="107">
        <f>SUM(O286:Z286,K286)/13*$AA$2</f>
        <v>81029.405761333357</v>
      </c>
      <c r="AB286" s="107"/>
      <c r="AC286" s="107">
        <f t="shared" si="298"/>
        <v>124852.70533333335</v>
      </c>
      <c r="AD286" s="107">
        <f t="shared" si="287"/>
        <v>3610324.0625555576</v>
      </c>
      <c r="AE286" s="107">
        <f t="shared" si="288"/>
        <v>3599919.6704444466</v>
      </c>
      <c r="AF286" s="107">
        <f t="shared" si="289"/>
        <v>3589515.2783333356</v>
      </c>
      <c r="AG286" s="107">
        <f t="shared" si="290"/>
        <v>3579110.8862222247</v>
      </c>
      <c r="AH286" s="107">
        <f t="shared" si="291"/>
        <v>3568706.4941111137</v>
      </c>
      <c r="AI286" s="107">
        <f t="shared" si="292"/>
        <v>3558302.1020000027</v>
      </c>
      <c r="AJ286" s="107">
        <f t="shared" si="293"/>
        <v>3547897.7098888918</v>
      </c>
      <c r="AK286" s="107">
        <f t="shared" si="294"/>
        <v>3537493.3177777808</v>
      </c>
      <c r="AL286" s="107">
        <f t="shared" si="295"/>
        <v>3527088.9256666698</v>
      </c>
      <c r="AM286" s="107">
        <f t="shared" si="296"/>
        <v>3516684.5335555589</v>
      </c>
      <c r="AN286" s="107">
        <f t="shared" si="297"/>
        <v>3506280.1414444479</v>
      </c>
      <c r="AO286" s="107">
        <f t="shared" si="299"/>
        <v>3495875.7493333369</v>
      </c>
      <c r="AP286" s="107">
        <f t="shared" si="276"/>
        <v>78282.646244000047</v>
      </c>
      <c r="AQ286" s="126"/>
      <c r="AR286" s="107">
        <f t="shared" si="300"/>
        <v>124852.70533333335</v>
      </c>
      <c r="AS286" s="107">
        <f t="shared" si="257"/>
        <v>3485471.357222226</v>
      </c>
      <c r="AT286" s="107">
        <f t="shared" si="258"/>
        <v>3475066.965111115</v>
      </c>
      <c r="AU286" s="107">
        <f t="shared" si="259"/>
        <v>3464662.573000004</v>
      </c>
      <c r="AV286" s="107">
        <f t="shared" si="260"/>
        <v>3454258.1808888931</v>
      </c>
      <c r="AW286" s="107">
        <f t="shared" si="261"/>
        <v>3443853.7887777821</v>
      </c>
      <c r="AX286" s="107">
        <f t="shared" si="262"/>
        <v>3433449.3966666711</v>
      </c>
      <c r="AY286" s="107">
        <f t="shared" si="263"/>
        <v>3423045.0045555602</v>
      </c>
      <c r="AZ286" s="107">
        <f t="shared" si="266"/>
        <v>3412640.6124444492</v>
      </c>
      <c r="BA286" s="107">
        <f t="shared" si="267"/>
        <v>3402236.2203333382</v>
      </c>
      <c r="BB286" s="107">
        <f t="shared" si="268"/>
        <v>3391831.8282222273</v>
      </c>
      <c r="BC286" s="107">
        <f t="shared" si="269"/>
        <v>3381427.4361111163</v>
      </c>
      <c r="BD286" s="107">
        <f t="shared" si="270"/>
        <v>3371023.0440000053</v>
      </c>
      <c r="BE286" s="107">
        <f>SUM(AS286:BD286,AO286)/13*$BE$2</f>
        <v>75535.886726666766</v>
      </c>
      <c r="BF286" s="127"/>
      <c r="BG286" s="127"/>
      <c r="BH286" s="127"/>
      <c r="BI286" s="127"/>
      <c r="BJ286" s="127"/>
      <c r="BK286" s="127"/>
      <c r="BL286" s="127"/>
      <c r="BM286" s="127"/>
      <c r="BN286" s="127"/>
      <c r="BO286" s="127"/>
      <c r="BP286" s="127"/>
      <c r="BQ286" s="127"/>
      <c r="BR286" s="127"/>
      <c r="BS286" s="127"/>
      <c r="BT286" s="127"/>
      <c r="BU286" s="127"/>
      <c r="BV286" s="127"/>
      <c r="BW286" s="127"/>
    </row>
    <row r="287" spans="1:75" ht="22.5" hidden="1" x14ac:dyDescent="0.2">
      <c r="A287" s="123" t="str">
        <f>'[2]2021 УГРЦТ'!A289</f>
        <v>Комплектная трансформаторная подстанция КТП2×400/6/0,4</v>
      </c>
      <c r="B287" s="124" t="str">
        <f>'[2]2021 УГРЦТ'!B289</f>
        <v>000001827</v>
      </c>
      <c r="C287" s="124" t="str">
        <f>VLOOKUP(A:A,'2023-2027'!A:L,1,+FALSE)</f>
        <v>Комплектная трансформаторная подстанция КТП2×400/6/0,4</v>
      </c>
      <c r="D287" s="124" t="str">
        <f>'[2]2021 УГРЦТ'!C289</f>
        <v>ПЕРЕДАЧА</v>
      </c>
      <c r="E287" s="124" t="str">
        <f>'[2]2021 УГРЦТ'!D289</f>
        <v>Здания</v>
      </c>
      <c r="F287" s="124" t="str">
        <f>'[2]2021 УГРЦТ'!E289</f>
        <v>30.12.2020</v>
      </c>
      <c r="G287" s="124" t="str">
        <f>'[2]2021 УГРЦТ'!F289</f>
        <v>Цех электрических сетей</v>
      </c>
      <c r="H287" s="124">
        <f>'[2]2021 УГРЦТ'!AC289</f>
        <v>360</v>
      </c>
      <c r="I287" s="107">
        <f>'[2]2021 УГРЦТ'!X289</f>
        <v>6249519.9500000002</v>
      </c>
      <c r="J287" s="107">
        <f>'[2]2021 УГРЦТ'!Y289</f>
        <v>208317.33166666667</v>
      </c>
      <c r="K287" s="107">
        <f>'[2]2021 УГРЦТ'!Z289</f>
        <v>6041202.6183333332</v>
      </c>
      <c r="L287" s="125" t="e">
        <f>SUMIF([2]облаг!$B$2:$B$259,B287,[2]облаг!$D$2:$D$259)</f>
        <v>#VALUE!</v>
      </c>
      <c r="M287" s="107">
        <f t="shared" si="272"/>
        <v>17359.777638888889</v>
      </c>
      <c r="N287" s="107">
        <f t="shared" si="273"/>
        <v>208317.33166666667</v>
      </c>
      <c r="O287" s="107">
        <f t="shared" si="274"/>
        <v>6023842.8406944443</v>
      </c>
      <c r="P287" s="107">
        <f t="shared" si="275"/>
        <v>6006483.0630555553</v>
      </c>
      <c r="Q287" s="107">
        <f t="shared" si="277"/>
        <v>5989123.2854166664</v>
      </c>
      <c r="R287" s="107">
        <f t="shared" si="278"/>
        <v>5971763.5077777775</v>
      </c>
      <c r="S287" s="107">
        <f t="shared" si="279"/>
        <v>5954403.7301388886</v>
      </c>
      <c r="T287" s="107">
        <f t="shared" si="280"/>
        <v>5937043.9524999997</v>
      </c>
      <c r="U287" s="107">
        <f t="shared" si="281"/>
        <v>5919684.1748611107</v>
      </c>
      <c r="V287" s="107">
        <f t="shared" si="282"/>
        <v>5902324.3972222218</v>
      </c>
      <c r="W287" s="107">
        <f t="shared" si="283"/>
        <v>5884964.6195833329</v>
      </c>
      <c r="X287" s="107">
        <f t="shared" si="284"/>
        <v>5867604.841944444</v>
      </c>
      <c r="Y287" s="107">
        <f t="shared" si="285"/>
        <v>5850245.0643055551</v>
      </c>
      <c r="Z287" s="107">
        <f t="shared" si="286"/>
        <v>5832885.2866666662</v>
      </c>
      <c r="AA287" s="107">
        <f>SUM(O287:Z287,K287)/13*$AA$2</f>
        <v>130614.96695499998</v>
      </c>
      <c r="AB287" s="107"/>
      <c r="AC287" s="107">
        <f t="shared" si="298"/>
        <v>208317.33166666667</v>
      </c>
      <c r="AD287" s="107">
        <f t="shared" si="287"/>
        <v>5815525.5090277772</v>
      </c>
      <c r="AE287" s="107">
        <f t="shared" si="288"/>
        <v>5798165.7313888883</v>
      </c>
      <c r="AF287" s="107">
        <f t="shared" si="289"/>
        <v>5780805.9537499994</v>
      </c>
      <c r="AG287" s="107">
        <f t="shared" si="290"/>
        <v>5763446.1761111105</v>
      </c>
      <c r="AH287" s="107">
        <f t="shared" si="291"/>
        <v>5746086.3984722216</v>
      </c>
      <c r="AI287" s="107">
        <f t="shared" si="292"/>
        <v>5728726.6208333327</v>
      </c>
      <c r="AJ287" s="107">
        <f t="shared" si="293"/>
        <v>5711366.8431944437</v>
      </c>
      <c r="AK287" s="107">
        <f t="shared" si="294"/>
        <v>5694007.0655555548</v>
      </c>
      <c r="AL287" s="107">
        <f t="shared" si="295"/>
        <v>5676647.2879166659</v>
      </c>
      <c r="AM287" s="107">
        <f t="shared" si="296"/>
        <v>5659287.510277777</v>
      </c>
      <c r="AN287" s="107">
        <f t="shared" si="297"/>
        <v>5641927.7326388881</v>
      </c>
      <c r="AO287" s="107">
        <f t="shared" si="299"/>
        <v>5624567.9549999991</v>
      </c>
      <c r="AP287" s="107">
        <f t="shared" si="276"/>
        <v>126031.98565833332</v>
      </c>
      <c r="AQ287" s="126"/>
      <c r="AR287" s="107">
        <f t="shared" si="300"/>
        <v>208317.33166666667</v>
      </c>
      <c r="AS287" s="107">
        <f t="shared" si="257"/>
        <v>5607208.1773611102</v>
      </c>
      <c r="AT287" s="107">
        <f t="shared" si="258"/>
        <v>5589848.3997222213</v>
      </c>
      <c r="AU287" s="107">
        <f t="shared" si="259"/>
        <v>5572488.6220833324</v>
      </c>
      <c r="AV287" s="107">
        <f t="shared" si="260"/>
        <v>5555128.8444444435</v>
      </c>
      <c r="AW287" s="107">
        <f t="shared" si="261"/>
        <v>5537769.0668055546</v>
      </c>
      <c r="AX287" s="107">
        <f t="shared" si="262"/>
        <v>5520409.2891666656</v>
      </c>
      <c r="AY287" s="107">
        <f t="shared" si="263"/>
        <v>5503049.5115277767</v>
      </c>
      <c r="AZ287" s="107">
        <f t="shared" si="266"/>
        <v>5485689.7338888878</v>
      </c>
      <c r="BA287" s="107">
        <f t="shared" si="267"/>
        <v>5468329.9562499989</v>
      </c>
      <c r="BB287" s="107">
        <f t="shared" si="268"/>
        <v>5450970.17861111</v>
      </c>
      <c r="BC287" s="107">
        <f t="shared" si="269"/>
        <v>5433610.400972221</v>
      </c>
      <c r="BD287" s="107">
        <f t="shared" si="270"/>
        <v>5416250.6233333321</v>
      </c>
      <c r="BE287" s="107">
        <f>SUM(AS287:BD287,AO287)/13*$BE$2</f>
        <v>121449.00436166662</v>
      </c>
      <c r="BF287" s="127"/>
      <c r="BG287" s="127"/>
      <c r="BH287" s="127"/>
      <c r="BI287" s="127"/>
      <c r="BJ287" s="127"/>
      <c r="BK287" s="127"/>
      <c r="BL287" s="127"/>
      <c r="BM287" s="127"/>
      <c r="BN287" s="127"/>
      <c r="BO287" s="127"/>
      <c r="BP287" s="127"/>
      <c r="BQ287" s="127"/>
      <c r="BR287" s="127"/>
      <c r="BS287" s="127"/>
      <c r="BT287" s="127"/>
      <c r="BU287" s="127"/>
      <c r="BV287" s="127"/>
      <c r="BW287" s="127"/>
    </row>
    <row r="288" spans="1:75" hidden="1" x14ac:dyDescent="0.2">
      <c r="A288" s="123" t="str">
        <f>'[2]2021 УГРЦТ'!A290</f>
        <v>Компрессор поршневой К2</v>
      </c>
      <c r="B288" s="124" t="str">
        <f>'[2]2021 УГРЦТ'!B290</f>
        <v>000001840</v>
      </c>
      <c r="C288" s="124" t="str">
        <f>VLOOKUP(A:A,'2023-2027'!A:L,1,+FALSE)</f>
        <v>Компрессор поршневой К2</v>
      </c>
      <c r="D288" s="124" t="str">
        <f>'[2]2021 УГРЦТ'!C290</f>
        <v>ПЕРЕДАЧА</v>
      </c>
      <c r="E288" s="124" t="str">
        <f>'[2]2021 УГРЦТ'!D290</f>
        <v>Машины и оборудование (кроме офисного)</v>
      </c>
      <c r="F288" s="124" t="str">
        <f>'[2]2021 УГРЦТ'!E290</f>
        <v>16.03.2021</v>
      </c>
      <c r="G288" s="124" t="str">
        <f>'[2]2021 УГРЦТ'!F290</f>
        <v>Автотранспортный цех</v>
      </c>
      <c r="H288" s="124">
        <f>'[2]2021 УГРЦТ'!AC290</f>
        <v>120</v>
      </c>
      <c r="I288" s="107">
        <f>'[2]2021 УГРЦТ'!X290</f>
        <v>82916.67</v>
      </c>
      <c r="J288" s="107">
        <f>'[2]2021 УГРЦТ'!Y290</f>
        <v>6218.7502499999991</v>
      </c>
      <c r="K288" s="107">
        <f>'[2]2021 УГРЦТ'!Z290</f>
        <v>76697.919750000001</v>
      </c>
      <c r="L288" s="125" t="e">
        <f>SUMIF([2]облаг!$B$2:$B$259,B288,[2]облаг!$D$2:$D$259)</f>
        <v>#VALUE!</v>
      </c>
      <c r="M288" s="107">
        <f t="shared" si="272"/>
        <v>690.97225000000003</v>
      </c>
      <c r="N288" s="107">
        <f t="shared" si="273"/>
        <v>8291.6670000000013</v>
      </c>
      <c r="O288" s="107">
        <f t="shared" si="274"/>
        <v>76006.947499999995</v>
      </c>
      <c r="P288" s="107">
        <f t="shared" si="275"/>
        <v>75315.975249999989</v>
      </c>
      <c r="Q288" s="107">
        <f t="shared" si="277"/>
        <v>74625.002999999982</v>
      </c>
      <c r="R288" s="107">
        <f t="shared" si="278"/>
        <v>73934.030749999976</v>
      </c>
      <c r="S288" s="107">
        <f t="shared" si="279"/>
        <v>73243.05849999997</v>
      </c>
      <c r="T288" s="107">
        <f t="shared" si="280"/>
        <v>72552.086249999964</v>
      </c>
      <c r="U288" s="107">
        <f t="shared" si="281"/>
        <v>71861.113999999958</v>
      </c>
      <c r="V288" s="107">
        <f t="shared" si="282"/>
        <v>71170.141749999952</v>
      </c>
      <c r="W288" s="107">
        <f t="shared" si="283"/>
        <v>70479.169499999945</v>
      </c>
      <c r="X288" s="107">
        <f t="shared" si="284"/>
        <v>69788.197249999939</v>
      </c>
      <c r="Y288" s="107">
        <f t="shared" si="285"/>
        <v>69097.224999999933</v>
      </c>
      <c r="Z288" s="107">
        <f t="shared" si="286"/>
        <v>68406.252749999927</v>
      </c>
      <c r="AA288" s="107"/>
      <c r="AB288" s="107"/>
      <c r="AC288" s="107">
        <f t="shared" si="298"/>
        <v>8291.6670000000013</v>
      </c>
      <c r="AD288" s="107">
        <f t="shared" si="287"/>
        <v>67715.280499999921</v>
      </c>
      <c r="AE288" s="107">
        <f t="shared" si="288"/>
        <v>67024.308249999915</v>
      </c>
      <c r="AF288" s="107">
        <f t="shared" si="289"/>
        <v>66333.335999999908</v>
      </c>
      <c r="AG288" s="107">
        <f t="shared" si="290"/>
        <v>65642.363749999902</v>
      </c>
      <c r="AH288" s="107">
        <f t="shared" si="291"/>
        <v>64951.391499999903</v>
      </c>
      <c r="AI288" s="107">
        <f t="shared" si="292"/>
        <v>64260.419249999904</v>
      </c>
      <c r="AJ288" s="107">
        <f t="shared" si="293"/>
        <v>63569.446999999906</v>
      </c>
      <c r="AK288" s="107">
        <f t="shared" si="294"/>
        <v>62878.474749999907</v>
      </c>
      <c r="AL288" s="107">
        <f t="shared" si="295"/>
        <v>62187.502499999908</v>
      </c>
      <c r="AM288" s="107">
        <f t="shared" si="296"/>
        <v>61496.530249999909</v>
      </c>
      <c r="AN288" s="107">
        <f t="shared" si="297"/>
        <v>60805.55799999991</v>
      </c>
      <c r="AO288" s="107">
        <f t="shared" si="299"/>
        <v>60114.585749999911</v>
      </c>
      <c r="AP288" s="107"/>
      <c r="AQ288" s="126"/>
      <c r="AR288" s="107">
        <f t="shared" si="300"/>
        <v>8291.6670000000013</v>
      </c>
      <c r="AS288" s="107">
        <f t="shared" si="257"/>
        <v>59423.613499999912</v>
      </c>
      <c r="AT288" s="107">
        <f t="shared" si="258"/>
        <v>58732.641249999913</v>
      </c>
      <c r="AU288" s="107">
        <f t="shared" si="259"/>
        <v>58041.668999999914</v>
      </c>
      <c r="AV288" s="107">
        <f t="shared" si="260"/>
        <v>57350.696749999915</v>
      </c>
      <c r="AW288" s="107">
        <f t="shared" si="261"/>
        <v>56659.724499999917</v>
      </c>
      <c r="AX288" s="107">
        <f t="shared" si="262"/>
        <v>55968.752249999918</v>
      </c>
      <c r="AY288" s="107">
        <f t="shared" si="263"/>
        <v>55277.779999999919</v>
      </c>
      <c r="AZ288" s="107">
        <f t="shared" si="266"/>
        <v>54586.80774999992</v>
      </c>
      <c r="BA288" s="107">
        <f t="shared" si="267"/>
        <v>53895.835499999921</v>
      </c>
      <c r="BB288" s="107">
        <f t="shared" si="268"/>
        <v>53204.863249999922</v>
      </c>
      <c r="BC288" s="107">
        <f t="shared" si="269"/>
        <v>52513.890999999923</v>
      </c>
      <c r="BD288" s="107">
        <f t="shared" si="270"/>
        <v>51822.918749999924</v>
      </c>
      <c r="BE288" s="107"/>
      <c r="BF288" s="127"/>
      <c r="BG288" s="127"/>
      <c r="BH288" s="127"/>
      <c r="BI288" s="127"/>
      <c r="BJ288" s="127"/>
      <c r="BK288" s="127"/>
      <c r="BL288" s="127"/>
      <c r="BM288" s="127"/>
      <c r="BN288" s="127"/>
      <c r="BO288" s="127"/>
      <c r="BP288" s="127"/>
      <c r="BQ288" s="127"/>
      <c r="BR288" s="127"/>
      <c r="BS288" s="127"/>
      <c r="BT288" s="127"/>
      <c r="BU288" s="127"/>
      <c r="BV288" s="127"/>
      <c r="BW288" s="127"/>
    </row>
    <row r="289" spans="1:75" hidden="1" x14ac:dyDescent="0.2">
      <c r="A289" s="123" t="str">
        <f>'[2]2021 УГРЦТ'!A291</f>
        <v>КСО 393 030660 УЗ ВНА №1</v>
      </c>
      <c r="B289" s="124" t="str">
        <f>'[2]2021 УГРЦТ'!B291</f>
        <v>00000988</v>
      </c>
      <c r="C289" s="124" t="str">
        <f>VLOOKUP(A:A,'2023-2027'!A:L,1,+FALSE)</f>
        <v>КСО 393 030660 УЗ ВНА №1</v>
      </c>
      <c r="D289" s="124" t="str">
        <f>'[2]2021 УГРЦТ'!C291</f>
        <v>ПЕРЕДАЧА</v>
      </c>
      <c r="E289" s="124" t="str">
        <f>'[2]2021 УГРЦТ'!D291</f>
        <v>Машины и оборудование (кроме офисного)</v>
      </c>
      <c r="F289" s="124" t="str">
        <f>'[2]2021 УГРЦТ'!E291</f>
        <v>31.08.2006</v>
      </c>
      <c r="G289" s="124" t="str">
        <f>'[2]2021 УГРЦТ'!F291</f>
        <v>Цех электрических сетей</v>
      </c>
      <c r="H289" s="124">
        <f>'[2]2021 УГРЦТ'!AC291</f>
        <v>180</v>
      </c>
      <c r="I289" s="107">
        <f>'[2]2021 УГРЦТ'!X291</f>
        <v>30807.5</v>
      </c>
      <c r="J289" s="107">
        <f>'[2]2021 УГРЦТ'!Y291</f>
        <v>30807.5</v>
      </c>
      <c r="K289" s="107">
        <f>'[2]2021 УГРЦТ'!Z291</f>
        <v>0</v>
      </c>
      <c r="L289" s="125" t="e">
        <f>SUMIF([2]облаг!$B$2:$B$259,B289,[2]облаг!$D$2:$D$259)</f>
        <v>#VALUE!</v>
      </c>
      <c r="M289" s="107"/>
      <c r="N289" s="107">
        <f t="shared" si="273"/>
        <v>0</v>
      </c>
      <c r="O289" s="107">
        <f t="shared" si="274"/>
        <v>0</v>
      </c>
      <c r="P289" s="107">
        <f t="shared" si="275"/>
        <v>0</v>
      </c>
      <c r="Q289" s="107">
        <f t="shared" si="277"/>
        <v>0</v>
      </c>
      <c r="R289" s="107">
        <f t="shared" si="278"/>
        <v>0</v>
      </c>
      <c r="S289" s="107">
        <f t="shared" si="279"/>
        <v>0</v>
      </c>
      <c r="T289" s="107">
        <f t="shared" si="280"/>
        <v>0</v>
      </c>
      <c r="U289" s="107">
        <f t="shared" si="281"/>
        <v>0</v>
      </c>
      <c r="V289" s="107">
        <f t="shared" si="282"/>
        <v>0</v>
      </c>
      <c r="W289" s="107">
        <f t="shared" si="283"/>
        <v>0</v>
      </c>
      <c r="X289" s="107">
        <f t="shared" si="284"/>
        <v>0</v>
      </c>
      <c r="Y289" s="107">
        <f t="shared" si="285"/>
        <v>0</v>
      </c>
      <c r="Z289" s="107">
        <f t="shared" si="286"/>
        <v>0</v>
      </c>
      <c r="AA289" s="107"/>
      <c r="AB289" s="107"/>
      <c r="AC289" s="107">
        <f t="shared" si="298"/>
        <v>0</v>
      </c>
      <c r="AD289" s="107">
        <f t="shared" si="287"/>
        <v>0</v>
      </c>
      <c r="AE289" s="107">
        <f t="shared" si="288"/>
        <v>0</v>
      </c>
      <c r="AF289" s="107">
        <f t="shared" si="289"/>
        <v>0</v>
      </c>
      <c r="AG289" s="107">
        <f t="shared" si="290"/>
        <v>0</v>
      </c>
      <c r="AH289" s="107">
        <f t="shared" si="291"/>
        <v>0</v>
      </c>
      <c r="AI289" s="107">
        <f t="shared" si="292"/>
        <v>0</v>
      </c>
      <c r="AJ289" s="107">
        <f t="shared" si="293"/>
        <v>0</v>
      </c>
      <c r="AK289" s="107">
        <f t="shared" si="294"/>
        <v>0</v>
      </c>
      <c r="AL289" s="107">
        <f t="shared" si="295"/>
        <v>0</v>
      </c>
      <c r="AM289" s="107">
        <f t="shared" si="296"/>
        <v>0</v>
      </c>
      <c r="AN289" s="107">
        <f t="shared" si="297"/>
        <v>0</v>
      </c>
      <c r="AO289" s="107">
        <f t="shared" si="299"/>
        <v>0</v>
      </c>
      <c r="AP289" s="107"/>
      <c r="AQ289" s="126"/>
      <c r="AR289" s="107">
        <f t="shared" si="300"/>
        <v>0</v>
      </c>
      <c r="AS289" s="107">
        <f t="shared" si="257"/>
        <v>0</v>
      </c>
      <c r="AT289" s="107">
        <f t="shared" si="258"/>
        <v>0</v>
      </c>
      <c r="AU289" s="107">
        <f t="shared" si="259"/>
        <v>0</v>
      </c>
      <c r="AV289" s="107">
        <f t="shared" si="260"/>
        <v>0</v>
      </c>
      <c r="AW289" s="107">
        <f t="shared" si="261"/>
        <v>0</v>
      </c>
      <c r="AX289" s="107">
        <f t="shared" si="262"/>
        <v>0</v>
      </c>
      <c r="AY289" s="107">
        <f t="shared" si="263"/>
        <v>0</v>
      </c>
      <c r="AZ289" s="107">
        <f t="shared" si="266"/>
        <v>0</v>
      </c>
      <c r="BA289" s="107">
        <f t="shared" si="267"/>
        <v>0</v>
      </c>
      <c r="BB289" s="107">
        <f t="shared" si="268"/>
        <v>0</v>
      </c>
      <c r="BC289" s="107">
        <f t="shared" si="269"/>
        <v>0</v>
      </c>
      <c r="BD289" s="107">
        <f t="shared" si="270"/>
        <v>0</v>
      </c>
      <c r="BE289" s="124"/>
      <c r="BI289" s="127"/>
    </row>
    <row r="290" spans="1:75" hidden="1" x14ac:dyDescent="0.2">
      <c r="A290" s="123" t="str">
        <f>'[2]2021 УГРЦТ'!A292</f>
        <v>КСО 393 030660 УЗ ВНА №2</v>
      </c>
      <c r="B290" s="124" t="str">
        <f>'[2]2021 УГРЦТ'!B292</f>
        <v>00000985</v>
      </c>
      <c r="C290" s="124" t="str">
        <f>VLOOKUP(A:A,'2023-2027'!A:L,1,+FALSE)</f>
        <v>КСО 393 030660 УЗ ВНА №2</v>
      </c>
      <c r="D290" s="124" t="str">
        <f>'[2]2021 УГРЦТ'!C292</f>
        <v>ПЕРЕДАЧА</v>
      </c>
      <c r="E290" s="124" t="str">
        <f>'[2]2021 УГРЦТ'!D292</f>
        <v>Машины и оборудование (кроме офисного)</v>
      </c>
      <c r="F290" s="124" t="str">
        <f>'[2]2021 УГРЦТ'!E292</f>
        <v>31.08.2006</v>
      </c>
      <c r="G290" s="124" t="str">
        <f>'[2]2021 УГРЦТ'!F292</f>
        <v>Цех электрических сетей</v>
      </c>
      <c r="H290" s="124">
        <f>'[2]2021 УГРЦТ'!AC292</f>
        <v>180</v>
      </c>
      <c r="I290" s="107">
        <f>'[2]2021 УГРЦТ'!X292</f>
        <v>30807.5</v>
      </c>
      <c r="J290" s="107">
        <f>'[2]2021 УГРЦТ'!Y292</f>
        <v>30807.5</v>
      </c>
      <c r="K290" s="107">
        <f>'[2]2021 УГРЦТ'!Z292</f>
        <v>0</v>
      </c>
      <c r="L290" s="125" t="e">
        <f>SUMIF([2]облаг!$B$2:$B$259,B290,[2]облаг!$D$2:$D$259)</f>
        <v>#VALUE!</v>
      </c>
      <c r="M290" s="107"/>
      <c r="N290" s="107">
        <f t="shared" si="273"/>
        <v>0</v>
      </c>
      <c r="O290" s="107">
        <f t="shared" si="274"/>
        <v>0</v>
      </c>
      <c r="P290" s="107">
        <f t="shared" si="275"/>
        <v>0</v>
      </c>
      <c r="Q290" s="107">
        <f t="shared" si="277"/>
        <v>0</v>
      </c>
      <c r="R290" s="107">
        <f t="shared" si="278"/>
        <v>0</v>
      </c>
      <c r="S290" s="107">
        <f t="shared" si="279"/>
        <v>0</v>
      </c>
      <c r="T290" s="107">
        <f t="shared" si="280"/>
        <v>0</v>
      </c>
      <c r="U290" s="107">
        <f t="shared" si="281"/>
        <v>0</v>
      </c>
      <c r="V290" s="107">
        <f t="shared" si="282"/>
        <v>0</v>
      </c>
      <c r="W290" s="107">
        <f t="shared" si="283"/>
        <v>0</v>
      </c>
      <c r="X290" s="107">
        <f t="shared" si="284"/>
        <v>0</v>
      </c>
      <c r="Y290" s="107">
        <f t="shared" si="285"/>
        <v>0</v>
      </c>
      <c r="Z290" s="107">
        <f t="shared" si="286"/>
        <v>0</v>
      </c>
      <c r="AA290" s="107"/>
      <c r="AB290" s="107"/>
      <c r="AC290" s="107">
        <f t="shared" si="298"/>
        <v>0</v>
      </c>
      <c r="AD290" s="107">
        <f t="shared" si="287"/>
        <v>0</v>
      </c>
      <c r="AE290" s="107">
        <f t="shared" si="288"/>
        <v>0</v>
      </c>
      <c r="AF290" s="107">
        <f t="shared" si="289"/>
        <v>0</v>
      </c>
      <c r="AG290" s="107">
        <f t="shared" si="290"/>
        <v>0</v>
      </c>
      <c r="AH290" s="107">
        <f t="shared" si="291"/>
        <v>0</v>
      </c>
      <c r="AI290" s="107">
        <f t="shared" si="292"/>
        <v>0</v>
      </c>
      <c r="AJ290" s="107">
        <f t="shared" si="293"/>
        <v>0</v>
      </c>
      <c r="AK290" s="107">
        <f t="shared" si="294"/>
        <v>0</v>
      </c>
      <c r="AL290" s="107">
        <f t="shared" si="295"/>
        <v>0</v>
      </c>
      <c r="AM290" s="107">
        <f t="shared" si="296"/>
        <v>0</v>
      </c>
      <c r="AN290" s="107">
        <f t="shared" si="297"/>
        <v>0</v>
      </c>
      <c r="AO290" s="107">
        <f t="shared" si="299"/>
        <v>0</v>
      </c>
      <c r="AP290" s="107"/>
      <c r="AQ290" s="126"/>
      <c r="AR290" s="107">
        <f t="shared" si="300"/>
        <v>0</v>
      </c>
      <c r="AS290" s="107">
        <f t="shared" si="257"/>
        <v>0</v>
      </c>
      <c r="AT290" s="107">
        <f t="shared" si="258"/>
        <v>0</v>
      </c>
      <c r="AU290" s="107">
        <f t="shared" si="259"/>
        <v>0</v>
      </c>
      <c r="AV290" s="107">
        <f t="shared" si="260"/>
        <v>0</v>
      </c>
      <c r="AW290" s="107">
        <f t="shared" si="261"/>
        <v>0</v>
      </c>
      <c r="AX290" s="107">
        <f t="shared" si="262"/>
        <v>0</v>
      </c>
      <c r="AY290" s="107">
        <f t="shared" si="263"/>
        <v>0</v>
      </c>
      <c r="AZ290" s="107">
        <f t="shared" si="266"/>
        <v>0</v>
      </c>
      <c r="BA290" s="107">
        <f t="shared" si="267"/>
        <v>0</v>
      </c>
      <c r="BB290" s="107">
        <f t="shared" si="268"/>
        <v>0</v>
      </c>
      <c r="BC290" s="107">
        <f t="shared" si="269"/>
        <v>0</v>
      </c>
      <c r="BD290" s="107">
        <f t="shared" si="270"/>
        <v>0</v>
      </c>
      <c r="BE290" s="124"/>
      <c r="BI290" s="127"/>
    </row>
    <row r="291" spans="1:75" hidden="1" x14ac:dyDescent="0.2">
      <c r="A291" s="123" t="str">
        <f>'[2]2021 УГРЦТ'!A293</f>
        <v>КСО 393 030660 УЗ ВНА №3</v>
      </c>
      <c r="B291" s="124" t="str">
        <f>'[2]2021 УГРЦТ'!B293</f>
        <v>00000986</v>
      </c>
      <c r="C291" s="124" t="str">
        <f>VLOOKUP(A:A,'2023-2027'!A:L,1,+FALSE)</f>
        <v>КСО 393 030660 УЗ ВНА №3</v>
      </c>
      <c r="D291" s="124" t="str">
        <f>'[2]2021 УГРЦТ'!C293</f>
        <v>ПЕРЕДАЧА</v>
      </c>
      <c r="E291" s="124" t="str">
        <f>'[2]2021 УГРЦТ'!D293</f>
        <v>Машины и оборудование (кроме офисного)</v>
      </c>
      <c r="F291" s="124" t="str">
        <f>'[2]2021 УГРЦТ'!E293</f>
        <v>31.08.2006</v>
      </c>
      <c r="G291" s="124" t="str">
        <f>'[2]2021 УГРЦТ'!F293</f>
        <v>Цех электрических сетей</v>
      </c>
      <c r="H291" s="124">
        <f>'[2]2021 УГРЦТ'!AC293</f>
        <v>180</v>
      </c>
      <c r="I291" s="107">
        <f>'[2]2021 УГРЦТ'!X293</f>
        <v>30807.5</v>
      </c>
      <c r="J291" s="107">
        <f>'[2]2021 УГРЦТ'!Y293</f>
        <v>30807.5</v>
      </c>
      <c r="K291" s="107">
        <f>'[2]2021 УГРЦТ'!Z293</f>
        <v>0</v>
      </c>
      <c r="L291" s="125" t="e">
        <f>SUMIF([2]облаг!$B$2:$B$259,B291,[2]облаг!$D$2:$D$259)</f>
        <v>#VALUE!</v>
      </c>
      <c r="M291" s="107"/>
      <c r="N291" s="107">
        <f t="shared" si="273"/>
        <v>0</v>
      </c>
      <c r="O291" s="107">
        <f t="shared" si="274"/>
        <v>0</v>
      </c>
      <c r="P291" s="107">
        <f t="shared" si="275"/>
        <v>0</v>
      </c>
      <c r="Q291" s="107">
        <f t="shared" si="277"/>
        <v>0</v>
      </c>
      <c r="R291" s="107">
        <f t="shared" si="278"/>
        <v>0</v>
      </c>
      <c r="S291" s="107">
        <f t="shared" si="279"/>
        <v>0</v>
      </c>
      <c r="T291" s="107">
        <f t="shared" si="280"/>
        <v>0</v>
      </c>
      <c r="U291" s="107">
        <f t="shared" si="281"/>
        <v>0</v>
      </c>
      <c r="V291" s="107">
        <f t="shared" si="282"/>
        <v>0</v>
      </c>
      <c r="W291" s="107">
        <f t="shared" si="283"/>
        <v>0</v>
      </c>
      <c r="X291" s="107">
        <f t="shared" si="284"/>
        <v>0</v>
      </c>
      <c r="Y291" s="107">
        <f t="shared" si="285"/>
        <v>0</v>
      </c>
      <c r="Z291" s="107">
        <f t="shared" si="286"/>
        <v>0</v>
      </c>
      <c r="AA291" s="107"/>
      <c r="AB291" s="107"/>
      <c r="AC291" s="107">
        <f t="shared" si="298"/>
        <v>0</v>
      </c>
      <c r="AD291" s="107">
        <f t="shared" si="287"/>
        <v>0</v>
      </c>
      <c r="AE291" s="107">
        <f t="shared" si="288"/>
        <v>0</v>
      </c>
      <c r="AF291" s="107">
        <f t="shared" si="289"/>
        <v>0</v>
      </c>
      <c r="AG291" s="107">
        <f t="shared" si="290"/>
        <v>0</v>
      </c>
      <c r="AH291" s="107">
        <f t="shared" si="291"/>
        <v>0</v>
      </c>
      <c r="AI291" s="107">
        <f t="shared" si="292"/>
        <v>0</v>
      </c>
      <c r="AJ291" s="107">
        <f t="shared" si="293"/>
        <v>0</v>
      </c>
      <c r="AK291" s="107">
        <f t="shared" si="294"/>
        <v>0</v>
      </c>
      <c r="AL291" s="107">
        <f t="shared" si="295"/>
        <v>0</v>
      </c>
      <c r="AM291" s="107">
        <f t="shared" si="296"/>
        <v>0</v>
      </c>
      <c r="AN291" s="107">
        <f t="shared" si="297"/>
        <v>0</v>
      </c>
      <c r="AO291" s="107">
        <f t="shared" si="299"/>
        <v>0</v>
      </c>
      <c r="AP291" s="107"/>
      <c r="AQ291" s="126"/>
      <c r="AR291" s="107">
        <f t="shared" si="300"/>
        <v>0</v>
      </c>
      <c r="AS291" s="107">
        <f t="shared" si="257"/>
        <v>0</v>
      </c>
      <c r="AT291" s="107">
        <f t="shared" si="258"/>
        <v>0</v>
      </c>
      <c r="AU291" s="107">
        <f t="shared" si="259"/>
        <v>0</v>
      </c>
      <c r="AV291" s="107">
        <f t="shared" si="260"/>
        <v>0</v>
      </c>
      <c r="AW291" s="107">
        <f t="shared" si="261"/>
        <v>0</v>
      </c>
      <c r="AX291" s="107">
        <f t="shared" si="262"/>
        <v>0</v>
      </c>
      <c r="AY291" s="107">
        <f t="shared" si="263"/>
        <v>0</v>
      </c>
      <c r="AZ291" s="107">
        <f t="shared" si="266"/>
        <v>0</v>
      </c>
      <c r="BA291" s="107">
        <f t="shared" si="267"/>
        <v>0</v>
      </c>
      <c r="BB291" s="107">
        <f t="shared" si="268"/>
        <v>0</v>
      </c>
      <c r="BC291" s="107">
        <f t="shared" si="269"/>
        <v>0</v>
      </c>
      <c r="BD291" s="107">
        <f t="shared" si="270"/>
        <v>0</v>
      </c>
      <c r="BE291" s="124"/>
      <c r="BI291" s="127"/>
    </row>
    <row r="292" spans="1:75" hidden="1" x14ac:dyDescent="0.2">
      <c r="A292" s="123" t="str">
        <f>'[2]2021 УГРЦТ'!A294</f>
        <v>КСО 393 030660 УЗ ВНА №4</v>
      </c>
      <c r="B292" s="124" t="str">
        <f>'[2]2021 УГРЦТ'!B294</f>
        <v>00000987</v>
      </c>
      <c r="C292" s="124" t="str">
        <f>VLOOKUP(A:A,'2023-2027'!A:L,1,+FALSE)</f>
        <v>КСО 393 030660 УЗ ВНА №4</v>
      </c>
      <c r="D292" s="124" t="str">
        <f>'[2]2021 УГРЦТ'!C294</f>
        <v>ПЕРЕДАЧА</v>
      </c>
      <c r="E292" s="124" t="str">
        <f>'[2]2021 УГРЦТ'!D294</f>
        <v>Машины и оборудование (кроме офисного)</v>
      </c>
      <c r="F292" s="124" t="str">
        <f>'[2]2021 УГРЦТ'!E294</f>
        <v>31.08.2006</v>
      </c>
      <c r="G292" s="124" t="str">
        <f>'[2]2021 УГРЦТ'!F294</f>
        <v>Цех электрических сетей</v>
      </c>
      <c r="H292" s="124">
        <f>'[2]2021 УГРЦТ'!AC294</f>
        <v>180</v>
      </c>
      <c r="I292" s="107">
        <f>'[2]2021 УГРЦТ'!X294</f>
        <v>30807.5</v>
      </c>
      <c r="J292" s="107">
        <f>'[2]2021 УГРЦТ'!Y294</f>
        <v>30807.5</v>
      </c>
      <c r="K292" s="107">
        <f>'[2]2021 УГРЦТ'!Z294</f>
        <v>0</v>
      </c>
      <c r="L292" s="125" t="e">
        <f>SUMIF([2]облаг!$B$2:$B$259,B292,[2]облаг!$D$2:$D$259)</f>
        <v>#VALUE!</v>
      </c>
      <c r="M292" s="107"/>
      <c r="N292" s="107">
        <f t="shared" si="273"/>
        <v>0</v>
      </c>
      <c r="O292" s="107">
        <f t="shared" si="274"/>
        <v>0</v>
      </c>
      <c r="P292" s="107">
        <f t="shared" si="275"/>
        <v>0</v>
      </c>
      <c r="Q292" s="107">
        <f t="shared" si="277"/>
        <v>0</v>
      </c>
      <c r="R292" s="107">
        <f t="shared" si="278"/>
        <v>0</v>
      </c>
      <c r="S292" s="107">
        <f t="shared" si="279"/>
        <v>0</v>
      </c>
      <c r="T292" s="107">
        <f t="shared" si="280"/>
        <v>0</v>
      </c>
      <c r="U292" s="107">
        <f t="shared" si="281"/>
        <v>0</v>
      </c>
      <c r="V292" s="107">
        <f t="shared" si="282"/>
        <v>0</v>
      </c>
      <c r="W292" s="107">
        <f t="shared" si="283"/>
        <v>0</v>
      </c>
      <c r="X292" s="107">
        <f t="shared" si="284"/>
        <v>0</v>
      </c>
      <c r="Y292" s="107">
        <f t="shared" si="285"/>
        <v>0</v>
      </c>
      <c r="Z292" s="107">
        <f t="shared" si="286"/>
        <v>0</v>
      </c>
      <c r="AA292" s="107"/>
      <c r="AB292" s="107"/>
      <c r="AC292" s="107">
        <f t="shared" si="298"/>
        <v>0</v>
      </c>
      <c r="AD292" s="107">
        <f t="shared" si="287"/>
        <v>0</v>
      </c>
      <c r="AE292" s="107">
        <f t="shared" si="288"/>
        <v>0</v>
      </c>
      <c r="AF292" s="107">
        <f t="shared" si="289"/>
        <v>0</v>
      </c>
      <c r="AG292" s="107">
        <f t="shared" si="290"/>
        <v>0</v>
      </c>
      <c r="AH292" s="107">
        <f t="shared" si="291"/>
        <v>0</v>
      </c>
      <c r="AI292" s="107">
        <f t="shared" si="292"/>
        <v>0</v>
      </c>
      <c r="AJ292" s="107">
        <f t="shared" si="293"/>
        <v>0</v>
      </c>
      <c r="AK292" s="107">
        <f t="shared" si="294"/>
        <v>0</v>
      </c>
      <c r="AL292" s="107">
        <f t="shared" si="295"/>
        <v>0</v>
      </c>
      <c r="AM292" s="107">
        <f t="shared" si="296"/>
        <v>0</v>
      </c>
      <c r="AN292" s="107">
        <f t="shared" si="297"/>
        <v>0</v>
      </c>
      <c r="AO292" s="107">
        <f t="shared" si="299"/>
        <v>0</v>
      </c>
      <c r="AP292" s="107"/>
      <c r="AQ292" s="126"/>
      <c r="AR292" s="107">
        <f t="shared" si="300"/>
        <v>0</v>
      </c>
      <c r="AS292" s="107">
        <f t="shared" si="257"/>
        <v>0</v>
      </c>
      <c r="AT292" s="107">
        <f t="shared" si="258"/>
        <v>0</v>
      </c>
      <c r="AU292" s="107">
        <f t="shared" si="259"/>
        <v>0</v>
      </c>
      <c r="AV292" s="107">
        <f t="shared" si="260"/>
        <v>0</v>
      </c>
      <c r="AW292" s="107">
        <f t="shared" si="261"/>
        <v>0</v>
      </c>
      <c r="AX292" s="107">
        <f t="shared" si="262"/>
        <v>0</v>
      </c>
      <c r="AY292" s="107">
        <f t="shared" si="263"/>
        <v>0</v>
      </c>
      <c r="AZ292" s="107">
        <f t="shared" si="266"/>
        <v>0</v>
      </c>
      <c r="BA292" s="107">
        <f t="shared" si="267"/>
        <v>0</v>
      </c>
      <c r="BB292" s="107">
        <f t="shared" si="268"/>
        <v>0</v>
      </c>
      <c r="BC292" s="107">
        <f t="shared" si="269"/>
        <v>0</v>
      </c>
      <c r="BD292" s="107">
        <f t="shared" si="270"/>
        <v>0</v>
      </c>
      <c r="BE292" s="124"/>
      <c r="BI292" s="127"/>
    </row>
    <row r="293" spans="1:75" hidden="1" x14ac:dyDescent="0.2">
      <c r="A293" s="123" t="str">
        <f>'[2]2021 УГРЦТ'!A295</f>
        <v>КТП-40  ТП-59 школа№6  1995г.</v>
      </c>
      <c r="B293" s="124" t="str">
        <f>'[2]2021 УГРЦТ'!B295</f>
        <v>00000230</v>
      </c>
      <c r="C293" s="124" t="str">
        <f>VLOOKUP(A:A,'2023-2027'!A:L,1,+FALSE)</f>
        <v>КТП-40  ТП-59 школа№6  1995г.</v>
      </c>
      <c r="D293" s="124" t="str">
        <f>'[2]2021 УГРЦТ'!C295</f>
        <v>ПЕРЕДАЧА</v>
      </c>
      <c r="E293" s="124" t="str">
        <f>'[2]2021 УГРЦТ'!D295</f>
        <v>Машины и оборудование (кроме офисного)</v>
      </c>
      <c r="F293" s="124" t="str">
        <f>'[2]2021 УГРЦТ'!E295</f>
        <v>01.01.1995</v>
      </c>
      <c r="G293" s="124" t="str">
        <f>'[2]2021 УГРЦТ'!F295</f>
        <v>Цех электрических сетей</v>
      </c>
      <c r="H293" s="124">
        <f>'[2]2021 УГРЦТ'!AC295</f>
        <v>539</v>
      </c>
      <c r="I293" s="107">
        <f>'[2]2021 УГРЦТ'!X295</f>
        <v>1922264.54</v>
      </c>
      <c r="J293" s="107">
        <f>'[2]2021 УГРЦТ'!Y295</f>
        <v>249513.28000000003</v>
      </c>
      <c r="K293" s="107">
        <f>'[2]2021 УГРЦТ'!Z295</f>
        <v>1672751.26</v>
      </c>
      <c r="L293" s="125" t="e">
        <f>SUMIF([2]облаг!$B$2:$B$259,B293,[2]облаг!$D$2:$D$259)</f>
        <v>#VALUE!</v>
      </c>
      <c r="M293" s="107">
        <f t="shared" si="272"/>
        <v>3566.3535064935068</v>
      </c>
      <c r="N293" s="107">
        <f t="shared" si="273"/>
        <v>42796.242077922085</v>
      </c>
      <c r="O293" s="107">
        <f t="shared" si="274"/>
        <v>1669184.9064935064</v>
      </c>
      <c r="P293" s="107">
        <f t="shared" si="275"/>
        <v>1665618.5529870128</v>
      </c>
      <c r="Q293" s="107">
        <f t="shared" si="277"/>
        <v>1662052.1994805192</v>
      </c>
      <c r="R293" s="107">
        <f t="shared" si="278"/>
        <v>1658485.8459740255</v>
      </c>
      <c r="S293" s="107">
        <f t="shared" si="279"/>
        <v>1654919.4924675319</v>
      </c>
      <c r="T293" s="107">
        <f t="shared" si="280"/>
        <v>1651353.1389610383</v>
      </c>
      <c r="U293" s="107">
        <f t="shared" si="281"/>
        <v>1647786.7854545447</v>
      </c>
      <c r="V293" s="107">
        <f t="shared" si="282"/>
        <v>1644220.4319480511</v>
      </c>
      <c r="W293" s="107">
        <f t="shared" si="283"/>
        <v>1640654.0784415575</v>
      </c>
      <c r="X293" s="107">
        <f t="shared" si="284"/>
        <v>1637087.7249350639</v>
      </c>
      <c r="Y293" s="107">
        <f t="shared" si="285"/>
        <v>1633521.3714285702</v>
      </c>
      <c r="Z293" s="107">
        <f t="shared" si="286"/>
        <v>1629955.0179220766</v>
      </c>
      <c r="AA293" s="107"/>
      <c r="AB293" s="107"/>
      <c r="AC293" s="107">
        <f t="shared" si="298"/>
        <v>42796.242077922085</v>
      </c>
      <c r="AD293" s="107">
        <f t="shared" si="287"/>
        <v>1626388.664415583</v>
      </c>
      <c r="AE293" s="107">
        <f t="shared" si="288"/>
        <v>1622822.3109090894</v>
      </c>
      <c r="AF293" s="107">
        <f t="shared" si="289"/>
        <v>1619255.9574025958</v>
      </c>
      <c r="AG293" s="107">
        <f t="shared" si="290"/>
        <v>1615689.6038961022</v>
      </c>
      <c r="AH293" s="107">
        <f t="shared" si="291"/>
        <v>1612123.2503896086</v>
      </c>
      <c r="AI293" s="107">
        <f t="shared" si="292"/>
        <v>1608556.8968831149</v>
      </c>
      <c r="AJ293" s="107">
        <f t="shared" si="293"/>
        <v>1604990.5433766213</v>
      </c>
      <c r="AK293" s="107">
        <f t="shared" si="294"/>
        <v>1601424.1898701277</v>
      </c>
      <c r="AL293" s="107">
        <f t="shared" si="295"/>
        <v>1597857.8363636341</v>
      </c>
      <c r="AM293" s="107">
        <f t="shared" si="296"/>
        <v>1594291.4828571405</v>
      </c>
      <c r="AN293" s="107">
        <f t="shared" si="297"/>
        <v>1590725.1293506469</v>
      </c>
      <c r="AO293" s="107">
        <f t="shared" si="299"/>
        <v>1587158.7758441532</v>
      </c>
      <c r="AP293" s="107"/>
      <c r="AQ293" s="126"/>
      <c r="AR293" s="107">
        <f t="shared" si="300"/>
        <v>42796.242077922085</v>
      </c>
      <c r="AS293" s="107">
        <f t="shared" si="257"/>
        <v>1583592.4223376596</v>
      </c>
      <c r="AT293" s="107">
        <f t="shared" si="258"/>
        <v>1580026.068831166</v>
      </c>
      <c r="AU293" s="107">
        <f t="shared" si="259"/>
        <v>1576459.7153246724</v>
      </c>
      <c r="AV293" s="107">
        <f t="shared" si="260"/>
        <v>1572893.3618181788</v>
      </c>
      <c r="AW293" s="107">
        <f t="shared" si="261"/>
        <v>1569327.0083116852</v>
      </c>
      <c r="AX293" s="107">
        <f t="shared" si="262"/>
        <v>1565760.6548051916</v>
      </c>
      <c r="AY293" s="107">
        <f t="shared" si="263"/>
        <v>1562194.3012986979</v>
      </c>
      <c r="AZ293" s="107">
        <f t="shared" si="266"/>
        <v>1558627.9477922043</v>
      </c>
      <c r="BA293" s="107">
        <f t="shared" si="267"/>
        <v>1555061.5942857107</v>
      </c>
      <c r="BB293" s="107">
        <f t="shared" si="268"/>
        <v>1551495.2407792171</v>
      </c>
      <c r="BC293" s="107">
        <f t="shared" si="269"/>
        <v>1547928.8872727235</v>
      </c>
      <c r="BD293" s="107">
        <f t="shared" si="270"/>
        <v>1544362.5337662299</v>
      </c>
      <c r="BE293" s="107"/>
      <c r="BF293" s="127"/>
      <c r="BG293" s="127"/>
      <c r="BH293" s="127"/>
      <c r="BI293" s="127"/>
      <c r="BJ293" s="127"/>
      <c r="BK293" s="127"/>
      <c r="BL293" s="127"/>
      <c r="BM293" s="127"/>
      <c r="BN293" s="127"/>
      <c r="BO293" s="127"/>
      <c r="BP293" s="127"/>
      <c r="BQ293" s="127"/>
      <c r="BR293" s="127"/>
      <c r="BS293" s="127"/>
      <c r="BT293" s="127"/>
      <c r="BU293" s="127"/>
      <c r="BV293" s="127"/>
      <c r="BW293" s="127"/>
    </row>
    <row r="294" spans="1:75" ht="45" hidden="1" x14ac:dyDescent="0.2">
      <c r="A294" s="123" t="str">
        <f>'[2]2021 УГРЦТ'!A296</f>
        <v>Лабораторно-диагностический корпус для ГУЗ "Ненецкая окружная больница". Трансформаторная подстанция</v>
      </c>
      <c r="B294" s="124" t="str">
        <f>'[2]2021 УГРЦТ'!B296</f>
        <v>000001713</v>
      </c>
      <c r="C294" s="124" t="str">
        <f>VLOOKUP(A:A,'2023-2027'!A:L,1,+FALSE)</f>
        <v>Лабораторно-диагностический корпус для ГУЗ "Ненецкая окружная больница". Трансформаторная подстанция</v>
      </c>
      <c r="D294" s="124" t="str">
        <f>'[2]2021 УГРЦТ'!C296</f>
        <v>ПЕРЕДАЧА</v>
      </c>
      <c r="E294" s="124" t="str">
        <f>'[2]2021 УГРЦТ'!D296</f>
        <v>Сооружения</v>
      </c>
      <c r="F294" s="124" t="str">
        <f>'[2]2021 УГРЦТ'!E296</f>
        <v>05.09.2017</v>
      </c>
      <c r="G294" s="124" t="str">
        <f>'[2]2021 УГРЦТ'!F296</f>
        <v>Цех электрических сетей</v>
      </c>
      <c r="H294" s="124">
        <f>'[2]2021 УГРЦТ'!AC296</f>
        <v>360</v>
      </c>
      <c r="I294" s="107">
        <v>3378256.22</v>
      </c>
      <c r="J294" s="107">
        <v>478586.49066666671</v>
      </c>
      <c r="K294" s="107">
        <v>2899669.7293333337</v>
      </c>
      <c r="L294" s="125" t="e">
        <f>SUMIF([2]облаг!$B$2:$B$259,B294,[2]облаг!$D$2:$D$259)</f>
        <v>#VALUE!</v>
      </c>
      <c r="M294" s="107">
        <f t="shared" si="272"/>
        <v>9384.0450555555562</v>
      </c>
      <c r="N294" s="107">
        <f t="shared" si="273"/>
        <v>112608.54066666667</v>
      </c>
      <c r="O294" s="107">
        <f t="shared" si="274"/>
        <v>2890285.684277778</v>
      </c>
      <c r="P294" s="107">
        <f t="shared" si="275"/>
        <v>2880901.6392222224</v>
      </c>
      <c r="Q294" s="107">
        <f t="shared" si="277"/>
        <v>2871517.5941666667</v>
      </c>
      <c r="R294" s="107">
        <f t="shared" si="278"/>
        <v>2862133.5491111111</v>
      </c>
      <c r="S294" s="107">
        <f t="shared" si="279"/>
        <v>2852749.5040555554</v>
      </c>
      <c r="T294" s="107">
        <f t="shared" si="280"/>
        <v>2843365.4589999998</v>
      </c>
      <c r="U294" s="107">
        <f t="shared" si="281"/>
        <v>2833981.4139444442</v>
      </c>
      <c r="V294" s="107">
        <f t="shared" si="282"/>
        <v>2824597.3688888885</v>
      </c>
      <c r="W294" s="107">
        <f t="shared" si="283"/>
        <v>2815213.3238333329</v>
      </c>
      <c r="X294" s="107">
        <f t="shared" si="284"/>
        <v>2805829.2787777772</v>
      </c>
      <c r="Y294" s="107">
        <f t="shared" si="285"/>
        <v>2796445.2337222216</v>
      </c>
      <c r="Z294" s="107">
        <f t="shared" si="286"/>
        <v>2787061.1886666659</v>
      </c>
      <c r="AA294" s="107">
        <f t="shared" ref="AA294:AA309" si="301">SUM(O294:Z294,K294)/13*$AA$2</f>
        <v>62554.04009799999</v>
      </c>
      <c r="AB294" s="107"/>
      <c r="AC294" s="107">
        <f t="shared" si="298"/>
        <v>112608.54066666667</v>
      </c>
      <c r="AD294" s="107">
        <f t="shared" si="287"/>
        <v>2777677.1436111103</v>
      </c>
      <c r="AE294" s="107">
        <f t="shared" si="288"/>
        <v>2768293.0985555546</v>
      </c>
      <c r="AF294" s="107">
        <f t="shared" si="289"/>
        <v>2758909.053499999</v>
      </c>
      <c r="AG294" s="107">
        <f t="shared" si="290"/>
        <v>2749525.0084444433</v>
      </c>
      <c r="AH294" s="107">
        <f t="shared" si="291"/>
        <v>2740140.9633888877</v>
      </c>
      <c r="AI294" s="107">
        <f t="shared" si="292"/>
        <v>2730756.9183333321</v>
      </c>
      <c r="AJ294" s="107">
        <f t="shared" si="293"/>
        <v>2721372.8732777764</v>
      </c>
      <c r="AK294" s="107">
        <f t="shared" si="294"/>
        <v>2711988.8282222208</v>
      </c>
      <c r="AL294" s="107">
        <f t="shared" si="295"/>
        <v>2702604.7831666651</v>
      </c>
      <c r="AM294" s="107">
        <f t="shared" si="296"/>
        <v>2693220.7381111095</v>
      </c>
      <c r="AN294" s="107">
        <f t="shared" si="297"/>
        <v>2683836.6930555538</v>
      </c>
      <c r="AO294" s="107">
        <f t="shared" si="299"/>
        <v>2674452.6479999982</v>
      </c>
      <c r="AP294" s="107">
        <f t="shared" ref="AP294:AP309" si="302">SUM(AD294:AO294,Z294)/13*$AP$2</f>
        <v>60076.652203333302</v>
      </c>
      <c r="AQ294" s="126"/>
      <c r="AR294" s="107">
        <f t="shared" si="300"/>
        <v>112608.54066666667</v>
      </c>
      <c r="AS294" s="107">
        <f t="shared" si="257"/>
        <v>2665068.6029444425</v>
      </c>
      <c r="AT294" s="107">
        <f t="shared" si="258"/>
        <v>2655684.5578888869</v>
      </c>
      <c r="AU294" s="107">
        <f t="shared" si="259"/>
        <v>2646300.5128333312</v>
      </c>
      <c r="AV294" s="107">
        <f t="shared" si="260"/>
        <v>2636916.4677777756</v>
      </c>
      <c r="AW294" s="107">
        <f t="shared" si="261"/>
        <v>2627532.42272222</v>
      </c>
      <c r="AX294" s="107">
        <f t="shared" si="262"/>
        <v>2618148.3776666643</v>
      </c>
      <c r="AY294" s="107">
        <f t="shared" si="263"/>
        <v>2608764.3326111087</v>
      </c>
      <c r="AZ294" s="107">
        <f t="shared" si="266"/>
        <v>2599380.287555553</v>
      </c>
      <c r="BA294" s="107">
        <f t="shared" si="267"/>
        <v>2589996.2424999974</v>
      </c>
      <c r="BB294" s="107">
        <f t="shared" si="268"/>
        <v>2580612.1974444417</v>
      </c>
      <c r="BC294" s="107">
        <f t="shared" si="269"/>
        <v>2571228.1523888861</v>
      </c>
      <c r="BD294" s="107">
        <f t="shared" si="270"/>
        <v>2561844.1073333304</v>
      </c>
      <c r="BE294" s="107">
        <f t="shared" ref="BE294:BE309" si="303">SUM(AS294:BD294,AO294)/13*$BE$2</f>
        <v>57599.264308666621</v>
      </c>
      <c r="BF294" s="127"/>
      <c r="BG294" s="127"/>
      <c r="BH294" s="127"/>
      <c r="BI294" s="127"/>
      <c r="BJ294" s="127"/>
      <c r="BK294" s="127"/>
      <c r="BL294" s="127"/>
      <c r="BM294" s="127"/>
      <c r="BN294" s="127"/>
      <c r="BO294" s="127"/>
      <c r="BP294" s="127"/>
      <c r="BQ294" s="127"/>
      <c r="BR294" s="127"/>
      <c r="BS294" s="127"/>
      <c r="BT294" s="127"/>
      <c r="BU294" s="127"/>
      <c r="BV294" s="127"/>
      <c r="BW294" s="127"/>
    </row>
    <row r="295" spans="1:75" ht="22.5" hidden="1" x14ac:dyDescent="0.2">
      <c r="A295" s="123" t="str">
        <f>'[2]2021 УГРЦТ'!A297</f>
        <v>Линия электропередач - 0,4 кВ. в с. Тельвиска</v>
      </c>
      <c r="B295" s="140" t="str">
        <f>'[2]2021 УГРЦТ'!B297</f>
        <v>000001842</v>
      </c>
      <c r="C295" s="124" t="str">
        <f>VLOOKUP(A:A,'2023-2027'!A:L,1,+FALSE)</f>
        <v>Линия электропередач - 0,4 кВ. в с. Тельвиска</v>
      </c>
      <c r="D295" s="124" t="str">
        <f>'[2]2021 УГРЦТ'!C297</f>
        <v>ПЕРЕДАЧА</v>
      </c>
      <c r="E295" s="124" t="str">
        <f>'[2]2021 УГРЦТ'!D297</f>
        <v>Сооружения</v>
      </c>
      <c r="F295" s="124" t="str">
        <f>'[2]2021 УГРЦТ'!E297</f>
        <v>14.04.2021</v>
      </c>
      <c r="G295" s="124" t="str">
        <f>'[2]2021 УГРЦТ'!F297</f>
        <v>Цех электрических сетей</v>
      </c>
      <c r="H295" s="124">
        <f>'[2]2021 УГРЦТ'!AC297</f>
        <v>420</v>
      </c>
      <c r="I295" s="107">
        <v>8912257.2300000004</v>
      </c>
      <c r="J295" s="107">
        <v>169757.28057142859</v>
      </c>
      <c r="K295" s="107">
        <v>8742499.9494285714</v>
      </c>
      <c r="L295" s="125" t="e">
        <f>SUMIF([2]облаг!$B$2:$B$259,B295,[2]облаг!$D$2:$D$259)</f>
        <v>#VALUE!</v>
      </c>
      <c r="M295" s="107">
        <f t="shared" si="272"/>
        <v>21219.660071428574</v>
      </c>
      <c r="N295" s="107">
        <f t="shared" si="273"/>
        <v>254635.92085714289</v>
      </c>
      <c r="O295" s="107">
        <f t="shared" si="274"/>
        <v>8721280.2893571425</v>
      </c>
      <c r="P295" s="107">
        <f t="shared" si="275"/>
        <v>8700060.6292857137</v>
      </c>
      <c r="Q295" s="107">
        <f t="shared" si="277"/>
        <v>8678840.9692142848</v>
      </c>
      <c r="R295" s="107">
        <f t="shared" si="278"/>
        <v>8657621.3091428559</v>
      </c>
      <c r="S295" s="107">
        <f t="shared" si="279"/>
        <v>8636401.6490714271</v>
      </c>
      <c r="T295" s="107">
        <f t="shared" si="280"/>
        <v>8615181.9889999982</v>
      </c>
      <c r="U295" s="107">
        <f t="shared" si="281"/>
        <v>8593962.3289285693</v>
      </c>
      <c r="V295" s="107">
        <f t="shared" si="282"/>
        <v>8572742.6688571405</v>
      </c>
      <c r="W295" s="107">
        <f t="shared" si="283"/>
        <v>8551523.0087857116</v>
      </c>
      <c r="X295" s="107">
        <f t="shared" si="284"/>
        <v>8530303.3487142827</v>
      </c>
      <c r="Y295" s="107">
        <f t="shared" si="285"/>
        <v>8509083.6886428539</v>
      </c>
      <c r="Z295" s="107">
        <f t="shared" si="286"/>
        <v>8487864.028571425</v>
      </c>
      <c r="AA295" s="107">
        <f t="shared" si="301"/>
        <v>189534.00375799995</v>
      </c>
      <c r="AB295" s="107"/>
      <c r="AC295" s="107">
        <f t="shared" si="298"/>
        <v>254635.92085714289</v>
      </c>
      <c r="AD295" s="107">
        <f t="shared" si="287"/>
        <v>8466644.3684999961</v>
      </c>
      <c r="AE295" s="107">
        <f t="shared" si="288"/>
        <v>8445424.7084285673</v>
      </c>
      <c r="AF295" s="107">
        <f t="shared" si="289"/>
        <v>8424205.0483571384</v>
      </c>
      <c r="AG295" s="107">
        <f t="shared" si="290"/>
        <v>8402985.3882857095</v>
      </c>
      <c r="AH295" s="107">
        <f t="shared" si="291"/>
        <v>8381765.7282142807</v>
      </c>
      <c r="AI295" s="107">
        <f t="shared" si="292"/>
        <v>8360546.0681428518</v>
      </c>
      <c r="AJ295" s="107">
        <f t="shared" si="293"/>
        <v>8339326.4080714229</v>
      </c>
      <c r="AK295" s="107">
        <f t="shared" si="294"/>
        <v>8318106.7479999941</v>
      </c>
      <c r="AL295" s="107">
        <f t="shared" si="295"/>
        <v>8296887.0879285652</v>
      </c>
      <c r="AM295" s="107">
        <f t="shared" si="296"/>
        <v>8275667.4278571364</v>
      </c>
      <c r="AN295" s="107">
        <f t="shared" si="297"/>
        <v>8254447.7677857075</v>
      </c>
      <c r="AO295" s="107">
        <f t="shared" si="299"/>
        <v>8233228.1077142786</v>
      </c>
      <c r="AP295" s="107">
        <f t="shared" si="302"/>
        <v>183932.01349914272</v>
      </c>
      <c r="AQ295" s="126"/>
      <c r="AR295" s="107">
        <f t="shared" si="300"/>
        <v>254635.92085714289</v>
      </c>
      <c r="AS295" s="107">
        <f t="shared" si="257"/>
        <v>8212008.4476428498</v>
      </c>
      <c r="AT295" s="107">
        <f t="shared" si="258"/>
        <v>8190788.7875714209</v>
      </c>
      <c r="AU295" s="107">
        <f t="shared" si="259"/>
        <v>8169569.127499992</v>
      </c>
      <c r="AV295" s="107">
        <f t="shared" si="260"/>
        <v>8148349.4674285632</v>
      </c>
      <c r="AW295" s="107">
        <f t="shared" si="261"/>
        <v>8127129.8073571343</v>
      </c>
      <c r="AX295" s="107">
        <f t="shared" si="262"/>
        <v>8105910.1472857054</v>
      </c>
      <c r="AY295" s="107">
        <f t="shared" si="263"/>
        <v>8084690.4872142766</v>
      </c>
      <c r="AZ295" s="107">
        <f t="shared" si="266"/>
        <v>8063470.8271428477</v>
      </c>
      <c r="BA295" s="107">
        <f t="shared" si="267"/>
        <v>8042251.1670714188</v>
      </c>
      <c r="BB295" s="107">
        <f t="shared" si="268"/>
        <v>8021031.50699999</v>
      </c>
      <c r="BC295" s="107">
        <f t="shared" si="269"/>
        <v>7999811.8469285611</v>
      </c>
      <c r="BD295" s="107">
        <f t="shared" si="270"/>
        <v>7978592.1868571322</v>
      </c>
      <c r="BE295" s="107">
        <f t="shared" si="303"/>
        <v>178330.02324028552</v>
      </c>
      <c r="BF295" s="127"/>
      <c r="BG295" s="127"/>
      <c r="BH295" s="127"/>
      <c r="BI295" s="127"/>
      <c r="BJ295" s="127"/>
      <c r="BK295" s="127"/>
      <c r="BL295" s="127"/>
      <c r="BM295" s="127"/>
      <c r="BN295" s="127"/>
      <c r="BO295" s="127"/>
      <c r="BP295" s="127"/>
      <c r="BQ295" s="127"/>
      <c r="BR295" s="127"/>
      <c r="BS295" s="127"/>
      <c r="BT295" s="127"/>
      <c r="BU295" s="127"/>
      <c r="BV295" s="127"/>
      <c r="BW295" s="127"/>
    </row>
    <row r="296" spans="1:75" ht="22.5" hidden="1" x14ac:dyDescent="0.2">
      <c r="A296" s="123" t="str">
        <f>'[2]2021 УГРЦТ'!A298</f>
        <v>Линия электропередач - 0,4 кВ. в с. Тельвиска</v>
      </c>
      <c r="B296" s="140" t="str">
        <f>'[2]2021 УГРЦТ'!B298</f>
        <v>000001845</v>
      </c>
      <c r="C296" s="124" t="str">
        <f>VLOOKUP(A:A,'2023-2027'!A:L,1,+FALSE)</f>
        <v>Линия электропередач - 0,4 кВ. в с. Тельвиска</v>
      </c>
      <c r="D296" s="124" t="str">
        <f>'[2]2021 УГРЦТ'!C298</f>
        <v>ПЕРЕДАЧА</v>
      </c>
      <c r="E296" s="124" t="str">
        <f>'[2]2021 УГРЦТ'!D298</f>
        <v>Сооружения</v>
      </c>
      <c r="F296" s="124" t="str">
        <f>'[2]2021 УГРЦТ'!E298</f>
        <v>14.04.2021</v>
      </c>
      <c r="G296" s="124" t="str">
        <f>'[2]2021 УГРЦТ'!F298</f>
        <v>Цех электрических сетей</v>
      </c>
      <c r="H296" s="124">
        <f>'[2]2021 УГРЦТ'!AC298</f>
        <v>420</v>
      </c>
      <c r="I296" s="107">
        <v>5418041.1200000001</v>
      </c>
      <c r="J296" s="107">
        <v>103200.78323809525</v>
      </c>
      <c r="K296" s="107">
        <v>5314840.3367619049</v>
      </c>
      <c r="L296" s="125" t="e">
        <f>SUMIF([2]облаг!$B$2:$B$259,B296,[2]облаг!$D$2:$D$259)</f>
        <v>#VALUE!</v>
      </c>
      <c r="M296" s="107">
        <f t="shared" si="272"/>
        <v>12900.097904761906</v>
      </c>
      <c r="N296" s="107">
        <f t="shared" si="273"/>
        <v>154801.17485714288</v>
      </c>
      <c r="O296" s="107">
        <f t="shared" si="274"/>
        <v>5301940.2388571426</v>
      </c>
      <c r="P296" s="107">
        <f t="shared" si="275"/>
        <v>5289040.1409523804</v>
      </c>
      <c r="Q296" s="107">
        <f t="shared" si="277"/>
        <v>5276140.0430476181</v>
      </c>
      <c r="R296" s="107">
        <f t="shared" si="278"/>
        <v>5263239.9451428559</v>
      </c>
      <c r="S296" s="107">
        <f t="shared" si="279"/>
        <v>5250339.8472380936</v>
      </c>
      <c r="T296" s="107">
        <f t="shared" si="280"/>
        <v>5237439.7493333314</v>
      </c>
      <c r="U296" s="107">
        <f t="shared" si="281"/>
        <v>5224539.6514285691</v>
      </c>
      <c r="V296" s="107">
        <f t="shared" si="282"/>
        <v>5211639.5535238069</v>
      </c>
      <c r="W296" s="107">
        <f t="shared" si="283"/>
        <v>5198739.4556190446</v>
      </c>
      <c r="X296" s="107">
        <f t="shared" si="284"/>
        <v>5185839.3577142823</v>
      </c>
      <c r="Y296" s="107">
        <f t="shared" si="285"/>
        <v>5172939.2598095201</v>
      </c>
      <c r="Z296" s="107">
        <f t="shared" si="286"/>
        <v>5160039.1619047578</v>
      </c>
      <c r="AA296" s="107">
        <f t="shared" si="301"/>
        <v>115223.67448533328</v>
      </c>
      <c r="AB296" s="107"/>
      <c r="AC296" s="107">
        <f t="shared" si="298"/>
        <v>154801.17485714288</v>
      </c>
      <c r="AD296" s="107">
        <f t="shared" si="287"/>
        <v>5147139.0639999956</v>
      </c>
      <c r="AE296" s="107">
        <f t="shared" si="288"/>
        <v>5134238.9660952333</v>
      </c>
      <c r="AF296" s="107">
        <f t="shared" si="289"/>
        <v>5121338.8681904711</v>
      </c>
      <c r="AG296" s="107">
        <f t="shared" si="290"/>
        <v>5108438.7702857088</v>
      </c>
      <c r="AH296" s="107">
        <f t="shared" si="291"/>
        <v>5095538.6723809466</v>
      </c>
      <c r="AI296" s="107">
        <f t="shared" si="292"/>
        <v>5082638.5744761843</v>
      </c>
      <c r="AJ296" s="107">
        <f t="shared" si="293"/>
        <v>5069738.4765714221</v>
      </c>
      <c r="AK296" s="107">
        <f t="shared" si="294"/>
        <v>5056838.3786666598</v>
      </c>
      <c r="AL296" s="107">
        <f t="shared" si="295"/>
        <v>5043938.2807618976</v>
      </c>
      <c r="AM296" s="107">
        <f t="shared" si="296"/>
        <v>5031038.1828571353</v>
      </c>
      <c r="AN296" s="107">
        <f t="shared" si="297"/>
        <v>5018138.0849523731</v>
      </c>
      <c r="AO296" s="107">
        <f t="shared" si="299"/>
        <v>5005237.9870476108</v>
      </c>
      <c r="AP296" s="107">
        <f t="shared" si="302"/>
        <v>111818.04863847604</v>
      </c>
      <c r="AQ296" s="126"/>
      <c r="AR296" s="107">
        <f t="shared" si="300"/>
        <v>154801.17485714288</v>
      </c>
      <c r="AS296" s="107">
        <f t="shared" si="257"/>
        <v>4992337.8891428486</v>
      </c>
      <c r="AT296" s="107">
        <f t="shared" si="258"/>
        <v>4979437.7912380863</v>
      </c>
      <c r="AU296" s="107">
        <f t="shared" si="259"/>
        <v>4966537.693333324</v>
      </c>
      <c r="AV296" s="107">
        <f t="shared" si="260"/>
        <v>4953637.5954285618</v>
      </c>
      <c r="AW296" s="107">
        <f t="shared" si="261"/>
        <v>4940737.4975237995</v>
      </c>
      <c r="AX296" s="107">
        <f t="shared" si="262"/>
        <v>4927837.3996190373</v>
      </c>
      <c r="AY296" s="107">
        <f t="shared" si="263"/>
        <v>4914937.301714275</v>
      </c>
      <c r="AZ296" s="107">
        <f t="shared" si="266"/>
        <v>4902037.2038095128</v>
      </c>
      <c r="BA296" s="107">
        <f t="shared" si="267"/>
        <v>4889137.1059047505</v>
      </c>
      <c r="BB296" s="107">
        <f t="shared" si="268"/>
        <v>4876237.0079999883</v>
      </c>
      <c r="BC296" s="107">
        <f t="shared" si="269"/>
        <v>4863336.910095226</v>
      </c>
      <c r="BD296" s="107">
        <f t="shared" si="270"/>
        <v>4850436.8121904638</v>
      </c>
      <c r="BE296" s="107">
        <f t="shared" si="303"/>
        <v>108412.42279161881</v>
      </c>
      <c r="BF296" s="127"/>
      <c r="BG296" s="127"/>
      <c r="BH296" s="127"/>
      <c r="BI296" s="127"/>
      <c r="BJ296" s="127"/>
      <c r="BK296" s="127"/>
      <c r="BL296" s="127"/>
      <c r="BM296" s="127"/>
      <c r="BN296" s="127"/>
      <c r="BO296" s="127"/>
      <c r="BP296" s="127"/>
      <c r="BQ296" s="127"/>
      <c r="BR296" s="127"/>
      <c r="BS296" s="127"/>
      <c r="BT296" s="127"/>
      <c r="BU296" s="127"/>
      <c r="BV296" s="127"/>
      <c r="BW296" s="127"/>
    </row>
    <row r="297" spans="1:75" ht="22.5" hidden="1" x14ac:dyDescent="0.2">
      <c r="A297" s="123" t="str">
        <f>'[2]2021 УГРЦТ'!A299</f>
        <v>Линия электропередач 20 кВ "г.Нарьян-Мар-Красное"</v>
      </c>
      <c r="B297" s="124" t="str">
        <f>'[2]2021 УГРЦТ'!B299</f>
        <v>000001570</v>
      </c>
      <c r="C297" s="124" t="str">
        <f>VLOOKUP(A:A,'2023-2027'!A:L,1,+FALSE)</f>
        <v>Линия электропередач 20 кВ "г.Нарьян-Мар-Красное"</v>
      </c>
      <c r="D297" s="124" t="str">
        <f>'[2]2021 УГРЦТ'!C299</f>
        <v>ПЕРЕДАЧА</v>
      </c>
      <c r="E297" s="124" t="str">
        <f>'[2]2021 УГРЦТ'!D299</f>
        <v>Сооружения</v>
      </c>
      <c r="F297" s="124" t="str">
        <f>'[2]2021 УГРЦТ'!E299</f>
        <v>31.12.2013</v>
      </c>
      <c r="G297" s="124" t="str">
        <f>'[2]2021 УГРЦТ'!F299</f>
        <v>Цех электрических сетей</v>
      </c>
      <c r="H297" s="124">
        <f>'[2]2021 УГРЦТ'!AC299</f>
        <v>300</v>
      </c>
      <c r="I297" s="107">
        <f>'[2]2021 УГРЦТ'!X299</f>
        <v>118705028.09999999</v>
      </c>
      <c r="J297" s="107">
        <f>'[2]2021 УГРЦТ'!Y299</f>
        <v>37928348.519999996</v>
      </c>
      <c r="K297" s="107">
        <f>'[2]2021 УГРЦТ'!Z299</f>
        <v>80776679.579999998</v>
      </c>
      <c r="L297" s="125" t="e">
        <f>SUMIF([2]облаг!$B$2:$B$259,B297,[2]облаг!$D$2:$D$259)</f>
        <v>#VALUE!</v>
      </c>
      <c r="M297" s="107">
        <f t="shared" si="272"/>
        <v>395683.42699999997</v>
      </c>
      <c r="N297" s="107">
        <f t="shared" si="273"/>
        <v>4748201.1239999998</v>
      </c>
      <c r="O297" s="107">
        <f t="shared" si="274"/>
        <v>80380996.152999997</v>
      </c>
      <c r="P297" s="107">
        <f t="shared" si="275"/>
        <v>79985312.725999996</v>
      </c>
      <c r="Q297" s="107">
        <f t="shared" si="277"/>
        <v>79589629.298999995</v>
      </c>
      <c r="R297" s="107">
        <f t="shared" si="278"/>
        <v>79193945.871999994</v>
      </c>
      <c r="S297" s="107">
        <f t="shared" si="279"/>
        <v>78798262.444999993</v>
      </c>
      <c r="T297" s="107">
        <f t="shared" si="280"/>
        <v>78402579.017999992</v>
      </c>
      <c r="U297" s="107">
        <f t="shared" si="281"/>
        <v>78006895.590999991</v>
      </c>
      <c r="V297" s="107">
        <f t="shared" si="282"/>
        <v>77611212.16399999</v>
      </c>
      <c r="W297" s="107">
        <f t="shared" si="283"/>
        <v>77215528.736999989</v>
      </c>
      <c r="X297" s="107">
        <f t="shared" si="284"/>
        <v>76819845.309999987</v>
      </c>
      <c r="Y297" s="107">
        <f t="shared" si="285"/>
        <v>76424161.882999986</v>
      </c>
      <c r="Z297" s="107">
        <f t="shared" si="286"/>
        <v>76028478.455999985</v>
      </c>
      <c r="AA297" s="107">
        <f t="shared" si="301"/>
        <v>1724856.7383959997</v>
      </c>
      <c r="AB297" s="107"/>
      <c r="AC297" s="107">
        <f t="shared" si="298"/>
        <v>4748201.1239999998</v>
      </c>
      <c r="AD297" s="107">
        <f t="shared" si="287"/>
        <v>75632795.028999984</v>
      </c>
      <c r="AE297" s="107">
        <f t="shared" si="288"/>
        <v>75237111.601999983</v>
      </c>
      <c r="AF297" s="107">
        <f t="shared" si="289"/>
        <v>74841428.174999982</v>
      </c>
      <c r="AG297" s="107">
        <f t="shared" si="290"/>
        <v>74445744.747999981</v>
      </c>
      <c r="AH297" s="107">
        <f t="shared" si="291"/>
        <v>74050061.32099998</v>
      </c>
      <c r="AI297" s="107">
        <f t="shared" si="292"/>
        <v>73654377.893999979</v>
      </c>
      <c r="AJ297" s="107">
        <f t="shared" si="293"/>
        <v>73258694.466999978</v>
      </c>
      <c r="AK297" s="107">
        <f t="shared" si="294"/>
        <v>72863011.039999977</v>
      </c>
      <c r="AL297" s="107">
        <f t="shared" si="295"/>
        <v>72467327.612999976</v>
      </c>
      <c r="AM297" s="107">
        <f t="shared" si="296"/>
        <v>72071644.185999975</v>
      </c>
      <c r="AN297" s="107">
        <f t="shared" si="297"/>
        <v>71675960.758999974</v>
      </c>
      <c r="AO297" s="107">
        <f t="shared" si="299"/>
        <v>71280277.331999972</v>
      </c>
      <c r="AP297" s="107">
        <f t="shared" si="302"/>
        <v>1620396.3136679998</v>
      </c>
      <c r="AQ297" s="126"/>
      <c r="AR297" s="107">
        <f t="shared" si="300"/>
        <v>4748201.1239999998</v>
      </c>
      <c r="AS297" s="107">
        <f t="shared" si="257"/>
        <v>70884593.904999971</v>
      </c>
      <c r="AT297" s="107">
        <f t="shared" si="258"/>
        <v>70488910.47799997</v>
      </c>
      <c r="AU297" s="107">
        <f t="shared" si="259"/>
        <v>70093227.050999969</v>
      </c>
      <c r="AV297" s="107">
        <f t="shared" si="260"/>
        <v>69697543.623999968</v>
      </c>
      <c r="AW297" s="107">
        <f t="shared" si="261"/>
        <v>69301860.196999967</v>
      </c>
      <c r="AX297" s="107">
        <f t="shared" si="262"/>
        <v>68906176.769999966</v>
      </c>
      <c r="AY297" s="107">
        <f t="shared" si="263"/>
        <v>68510493.342999965</v>
      </c>
      <c r="AZ297" s="107">
        <f t="shared" si="266"/>
        <v>68114809.915999964</v>
      </c>
      <c r="BA297" s="107">
        <f t="shared" si="267"/>
        <v>67719126.488999963</v>
      </c>
      <c r="BB297" s="107">
        <f t="shared" si="268"/>
        <v>67323443.061999962</v>
      </c>
      <c r="BC297" s="107">
        <f t="shared" si="269"/>
        <v>66927759.634999961</v>
      </c>
      <c r="BD297" s="107">
        <f t="shared" si="270"/>
        <v>66532076.20799996</v>
      </c>
      <c r="BE297" s="107">
        <f t="shared" si="303"/>
        <v>1515935.8889399993</v>
      </c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</row>
    <row r="298" spans="1:75" ht="33.75" hidden="1" x14ac:dyDescent="0.2">
      <c r="A298" s="123" t="str">
        <f>'[2]2021 УГРЦТ'!A300</f>
        <v>Линия электропередач 6 кВ "г.Нарьян-Мар - с.Тельвиска" НАО</v>
      </c>
      <c r="B298" s="124" t="str">
        <f>'[2]2021 УГРЦТ'!B300</f>
        <v>000001507</v>
      </c>
      <c r="C298" s="124" t="str">
        <f>VLOOKUP(A:A,'2023-2027'!A:L,1,+FALSE)</f>
        <v>Линия электропередач 6 кВ "г.Нарьян-Мар - с.Тельвиска" НАО</v>
      </c>
      <c r="D298" s="124" t="str">
        <f>'[2]2021 УГРЦТ'!C300</f>
        <v>ПЕРЕДАЧА</v>
      </c>
      <c r="E298" s="124" t="str">
        <f>'[2]2021 УГРЦТ'!D300</f>
        <v>Сооружения</v>
      </c>
      <c r="F298" s="124" t="str">
        <f>'[2]2021 УГРЦТ'!E300</f>
        <v>21.12.2012</v>
      </c>
      <c r="G298" s="124" t="str">
        <f>'[2]2021 УГРЦТ'!F300</f>
        <v>Цех электрических сетей</v>
      </c>
      <c r="H298" s="124">
        <f>'[2]2021 УГРЦТ'!AC300</f>
        <v>300</v>
      </c>
      <c r="I298" s="107">
        <v>126220029.73999999</v>
      </c>
      <c r="J298" s="107">
        <v>38914966.764399998</v>
      </c>
      <c r="K298" s="107">
        <f>I298-J298</f>
        <v>87305062.975600004</v>
      </c>
      <c r="L298" s="125" t="e">
        <f>SUMIF([2]облаг!$B$2:$B$259,B298,[2]облаг!$D$2:$D$259)</f>
        <v>#VALUE!</v>
      </c>
      <c r="M298" s="107">
        <f t="shared" si="272"/>
        <v>420733.43246666662</v>
      </c>
      <c r="N298" s="107">
        <f t="shared" si="273"/>
        <v>5048801.1895999992</v>
      </c>
      <c r="O298" s="107">
        <f t="shared" si="274"/>
        <v>86884329.543133333</v>
      </c>
      <c r="P298" s="107">
        <f t="shared" si="275"/>
        <v>86463596.110666662</v>
      </c>
      <c r="Q298" s="107">
        <f t="shared" si="277"/>
        <v>86042862.678199992</v>
      </c>
      <c r="R298" s="107">
        <f t="shared" si="278"/>
        <v>85622129.245733321</v>
      </c>
      <c r="S298" s="107">
        <f t="shared" si="279"/>
        <v>85201395.81326665</v>
      </c>
      <c r="T298" s="107">
        <f t="shared" si="280"/>
        <v>84780662.380799979</v>
      </c>
      <c r="U298" s="107">
        <f t="shared" si="281"/>
        <v>84359928.948333308</v>
      </c>
      <c r="V298" s="107">
        <f t="shared" si="282"/>
        <v>83939195.515866637</v>
      </c>
      <c r="W298" s="107">
        <f t="shared" si="283"/>
        <v>83518462.083399966</v>
      </c>
      <c r="X298" s="107">
        <f t="shared" si="284"/>
        <v>83097728.650933295</v>
      </c>
      <c r="Y298" s="107">
        <f t="shared" si="285"/>
        <v>82676995.218466625</v>
      </c>
      <c r="Z298" s="107">
        <f t="shared" si="286"/>
        <v>82256261.785999954</v>
      </c>
      <c r="AA298" s="107">
        <f t="shared" si="301"/>
        <v>1865174.5723775995</v>
      </c>
      <c r="AB298" s="107"/>
      <c r="AC298" s="107">
        <f t="shared" si="298"/>
        <v>5048801.1895999992</v>
      </c>
      <c r="AD298" s="107">
        <f t="shared" si="287"/>
        <v>81835528.353533283</v>
      </c>
      <c r="AE298" s="107">
        <f t="shared" si="288"/>
        <v>81414794.921066612</v>
      </c>
      <c r="AF298" s="107">
        <f t="shared" si="289"/>
        <v>80994061.488599941</v>
      </c>
      <c r="AG298" s="107">
        <f t="shared" si="290"/>
        <v>80573328.05613327</v>
      </c>
      <c r="AH298" s="107">
        <f t="shared" si="291"/>
        <v>80152594.623666599</v>
      </c>
      <c r="AI298" s="107">
        <f t="shared" si="292"/>
        <v>79731861.191199929</v>
      </c>
      <c r="AJ298" s="107">
        <f t="shared" si="293"/>
        <v>79311127.758733258</v>
      </c>
      <c r="AK298" s="107">
        <f t="shared" si="294"/>
        <v>78890394.326266587</v>
      </c>
      <c r="AL298" s="107">
        <f t="shared" si="295"/>
        <v>78469660.893799916</v>
      </c>
      <c r="AM298" s="107">
        <f t="shared" si="296"/>
        <v>78048927.461333245</v>
      </c>
      <c r="AN298" s="107">
        <f t="shared" si="297"/>
        <v>77628194.028866574</v>
      </c>
      <c r="AO298" s="107">
        <f t="shared" si="299"/>
        <v>77207460.596399903</v>
      </c>
      <c r="AP298" s="107">
        <f t="shared" si="302"/>
        <v>1754100.9462063983</v>
      </c>
      <c r="AQ298" s="126"/>
      <c r="AR298" s="107">
        <f t="shared" si="300"/>
        <v>5048801.1895999992</v>
      </c>
      <c r="AS298" s="107">
        <f t="shared" si="257"/>
        <v>76786727.163933232</v>
      </c>
      <c r="AT298" s="107">
        <f t="shared" si="258"/>
        <v>76365993.731466562</v>
      </c>
      <c r="AU298" s="107">
        <f t="shared" si="259"/>
        <v>75945260.298999891</v>
      </c>
      <c r="AV298" s="107">
        <f t="shared" si="260"/>
        <v>75524526.86653322</v>
      </c>
      <c r="AW298" s="107">
        <f t="shared" si="261"/>
        <v>75103793.434066549</v>
      </c>
      <c r="AX298" s="107">
        <f t="shared" si="262"/>
        <v>74683060.001599878</v>
      </c>
      <c r="AY298" s="107">
        <f t="shared" si="263"/>
        <v>74262326.569133207</v>
      </c>
      <c r="AZ298" s="107">
        <f t="shared" si="266"/>
        <v>73841593.136666536</v>
      </c>
      <c r="BA298" s="107">
        <f t="shared" si="267"/>
        <v>73420859.704199865</v>
      </c>
      <c r="BB298" s="107">
        <f t="shared" si="268"/>
        <v>73000126.271733195</v>
      </c>
      <c r="BC298" s="107">
        <f t="shared" si="269"/>
        <v>72579392.839266524</v>
      </c>
      <c r="BD298" s="107">
        <f t="shared" si="270"/>
        <v>72158659.406799853</v>
      </c>
      <c r="BE298" s="107">
        <f t="shared" si="303"/>
        <v>1643027.3200351973</v>
      </c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</row>
    <row r="299" spans="1:75" hidden="1" x14ac:dyDescent="0.2">
      <c r="A299" s="123" t="str">
        <f>'[2]2021 УГРЦТ'!A301</f>
        <v xml:space="preserve">Линия электропередач ВЛИ 0,4кВ </v>
      </c>
      <c r="B299" s="124" t="str">
        <f>'[2]2021 УГРЦТ'!B301</f>
        <v>000001887</v>
      </c>
      <c r="C299" s="124" t="str">
        <f>VLOOKUP(A:A,'2023-2027'!A:L,1,+FALSE)</f>
        <v xml:space="preserve">Линия электропередач ВЛИ 0,4кВ </v>
      </c>
      <c r="D299" s="124" t="str">
        <f>'[2]2021 УГРЦТ'!C301</f>
        <v>ПЕРЕДАЧА</v>
      </c>
      <c r="E299" s="124" t="str">
        <f>'[2]2021 УГРЦТ'!D301</f>
        <v>Сооружения</v>
      </c>
      <c r="F299" s="134">
        <f>'[2]2021 УГРЦТ'!E301</f>
        <v>44561</v>
      </c>
      <c r="G299" s="124" t="str">
        <f>'[2]2021 УГРЦТ'!F301</f>
        <v>Цех электрических сетей</v>
      </c>
      <c r="H299" s="124">
        <f>'[2]2021 УГРЦТ'!AC301</f>
        <v>480</v>
      </c>
      <c r="I299" s="107">
        <f>'[2]2021 УГРЦТ'!X301</f>
        <v>2771439.99</v>
      </c>
      <c r="J299" s="107">
        <f>'[2]2021 УГРЦТ'!Y301</f>
        <v>0</v>
      </c>
      <c r="K299" s="107">
        <f>'[2]2021 УГРЦТ'!Z301</f>
        <v>2771439.99</v>
      </c>
      <c r="L299" s="125" t="e">
        <f>SUMIF([2]облаг!$B$2:$B$259,B299,[2]облаг!$D$2:$D$259)</f>
        <v>#VALUE!</v>
      </c>
      <c r="M299" s="107">
        <f t="shared" si="272"/>
        <v>5773.8333125000008</v>
      </c>
      <c r="N299" s="107">
        <f t="shared" si="273"/>
        <v>69285.999750000017</v>
      </c>
      <c r="O299" s="107">
        <f t="shared" si="274"/>
        <v>2765666.1566875004</v>
      </c>
      <c r="P299" s="107">
        <f t="shared" si="275"/>
        <v>2759892.3233750006</v>
      </c>
      <c r="Q299" s="107">
        <f t="shared" si="277"/>
        <v>2754118.4900625008</v>
      </c>
      <c r="R299" s="107">
        <f t="shared" si="278"/>
        <v>2748344.656750001</v>
      </c>
      <c r="S299" s="107">
        <f t="shared" si="279"/>
        <v>2742570.8234375012</v>
      </c>
      <c r="T299" s="107">
        <f t="shared" si="280"/>
        <v>2736796.9901250014</v>
      </c>
      <c r="U299" s="107">
        <f t="shared" si="281"/>
        <v>2731023.1568125016</v>
      </c>
      <c r="V299" s="107">
        <f t="shared" si="282"/>
        <v>2725249.3235000018</v>
      </c>
      <c r="W299" s="107">
        <f t="shared" si="283"/>
        <v>2719475.490187502</v>
      </c>
      <c r="X299" s="107">
        <f t="shared" si="284"/>
        <v>2713701.6568750022</v>
      </c>
      <c r="Y299" s="107">
        <f t="shared" si="285"/>
        <v>2707927.8235625024</v>
      </c>
      <c r="Z299" s="107">
        <f t="shared" si="286"/>
        <v>2702153.9902500026</v>
      </c>
      <c r="AA299" s="107">
        <f t="shared" si="301"/>
        <v>60209.533782750026</v>
      </c>
      <c r="AB299" s="107"/>
      <c r="AC299" s="107">
        <f t="shared" si="298"/>
        <v>69285.999750000017</v>
      </c>
      <c r="AD299" s="107">
        <f t="shared" si="287"/>
        <v>2696380.1569375028</v>
      </c>
      <c r="AE299" s="107">
        <f t="shared" si="288"/>
        <v>2690606.323625003</v>
      </c>
      <c r="AF299" s="107">
        <f t="shared" si="289"/>
        <v>2684832.4903125032</v>
      </c>
      <c r="AG299" s="107">
        <f t="shared" si="290"/>
        <v>2679058.6570000034</v>
      </c>
      <c r="AH299" s="107">
        <f t="shared" si="291"/>
        <v>2673284.8236875036</v>
      </c>
      <c r="AI299" s="107">
        <f t="shared" si="292"/>
        <v>2667510.9903750038</v>
      </c>
      <c r="AJ299" s="107">
        <f t="shared" si="293"/>
        <v>2661737.157062504</v>
      </c>
      <c r="AK299" s="107">
        <f t="shared" si="294"/>
        <v>2655963.3237500042</v>
      </c>
      <c r="AL299" s="107">
        <f t="shared" si="295"/>
        <v>2650189.4904375044</v>
      </c>
      <c r="AM299" s="107">
        <f t="shared" si="296"/>
        <v>2644415.6571250046</v>
      </c>
      <c r="AN299" s="107">
        <f t="shared" si="297"/>
        <v>2638641.8238125048</v>
      </c>
      <c r="AO299" s="107">
        <f t="shared" si="299"/>
        <v>2632867.990500005</v>
      </c>
      <c r="AP299" s="107">
        <f t="shared" si="302"/>
        <v>58685.241788250089</v>
      </c>
      <c r="AQ299" s="126"/>
      <c r="AR299" s="107">
        <f t="shared" si="300"/>
        <v>69285.999750000017</v>
      </c>
      <c r="AS299" s="107">
        <f t="shared" si="257"/>
        <v>2627094.1571875052</v>
      </c>
      <c r="AT299" s="107">
        <f t="shared" si="258"/>
        <v>2621320.3238750054</v>
      </c>
      <c r="AU299" s="107">
        <f t="shared" si="259"/>
        <v>2615546.4905625056</v>
      </c>
      <c r="AV299" s="107">
        <f t="shared" si="260"/>
        <v>2609772.6572500058</v>
      </c>
      <c r="AW299" s="107">
        <f t="shared" si="261"/>
        <v>2603998.8239375059</v>
      </c>
      <c r="AX299" s="107">
        <f t="shared" si="262"/>
        <v>2598224.9906250061</v>
      </c>
      <c r="AY299" s="107">
        <f t="shared" si="263"/>
        <v>2592451.1573125063</v>
      </c>
      <c r="AZ299" s="107">
        <f t="shared" si="266"/>
        <v>2586677.3240000065</v>
      </c>
      <c r="BA299" s="107">
        <f t="shared" si="267"/>
        <v>2580903.4906875067</v>
      </c>
      <c r="BB299" s="107">
        <f t="shared" si="268"/>
        <v>2575129.6573750069</v>
      </c>
      <c r="BC299" s="107">
        <f t="shared" si="269"/>
        <v>2569355.8240625071</v>
      </c>
      <c r="BD299" s="107">
        <f t="shared" si="270"/>
        <v>2563581.9907500073</v>
      </c>
      <c r="BE299" s="107">
        <f t="shared" si="303"/>
        <v>57160.949793750129</v>
      </c>
      <c r="BF299" s="127"/>
      <c r="BG299" s="127"/>
      <c r="BH299" s="127"/>
      <c r="BI299" s="127"/>
      <c r="BJ299" s="127"/>
      <c r="BK299" s="127"/>
      <c r="BL299" s="127"/>
      <c r="BM299" s="127"/>
      <c r="BN299" s="127"/>
      <c r="BO299" s="127"/>
      <c r="BP299" s="127"/>
      <c r="BQ299" s="127"/>
      <c r="BR299" s="127"/>
      <c r="BS299" s="127"/>
      <c r="BT299" s="127"/>
      <c r="BU299" s="127"/>
      <c r="BV299" s="127"/>
      <c r="BW299" s="127"/>
    </row>
    <row r="300" spans="1:75" hidden="1" x14ac:dyDescent="0.2">
      <c r="A300" s="123" t="str">
        <f>'[2]2021 УГРЦТ'!A302</f>
        <v xml:space="preserve">Линия электропередач КЛ 0,4 кВ </v>
      </c>
      <c r="B300" s="124" t="str">
        <f>'[2]2021 УГРЦТ'!B302</f>
        <v>000001889</v>
      </c>
      <c r="C300" s="124" t="str">
        <f>VLOOKUP(A:A,'2023-2027'!A:L,1,+FALSE)</f>
        <v xml:space="preserve">Линия электропередач КЛ 0,4 кВ </v>
      </c>
      <c r="D300" s="124" t="str">
        <f>'[2]2021 УГРЦТ'!C302</f>
        <v>ПЕРЕДАЧА</v>
      </c>
      <c r="E300" s="124" t="str">
        <f>'[2]2021 УГРЦТ'!D302</f>
        <v>Сооружения</v>
      </c>
      <c r="F300" s="134">
        <f>'[2]2021 УГРЦТ'!E302</f>
        <v>44560</v>
      </c>
      <c r="G300" s="124" t="str">
        <f>'[2]2021 УГРЦТ'!F302</f>
        <v>Цех электрических сетей</v>
      </c>
      <c r="H300" s="124">
        <f>'[2]2021 УГРЦТ'!AC302</f>
        <v>300</v>
      </c>
      <c r="I300" s="107">
        <f>'[2]2021 УГРЦТ'!X302</f>
        <v>1893457.69</v>
      </c>
      <c r="J300" s="107">
        <f>'[2]2021 УГРЦТ'!Y302</f>
        <v>0</v>
      </c>
      <c r="K300" s="107">
        <f>'[2]2021 УГРЦТ'!Z302</f>
        <v>1893457.69</v>
      </c>
      <c r="L300" s="125" t="e">
        <f>SUMIF([2]облаг!$B$2:$B$259,B300,[2]облаг!$D$2:$D$259)</f>
        <v>#VALUE!</v>
      </c>
      <c r="M300" s="107">
        <f t="shared" si="272"/>
        <v>6311.5256333333327</v>
      </c>
      <c r="N300" s="107">
        <f t="shared" si="273"/>
        <v>75738.3076</v>
      </c>
      <c r="O300" s="107">
        <f t="shared" si="274"/>
        <v>1887146.1643666667</v>
      </c>
      <c r="P300" s="107">
        <f t="shared" si="275"/>
        <v>1880834.6387333334</v>
      </c>
      <c r="Q300" s="107">
        <f t="shared" si="277"/>
        <v>1874523.1131000002</v>
      </c>
      <c r="R300" s="107">
        <f t="shared" si="278"/>
        <v>1868211.5874666669</v>
      </c>
      <c r="S300" s="107">
        <f t="shared" si="279"/>
        <v>1861900.0618333337</v>
      </c>
      <c r="T300" s="107">
        <f t="shared" si="280"/>
        <v>1855588.5362000004</v>
      </c>
      <c r="U300" s="107">
        <f t="shared" si="281"/>
        <v>1849277.0105666672</v>
      </c>
      <c r="V300" s="107">
        <f t="shared" si="282"/>
        <v>1842965.4849333339</v>
      </c>
      <c r="W300" s="107">
        <f t="shared" si="283"/>
        <v>1836653.9593000007</v>
      </c>
      <c r="X300" s="107">
        <f t="shared" si="284"/>
        <v>1830342.4336666674</v>
      </c>
      <c r="Y300" s="107">
        <f t="shared" si="285"/>
        <v>1824030.9080333342</v>
      </c>
      <c r="Z300" s="107">
        <f t="shared" si="286"/>
        <v>1817719.3824000009</v>
      </c>
      <c r="AA300" s="107">
        <f t="shared" si="301"/>
        <v>40822.947796400011</v>
      </c>
      <c r="AB300" s="107"/>
      <c r="AC300" s="107">
        <f t="shared" si="298"/>
        <v>75738.3076</v>
      </c>
      <c r="AD300" s="107">
        <f t="shared" si="287"/>
        <v>1811407.8567666677</v>
      </c>
      <c r="AE300" s="107">
        <f t="shared" si="288"/>
        <v>1805096.3311333344</v>
      </c>
      <c r="AF300" s="107">
        <f t="shared" si="289"/>
        <v>1798784.8055000012</v>
      </c>
      <c r="AG300" s="107">
        <f t="shared" si="290"/>
        <v>1792473.2798666679</v>
      </c>
      <c r="AH300" s="107">
        <f t="shared" si="291"/>
        <v>1786161.7542333347</v>
      </c>
      <c r="AI300" s="107">
        <f t="shared" si="292"/>
        <v>1779850.2286000014</v>
      </c>
      <c r="AJ300" s="107">
        <f t="shared" si="293"/>
        <v>1773538.7029666682</v>
      </c>
      <c r="AK300" s="107">
        <f t="shared" si="294"/>
        <v>1767227.1773333349</v>
      </c>
      <c r="AL300" s="107">
        <f t="shared" si="295"/>
        <v>1760915.6517000017</v>
      </c>
      <c r="AM300" s="107">
        <f t="shared" si="296"/>
        <v>1754604.1260666684</v>
      </c>
      <c r="AN300" s="107">
        <f t="shared" si="297"/>
        <v>1748292.6004333352</v>
      </c>
      <c r="AO300" s="107">
        <f t="shared" si="299"/>
        <v>1741981.0748000019</v>
      </c>
      <c r="AP300" s="107">
        <f t="shared" si="302"/>
        <v>39156.705029200028</v>
      </c>
      <c r="AQ300" s="126"/>
      <c r="AR300" s="107">
        <f t="shared" si="300"/>
        <v>75738.3076</v>
      </c>
      <c r="AS300" s="107">
        <f t="shared" si="257"/>
        <v>1735669.5491666687</v>
      </c>
      <c r="AT300" s="107">
        <f t="shared" si="258"/>
        <v>1729358.0235333354</v>
      </c>
      <c r="AU300" s="107">
        <f t="shared" si="259"/>
        <v>1723046.4979000022</v>
      </c>
      <c r="AV300" s="107">
        <f t="shared" si="260"/>
        <v>1716734.9722666689</v>
      </c>
      <c r="AW300" s="107">
        <f t="shared" si="261"/>
        <v>1710423.4466333357</v>
      </c>
      <c r="AX300" s="107">
        <f t="shared" si="262"/>
        <v>1704111.9210000024</v>
      </c>
      <c r="AY300" s="107">
        <f t="shared" si="263"/>
        <v>1697800.3953666692</v>
      </c>
      <c r="AZ300" s="107">
        <f t="shared" si="266"/>
        <v>1691488.8697333359</v>
      </c>
      <c r="BA300" s="107">
        <f t="shared" si="267"/>
        <v>1685177.3441000027</v>
      </c>
      <c r="BB300" s="107">
        <f t="shared" si="268"/>
        <v>1678865.8184666694</v>
      </c>
      <c r="BC300" s="107">
        <f t="shared" si="269"/>
        <v>1672554.2928333362</v>
      </c>
      <c r="BD300" s="107">
        <f t="shared" si="270"/>
        <v>1666242.7672000029</v>
      </c>
      <c r="BE300" s="107">
        <f t="shared" si="303"/>
        <v>37490.462262000052</v>
      </c>
      <c r="BF300" s="127"/>
      <c r="BG300" s="127"/>
      <c r="BH300" s="127"/>
      <c r="BI300" s="127"/>
      <c r="BJ300" s="127"/>
      <c r="BK300" s="127"/>
      <c r="BL300" s="127"/>
      <c r="BM300" s="127"/>
      <c r="BN300" s="127"/>
      <c r="BO300" s="127"/>
      <c r="BP300" s="127"/>
      <c r="BQ300" s="127"/>
      <c r="BR300" s="127"/>
      <c r="BS300" s="127"/>
      <c r="BT300" s="127"/>
      <c r="BU300" s="127"/>
      <c r="BV300" s="127"/>
      <c r="BW300" s="127"/>
    </row>
    <row r="301" spans="1:75" hidden="1" x14ac:dyDescent="0.2">
      <c r="A301" s="123" t="str">
        <f>'[2]2021 УГРЦТ'!A303</f>
        <v>Линия электропередач КЛ 6 кВ</v>
      </c>
      <c r="B301" s="124" t="str">
        <f>'[2]2021 УГРЦТ'!B303</f>
        <v>000001888</v>
      </c>
      <c r="C301" s="124" t="str">
        <f>VLOOKUP(A:A,'2023-2027'!A:L,1,+FALSE)</f>
        <v>Линия электропередач КЛ 6 кВ</v>
      </c>
      <c r="D301" s="124" t="str">
        <f>'[2]2021 УГРЦТ'!C303</f>
        <v>ПЕРЕДАЧА</v>
      </c>
      <c r="E301" s="124" t="str">
        <f>'[2]2021 УГРЦТ'!D303</f>
        <v>Сооружения</v>
      </c>
      <c r="F301" s="134">
        <f>'[2]2021 УГРЦТ'!E303</f>
        <v>44560</v>
      </c>
      <c r="G301" s="124" t="str">
        <f>'[2]2021 УГРЦТ'!F303</f>
        <v>Цех электрических сетей</v>
      </c>
      <c r="H301" s="124">
        <f>'[2]2021 УГРЦТ'!AC303</f>
        <v>300</v>
      </c>
      <c r="I301" s="107">
        <f>'[2]2021 УГРЦТ'!X303</f>
        <v>1308034.49</v>
      </c>
      <c r="J301" s="107">
        <f>'[2]2021 УГРЦТ'!Y303</f>
        <v>0</v>
      </c>
      <c r="K301" s="107">
        <f>'[2]2021 УГРЦТ'!Z303</f>
        <v>1308034.49</v>
      </c>
      <c r="L301" s="125" t="e">
        <f>SUMIF([2]облаг!$B$2:$B$259,B301,[2]облаг!$D$2:$D$259)</f>
        <v>#VALUE!</v>
      </c>
      <c r="M301" s="107">
        <f t="shared" si="272"/>
        <v>4360.114966666667</v>
      </c>
      <c r="N301" s="107">
        <f t="shared" si="273"/>
        <v>52321.3796</v>
      </c>
      <c r="O301" s="107">
        <f t="shared" si="274"/>
        <v>1303674.3750333334</v>
      </c>
      <c r="P301" s="107">
        <f t="shared" si="275"/>
        <v>1299314.2600666669</v>
      </c>
      <c r="Q301" s="107">
        <f t="shared" si="277"/>
        <v>1294954.1451000003</v>
      </c>
      <c r="R301" s="107">
        <f t="shared" si="278"/>
        <v>1290594.0301333338</v>
      </c>
      <c r="S301" s="107">
        <f t="shared" si="279"/>
        <v>1286233.9151666672</v>
      </c>
      <c r="T301" s="107">
        <f t="shared" si="280"/>
        <v>1281873.8002000006</v>
      </c>
      <c r="U301" s="107">
        <f t="shared" si="281"/>
        <v>1277513.6852333341</v>
      </c>
      <c r="V301" s="107">
        <f t="shared" si="282"/>
        <v>1273153.5702666675</v>
      </c>
      <c r="W301" s="107">
        <f t="shared" si="283"/>
        <v>1268793.455300001</v>
      </c>
      <c r="X301" s="107">
        <f t="shared" si="284"/>
        <v>1264433.3403333344</v>
      </c>
      <c r="Y301" s="107">
        <f t="shared" si="285"/>
        <v>1260073.2253666678</v>
      </c>
      <c r="Z301" s="107">
        <f t="shared" si="286"/>
        <v>1255713.1104000013</v>
      </c>
      <c r="AA301" s="107">
        <f t="shared" si="301"/>
        <v>28201.223604400013</v>
      </c>
      <c r="AB301" s="107"/>
      <c r="AC301" s="107">
        <f t="shared" si="298"/>
        <v>52321.3796</v>
      </c>
      <c r="AD301" s="107">
        <f t="shared" si="287"/>
        <v>1251352.9954333347</v>
      </c>
      <c r="AE301" s="107">
        <f t="shared" si="288"/>
        <v>1246992.8804666682</v>
      </c>
      <c r="AF301" s="107">
        <f t="shared" si="289"/>
        <v>1242632.7655000016</v>
      </c>
      <c r="AG301" s="107">
        <f t="shared" si="290"/>
        <v>1238272.6505333351</v>
      </c>
      <c r="AH301" s="107">
        <f t="shared" si="291"/>
        <v>1233912.5355666685</v>
      </c>
      <c r="AI301" s="107">
        <f t="shared" si="292"/>
        <v>1229552.4206000019</v>
      </c>
      <c r="AJ301" s="107">
        <f t="shared" si="293"/>
        <v>1225192.3056333354</v>
      </c>
      <c r="AK301" s="107">
        <f t="shared" si="294"/>
        <v>1220832.1906666688</v>
      </c>
      <c r="AL301" s="107">
        <f t="shared" si="295"/>
        <v>1216472.0757000023</v>
      </c>
      <c r="AM301" s="107">
        <f t="shared" si="296"/>
        <v>1212111.9607333357</v>
      </c>
      <c r="AN301" s="107">
        <f t="shared" si="297"/>
        <v>1207751.8457666691</v>
      </c>
      <c r="AO301" s="107">
        <f t="shared" si="299"/>
        <v>1203391.7308000026</v>
      </c>
      <c r="AP301" s="107">
        <f t="shared" si="302"/>
        <v>27050.153253200035</v>
      </c>
      <c r="AQ301" s="126"/>
      <c r="AR301" s="107">
        <f t="shared" si="300"/>
        <v>52321.3796</v>
      </c>
      <c r="AS301" s="107">
        <f t="shared" si="257"/>
        <v>1199031.615833336</v>
      </c>
      <c r="AT301" s="107">
        <f t="shared" si="258"/>
        <v>1194671.5008666695</v>
      </c>
      <c r="AU301" s="107">
        <f t="shared" si="259"/>
        <v>1190311.3859000029</v>
      </c>
      <c r="AV301" s="107">
        <f t="shared" si="260"/>
        <v>1185951.2709333363</v>
      </c>
      <c r="AW301" s="107">
        <f t="shared" si="261"/>
        <v>1181591.1559666698</v>
      </c>
      <c r="AX301" s="107">
        <f t="shared" si="262"/>
        <v>1177231.0410000032</v>
      </c>
      <c r="AY301" s="107">
        <f t="shared" si="263"/>
        <v>1172870.9260333367</v>
      </c>
      <c r="AZ301" s="107">
        <f t="shared" si="266"/>
        <v>1168510.8110666701</v>
      </c>
      <c r="BA301" s="107">
        <f t="shared" si="267"/>
        <v>1164150.6961000036</v>
      </c>
      <c r="BB301" s="107">
        <f t="shared" si="268"/>
        <v>1159790.581133337</v>
      </c>
      <c r="BC301" s="107">
        <f t="shared" si="269"/>
        <v>1155430.4661666704</v>
      </c>
      <c r="BD301" s="107">
        <f t="shared" si="270"/>
        <v>1151070.3512000039</v>
      </c>
      <c r="BE301" s="107">
        <f t="shared" si="303"/>
        <v>25899.082902000075</v>
      </c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</row>
    <row r="302" spans="1:75" ht="22.5" hidden="1" x14ac:dyDescent="0.2">
      <c r="A302" s="123" t="str">
        <f>'[2]2021 УГРЦТ'!A304</f>
        <v>ЛЭП-6кВ "ЗРУ 6кВ-выход ф.Факел-2" 2007г</v>
      </c>
      <c r="B302" s="124" t="str">
        <f>'[2]2021 УГРЦТ'!B304</f>
        <v>00001036</v>
      </c>
      <c r="C302" s="124" t="str">
        <f>VLOOKUP(A:A,'2023-2027'!A:L,1,+FALSE)</f>
        <v>ЛЭП-6кВ "ЗРУ 6кВ-выход ф.Факел-2" 2007г</v>
      </c>
      <c r="D302" s="124" t="str">
        <f>'[2]2021 УГРЦТ'!C304</f>
        <v>ПЕРЕДАЧА</v>
      </c>
      <c r="E302" s="124" t="str">
        <f>'[2]2021 УГРЦТ'!D304</f>
        <v>Сооружения</v>
      </c>
      <c r="F302" s="124" t="str">
        <f>'[2]2021 УГРЦТ'!E304</f>
        <v>30.05.2007</v>
      </c>
      <c r="G302" s="124" t="str">
        <f>'[2]2021 УГРЦТ'!F304</f>
        <v>Цех электрических сетей</v>
      </c>
      <c r="H302" s="124">
        <f>'[2]2021 УГРЦТ'!AC304</f>
        <v>180</v>
      </c>
      <c r="I302" s="107">
        <f>'[2]2021 УГРЦТ'!X304</f>
        <v>103682.93</v>
      </c>
      <c r="J302" s="107">
        <f>'[2]2021 УГРЦТ'!Y304</f>
        <v>100803.45533333333</v>
      </c>
      <c r="K302" s="107">
        <f>'[2]2021 УГРЦТ'!Z304</f>
        <v>2879.4746666666615</v>
      </c>
      <c r="L302" s="125" t="e">
        <f>SUMIF([2]облаг!$B$2:$B$259,B302,[2]облаг!$D$2:$D$259)</f>
        <v>#VALUE!</v>
      </c>
      <c r="M302" s="107">
        <f t="shared" si="272"/>
        <v>576.01627777777776</v>
      </c>
      <c r="N302" s="107">
        <f>O302</f>
        <v>2303.4583888888837</v>
      </c>
      <c r="O302" s="107">
        <f t="shared" si="274"/>
        <v>2303.4583888888837</v>
      </c>
      <c r="P302" s="107">
        <f t="shared" si="275"/>
        <v>1727.442111111106</v>
      </c>
      <c r="Q302" s="107">
        <f t="shared" si="277"/>
        <v>1151.4258333333282</v>
      </c>
      <c r="R302" s="107">
        <f t="shared" si="278"/>
        <v>575.40955555555047</v>
      </c>
      <c r="S302" s="107">
        <v>0</v>
      </c>
      <c r="T302" s="107">
        <v>0</v>
      </c>
      <c r="U302" s="107">
        <v>0</v>
      </c>
      <c r="V302" s="107">
        <v>0</v>
      </c>
      <c r="W302" s="107">
        <v>0</v>
      </c>
      <c r="X302" s="107">
        <v>0</v>
      </c>
      <c r="Y302" s="107">
        <v>0</v>
      </c>
      <c r="Z302" s="107">
        <v>0</v>
      </c>
      <c r="AA302" s="107">
        <f t="shared" si="301"/>
        <v>14.616817863247819</v>
      </c>
      <c r="AB302" s="107"/>
      <c r="AC302" s="107">
        <v>0</v>
      </c>
      <c r="AD302" s="107">
        <v>0</v>
      </c>
      <c r="AE302" s="107">
        <v>0</v>
      </c>
      <c r="AF302" s="107">
        <v>0</v>
      </c>
      <c r="AG302" s="107">
        <v>0</v>
      </c>
      <c r="AH302" s="107">
        <v>0</v>
      </c>
      <c r="AI302" s="107">
        <v>0</v>
      </c>
      <c r="AJ302" s="107">
        <v>0</v>
      </c>
      <c r="AK302" s="107">
        <v>0</v>
      </c>
      <c r="AL302" s="107">
        <v>0</v>
      </c>
      <c r="AM302" s="107">
        <v>0</v>
      </c>
      <c r="AN302" s="107">
        <v>0</v>
      </c>
      <c r="AO302" s="107">
        <v>0</v>
      </c>
      <c r="AP302" s="107"/>
      <c r="AQ302" s="126"/>
      <c r="AR302" s="107">
        <v>0</v>
      </c>
      <c r="AS302" s="107">
        <v>0</v>
      </c>
      <c r="AT302" s="107">
        <v>0</v>
      </c>
      <c r="AU302" s="107">
        <v>0</v>
      </c>
      <c r="AV302" s="107">
        <v>0</v>
      </c>
      <c r="AW302" s="107">
        <v>0</v>
      </c>
      <c r="AX302" s="107">
        <v>0</v>
      </c>
      <c r="AY302" s="107">
        <v>0</v>
      </c>
      <c r="AZ302" s="107">
        <v>0</v>
      </c>
      <c r="BA302" s="107">
        <v>0</v>
      </c>
      <c r="BB302" s="107">
        <v>0</v>
      </c>
      <c r="BC302" s="107">
        <v>0</v>
      </c>
      <c r="BD302" s="107">
        <v>0</v>
      </c>
      <c r="BE302" s="107">
        <f t="shared" si="303"/>
        <v>0</v>
      </c>
      <c r="BG302" s="127"/>
      <c r="BI302" s="127"/>
      <c r="BV302" s="127"/>
    </row>
    <row r="303" spans="1:75" ht="22.5" hidden="1" x14ac:dyDescent="0.2">
      <c r="A303" s="123" t="str">
        <f>'[2]2021 УГРЦТ'!A305</f>
        <v>ЛЭП-6кВ ЗРУ6кВ-выход ф. Искателей-1</v>
      </c>
      <c r="B303" s="124" t="str">
        <f>'[2]2021 УГРЦТ'!B305</f>
        <v>00001023</v>
      </c>
      <c r="C303" s="124" t="str">
        <f>VLOOKUP(A:A,'2023-2027'!A:L,1,+FALSE)</f>
        <v>ЛЭП-6кВ ЗРУ6кВ-выход ф. Искателей-1</v>
      </c>
      <c r="D303" s="124" t="str">
        <f>'[2]2021 УГРЦТ'!C305</f>
        <v>ПЕРЕДАЧА</v>
      </c>
      <c r="E303" s="124" t="str">
        <f>'[2]2021 УГРЦТ'!D305</f>
        <v>Сооружения</v>
      </c>
      <c r="F303" s="124" t="str">
        <f>'[2]2021 УГРЦТ'!E305</f>
        <v>31.07.2007</v>
      </c>
      <c r="G303" s="124" t="str">
        <f>'[2]2021 УГРЦТ'!F305</f>
        <v>Цех электрических сетей</v>
      </c>
      <c r="H303" s="124">
        <f>'[2]2021 УГРЦТ'!AC305</f>
        <v>180</v>
      </c>
      <c r="I303" s="107">
        <f>'[2]2021 УГРЦТ'!X305</f>
        <v>174104.86</v>
      </c>
      <c r="J303" s="107">
        <f>'[2]2021 УГРЦТ'!Y305</f>
        <v>167334.24066666668</v>
      </c>
      <c r="K303" s="107">
        <f>'[2]2021 УГРЦТ'!Z305</f>
        <v>6770.6193333333067</v>
      </c>
      <c r="L303" s="125" t="e">
        <f>SUMIF([2]облаг!$B$2:$B$259,B303,[2]облаг!$D$2:$D$259)</f>
        <v>#VALUE!</v>
      </c>
      <c r="M303" s="107">
        <f t="shared" si="272"/>
        <v>967.2492222222221</v>
      </c>
      <c r="N303" s="107">
        <f>O303</f>
        <v>5803.370111111085</v>
      </c>
      <c r="O303" s="107">
        <f t="shared" si="274"/>
        <v>5803.370111111085</v>
      </c>
      <c r="P303" s="107">
        <f t="shared" si="275"/>
        <v>4836.1208888888632</v>
      </c>
      <c r="Q303" s="107">
        <f t="shared" si="277"/>
        <v>3868.871666666641</v>
      </c>
      <c r="R303" s="107">
        <f t="shared" si="278"/>
        <v>2901.6224444444188</v>
      </c>
      <c r="S303" s="107">
        <f t="shared" si="279"/>
        <v>1934.3732222221965</v>
      </c>
      <c r="T303" s="107">
        <f t="shared" si="280"/>
        <v>967.12399999997444</v>
      </c>
      <c r="U303" s="107">
        <v>0</v>
      </c>
      <c r="V303" s="107">
        <v>0</v>
      </c>
      <c r="W303" s="107">
        <v>0</v>
      </c>
      <c r="X303" s="107">
        <v>0</v>
      </c>
      <c r="Y303" s="107">
        <v>0</v>
      </c>
      <c r="Z303" s="107">
        <v>0</v>
      </c>
      <c r="AA303" s="107">
        <f t="shared" si="301"/>
        <v>45.831248974358658</v>
      </c>
      <c r="AB303" s="107"/>
      <c r="AC303" s="107">
        <v>0</v>
      </c>
      <c r="AD303" s="107">
        <v>0</v>
      </c>
      <c r="AE303" s="107">
        <v>0</v>
      </c>
      <c r="AF303" s="107">
        <v>0</v>
      </c>
      <c r="AG303" s="107">
        <v>0</v>
      </c>
      <c r="AH303" s="107">
        <v>0</v>
      </c>
      <c r="AI303" s="107">
        <v>0</v>
      </c>
      <c r="AJ303" s="107">
        <v>0</v>
      </c>
      <c r="AK303" s="107">
        <v>0</v>
      </c>
      <c r="AL303" s="107">
        <v>0</v>
      </c>
      <c r="AM303" s="107">
        <v>0</v>
      </c>
      <c r="AN303" s="107">
        <v>0</v>
      </c>
      <c r="AO303" s="107">
        <v>0</v>
      </c>
      <c r="AP303" s="107"/>
      <c r="AQ303" s="126"/>
      <c r="AR303" s="107">
        <v>0</v>
      </c>
      <c r="AS303" s="107">
        <v>0</v>
      </c>
      <c r="AT303" s="107">
        <v>0</v>
      </c>
      <c r="AU303" s="107">
        <v>0</v>
      </c>
      <c r="AV303" s="107">
        <v>0</v>
      </c>
      <c r="AW303" s="107">
        <v>0</v>
      </c>
      <c r="AX303" s="107">
        <v>0</v>
      </c>
      <c r="AY303" s="107">
        <v>0</v>
      </c>
      <c r="AZ303" s="107">
        <v>0</v>
      </c>
      <c r="BA303" s="107">
        <v>0</v>
      </c>
      <c r="BB303" s="107">
        <v>0</v>
      </c>
      <c r="BC303" s="107">
        <v>0</v>
      </c>
      <c r="BD303" s="107">
        <v>0</v>
      </c>
      <c r="BE303" s="107">
        <f t="shared" si="303"/>
        <v>0</v>
      </c>
      <c r="BG303" s="127"/>
      <c r="BI303" s="127"/>
      <c r="BV303" s="127"/>
    </row>
    <row r="304" spans="1:75" hidden="1" x14ac:dyDescent="0.2">
      <c r="A304" s="123" t="str">
        <f>'[2]2021 УГРЦТ'!A306</f>
        <v>ЛЭП-6кВ по ул. Авиаторов</v>
      </c>
      <c r="B304" s="124" t="str">
        <f>'[2]2021 УГРЦТ'!B306</f>
        <v>000001421</v>
      </c>
      <c r="C304" s="124" t="str">
        <f>VLOOKUP(A:A,'2023-2027'!A:L,1,+FALSE)</f>
        <v>ЛЭП-6кВ по ул. Авиаторов</v>
      </c>
      <c r="D304" s="124" t="str">
        <f>'[2]2021 УГРЦТ'!C306</f>
        <v>ПЕРЕДАЧА</v>
      </c>
      <c r="E304" s="124" t="str">
        <f>'[2]2021 УГРЦТ'!D306</f>
        <v>Сооружения</v>
      </c>
      <c r="F304" s="124" t="str">
        <f>'[2]2021 УГРЦТ'!E306</f>
        <v>31.05.2012</v>
      </c>
      <c r="G304" s="124" t="str">
        <f>'[2]2021 УГРЦТ'!F306</f>
        <v>Цех электрических сетей</v>
      </c>
      <c r="H304" s="124">
        <f>'[2]2021 УГРЦТ'!AC306</f>
        <v>180</v>
      </c>
      <c r="I304" s="107">
        <f>'[2]2021 УГРЦТ'!X306</f>
        <v>56375.26</v>
      </c>
      <c r="J304" s="107">
        <f>'[2]2021 УГРЦТ'!Y306</f>
        <v>35662.44</v>
      </c>
      <c r="K304" s="107">
        <f>'[2]2021 УГРЦТ'!Z306</f>
        <v>20712.82</v>
      </c>
      <c r="L304" s="125" t="e">
        <f>SUMIF([2]облаг!$B$2:$B$259,B304,[2]облаг!$D$2:$D$259)</f>
        <v>#VALUE!</v>
      </c>
      <c r="M304" s="107">
        <f t="shared" si="272"/>
        <v>313.19588888888887</v>
      </c>
      <c r="N304" s="107">
        <f t="shared" si="273"/>
        <v>3758.3506666666663</v>
      </c>
      <c r="O304" s="107">
        <f t="shared" si="274"/>
        <v>20399.624111111112</v>
      </c>
      <c r="P304" s="107">
        <f t="shared" si="275"/>
        <v>20086.428222222225</v>
      </c>
      <c r="Q304" s="107">
        <f t="shared" si="277"/>
        <v>19773.232333333337</v>
      </c>
      <c r="R304" s="107">
        <f t="shared" si="278"/>
        <v>19460.036444444449</v>
      </c>
      <c r="S304" s="107">
        <f t="shared" si="279"/>
        <v>19146.840555555562</v>
      </c>
      <c r="T304" s="107">
        <f t="shared" si="280"/>
        <v>18833.644666666674</v>
      </c>
      <c r="U304" s="107">
        <f t="shared" si="281"/>
        <v>18520.448777777787</v>
      </c>
      <c r="V304" s="107">
        <f t="shared" si="282"/>
        <v>18207.252888888899</v>
      </c>
      <c r="W304" s="107">
        <f t="shared" si="283"/>
        <v>17894.057000000012</v>
      </c>
      <c r="X304" s="107">
        <f t="shared" si="284"/>
        <v>17580.861111111124</v>
      </c>
      <c r="Y304" s="107">
        <f t="shared" si="285"/>
        <v>17267.665222222236</v>
      </c>
      <c r="Z304" s="107">
        <f t="shared" si="286"/>
        <v>16954.469333333349</v>
      </c>
      <c r="AA304" s="107">
        <f t="shared" si="301"/>
        <v>414.34018266666681</v>
      </c>
      <c r="AB304" s="107"/>
      <c r="AC304" s="107">
        <f t="shared" si="298"/>
        <v>3758.3506666666663</v>
      </c>
      <c r="AD304" s="107">
        <f t="shared" si="287"/>
        <v>16641.273444444461</v>
      </c>
      <c r="AE304" s="107">
        <f t="shared" si="288"/>
        <v>16328.077555555572</v>
      </c>
      <c r="AF304" s="107">
        <f t="shared" si="289"/>
        <v>16014.881666666683</v>
      </c>
      <c r="AG304" s="107">
        <f t="shared" si="290"/>
        <v>15701.685777777793</v>
      </c>
      <c r="AH304" s="107">
        <f t="shared" si="291"/>
        <v>15388.489888888904</v>
      </c>
      <c r="AI304" s="107">
        <f t="shared" si="292"/>
        <v>15075.294000000014</v>
      </c>
      <c r="AJ304" s="107">
        <f t="shared" si="293"/>
        <v>14762.098111111125</v>
      </c>
      <c r="AK304" s="107">
        <f t="shared" si="294"/>
        <v>14448.902222222236</v>
      </c>
      <c r="AL304" s="107">
        <f t="shared" si="295"/>
        <v>14135.706333333346</v>
      </c>
      <c r="AM304" s="107">
        <f t="shared" si="296"/>
        <v>13822.510444444457</v>
      </c>
      <c r="AN304" s="107">
        <f t="shared" si="297"/>
        <v>13509.314555555567</v>
      </c>
      <c r="AO304" s="107">
        <f t="shared" si="299"/>
        <v>13196.118666666678</v>
      </c>
      <c r="AP304" s="107">
        <f t="shared" si="302"/>
        <v>331.6564680000003</v>
      </c>
      <c r="AQ304" s="126"/>
      <c r="AR304" s="107">
        <f t="shared" si="300"/>
        <v>3758.3506666666663</v>
      </c>
      <c r="AS304" s="107">
        <f t="shared" ref="AS304:AS318" si="304">AO304-M304</f>
        <v>12882.922777777789</v>
      </c>
      <c r="AT304" s="107">
        <f t="shared" ref="AT304:AT318" si="305">AS304-M304</f>
        <v>12569.726888888899</v>
      </c>
      <c r="AU304" s="107">
        <f t="shared" ref="AU304:AU318" si="306">AT304-M304</f>
        <v>12256.53100000001</v>
      </c>
      <c r="AV304" s="107">
        <f t="shared" ref="AV304:AV318" si="307">AU304-M304</f>
        <v>11943.335111111121</v>
      </c>
      <c r="AW304" s="107">
        <f t="shared" ref="AW304:AW318" si="308">AV304-M304</f>
        <v>11630.139222222231</v>
      </c>
      <c r="AX304" s="107">
        <f t="shared" ref="AX304:AX318" si="309">AW304-M304</f>
        <v>11316.943333333342</v>
      </c>
      <c r="AY304" s="107">
        <f t="shared" ref="AY304:AY318" si="310">AX304-M304</f>
        <v>11003.747444444452</v>
      </c>
      <c r="AZ304" s="107">
        <f t="shared" ref="AZ304:AZ318" si="311">AY304-M304</f>
        <v>10690.551555555563</v>
      </c>
      <c r="BA304" s="107">
        <f t="shared" ref="BA304:BA318" si="312">AZ304-M304</f>
        <v>10377.355666666674</v>
      </c>
      <c r="BB304" s="107">
        <f t="shared" ref="BB304:BB318" si="313">BA304-M304</f>
        <v>10064.159777777784</v>
      </c>
      <c r="BC304" s="107">
        <f t="shared" ref="BC304:BC318" si="314">BB304-M304</f>
        <v>9750.9638888888949</v>
      </c>
      <c r="BD304" s="107">
        <f t="shared" ref="BD304:BD318" si="315">BC304-M304</f>
        <v>9437.7680000000055</v>
      </c>
      <c r="BE304" s="107">
        <f t="shared" si="303"/>
        <v>248.97275333333346</v>
      </c>
      <c r="BF304" s="127"/>
      <c r="BG304" s="127"/>
      <c r="BH304" s="127"/>
      <c r="BI304" s="127"/>
      <c r="BJ304" s="127"/>
      <c r="BK304" s="127"/>
      <c r="BL304" s="127"/>
      <c r="BM304" s="127"/>
      <c r="BN304" s="127"/>
      <c r="BO304" s="127"/>
      <c r="BP304" s="127"/>
      <c r="BQ304" s="127"/>
      <c r="BR304" s="127"/>
      <c r="BS304" s="127"/>
      <c r="BT304" s="127"/>
      <c r="BU304" s="127"/>
      <c r="BV304" s="127"/>
      <c r="BW304" s="127"/>
    </row>
    <row r="305" spans="1:75" ht="45" hidden="1" x14ac:dyDescent="0.2">
      <c r="A305" s="123" t="str">
        <f>'[2]2021 УГРЦТ'!A307</f>
        <v>Многоквартирный жилой дом по ул. Пионерской г.Нарьян-Мар. Наружные сети электроснабжения</v>
      </c>
      <c r="B305" s="124" t="str">
        <f>'[2]2021 УГРЦТ'!B307</f>
        <v>000001873</v>
      </c>
      <c r="C305" s="124" t="str">
        <f>VLOOKUP(A:A,'2023-2027'!A:L,1,+FALSE)</f>
        <v>Многоквартирный жилой дом по ул. Пионерской г.Нарьян-Мар. Наружные сети электроснабжения</v>
      </c>
      <c r="D305" s="124" t="str">
        <f>'[2]2021 УГРЦТ'!C307</f>
        <v>ПЕРЕДАЧА</v>
      </c>
      <c r="E305" s="124" t="str">
        <f>'[2]2021 УГРЦТ'!D307</f>
        <v>Сооружения</v>
      </c>
      <c r="F305" s="134">
        <f>'[2]2021 УГРЦТ'!E307</f>
        <v>44560</v>
      </c>
      <c r="G305" s="124" t="str">
        <f>'[2]2021 УГРЦТ'!F307</f>
        <v>Цех электрических сетей</v>
      </c>
      <c r="H305" s="124">
        <f>'[2]2021 УГРЦТ'!AC307</f>
        <v>420</v>
      </c>
      <c r="I305" s="107">
        <v>1064000</v>
      </c>
      <c r="J305" s="107">
        <v>0</v>
      </c>
      <c r="K305" s="107">
        <v>1064000</v>
      </c>
      <c r="L305" s="125" t="e">
        <f>SUMIF([2]облаг!$B$2:$B$259,B305,[2]облаг!$D$2:$D$259)</f>
        <v>#VALUE!</v>
      </c>
      <c r="M305" s="107">
        <f t="shared" si="272"/>
        <v>2533.3333333333335</v>
      </c>
      <c r="N305" s="107">
        <f t="shared" si="273"/>
        <v>30400</v>
      </c>
      <c r="O305" s="107">
        <f t="shared" si="274"/>
        <v>1061466.6666666667</v>
      </c>
      <c r="P305" s="107">
        <f t="shared" si="275"/>
        <v>1058933.3333333335</v>
      </c>
      <c r="Q305" s="107">
        <f t="shared" si="277"/>
        <v>1056400.0000000002</v>
      </c>
      <c r="R305" s="107">
        <f t="shared" si="278"/>
        <v>1053866.666666667</v>
      </c>
      <c r="S305" s="107">
        <f t="shared" si="279"/>
        <v>1051333.3333333337</v>
      </c>
      <c r="T305" s="107">
        <f t="shared" si="280"/>
        <v>1048800.0000000005</v>
      </c>
      <c r="U305" s="107">
        <f t="shared" si="281"/>
        <v>1046266.6666666671</v>
      </c>
      <c r="V305" s="107">
        <f t="shared" si="282"/>
        <v>1043733.3333333337</v>
      </c>
      <c r="W305" s="107">
        <f t="shared" si="283"/>
        <v>1041200.0000000003</v>
      </c>
      <c r="X305" s="107">
        <f t="shared" si="284"/>
        <v>1038666.666666667</v>
      </c>
      <c r="Y305" s="107">
        <f t="shared" si="285"/>
        <v>1036133.3333333336</v>
      </c>
      <c r="Z305" s="107">
        <f t="shared" si="286"/>
        <v>1033600.0000000002</v>
      </c>
      <c r="AA305" s="107">
        <f t="shared" si="301"/>
        <v>23073.600000000002</v>
      </c>
      <c r="AB305" s="107"/>
      <c r="AC305" s="107">
        <f t="shared" si="298"/>
        <v>30400</v>
      </c>
      <c r="AD305" s="107">
        <f t="shared" si="287"/>
        <v>1031066.6666666669</v>
      </c>
      <c r="AE305" s="107">
        <f t="shared" si="288"/>
        <v>1028533.3333333335</v>
      </c>
      <c r="AF305" s="107">
        <f t="shared" si="289"/>
        <v>1026000.0000000001</v>
      </c>
      <c r="AG305" s="107">
        <f t="shared" si="290"/>
        <v>1023466.6666666667</v>
      </c>
      <c r="AH305" s="107">
        <f t="shared" si="291"/>
        <v>1020933.3333333334</v>
      </c>
      <c r="AI305" s="107">
        <f t="shared" si="292"/>
        <v>1018400</v>
      </c>
      <c r="AJ305" s="107">
        <f t="shared" si="293"/>
        <v>1015866.6666666666</v>
      </c>
      <c r="AK305" s="107">
        <f t="shared" si="294"/>
        <v>1013333.3333333333</v>
      </c>
      <c r="AL305" s="107">
        <f t="shared" si="295"/>
        <v>1010799.9999999999</v>
      </c>
      <c r="AM305" s="107">
        <f t="shared" si="296"/>
        <v>1008266.6666666665</v>
      </c>
      <c r="AN305" s="107">
        <f t="shared" si="297"/>
        <v>1005733.3333333331</v>
      </c>
      <c r="AO305" s="107">
        <f t="shared" si="299"/>
        <v>1003199.9999999998</v>
      </c>
      <c r="AP305" s="107">
        <f t="shared" si="302"/>
        <v>22404.799999999999</v>
      </c>
      <c r="AQ305" s="126"/>
      <c r="AR305" s="107">
        <f t="shared" si="300"/>
        <v>30400</v>
      </c>
      <c r="AS305" s="107">
        <f t="shared" si="304"/>
        <v>1000666.6666666664</v>
      </c>
      <c r="AT305" s="107">
        <f t="shared" si="305"/>
        <v>998133.33333333302</v>
      </c>
      <c r="AU305" s="107">
        <f t="shared" si="306"/>
        <v>995599.99999999965</v>
      </c>
      <c r="AV305" s="107">
        <f t="shared" si="307"/>
        <v>993066.66666666628</v>
      </c>
      <c r="AW305" s="107">
        <f t="shared" si="308"/>
        <v>990533.33333333291</v>
      </c>
      <c r="AX305" s="107">
        <f t="shared" si="309"/>
        <v>987999.99999999953</v>
      </c>
      <c r="AY305" s="107">
        <f t="shared" si="310"/>
        <v>985466.66666666616</v>
      </c>
      <c r="AZ305" s="107">
        <f t="shared" si="311"/>
        <v>982933.33333333279</v>
      </c>
      <c r="BA305" s="107">
        <f t="shared" si="312"/>
        <v>980399.99999999942</v>
      </c>
      <c r="BB305" s="107">
        <f t="shared" si="313"/>
        <v>977866.66666666605</v>
      </c>
      <c r="BC305" s="107">
        <f t="shared" si="314"/>
        <v>975333.33333333267</v>
      </c>
      <c r="BD305" s="107">
        <f t="shared" si="315"/>
        <v>972799.9999999993</v>
      </c>
      <c r="BE305" s="107">
        <f t="shared" si="303"/>
        <v>21735.999999999989</v>
      </c>
      <c r="BF305" s="127"/>
      <c r="BG305" s="127"/>
      <c r="BH305" s="127"/>
      <c r="BI305" s="127"/>
      <c r="BJ305" s="127"/>
      <c r="BK305" s="127"/>
      <c r="BL305" s="127"/>
      <c r="BM305" s="127"/>
      <c r="BN305" s="127"/>
      <c r="BO305" s="127"/>
      <c r="BP305" s="127"/>
      <c r="BQ305" s="127"/>
      <c r="BR305" s="127"/>
      <c r="BS305" s="127"/>
      <c r="BT305" s="127"/>
      <c r="BU305" s="127"/>
      <c r="BV305" s="127"/>
      <c r="BW305" s="127"/>
    </row>
    <row r="306" spans="1:75" hidden="1" x14ac:dyDescent="0.2">
      <c r="A306" s="123" t="str">
        <f>'[2]2021 УГРЦТ'!A308</f>
        <v>Модуль УВН КТПГС-6кВ (ЗРУ-6кВ)</v>
      </c>
      <c r="B306" s="124" t="str">
        <f>'[2]2021 УГРЦТ'!B308</f>
        <v>00001099</v>
      </c>
      <c r="C306" s="124" t="str">
        <f>VLOOKUP(A:A,'2023-2027'!A:L,1,+FALSE)</f>
        <v>Модуль УВН КТПГС-6кВ (ЗРУ-6кВ)</v>
      </c>
      <c r="D306" s="124" t="str">
        <f>'[2]2021 УГРЦТ'!C308</f>
        <v>ПЕРЕДАЧА</v>
      </c>
      <c r="E306" s="124" t="str">
        <f>'[2]2021 УГРЦТ'!D308</f>
        <v>Сооружения</v>
      </c>
      <c r="F306" s="124" t="str">
        <f>'[2]2021 УГРЦТ'!E308</f>
        <v>31.10.2010</v>
      </c>
      <c r="G306" s="124" t="str">
        <f>'[2]2021 УГРЦТ'!F308</f>
        <v>Цех электрических сетей</v>
      </c>
      <c r="H306" s="124">
        <f>'[2]2021 УГРЦТ'!AC308</f>
        <v>240</v>
      </c>
      <c r="I306" s="107">
        <f>'[2]2021 УГРЦТ'!X308</f>
        <v>2085041.06</v>
      </c>
      <c r="J306" s="107">
        <f>'[2]2021 УГРЦТ'!Y308</f>
        <v>1198807.5599999998</v>
      </c>
      <c r="K306" s="107">
        <f>'[2]2021 УГРЦТ'!Z308</f>
        <v>886233.50000000023</v>
      </c>
      <c r="L306" s="125" t="e">
        <f>SUMIF([2]облаг!$B$2:$B$259,B306,[2]облаг!$D$2:$D$259)</f>
        <v>#VALUE!</v>
      </c>
      <c r="M306" s="107">
        <f t="shared" si="272"/>
        <v>8687.6710833333327</v>
      </c>
      <c r="N306" s="107">
        <f t="shared" si="273"/>
        <v>104252.05299999999</v>
      </c>
      <c r="O306" s="107">
        <f t="shared" si="274"/>
        <v>877545.82891666691</v>
      </c>
      <c r="P306" s="107">
        <f t="shared" si="275"/>
        <v>868858.15783333359</v>
      </c>
      <c r="Q306" s="107">
        <f t="shared" si="277"/>
        <v>860170.48675000027</v>
      </c>
      <c r="R306" s="107">
        <f t="shared" si="278"/>
        <v>851482.81566666695</v>
      </c>
      <c r="S306" s="107">
        <f t="shared" si="279"/>
        <v>842795.14458333363</v>
      </c>
      <c r="T306" s="107">
        <f t="shared" si="280"/>
        <v>834107.47350000031</v>
      </c>
      <c r="U306" s="107">
        <f t="shared" si="281"/>
        <v>825419.80241666699</v>
      </c>
      <c r="V306" s="107">
        <f t="shared" si="282"/>
        <v>816732.13133333367</v>
      </c>
      <c r="W306" s="107">
        <f t="shared" si="283"/>
        <v>808044.46025000035</v>
      </c>
      <c r="X306" s="107">
        <f t="shared" si="284"/>
        <v>799356.78916666703</v>
      </c>
      <c r="Y306" s="107">
        <f t="shared" si="285"/>
        <v>790669.11808333371</v>
      </c>
      <c r="Z306" s="107">
        <f t="shared" si="286"/>
        <v>781981.44700000039</v>
      </c>
      <c r="AA306" s="107">
        <f t="shared" si="301"/>
        <v>18350.364417000004</v>
      </c>
      <c r="AB306" s="107"/>
      <c r="AC306" s="107">
        <f t="shared" si="298"/>
        <v>104252.05299999999</v>
      </c>
      <c r="AD306" s="107">
        <f t="shared" si="287"/>
        <v>773293.77591666707</v>
      </c>
      <c r="AE306" s="107">
        <f t="shared" si="288"/>
        <v>764606.10483333375</v>
      </c>
      <c r="AF306" s="107">
        <f t="shared" si="289"/>
        <v>755918.43375000043</v>
      </c>
      <c r="AG306" s="107">
        <f t="shared" si="290"/>
        <v>747230.76266666711</v>
      </c>
      <c r="AH306" s="107">
        <f t="shared" si="291"/>
        <v>738543.09158333379</v>
      </c>
      <c r="AI306" s="107">
        <f t="shared" si="292"/>
        <v>729855.42050000047</v>
      </c>
      <c r="AJ306" s="107">
        <f t="shared" si="293"/>
        <v>721167.74941666715</v>
      </c>
      <c r="AK306" s="107">
        <f t="shared" si="294"/>
        <v>712480.07833333383</v>
      </c>
      <c r="AL306" s="107">
        <f t="shared" si="295"/>
        <v>703792.40725000051</v>
      </c>
      <c r="AM306" s="107">
        <f t="shared" si="296"/>
        <v>695104.73616666719</v>
      </c>
      <c r="AN306" s="107">
        <f t="shared" si="297"/>
        <v>686417.06508333387</v>
      </c>
      <c r="AO306" s="107">
        <f t="shared" si="299"/>
        <v>677729.39400000055</v>
      </c>
      <c r="AP306" s="107">
        <f t="shared" si="302"/>
        <v>16056.81925100001</v>
      </c>
      <c r="AQ306" s="126"/>
      <c r="AR306" s="107">
        <f t="shared" si="300"/>
        <v>104252.05299999999</v>
      </c>
      <c r="AS306" s="107">
        <f t="shared" si="304"/>
        <v>669041.72291666723</v>
      </c>
      <c r="AT306" s="107">
        <f t="shared" si="305"/>
        <v>660354.05183333391</v>
      </c>
      <c r="AU306" s="107">
        <f t="shared" si="306"/>
        <v>651666.38075000059</v>
      </c>
      <c r="AV306" s="107">
        <f t="shared" si="307"/>
        <v>642978.70966666727</v>
      </c>
      <c r="AW306" s="107">
        <f t="shared" si="308"/>
        <v>634291.03858333395</v>
      </c>
      <c r="AX306" s="107">
        <f t="shared" si="309"/>
        <v>625603.36750000063</v>
      </c>
      <c r="AY306" s="107">
        <f t="shared" si="310"/>
        <v>616915.69641666731</v>
      </c>
      <c r="AZ306" s="107">
        <f t="shared" si="311"/>
        <v>608228.02533333399</v>
      </c>
      <c r="BA306" s="107">
        <f t="shared" si="312"/>
        <v>599540.35425000067</v>
      </c>
      <c r="BB306" s="107">
        <f t="shared" si="313"/>
        <v>590852.68316666735</v>
      </c>
      <c r="BC306" s="107">
        <f t="shared" si="314"/>
        <v>582165.01208333403</v>
      </c>
      <c r="BD306" s="107">
        <f t="shared" si="315"/>
        <v>573477.34100000071</v>
      </c>
      <c r="BE306" s="107">
        <f t="shared" si="303"/>
        <v>13763.274085000014</v>
      </c>
      <c r="BF306" s="127"/>
      <c r="BG306" s="127"/>
      <c r="BH306" s="127"/>
      <c r="BI306" s="127"/>
      <c r="BJ306" s="127"/>
      <c r="BK306" s="127"/>
      <c r="BL306" s="127"/>
      <c r="BM306" s="127"/>
      <c r="BN306" s="127"/>
      <c r="BO306" s="127"/>
      <c r="BP306" s="127"/>
      <c r="BQ306" s="127"/>
      <c r="BR306" s="127"/>
      <c r="BS306" s="127"/>
      <c r="BT306" s="127"/>
      <c r="BU306" s="127"/>
      <c r="BV306" s="127"/>
      <c r="BW306" s="127"/>
    </row>
    <row r="307" spans="1:75" ht="22.5" hidden="1" x14ac:dyDescent="0.2">
      <c r="A307" s="123" t="str">
        <f>'[2]2021 УГРЦТ'!A309</f>
        <v>Н/в каб от ТП-20, 10 до банка Поморск 117м  96г</v>
      </c>
      <c r="B307" s="124" t="str">
        <f>'[2]2021 УГРЦТ'!B309</f>
        <v>00000179</v>
      </c>
      <c r="C307" s="124" t="str">
        <f>VLOOKUP(A:A,'2023-2027'!A:L,1,+FALSE)</f>
        <v>Н/в каб от ТП-20, 10 до банка Поморск 117м  96г</v>
      </c>
      <c r="D307" s="124" t="str">
        <f>'[2]2021 УГРЦТ'!C309</f>
        <v>ПЕРЕДАЧА</v>
      </c>
      <c r="E307" s="124" t="str">
        <f>'[2]2021 УГРЦТ'!D309</f>
        <v>Сооружения</v>
      </c>
      <c r="F307" s="124" t="str">
        <f>'[2]2021 УГРЦТ'!E309</f>
        <v>01.01.1996</v>
      </c>
      <c r="G307" s="124" t="str">
        <f>'[2]2021 УГРЦТ'!F309</f>
        <v>Цех электрических сетей</v>
      </c>
      <c r="H307" s="124">
        <f>'[2]2021 УГРЦТ'!AC309</f>
        <v>300</v>
      </c>
      <c r="I307" s="107">
        <f>'[2]2021 УГРЦТ'!X309</f>
        <v>34350</v>
      </c>
      <c r="J307" s="107">
        <f>'[2]2021 УГРЦТ'!Y309</f>
        <v>28969</v>
      </c>
      <c r="K307" s="107">
        <f>'[2]2021 УГРЦТ'!Z309</f>
        <v>5381</v>
      </c>
      <c r="L307" s="125" t="e">
        <f>SUMIF([2]облаг!$B$2:$B$259,B307,[2]облаг!$D$2:$D$259)</f>
        <v>#VALUE!</v>
      </c>
      <c r="M307" s="107">
        <f t="shared" si="272"/>
        <v>114.5</v>
      </c>
      <c r="N307" s="107">
        <f t="shared" si="273"/>
        <v>1374</v>
      </c>
      <c r="O307" s="107">
        <f t="shared" si="274"/>
        <v>5266.5</v>
      </c>
      <c r="P307" s="107">
        <f t="shared" si="275"/>
        <v>5152</v>
      </c>
      <c r="Q307" s="107">
        <f t="shared" si="277"/>
        <v>5037.5</v>
      </c>
      <c r="R307" s="107">
        <f t="shared" si="278"/>
        <v>4923</v>
      </c>
      <c r="S307" s="107">
        <f t="shared" si="279"/>
        <v>4808.5</v>
      </c>
      <c r="T307" s="107">
        <f t="shared" si="280"/>
        <v>4694</v>
      </c>
      <c r="U307" s="107">
        <f t="shared" si="281"/>
        <v>4579.5</v>
      </c>
      <c r="V307" s="107">
        <f t="shared" si="282"/>
        <v>4465</v>
      </c>
      <c r="W307" s="107">
        <f t="shared" si="283"/>
        <v>4350.5</v>
      </c>
      <c r="X307" s="107">
        <f t="shared" si="284"/>
        <v>4236</v>
      </c>
      <c r="Y307" s="107">
        <f t="shared" si="285"/>
        <v>4121.5</v>
      </c>
      <c r="Z307" s="107">
        <f t="shared" si="286"/>
        <v>4007</v>
      </c>
      <c r="AA307" s="107">
        <f t="shared" si="301"/>
        <v>103.268</v>
      </c>
      <c r="AB307" s="107"/>
      <c r="AC307" s="107">
        <f t="shared" si="298"/>
        <v>1374</v>
      </c>
      <c r="AD307" s="107">
        <f t="shared" si="287"/>
        <v>3892.5</v>
      </c>
      <c r="AE307" s="107">
        <f t="shared" si="288"/>
        <v>3778</v>
      </c>
      <c r="AF307" s="107">
        <f t="shared" si="289"/>
        <v>3663.5</v>
      </c>
      <c r="AG307" s="107">
        <f t="shared" si="290"/>
        <v>3549</v>
      </c>
      <c r="AH307" s="107">
        <f t="shared" si="291"/>
        <v>3434.5</v>
      </c>
      <c r="AI307" s="107">
        <f t="shared" si="292"/>
        <v>3320</v>
      </c>
      <c r="AJ307" s="107">
        <f t="shared" si="293"/>
        <v>3205.5</v>
      </c>
      <c r="AK307" s="107">
        <f t="shared" si="294"/>
        <v>3091</v>
      </c>
      <c r="AL307" s="107">
        <f t="shared" si="295"/>
        <v>2976.5</v>
      </c>
      <c r="AM307" s="107">
        <f t="shared" si="296"/>
        <v>2862</v>
      </c>
      <c r="AN307" s="107">
        <f t="shared" si="297"/>
        <v>2747.5</v>
      </c>
      <c r="AO307" s="107">
        <f t="shared" si="299"/>
        <v>2633</v>
      </c>
      <c r="AP307" s="107">
        <f t="shared" si="302"/>
        <v>73.039999999999992</v>
      </c>
      <c r="AQ307" s="126"/>
      <c r="AR307" s="107">
        <f t="shared" si="300"/>
        <v>1374</v>
      </c>
      <c r="AS307" s="107">
        <f t="shared" si="304"/>
        <v>2518.5</v>
      </c>
      <c r="AT307" s="107">
        <f t="shared" si="305"/>
        <v>2404</v>
      </c>
      <c r="AU307" s="107">
        <f t="shared" si="306"/>
        <v>2289.5</v>
      </c>
      <c r="AV307" s="107">
        <f t="shared" si="307"/>
        <v>2175</v>
      </c>
      <c r="AW307" s="107">
        <f t="shared" si="308"/>
        <v>2060.5</v>
      </c>
      <c r="AX307" s="107">
        <f t="shared" si="309"/>
        <v>1946</v>
      </c>
      <c r="AY307" s="107">
        <f t="shared" si="310"/>
        <v>1831.5</v>
      </c>
      <c r="AZ307" s="107">
        <f t="shared" si="311"/>
        <v>1717</v>
      </c>
      <c r="BA307" s="107">
        <f t="shared" si="312"/>
        <v>1602.5</v>
      </c>
      <c r="BB307" s="107">
        <f t="shared" si="313"/>
        <v>1488</v>
      </c>
      <c r="BC307" s="107">
        <f t="shared" si="314"/>
        <v>1373.5</v>
      </c>
      <c r="BD307" s="107">
        <f t="shared" si="315"/>
        <v>1259</v>
      </c>
      <c r="BE307" s="107">
        <f t="shared" si="303"/>
        <v>42.811999999999998</v>
      </c>
      <c r="BF307" s="127"/>
      <c r="BG307" s="127"/>
      <c r="BI307" s="127"/>
      <c r="BJ307" s="127"/>
      <c r="BK307" s="127"/>
      <c r="BL307" s="127"/>
      <c r="BM307" s="127"/>
      <c r="BN307" s="127"/>
      <c r="BO307" s="127"/>
      <c r="BP307" s="127"/>
      <c r="BQ307" s="127"/>
      <c r="BR307" s="127"/>
      <c r="BS307" s="127"/>
      <c r="BT307" s="127"/>
      <c r="BU307" s="127"/>
      <c r="BV307" s="127"/>
    </row>
    <row r="308" spans="1:75" ht="33.75" hidden="1" x14ac:dyDescent="0.2">
      <c r="A308" s="123" t="str">
        <f>'[2]2021 УГРЦТ'!A310</f>
        <v>Наружные высоковольтные сети эл/снаб. 600 м м-н Старый аэропорт (ТП №90)</v>
      </c>
      <c r="B308" s="124" t="str">
        <f>'[2]2021 УГРЦТ'!B310</f>
        <v>000001493</v>
      </c>
      <c r="C308" s="124" t="str">
        <f>VLOOKUP(A:A,'2023-2027'!A:L,1,+FALSE)</f>
        <v>Наружные высоковольтные сети эл/снаб. 600 м м-н Старый аэропорт (ТП №90)</v>
      </c>
      <c r="D308" s="124" t="str">
        <f>'[2]2021 УГРЦТ'!C310</f>
        <v>ПЕРЕДАЧА</v>
      </c>
      <c r="E308" s="124" t="str">
        <f>'[2]2021 УГРЦТ'!D310</f>
        <v>Сооружения</v>
      </c>
      <c r="F308" s="124" t="str">
        <f>'[2]2021 УГРЦТ'!E310</f>
        <v>31.10.2012</v>
      </c>
      <c r="G308" s="124" t="str">
        <f>'[2]2021 УГРЦТ'!F310</f>
        <v>Цех электрических сетей</v>
      </c>
      <c r="H308" s="124">
        <f>'[2]2021 УГРЦТ'!AC310</f>
        <v>356</v>
      </c>
      <c r="I308" s="107">
        <v>2061087.67</v>
      </c>
      <c r="J308" s="107">
        <v>636852.72528089886</v>
      </c>
      <c r="K308" s="107">
        <v>1424234.9447191011</v>
      </c>
      <c r="L308" s="125" t="e">
        <f>SUMIF([2]облаг!$B$2:$B$259,B308,[2]облаг!$D$2:$D$259)</f>
        <v>#VALUE!</v>
      </c>
      <c r="M308" s="107">
        <f t="shared" si="272"/>
        <v>5789.5721067415725</v>
      </c>
      <c r="N308" s="107">
        <f t="shared" si="273"/>
        <v>69474.86528089887</v>
      </c>
      <c r="O308" s="107">
        <f t="shared" si="274"/>
        <v>1418445.3726123595</v>
      </c>
      <c r="P308" s="107">
        <f t="shared" si="275"/>
        <v>1412655.8005056179</v>
      </c>
      <c r="Q308" s="107">
        <f t="shared" si="277"/>
        <v>1406866.2283988763</v>
      </c>
      <c r="R308" s="107">
        <f t="shared" si="278"/>
        <v>1401076.6562921347</v>
      </c>
      <c r="S308" s="107">
        <f t="shared" si="279"/>
        <v>1395287.0841853931</v>
      </c>
      <c r="T308" s="107">
        <f t="shared" si="280"/>
        <v>1389497.5120786515</v>
      </c>
      <c r="U308" s="107">
        <f t="shared" si="281"/>
        <v>1383707.9399719099</v>
      </c>
      <c r="V308" s="107">
        <f t="shared" si="282"/>
        <v>1377918.3678651683</v>
      </c>
      <c r="W308" s="107">
        <f t="shared" si="283"/>
        <v>1372128.7957584267</v>
      </c>
      <c r="X308" s="107">
        <f t="shared" si="284"/>
        <v>1366339.2236516851</v>
      </c>
      <c r="Y308" s="107">
        <f t="shared" si="285"/>
        <v>1360549.6515449435</v>
      </c>
      <c r="Z308" s="107">
        <f t="shared" si="286"/>
        <v>1354760.0794382019</v>
      </c>
      <c r="AA308" s="107">
        <f t="shared" si="301"/>
        <v>30568.94526573033</v>
      </c>
      <c r="AB308" s="107"/>
      <c r="AC308" s="107">
        <f t="shared" si="298"/>
        <v>69474.86528089887</v>
      </c>
      <c r="AD308" s="107">
        <f t="shared" si="287"/>
        <v>1348970.5073314602</v>
      </c>
      <c r="AE308" s="107">
        <f t="shared" si="288"/>
        <v>1343180.9352247186</v>
      </c>
      <c r="AF308" s="107">
        <f t="shared" si="289"/>
        <v>1337391.363117977</v>
      </c>
      <c r="AG308" s="107">
        <f t="shared" si="290"/>
        <v>1331601.7910112354</v>
      </c>
      <c r="AH308" s="107">
        <f t="shared" si="291"/>
        <v>1325812.2189044938</v>
      </c>
      <c r="AI308" s="107">
        <f t="shared" si="292"/>
        <v>1320022.6467977522</v>
      </c>
      <c r="AJ308" s="107">
        <f t="shared" si="293"/>
        <v>1314233.0746910106</v>
      </c>
      <c r="AK308" s="107">
        <f t="shared" si="294"/>
        <v>1308443.502584269</v>
      </c>
      <c r="AL308" s="107">
        <f t="shared" si="295"/>
        <v>1302653.9304775274</v>
      </c>
      <c r="AM308" s="107">
        <f t="shared" si="296"/>
        <v>1296864.3583707858</v>
      </c>
      <c r="AN308" s="107">
        <f t="shared" si="297"/>
        <v>1291074.7862640442</v>
      </c>
      <c r="AO308" s="107">
        <f t="shared" si="299"/>
        <v>1285285.2141573026</v>
      </c>
      <c r="AP308" s="107">
        <f t="shared" si="302"/>
        <v>29040.498229550554</v>
      </c>
      <c r="AQ308" s="126"/>
      <c r="AR308" s="107">
        <f t="shared" si="300"/>
        <v>69474.86528089887</v>
      </c>
      <c r="AS308" s="107">
        <f t="shared" si="304"/>
        <v>1279495.642050561</v>
      </c>
      <c r="AT308" s="107">
        <f t="shared" si="305"/>
        <v>1273706.0699438194</v>
      </c>
      <c r="AU308" s="107">
        <f t="shared" si="306"/>
        <v>1267916.4978370778</v>
      </c>
      <c r="AV308" s="107">
        <f t="shared" si="307"/>
        <v>1262126.9257303362</v>
      </c>
      <c r="AW308" s="107">
        <f t="shared" si="308"/>
        <v>1256337.3536235946</v>
      </c>
      <c r="AX308" s="107">
        <f t="shared" si="309"/>
        <v>1250547.781516853</v>
      </c>
      <c r="AY308" s="107">
        <f t="shared" si="310"/>
        <v>1244758.2094101114</v>
      </c>
      <c r="AZ308" s="107">
        <f t="shared" si="311"/>
        <v>1238968.6373033698</v>
      </c>
      <c r="BA308" s="107">
        <f t="shared" si="312"/>
        <v>1233179.0651966282</v>
      </c>
      <c r="BB308" s="107">
        <f t="shared" si="313"/>
        <v>1227389.4930898866</v>
      </c>
      <c r="BC308" s="107">
        <f t="shared" si="314"/>
        <v>1221599.920983145</v>
      </c>
      <c r="BD308" s="107">
        <f t="shared" si="315"/>
        <v>1215810.3488764034</v>
      </c>
      <c r="BE308" s="107">
        <f t="shared" si="303"/>
        <v>27512.05119337076</v>
      </c>
      <c r="BF308" s="127"/>
      <c r="BG308" s="127"/>
      <c r="BH308" s="127"/>
      <c r="BI308" s="127"/>
      <c r="BJ308" s="127"/>
      <c r="BK308" s="127"/>
      <c r="BL308" s="127"/>
      <c r="BM308" s="127"/>
      <c r="BN308" s="127"/>
      <c r="BO308" s="127"/>
      <c r="BP308" s="127"/>
      <c r="BQ308" s="127"/>
      <c r="BR308" s="127"/>
      <c r="BS308" s="127"/>
      <c r="BT308" s="127"/>
      <c r="BU308" s="127"/>
      <c r="BV308" s="127"/>
      <c r="BW308" s="127"/>
    </row>
    <row r="309" spans="1:75" hidden="1" x14ac:dyDescent="0.2">
      <c r="A309" s="123" t="str">
        <f>'[2]2021 УГРЦТ'!A311</f>
        <v xml:space="preserve">Наружные эл сети по ул Озерная </v>
      </c>
      <c r="B309" s="124" t="str">
        <f>'[2]2021 УГРЦТ'!B311</f>
        <v>00000257</v>
      </c>
      <c r="C309" s="124" t="str">
        <f>VLOOKUP(A:A,'2023-2027'!A:L,1,+FALSE)</f>
        <v xml:space="preserve">Наружные эл сети по ул Озерная </v>
      </c>
      <c r="D309" s="124" t="str">
        <f>'[2]2021 УГРЦТ'!C311</f>
        <v>ПЕРЕДАЧА</v>
      </c>
      <c r="E309" s="124" t="str">
        <f>'[2]2021 УГРЦТ'!D311</f>
        <v>Сооружения</v>
      </c>
      <c r="F309" s="124" t="str">
        <f>'[2]2021 УГРЦТ'!E311</f>
        <v>01.09.1998</v>
      </c>
      <c r="G309" s="124" t="str">
        <f>'[2]2021 УГРЦТ'!F311</f>
        <v>Цех электрических сетей</v>
      </c>
      <c r="H309" s="124">
        <f>'[2]2021 УГРЦТ'!AC311</f>
        <v>384</v>
      </c>
      <c r="I309" s="107">
        <f>'[2]2021 УГРЦТ'!X311</f>
        <v>374534.37</v>
      </c>
      <c r="J309" s="107">
        <f>'[2]2021 УГРЦТ'!Y311</f>
        <v>180934.45</v>
      </c>
      <c r="K309" s="107">
        <f>'[2]2021 УГРЦТ'!Z311</f>
        <v>193599.91999999998</v>
      </c>
      <c r="L309" s="125" t="e">
        <f>SUMIF([2]облаг!$B$2:$B$259,B309,[2]облаг!$D$2:$D$259)</f>
        <v>#VALUE!</v>
      </c>
      <c r="M309" s="107">
        <f t="shared" si="272"/>
        <v>975.34992187499995</v>
      </c>
      <c r="N309" s="107">
        <f t="shared" si="273"/>
        <v>11704.1990625</v>
      </c>
      <c r="O309" s="107">
        <f t="shared" si="274"/>
        <v>192624.57007812499</v>
      </c>
      <c r="P309" s="107">
        <f t="shared" si="275"/>
        <v>191649.22015625</v>
      </c>
      <c r="Q309" s="107">
        <f t="shared" si="277"/>
        <v>190673.870234375</v>
      </c>
      <c r="R309" s="107">
        <f t="shared" si="278"/>
        <v>189698.52031250001</v>
      </c>
      <c r="S309" s="107">
        <f t="shared" si="279"/>
        <v>188723.17039062502</v>
      </c>
      <c r="T309" s="107">
        <f t="shared" si="280"/>
        <v>187747.82046875003</v>
      </c>
      <c r="U309" s="107">
        <f t="shared" si="281"/>
        <v>186772.47054687503</v>
      </c>
      <c r="V309" s="107">
        <f t="shared" si="282"/>
        <v>185797.12062500004</v>
      </c>
      <c r="W309" s="107">
        <f t="shared" si="283"/>
        <v>184821.77070312505</v>
      </c>
      <c r="X309" s="107">
        <f t="shared" si="284"/>
        <v>183846.42078125005</v>
      </c>
      <c r="Y309" s="107">
        <f t="shared" si="285"/>
        <v>182871.07085937506</v>
      </c>
      <c r="Z309" s="107">
        <f t="shared" si="286"/>
        <v>181895.72093750007</v>
      </c>
      <c r="AA309" s="107">
        <f t="shared" si="301"/>
        <v>4130.4520503125004</v>
      </c>
      <c r="AB309" s="107"/>
      <c r="AC309" s="107">
        <f t="shared" si="298"/>
        <v>11704.1990625</v>
      </c>
      <c r="AD309" s="107">
        <f t="shared" si="287"/>
        <v>180920.37101562507</v>
      </c>
      <c r="AE309" s="107">
        <f t="shared" si="288"/>
        <v>179945.02109375008</v>
      </c>
      <c r="AF309" s="107">
        <f t="shared" si="289"/>
        <v>178969.67117187509</v>
      </c>
      <c r="AG309" s="107">
        <f t="shared" si="290"/>
        <v>177994.3212500001</v>
      </c>
      <c r="AH309" s="107">
        <f t="shared" si="291"/>
        <v>177018.9713281251</v>
      </c>
      <c r="AI309" s="107">
        <f t="shared" si="292"/>
        <v>176043.62140625011</v>
      </c>
      <c r="AJ309" s="107">
        <f t="shared" si="293"/>
        <v>175068.27148437512</v>
      </c>
      <c r="AK309" s="107">
        <f t="shared" si="294"/>
        <v>174092.92156250012</v>
      </c>
      <c r="AL309" s="107">
        <f t="shared" si="295"/>
        <v>173117.57164062513</v>
      </c>
      <c r="AM309" s="107">
        <f t="shared" si="296"/>
        <v>172142.22171875014</v>
      </c>
      <c r="AN309" s="107">
        <f t="shared" si="297"/>
        <v>171166.87179687514</v>
      </c>
      <c r="AO309" s="107">
        <f t="shared" si="299"/>
        <v>170191.52187500015</v>
      </c>
      <c r="AP309" s="107">
        <f t="shared" si="302"/>
        <v>3872.9596709375028</v>
      </c>
      <c r="AQ309" s="126"/>
      <c r="AR309" s="107">
        <f t="shared" si="300"/>
        <v>11704.1990625</v>
      </c>
      <c r="AS309" s="107">
        <f t="shared" si="304"/>
        <v>169216.17195312516</v>
      </c>
      <c r="AT309" s="107">
        <f t="shared" si="305"/>
        <v>168240.82203125017</v>
      </c>
      <c r="AU309" s="107">
        <f t="shared" si="306"/>
        <v>167265.47210937517</v>
      </c>
      <c r="AV309" s="107">
        <f t="shared" si="307"/>
        <v>166290.12218750018</v>
      </c>
      <c r="AW309" s="107">
        <f t="shared" si="308"/>
        <v>165314.77226562519</v>
      </c>
      <c r="AX309" s="107">
        <f t="shared" si="309"/>
        <v>164339.42234375019</v>
      </c>
      <c r="AY309" s="107">
        <f t="shared" si="310"/>
        <v>163364.0724218752</v>
      </c>
      <c r="AZ309" s="107">
        <f t="shared" si="311"/>
        <v>162388.72250000021</v>
      </c>
      <c r="BA309" s="107">
        <f t="shared" si="312"/>
        <v>161413.37257812521</v>
      </c>
      <c r="BB309" s="107">
        <f t="shared" si="313"/>
        <v>160438.02265625022</v>
      </c>
      <c r="BC309" s="107">
        <f t="shared" si="314"/>
        <v>159462.67273437523</v>
      </c>
      <c r="BD309" s="107">
        <f t="shared" si="315"/>
        <v>158487.32281250024</v>
      </c>
      <c r="BE309" s="107">
        <f t="shared" si="303"/>
        <v>3615.4672915625042</v>
      </c>
      <c r="BF309" s="127"/>
      <c r="BG309" s="127"/>
      <c r="BH309" s="127"/>
      <c r="BI309" s="127"/>
      <c r="BJ309" s="127"/>
      <c r="BK309" s="127"/>
      <c r="BL309" s="127"/>
      <c r="BM309" s="127"/>
      <c r="BN309" s="127"/>
      <c r="BO309" s="127"/>
      <c r="BP309" s="127"/>
      <c r="BQ309" s="127"/>
      <c r="BR309" s="127"/>
      <c r="BS309" s="127"/>
      <c r="BT309" s="127"/>
      <c r="BU309" s="127"/>
      <c r="BV309" s="127"/>
      <c r="BW309" s="127"/>
    </row>
    <row r="310" spans="1:75" hidden="1" x14ac:dyDescent="0.2">
      <c r="A310" s="123" t="str">
        <f>'[2]2021 УГРЦТ'!A312</f>
        <v>Оборудование ТП №83 "Теплица"</v>
      </c>
      <c r="B310" s="124" t="str">
        <f>'[2]2021 УГРЦТ'!B312</f>
        <v>000001648</v>
      </c>
      <c r="C310" s="124" t="str">
        <f>VLOOKUP(A:A,'2023-2027'!A:L,1,+FALSE)</f>
        <v>Оборудование ТП №83 "Теплица"</v>
      </c>
      <c r="D310" s="124" t="str">
        <f>'[2]2021 УГРЦТ'!C312</f>
        <v>ПЕРЕДАЧА</v>
      </c>
      <c r="E310" s="124" t="str">
        <f>'[2]2021 УГРЦТ'!D312</f>
        <v>Машины и оборудование (кроме офисного)</v>
      </c>
      <c r="F310" s="124" t="str">
        <f>'[2]2021 УГРЦТ'!E312</f>
        <v>31.12.2014</v>
      </c>
      <c r="G310" s="124" t="str">
        <f>'[2]2021 УГРЦТ'!F312</f>
        <v>Цех электрических сетей</v>
      </c>
      <c r="H310" s="124">
        <f>'[2]2021 УГРЦТ'!AC312</f>
        <v>240</v>
      </c>
      <c r="I310" s="107">
        <f>'[2]2021 УГРЦТ'!X312</f>
        <v>15492697.810000001</v>
      </c>
      <c r="J310" s="107">
        <f>'[2]2021 УГРЦТ'!Y312</f>
        <v>5422444.4104999993</v>
      </c>
      <c r="K310" s="107">
        <f>'[2]2021 УГРЦТ'!Z312</f>
        <v>10070253.399500001</v>
      </c>
      <c r="L310" s="125" t="e">
        <f>SUMIF([2]облаг!$B$2:$B$259,B310,[2]облаг!$D$2:$D$259)</f>
        <v>#VALUE!</v>
      </c>
      <c r="M310" s="107">
        <f t="shared" si="272"/>
        <v>64552.907541666667</v>
      </c>
      <c r="N310" s="107">
        <f t="shared" si="273"/>
        <v>774634.89049999998</v>
      </c>
      <c r="O310" s="107">
        <f t="shared" si="274"/>
        <v>10005700.491958335</v>
      </c>
      <c r="P310" s="107">
        <f t="shared" si="275"/>
        <v>9941147.5844166689</v>
      </c>
      <c r="Q310" s="107">
        <f t="shared" si="277"/>
        <v>9876594.6768750027</v>
      </c>
      <c r="R310" s="107">
        <f t="shared" si="278"/>
        <v>9812041.7693333365</v>
      </c>
      <c r="S310" s="107">
        <f t="shared" si="279"/>
        <v>9747488.8617916703</v>
      </c>
      <c r="T310" s="107">
        <f t="shared" si="280"/>
        <v>9682935.9542500041</v>
      </c>
      <c r="U310" s="107">
        <f t="shared" si="281"/>
        <v>9618383.046708338</v>
      </c>
      <c r="V310" s="107">
        <f t="shared" si="282"/>
        <v>9553830.1391666718</v>
      </c>
      <c r="W310" s="107">
        <f t="shared" si="283"/>
        <v>9489277.2316250056</v>
      </c>
      <c r="X310" s="107">
        <f t="shared" si="284"/>
        <v>9424724.3240833394</v>
      </c>
      <c r="Y310" s="107">
        <f t="shared" si="285"/>
        <v>9360171.4165416732</v>
      </c>
      <c r="Z310" s="107">
        <f t="shared" si="286"/>
        <v>9295618.5090000071</v>
      </c>
      <c r="AA310" s="107"/>
      <c r="AB310" s="107"/>
      <c r="AC310" s="107">
        <f t="shared" si="298"/>
        <v>774634.89049999998</v>
      </c>
      <c r="AD310" s="107">
        <f t="shared" si="287"/>
        <v>9231065.6014583409</v>
      </c>
      <c r="AE310" s="107">
        <f t="shared" si="288"/>
        <v>9166512.6939166747</v>
      </c>
      <c r="AF310" s="107">
        <f t="shared" si="289"/>
        <v>9101959.7863750085</v>
      </c>
      <c r="AG310" s="107">
        <f t="shared" si="290"/>
        <v>9037406.8788333423</v>
      </c>
      <c r="AH310" s="107">
        <f t="shared" si="291"/>
        <v>8972853.9712916762</v>
      </c>
      <c r="AI310" s="107">
        <f t="shared" si="292"/>
        <v>8908301.06375001</v>
      </c>
      <c r="AJ310" s="107">
        <f t="shared" si="293"/>
        <v>8843748.1562083438</v>
      </c>
      <c r="AK310" s="107">
        <f t="shared" si="294"/>
        <v>8779195.2486666776</v>
      </c>
      <c r="AL310" s="107">
        <f t="shared" si="295"/>
        <v>8714642.3411250114</v>
      </c>
      <c r="AM310" s="107">
        <f t="shared" si="296"/>
        <v>8650089.4335833453</v>
      </c>
      <c r="AN310" s="107">
        <f t="shared" si="297"/>
        <v>8585536.5260416791</v>
      </c>
      <c r="AO310" s="107">
        <f t="shared" si="299"/>
        <v>8520983.6185000129</v>
      </c>
      <c r="AP310" s="107"/>
      <c r="AQ310" s="126"/>
      <c r="AR310" s="107">
        <f t="shared" si="300"/>
        <v>774634.89049999998</v>
      </c>
      <c r="AS310" s="107">
        <f t="shared" si="304"/>
        <v>8456430.7109583467</v>
      </c>
      <c r="AT310" s="107">
        <f t="shared" si="305"/>
        <v>8391877.8034166805</v>
      </c>
      <c r="AU310" s="107">
        <f t="shared" si="306"/>
        <v>8327324.8958750134</v>
      </c>
      <c r="AV310" s="107">
        <f t="shared" si="307"/>
        <v>8262771.9883333463</v>
      </c>
      <c r="AW310" s="107">
        <f t="shared" si="308"/>
        <v>8198219.0807916792</v>
      </c>
      <c r="AX310" s="107">
        <f t="shared" si="309"/>
        <v>8133666.1732500121</v>
      </c>
      <c r="AY310" s="107">
        <f t="shared" si="310"/>
        <v>8069113.265708345</v>
      </c>
      <c r="AZ310" s="107">
        <f t="shared" si="311"/>
        <v>8004560.3581666779</v>
      </c>
      <c r="BA310" s="107">
        <f t="shared" si="312"/>
        <v>7940007.4506250108</v>
      </c>
      <c r="BB310" s="107">
        <f t="shared" si="313"/>
        <v>7875454.5430833437</v>
      </c>
      <c r="BC310" s="107">
        <f t="shared" si="314"/>
        <v>7810901.6355416765</v>
      </c>
      <c r="BD310" s="107">
        <f t="shared" si="315"/>
        <v>7746348.7280000094</v>
      </c>
      <c r="BE310" s="107"/>
      <c r="BF310" s="127"/>
      <c r="BG310" s="127"/>
      <c r="BH310" s="127"/>
      <c r="BI310" s="127"/>
      <c r="BJ310" s="127"/>
      <c r="BK310" s="127"/>
      <c r="BL310" s="127"/>
      <c r="BM310" s="127"/>
      <c r="BN310" s="127"/>
      <c r="BO310" s="127"/>
      <c r="BP310" s="127"/>
      <c r="BQ310" s="127"/>
      <c r="BR310" s="127"/>
      <c r="BS310" s="127"/>
      <c r="BT310" s="127"/>
      <c r="BU310" s="127"/>
      <c r="BV310" s="127"/>
      <c r="BW310" s="127"/>
    </row>
    <row r="311" spans="1:75" ht="22.5" hidden="1" x14ac:dyDescent="0.2">
      <c r="A311" s="123" t="str">
        <f>'[2]2021 УГРЦТ'!A313</f>
        <v>Оборудование ТП-18 ул 60 лет СССР 5</v>
      </c>
      <c r="B311" s="124" t="str">
        <f>'[2]2021 УГРЦТ'!B313</f>
        <v>00000569</v>
      </c>
      <c r="C311" s="124" t="str">
        <f>VLOOKUP(A:A,'2023-2027'!A:L,1,+FALSE)</f>
        <v>Оборудование ТП-18 ул 60 лет СССР 5</v>
      </c>
      <c r="D311" s="124" t="str">
        <f>'[2]2021 УГРЦТ'!C313</f>
        <v>ПЕРЕДАЧА</v>
      </c>
      <c r="E311" s="124" t="str">
        <f>'[2]2021 УГРЦТ'!D313</f>
        <v>Машины и оборудование (кроме офисного)</v>
      </c>
      <c r="F311" s="124" t="str">
        <f>'[2]2021 УГРЦТ'!E313</f>
        <v>01.01.1981</v>
      </c>
      <c r="G311" s="124" t="str">
        <f>'[2]2021 УГРЦТ'!F313</f>
        <v>Цех электрических сетей</v>
      </c>
      <c r="H311" s="124">
        <f>'[2]2021 УГРЦТ'!AC313</f>
        <v>581</v>
      </c>
      <c r="I311" s="107">
        <f>'[2]2021 УГРЦТ'!X313</f>
        <v>655370.73</v>
      </c>
      <c r="J311" s="107">
        <f>'[2]2021 УГРЦТ'!Y313</f>
        <v>222562.69999999998</v>
      </c>
      <c r="K311" s="107">
        <f>'[2]2021 УГРЦТ'!Z313</f>
        <v>432808.03</v>
      </c>
      <c r="L311" s="125" t="e">
        <f>SUMIF([2]облаг!$B$2:$B$259,B311,[2]облаг!$D$2:$D$259)</f>
        <v>#VALUE!</v>
      </c>
      <c r="M311" s="107">
        <f t="shared" si="272"/>
        <v>1128.0046987951807</v>
      </c>
      <c r="N311" s="107">
        <f t="shared" si="273"/>
        <v>13536.056385542168</v>
      </c>
      <c r="O311" s="107">
        <f t="shared" si="274"/>
        <v>431680.02530120482</v>
      </c>
      <c r="P311" s="107">
        <f t="shared" si="275"/>
        <v>430552.02060240961</v>
      </c>
      <c r="Q311" s="107">
        <f t="shared" si="277"/>
        <v>429424.0159036144</v>
      </c>
      <c r="R311" s="107">
        <f t="shared" si="278"/>
        <v>428296.01120481919</v>
      </c>
      <c r="S311" s="107">
        <f t="shared" si="279"/>
        <v>427168.00650602399</v>
      </c>
      <c r="T311" s="107">
        <f t="shared" si="280"/>
        <v>426040.00180722878</v>
      </c>
      <c r="U311" s="107">
        <f t="shared" si="281"/>
        <v>424911.99710843357</v>
      </c>
      <c r="V311" s="107">
        <f t="shared" si="282"/>
        <v>423783.99240963836</v>
      </c>
      <c r="W311" s="107">
        <f t="shared" si="283"/>
        <v>422655.98771084315</v>
      </c>
      <c r="X311" s="107">
        <f t="shared" si="284"/>
        <v>421527.98301204795</v>
      </c>
      <c r="Y311" s="107">
        <f t="shared" si="285"/>
        <v>420399.97831325274</v>
      </c>
      <c r="Z311" s="107">
        <f t="shared" si="286"/>
        <v>419271.97361445753</v>
      </c>
      <c r="AA311" s="107"/>
      <c r="AB311" s="107"/>
      <c r="AC311" s="107">
        <f t="shared" si="298"/>
        <v>13536.056385542168</v>
      </c>
      <c r="AD311" s="107">
        <f t="shared" si="287"/>
        <v>418143.96891566232</v>
      </c>
      <c r="AE311" s="107">
        <f t="shared" si="288"/>
        <v>417015.96421686711</v>
      </c>
      <c r="AF311" s="107">
        <f t="shared" si="289"/>
        <v>415887.9595180719</v>
      </c>
      <c r="AG311" s="107">
        <f t="shared" si="290"/>
        <v>414759.9548192767</v>
      </c>
      <c r="AH311" s="107">
        <f t="shared" si="291"/>
        <v>413631.95012048149</v>
      </c>
      <c r="AI311" s="107">
        <f t="shared" si="292"/>
        <v>412503.94542168628</v>
      </c>
      <c r="AJ311" s="107">
        <f t="shared" si="293"/>
        <v>411375.94072289107</v>
      </c>
      <c r="AK311" s="107">
        <f t="shared" si="294"/>
        <v>410247.93602409586</v>
      </c>
      <c r="AL311" s="107">
        <f t="shared" si="295"/>
        <v>409119.93132530065</v>
      </c>
      <c r="AM311" s="107">
        <f t="shared" si="296"/>
        <v>407991.92662650545</v>
      </c>
      <c r="AN311" s="107">
        <f t="shared" si="297"/>
        <v>406863.92192771024</v>
      </c>
      <c r="AO311" s="107">
        <f t="shared" si="299"/>
        <v>405735.91722891503</v>
      </c>
      <c r="AP311" s="107"/>
      <c r="AQ311" s="126"/>
      <c r="AR311" s="107">
        <f t="shared" si="300"/>
        <v>13536.056385542168</v>
      </c>
      <c r="AS311" s="107">
        <f t="shared" si="304"/>
        <v>404607.91253011982</v>
      </c>
      <c r="AT311" s="107">
        <f t="shared" si="305"/>
        <v>403479.90783132461</v>
      </c>
      <c r="AU311" s="107">
        <f t="shared" si="306"/>
        <v>402351.90313252941</v>
      </c>
      <c r="AV311" s="107">
        <f t="shared" si="307"/>
        <v>401223.8984337342</v>
      </c>
      <c r="AW311" s="107">
        <f t="shared" si="308"/>
        <v>400095.89373493899</v>
      </c>
      <c r="AX311" s="107">
        <f t="shared" si="309"/>
        <v>398967.88903614378</v>
      </c>
      <c r="AY311" s="107">
        <f t="shared" si="310"/>
        <v>397839.88433734857</v>
      </c>
      <c r="AZ311" s="107">
        <f t="shared" si="311"/>
        <v>396711.87963855336</v>
      </c>
      <c r="BA311" s="107">
        <f t="shared" si="312"/>
        <v>395583.87493975816</v>
      </c>
      <c r="BB311" s="107">
        <f t="shared" si="313"/>
        <v>394455.87024096295</v>
      </c>
      <c r="BC311" s="107">
        <f t="shared" si="314"/>
        <v>393327.86554216774</v>
      </c>
      <c r="BD311" s="107">
        <f t="shared" si="315"/>
        <v>392199.86084337253</v>
      </c>
      <c r="BE311" s="107"/>
      <c r="BF311" s="127"/>
      <c r="BG311" s="127"/>
      <c r="BH311" s="127"/>
      <c r="BI311" s="127"/>
      <c r="BJ311" s="127"/>
      <c r="BK311" s="127"/>
      <c r="BL311" s="127"/>
      <c r="BM311" s="127"/>
      <c r="BN311" s="127"/>
      <c r="BO311" s="127"/>
      <c r="BP311" s="127"/>
      <c r="BQ311" s="127"/>
      <c r="BR311" s="127"/>
      <c r="BS311" s="127"/>
      <c r="BT311" s="127"/>
      <c r="BU311" s="127"/>
      <c r="BV311" s="127"/>
      <c r="BW311" s="127"/>
    </row>
    <row r="312" spans="1:75" ht="22.5" hidden="1" x14ac:dyDescent="0.2">
      <c r="A312" s="123" t="str">
        <f>'[2]2021 УГРЦТ'!A314</f>
        <v>Оборудование ТП-19 ул  Южная, кот 2</v>
      </c>
      <c r="B312" s="124" t="str">
        <f>'[2]2021 УГРЦТ'!B314</f>
        <v>00000575</v>
      </c>
      <c r="C312" s="124" t="str">
        <f>VLOOKUP(A:A,'2023-2027'!A:L,1,+FALSE)</f>
        <v>Оборудование ТП-19 ул  Южная, кот 2</v>
      </c>
      <c r="D312" s="124" t="str">
        <f>'[2]2021 УГРЦТ'!C314</f>
        <v>ПЕРЕДАЧА</v>
      </c>
      <c r="E312" s="124" t="str">
        <f>'[2]2021 УГРЦТ'!D314</f>
        <v>Машины и оборудование (кроме офисного)</v>
      </c>
      <c r="F312" s="124" t="str">
        <f>'[2]2021 УГРЦТ'!E314</f>
        <v>01.01.1968</v>
      </c>
      <c r="G312" s="124" t="str">
        <f>'[2]2021 УГРЦТ'!F314</f>
        <v>Цех электрических сетей</v>
      </c>
      <c r="H312" s="124">
        <f>'[2]2021 УГРЦТ'!AC314</f>
        <v>180</v>
      </c>
      <c r="I312" s="107">
        <f>'[2]2021 УГРЦТ'!X314</f>
        <v>595136.96</v>
      </c>
      <c r="J312" s="107">
        <f>'[2]2021 УГРЦТ'!Y314</f>
        <v>266235.99</v>
      </c>
      <c r="K312" s="107">
        <f>'[2]2021 УГРЦТ'!Z314</f>
        <v>328900.96999999997</v>
      </c>
      <c r="L312" s="125" t="e">
        <f>SUMIF([2]облаг!$B$2:$B$259,B312,[2]облаг!$D$2:$D$259)</f>
        <v>#VALUE!</v>
      </c>
      <c r="M312" s="107">
        <f t="shared" si="272"/>
        <v>3306.3164444444442</v>
      </c>
      <c r="N312" s="107">
        <f t="shared" si="273"/>
        <v>39675.797333333328</v>
      </c>
      <c r="O312" s="107">
        <f t="shared" si="274"/>
        <v>325594.6535555555</v>
      </c>
      <c r="P312" s="107">
        <f t="shared" si="275"/>
        <v>322288.33711111103</v>
      </c>
      <c r="Q312" s="107">
        <f t="shared" si="277"/>
        <v>318982.02066666656</v>
      </c>
      <c r="R312" s="107">
        <f t="shared" si="278"/>
        <v>315675.70422222209</v>
      </c>
      <c r="S312" s="107">
        <f t="shared" si="279"/>
        <v>312369.38777777762</v>
      </c>
      <c r="T312" s="107">
        <f t="shared" si="280"/>
        <v>309063.07133333315</v>
      </c>
      <c r="U312" s="107">
        <f t="shared" si="281"/>
        <v>305756.75488888868</v>
      </c>
      <c r="V312" s="107">
        <f t="shared" si="282"/>
        <v>302450.43844444421</v>
      </c>
      <c r="W312" s="107">
        <f t="shared" si="283"/>
        <v>299144.12199999974</v>
      </c>
      <c r="X312" s="107">
        <f t="shared" si="284"/>
        <v>295837.80555555527</v>
      </c>
      <c r="Y312" s="107">
        <f t="shared" si="285"/>
        <v>292531.4891111108</v>
      </c>
      <c r="Z312" s="107">
        <f t="shared" si="286"/>
        <v>289225.17266666633</v>
      </c>
      <c r="AA312" s="107"/>
      <c r="AB312" s="107"/>
      <c r="AC312" s="107">
        <f t="shared" si="298"/>
        <v>39675.797333333328</v>
      </c>
      <c r="AD312" s="107">
        <f t="shared" si="287"/>
        <v>285918.85622222186</v>
      </c>
      <c r="AE312" s="107">
        <f t="shared" si="288"/>
        <v>282612.53977777739</v>
      </c>
      <c r="AF312" s="107">
        <f t="shared" si="289"/>
        <v>279306.22333333292</v>
      </c>
      <c r="AG312" s="107">
        <f t="shared" si="290"/>
        <v>275999.90688888845</v>
      </c>
      <c r="AH312" s="107">
        <f t="shared" si="291"/>
        <v>272693.59044444398</v>
      </c>
      <c r="AI312" s="107">
        <f t="shared" si="292"/>
        <v>269387.27399999951</v>
      </c>
      <c r="AJ312" s="107">
        <f t="shared" si="293"/>
        <v>266080.95755555504</v>
      </c>
      <c r="AK312" s="107">
        <f t="shared" si="294"/>
        <v>262774.64111111057</v>
      </c>
      <c r="AL312" s="107">
        <f t="shared" si="295"/>
        <v>259468.32466666613</v>
      </c>
      <c r="AM312" s="107">
        <f t="shared" si="296"/>
        <v>256162.00822222169</v>
      </c>
      <c r="AN312" s="107">
        <f t="shared" si="297"/>
        <v>252855.69177777725</v>
      </c>
      <c r="AO312" s="107">
        <f t="shared" si="299"/>
        <v>249549.37533333281</v>
      </c>
      <c r="AP312" s="107"/>
      <c r="AQ312" s="126"/>
      <c r="AR312" s="107">
        <f t="shared" si="300"/>
        <v>39675.797333333328</v>
      </c>
      <c r="AS312" s="107">
        <f t="shared" si="304"/>
        <v>246243.05888888836</v>
      </c>
      <c r="AT312" s="107">
        <f t="shared" si="305"/>
        <v>242936.74244444392</v>
      </c>
      <c r="AU312" s="107">
        <f t="shared" si="306"/>
        <v>239630.42599999948</v>
      </c>
      <c r="AV312" s="107">
        <f t="shared" si="307"/>
        <v>236324.10955555504</v>
      </c>
      <c r="AW312" s="107">
        <f t="shared" si="308"/>
        <v>233017.7931111106</v>
      </c>
      <c r="AX312" s="107">
        <f t="shared" si="309"/>
        <v>229711.47666666616</v>
      </c>
      <c r="AY312" s="107">
        <f t="shared" si="310"/>
        <v>226405.16022222172</v>
      </c>
      <c r="AZ312" s="107">
        <f t="shared" si="311"/>
        <v>223098.84377777728</v>
      </c>
      <c r="BA312" s="107">
        <f t="shared" si="312"/>
        <v>219792.52733333284</v>
      </c>
      <c r="BB312" s="107">
        <f t="shared" si="313"/>
        <v>216486.2108888884</v>
      </c>
      <c r="BC312" s="107">
        <f t="shared" si="314"/>
        <v>213179.89444444395</v>
      </c>
      <c r="BD312" s="107">
        <f t="shared" si="315"/>
        <v>209873.57799999951</v>
      </c>
      <c r="BE312" s="107"/>
      <c r="BF312" s="127"/>
      <c r="BG312" s="127"/>
      <c r="BH312" s="127"/>
      <c r="BI312" s="127"/>
      <c r="BJ312" s="127"/>
      <c r="BK312" s="127"/>
      <c r="BL312" s="127"/>
      <c r="BM312" s="127"/>
      <c r="BN312" s="127"/>
      <c r="BO312" s="127"/>
      <c r="BP312" s="127"/>
      <c r="BQ312" s="127"/>
      <c r="BR312" s="127"/>
      <c r="BS312" s="127"/>
      <c r="BT312" s="127"/>
      <c r="BU312" s="127"/>
      <c r="BV312" s="127"/>
      <c r="BW312" s="127"/>
    </row>
    <row r="313" spans="1:75" ht="22.5" hidden="1" x14ac:dyDescent="0.2">
      <c r="A313" s="123" t="str">
        <f>'[2]2021 УГРЦТ'!A315</f>
        <v>Оборудование ТП-20 пер Рыбацкий</v>
      </c>
      <c r="B313" s="124" t="str">
        <f>'[2]2021 УГРЦТ'!B315</f>
        <v>00000526</v>
      </c>
      <c r="C313" s="124" t="str">
        <f>VLOOKUP(A:A,'2023-2027'!A:L,1,+FALSE)</f>
        <v>Оборудование ТП-20 пер Рыбацкий</v>
      </c>
      <c r="D313" s="124" t="str">
        <f>'[2]2021 УГРЦТ'!C315</f>
        <v>ПЕРЕДАЧА</v>
      </c>
      <c r="E313" s="124" t="str">
        <f>'[2]2021 УГРЦТ'!D315</f>
        <v>Машины и оборудование (кроме офисного)</v>
      </c>
      <c r="F313" s="124" t="str">
        <f>'[2]2021 УГРЦТ'!E315</f>
        <v>01.01.1970</v>
      </c>
      <c r="G313" s="124" t="str">
        <f>'[2]2021 УГРЦТ'!F315</f>
        <v>Цех электрических сетей</v>
      </c>
      <c r="H313" s="124">
        <f>'[2]2021 УГРЦТ'!AC315</f>
        <v>180</v>
      </c>
      <c r="I313" s="107">
        <f>'[2]2021 УГРЦТ'!X315</f>
        <v>433565.58</v>
      </c>
      <c r="J313" s="107">
        <f>'[2]2021 УГРЦТ'!Y315</f>
        <v>177755.75</v>
      </c>
      <c r="K313" s="107">
        <f>'[2]2021 УГРЦТ'!Z315</f>
        <v>255809.83000000002</v>
      </c>
      <c r="L313" s="125" t="e">
        <f>SUMIF([2]облаг!$B$2:$B$259,B313,[2]облаг!$D$2:$D$259)</f>
        <v>#VALUE!</v>
      </c>
      <c r="M313" s="107">
        <f t="shared" si="272"/>
        <v>2408.6976666666669</v>
      </c>
      <c r="N313" s="107">
        <f t="shared" si="273"/>
        <v>28904.372000000003</v>
      </c>
      <c r="O313" s="107">
        <f t="shared" si="274"/>
        <v>253401.13233333334</v>
      </c>
      <c r="P313" s="107">
        <f t="shared" si="275"/>
        <v>250992.43466666667</v>
      </c>
      <c r="Q313" s="107">
        <f t="shared" si="277"/>
        <v>248583.73699999999</v>
      </c>
      <c r="R313" s="107">
        <f t="shared" si="278"/>
        <v>246175.03933333332</v>
      </c>
      <c r="S313" s="107">
        <f t="shared" si="279"/>
        <v>243766.34166666665</v>
      </c>
      <c r="T313" s="107">
        <f t="shared" si="280"/>
        <v>241357.64399999997</v>
      </c>
      <c r="U313" s="107">
        <f t="shared" si="281"/>
        <v>238948.9463333333</v>
      </c>
      <c r="V313" s="107">
        <f t="shared" si="282"/>
        <v>236540.24866666662</v>
      </c>
      <c r="W313" s="107">
        <f t="shared" si="283"/>
        <v>234131.55099999995</v>
      </c>
      <c r="X313" s="107">
        <f t="shared" si="284"/>
        <v>231722.85333333327</v>
      </c>
      <c r="Y313" s="107">
        <f t="shared" si="285"/>
        <v>229314.1556666666</v>
      </c>
      <c r="Z313" s="107">
        <f t="shared" si="286"/>
        <v>226905.45799999993</v>
      </c>
      <c r="AA313" s="107"/>
      <c r="AB313" s="107"/>
      <c r="AC313" s="107">
        <f t="shared" si="298"/>
        <v>28904.372000000003</v>
      </c>
      <c r="AD313" s="107">
        <f t="shared" si="287"/>
        <v>224496.76033333325</v>
      </c>
      <c r="AE313" s="107">
        <f t="shared" si="288"/>
        <v>222088.06266666658</v>
      </c>
      <c r="AF313" s="107">
        <f t="shared" si="289"/>
        <v>219679.3649999999</v>
      </c>
      <c r="AG313" s="107">
        <f t="shared" si="290"/>
        <v>217270.66733333323</v>
      </c>
      <c r="AH313" s="107">
        <f t="shared" si="291"/>
        <v>214861.96966666655</v>
      </c>
      <c r="AI313" s="107">
        <f t="shared" si="292"/>
        <v>212453.27199999988</v>
      </c>
      <c r="AJ313" s="107">
        <f t="shared" si="293"/>
        <v>210044.57433333321</v>
      </c>
      <c r="AK313" s="107">
        <f t="shared" si="294"/>
        <v>207635.87666666653</v>
      </c>
      <c r="AL313" s="107">
        <f t="shared" si="295"/>
        <v>205227.17899999986</v>
      </c>
      <c r="AM313" s="107">
        <f t="shared" si="296"/>
        <v>202818.48133333318</v>
      </c>
      <c r="AN313" s="107">
        <f t="shared" si="297"/>
        <v>200409.78366666651</v>
      </c>
      <c r="AO313" s="107">
        <f t="shared" si="299"/>
        <v>198001.08599999984</v>
      </c>
      <c r="AP313" s="107"/>
      <c r="AQ313" s="126"/>
      <c r="AR313" s="107">
        <f t="shared" si="300"/>
        <v>28904.372000000003</v>
      </c>
      <c r="AS313" s="107">
        <f t="shared" si="304"/>
        <v>195592.38833333316</v>
      </c>
      <c r="AT313" s="107">
        <f t="shared" si="305"/>
        <v>193183.69066666649</v>
      </c>
      <c r="AU313" s="107">
        <f t="shared" si="306"/>
        <v>190774.99299999981</v>
      </c>
      <c r="AV313" s="107">
        <f t="shared" si="307"/>
        <v>188366.29533333314</v>
      </c>
      <c r="AW313" s="107">
        <f t="shared" si="308"/>
        <v>185957.59766666646</v>
      </c>
      <c r="AX313" s="107">
        <f t="shared" si="309"/>
        <v>183548.89999999979</v>
      </c>
      <c r="AY313" s="107">
        <f t="shared" si="310"/>
        <v>181140.20233333312</v>
      </c>
      <c r="AZ313" s="107">
        <f t="shared" si="311"/>
        <v>178731.50466666644</v>
      </c>
      <c r="BA313" s="107">
        <f t="shared" si="312"/>
        <v>176322.80699999977</v>
      </c>
      <c r="BB313" s="107">
        <f t="shared" si="313"/>
        <v>173914.10933333309</v>
      </c>
      <c r="BC313" s="107">
        <f t="shared" si="314"/>
        <v>171505.41166666642</v>
      </c>
      <c r="BD313" s="107">
        <f t="shared" si="315"/>
        <v>169096.71399999975</v>
      </c>
      <c r="BE313" s="107"/>
      <c r="BF313" s="127"/>
      <c r="BG313" s="127"/>
      <c r="BH313" s="127"/>
      <c r="BI313" s="127"/>
      <c r="BJ313" s="127"/>
      <c r="BK313" s="127"/>
      <c r="BL313" s="127"/>
      <c r="BM313" s="127"/>
      <c r="BN313" s="127"/>
      <c r="BO313" s="127"/>
      <c r="BP313" s="127"/>
      <c r="BQ313" s="127"/>
      <c r="BR313" s="127"/>
      <c r="BS313" s="127"/>
      <c r="BT313" s="127"/>
      <c r="BU313" s="127"/>
      <c r="BV313" s="127"/>
      <c r="BW313" s="127"/>
    </row>
    <row r="314" spans="1:75" ht="22.5" hidden="1" x14ac:dyDescent="0.2">
      <c r="A314" s="123" t="str">
        <f>'[2]2021 УГРЦТ'!A316</f>
        <v>Оборудование ТП-21 ул Хатанзейского</v>
      </c>
      <c r="B314" s="124" t="str">
        <f>'[2]2021 УГРЦТ'!B316</f>
        <v>00000586</v>
      </c>
      <c r="C314" s="124" t="str">
        <f>VLOOKUP(A:A,'2023-2027'!A:L,1,+FALSE)</f>
        <v>Оборудование ТП-21 ул Хатанзейского</v>
      </c>
      <c r="D314" s="124" t="str">
        <f>'[2]2021 УГРЦТ'!C316</f>
        <v>ПЕРЕДАЧА</v>
      </c>
      <c r="E314" s="124" t="str">
        <f>'[2]2021 УГРЦТ'!D316</f>
        <v>Машины и оборудование (кроме офисного)</v>
      </c>
      <c r="F314" s="124" t="str">
        <f>'[2]2021 УГРЦТ'!E316</f>
        <v>01.01.1967</v>
      </c>
      <c r="G314" s="124" t="str">
        <f>'[2]2021 УГРЦТ'!F316</f>
        <v>Цех электрических сетей</v>
      </c>
      <c r="H314" s="124">
        <f>'[2]2021 УГРЦТ'!AC316</f>
        <v>743</v>
      </c>
      <c r="I314" s="107">
        <f>'[2]2021 УГРЦТ'!X316</f>
        <v>2475139.4700000002</v>
      </c>
      <c r="J314" s="107">
        <f>'[2]2021 УГРЦТ'!Y316</f>
        <v>201707.87999999998</v>
      </c>
      <c r="K314" s="107">
        <f>'[2]2021 УГРЦТ'!Z316</f>
        <v>2273431.5900000003</v>
      </c>
      <c r="L314" s="125" t="e">
        <f>SUMIF([2]облаг!$B$2:$B$259,B314,[2]облаг!$D$2:$D$259)</f>
        <v>#VALUE!</v>
      </c>
      <c r="M314" s="107">
        <f>I314/H314</f>
        <v>3331.2778869448184</v>
      </c>
      <c r="N314" s="107">
        <f t="shared" si="273"/>
        <v>39975.334643337817</v>
      </c>
      <c r="O314" s="107">
        <f t="shared" si="274"/>
        <v>2270100.3121130555</v>
      </c>
      <c r="P314" s="107">
        <f t="shared" si="275"/>
        <v>2266769.0342261107</v>
      </c>
      <c r="Q314" s="107">
        <f t="shared" si="277"/>
        <v>2263437.7563391658</v>
      </c>
      <c r="R314" s="107">
        <f t="shared" si="278"/>
        <v>2260106.478452221</v>
      </c>
      <c r="S314" s="107">
        <f t="shared" si="279"/>
        <v>2256775.2005652762</v>
      </c>
      <c r="T314" s="107">
        <f t="shared" si="280"/>
        <v>2253443.9226783314</v>
      </c>
      <c r="U314" s="107">
        <f t="shared" si="281"/>
        <v>2250112.6447913866</v>
      </c>
      <c r="V314" s="107">
        <f t="shared" si="282"/>
        <v>2246781.3669044417</v>
      </c>
      <c r="W314" s="107">
        <f t="shared" si="283"/>
        <v>2243450.0890174969</v>
      </c>
      <c r="X314" s="107">
        <f t="shared" si="284"/>
        <v>2240118.8111305521</v>
      </c>
      <c r="Y314" s="107">
        <f t="shared" si="285"/>
        <v>2236787.5332436073</v>
      </c>
      <c r="Z314" s="107">
        <f t="shared" si="286"/>
        <v>2233456.2553566624</v>
      </c>
      <c r="AA314" s="107"/>
      <c r="AB314" s="107"/>
      <c r="AC314" s="107">
        <f t="shared" si="298"/>
        <v>39975.334643337817</v>
      </c>
      <c r="AD314" s="107">
        <f t="shared" si="287"/>
        <v>2230124.9774697176</v>
      </c>
      <c r="AE314" s="107">
        <f t="shared" si="288"/>
        <v>2226793.6995827728</v>
      </c>
      <c r="AF314" s="107">
        <f t="shared" si="289"/>
        <v>2223462.421695828</v>
      </c>
      <c r="AG314" s="107">
        <f t="shared" si="290"/>
        <v>2220131.1438088831</v>
      </c>
      <c r="AH314" s="107">
        <f t="shared" si="291"/>
        <v>2216799.8659219383</v>
      </c>
      <c r="AI314" s="107">
        <f t="shared" si="292"/>
        <v>2213468.5880349935</v>
      </c>
      <c r="AJ314" s="107">
        <f t="shared" si="293"/>
        <v>2210137.3101480487</v>
      </c>
      <c r="AK314" s="107">
        <f t="shared" si="294"/>
        <v>2206806.0322611039</v>
      </c>
      <c r="AL314" s="107">
        <f t="shared" si="295"/>
        <v>2203474.754374159</v>
      </c>
      <c r="AM314" s="107">
        <f t="shared" si="296"/>
        <v>2200143.4764872142</v>
      </c>
      <c r="AN314" s="107">
        <f t="shared" si="297"/>
        <v>2196812.1986002694</v>
      </c>
      <c r="AO314" s="107">
        <f t="shared" si="299"/>
        <v>2193480.9207133246</v>
      </c>
      <c r="AP314" s="107"/>
      <c r="AQ314" s="126"/>
      <c r="AR314" s="107">
        <f t="shared" si="300"/>
        <v>39975.334643337817</v>
      </c>
      <c r="AS314" s="107">
        <f t="shared" si="304"/>
        <v>2190149.6428263797</v>
      </c>
      <c r="AT314" s="107">
        <f t="shared" si="305"/>
        <v>2186818.3649394349</v>
      </c>
      <c r="AU314" s="107">
        <f t="shared" si="306"/>
        <v>2183487.0870524901</v>
      </c>
      <c r="AV314" s="107">
        <f t="shared" si="307"/>
        <v>2180155.8091655453</v>
      </c>
      <c r="AW314" s="107">
        <f t="shared" si="308"/>
        <v>2176824.5312786005</v>
      </c>
      <c r="AX314" s="107">
        <f t="shared" si="309"/>
        <v>2173493.2533916556</v>
      </c>
      <c r="AY314" s="107">
        <f t="shared" si="310"/>
        <v>2170161.9755047108</v>
      </c>
      <c r="AZ314" s="107">
        <f t="shared" si="311"/>
        <v>2166830.697617766</v>
      </c>
      <c r="BA314" s="107">
        <f t="shared" si="312"/>
        <v>2163499.4197308212</v>
      </c>
      <c r="BB314" s="107">
        <f t="shared" si="313"/>
        <v>2160168.1418438763</v>
      </c>
      <c r="BC314" s="107">
        <f t="shared" si="314"/>
        <v>2156836.8639569315</v>
      </c>
      <c r="BD314" s="107">
        <f t="shared" si="315"/>
        <v>2153505.5860699867</v>
      </c>
      <c r="BE314" s="107"/>
      <c r="BF314" s="127"/>
      <c r="BG314" s="127"/>
      <c r="BH314" s="127"/>
      <c r="BI314" s="127"/>
      <c r="BJ314" s="127"/>
      <c r="BK314" s="127"/>
      <c r="BL314" s="127"/>
      <c r="BM314" s="127"/>
      <c r="BN314" s="127"/>
      <c r="BO314" s="127"/>
      <c r="BP314" s="127"/>
      <c r="BQ314" s="127"/>
      <c r="BR314" s="127"/>
      <c r="BS314" s="127"/>
      <c r="BT314" s="127"/>
      <c r="BU314" s="127"/>
      <c r="BV314" s="127"/>
      <c r="BW314" s="127"/>
    </row>
    <row r="315" spans="1:75" ht="22.5" hidden="1" x14ac:dyDescent="0.2">
      <c r="A315" s="123" t="str">
        <f>'[2]2021 УГРЦТ'!A317</f>
        <v>Оборудование ТП-27 канал ст шк 1 1982г.</v>
      </c>
      <c r="B315" s="124" t="str">
        <f>'[2]2021 УГРЦТ'!B317</f>
        <v>00000212</v>
      </c>
      <c r="C315" s="124" t="str">
        <f>VLOOKUP(A:A,'2023-2027'!A:L,1,+FALSE)</f>
        <v>Оборудование ТП-27 канал ст шк 1 1982г.</v>
      </c>
      <c r="D315" s="124" t="str">
        <f>'[2]2021 УГРЦТ'!C317</f>
        <v>ПЕРЕДАЧА</v>
      </c>
      <c r="E315" s="124" t="str">
        <f>'[2]2021 УГРЦТ'!D317</f>
        <v>Машины и оборудование (кроме офисного)</v>
      </c>
      <c r="F315" s="124" t="str">
        <f>'[2]2021 УГРЦТ'!E317</f>
        <v>01.01.1982</v>
      </c>
      <c r="G315" s="124" t="str">
        <f>'[2]2021 УГРЦТ'!F317</f>
        <v>Цех электрических сетей</v>
      </c>
      <c r="H315" s="124">
        <f>'[2]2021 УГРЦТ'!AC317</f>
        <v>360</v>
      </c>
      <c r="I315" s="107">
        <f>'[2]2021 УГРЦТ'!X317</f>
        <v>1220989.8899999999</v>
      </c>
      <c r="J315" s="107">
        <f>'[2]2021 УГРЦТ'!Y317</f>
        <v>190847.29</v>
      </c>
      <c r="K315" s="107">
        <f>'[2]2021 УГРЦТ'!Z317</f>
        <v>1030142.5999999999</v>
      </c>
      <c r="L315" s="125" t="e">
        <f>SUMIF([2]облаг!$B$2:$B$259,B315,[2]облаг!$D$2:$D$259)</f>
        <v>#VALUE!</v>
      </c>
      <c r="M315" s="107">
        <f t="shared" si="272"/>
        <v>3391.6385833333329</v>
      </c>
      <c r="N315" s="107">
        <f t="shared" si="273"/>
        <v>40699.662999999993</v>
      </c>
      <c r="O315" s="107">
        <f t="shared" si="274"/>
        <v>1026750.9614166665</v>
      </c>
      <c r="P315" s="107">
        <f t="shared" si="275"/>
        <v>1023359.3228333332</v>
      </c>
      <c r="Q315" s="107">
        <f t="shared" si="277"/>
        <v>1019967.6842499998</v>
      </c>
      <c r="R315" s="107">
        <f t="shared" si="278"/>
        <v>1016576.0456666665</v>
      </c>
      <c r="S315" s="107">
        <f t="shared" si="279"/>
        <v>1013184.4070833331</v>
      </c>
      <c r="T315" s="107">
        <f t="shared" si="280"/>
        <v>1009792.7684999998</v>
      </c>
      <c r="U315" s="107">
        <f t="shared" si="281"/>
        <v>1006401.1299166664</v>
      </c>
      <c r="V315" s="107">
        <f t="shared" si="282"/>
        <v>1003009.4913333331</v>
      </c>
      <c r="W315" s="107">
        <f t="shared" si="283"/>
        <v>999617.85274999973</v>
      </c>
      <c r="X315" s="107">
        <f t="shared" si="284"/>
        <v>996226.21416666638</v>
      </c>
      <c r="Y315" s="107">
        <f t="shared" si="285"/>
        <v>992834.57558333303</v>
      </c>
      <c r="Z315" s="107">
        <f t="shared" si="286"/>
        <v>989442.93699999969</v>
      </c>
      <c r="AA315" s="107"/>
      <c r="AB315" s="107"/>
      <c r="AC315" s="107">
        <f t="shared" si="298"/>
        <v>40699.662999999993</v>
      </c>
      <c r="AD315" s="107">
        <f t="shared" si="287"/>
        <v>986051.29841666634</v>
      </c>
      <c r="AE315" s="107">
        <f t="shared" si="288"/>
        <v>982659.65983333299</v>
      </c>
      <c r="AF315" s="107">
        <f t="shared" si="289"/>
        <v>979268.02124999964</v>
      </c>
      <c r="AG315" s="107">
        <f t="shared" si="290"/>
        <v>975876.38266666629</v>
      </c>
      <c r="AH315" s="107">
        <f t="shared" si="291"/>
        <v>972484.74408333295</v>
      </c>
      <c r="AI315" s="107">
        <f t="shared" si="292"/>
        <v>969093.1054999996</v>
      </c>
      <c r="AJ315" s="107">
        <f t="shared" si="293"/>
        <v>965701.46691666625</v>
      </c>
      <c r="AK315" s="107">
        <f t="shared" si="294"/>
        <v>962309.8283333329</v>
      </c>
      <c r="AL315" s="107">
        <f t="shared" si="295"/>
        <v>958918.18974999955</v>
      </c>
      <c r="AM315" s="107">
        <f t="shared" si="296"/>
        <v>955526.55116666621</v>
      </c>
      <c r="AN315" s="107">
        <f t="shared" si="297"/>
        <v>952134.91258333286</v>
      </c>
      <c r="AO315" s="107">
        <f t="shared" si="299"/>
        <v>948743.27399999951</v>
      </c>
      <c r="AP315" s="107"/>
      <c r="AQ315" s="126"/>
      <c r="AR315" s="107">
        <f t="shared" si="300"/>
        <v>40699.662999999993</v>
      </c>
      <c r="AS315" s="107">
        <f t="shared" si="304"/>
        <v>945351.63541666616</v>
      </c>
      <c r="AT315" s="107">
        <f t="shared" si="305"/>
        <v>941959.99683333281</v>
      </c>
      <c r="AU315" s="107">
        <f t="shared" si="306"/>
        <v>938568.35824999947</v>
      </c>
      <c r="AV315" s="107">
        <f t="shared" si="307"/>
        <v>935176.71966666612</v>
      </c>
      <c r="AW315" s="107">
        <f t="shared" si="308"/>
        <v>931785.08108333277</v>
      </c>
      <c r="AX315" s="107">
        <f t="shared" si="309"/>
        <v>928393.44249999942</v>
      </c>
      <c r="AY315" s="107">
        <f t="shared" si="310"/>
        <v>925001.80391666607</v>
      </c>
      <c r="AZ315" s="107">
        <f t="shared" si="311"/>
        <v>921610.16533333273</v>
      </c>
      <c r="BA315" s="107">
        <f t="shared" si="312"/>
        <v>918218.52674999938</v>
      </c>
      <c r="BB315" s="107">
        <f t="shared" si="313"/>
        <v>914826.88816666603</v>
      </c>
      <c r="BC315" s="107">
        <f t="shared" si="314"/>
        <v>911435.24958333268</v>
      </c>
      <c r="BD315" s="107">
        <f t="shared" si="315"/>
        <v>908043.61099999934</v>
      </c>
      <c r="BE315" s="107"/>
      <c r="BF315" s="127"/>
      <c r="BG315" s="127"/>
      <c r="BH315" s="127"/>
      <c r="BI315" s="127"/>
      <c r="BJ315" s="127"/>
      <c r="BK315" s="127"/>
      <c r="BL315" s="127"/>
      <c r="BM315" s="127"/>
      <c r="BN315" s="127"/>
      <c r="BO315" s="127"/>
      <c r="BP315" s="127"/>
      <c r="BQ315" s="127"/>
      <c r="BR315" s="127"/>
      <c r="BS315" s="127"/>
      <c r="BT315" s="127"/>
      <c r="BU315" s="127"/>
      <c r="BV315" s="127"/>
      <c r="BW315" s="127"/>
    </row>
    <row r="316" spans="1:75" ht="22.5" hidden="1" x14ac:dyDescent="0.2">
      <c r="A316" s="123" t="str">
        <f>'[2]2021 УГРЦТ'!A318</f>
        <v>Оборудование ТП-3 "Больница" ул.Ленина 2013г</v>
      </c>
      <c r="B316" s="124" t="str">
        <f>'[2]2021 УГРЦТ'!B318</f>
        <v>000001571</v>
      </c>
      <c r="C316" s="124" t="str">
        <f>VLOOKUP(A:A,'2023-2027'!A:L,1,+FALSE)</f>
        <v>Оборудование ТП-3 "Больница" ул.Ленина 2013г</v>
      </c>
      <c r="D316" s="124" t="str">
        <f>'[2]2021 УГРЦТ'!C318</f>
        <v>ПЕРЕДАЧА</v>
      </c>
      <c r="E316" s="124" t="str">
        <f>'[2]2021 УГРЦТ'!D318</f>
        <v>Машины и оборудование (кроме офисного)</v>
      </c>
      <c r="F316" s="124" t="str">
        <f>'[2]2021 УГРЦТ'!E318</f>
        <v>31.12.2013</v>
      </c>
      <c r="G316" s="124" t="str">
        <f>'[2]2021 УГРЦТ'!F318</f>
        <v>Цех электрических сетей</v>
      </c>
      <c r="H316" s="124">
        <f>'[2]2021 УГРЦТ'!AC318</f>
        <v>180</v>
      </c>
      <c r="I316" s="107">
        <f>'[2]2021 УГРЦТ'!X318</f>
        <v>9285466.1799999997</v>
      </c>
      <c r="J316" s="107">
        <f>'[2]2021 УГРЦТ'!Y318</f>
        <v>4952248.3586666668</v>
      </c>
      <c r="K316" s="107">
        <f>'[2]2021 УГРЦТ'!Z318</f>
        <v>4333217.8213333329</v>
      </c>
      <c r="L316" s="125" t="e">
        <f>SUMIF([2]облаг!$B$2:$B$259,B316,[2]облаг!$D$2:$D$259)</f>
        <v>#VALUE!</v>
      </c>
      <c r="M316" s="107">
        <f t="shared" si="272"/>
        <v>51585.92322222222</v>
      </c>
      <c r="N316" s="107">
        <f t="shared" si="273"/>
        <v>619031.07866666664</v>
      </c>
      <c r="O316" s="107">
        <f t="shared" si="274"/>
        <v>4281631.8981111106</v>
      </c>
      <c r="P316" s="107">
        <f t="shared" si="275"/>
        <v>4230045.9748888882</v>
      </c>
      <c r="Q316" s="107">
        <f t="shared" si="277"/>
        <v>4178460.0516666658</v>
      </c>
      <c r="R316" s="107">
        <f t="shared" si="278"/>
        <v>4126874.1284444435</v>
      </c>
      <c r="S316" s="107">
        <f t="shared" si="279"/>
        <v>4075288.2052222211</v>
      </c>
      <c r="T316" s="107">
        <f t="shared" si="280"/>
        <v>4023702.2819999987</v>
      </c>
      <c r="U316" s="107">
        <f t="shared" si="281"/>
        <v>3972116.3587777764</v>
      </c>
      <c r="V316" s="107">
        <f t="shared" si="282"/>
        <v>3920530.435555554</v>
      </c>
      <c r="W316" s="107">
        <f t="shared" si="283"/>
        <v>3868944.5123333316</v>
      </c>
      <c r="X316" s="107">
        <f t="shared" si="284"/>
        <v>3817358.5891111093</v>
      </c>
      <c r="Y316" s="107">
        <f t="shared" si="285"/>
        <v>3765772.6658888869</v>
      </c>
      <c r="Z316" s="107">
        <f t="shared" si="286"/>
        <v>3714186.7426666645</v>
      </c>
      <c r="AA316" s="107"/>
      <c r="AB316" s="107"/>
      <c r="AC316" s="107">
        <f t="shared" si="298"/>
        <v>619031.07866666664</v>
      </c>
      <c r="AD316" s="107">
        <f t="shared" si="287"/>
        <v>3662600.8194444422</v>
      </c>
      <c r="AE316" s="107">
        <f t="shared" si="288"/>
        <v>3611014.8962222198</v>
      </c>
      <c r="AF316" s="107">
        <f t="shared" si="289"/>
        <v>3559428.9729999974</v>
      </c>
      <c r="AG316" s="107">
        <f t="shared" si="290"/>
        <v>3507843.0497777751</v>
      </c>
      <c r="AH316" s="107">
        <f t="shared" si="291"/>
        <v>3456257.1265555527</v>
      </c>
      <c r="AI316" s="107">
        <f t="shared" si="292"/>
        <v>3404671.2033333303</v>
      </c>
      <c r="AJ316" s="107">
        <f t="shared" si="293"/>
        <v>3353085.280111108</v>
      </c>
      <c r="AK316" s="107">
        <f t="shared" si="294"/>
        <v>3301499.3568888856</v>
      </c>
      <c r="AL316" s="107">
        <f t="shared" si="295"/>
        <v>3249913.4336666632</v>
      </c>
      <c r="AM316" s="107">
        <f t="shared" si="296"/>
        <v>3198327.5104444409</v>
      </c>
      <c r="AN316" s="107">
        <f t="shared" si="297"/>
        <v>3146741.5872222185</v>
      </c>
      <c r="AO316" s="107">
        <f t="shared" si="299"/>
        <v>3095155.6639999961</v>
      </c>
      <c r="AP316" s="107"/>
      <c r="AQ316" s="126"/>
      <c r="AR316" s="107">
        <f t="shared" si="300"/>
        <v>619031.07866666664</v>
      </c>
      <c r="AS316" s="107">
        <f t="shared" si="304"/>
        <v>3043569.7407777738</v>
      </c>
      <c r="AT316" s="107">
        <f t="shared" si="305"/>
        <v>2991983.8175555514</v>
      </c>
      <c r="AU316" s="107">
        <f t="shared" si="306"/>
        <v>2940397.8943333291</v>
      </c>
      <c r="AV316" s="107">
        <f t="shared" si="307"/>
        <v>2888811.9711111067</v>
      </c>
      <c r="AW316" s="107">
        <f t="shared" si="308"/>
        <v>2837226.0478888843</v>
      </c>
      <c r="AX316" s="107">
        <f t="shared" si="309"/>
        <v>2785640.124666662</v>
      </c>
      <c r="AY316" s="107">
        <f t="shared" si="310"/>
        <v>2734054.2014444396</v>
      </c>
      <c r="AZ316" s="107">
        <f t="shared" si="311"/>
        <v>2682468.2782222172</v>
      </c>
      <c r="BA316" s="107">
        <f t="shared" si="312"/>
        <v>2630882.3549999949</v>
      </c>
      <c r="BB316" s="107">
        <f t="shared" si="313"/>
        <v>2579296.4317777725</v>
      </c>
      <c r="BC316" s="107">
        <f t="shared" si="314"/>
        <v>2527710.5085555501</v>
      </c>
      <c r="BD316" s="107">
        <f t="shared" si="315"/>
        <v>2476124.5853333278</v>
      </c>
      <c r="BE316" s="107"/>
      <c r="BF316" s="127"/>
      <c r="BG316" s="127"/>
      <c r="BH316" s="127"/>
      <c r="BI316" s="127"/>
      <c r="BJ316" s="127"/>
      <c r="BK316" s="127"/>
      <c r="BL316" s="127"/>
      <c r="BM316" s="127"/>
      <c r="BN316" s="127"/>
      <c r="BO316" s="127"/>
      <c r="BP316" s="127"/>
      <c r="BQ316" s="127"/>
      <c r="BR316" s="127"/>
      <c r="BS316" s="127"/>
      <c r="BT316" s="127"/>
      <c r="BU316" s="127"/>
      <c r="BV316" s="127"/>
      <c r="BW316" s="127"/>
    </row>
    <row r="317" spans="1:75" ht="22.5" hidden="1" x14ac:dyDescent="0.2">
      <c r="A317" s="123" t="str">
        <f>'[2]2021 УГРЦТ'!A319</f>
        <v>Оборудование ТП-32 ул.Ленина, 41  2013г</v>
      </c>
      <c r="B317" s="124" t="str">
        <f>'[2]2021 УГРЦТ'!B319</f>
        <v>000001572</v>
      </c>
      <c r="C317" s="124" t="str">
        <f>VLOOKUP(A:A,'2023-2027'!A:L,1,+FALSE)</f>
        <v>Оборудование ТП-32 ул.Ленина, 41  2013г</v>
      </c>
      <c r="D317" s="124" t="str">
        <f>'[2]2021 УГРЦТ'!C319</f>
        <v>ПЕРЕДАЧА</v>
      </c>
      <c r="E317" s="124" t="str">
        <f>'[2]2021 УГРЦТ'!D319</f>
        <v>Машины и оборудование (кроме офисного)</v>
      </c>
      <c r="F317" s="124" t="str">
        <f>'[2]2021 УГРЦТ'!E319</f>
        <v>31.12.2013</v>
      </c>
      <c r="G317" s="124" t="str">
        <f>'[2]2021 УГРЦТ'!F319</f>
        <v>Цех электрических сетей</v>
      </c>
      <c r="H317" s="124">
        <f>'[2]2021 УГРЦТ'!AC319</f>
        <v>180</v>
      </c>
      <c r="I317" s="107">
        <f>'[2]2021 УГРЦТ'!X319</f>
        <v>8382296.4100000001</v>
      </c>
      <c r="J317" s="107">
        <f>'[2]2021 УГРЦТ'!Y319</f>
        <v>4470558.0506666666</v>
      </c>
      <c r="K317" s="107">
        <f>'[2]2021 УГРЦТ'!Z319</f>
        <v>3911738.3593333336</v>
      </c>
      <c r="L317" s="125" t="e">
        <f>SUMIF([2]облаг!$B$2:$B$259,B317,[2]облаг!$D$2:$D$259)</f>
        <v>#VALUE!</v>
      </c>
      <c r="M317" s="107">
        <f t="shared" si="272"/>
        <v>46568.313388888891</v>
      </c>
      <c r="N317" s="107">
        <f t="shared" si="273"/>
        <v>558819.76066666667</v>
      </c>
      <c r="O317" s="107">
        <f t="shared" si="274"/>
        <v>3865170.0459444448</v>
      </c>
      <c r="P317" s="107">
        <f t="shared" si="275"/>
        <v>3818601.7325555561</v>
      </c>
      <c r="Q317" s="107">
        <f t="shared" si="277"/>
        <v>3772033.4191666674</v>
      </c>
      <c r="R317" s="107">
        <f t="shared" si="278"/>
        <v>3725465.1057777787</v>
      </c>
      <c r="S317" s="107">
        <f t="shared" si="279"/>
        <v>3678896.7923888899</v>
      </c>
      <c r="T317" s="107">
        <f t="shared" si="280"/>
        <v>3632328.4790000012</v>
      </c>
      <c r="U317" s="107">
        <f t="shared" si="281"/>
        <v>3585760.1656111125</v>
      </c>
      <c r="V317" s="107">
        <f t="shared" si="282"/>
        <v>3539191.8522222238</v>
      </c>
      <c r="W317" s="107">
        <f t="shared" si="283"/>
        <v>3492623.538833335</v>
      </c>
      <c r="X317" s="107">
        <f t="shared" si="284"/>
        <v>3446055.2254444463</v>
      </c>
      <c r="Y317" s="107">
        <f t="shared" si="285"/>
        <v>3399486.9120555576</v>
      </c>
      <c r="Z317" s="107">
        <f t="shared" si="286"/>
        <v>3352918.5986666689</v>
      </c>
      <c r="AA317" s="107"/>
      <c r="AB317" s="107"/>
      <c r="AC317" s="107">
        <f t="shared" si="298"/>
        <v>558819.76066666667</v>
      </c>
      <c r="AD317" s="107">
        <f t="shared" si="287"/>
        <v>3306350.2852777801</v>
      </c>
      <c r="AE317" s="107">
        <f t="shared" si="288"/>
        <v>3259781.9718888914</v>
      </c>
      <c r="AF317" s="107">
        <f t="shared" si="289"/>
        <v>3213213.6585000027</v>
      </c>
      <c r="AG317" s="107">
        <f t="shared" si="290"/>
        <v>3166645.345111114</v>
      </c>
      <c r="AH317" s="107">
        <f t="shared" si="291"/>
        <v>3120077.0317222252</v>
      </c>
      <c r="AI317" s="107">
        <f t="shared" si="292"/>
        <v>3073508.7183333365</v>
      </c>
      <c r="AJ317" s="107">
        <f t="shared" si="293"/>
        <v>3026940.4049444478</v>
      </c>
      <c r="AK317" s="107">
        <f t="shared" si="294"/>
        <v>2980372.0915555591</v>
      </c>
      <c r="AL317" s="107">
        <f t="shared" si="295"/>
        <v>2933803.7781666704</v>
      </c>
      <c r="AM317" s="107">
        <f t="shared" si="296"/>
        <v>2887235.4647777816</v>
      </c>
      <c r="AN317" s="107">
        <f t="shared" si="297"/>
        <v>2840667.1513888929</v>
      </c>
      <c r="AO317" s="107">
        <f t="shared" si="299"/>
        <v>2794098.8380000042</v>
      </c>
      <c r="AP317" s="107"/>
      <c r="AQ317" s="126"/>
      <c r="AR317" s="107">
        <f t="shared" si="300"/>
        <v>558819.76066666667</v>
      </c>
      <c r="AS317" s="107">
        <f t="shared" si="304"/>
        <v>2747530.5246111155</v>
      </c>
      <c r="AT317" s="107">
        <f t="shared" si="305"/>
        <v>2700962.2112222267</v>
      </c>
      <c r="AU317" s="107">
        <f t="shared" si="306"/>
        <v>2654393.897833338</v>
      </c>
      <c r="AV317" s="107">
        <f t="shared" si="307"/>
        <v>2607825.5844444493</v>
      </c>
      <c r="AW317" s="107">
        <f t="shared" si="308"/>
        <v>2561257.2710555606</v>
      </c>
      <c r="AX317" s="107">
        <f t="shared" si="309"/>
        <v>2514688.9576666718</v>
      </c>
      <c r="AY317" s="107">
        <f t="shared" si="310"/>
        <v>2468120.6442777831</v>
      </c>
      <c r="AZ317" s="107">
        <f t="shared" si="311"/>
        <v>2421552.3308888944</v>
      </c>
      <c r="BA317" s="107">
        <f t="shared" si="312"/>
        <v>2374984.0175000057</v>
      </c>
      <c r="BB317" s="107">
        <f t="shared" si="313"/>
        <v>2328415.7041111169</v>
      </c>
      <c r="BC317" s="107">
        <f t="shared" si="314"/>
        <v>2281847.3907222282</v>
      </c>
      <c r="BD317" s="107">
        <f t="shared" si="315"/>
        <v>2235279.0773333395</v>
      </c>
      <c r="BE317" s="107"/>
      <c r="BF317" s="127"/>
      <c r="BG317" s="127"/>
      <c r="BH317" s="127"/>
      <c r="BI317" s="127"/>
      <c r="BJ317" s="127"/>
      <c r="BK317" s="127"/>
      <c r="BL317" s="127"/>
      <c r="BM317" s="127"/>
      <c r="BN317" s="127"/>
      <c r="BO317" s="127"/>
      <c r="BP317" s="127"/>
      <c r="BQ317" s="127"/>
      <c r="BR317" s="127"/>
      <c r="BS317" s="127"/>
      <c r="BT317" s="127"/>
      <c r="BU317" s="127"/>
      <c r="BV317" s="127"/>
      <c r="BW317" s="127"/>
    </row>
    <row r="318" spans="1:75" ht="22.5" hidden="1" x14ac:dyDescent="0.2">
      <c r="A318" s="123" t="str">
        <f>'[2]2021 УГРЦТ'!A320</f>
        <v>Оборудование ТП-37 ул Ленина,27 2013г</v>
      </c>
      <c r="B318" s="124" t="str">
        <f>'[2]2021 УГРЦТ'!B320</f>
        <v>000001573</v>
      </c>
      <c r="C318" s="124" t="str">
        <f>VLOOKUP(A:A,'2023-2027'!A:L,1,+FALSE)</f>
        <v>Оборудование ТП-37 ул Ленина,27 2013г</v>
      </c>
      <c r="D318" s="124" t="str">
        <f>'[2]2021 УГРЦТ'!C320</f>
        <v>ПЕРЕДАЧА</v>
      </c>
      <c r="E318" s="124" t="str">
        <f>'[2]2021 УГРЦТ'!D320</f>
        <v>Машины и оборудование (кроме офисного)</v>
      </c>
      <c r="F318" s="124" t="str">
        <f>'[2]2021 УГРЦТ'!E320</f>
        <v>31.12.2013</v>
      </c>
      <c r="G318" s="124" t="str">
        <f>'[2]2021 УГРЦТ'!F320</f>
        <v>Цех электрических сетей</v>
      </c>
      <c r="H318" s="124">
        <f>'[2]2021 УГРЦТ'!AC320</f>
        <v>180</v>
      </c>
      <c r="I318" s="107">
        <f>'[2]2021 УГРЦТ'!X320</f>
        <v>8961223.3300000001</v>
      </c>
      <c r="J318" s="107">
        <f>'[2]2021 УГРЦТ'!Y320</f>
        <v>4779318.7686666669</v>
      </c>
      <c r="K318" s="107">
        <f>'[2]2021 УГРЦТ'!Z320</f>
        <v>4181904.5613333331</v>
      </c>
      <c r="L318" s="125" t="e">
        <f>SUMIF([2]облаг!$B$2:$B$259,B318,[2]облаг!$D$2:$D$259)</f>
        <v>#VALUE!</v>
      </c>
      <c r="M318" s="107">
        <f t="shared" si="272"/>
        <v>49784.574055555553</v>
      </c>
      <c r="N318" s="107">
        <f t="shared" si="273"/>
        <v>597414.88866666658</v>
      </c>
      <c r="O318" s="107">
        <f t="shared" si="274"/>
        <v>4132119.9872777774</v>
      </c>
      <c r="P318" s="107">
        <f t="shared" si="275"/>
        <v>4082335.4132222217</v>
      </c>
      <c r="Q318" s="107">
        <f t="shared" si="277"/>
        <v>4032550.8391666659</v>
      </c>
      <c r="R318" s="107">
        <f t="shared" si="278"/>
        <v>3982766.2651111102</v>
      </c>
      <c r="S318" s="107">
        <f t="shared" si="279"/>
        <v>3932981.6910555544</v>
      </c>
      <c r="T318" s="107">
        <f t="shared" si="280"/>
        <v>3883197.1169999987</v>
      </c>
      <c r="U318" s="107">
        <f t="shared" si="281"/>
        <v>3833412.5429444429</v>
      </c>
      <c r="V318" s="107">
        <f t="shared" si="282"/>
        <v>3783627.9688888872</v>
      </c>
      <c r="W318" s="107">
        <f t="shared" si="283"/>
        <v>3733843.3948333315</v>
      </c>
      <c r="X318" s="107">
        <f t="shared" si="284"/>
        <v>3684058.8207777757</v>
      </c>
      <c r="Y318" s="107">
        <f t="shared" si="285"/>
        <v>3634274.24672222</v>
      </c>
      <c r="Z318" s="107">
        <f t="shared" si="286"/>
        <v>3584489.6726666642</v>
      </c>
      <c r="AA318" s="107"/>
      <c r="AB318" s="107"/>
      <c r="AC318" s="107">
        <f t="shared" si="298"/>
        <v>597414.88866666658</v>
      </c>
      <c r="AD318" s="107">
        <f t="shared" si="287"/>
        <v>3534705.0986111085</v>
      </c>
      <c r="AE318" s="107">
        <f t="shared" si="288"/>
        <v>3484920.5245555528</v>
      </c>
      <c r="AF318" s="107">
        <f t="shared" si="289"/>
        <v>3435135.950499997</v>
      </c>
      <c r="AG318" s="107">
        <f t="shared" si="290"/>
        <v>3385351.3764444413</v>
      </c>
      <c r="AH318" s="107">
        <f t="shared" si="291"/>
        <v>3335566.8023888855</v>
      </c>
      <c r="AI318" s="107">
        <f t="shared" si="292"/>
        <v>3285782.2283333298</v>
      </c>
      <c r="AJ318" s="107">
        <f t="shared" si="293"/>
        <v>3235997.654277774</v>
      </c>
      <c r="AK318" s="107">
        <f t="shared" si="294"/>
        <v>3186213.0802222183</v>
      </c>
      <c r="AL318" s="107">
        <f t="shared" si="295"/>
        <v>3136428.5061666626</v>
      </c>
      <c r="AM318" s="107">
        <f t="shared" si="296"/>
        <v>3086643.9321111068</v>
      </c>
      <c r="AN318" s="107">
        <f t="shared" si="297"/>
        <v>3036859.3580555511</v>
      </c>
      <c r="AO318" s="107">
        <f t="shared" si="299"/>
        <v>2987074.7839999953</v>
      </c>
      <c r="AP318" s="107"/>
      <c r="AQ318" s="126"/>
      <c r="AR318" s="107">
        <f t="shared" si="300"/>
        <v>597414.88866666658</v>
      </c>
      <c r="AS318" s="107">
        <f t="shared" si="304"/>
        <v>2937290.2099444396</v>
      </c>
      <c r="AT318" s="107">
        <f t="shared" si="305"/>
        <v>2887505.6358888838</v>
      </c>
      <c r="AU318" s="107">
        <f t="shared" si="306"/>
        <v>2837721.0618333281</v>
      </c>
      <c r="AV318" s="107">
        <f t="shared" si="307"/>
        <v>2787936.4877777724</v>
      </c>
      <c r="AW318" s="107">
        <f t="shared" si="308"/>
        <v>2738151.9137222166</v>
      </c>
      <c r="AX318" s="107">
        <f t="shared" si="309"/>
        <v>2688367.3396666609</v>
      </c>
      <c r="AY318" s="107">
        <f t="shared" si="310"/>
        <v>2638582.7656111051</v>
      </c>
      <c r="AZ318" s="107">
        <f t="shared" si="311"/>
        <v>2588798.1915555494</v>
      </c>
      <c r="BA318" s="107">
        <f t="shared" si="312"/>
        <v>2539013.6174999936</v>
      </c>
      <c r="BB318" s="107">
        <f t="shared" si="313"/>
        <v>2489229.0434444379</v>
      </c>
      <c r="BC318" s="107">
        <f t="shared" si="314"/>
        <v>2439444.4693888822</v>
      </c>
      <c r="BD318" s="107">
        <f t="shared" si="315"/>
        <v>2389659.8953333264</v>
      </c>
      <c r="BE318" s="107"/>
      <c r="BF318" s="127"/>
      <c r="BG318" s="127"/>
      <c r="BH318" s="127"/>
      <c r="BI318" s="127"/>
      <c r="BJ318" s="127"/>
      <c r="BK318" s="127"/>
      <c r="BL318" s="127"/>
      <c r="BM318" s="127"/>
      <c r="BN318" s="127"/>
      <c r="BO318" s="127"/>
      <c r="BP318" s="127"/>
      <c r="BQ318" s="127"/>
      <c r="BR318" s="127"/>
      <c r="BS318" s="127"/>
      <c r="BT318" s="127"/>
      <c r="BU318" s="127"/>
      <c r="BV318" s="127"/>
      <c r="BW318" s="127"/>
    </row>
    <row r="319" spans="1:75" ht="22.5" hidden="1" x14ac:dyDescent="0.2">
      <c r="A319" s="123" t="str">
        <f>'[2]2021 УГРЦТ'!A321</f>
        <v>Оборудование ТП-43  Рабочая Водозабор 1996г.</v>
      </c>
      <c r="B319" s="124" t="str">
        <f>'[2]2021 УГРЦТ'!B321</f>
        <v>00000237</v>
      </c>
      <c r="C319" s="124" t="str">
        <f>VLOOKUP(A:A,'2023-2027'!A:L,1,+FALSE)</f>
        <v>Оборудование ТП-43  Рабочая Водозабор 1996г.</v>
      </c>
      <c r="D319" s="124" t="str">
        <f>'[2]2021 УГРЦТ'!C321</f>
        <v>ПЕРЕДАЧА</v>
      </c>
      <c r="E319" s="124" t="str">
        <f>'[2]2021 УГРЦТ'!D321</f>
        <v>Машины и оборудование (кроме офисного)</v>
      </c>
      <c r="F319" s="124" t="str">
        <f>'[2]2021 УГРЦТ'!E321</f>
        <v>01.02.1996</v>
      </c>
      <c r="G319" s="124" t="str">
        <f>'[2]2021 УГРЦТ'!F321</f>
        <v>Цех электрических сетей</v>
      </c>
      <c r="H319" s="124">
        <f>'[2]2021 УГРЦТ'!AC321</f>
        <v>276</v>
      </c>
      <c r="I319" s="107">
        <f>'[2]2021 УГРЦТ'!X321</f>
        <v>38224</v>
      </c>
      <c r="J319" s="107">
        <f>'[2]2021 УГРЦТ'!Y321</f>
        <v>35069.423043478266</v>
      </c>
      <c r="K319" s="107">
        <f>'[2]2021 УГРЦТ'!Z321</f>
        <v>3154.5769565217342</v>
      </c>
      <c r="L319" s="125" t="e">
        <f>SUMIF([2]облаг!$B$2:$B$259,B319,[2]облаг!$D$2:$D$259)</f>
        <v>#VALUE!</v>
      </c>
      <c r="M319" s="107">
        <f t="shared" si="272"/>
        <v>138.49275362318841</v>
      </c>
      <c r="N319" s="107">
        <f t="shared" si="273"/>
        <v>1661.913043478261</v>
      </c>
      <c r="O319" s="107">
        <f t="shared" si="274"/>
        <v>3016.0842028985458</v>
      </c>
      <c r="P319" s="107">
        <f t="shared" si="275"/>
        <v>2877.5914492753573</v>
      </c>
      <c r="Q319" s="107">
        <f t="shared" si="277"/>
        <v>2739.0986956521688</v>
      </c>
      <c r="R319" s="107">
        <f t="shared" si="278"/>
        <v>2600.6059420289803</v>
      </c>
      <c r="S319" s="107">
        <f t="shared" si="279"/>
        <v>2462.1131884057918</v>
      </c>
      <c r="T319" s="107">
        <f t="shared" si="280"/>
        <v>2323.6204347826033</v>
      </c>
      <c r="U319" s="107">
        <f t="shared" si="281"/>
        <v>2185.1276811594148</v>
      </c>
      <c r="V319" s="107">
        <f t="shared" si="282"/>
        <v>2046.6349275362263</v>
      </c>
      <c r="W319" s="107">
        <f t="shared" si="283"/>
        <v>1908.1421739130378</v>
      </c>
      <c r="X319" s="107">
        <f t="shared" si="284"/>
        <v>1769.6494202898493</v>
      </c>
      <c r="Y319" s="107">
        <f t="shared" si="285"/>
        <v>1631.1566666666608</v>
      </c>
      <c r="Z319" s="107">
        <f t="shared" si="286"/>
        <v>1492.6639130434723</v>
      </c>
      <c r="AA319" s="107"/>
      <c r="AB319" s="107"/>
      <c r="AC319" s="107">
        <f>AD319</f>
        <v>1354.1711594202839</v>
      </c>
      <c r="AD319" s="107">
        <f t="shared" si="287"/>
        <v>1354.1711594202839</v>
      </c>
      <c r="AE319" s="107">
        <f t="shared" si="288"/>
        <v>1215.6784057970954</v>
      </c>
      <c r="AF319" s="107">
        <f t="shared" si="289"/>
        <v>1077.1856521739069</v>
      </c>
      <c r="AG319" s="107">
        <f t="shared" si="290"/>
        <v>938.6928985507185</v>
      </c>
      <c r="AH319" s="107">
        <f t="shared" si="291"/>
        <v>800.20014492753012</v>
      </c>
      <c r="AI319" s="107">
        <f t="shared" si="292"/>
        <v>661.70739130434174</v>
      </c>
      <c r="AJ319" s="107">
        <f t="shared" si="293"/>
        <v>523.21463768115336</v>
      </c>
      <c r="AK319" s="107">
        <f t="shared" si="294"/>
        <v>384.72188405796499</v>
      </c>
      <c r="AL319" s="107">
        <f t="shared" si="295"/>
        <v>246.22913043477658</v>
      </c>
      <c r="AM319" s="107">
        <f t="shared" si="296"/>
        <v>107.73637681158817</v>
      </c>
      <c r="AN319" s="107">
        <v>0</v>
      </c>
      <c r="AO319" s="107">
        <v>0</v>
      </c>
      <c r="AP319" s="107"/>
      <c r="AQ319" s="126"/>
      <c r="AR319" s="107">
        <v>0</v>
      </c>
      <c r="AS319" s="107">
        <v>0</v>
      </c>
      <c r="AT319" s="107">
        <v>0</v>
      </c>
      <c r="AU319" s="107">
        <v>0</v>
      </c>
      <c r="AV319" s="107">
        <v>0</v>
      </c>
      <c r="AW319" s="107">
        <v>0</v>
      </c>
      <c r="AX319" s="107">
        <v>0</v>
      </c>
      <c r="AY319" s="107">
        <v>0</v>
      </c>
      <c r="AZ319" s="107">
        <v>0</v>
      </c>
      <c r="BA319" s="107">
        <v>0</v>
      </c>
      <c r="BB319" s="107">
        <v>0</v>
      </c>
      <c r="BC319" s="107">
        <v>0</v>
      </c>
      <c r="BD319" s="107">
        <v>0</v>
      </c>
      <c r="BE319" s="124"/>
      <c r="BI319" s="127"/>
    </row>
    <row r="320" spans="1:75" ht="22.5" hidden="1" x14ac:dyDescent="0.2">
      <c r="A320" s="123" t="str">
        <f>'[2]2021 УГРЦТ'!A322</f>
        <v>Оборудование ТП46 Молодежная Факел 1996г</v>
      </c>
      <c r="B320" s="124" t="str">
        <f>'[2]2021 УГРЦТ'!B322</f>
        <v>00000239</v>
      </c>
      <c r="C320" s="124" t="str">
        <f>VLOOKUP(A:A,'2023-2027'!A:L,1,+FALSE)</f>
        <v>Оборудование ТП46 Молодежная Факел 1996г</v>
      </c>
      <c r="D320" s="124" t="str">
        <f>'[2]2021 УГРЦТ'!C322</f>
        <v>ПЕРЕДАЧА</v>
      </c>
      <c r="E320" s="124" t="str">
        <f>'[2]2021 УГРЦТ'!D322</f>
        <v>Машины и оборудование (кроме офисного)</v>
      </c>
      <c r="F320" s="124" t="str">
        <f>'[2]2021 УГРЦТ'!E322</f>
        <v>01.02.1996</v>
      </c>
      <c r="G320" s="124" t="str">
        <f>'[2]2021 УГРЦТ'!F322</f>
        <v>Цех электрических сетей</v>
      </c>
      <c r="H320" s="124">
        <f>'[2]2021 УГРЦТ'!AC322</f>
        <v>317</v>
      </c>
      <c r="I320" s="107">
        <f>'[2]2021 УГРЦТ'!X322</f>
        <v>236764.66</v>
      </c>
      <c r="J320" s="107">
        <f>'[2]2021 УГРЦТ'!Y322</f>
        <v>227863.8</v>
      </c>
      <c r="K320" s="107">
        <f>'[2]2021 УГРЦТ'!Z322</f>
        <v>8900.8600000000151</v>
      </c>
      <c r="L320" s="125" t="e">
        <f>SUMIF([2]облаг!$B$2:$B$259,B320,[2]облаг!$D$2:$D$259)</f>
        <v>#VALUE!</v>
      </c>
      <c r="M320" s="107">
        <f t="shared" si="272"/>
        <v>746.89167192429022</v>
      </c>
      <c r="N320" s="107">
        <f>O320</f>
        <v>8153.9683280757254</v>
      </c>
      <c r="O320" s="107">
        <f t="shared" si="274"/>
        <v>8153.9683280757254</v>
      </c>
      <c r="P320" s="107">
        <f t="shared" si="275"/>
        <v>7407.0766561514356</v>
      </c>
      <c r="Q320" s="107">
        <f t="shared" si="277"/>
        <v>6660.1849842271458</v>
      </c>
      <c r="R320" s="107">
        <f t="shared" si="278"/>
        <v>5913.2933123028561</v>
      </c>
      <c r="S320" s="107">
        <f t="shared" si="279"/>
        <v>5166.4016403785663</v>
      </c>
      <c r="T320" s="107">
        <f t="shared" si="280"/>
        <v>4419.5099684542765</v>
      </c>
      <c r="U320" s="107">
        <f t="shared" si="281"/>
        <v>3672.6182965299863</v>
      </c>
      <c r="V320" s="107">
        <f t="shared" si="282"/>
        <v>2925.7266246056961</v>
      </c>
      <c r="W320" s="107">
        <f t="shared" si="283"/>
        <v>2178.8349526814059</v>
      </c>
      <c r="X320" s="107">
        <f t="shared" si="284"/>
        <v>1431.9432807571156</v>
      </c>
      <c r="Y320" s="107">
        <f t="shared" si="285"/>
        <v>685.05160883282542</v>
      </c>
      <c r="Z320" s="107">
        <v>0</v>
      </c>
      <c r="AA320" s="107"/>
      <c r="AB320" s="107"/>
      <c r="AC320" s="107">
        <v>0</v>
      </c>
      <c r="AD320" s="107">
        <v>0</v>
      </c>
      <c r="AE320" s="107">
        <v>0</v>
      </c>
      <c r="AF320" s="107">
        <v>0</v>
      </c>
      <c r="AG320" s="107">
        <v>0</v>
      </c>
      <c r="AH320" s="107">
        <v>0</v>
      </c>
      <c r="AI320" s="107">
        <v>0</v>
      </c>
      <c r="AJ320" s="107">
        <v>0</v>
      </c>
      <c r="AK320" s="107">
        <v>0</v>
      </c>
      <c r="AL320" s="107">
        <v>0</v>
      </c>
      <c r="AM320" s="107">
        <v>0</v>
      </c>
      <c r="AN320" s="107">
        <v>0</v>
      </c>
      <c r="AO320" s="107">
        <v>0</v>
      </c>
      <c r="AP320" s="107"/>
      <c r="AQ320" s="126"/>
      <c r="AR320" s="107">
        <v>0</v>
      </c>
      <c r="AS320" s="107">
        <v>0</v>
      </c>
      <c r="AT320" s="107">
        <v>0</v>
      </c>
      <c r="AU320" s="107">
        <v>0</v>
      </c>
      <c r="AV320" s="107">
        <v>0</v>
      </c>
      <c r="AW320" s="107">
        <v>0</v>
      </c>
      <c r="AX320" s="107">
        <v>0</v>
      </c>
      <c r="AY320" s="107">
        <v>0</v>
      </c>
      <c r="AZ320" s="107">
        <v>0</v>
      </c>
      <c r="BA320" s="107">
        <v>0</v>
      </c>
      <c r="BB320" s="107">
        <v>0</v>
      </c>
      <c r="BC320" s="107">
        <v>0</v>
      </c>
      <c r="BD320" s="107">
        <v>0</v>
      </c>
      <c r="BE320" s="124"/>
      <c r="BI320" s="127"/>
    </row>
    <row r="321" spans="1:75" ht="22.5" hidden="1" x14ac:dyDescent="0.2">
      <c r="A321" s="123" t="str">
        <f>'[2]2021 УГРЦТ'!A323</f>
        <v>Оборудование ТП-52 Совхоз ГКТП 1982 г.</v>
      </c>
      <c r="B321" s="124" t="str">
        <f>'[2]2021 УГРЦТ'!B323</f>
        <v>00000220</v>
      </c>
      <c r="C321" s="124" t="str">
        <f>VLOOKUP(A:A,'2023-2027'!A:L,1,+FALSE)</f>
        <v>Оборудование ТП-52 Совхоз ГКТП 1982 г.</v>
      </c>
      <c r="D321" s="124" t="str">
        <f>'[2]2021 УГРЦТ'!C323</f>
        <v>ПЕРЕДАЧА</v>
      </c>
      <c r="E321" s="124" t="str">
        <f>'[2]2021 УГРЦТ'!D323</f>
        <v>Машины и оборудование (кроме офисного)</v>
      </c>
      <c r="F321" s="124" t="str">
        <f>'[2]2021 УГРЦТ'!E323</f>
        <v>01.01.1982</v>
      </c>
      <c r="G321" s="124" t="str">
        <f>'[2]2021 УГРЦТ'!F323</f>
        <v>Цех электрических сетей</v>
      </c>
      <c r="H321" s="124">
        <f>'[2]2021 УГРЦТ'!AC323</f>
        <v>177</v>
      </c>
      <c r="I321" s="107">
        <f>'[2]2021 УГРЦТ'!X323</f>
        <v>525588.19999999995</v>
      </c>
      <c r="J321" s="107">
        <f>'[2]2021 УГРЦТ'!Y323</f>
        <v>353996.4</v>
      </c>
      <c r="K321" s="107">
        <f>'[2]2021 УГРЦТ'!Z323</f>
        <v>171591.79999999993</v>
      </c>
      <c r="L321" s="125" t="e">
        <f>SUMIF([2]облаг!$B$2:$B$259,B321,[2]облаг!$D$2:$D$259)</f>
        <v>#VALUE!</v>
      </c>
      <c r="M321" s="107">
        <f t="shared" si="272"/>
        <v>2969.4248587570619</v>
      </c>
      <c r="N321" s="107">
        <f t="shared" si="273"/>
        <v>35633.098305084743</v>
      </c>
      <c r="O321" s="107">
        <f t="shared" si="274"/>
        <v>168622.37514124287</v>
      </c>
      <c r="P321" s="107">
        <f t="shared" si="275"/>
        <v>165652.95028248581</v>
      </c>
      <c r="Q321" s="107">
        <f t="shared" si="277"/>
        <v>162683.52542372874</v>
      </c>
      <c r="R321" s="107">
        <f t="shared" si="278"/>
        <v>159714.10056497168</v>
      </c>
      <c r="S321" s="107">
        <f t="shared" si="279"/>
        <v>156744.67570621462</v>
      </c>
      <c r="T321" s="107">
        <f t="shared" si="280"/>
        <v>153775.25084745756</v>
      </c>
      <c r="U321" s="107">
        <f t="shared" si="281"/>
        <v>150805.8259887005</v>
      </c>
      <c r="V321" s="107">
        <f t="shared" si="282"/>
        <v>147836.40112994344</v>
      </c>
      <c r="W321" s="107">
        <f t="shared" si="283"/>
        <v>144866.97627118637</v>
      </c>
      <c r="X321" s="107">
        <f t="shared" si="284"/>
        <v>141897.55141242931</v>
      </c>
      <c r="Y321" s="107">
        <f t="shared" si="285"/>
        <v>138928.12655367225</v>
      </c>
      <c r="Z321" s="107">
        <f t="shared" si="286"/>
        <v>135958.70169491519</v>
      </c>
      <c r="AA321" s="107"/>
      <c r="AB321" s="107"/>
      <c r="AC321" s="107">
        <f t="shared" si="298"/>
        <v>35633.098305084743</v>
      </c>
      <c r="AD321" s="107">
        <f t="shared" si="287"/>
        <v>132989.27683615813</v>
      </c>
      <c r="AE321" s="107">
        <f t="shared" si="288"/>
        <v>130019.85197740106</v>
      </c>
      <c r="AF321" s="107">
        <f t="shared" si="289"/>
        <v>127050.427118644</v>
      </c>
      <c r="AG321" s="107">
        <f t="shared" si="290"/>
        <v>124081.00225988694</v>
      </c>
      <c r="AH321" s="107">
        <f t="shared" si="291"/>
        <v>121111.57740112988</v>
      </c>
      <c r="AI321" s="107">
        <f t="shared" si="292"/>
        <v>118142.15254237282</v>
      </c>
      <c r="AJ321" s="107">
        <f t="shared" si="293"/>
        <v>115172.72768361575</v>
      </c>
      <c r="AK321" s="107">
        <f t="shared" si="294"/>
        <v>112203.30282485869</v>
      </c>
      <c r="AL321" s="107">
        <f t="shared" si="295"/>
        <v>109233.87796610163</v>
      </c>
      <c r="AM321" s="107">
        <f t="shared" si="296"/>
        <v>106264.45310734457</v>
      </c>
      <c r="AN321" s="107">
        <f t="shared" si="297"/>
        <v>103295.02824858751</v>
      </c>
      <c r="AO321" s="107">
        <f t="shared" si="299"/>
        <v>100325.60338983044</v>
      </c>
      <c r="AP321" s="107"/>
      <c r="AQ321" s="126"/>
      <c r="AR321" s="107">
        <f t="shared" si="300"/>
        <v>35633.098305084743</v>
      </c>
      <c r="AS321" s="107">
        <f t="shared" ref="AS321:AS339" si="316">AO321-M321</f>
        <v>97356.178531073383</v>
      </c>
      <c r="AT321" s="107">
        <f t="shared" ref="AT321:AT339" si="317">AS321-M321</f>
        <v>94386.753672316321</v>
      </c>
      <c r="AU321" s="107">
        <f t="shared" ref="AU321:AU339" si="318">AT321-M321</f>
        <v>91417.328813559259</v>
      </c>
      <c r="AV321" s="107">
        <f t="shared" ref="AV321:AV339" si="319">AU321-M321</f>
        <v>88447.903954802197</v>
      </c>
      <c r="AW321" s="107">
        <f t="shared" ref="AW321:AW336" si="320">AV321-M321</f>
        <v>85478.479096045136</v>
      </c>
      <c r="AX321" s="107">
        <f t="shared" ref="AX321:AX336" si="321">AW321-M321</f>
        <v>82509.054237288074</v>
      </c>
      <c r="AY321" s="107">
        <f t="shared" ref="AY321:AY336" si="322">AX321-M321</f>
        <v>79539.629378531012</v>
      </c>
      <c r="AZ321" s="107">
        <f t="shared" ref="AZ321:AZ336" si="323">AY321-M321</f>
        <v>76570.20451977395</v>
      </c>
      <c r="BA321" s="107">
        <f t="shared" ref="BA321:BA336" si="324">AZ321-M321</f>
        <v>73600.779661016888</v>
      </c>
      <c r="BB321" s="107">
        <f t="shared" ref="BB321:BB326" si="325">BA321-M321</f>
        <v>70631.354802259826</v>
      </c>
      <c r="BC321" s="107">
        <f>BB321-M321</f>
        <v>67661.929943502764</v>
      </c>
      <c r="BD321" s="107">
        <f>BC321-M321</f>
        <v>64692.505084745702</v>
      </c>
      <c r="BE321" s="107"/>
      <c r="BF321" s="127"/>
      <c r="BG321" s="127"/>
      <c r="BH321" s="127"/>
      <c r="BI321" s="127"/>
      <c r="BJ321" s="127"/>
      <c r="BK321" s="127"/>
      <c r="BL321" s="127"/>
      <c r="BM321" s="127"/>
      <c r="BN321" s="127"/>
      <c r="BO321" s="127"/>
      <c r="BP321" s="127"/>
      <c r="BQ321" s="127"/>
      <c r="BR321" s="127"/>
      <c r="BS321" s="127"/>
      <c r="BT321" s="127"/>
      <c r="BU321" s="127"/>
      <c r="BV321" s="127"/>
    </row>
    <row r="322" spans="1:75" hidden="1" x14ac:dyDescent="0.2">
      <c r="A322" s="123" t="str">
        <f>'[2]2021 УГРЦТ'!A324</f>
        <v>Оборудование ТП-66 МРП 1998г.</v>
      </c>
      <c r="B322" s="124" t="str">
        <f>'[2]2021 УГРЦТ'!B324</f>
        <v>00000252</v>
      </c>
      <c r="C322" s="124" t="str">
        <f>VLOOKUP(A:A,'2023-2027'!A:L,1,+FALSE)</f>
        <v>Оборудование ТП-66 МРП 1998г.</v>
      </c>
      <c r="D322" s="124" t="str">
        <f>'[2]2021 УГРЦТ'!C324</f>
        <v>ПЕРЕДАЧА</v>
      </c>
      <c r="E322" s="124" t="str">
        <f>'[2]2021 УГРЦТ'!D324</f>
        <v>Машины и оборудование (кроме офисного)</v>
      </c>
      <c r="F322" s="124" t="str">
        <f>'[2]2021 УГРЦТ'!E324</f>
        <v>01.06.1998</v>
      </c>
      <c r="G322" s="124" t="str">
        <f>'[2]2021 УГРЦТ'!F324</f>
        <v>Цех электрических сетей</v>
      </c>
      <c r="H322" s="124">
        <f>'[2]2021 УГРЦТ'!AC324</f>
        <v>337</v>
      </c>
      <c r="I322" s="107">
        <f>'[2]2021 УГРЦТ'!X324</f>
        <v>857091.88</v>
      </c>
      <c r="J322" s="107">
        <f>'[2]2021 УГРЦТ'!Y324</f>
        <v>466352.28</v>
      </c>
      <c r="K322" s="107">
        <f>'[2]2021 УГРЦТ'!Z324</f>
        <v>390739.6</v>
      </c>
      <c r="L322" s="125" t="e">
        <f>SUMIF([2]облаг!$B$2:$B$259,B322,[2]облаг!$D$2:$D$259)</f>
        <v>#VALUE!</v>
      </c>
      <c r="M322" s="107">
        <f t="shared" si="272"/>
        <v>2543.2993471810091</v>
      </c>
      <c r="N322" s="107">
        <f t="shared" si="273"/>
        <v>30519.592166172108</v>
      </c>
      <c r="O322" s="107">
        <f t="shared" si="274"/>
        <v>388196.30065281899</v>
      </c>
      <c r="P322" s="107">
        <f t="shared" si="275"/>
        <v>385653.001305638</v>
      </c>
      <c r="Q322" s="107">
        <f t="shared" si="277"/>
        <v>383109.70195845701</v>
      </c>
      <c r="R322" s="107">
        <f t="shared" si="278"/>
        <v>380566.40261127602</v>
      </c>
      <c r="S322" s="107">
        <f t="shared" si="279"/>
        <v>378023.10326409503</v>
      </c>
      <c r="T322" s="107">
        <f t="shared" si="280"/>
        <v>375479.80391691404</v>
      </c>
      <c r="U322" s="107">
        <f t="shared" si="281"/>
        <v>372936.50456973305</v>
      </c>
      <c r="V322" s="107">
        <f t="shared" si="282"/>
        <v>370393.20522255206</v>
      </c>
      <c r="W322" s="107">
        <f t="shared" si="283"/>
        <v>367849.90587537107</v>
      </c>
      <c r="X322" s="107">
        <f t="shared" si="284"/>
        <v>365306.60652819008</v>
      </c>
      <c r="Y322" s="107">
        <f t="shared" si="285"/>
        <v>362763.30718100909</v>
      </c>
      <c r="Z322" s="107">
        <f t="shared" si="286"/>
        <v>360220.0078338281</v>
      </c>
      <c r="AA322" s="107"/>
      <c r="AB322" s="107"/>
      <c r="AC322" s="107">
        <f t="shared" si="298"/>
        <v>30519.592166172108</v>
      </c>
      <c r="AD322" s="107">
        <f t="shared" si="287"/>
        <v>357676.70848664711</v>
      </c>
      <c r="AE322" s="107">
        <f t="shared" si="288"/>
        <v>355133.40913946612</v>
      </c>
      <c r="AF322" s="107">
        <f t="shared" si="289"/>
        <v>352590.10979228513</v>
      </c>
      <c r="AG322" s="107">
        <f t="shared" si="290"/>
        <v>350046.81044510414</v>
      </c>
      <c r="AH322" s="107">
        <f t="shared" si="291"/>
        <v>347503.51109792315</v>
      </c>
      <c r="AI322" s="107">
        <f t="shared" si="292"/>
        <v>344960.21175074216</v>
      </c>
      <c r="AJ322" s="107">
        <f t="shared" si="293"/>
        <v>342416.91240356117</v>
      </c>
      <c r="AK322" s="107">
        <f t="shared" si="294"/>
        <v>339873.61305638019</v>
      </c>
      <c r="AL322" s="107">
        <f t="shared" si="295"/>
        <v>337330.3137091992</v>
      </c>
      <c r="AM322" s="107">
        <f t="shared" si="296"/>
        <v>334787.01436201821</v>
      </c>
      <c r="AN322" s="107">
        <f t="shared" si="297"/>
        <v>332243.71501483722</v>
      </c>
      <c r="AO322" s="107">
        <f t="shared" si="299"/>
        <v>329700.41566765623</v>
      </c>
      <c r="AP322" s="107"/>
      <c r="AQ322" s="126"/>
      <c r="AR322" s="107">
        <f t="shared" si="300"/>
        <v>30519.592166172108</v>
      </c>
      <c r="AS322" s="107">
        <f t="shared" si="316"/>
        <v>327157.11632047524</v>
      </c>
      <c r="AT322" s="107">
        <f t="shared" si="317"/>
        <v>324613.81697329425</v>
      </c>
      <c r="AU322" s="107">
        <f t="shared" si="318"/>
        <v>322070.51762611326</v>
      </c>
      <c r="AV322" s="107">
        <f t="shared" si="319"/>
        <v>319527.21827893227</v>
      </c>
      <c r="AW322" s="107">
        <f t="shared" si="320"/>
        <v>316983.91893175128</v>
      </c>
      <c r="AX322" s="107">
        <f t="shared" si="321"/>
        <v>314440.61958457029</v>
      </c>
      <c r="AY322" s="107">
        <f t="shared" si="322"/>
        <v>311897.3202373893</v>
      </c>
      <c r="AZ322" s="107">
        <f t="shared" si="323"/>
        <v>309354.02089020831</v>
      </c>
      <c r="BA322" s="107">
        <f t="shared" si="324"/>
        <v>306810.72154302732</v>
      </c>
      <c r="BB322" s="107">
        <f t="shared" si="325"/>
        <v>304267.42219584633</v>
      </c>
      <c r="BC322" s="107">
        <f>BB322-M322</f>
        <v>301724.12284866534</v>
      </c>
      <c r="BD322" s="107">
        <f>BC322-M322</f>
        <v>299180.82350148435</v>
      </c>
      <c r="BE322" s="107"/>
      <c r="BF322" s="127"/>
      <c r="BG322" s="127"/>
      <c r="BH322" s="127"/>
      <c r="BI322" s="127"/>
      <c r="BJ322" s="127"/>
      <c r="BK322" s="127"/>
      <c r="BL322" s="127"/>
      <c r="BM322" s="127"/>
      <c r="BN322" s="127"/>
      <c r="BO322" s="127"/>
      <c r="BP322" s="127"/>
      <c r="BQ322" s="127"/>
      <c r="BR322" s="127"/>
      <c r="BS322" s="127"/>
      <c r="BT322" s="127"/>
      <c r="BU322" s="127"/>
      <c r="BV322" s="127"/>
    </row>
    <row r="323" spans="1:75" ht="33.75" hidden="1" x14ac:dyDescent="0.2">
      <c r="A323" s="123" t="str">
        <f>'[2]2021 УГРЦТ'!A325</f>
        <v>Оборудование ТП-72 "Микрорайон Центральный"  ул Ленина, 29   2013г</v>
      </c>
      <c r="B323" s="124" t="str">
        <f>'[2]2021 УГРЦТ'!B325</f>
        <v>000001574</v>
      </c>
      <c r="C323" s="124" t="str">
        <f>VLOOKUP(A:A,'2023-2027'!A:L,1,+FALSE)</f>
        <v>Оборудование ТП-72 "Микрорайон Центральный"  ул Ленина, 29   2013г</v>
      </c>
      <c r="D323" s="124" t="str">
        <f>'[2]2021 УГРЦТ'!C325</f>
        <v>ПЕРЕДАЧА</v>
      </c>
      <c r="E323" s="124" t="str">
        <f>'[2]2021 УГРЦТ'!D325</f>
        <v>Машины и оборудование (кроме офисного)</v>
      </c>
      <c r="F323" s="124" t="str">
        <f>'[2]2021 УГРЦТ'!E325</f>
        <v>31.12.2013</v>
      </c>
      <c r="G323" s="124" t="str">
        <f>'[2]2021 УГРЦТ'!F325</f>
        <v>Цех электрических сетей</v>
      </c>
      <c r="H323" s="124">
        <f>'[2]2021 УГРЦТ'!AC325</f>
        <v>180</v>
      </c>
      <c r="I323" s="107">
        <f>'[2]2021 УГРЦТ'!X325</f>
        <v>7974514.0499999998</v>
      </c>
      <c r="J323" s="107">
        <f>'[2]2021 УГРЦТ'!Y325</f>
        <v>4253074.51</v>
      </c>
      <c r="K323" s="107">
        <f>'[2]2021 УГРЦТ'!Z325</f>
        <v>3721439.54</v>
      </c>
      <c r="L323" s="125" t="e">
        <f>SUMIF([2]облаг!$B$2:$B$259,B323,[2]облаг!$D$2:$D$259)</f>
        <v>#VALUE!</v>
      </c>
      <c r="M323" s="107">
        <f t="shared" si="272"/>
        <v>44302.855833333335</v>
      </c>
      <c r="N323" s="107">
        <f t="shared" si="273"/>
        <v>531634.27</v>
      </c>
      <c r="O323" s="107">
        <f t="shared" si="274"/>
        <v>3677136.6841666666</v>
      </c>
      <c r="P323" s="107">
        <f t="shared" si="275"/>
        <v>3632833.8283333331</v>
      </c>
      <c r="Q323" s="107">
        <f t="shared" si="277"/>
        <v>3588530.9724999997</v>
      </c>
      <c r="R323" s="107">
        <f t="shared" si="278"/>
        <v>3544228.1166666662</v>
      </c>
      <c r="S323" s="107">
        <f t="shared" si="279"/>
        <v>3499925.2608333328</v>
      </c>
      <c r="T323" s="107">
        <f t="shared" si="280"/>
        <v>3455622.4049999993</v>
      </c>
      <c r="U323" s="107">
        <f t="shared" si="281"/>
        <v>3411319.5491666659</v>
      </c>
      <c r="V323" s="107">
        <f t="shared" si="282"/>
        <v>3367016.6933333324</v>
      </c>
      <c r="W323" s="107">
        <f t="shared" si="283"/>
        <v>3322713.837499999</v>
      </c>
      <c r="X323" s="107">
        <f t="shared" si="284"/>
        <v>3278410.9816666655</v>
      </c>
      <c r="Y323" s="107">
        <f t="shared" si="285"/>
        <v>3234108.1258333321</v>
      </c>
      <c r="Z323" s="107">
        <f t="shared" si="286"/>
        <v>3189805.2699999986</v>
      </c>
      <c r="AA323" s="107"/>
      <c r="AB323" s="107"/>
      <c r="AC323" s="107">
        <f t="shared" si="298"/>
        <v>531634.27</v>
      </c>
      <c r="AD323" s="107">
        <f t="shared" si="287"/>
        <v>3145502.4141666652</v>
      </c>
      <c r="AE323" s="107">
        <f t="shared" si="288"/>
        <v>3101199.5583333317</v>
      </c>
      <c r="AF323" s="107">
        <f t="shared" si="289"/>
        <v>3056896.7024999983</v>
      </c>
      <c r="AG323" s="107">
        <f t="shared" si="290"/>
        <v>3012593.8466666648</v>
      </c>
      <c r="AH323" s="107">
        <f t="shared" si="291"/>
        <v>2968290.9908333314</v>
      </c>
      <c r="AI323" s="107">
        <f t="shared" si="292"/>
        <v>2923988.1349999979</v>
      </c>
      <c r="AJ323" s="107">
        <f t="shared" si="293"/>
        <v>2879685.2791666645</v>
      </c>
      <c r="AK323" s="107">
        <f t="shared" si="294"/>
        <v>2835382.423333331</v>
      </c>
      <c r="AL323" s="107">
        <f t="shared" si="295"/>
        <v>2791079.5674999976</v>
      </c>
      <c r="AM323" s="107">
        <f t="shared" si="296"/>
        <v>2746776.7116666641</v>
      </c>
      <c r="AN323" s="107">
        <f t="shared" si="297"/>
        <v>2702473.8558333307</v>
      </c>
      <c r="AO323" s="107">
        <f t="shared" si="299"/>
        <v>2658170.9999999972</v>
      </c>
      <c r="AP323" s="107"/>
      <c r="AQ323" s="126"/>
      <c r="AR323" s="107">
        <f t="shared" si="300"/>
        <v>531634.27</v>
      </c>
      <c r="AS323" s="107">
        <f t="shared" si="316"/>
        <v>2613868.1441666638</v>
      </c>
      <c r="AT323" s="107">
        <f t="shared" si="317"/>
        <v>2569565.2883333303</v>
      </c>
      <c r="AU323" s="107">
        <f t="shared" si="318"/>
        <v>2525262.4324999969</v>
      </c>
      <c r="AV323" s="107">
        <f t="shared" si="319"/>
        <v>2480959.5766666634</v>
      </c>
      <c r="AW323" s="107">
        <f t="shared" si="320"/>
        <v>2436656.7208333299</v>
      </c>
      <c r="AX323" s="107">
        <f t="shared" si="321"/>
        <v>2392353.8649999965</v>
      </c>
      <c r="AY323" s="107">
        <f t="shared" si="322"/>
        <v>2348051.009166663</v>
      </c>
      <c r="AZ323" s="107">
        <f t="shared" si="323"/>
        <v>2303748.1533333296</v>
      </c>
      <c r="BA323" s="107">
        <f t="shared" si="324"/>
        <v>2259445.2974999961</v>
      </c>
      <c r="BB323" s="107">
        <f t="shared" si="325"/>
        <v>2215142.4416666627</v>
      </c>
      <c r="BC323" s="107">
        <f>BB323-M323</f>
        <v>2170839.5858333292</v>
      </c>
      <c r="BD323" s="107">
        <f>BC323-M323</f>
        <v>2126536.7299999958</v>
      </c>
      <c r="BE323" s="107"/>
      <c r="BF323" s="127"/>
      <c r="BG323" s="127"/>
      <c r="BH323" s="127"/>
      <c r="BI323" s="127"/>
      <c r="BJ323" s="127"/>
      <c r="BK323" s="127"/>
      <c r="BL323" s="127"/>
      <c r="BM323" s="127"/>
      <c r="BN323" s="127"/>
      <c r="BO323" s="127"/>
      <c r="BP323" s="127"/>
      <c r="BQ323" s="127"/>
      <c r="BR323" s="127"/>
      <c r="BS323" s="127"/>
      <c r="BT323" s="127"/>
      <c r="BU323" s="127"/>
      <c r="BV323" s="127"/>
      <c r="BW323" s="127"/>
    </row>
    <row r="324" spans="1:75" ht="22.5" hidden="1" x14ac:dyDescent="0.2">
      <c r="A324" s="123" t="str">
        <f>'[2]2021 УГРЦТ'!A326</f>
        <v>Оборудование ТП-8 ул  Ленина 47, 47а</v>
      </c>
      <c r="B324" s="124" t="str">
        <f>'[2]2021 УГРЦТ'!B326</f>
        <v>00000195</v>
      </c>
      <c r="C324" s="124" t="str">
        <f>VLOOKUP(A:A,'2023-2027'!A:L,1,+FALSE)</f>
        <v>Оборудование ТП-8 ул  Ленина 47, 47а</v>
      </c>
      <c r="D324" s="124" t="str">
        <f>'[2]2021 УГРЦТ'!C326</f>
        <v>ПЕРЕДАЧА</v>
      </c>
      <c r="E324" s="124" t="str">
        <f>'[2]2021 УГРЦТ'!D326</f>
        <v>Машины и оборудование (кроме офисного)</v>
      </c>
      <c r="F324" s="124" t="str">
        <f>'[2]2021 УГРЦТ'!E326</f>
        <v>01.01.1978</v>
      </c>
      <c r="G324" s="124" t="str">
        <f>'[2]2021 УГРЦТ'!F326</f>
        <v>Цех электрических сетей</v>
      </c>
      <c r="H324" s="124">
        <f>'[2]2021 УГРЦТ'!AC326</f>
        <v>120</v>
      </c>
      <c r="I324" s="107">
        <f>'[2]2021 УГРЦТ'!X326</f>
        <v>950550.24</v>
      </c>
      <c r="J324" s="107">
        <f>'[2]2021 УГРЦТ'!Y326</f>
        <v>552764.32000000007</v>
      </c>
      <c r="K324" s="107">
        <f>'[2]2021 УГРЦТ'!Z326</f>
        <v>397785.91999999993</v>
      </c>
      <c r="L324" s="125" t="e">
        <f>SUMIF([2]облаг!$B$2:$B$259,B324,[2]облаг!$D$2:$D$259)</f>
        <v>#VALUE!</v>
      </c>
      <c r="M324" s="107">
        <f t="shared" si="272"/>
        <v>7921.2519999999995</v>
      </c>
      <c r="N324" s="107">
        <f t="shared" si="273"/>
        <v>95055.02399999999</v>
      </c>
      <c r="O324" s="107">
        <f t="shared" si="274"/>
        <v>389864.66799999995</v>
      </c>
      <c r="P324" s="107">
        <f t="shared" si="275"/>
        <v>381943.41599999997</v>
      </c>
      <c r="Q324" s="107">
        <f t="shared" si="277"/>
        <v>374022.16399999999</v>
      </c>
      <c r="R324" s="107">
        <f t="shared" si="278"/>
        <v>366100.91200000001</v>
      </c>
      <c r="S324" s="107">
        <f t="shared" si="279"/>
        <v>358179.66000000003</v>
      </c>
      <c r="T324" s="107">
        <f t="shared" si="280"/>
        <v>350258.40800000005</v>
      </c>
      <c r="U324" s="107">
        <f t="shared" si="281"/>
        <v>342337.15600000008</v>
      </c>
      <c r="V324" s="107">
        <f t="shared" si="282"/>
        <v>334415.9040000001</v>
      </c>
      <c r="W324" s="107">
        <f t="shared" si="283"/>
        <v>326494.65200000012</v>
      </c>
      <c r="X324" s="107">
        <f t="shared" si="284"/>
        <v>318573.40000000014</v>
      </c>
      <c r="Y324" s="107">
        <f t="shared" si="285"/>
        <v>310652.14800000016</v>
      </c>
      <c r="Z324" s="107">
        <f t="shared" si="286"/>
        <v>302730.89600000018</v>
      </c>
      <c r="AA324" s="107"/>
      <c r="AB324" s="107"/>
      <c r="AC324" s="107">
        <f t="shared" si="298"/>
        <v>95055.02399999999</v>
      </c>
      <c r="AD324" s="107">
        <f t="shared" si="287"/>
        <v>294809.6440000002</v>
      </c>
      <c r="AE324" s="107">
        <f t="shared" si="288"/>
        <v>286888.39200000023</v>
      </c>
      <c r="AF324" s="107">
        <f t="shared" si="289"/>
        <v>278967.14000000025</v>
      </c>
      <c r="AG324" s="107">
        <f t="shared" si="290"/>
        <v>271045.88800000027</v>
      </c>
      <c r="AH324" s="107">
        <f t="shared" si="291"/>
        <v>263124.63600000029</v>
      </c>
      <c r="AI324" s="107">
        <f t="shared" si="292"/>
        <v>255203.38400000028</v>
      </c>
      <c r="AJ324" s="107">
        <f t="shared" si="293"/>
        <v>247282.13200000027</v>
      </c>
      <c r="AK324" s="107">
        <f t="shared" si="294"/>
        <v>239360.88000000027</v>
      </c>
      <c r="AL324" s="107">
        <f t="shared" si="295"/>
        <v>231439.62800000026</v>
      </c>
      <c r="AM324" s="107">
        <f t="shared" si="296"/>
        <v>223518.37600000025</v>
      </c>
      <c r="AN324" s="107">
        <f t="shared" si="297"/>
        <v>215597.12400000024</v>
      </c>
      <c r="AO324" s="107">
        <f t="shared" si="299"/>
        <v>207675.87200000024</v>
      </c>
      <c r="AP324" s="107"/>
      <c r="AQ324" s="126"/>
      <c r="AR324" s="107">
        <f t="shared" si="300"/>
        <v>95055.02399999999</v>
      </c>
      <c r="AS324" s="107">
        <f t="shared" si="316"/>
        <v>199754.62000000023</v>
      </c>
      <c r="AT324" s="107">
        <f t="shared" si="317"/>
        <v>191833.36800000022</v>
      </c>
      <c r="AU324" s="107">
        <f t="shared" si="318"/>
        <v>183912.11600000021</v>
      </c>
      <c r="AV324" s="107">
        <f t="shared" si="319"/>
        <v>175990.86400000021</v>
      </c>
      <c r="AW324" s="107">
        <f t="shared" si="320"/>
        <v>168069.6120000002</v>
      </c>
      <c r="AX324" s="107">
        <f t="shared" si="321"/>
        <v>160148.36000000019</v>
      </c>
      <c r="AY324" s="107">
        <f t="shared" si="322"/>
        <v>152227.10800000018</v>
      </c>
      <c r="AZ324" s="107">
        <f t="shared" si="323"/>
        <v>144305.85600000017</v>
      </c>
      <c r="BA324" s="107">
        <f t="shared" si="324"/>
        <v>136384.60400000017</v>
      </c>
      <c r="BB324" s="107">
        <f t="shared" si="325"/>
        <v>128463.35200000017</v>
      </c>
      <c r="BC324" s="107">
        <f>BB324-M324</f>
        <v>120542.10000000018</v>
      </c>
      <c r="BD324" s="107">
        <f>BC324-M324</f>
        <v>112620.84800000019</v>
      </c>
      <c r="BE324" s="107"/>
      <c r="BF324" s="127"/>
      <c r="BG324" s="127"/>
      <c r="BI324" s="127"/>
      <c r="BJ324" s="127"/>
      <c r="BK324" s="127"/>
      <c r="BL324" s="127"/>
      <c r="BM324" s="127"/>
      <c r="BN324" s="127"/>
      <c r="BO324" s="127"/>
      <c r="BP324" s="127"/>
      <c r="BQ324" s="127"/>
      <c r="BR324" s="127"/>
      <c r="BS324" s="127"/>
      <c r="BT324" s="127"/>
      <c r="BU324" s="127"/>
      <c r="BV324" s="127"/>
    </row>
    <row r="325" spans="1:75" ht="22.5" hidden="1" x14ac:dyDescent="0.2">
      <c r="A325" s="123" t="str">
        <f>'[2]2021 УГРЦТ'!A327</f>
        <v>Оборудование ТП-9  ул Октябрьская 17</v>
      </c>
      <c r="B325" s="124" t="str">
        <f>'[2]2021 УГРЦТ'!B327</f>
        <v>00000196</v>
      </c>
      <c r="C325" s="124" t="str">
        <f>VLOOKUP(A:A,'2023-2027'!A:L,1,+FALSE)</f>
        <v>Оборудование ТП-9  ул Октябрьская 17</v>
      </c>
      <c r="D325" s="124" t="str">
        <f>'[2]2021 УГРЦТ'!C327</f>
        <v>ПЕРЕДАЧА</v>
      </c>
      <c r="E325" s="124" t="str">
        <f>'[2]2021 УГРЦТ'!D327</f>
        <v>Машины и оборудование (кроме офисного)</v>
      </c>
      <c r="F325" s="124" t="str">
        <f>'[2]2021 УГРЦТ'!E327</f>
        <v>01.01.1966</v>
      </c>
      <c r="G325" s="124" t="str">
        <f>'[2]2021 УГРЦТ'!F327</f>
        <v>Цех электрических сетей</v>
      </c>
      <c r="H325" s="124">
        <f>'[2]2021 УГРЦТ'!AC327</f>
        <v>180</v>
      </c>
      <c r="I325" s="107">
        <f>'[2]2021 УГРЦТ'!X327</f>
        <v>945605.02</v>
      </c>
      <c r="J325" s="107">
        <f>'[2]2021 УГРЦТ'!Y327</f>
        <v>391935.13</v>
      </c>
      <c r="K325" s="107">
        <f>'[2]2021 УГРЦТ'!Z327</f>
        <v>553669.89</v>
      </c>
      <c r="L325" s="125" t="e">
        <f>SUMIF([2]облаг!$B$2:$B$259,B325,[2]облаг!$D$2:$D$259)</f>
        <v>#VALUE!</v>
      </c>
      <c r="M325" s="107">
        <f t="shared" si="272"/>
        <v>5253.3612222222228</v>
      </c>
      <c r="N325" s="107">
        <f t="shared" si="273"/>
        <v>63040.334666666677</v>
      </c>
      <c r="O325" s="107">
        <f t="shared" si="274"/>
        <v>548416.5287777778</v>
      </c>
      <c r="P325" s="107">
        <f t="shared" si="275"/>
        <v>543163.16755555558</v>
      </c>
      <c r="Q325" s="107">
        <f t="shared" si="277"/>
        <v>537909.80633333337</v>
      </c>
      <c r="R325" s="107">
        <f t="shared" si="278"/>
        <v>532656.44511111116</v>
      </c>
      <c r="S325" s="107">
        <f t="shared" si="279"/>
        <v>527403.08388888894</v>
      </c>
      <c r="T325" s="107">
        <f t="shared" si="280"/>
        <v>522149.72266666673</v>
      </c>
      <c r="U325" s="107">
        <f t="shared" si="281"/>
        <v>516896.36144444451</v>
      </c>
      <c r="V325" s="107">
        <f t="shared" si="282"/>
        <v>511643.0002222223</v>
      </c>
      <c r="W325" s="107">
        <f t="shared" si="283"/>
        <v>506389.63900000008</v>
      </c>
      <c r="X325" s="107">
        <f t="shared" si="284"/>
        <v>501136.27777777787</v>
      </c>
      <c r="Y325" s="107">
        <f t="shared" si="285"/>
        <v>495882.91655555565</v>
      </c>
      <c r="Z325" s="107">
        <f t="shared" si="286"/>
        <v>490629.55533333344</v>
      </c>
      <c r="AA325" s="107"/>
      <c r="AB325" s="107"/>
      <c r="AC325" s="107">
        <f t="shared" si="298"/>
        <v>63040.334666666677</v>
      </c>
      <c r="AD325" s="107">
        <f t="shared" si="287"/>
        <v>485376.19411111122</v>
      </c>
      <c r="AE325" s="107">
        <f t="shared" si="288"/>
        <v>480122.83288888901</v>
      </c>
      <c r="AF325" s="107">
        <f t="shared" si="289"/>
        <v>474869.4716666668</v>
      </c>
      <c r="AG325" s="107">
        <f t="shared" si="290"/>
        <v>469616.11044444458</v>
      </c>
      <c r="AH325" s="107">
        <f t="shared" si="291"/>
        <v>464362.74922222237</v>
      </c>
      <c r="AI325" s="107">
        <f t="shared" si="292"/>
        <v>459109.38800000015</v>
      </c>
      <c r="AJ325" s="107">
        <f t="shared" si="293"/>
        <v>453856.02677777794</v>
      </c>
      <c r="AK325" s="107">
        <f t="shared" si="294"/>
        <v>448602.66555555572</v>
      </c>
      <c r="AL325" s="107">
        <f t="shared" si="295"/>
        <v>443349.30433333351</v>
      </c>
      <c r="AM325" s="107">
        <f t="shared" si="296"/>
        <v>438095.94311111129</v>
      </c>
      <c r="AN325" s="107">
        <f t="shared" si="297"/>
        <v>432842.58188888908</v>
      </c>
      <c r="AO325" s="107">
        <f t="shared" si="299"/>
        <v>427589.22066666686</v>
      </c>
      <c r="AP325" s="107"/>
      <c r="AQ325" s="126"/>
      <c r="AR325" s="107">
        <f t="shared" si="300"/>
        <v>63040.334666666677</v>
      </c>
      <c r="AS325" s="107">
        <f t="shared" si="316"/>
        <v>422335.85944444465</v>
      </c>
      <c r="AT325" s="107">
        <f t="shared" si="317"/>
        <v>417082.49822222244</v>
      </c>
      <c r="AU325" s="107">
        <f t="shared" si="318"/>
        <v>411829.13700000022</v>
      </c>
      <c r="AV325" s="107">
        <f t="shared" si="319"/>
        <v>406575.77577777801</v>
      </c>
      <c r="AW325" s="107">
        <f t="shared" si="320"/>
        <v>401322.41455555579</v>
      </c>
      <c r="AX325" s="107">
        <f t="shared" si="321"/>
        <v>396069.05333333358</v>
      </c>
      <c r="AY325" s="107">
        <f t="shared" si="322"/>
        <v>390815.69211111136</v>
      </c>
      <c r="AZ325" s="107">
        <f t="shared" si="323"/>
        <v>385562.33088888915</v>
      </c>
      <c r="BA325" s="107">
        <f t="shared" si="324"/>
        <v>380308.96966666693</v>
      </c>
      <c r="BB325" s="107">
        <f t="shared" si="325"/>
        <v>375055.60844444472</v>
      </c>
      <c r="BC325" s="107">
        <f>BB325-M325</f>
        <v>369802.2472222225</v>
      </c>
      <c r="BD325" s="107">
        <f>BC325-M325</f>
        <v>364548.88600000029</v>
      </c>
      <c r="BE325" s="107"/>
      <c r="BF325" s="127"/>
      <c r="BG325" s="127"/>
      <c r="BH325" s="127"/>
      <c r="BI325" s="127"/>
      <c r="BJ325" s="127"/>
      <c r="BK325" s="127"/>
      <c r="BL325" s="127"/>
      <c r="BM325" s="127"/>
      <c r="BN325" s="127"/>
      <c r="BO325" s="127"/>
      <c r="BP325" s="127"/>
      <c r="BQ325" s="127"/>
      <c r="BR325" s="127"/>
      <c r="BS325" s="127"/>
      <c r="BT325" s="127"/>
      <c r="BU325" s="127"/>
      <c r="BV325" s="127"/>
      <c r="BW325" s="127"/>
    </row>
    <row r="326" spans="1:75" ht="22.5" hidden="1" x14ac:dyDescent="0.2">
      <c r="A326" s="123" t="str">
        <f>'[2]2021 УГРЦТ'!A328</f>
        <v>Панель распределительная ЩО-70-1-01УЗ 2001г</v>
      </c>
      <c r="B326" s="124" t="str">
        <f>'[2]2021 УГРЦТ'!B328</f>
        <v>00000316</v>
      </c>
      <c r="C326" s="124" t="str">
        <f>VLOOKUP(A:A,'2023-2027'!A:L,1,+FALSE)</f>
        <v>Панель распределительная ЩО-70-1-01УЗ 2001г</v>
      </c>
      <c r="D326" s="124" t="str">
        <f>'[2]2021 УГРЦТ'!C328</f>
        <v>ПЕРЕДАЧА</v>
      </c>
      <c r="E326" s="124" t="str">
        <f>'[2]2021 УГРЦТ'!D328</f>
        <v>Машины и оборудование (кроме офисного)</v>
      </c>
      <c r="F326" s="124" t="str">
        <f>'[2]2021 УГРЦТ'!E328</f>
        <v>30.06.2001</v>
      </c>
      <c r="G326" s="124" t="str">
        <f>'[2]2021 УГРЦТ'!F328</f>
        <v>Цех электрических сетей</v>
      </c>
      <c r="H326" s="124">
        <f>'[2]2021 УГРЦТ'!AC328</f>
        <v>276</v>
      </c>
      <c r="I326" s="107">
        <f>'[2]2021 УГРЦТ'!X328</f>
        <v>14763.39</v>
      </c>
      <c r="J326" s="107">
        <f>'[2]2021 УГРЦТ'!Y328</f>
        <v>12896.22652173913</v>
      </c>
      <c r="K326" s="107">
        <f>'[2]2021 УГРЦТ'!Z328</f>
        <v>1867.1634782608689</v>
      </c>
      <c r="L326" s="125" t="e">
        <f>SUMIF([2]облаг!$B$2:$B$259,B326,[2]облаг!$D$2:$D$259)</f>
        <v>#VALUE!</v>
      </c>
      <c r="M326" s="107">
        <f t="shared" ref="M326:M389" si="326">I326/H326</f>
        <v>53.490543478260868</v>
      </c>
      <c r="N326" s="107">
        <f t="shared" ref="N326:N389" si="327">M326*12</f>
        <v>641.88652173913044</v>
      </c>
      <c r="O326" s="107">
        <f t="shared" ref="O326:O389" si="328">K326-M326</f>
        <v>1813.6729347826081</v>
      </c>
      <c r="P326" s="107">
        <f t="shared" ref="P326:P389" si="329">O326-M326</f>
        <v>1760.1823913043472</v>
      </c>
      <c r="Q326" s="107">
        <f t="shared" si="277"/>
        <v>1706.6918478260864</v>
      </c>
      <c r="R326" s="107">
        <f t="shared" si="278"/>
        <v>1653.2013043478255</v>
      </c>
      <c r="S326" s="107">
        <f t="shared" si="279"/>
        <v>1599.7107608695646</v>
      </c>
      <c r="T326" s="107">
        <f t="shared" si="280"/>
        <v>1546.2202173913038</v>
      </c>
      <c r="U326" s="107">
        <f t="shared" si="281"/>
        <v>1492.7296739130429</v>
      </c>
      <c r="V326" s="107">
        <f t="shared" si="282"/>
        <v>1439.2391304347821</v>
      </c>
      <c r="W326" s="107">
        <f t="shared" si="283"/>
        <v>1385.7485869565212</v>
      </c>
      <c r="X326" s="107">
        <f t="shared" si="284"/>
        <v>1332.2580434782603</v>
      </c>
      <c r="Y326" s="107">
        <f t="shared" si="285"/>
        <v>1278.7674999999995</v>
      </c>
      <c r="Z326" s="107">
        <f t="shared" si="286"/>
        <v>1225.2769565217386</v>
      </c>
      <c r="AA326" s="107"/>
      <c r="AB326" s="107"/>
      <c r="AC326" s="107">
        <f t="shared" si="298"/>
        <v>641.88652173913044</v>
      </c>
      <c r="AD326" s="107">
        <f t="shared" si="287"/>
        <v>1171.7864130434778</v>
      </c>
      <c r="AE326" s="107">
        <f t="shared" si="288"/>
        <v>1118.2958695652169</v>
      </c>
      <c r="AF326" s="107">
        <f t="shared" si="289"/>
        <v>1064.805326086956</v>
      </c>
      <c r="AG326" s="107">
        <f t="shared" si="290"/>
        <v>1011.3147826086952</v>
      </c>
      <c r="AH326" s="107">
        <f t="shared" si="291"/>
        <v>957.82423913043431</v>
      </c>
      <c r="AI326" s="107">
        <f t="shared" si="292"/>
        <v>904.33369565217345</v>
      </c>
      <c r="AJ326" s="107">
        <f t="shared" si="293"/>
        <v>850.84315217391259</v>
      </c>
      <c r="AK326" s="107">
        <f t="shared" si="294"/>
        <v>797.35260869565172</v>
      </c>
      <c r="AL326" s="107">
        <f t="shared" si="295"/>
        <v>743.86206521739086</v>
      </c>
      <c r="AM326" s="107">
        <f t="shared" si="296"/>
        <v>690.37152173913</v>
      </c>
      <c r="AN326" s="107">
        <f t="shared" si="297"/>
        <v>636.88097826086914</v>
      </c>
      <c r="AO326" s="107">
        <f t="shared" si="299"/>
        <v>583.39043478260828</v>
      </c>
      <c r="AP326" s="107"/>
      <c r="AQ326" s="126"/>
      <c r="AR326" s="107">
        <f t="shared" si="300"/>
        <v>641.88652173913044</v>
      </c>
      <c r="AS326" s="107">
        <f t="shared" si="316"/>
        <v>529.89989130434742</v>
      </c>
      <c r="AT326" s="107">
        <f t="shared" si="317"/>
        <v>476.40934782608656</v>
      </c>
      <c r="AU326" s="107">
        <f t="shared" si="318"/>
        <v>422.9188043478257</v>
      </c>
      <c r="AV326" s="107">
        <f t="shared" si="319"/>
        <v>369.42826086956484</v>
      </c>
      <c r="AW326" s="107">
        <f t="shared" si="320"/>
        <v>315.93771739130398</v>
      </c>
      <c r="AX326" s="107">
        <f t="shared" si="321"/>
        <v>262.44717391304312</v>
      </c>
      <c r="AY326" s="107">
        <f t="shared" si="322"/>
        <v>208.95663043478226</v>
      </c>
      <c r="AZ326" s="107">
        <f t="shared" si="323"/>
        <v>155.46608695652139</v>
      </c>
      <c r="BA326" s="107">
        <f t="shared" si="324"/>
        <v>101.97554347826053</v>
      </c>
      <c r="BB326" s="107">
        <f t="shared" si="325"/>
        <v>48.484999999999665</v>
      </c>
      <c r="BC326" s="107">
        <v>0</v>
      </c>
      <c r="BD326" s="107">
        <v>0</v>
      </c>
      <c r="BE326" s="107"/>
      <c r="BI326" s="127"/>
    </row>
    <row r="327" spans="1:75" ht="22.5" hidden="1" x14ac:dyDescent="0.2">
      <c r="A327" s="123" t="str">
        <f>'[2]2021 УГРЦТ'!A329</f>
        <v>Панель распределительная ЩО-70-1-04УЗ 2001г</v>
      </c>
      <c r="B327" s="124" t="str">
        <f>'[2]2021 УГРЦТ'!B329</f>
        <v>00000317</v>
      </c>
      <c r="C327" s="124" t="str">
        <f>VLOOKUP(A:A,'2023-2027'!A:L,1,+FALSE)</f>
        <v>Панель распределительная ЩО-70-1-04УЗ 2001г</v>
      </c>
      <c r="D327" s="124" t="str">
        <f>'[2]2021 УГРЦТ'!C329</f>
        <v>ПЕРЕДАЧА</v>
      </c>
      <c r="E327" s="124" t="str">
        <f>'[2]2021 УГРЦТ'!D329</f>
        <v>Машины и оборудование (кроме офисного)</v>
      </c>
      <c r="F327" s="124" t="str">
        <f>'[2]2021 УГРЦТ'!E329</f>
        <v>30.06.2001</v>
      </c>
      <c r="G327" s="124" t="str">
        <f>'[2]2021 УГРЦТ'!F329</f>
        <v>Цех электрических сетей</v>
      </c>
      <c r="H327" s="124">
        <f>'[2]2021 УГРЦТ'!AC329</f>
        <v>276</v>
      </c>
      <c r="I327" s="107">
        <f>'[2]2021 УГРЦТ'!X329</f>
        <v>9557.9699999999993</v>
      </c>
      <c r="J327" s="107">
        <f>'[2]2021 УГРЦТ'!Y329</f>
        <v>8383.8039130434772</v>
      </c>
      <c r="K327" s="107">
        <f>'[2]2021 УГРЦТ'!Z329</f>
        <v>1174.1660869565221</v>
      </c>
      <c r="L327" s="125" t="e">
        <f>SUMIF([2]облаг!$B$2:$B$259,B327,[2]облаг!$D$2:$D$259)</f>
        <v>#VALUE!</v>
      </c>
      <c r="M327" s="107">
        <f t="shared" si="326"/>
        <v>34.630326086956522</v>
      </c>
      <c r="N327" s="107">
        <f t="shared" si="327"/>
        <v>415.56391304347824</v>
      </c>
      <c r="O327" s="107">
        <f t="shared" si="328"/>
        <v>1139.5357608695656</v>
      </c>
      <c r="P327" s="107">
        <f t="shared" si="329"/>
        <v>1104.9054347826091</v>
      </c>
      <c r="Q327" s="107">
        <f t="shared" si="277"/>
        <v>1070.2751086956525</v>
      </c>
      <c r="R327" s="107">
        <f t="shared" si="278"/>
        <v>1035.644782608696</v>
      </c>
      <c r="S327" s="107">
        <f t="shared" si="279"/>
        <v>1001.0144565217395</v>
      </c>
      <c r="T327" s="107">
        <f t="shared" si="280"/>
        <v>966.38413043478295</v>
      </c>
      <c r="U327" s="107">
        <f t="shared" si="281"/>
        <v>931.75380434782642</v>
      </c>
      <c r="V327" s="107">
        <f t="shared" si="282"/>
        <v>897.12347826086989</v>
      </c>
      <c r="W327" s="107">
        <f t="shared" si="283"/>
        <v>862.49315217391336</v>
      </c>
      <c r="X327" s="107">
        <f t="shared" si="284"/>
        <v>827.86282608695683</v>
      </c>
      <c r="Y327" s="107">
        <f t="shared" si="285"/>
        <v>793.2325000000003</v>
      </c>
      <c r="Z327" s="107">
        <f t="shared" si="286"/>
        <v>758.60217391304377</v>
      </c>
      <c r="AA327" s="107"/>
      <c r="AB327" s="107"/>
      <c r="AC327" s="107">
        <f t="shared" si="298"/>
        <v>415.56391304347824</v>
      </c>
      <c r="AD327" s="107">
        <f t="shared" si="287"/>
        <v>723.97184782608724</v>
      </c>
      <c r="AE327" s="107">
        <f t="shared" si="288"/>
        <v>689.34152173913071</v>
      </c>
      <c r="AF327" s="107">
        <f t="shared" si="289"/>
        <v>654.71119565217418</v>
      </c>
      <c r="AG327" s="107">
        <f t="shared" si="290"/>
        <v>620.08086956521765</v>
      </c>
      <c r="AH327" s="107">
        <f t="shared" si="291"/>
        <v>585.45054347826112</v>
      </c>
      <c r="AI327" s="107">
        <f t="shared" si="292"/>
        <v>550.8202173913046</v>
      </c>
      <c r="AJ327" s="107">
        <f t="shared" si="293"/>
        <v>516.18989130434807</v>
      </c>
      <c r="AK327" s="107">
        <f t="shared" si="294"/>
        <v>481.55956521739154</v>
      </c>
      <c r="AL327" s="107">
        <f t="shared" si="295"/>
        <v>446.92923913043501</v>
      </c>
      <c r="AM327" s="107">
        <f t="shared" si="296"/>
        <v>412.29891304347848</v>
      </c>
      <c r="AN327" s="107">
        <f t="shared" si="297"/>
        <v>377.66858695652195</v>
      </c>
      <c r="AO327" s="107">
        <f t="shared" si="299"/>
        <v>343.03826086956542</v>
      </c>
      <c r="AP327" s="107"/>
      <c r="AQ327" s="126"/>
      <c r="AR327" s="107">
        <f t="shared" si="300"/>
        <v>415.56391304347824</v>
      </c>
      <c r="AS327" s="107">
        <f t="shared" si="316"/>
        <v>308.40793478260889</v>
      </c>
      <c r="AT327" s="107">
        <f t="shared" si="317"/>
        <v>273.77760869565236</v>
      </c>
      <c r="AU327" s="107">
        <f t="shared" si="318"/>
        <v>239.14728260869583</v>
      </c>
      <c r="AV327" s="107">
        <f t="shared" si="319"/>
        <v>204.5169565217393</v>
      </c>
      <c r="AW327" s="107">
        <f t="shared" si="320"/>
        <v>169.88663043478277</v>
      </c>
      <c r="AX327" s="107">
        <f t="shared" si="321"/>
        <v>135.25630434782624</v>
      </c>
      <c r="AY327" s="107">
        <f t="shared" si="322"/>
        <v>100.62597826086972</v>
      </c>
      <c r="AZ327" s="107">
        <f t="shared" si="323"/>
        <v>65.995652173913186</v>
      </c>
      <c r="BA327" s="107">
        <f t="shared" si="324"/>
        <v>31.365326086956664</v>
      </c>
      <c r="BB327" s="107">
        <v>0</v>
      </c>
      <c r="BC327" s="107">
        <v>0</v>
      </c>
      <c r="BD327" s="107">
        <v>0</v>
      </c>
      <c r="BE327" s="107"/>
      <c r="BI327" s="127"/>
    </row>
    <row r="328" spans="1:75" hidden="1" x14ac:dyDescent="0.2">
      <c r="A328" s="123" t="str">
        <f>'[2]2021 УГРЦТ'!A330</f>
        <v>Панель ЩО 70-1-02</v>
      </c>
      <c r="B328" s="124" t="str">
        <f>'[2]2021 УГРЦТ'!B330</f>
        <v>00001007</v>
      </c>
      <c r="C328" s="124" t="str">
        <f>VLOOKUP(A:A,'2023-2027'!A:L,1,+FALSE)</f>
        <v>Панель ЩО 70-1-02</v>
      </c>
      <c r="D328" s="124" t="str">
        <f>'[2]2021 УГРЦТ'!C330</f>
        <v>ПЕРЕДАЧА</v>
      </c>
      <c r="E328" s="124" t="str">
        <f>'[2]2021 УГРЦТ'!D330</f>
        <v>Машины и оборудование (кроме офисного)</v>
      </c>
      <c r="F328" s="124" t="str">
        <f>'[2]2021 УГРЦТ'!E330</f>
        <v>30.11.2006</v>
      </c>
      <c r="G328" s="124" t="str">
        <f>'[2]2021 УГРЦТ'!F330</f>
        <v>Цех электрических сетей</v>
      </c>
      <c r="H328" s="124">
        <f>'[2]2021 УГРЦТ'!AC330</f>
        <v>180</v>
      </c>
      <c r="I328" s="107">
        <f>'[2]2021 УГРЦТ'!X330</f>
        <v>20236.95</v>
      </c>
      <c r="J328" s="107">
        <f>'[2]2021 УГРЦТ'!Y330</f>
        <v>20236.954999999998</v>
      </c>
      <c r="K328" s="107">
        <f>'[2]2021 УГРЦТ'!Z330</f>
        <v>-4.9999999973806553E-3</v>
      </c>
      <c r="L328" s="125" t="e">
        <f>SUMIF([2]облаг!$B$2:$B$259,B328,[2]облаг!$D$2:$D$259)</f>
        <v>#VALUE!</v>
      </c>
      <c r="M328" s="107">
        <v>0</v>
      </c>
      <c r="N328" s="107">
        <f t="shared" si="327"/>
        <v>0</v>
      </c>
      <c r="O328" s="107">
        <f t="shared" si="328"/>
        <v>-4.9999999973806553E-3</v>
      </c>
      <c r="P328" s="107">
        <f t="shared" si="329"/>
        <v>-4.9999999973806553E-3</v>
      </c>
      <c r="Q328" s="107">
        <f t="shared" si="277"/>
        <v>-4.9999999973806553E-3</v>
      </c>
      <c r="R328" s="107">
        <f t="shared" si="278"/>
        <v>-4.9999999973806553E-3</v>
      </c>
      <c r="S328" s="107">
        <f t="shared" si="279"/>
        <v>-4.9999999973806553E-3</v>
      </c>
      <c r="T328" s="107">
        <f t="shared" si="280"/>
        <v>-4.9999999973806553E-3</v>
      </c>
      <c r="U328" s="107">
        <f t="shared" si="281"/>
        <v>-4.9999999973806553E-3</v>
      </c>
      <c r="V328" s="107">
        <f t="shared" si="282"/>
        <v>-4.9999999973806553E-3</v>
      </c>
      <c r="W328" s="107">
        <f t="shared" si="283"/>
        <v>-4.9999999973806553E-3</v>
      </c>
      <c r="X328" s="107">
        <f t="shared" si="284"/>
        <v>-4.9999999973806553E-3</v>
      </c>
      <c r="Y328" s="107">
        <f t="shared" si="285"/>
        <v>-4.9999999973806553E-3</v>
      </c>
      <c r="Z328" s="107">
        <f t="shared" si="286"/>
        <v>-4.9999999973806553E-3</v>
      </c>
      <c r="AA328" s="107"/>
      <c r="AB328" s="107"/>
      <c r="AC328" s="107">
        <f t="shared" si="298"/>
        <v>0</v>
      </c>
      <c r="AD328" s="107">
        <f t="shared" si="287"/>
        <v>-4.9999999973806553E-3</v>
      </c>
      <c r="AE328" s="107">
        <f t="shared" si="288"/>
        <v>-4.9999999973806553E-3</v>
      </c>
      <c r="AF328" s="107">
        <f t="shared" si="289"/>
        <v>-4.9999999973806553E-3</v>
      </c>
      <c r="AG328" s="107">
        <f t="shared" si="290"/>
        <v>-4.9999999973806553E-3</v>
      </c>
      <c r="AH328" s="107">
        <f t="shared" si="291"/>
        <v>-4.9999999973806553E-3</v>
      </c>
      <c r="AI328" s="107">
        <f t="shared" si="292"/>
        <v>-4.9999999973806553E-3</v>
      </c>
      <c r="AJ328" s="107">
        <f t="shared" si="293"/>
        <v>-4.9999999973806553E-3</v>
      </c>
      <c r="AK328" s="107">
        <f t="shared" si="294"/>
        <v>-4.9999999973806553E-3</v>
      </c>
      <c r="AL328" s="107">
        <f t="shared" si="295"/>
        <v>-4.9999999973806553E-3</v>
      </c>
      <c r="AM328" s="107">
        <f t="shared" si="296"/>
        <v>-4.9999999973806553E-3</v>
      </c>
      <c r="AN328" s="107">
        <f t="shared" si="297"/>
        <v>-4.9999999973806553E-3</v>
      </c>
      <c r="AO328" s="107">
        <f t="shared" si="299"/>
        <v>-4.9999999973806553E-3</v>
      </c>
      <c r="AP328" s="107"/>
      <c r="AQ328" s="126"/>
      <c r="AR328" s="107">
        <f t="shared" si="300"/>
        <v>0</v>
      </c>
      <c r="AS328" s="107">
        <f t="shared" si="316"/>
        <v>-4.9999999973806553E-3</v>
      </c>
      <c r="AT328" s="107">
        <f t="shared" si="317"/>
        <v>-4.9999999973806553E-3</v>
      </c>
      <c r="AU328" s="107">
        <f t="shared" si="318"/>
        <v>-4.9999999973806553E-3</v>
      </c>
      <c r="AV328" s="107">
        <f t="shared" si="319"/>
        <v>-4.9999999973806553E-3</v>
      </c>
      <c r="AW328" s="107">
        <f t="shared" si="320"/>
        <v>-4.9999999973806553E-3</v>
      </c>
      <c r="AX328" s="107">
        <f t="shared" si="321"/>
        <v>-4.9999999973806553E-3</v>
      </c>
      <c r="AY328" s="107">
        <f t="shared" si="322"/>
        <v>-4.9999999973806553E-3</v>
      </c>
      <c r="AZ328" s="107">
        <f t="shared" si="323"/>
        <v>-4.9999999973806553E-3</v>
      </c>
      <c r="BA328" s="107">
        <f t="shared" si="324"/>
        <v>-4.9999999973806553E-3</v>
      </c>
      <c r="BB328" s="107">
        <f t="shared" ref="BB328:BB336" si="330">BA328-M328</f>
        <v>-4.9999999973806553E-3</v>
      </c>
      <c r="BC328" s="107">
        <f t="shared" ref="BC328:BC336" si="331">BB328-M328</f>
        <v>-4.9999999973806553E-3</v>
      </c>
      <c r="BD328" s="107">
        <f t="shared" ref="BD328:BD336" si="332">BC328-M328</f>
        <v>-4.9999999973806553E-3</v>
      </c>
      <c r="BE328" s="124"/>
      <c r="BI328" s="127"/>
    </row>
    <row r="329" spans="1:75" hidden="1" x14ac:dyDescent="0.2">
      <c r="A329" s="123" t="str">
        <f>'[2]2021 УГРЦТ'!A331</f>
        <v>Панель ЩО 70-1-02</v>
      </c>
      <c r="B329" s="124" t="str">
        <f>'[2]2021 УГРЦТ'!B331</f>
        <v>00001008</v>
      </c>
      <c r="C329" s="124" t="str">
        <f>VLOOKUP(A:A,'2023-2027'!A:L,1,+FALSE)</f>
        <v>Панель ЩО 70-1-02</v>
      </c>
      <c r="D329" s="124" t="str">
        <f>'[2]2021 УГРЦТ'!C331</f>
        <v>ПЕРЕДАЧА</v>
      </c>
      <c r="E329" s="124" t="str">
        <f>'[2]2021 УГРЦТ'!D331</f>
        <v>Машины и оборудование (кроме офисного)</v>
      </c>
      <c r="F329" s="124" t="str">
        <f>'[2]2021 УГРЦТ'!E331</f>
        <v>30.11.2006</v>
      </c>
      <c r="G329" s="124" t="str">
        <f>'[2]2021 УГРЦТ'!F331</f>
        <v>Цех электрических сетей</v>
      </c>
      <c r="H329" s="124">
        <f>'[2]2021 УГРЦТ'!AC331</f>
        <v>180</v>
      </c>
      <c r="I329" s="107">
        <f>'[2]2021 УГРЦТ'!X331</f>
        <v>20236.95</v>
      </c>
      <c r="J329" s="107">
        <f>'[2]2021 УГРЦТ'!Y331</f>
        <v>20236.954999999998</v>
      </c>
      <c r="K329" s="107">
        <f>'[2]2021 УГРЦТ'!Z331</f>
        <v>-4.9999999973806553E-3</v>
      </c>
      <c r="L329" s="125" t="e">
        <f>SUMIF([2]облаг!$B$2:$B$259,B329,[2]облаг!$D$2:$D$259)</f>
        <v>#VALUE!</v>
      </c>
      <c r="M329" s="107">
        <v>0</v>
      </c>
      <c r="N329" s="107">
        <f t="shared" si="327"/>
        <v>0</v>
      </c>
      <c r="O329" s="107">
        <f t="shared" si="328"/>
        <v>-4.9999999973806553E-3</v>
      </c>
      <c r="P329" s="107">
        <f t="shared" si="329"/>
        <v>-4.9999999973806553E-3</v>
      </c>
      <c r="Q329" s="107">
        <f t="shared" si="277"/>
        <v>-4.9999999973806553E-3</v>
      </c>
      <c r="R329" s="107">
        <f t="shared" si="278"/>
        <v>-4.9999999973806553E-3</v>
      </c>
      <c r="S329" s="107">
        <f t="shared" si="279"/>
        <v>-4.9999999973806553E-3</v>
      </c>
      <c r="T329" s="107">
        <f t="shared" si="280"/>
        <v>-4.9999999973806553E-3</v>
      </c>
      <c r="U329" s="107">
        <f t="shared" si="281"/>
        <v>-4.9999999973806553E-3</v>
      </c>
      <c r="V329" s="107">
        <f t="shared" si="282"/>
        <v>-4.9999999973806553E-3</v>
      </c>
      <c r="W329" s="107">
        <f t="shared" si="283"/>
        <v>-4.9999999973806553E-3</v>
      </c>
      <c r="X329" s="107">
        <f t="shared" si="284"/>
        <v>-4.9999999973806553E-3</v>
      </c>
      <c r="Y329" s="107">
        <f t="shared" si="285"/>
        <v>-4.9999999973806553E-3</v>
      </c>
      <c r="Z329" s="107">
        <f t="shared" si="286"/>
        <v>-4.9999999973806553E-3</v>
      </c>
      <c r="AA329" s="107"/>
      <c r="AB329" s="107"/>
      <c r="AC329" s="107">
        <f t="shared" si="298"/>
        <v>0</v>
      </c>
      <c r="AD329" s="107">
        <f t="shared" si="287"/>
        <v>-4.9999999973806553E-3</v>
      </c>
      <c r="AE329" s="107">
        <f t="shared" si="288"/>
        <v>-4.9999999973806553E-3</v>
      </c>
      <c r="AF329" s="107">
        <f t="shared" si="289"/>
        <v>-4.9999999973806553E-3</v>
      </c>
      <c r="AG329" s="107">
        <f t="shared" si="290"/>
        <v>-4.9999999973806553E-3</v>
      </c>
      <c r="AH329" s="107">
        <f t="shared" si="291"/>
        <v>-4.9999999973806553E-3</v>
      </c>
      <c r="AI329" s="107">
        <f t="shared" si="292"/>
        <v>-4.9999999973806553E-3</v>
      </c>
      <c r="AJ329" s="107">
        <f t="shared" si="293"/>
        <v>-4.9999999973806553E-3</v>
      </c>
      <c r="AK329" s="107">
        <f t="shared" si="294"/>
        <v>-4.9999999973806553E-3</v>
      </c>
      <c r="AL329" s="107">
        <f t="shared" si="295"/>
        <v>-4.9999999973806553E-3</v>
      </c>
      <c r="AM329" s="107">
        <f t="shared" si="296"/>
        <v>-4.9999999973806553E-3</v>
      </c>
      <c r="AN329" s="107">
        <f t="shared" si="297"/>
        <v>-4.9999999973806553E-3</v>
      </c>
      <c r="AO329" s="107">
        <f t="shared" si="299"/>
        <v>-4.9999999973806553E-3</v>
      </c>
      <c r="AP329" s="107"/>
      <c r="AQ329" s="126"/>
      <c r="AR329" s="107">
        <f t="shared" si="300"/>
        <v>0</v>
      </c>
      <c r="AS329" s="107">
        <f t="shared" si="316"/>
        <v>-4.9999999973806553E-3</v>
      </c>
      <c r="AT329" s="107">
        <f t="shared" si="317"/>
        <v>-4.9999999973806553E-3</v>
      </c>
      <c r="AU329" s="107">
        <f t="shared" si="318"/>
        <v>-4.9999999973806553E-3</v>
      </c>
      <c r="AV329" s="107">
        <f t="shared" si="319"/>
        <v>-4.9999999973806553E-3</v>
      </c>
      <c r="AW329" s="107">
        <f t="shared" si="320"/>
        <v>-4.9999999973806553E-3</v>
      </c>
      <c r="AX329" s="107">
        <f t="shared" si="321"/>
        <v>-4.9999999973806553E-3</v>
      </c>
      <c r="AY329" s="107">
        <f t="shared" si="322"/>
        <v>-4.9999999973806553E-3</v>
      </c>
      <c r="AZ329" s="107">
        <f t="shared" si="323"/>
        <v>-4.9999999973806553E-3</v>
      </c>
      <c r="BA329" s="107">
        <f t="shared" si="324"/>
        <v>-4.9999999973806553E-3</v>
      </c>
      <c r="BB329" s="107">
        <f t="shared" si="330"/>
        <v>-4.9999999973806553E-3</v>
      </c>
      <c r="BC329" s="107">
        <f t="shared" si="331"/>
        <v>-4.9999999973806553E-3</v>
      </c>
      <c r="BD329" s="107">
        <f t="shared" si="332"/>
        <v>-4.9999999973806553E-3</v>
      </c>
      <c r="BE329" s="124"/>
      <c r="BI329" s="127"/>
    </row>
    <row r="330" spans="1:75" hidden="1" x14ac:dyDescent="0.2">
      <c r="A330" s="123" t="str">
        <f>'[2]2021 УГРЦТ'!A332</f>
        <v>Панель ЩО 70-1-02</v>
      </c>
      <c r="B330" s="124" t="str">
        <f>'[2]2021 УГРЦТ'!B332</f>
        <v>00001009</v>
      </c>
      <c r="C330" s="124" t="str">
        <f>VLOOKUP(A:A,'2023-2027'!A:L,1,+FALSE)</f>
        <v>Панель ЩО 70-1-02</v>
      </c>
      <c r="D330" s="124" t="str">
        <f>'[2]2021 УГРЦТ'!C332</f>
        <v>ПЕРЕДАЧА</v>
      </c>
      <c r="E330" s="124" t="str">
        <f>'[2]2021 УГРЦТ'!D332</f>
        <v>Машины и оборудование (кроме офисного)</v>
      </c>
      <c r="F330" s="124" t="str">
        <f>'[2]2021 УГРЦТ'!E332</f>
        <v>30.11.2006</v>
      </c>
      <c r="G330" s="124" t="str">
        <f>'[2]2021 УГРЦТ'!F332</f>
        <v>Цех электрических сетей</v>
      </c>
      <c r="H330" s="124">
        <f>'[2]2021 УГРЦТ'!AC332</f>
        <v>180</v>
      </c>
      <c r="I330" s="107">
        <f>'[2]2021 УГРЦТ'!X332</f>
        <v>20236.95</v>
      </c>
      <c r="J330" s="107">
        <f>'[2]2021 УГРЦТ'!Y332</f>
        <v>20236.954999999998</v>
      </c>
      <c r="K330" s="107">
        <f>'[2]2021 УГРЦТ'!Z332</f>
        <v>-4.9999999973806553E-3</v>
      </c>
      <c r="L330" s="125" t="e">
        <f>SUMIF([2]облаг!$B$2:$B$259,B330,[2]облаг!$D$2:$D$259)</f>
        <v>#VALUE!</v>
      </c>
      <c r="M330" s="107">
        <v>0</v>
      </c>
      <c r="N330" s="107">
        <f t="shared" si="327"/>
        <v>0</v>
      </c>
      <c r="O330" s="107">
        <f t="shared" si="328"/>
        <v>-4.9999999973806553E-3</v>
      </c>
      <c r="P330" s="107">
        <f t="shared" si="329"/>
        <v>-4.9999999973806553E-3</v>
      </c>
      <c r="Q330" s="107">
        <f t="shared" si="277"/>
        <v>-4.9999999973806553E-3</v>
      </c>
      <c r="R330" s="107">
        <f t="shared" si="278"/>
        <v>-4.9999999973806553E-3</v>
      </c>
      <c r="S330" s="107">
        <f t="shared" si="279"/>
        <v>-4.9999999973806553E-3</v>
      </c>
      <c r="T330" s="107">
        <f t="shared" si="280"/>
        <v>-4.9999999973806553E-3</v>
      </c>
      <c r="U330" s="107">
        <f t="shared" si="281"/>
        <v>-4.9999999973806553E-3</v>
      </c>
      <c r="V330" s="107">
        <f t="shared" si="282"/>
        <v>-4.9999999973806553E-3</v>
      </c>
      <c r="W330" s="107">
        <f t="shared" si="283"/>
        <v>-4.9999999973806553E-3</v>
      </c>
      <c r="X330" s="107">
        <f t="shared" si="284"/>
        <v>-4.9999999973806553E-3</v>
      </c>
      <c r="Y330" s="107">
        <f t="shared" si="285"/>
        <v>-4.9999999973806553E-3</v>
      </c>
      <c r="Z330" s="107">
        <f t="shared" si="286"/>
        <v>-4.9999999973806553E-3</v>
      </c>
      <c r="AA330" s="107"/>
      <c r="AB330" s="107"/>
      <c r="AC330" s="107">
        <f t="shared" si="298"/>
        <v>0</v>
      </c>
      <c r="AD330" s="107">
        <f t="shared" si="287"/>
        <v>-4.9999999973806553E-3</v>
      </c>
      <c r="AE330" s="107">
        <f t="shared" si="288"/>
        <v>-4.9999999973806553E-3</v>
      </c>
      <c r="AF330" s="107">
        <f t="shared" si="289"/>
        <v>-4.9999999973806553E-3</v>
      </c>
      <c r="AG330" s="107">
        <f t="shared" si="290"/>
        <v>-4.9999999973806553E-3</v>
      </c>
      <c r="AH330" s="107">
        <f t="shared" si="291"/>
        <v>-4.9999999973806553E-3</v>
      </c>
      <c r="AI330" s="107">
        <f t="shared" si="292"/>
        <v>-4.9999999973806553E-3</v>
      </c>
      <c r="AJ330" s="107">
        <f t="shared" si="293"/>
        <v>-4.9999999973806553E-3</v>
      </c>
      <c r="AK330" s="107">
        <f t="shared" si="294"/>
        <v>-4.9999999973806553E-3</v>
      </c>
      <c r="AL330" s="107">
        <f t="shared" si="295"/>
        <v>-4.9999999973806553E-3</v>
      </c>
      <c r="AM330" s="107">
        <f t="shared" si="296"/>
        <v>-4.9999999973806553E-3</v>
      </c>
      <c r="AN330" s="107">
        <f t="shared" si="297"/>
        <v>-4.9999999973806553E-3</v>
      </c>
      <c r="AO330" s="107">
        <f t="shared" si="299"/>
        <v>-4.9999999973806553E-3</v>
      </c>
      <c r="AP330" s="107"/>
      <c r="AQ330" s="126"/>
      <c r="AR330" s="107">
        <f t="shared" si="300"/>
        <v>0</v>
      </c>
      <c r="AS330" s="107">
        <f t="shared" si="316"/>
        <v>-4.9999999973806553E-3</v>
      </c>
      <c r="AT330" s="107">
        <f t="shared" si="317"/>
        <v>-4.9999999973806553E-3</v>
      </c>
      <c r="AU330" s="107">
        <f t="shared" si="318"/>
        <v>-4.9999999973806553E-3</v>
      </c>
      <c r="AV330" s="107">
        <f t="shared" si="319"/>
        <v>-4.9999999973806553E-3</v>
      </c>
      <c r="AW330" s="107">
        <f t="shared" si="320"/>
        <v>-4.9999999973806553E-3</v>
      </c>
      <c r="AX330" s="107">
        <f t="shared" si="321"/>
        <v>-4.9999999973806553E-3</v>
      </c>
      <c r="AY330" s="107">
        <f t="shared" si="322"/>
        <v>-4.9999999973806553E-3</v>
      </c>
      <c r="AZ330" s="107">
        <f t="shared" si="323"/>
        <v>-4.9999999973806553E-3</v>
      </c>
      <c r="BA330" s="107">
        <f t="shared" si="324"/>
        <v>-4.9999999973806553E-3</v>
      </c>
      <c r="BB330" s="107">
        <f t="shared" si="330"/>
        <v>-4.9999999973806553E-3</v>
      </c>
      <c r="BC330" s="107">
        <f t="shared" si="331"/>
        <v>-4.9999999973806553E-3</v>
      </c>
      <c r="BD330" s="107">
        <f t="shared" si="332"/>
        <v>-4.9999999973806553E-3</v>
      </c>
      <c r="BE330" s="124"/>
      <c r="BI330" s="127"/>
    </row>
    <row r="331" spans="1:75" hidden="1" x14ac:dyDescent="0.2">
      <c r="A331" s="123" t="str">
        <f>'[2]2021 УГРЦТ'!A333</f>
        <v>Панель ЩО 70-1-32</v>
      </c>
      <c r="B331" s="124" t="str">
        <f>'[2]2021 УГРЦТ'!B333</f>
        <v>00001010</v>
      </c>
      <c r="C331" s="124" t="str">
        <f>VLOOKUP(A:A,'2023-2027'!A:L,1,+FALSE)</f>
        <v>Панель ЩО 70-1-32</v>
      </c>
      <c r="D331" s="124" t="str">
        <f>'[2]2021 УГРЦТ'!C333</f>
        <v>ПЕРЕДАЧА</v>
      </c>
      <c r="E331" s="124" t="str">
        <f>'[2]2021 УГРЦТ'!D333</f>
        <v>Машины и оборудование (кроме офисного)</v>
      </c>
      <c r="F331" s="124" t="str">
        <f>'[2]2021 УГРЦТ'!E333</f>
        <v>30.11.2006</v>
      </c>
      <c r="G331" s="124" t="str">
        <f>'[2]2021 УГРЦТ'!F333</f>
        <v>Цех электрических сетей</v>
      </c>
      <c r="H331" s="124">
        <f>'[2]2021 УГРЦТ'!AC333</f>
        <v>180</v>
      </c>
      <c r="I331" s="107">
        <f>'[2]2021 УГРЦТ'!X333</f>
        <v>23843.52</v>
      </c>
      <c r="J331" s="107">
        <f>'[2]2021 УГРЦТ'!Y333</f>
        <v>23843.52</v>
      </c>
      <c r="K331" s="107">
        <f>'[2]2021 УГРЦТ'!Z333</f>
        <v>0</v>
      </c>
      <c r="L331" s="125" t="e">
        <f>SUMIF([2]облаг!$B$2:$B$259,B331,[2]облаг!$D$2:$D$259)</f>
        <v>#VALUE!</v>
      </c>
      <c r="M331" s="107">
        <v>0</v>
      </c>
      <c r="N331" s="107">
        <f t="shared" si="327"/>
        <v>0</v>
      </c>
      <c r="O331" s="107">
        <f t="shared" si="328"/>
        <v>0</v>
      </c>
      <c r="P331" s="107">
        <f t="shared" si="329"/>
        <v>0</v>
      </c>
      <c r="Q331" s="107">
        <f t="shared" si="277"/>
        <v>0</v>
      </c>
      <c r="R331" s="107">
        <f t="shared" si="278"/>
        <v>0</v>
      </c>
      <c r="S331" s="107">
        <f t="shared" si="279"/>
        <v>0</v>
      </c>
      <c r="T331" s="107">
        <f t="shared" si="280"/>
        <v>0</v>
      </c>
      <c r="U331" s="107">
        <f t="shared" si="281"/>
        <v>0</v>
      </c>
      <c r="V331" s="107">
        <f t="shared" si="282"/>
        <v>0</v>
      </c>
      <c r="W331" s="107">
        <f t="shared" si="283"/>
        <v>0</v>
      </c>
      <c r="X331" s="107">
        <f t="shared" si="284"/>
        <v>0</v>
      </c>
      <c r="Y331" s="107">
        <f t="shared" si="285"/>
        <v>0</v>
      </c>
      <c r="Z331" s="107">
        <f t="shared" si="286"/>
        <v>0</v>
      </c>
      <c r="AA331" s="107"/>
      <c r="AB331" s="107"/>
      <c r="AC331" s="107">
        <f t="shared" si="298"/>
        <v>0</v>
      </c>
      <c r="AD331" s="107">
        <f t="shared" si="287"/>
        <v>0</v>
      </c>
      <c r="AE331" s="107">
        <f t="shared" si="288"/>
        <v>0</v>
      </c>
      <c r="AF331" s="107">
        <f t="shared" si="289"/>
        <v>0</v>
      </c>
      <c r="AG331" s="107">
        <f t="shared" si="290"/>
        <v>0</v>
      </c>
      <c r="AH331" s="107">
        <f t="shared" si="291"/>
        <v>0</v>
      </c>
      <c r="AI331" s="107">
        <f t="shared" si="292"/>
        <v>0</v>
      </c>
      <c r="AJ331" s="107">
        <f t="shared" si="293"/>
        <v>0</v>
      </c>
      <c r="AK331" s="107">
        <f t="shared" si="294"/>
        <v>0</v>
      </c>
      <c r="AL331" s="107">
        <f t="shared" si="295"/>
        <v>0</v>
      </c>
      <c r="AM331" s="107">
        <f t="shared" si="296"/>
        <v>0</v>
      </c>
      <c r="AN331" s="107">
        <f t="shared" si="297"/>
        <v>0</v>
      </c>
      <c r="AO331" s="107">
        <f t="shared" si="299"/>
        <v>0</v>
      </c>
      <c r="AP331" s="107"/>
      <c r="AQ331" s="126"/>
      <c r="AR331" s="107">
        <f t="shared" si="300"/>
        <v>0</v>
      </c>
      <c r="AS331" s="107">
        <f t="shared" si="316"/>
        <v>0</v>
      </c>
      <c r="AT331" s="107">
        <f t="shared" si="317"/>
        <v>0</v>
      </c>
      <c r="AU331" s="107">
        <f t="shared" si="318"/>
        <v>0</v>
      </c>
      <c r="AV331" s="107">
        <f t="shared" si="319"/>
        <v>0</v>
      </c>
      <c r="AW331" s="107">
        <f t="shared" si="320"/>
        <v>0</v>
      </c>
      <c r="AX331" s="107">
        <f t="shared" si="321"/>
        <v>0</v>
      </c>
      <c r="AY331" s="107">
        <f t="shared" si="322"/>
        <v>0</v>
      </c>
      <c r="AZ331" s="107">
        <f t="shared" si="323"/>
        <v>0</v>
      </c>
      <c r="BA331" s="107">
        <f t="shared" si="324"/>
        <v>0</v>
      </c>
      <c r="BB331" s="107">
        <f t="shared" si="330"/>
        <v>0</v>
      </c>
      <c r="BC331" s="107">
        <f t="shared" si="331"/>
        <v>0</v>
      </c>
      <c r="BD331" s="107">
        <f t="shared" si="332"/>
        <v>0</v>
      </c>
      <c r="BE331" s="124"/>
      <c r="BI331" s="127"/>
    </row>
    <row r="332" spans="1:75" hidden="1" x14ac:dyDescent="0.2">
      <c r="A332" s="123" t="str">
        <f>'[2]2021 УГРЦТ'!A334</f>
        <v>Панель ЩО 70-1-32</v>
      </c>
      <c r="B332" s="124" t="str">
        <f>'[2]2021 УГРЦТ'!B334</f>
        <v>00001011</v>
      </c>
      <c r="C332" s="124" t="str">
        <f>VLOOKUP(A:A,'2023-2027'!A:L,1,+FALSE)</f>
        <v>Панель ЩО 70-1-32</v>
      </c>
      <c r="D332" s="124" t="str">
        <f>'[2]2021 УГРЦТ'!C334</f>
        <v>ПЕРЕДАЧА</v>
      </c>
      <c r="E332" s="124" t="str">
        <f>'[2]2021 УГРЦТ'!D334</f>
        <v>Машины и оборудование (кроме офисного)</v>
      </c>
      <c r="F332" s="124" t="str">
        <f>'[2]2021 УГРЦТ'!E334</f>
        <v>30.11.2006</v>
      </c>
      <c r="G332" s="124" t="str">
        <f>'[2]2021 УГРЦТ'!F334</f>
        <v>Цех электрических сетей</v>
      </c>
      <c r="H332" s="124">
        <f>'[2]2021 УГРЦТ'!AC334</f>
        <v>180</v>
      </c>
      <c r="I332" s="107">
        <f>'[2]2021 УГРЦТ'!X334</f>
        <v>23843.52</v>
      </c>
      <c r="J332" s="107">
        <f>'[2]2021 УГРЦТ'!Y334</f>
        <v>23843.52</v>
      </c>
      <c r="K332" s="107">
        <f>'[2]2021 УГРЦТ'!Z334</f>
        <v>0</v>
      </c>
      <c r="L332" s="125" t="e">
        <f>SUMIF([2]облаг!$B$2:$B$259,B332,[2]облаг!$D$2:$D$259)</f>
        <v>#VALUE!</v>
      </c>
      <c r="M332" s="107">
        <v>0</v>
      </c>
      <c r="N332" s="107">
        <f t="shared" si="327"/>
        <v>0</v>
      </c>
      <c r="O332" s="107">
        <f t="shared" si="328"/>
        <v>0</v>
      </c>
      <c r="P332" s="107">
        <f t="shared" si="329"/>
        <v>0</v>
      </c>
      <c r="Q332" s="107">
        <f t="shared" si="277"/>
        <v>0</v>
      </c>
      <c r="R332" s="107">
        <f t="shared" si="278"/>
        <v>0</v>
      </c>
      <c r="S332" s="107">
        <f t="shared" si="279"/>
        <v>0</v>
      </c>
      <c r="T332" s="107">
        <f t="shared" si="280"/>
        <v>0</v>
      </c>
      <c r="U332" s="107">
        <f t="shared" si="281"/>
        <v>0</v>
      </c>
      <c r="V332" s="107">
        <f t="shared" si="282"/>
        <v>0</v>
      </c>
      <c r="W332" s="107">
        <f t="shared" si="283"/>
        <v>0</v>
      </c>
      <c r="X332" s="107">
        <f t="shared" si="284"/>
        <v>0</v>
      </c>
      <c r="Y332" s="107">
        <f t="shared" si="285"/>
        <v>0</v>
      </c>
      <c r="Z332" s="107">
        <f t="shared" si="286"/>
        <v>0</v>
      </c>
      <c r="AA332" s="107"/>
      <c r="AB332" s="107"/>
      <c r="AC332" s="107">
        <f t="shared" si="298"/>
        <v>0</v>
      </c>
      <c r="AD332" s="107">
        <f t="shared" si="287"/>
        <v>0</v>
      </c>
      <c r="AE332" s="107">
        <f t="shared" si="288"/>
        <v>0</v>
      </c>
      <c r="AF332" s="107">
        <f t="shared" si="289"/>
        <v>0</v>
      </c>
      <c r="AG332" s="107">
        <f t="shared" si="290"/>
        <v>0</v>
      </c>
      <c r="AH332" s="107">
        <f t="shared" si="291"/>
        <v>0</v>
      </c>
      <c r="AI332" s="107">
        <f t="shared" si="292"/>
        <v>0</v>
      </c>
      <c r="AJ332" s="107">
        <f t="shared" si="293"/>
        <v>0</v>
      </c>
      <c r="AK332" s="107">
        <f t="shared" si="294"/>
        <v>0</v>
      </c>
      <c r="AL332" s="107">
        <f t="shared" si="295"/>
        <v>0</v>
      </c>
      <c r="AM332" s="107">
        <f t="shared" si="296"/>
        <v>0</v>
      </c>
      <c r="AN332" s="107">
        <f t="shared" si="297"/>
        <v>0</v>
      </c>
      <c r="AO332" s="107">
        <f t="shared" si="299"/>
        <v>0</v>
      </c>
      <c r="AP332" s="107"/>
      <c r="AQ332" s="126"/>
      <c r="AR332" s="107">
        <f t="shared" si="300"/>
        <v>0</v>
      </c>
      <c r="AS332" s="107">
        <f t="shared" si="316"/>
        <v>0</v>
      </c>
      <c r="AT332" s="107">
        <f t="shared" si="317"/>
        <v>0</v>
      </c>
      <c r="AU332" s="107">
        <f t="shared" si="318"/>
        <v>0</v>
      </c>
      <c r="AV332" s="107">
        <f t="shared" si="319"/>
        <v>0</v>
      </c>
      <c r="AW332" s="107">
        <f t="shared" si="320"/>
        <v>0</v>
      </c>
      <c r="AX332" s="107">
        <f t="shared" si="321"/>
        <v>0</v>
      </c>
      <c r="AY332" s="107">
        <f t="shared" si="322"/>
        <v>0</v>
      </c>
      <c r="AZ332" s="107">
        <f t="shared" si="323"/>
        <v>0</v>
      </c>
      <c r="BA332" s="107">
        <f t="shared" si="324"/>
        <v>0</v>
      </c>
      <c r="BB332" s="107">
        <f t="shared" si="330"/>
        <v>0</v>
      </c>
      <c r="BC332" s="107">
        <f t="shared" si="331"/>
        <v>0</v>
      </c>
      <c r="BD332" s="107">
        <f t="shared" si="332"/>
        <v>0</v>
      </c>
      <c r="BE332" s="124"/>
      <c r="BI332" s="127"/>
    </row>
    <row r="333" spans="1:75" ht="22.5" hidden="1" x14ac:dyDescent="0.2">
      <c r="A333" s="123" t="str">
        <f>'[2]2021 УГРЦТ'!A335</f>
        <v>Панель ЩО 70-3-05 (Н) УЗ1 250А №6898</v>
      </c>
      <c r="B333" s="124" t="str">
        <f>'[2]2021 УГРЦТ'!B335</f>
        <v>00001370</v>
      </c>
      <c r="C333" s="124" t="str">
        <f>VLOOKUP(A:A,'2023-2027'!A:L,1,+FALSE)</f>
        <v>Панель ЩО 70-3-05 (Н) УЗ1 250А №6898</v>
      </c>
      <c r="D333" s="124" t="str">
        <f>'[2]2021 УГРЦТ'!C335</f>
        <v>ПЕРЕДАЧА</v>
      </c>
      <c r="E333" s="124" t="str">
        <f>'[2]2021 УГРЦТ'!D335</f>
        <v>Машины и оборудование (кроме офисного)</v>
      </c>
      <c r="F333" s="124" t="str">
        <f>'[2]2021 УГРЦТ'!E335</f>
        <v>18.10.2011</v>
      </c>
      <c r="G333" s="124" t="str">
        <f>'[2]2021 УГРЦТ'!F335</f>
        <v>Цех электрических сетей</v>
      </c>
      <c r="H333" s="124">
        <f>'[2]2021 УГРЦТ'!AC335</f>
        <v>120</v>
      </c>
      <c r="I333" s="107">
        <f>'[2]2021 УГРЦТ'!X335</f>
        <v>42049.94</v>
      </c>
      <c r="J333" s="107">
        <f>'[2]2021 УГРЦТ'!Y335</f>
        <v>42049.9355</v>
      </c>
      <c r="K333" s="107">
        <f>'[2]2021 УГРЦТ'!Z335</f>
        <v>4.5000000027357601E-3</v>
      </c>
      <c r="L333" s="125" t="e">
        <f>SUMIF([2]облаг!$B$2:$B$259,B333,[2]облаг!$D$2:$D$259)</f>
        <v>#VALUE!</v>
      </c>
      <c r="M333" s="107">
        <v>0</v>
      </c>
      <c r="N333" s="107">
        <f t="shared" si="327"/>
        <v>0</v>
      </c>
      <c r="O333" s="107">
        <f t="shared" si="328"/>
        <v>4.5000000027357601E-3</v>
      </c>
      <c r="P333" s="107">
        <f t="shared" si="329"/>
        <v>4.5000000027357601E-3</v>
      </c>
      <c r="Q333" s="107">
        <f t="shared" si="277"/>
        <v>4.5000000027357601E-3</v>
      </c>
      <c r="R333" s="107">
        <f t="shared" si="278"/>
        <v>4.5000000027357601E-3</v>
      </c>
      <c r="S333" s="107">
        <f t="shared" si="279"/>
        <v>4.5000000027357601E-3</v>
      </c>
      <c r="T333" s="107">
        <f t="shared" si="280"/>
        <v>4.5000000027357601E-3</v>
      </c>
      <c r="U333" s="107">
        <f t="shared" si="281"/>
        <v>4.5000000027357601E-3</v>
      </c>
      <c r="V333" s="107">
        <f t="shared" si="282"/>
        <v>4.5000000027357601E-3</v>
      </c>
      <c r="W333" s="107">
        <f t="shared" si="283"/>
        <v>4.5000000027357601E-3</v>
      </c>
      <c r="X333" s="107">
        <f t="shared" si="284"/>
        <v>4.5000000027357601E-3</v>
      </c>
      <c r="Y333" s="107">
        <f t="shared" si="285"/>
        <v>4.5000000027357601E-3</v>
      </c>
      <c r="Z333" s="107">
        <f t="shared" si="286"/>
        <v>4.5000000027357601E-3</v>
      </c>
      <c r="AA333" s="107"/>
      <c r="AB333" s="107"/>
      <c r="AC333" s="107">
        <f t="shared" si="298"/>
        <v>0</v>
      </c>
      <c r="AD333" s="107">
        <f t="shared" si="287"/>
        <v>4.5000000027357601E-3</v>
      </c>
      <c r="AE333" s="107">
        <f t="shared" si="288"/>
        <v>4.5000000027357601E-3</v>
      </c>
      <c r="AF333" s="107">
        <f t="shared" si="289"/>
        <v>4.5000000027357601E-3</v>
      </c>
      <c r="AG333" s="107">
        <f t="shared" si="290"/>
        <v>4.5000000027357601E-3</v>
      </c>
      <c r="AH333" s="107">
        <f t="shared" si="291"/>
        <v>4.5000000027357601E-3</v>
      </c>
      <c r="AI333" s="107">
        <f t="shared" si="292"/>
        <v>4.5000000027357601E-3</v>
      </c>
      <c r="AJ333" s="107">
        <f t="shared" si="293"/>
        <v>4.5000000027357601E-3</v>
      </c>
      <c r="AK333" s="107">
        <f t="shared" si="294"/>
        <v>4.5000000027357601E-3</v>
      </c>
      <c r="AL333" s="107">
        <f t="shared" si="295"/>
        <v>4.5000000027357601E-3</v>
      </c>
      <c r="AM333" s="107">
        <f t="shared" si="296"/>
        <v>4.5000000027357601E-3</v>
      </c>
      <c r="AN333" s="107">
        <f t="shared" si="297"/>
        <v>4.5000000027357601E-3</v>
      </c>
      <c r="AO333" s="107">
        <f t="shared" si="299"/>
        <v>4.5000000027357601E-3</v>
      </c>
      <c r="AP333" s="107"/>
      <c r="AQ333" s="126"/>
      <c r="AR333" s="107">
        <f t="shared" si="300"/>
        <v>0</v>
      </c>
      <c r="AS333" s="107">
        <f t="shared" si="316"/>
        <v>4.5000000027357601E-3</v>
      </c>
      <c r="AT333" s="107">
        <f t="shared" si="317"/>
        <v>4.5000000027357601E-3</v>
      </c>
      <c r="AU333" s="107">
        <f t="shared" si="318"/>
        <v>4.5000000027357601E-3</v>
      </c>
      <c r="AV333" s="107">
        <f t="shared" si="319"/>
        <v>4.5000000027357601E-3</v>
      </c>
      <c r="AW333" s="107">
        <f t="shared" si="320"/>
        <v>4.5000000027357601E-3</v>
      </c>
      <c r="AX333" s="107">
        <f t="shared" si="321"/>
        <v>4.5000000027357601E-3</v>
      </c>
      <c r="AY333" s="107">
        <f t="shared" si="322"/>
        <v>4.5000000027357601E-3</v>
      </c>
      <c r="AZ333" s="107">
        <f t="shared" si="323"/>
        <v>4.5000000027357601E-3</v>
      </c>
      <c r="BA333" s="107">
        <f t="shared" si="324"/>
        <v>4.5000000027357601E-3</v>
      </c>
      <c r="BB333" s="107">
        <f t="shared" si="330"/>
        <v>4.5000000027357601E-3</v>
      </c>
      <c r="BC333" s="107">
        <f t="shared" si="331"/>
        <v>4.5000000027357601E-3</v>
      </c>
      <c r="BD333" s="107">
        <f t="shared" si="332"/>
        <v>4.5000000027357601E-3</v>
      </c>
      <c r="BE333" s="124"/>
      <c r="BI333" s="127"/>
    </row>
    <row r="334" spans="1:75" ht="22.5" hidden="1" x14ac:dyDescent="0.2">
      <c r="A334" s="123" t="str">
        <f>'[2]2021 УГРЦТ'!A336</f>
        <v>Панель ЩО 70-3-05 (Н) УЗ2 260А №6899</v>
      </c>
      <c r="B334" s="124" t="str">
        <f>'[2]2021 УГРЦТ'!B336</f>
        <v>00001372</v>
      </c>
      <c r="C334" s="124" t="str">
        <f>VLOOKUP(A:A,'2023-2027'!A:L,1,+FALSE)</f>
        <v>Панель ЩО 70-3-05 (Н) УЗ2 260А №6899</v>
      </c>
      <c r="D334" s="124" t="str">
        <f>'[2]2021 УГРЦТ'!C336</f>
        <v>ПЕРЕДАЧА</v>
      </c>
      <c r="E334" s="124" t="str">
        <f>'[2]2021 УГРЦТ'!D336</f>
        <v>Машины и оборудование (кроме офисного)</v>
      </c>
      <c r="F334" s="124" t="str">
        <f>'[2]2021 УГРЦТ'!E336</f>
        <v>18.10.2011</v>
      </c>
      <c r="G334" s="124" t="str">
        <f>'[2]2021 УГРЦТ'!F336</f>
        <v>Цех электрических сетей</v>
      </c>
      <c r="H334" s="124">
        <f>'[2]2021 УГРЦТ'!AC336</f>
        <v>120</v>
      </c>
      <c r="I334" s="107">
        <f>'[2]2021 УГРЦТ'!X336</f>
        <v>50064.160000000003</v>
      </c>
      <c r="J334" s="107">
        <f>'[2]2021 УГРЦТ'!Y336</f>
        <v>50064.16333333333</v>
      </c>
      <c r="K334" s="107">
        <f>'[2]2021 УГРЦТ'!Z336</f>
        <v>-3.3333333267364651E-3</v>
      </c>
      <c r="L334" s="125" t="e">
        <f>SUMIF([2]облаг!$B$2:$B$259,B334,[2]облаг!$D$2:$D$259)</f>
        <v>#VALUE!</v>
      </c>
      <c r="M334" s="107">
        <v>0</v>
      </c>
      <c r="N334" s="107">
        <f t="shared" si="327"/>
        <v>0</v>
      </c>
      <c r="O334" s="107">
        <f t="shared" si="328"/>
        <v>-3.3333333267364651E-3</v>
      </c>
      <c r="P334" s="107">
        <f t="shared" si="329"/>
        <v>-3.3333333267364651E-3</v>
      </c>
      <c r="Q334" s="107">
        <f t="shared" si="277"/>
        <v>-3.3333333267364651E-3</v>
      </c>
      <c r="R334" s="107">
        <f t="shared" si="278"/>
        <v>-3.3333333267364651E-3</v>
      </c>
      <c r="S334" s="107">
        <f t="shared" si="279"/>
        <v>-3.3333333267364651E-3</v>
      </c>
      <c r="T334" s="107">
        <f t="shared" si="280"/>
        <v>-3.3333333267364651E-3</v>
      </c>
      <c r="U334" s="107">
        <f t="shared" si="281"/>
        <v>-3.3333333267364651E-3</v>
      </c>
      <c r="V334" s="107">
        <f t="shared" si="282"/>
        <v>-3.3333333267364651E-3</v>
      </c>
      <c r="W334" s="107">
        <f t="shared" si="283"/>
        <v>-3.3333333267364651E-3</v>
      </c>
      <c r="X334" s="107">
        <f t="shared" si="284"/>
        <v>-3.3333333267364651E-3</v>
      </c>
      <c r="Y334" s="107">
        <f t="shared" si="285"/>
        <v>-3.3333333267364651E-3</v>
      </c>
      <c r="Z334" s="107">
        <f t="shared" si="286"/>
        <v>-3.3333333267364651E-3</v>
      </c>
      <c r="AA334" s="107"/>
      <c r="AB334" s="107"/>
      <c r="AC334" s="107">
        <f t="shared" si="298"/>
        <v>0</v>
      </c>
      <c r="AD334" s="107">
        <f t="shared" si="287"/>
        <v>-3.3333333267364651E-3</v>
      </c>
      <c r="AE334" s="107">
        <f t="shared" si="288"/>
        <v>-3.3333333267364651E-3</v>
      </c>
      <c r="AF334" s="107">
        <f t="shared" si="289"/>
        <v>-3.3333333267364651E-3</v>
      </c>
      <c r="AG334" s="107">
        <f t="shared" si="290"/>
        <v>-3.3333333267364651E-3</v>
      </c>
      <c r="AH334" s="107">
        <f t="shared" si="291"/>
        <v>-3.3333333267364651E-3</v>
      </c>
      <c r="AI334" s="107">
        <f t="shared" si="292"/>
        <v>-3.3333333267364651E-3</v>
      </c>
      <c r="AJ334" s="107">
        <f t="shared" si="293"/>
        <v>-3.3333333267364651E-3</v>
      </c>
      <c r="AK334" s="107">
        <f t="shared" si="294"/>
        <v>-3.3333333267364651E-3</v>
      </c>
      <c r="AL334" s="107">
        <f t="shared" si="295"/>
        <v>-3.3333333267364651E-3</v>
      </c>
      <c r="AM334" s="107">
        <f t="shared" si="296"/>
        <v>-3.3333333267364651E-3</v>
      </c>
      <c r="AN334" s="107">
        <f t="shared" si="297"/>
        <v>-3.3333333267364651E-3</v>
      </c>
      <c r="AO334" s="107">
        <f t="shared" si="299"/>
        <v>-3.3333333267364651E-3</v>
      </c>
      <c r="AP334" s="107"/>
      <c r="AQ334" s="126"/>
      <c r="AR334" s="107">
        <f t="shared" si="300"/>
        <v>0</v>
      </c>
      <c r="AS334" s="107">
        <f t="shared" si="316"/>
        <v>-3.3333333267364651E-3</v>
      </c>
      <c r="AT334" s="107">
        <f t="shared" si="317"/>
        <v>-3.3333333267364651E-3</v>
      </c>
      <c r="AU334" s="107">
        <f t="shared" si="318"/>
        <v>-3.3333333267364651E-3</v>
      </c>
      <c r="AV334" s="107">
        <f t="shared" si="319"/>
        <v>-3.3333333267364651E-3</v>
      </c>
      <c r="AW334" s="107">
        <f t="shared" si="320"/>
        <v>-3.3333333267364651E-3</v>
      </c>
      <c r="AX334" s="107">
        <f t="shared" si="321"/>
        <v>-3.3333333267364651E-3</v>
      </c>
      <c r="AY334" s="107">
        <f t="shared" si="322"/>
        <v>-3.3333333267364651E-3</v>
      </c>
      <c r="AZ334" s="107">
        <f t="shared" si="323"/>
        <v>-3.3333333267364651E-3</v>
      </c>
      <c r="BA334" s="107">
        <f t="shared" si="324"/>
        <v>-3.3333333267364651E-3</v>
      </c>
      <c r="BB334" s="107">
        <f t="shared" si="330"/>
        <v>-3.3333333267364651E-3</v>
      </c>
      <c r="BC334" s="107">
        <f t="shared" si="331"/>
        <v>-3.3333333267364651E-3</v>
      </c>
      <c r="BD334" s="107">
        <f t="shared" si="332"/>
        <v>-3.3333333267364651E-3</v>
      </c>
      <c r="BE334" s="124"/>
      <c r="BI334" s="127"/>
    </row>
    <row r="335" spans="1:75" ht="22.5" hidden="1" x14ac:dyDescent="0.2">
      <c r="A335" s="123" t="str">
        <f>'[2]2021 УГРЦТ'!A337</f>
        <v>Панель ЩО 70-3-09 УЗ 1000А №6900</v>
      </c>
      <c r="B335" s="124" t="str">
        <f>'[2]2021 УГРЦТ'!B337</f>
        <v>00001369</v>
      </c>
      <c r="C335" s="124" t="str">
        <f>VLOOKUP(A:A,'2023-2027'!A:L,1,+FALSE)</f>
        <v>Панель ЩО 70-3-09 УЗ 1000А №6900</v>
      </c>
      <c r="D335" s="124" t="str">
        <f>'[2]2021 УГРЦТ'!C337</f>
        <v>ПЕРЕДАЧА</v>
      </c>
      <c r="E335" s="124" t="str">
        <f>'[2]2021 УГРЦТ'!D337</f>
        <v>Машины и оборудование (кроме офисного)</v>
      </c>
      <c r="F335" s="124" t="str">
        <f>'[2]2021 УГРЦТ'!E337</f>
        <v>18.10.2011</v>
      </c>
      <c r="G335" s="124" t="str">
        <f>'[2]2021 УГРЦТ'!F337</f>
        <v>Цех электрических сетей</v>
      </c>
      <c r="H335" s="124">
        <f>'[2]2021 УГРЦТ'!AC337</f>
        <v>120</v>
      </c>
      <c r="I335" s="107">
        <f>'[2]2021 УГРЦТ'!X337</f>
        <v>85089.29</v>
      </c>
      <c r="J335" s="107">
        <f>'[2]2021 УГРЦТ'!Y337</f>
        <v>85089.286749999999</v>
      </c>
      <c r="K335" s="107">
        <f>'[2]2021 УГРЦТ'!Z337</f>
        <v>3.2499999942956492E-3</v>
      </c>
      <c r="L335" s="125" t="e">
        <f>SUMIF([2]облаг!$B$2:$B$259,B335,[2]облаг!$D$2:$D$259)</f>
        <v>#VALUE!</v>
      </c>
      <c r="M335" s="107">
        <v>0</v>
      </c>
      <c r="N335" s="107">
        <f t="shared" si="327"/>
        <v>0</v>
      </c>
      <c r="O335" s="107">
        <f t="shared" si="328"/>
        <v>3.2499999942956492E-3</v>
      </c>
      <c r="P335" s="107">
        <f t="shared" si="329"/>
        <v>3.2499999942956492E-3</v>
      </c>
      <c r="Q335" s="107">
        <f t="shared" si="277"/>
        <v>3.2499999942956492E-3</v>
      </c>
      <c r="R335" s="107">
        <f t="shared" si="278"/>
        <v>3.2499999942956492E-3</v>
      </c>
      <c r="S335" s="107">
        <f t="shared" si="279"/>
        <v>3.2499999942956492E-3</v>
      </c>
      <c r="T335" s="107">
        <f t="shared" si="280"/>
        <v>3.2499999942956492E-3</v>
      </c>
      <c r="U335" s="107">
        <f t="shared" si="281"/>
        <v>3.2499999942956492E-3</v>
      </c>
      <c r="V335" s="107">
        <f t="shared" si="282"/>
        <v>3.2499999942956492E-3</v>
      </c>
      <c r="W335" s="107">
        <f t="shared" si="283"/>
        <v>3.2499999942956492E-3</v>
      </c>
      <c r="X335" s="107">
        <f t="shared" si="284"/>
        <v>3.2499999942956492E-3</v>
      </c>
      <c r="Y335" s="107">
        <f t="shared" si="285"/>
        <v>3.2499999942956492E-3</v>
      </c>
      <c r="Z335" s="107">
        <f t="shared" si="286"/>
        <v>3.2499999942956492E-3</v>
      </c>
      <c r="AA335" s="107"/>
      <c r="AB335" s="107"/>
      <c r="AC335" s="107">
        <f t="shared" si="298"/>
        <v>0</v>
      </c>
      <c r="AD335" s="107">
        <f t="shared" si="287"/>
        <v>3.2499999942956492E-3</v>
      </c>
      <c r="AE335" s="107">
        <f t="shared" si="288"/>
        <v>3.2499999942956492E-3</v>
      </c>
      <c r="AF335" s="107">
        <f t="shared" si="289"/>
        <v>3.2499999942956492E-3</v>
      </c>
      <c r="AG335" s="107">
        <f t="shared" si="290"/>
        <v>3.2499999942956492E-3</v>
      </c>
      <c r="AH335" s="107">
        <f t="shared" si="291"/>
        <v>3.2499999942956492E-3</v>
      </c>
      <c r="AI335" s="107">
        <f t="shared" si="292"/>
        <v>3.2499999942956492E-3</v>
      </c>
      <c r="AJ335" s="107">
        <f t="shared" si="293"/>
        <v>3.2499999942956492E-3</v>
      </c>
      <c r="AK335" s="107">
        <f t="shared" si="294"/>
        <v>3.2499999942956492E-3</v>
      </c>
      <c r="AL335" s="107">
        <f t="shared" si="295"/>
        <v>3.2499999942956492E-3</v>
      </c>
      <c r="AM335" s="107">
        <f t="shared" si="296"/>
        <v>3.2499999942956492E-3</v>
      </c>
      <c r="AN335" s="107">
        <f t="shared" si="297"/>
        <v>3.2499999942956492E-3</v>
      </c>
      <c r="AO335" s="107">
        <f t="shared" si="299"/>
        <v>3.2499999942956492E-3</v>
      </c>
      <c r="AP335" s="107"/>
      <c r="AQ335" s="126"/>
      <c r="AR335" s="107">
        <f t="shared" si="300"/>
        <v>0</v>
      </c>
      <c r="AS335" s="107">
        <f t="shared" si="316"/>
        <v>3.2499999942956492E-3</v>
      </c>
      <c r="AT335" s="107">
        <f t="shared" si="317"/>
        <v>3.2499999942956492E-3</v>
      </c>
      <c r="AU335" s="107">
        <f t="shared" si="318"/>
        <v>3.2499999942956492E-3</v>
      </c>
      <c r="AV335" s="107">
        <f t="shared" si="319"/>
        <v>3.2499999942956492E-3</v>
      </c>
      <c r="AW335" s="107">
        <f t="shared" si="320"/>
        <v>3.2499999942956492E-3</v>
      </c>
      <c r="AX335" s="107">
        <f t="shared" si="321"/>
        <v>3.2499999942956492E-3</v>
      </c>
      <c r="AY335" s="107">
        <f t="shared" si="322"/>
        <v>3.2499999942956492E-3</v>
      </c>
      <c r="AZ335" s="107">
        <f t="shared" si="323"/>
        <v>3.2499999942956492E-3</v>
      </c>
      <c r="BA335" s="107">
        <f t="shared" si="324"/>
        <v>3.2499999942956492E-3</v>
      </c>
      <c r="BB335" s="107">
        <f t="shared" si="330"/>
        <v>3.2499999942956492E-3</v>
      </c>
      <c r="BC335" s="107">
        <f t="shared" si="331"/>
        <v>3.2499999942956492E-3</v>
      </c>
      <c r="BD335" s="107">
        <f t="shared" si="332"/>
        <v>3.2499999942956492E-3</v>
      </c>
      <c r="BE335" s="124"/>
      <c r="BI335" s="127"/>
    </row>
    <row r="336" spans="1:75" hidden="1" x14ac:dyDescent="0.2">
      <c r="A336" s="123" t="str">
        <f>'[2]2021 УГРЦТ'!A338</f>
        <v>Панель ЩО 70-3М-01</v>
      </c>
      <c r="B336" s="124" t="str">
        <f>'[2]2021 УГРЦТ'!B338</f>
        <v>00001012</v>
      </c>
      <c r="C336" s="124" t="str">
        <f>VLOOKUP(A:A,'2023-2027'!A:L,1,+FALSE)</f>
        <v>Панель ЩО 70-3М-01</v>
      </c>
      <c r="D336" s="124" t="str">
        <f>'[2]2021 УГРЦТ'!C338</f>
        <v>ПЕРЕДАЧА</v>
      </c>
      <c r="E336" s="124" t="str">
        <f>'[2]2021 УГРЦТ'!D338</f>
        <v>Машины и оборудование (кроме офисного)</v>
      </c>
      <c r="F336" s="124" t="str">
        <f>'[2]2021 УГРЦТ'!E338</f>
        <v>30.11.2006</v>
      </c>
      <c r="G336" s="124" t="str">
        <f>'[2]2021 УГРЦТ'!F338</f>
        <v>Цех электрических сетей</v>
      </c>
      <c r="H336" s="124">
        <f>'[2]2021 УГРЦТ'!AC338</f>
        <v>180</v>
      </c>
      <c r="I336" s="107">
        <f>'[2]2021 УГРЦТ'!X338</f>
        <v>49197.8</v>
      </c>
      <c r="J336" s="107">
        <f>'[2]2021 УГРЦТ'!Y338</f>
        <v>49197.802222222228</v>
      </c>
      <c r="K336" s="107">
        <f>'[2]2021 УГРЦТ'!Z338</f>
        <v>-2.2222222251002677E-3</v>
      </c>
      <c r="L336" s="125" t="e">
        <f>SUMIF([2]облаг!$B$2:$B$259,B336,[2]облаг!$D$2:$D$259)</f>
        <v>#VALUE!</v>
      </c>
      <c r="M336" s="107">
        <v>0</v>
      </c>
      <c r="N336" s="107">
        <f t="shared" si="327"/>
        <v>0</v>
      </c>
      <c r="O336" s="107">
        <f t="shared" si="328"/>
        <v>-2.2222222251002677E-3</v>
      </c>
      <c r="P336" s="107">
        <f t="shared" si="329"/>
        <v>-2.2222222251002677E-3</v>
      </c>
      <c r="Q336" s="107">
        <f t="shared" si="277"/>
        <v>-2.2222222251002677E-3</v>
      </c>
      <c r="R336" s="107">
        <f t="shared" si="278"/>
        <v>-2.2222222251002677E-3</v>
      </c>
      <c r="S336" s="107">
        <f t="shared" si="279"/>
        <v>-2.2222222251002677E-3</v>
      </c>
      <c r="T336" s="107">
        <f t="shared" si="280"/>
        <v>-2.2222222251002677E-3</v>
      </c>
      <c r="U336" s="107">
        <f t="shared" si="281"/>
        <v>-2.2222222251002677E-3</v>
      </c>
      <c r="V336" s="107">
        <f t="shared" si="282"/>
        <v>-2.2222222251002677E-3</v>
      </c>
      <c r="W336" s="107">
        <f t="shared" si="283"/>
        <v>-2.2222222251002677E-3</v>
      </c>
      <c r="X336" s="107">
        <f t="shared" si="284"/>
        <v>-2.2222222251002677E-3</v>
      </c>
      <c r="Y336" s="107">
        <f t="shared" si="285"/>
        <v>-2.2222222251002677E-3</v>
      </c>
      <c r="Z336" s="107">
        <f t="shared" si="286"/>
        <v>-2.2222222251002677E-3</v>
      </c>
      <c r="AA336" s="107"/>
      <c r="AB336" s="107"/>
      <c r="AC336" s="107">
        <f t="shared" si="298"/>
        <v>0</v>
      </c>
      <c r="AD336" s="107">
        <f t="shared" si="287"/>
        <v>-2.2222222251002677E-3</v>
      </c>
      <c r="AE336" s="107">
        <f t="shared" si="288"/>
        <v>-2.2222222251002677E-3</v>
      </c>
      <c r="AF336" s="107">
        <f t="shared" si="289"/>
        <v>-2.2222222251002677E-3</v>
      </c>
      <c r="AG336" s="107">
        <f t="shared" si="290"/>
        <v>-2.2222222251002677E-3</v>
      </c>
      <c r="AH336" s="107">
        <f t="shared" si="291"/>
        <v>-2.2222222251002677E-3</v>
      </c>
      <c r="AI336" s="107">
        <f t="shared" si="292"/>
        <v>-2.2222222251002677E-3</v>
      </c>
      <c r="AJ336" s="107">
        <f t="shared" si="293"/>
        <v>-2.2222222251002677E-3</v>
      </c>
      <c r="AK336" s="107">
        <f t="shared" si="294"/>
        <v>-2.2222222251002677E-3</v>
      </c>
      <c r="AL336" s="107">
        <f t="shared" si="295"/>
        <v>-2.2222222251002677E-3</v>
      </c>
      <c r="AM336" s="107">
        <f t="shared" si="296"/>
        <v>-2.2222222251002677E-3</v>
      </c>
      <c r="AN336" s="107">
        <f t="shared" si="297"/>
        <v>-2.2222222251002677E-3</v>
      </c>
      <c r="AO336" s="107">
        <f t="shared" si="299"/>
        <v>-2.2222222251002677E-3</v>
      </c>
      <c r="AP336" s="107"/>
      <c r="AQ336" s="126"/>
      <c r="AR336" s="107">
        <f t="shared" si="300"/>
        <v>0</v>
      </c>
      <c r="AS336" s="107">
        <f t="shared" si="316"/>
        <v>-2.2222222251002677E-3</v>
      </c>
      <c r="AT336" s="107">
        <f t="shared" si="317"/>
        <v>-2.2222222251002677E-3</v>
      </c>
      <c r="AU336" s="107">
        <f t="shared" si="318"/>
        <v>-2.2222222251002677E-3</v>
      </c>
      <c r="AV336" s="107">
        <f t="shared" si="319"/>
        <v>-2.2222222251002677E-3</v>
      </c>
      <c r="AW336" s="107">
        <f t="shared" si="320"/>
        <v>-2.2222222251002677E-3</v>
      </c>
      <c r="AX336" s="107">
        <f t="shared" si="321"/>
        <v>-2.2222222251002677E-3</v>
      </c>
      <c r="AY336" s="107">
        <f t="shared" si="322"/>
        <v>-2.2222222251002677E-3</v>
      </c>
      <c r="AZ336" s="107">
        <f t="shared" si="323"/>
        <v>-2.2222222251002677E-3</v>
      </c>
      <c r="BA336" s="107">
        <f t="shared" si="324"/>
        <v>-2.2222222251002677E-3</v>
      </c>
      <c r="BB336" s="107">
        <f t="shared" si="330"/>
        <v>-2.2222222251002677E-3</v>
      </c>
      <c r="BC336" s="107">
        <f t="shared" si="331"/>
        <v>-2.2222222251002677E-3</v>
      </c>
      <c r="BD336" s="107">
        <f t="shared" si="332"/>
        <v>-2.2222222251002677E-3</v>
      </c>
      <c r="BE336" s="124"/>
      <c r="BI336" s="127"/>
    </row>
    <row r="337" spans="1:75" hidden="1" x14ac:dyDescent="0.2">
      <c r="A337" s="123" t="str">
        <f>'[2]2021 УГРЦТ'!A339</f>
        <v>Панель ЩО 91-05</v>
      </c>
      <c r="B337" s="124" t="str">
        <f>'[2]2021 УГРЦТ'!B339</f>
        <v>000001617</v>
      </c>
      <c r="C337" s="124" t="str">
        <f>VLOOKUP(A:A,'2023-2027'!A:L,1,+FALSE)</f>
        <v>Панель ЩО 91-05</v>
      </c>
      <c r="D337" s="124" t="str">
        <f>'[2]2021 УГРЦТ'!C339</f>
        <v>ПЕРЕДАЧА</v>
      </c>
      <c r="E337" s="124" t="str">
        <f>'[2]2021 УГРЦТ'!D339</f>
        <v>Машины и оборудование (кроме офисного)</v>
      </c>
      <c r="F337" s="124" t="str">
        <f>'[2]2021 УГРЦТ'!E339</f>
        <v>30.04.2014</v>
      </c>
      <c r="G337" s="124" t="str">
        <f>'[2]2021 УГРЦТ'!F339</f>
        <v>Цех электрических сетей</v>
      </c>
      <c r="H337" s="124">
        <f>'[2]2021 УГРЦТ'!AC339</f>
        <v>120</v>
      </c>
      <c r="I337" s="107">
        <f>'[2]2021 УГРЦТ'!X339</f>
        <v>42304.11</v>
      </c>
      <c r="J337" s="107">
        <f>'[2]2021 УГРЦТ'!Y339</f>
        <v>32432.811000000002</v>
      </c>
      <c r="K337" s="107">
        <f>'[2]2021 УГРЦТ'!Z339</f>
        <v>9871.2989999999991</v>
      </c>
      <c r="L337" s="125" t="e">
        <f>SUMIF([2]облаг!$B$2:$B$259,B337,[2]облаг!$D$2:$D$259)</f>
        <v>#VALUE!</v>
      </c>
      <c r="M337" s="107">
        <f t="shared" si="326"/>
        <v>352.53424999999999</v>
      </c>
      <c r="N337" s="107">
        <f t="shared" si="327"/>
        <v>4230.4110000000001</v>
      </c>
      <c r="O337" s="107">
        <f t="shared" si="328"/>
        <v>9518.7647499999985</v>
      </c>
      <c r="P337" s="107">
        <f t="shared" si="329"/>
        <v>9166.2304999999978</v>
      </c>
      <c r="Q337" s="107">
        <f t="shared" si="277"/>
        <v>8813.6962499999972</v>
      </c>
      <c r="R337" s="107">
        <f t="shared" si="278"/>
        <v>8461.1619999999966</v>
      </c>
      <c r="S337" s="107">
        <f t="shared" si="279"/>
        <v>8108.6277499999969</v>
      </c>
      <c r="T337" s="107">
        <f t="shared" si="280"/>
        <v>7756.0934999999972</v>
      </c>
      <c r="U337" s="107">
        <f t="shared" si="281"/>
        <v>7403.5592499999975</v>
      </c>
      <c r="V337" s="107">
        <f t="shared" si="282"/>
        <v>7051.0249999999978</v>
      </c>
      <c r="W337" s="107">
        <f t="shared" si="283"/>
        <v>6698.4907499999981</v>
      </c>
      <c r="X337" s="107">
        <f t="shared" si="284"/>
        <v>6345.9564999999984</v>
      </c>
      <c r="Y337" s="107">
        <f t="shared" si="285"/>
        <v>5993.4222499999987</v>
      </c>
      <c r="Z337" s="107">
        <f t="shared" si="286"/>
        <v>5640.887999999999</v>
      </c>
      <c r="AA337" s="107"/>
      <c r="AB337" s="107"/>
      <c r="AC337" s="107">
        <f t="shared" si="298"/>
        <v>4230.4110000000001</v>
      </c>
      <c r="AD337" s="107">
        <f t="shared" si="287"/>
        <v>5288.3537499999993</v>
      </c>
      <c r="AE337" s="107">
        <f t="shared" si="288"/>
        <v>4935.8194999999996</v>
      </c>
      <c r="AF337" s="107">
        <f t="shared" si="289"/>
        <v>4583.2852499999999</v>
      </c>
      <c r="AG337" s="107">
        <f t="shared" si="290"/>
        <v>4230.7510000000002</v>
      </c>
      <c r="AH337" s="107">
        <f t="shared" si="291"/>
        <v>3878.21675</v>
      </c>
      <c r="AI337" s="107">
        <f t="shared" si="292"/>
        <v>3525.6824999999999</v>
      </c>
      <c r="AJ337" s="107">
        <f t="shared" si="293"/>
        <v>3173.1482499999997</v>
      </c>
      <c r="AK337" s="107">
        <f t="shared" si="294"/>
        <v>2820.6139999999996</v>
      </c>
      <c r="AL337" s="107">
        <f t="shared" si="295"/>
        <v>2468.0797499999994</v>
      </c>
      <c r="AM337" s="107">
        <f t="shared" si="296"/>
        <v>2115.5454999999993</v>
      </c>
      <c r="AN337" s="107">
        <f t="shared" si="297"/>
        <v>1763.0112499999993</v>
      </c>
      <c r="AO337" s="107">
        <f t="shared" si="299"/>
        <v>1410.4769999999994</v>
      </c>
      <c r="AP337" s="107"/>
      <c r="AQ337" s="126"/>
      <c r="AR337" s="107">
        <f>AS337</f>
        <v>1057.9427499999995</v>
      </c>
      <c r="AS337" s="107">
        <f t="shared" si="316"/>
        <v>1057.9427499999995</v>
      </c>
      <c r="AT337" s="107">
        <f t="shared" si="317"/>
        <v>705.40849999999955</v>
      </c>
      <c r="AU337" s="107">
        <f t="shared" si="318"/>
        <v>352.87424999999956</v>
      </c>
      <c r="AV337" s="107">
        <f t="shared" si="319"/>
        <v>0.33999999999957708</v>
      </c>
      <c r="AW337" s="107">
        <v>0</v>
      </c>
      <c r="AX337" s="107">
        <v>0</v>
      </c>
      <c r="AY337" s="107">
        <v>0</v>
      </c>
      <c r="AZ337" s="107">
        <v>0</v>
      </c>
      <c r="BA337" s="107">
        <v>0</v>
      </c>
      <c r="BB337" s="107">
        <v>0</v>
      </c>
      <c r="BC337" s="107">
        <v>0</v>
      </c>
      <c r="BD337" s="107">
        <v>0</v>
      </c>
      <c r="BE337" s="107"/>
      <c r="BI337" s="127"/>
    </row>
    <row r="338" spans="1:75" hidden="1" x14ac:dyDescent="0.2">
      <c r="A338" s="123" t="str">
        <f>'[2]2021 УГРЦТ'!A340</f>
        <v>Панель ЩО 91-06</v>
      </c>
      <c r="B338" s="124" t="str">
        <f>'[2]2021 УГРЦТ'!B340</f>
        <v>000001618</v>
      </c>
      <c r="C338" s="124" t="str">
        <f>VLOOKUP(A:A,'2023-2027'!A:L,1,+FALSE)</f>
        <v>Панель ЩО 91-06</v>
      </c>
      <c r="D338" s="124" t="str">
        <f>'[2]2021 УГРЦТ'!C340</f>
        <v>ПЕРЕДАЧА</v>
      </c>
      <c r="E338" s="124" t="str">
        <f>'[2]2021 УГРЦТ'!D340</f>
        <v>Другие виды основных средств</v>
      </c>
      <c r="F338" s="124" t="str">
        <f>'[2]2021 УГРЦТ'!E340</f>
        <v>30.04.2014</v>
      </c>
      <c r="G338" s="124" t="str">
        <f>'[2]2021 УГРЦТ'!F340</f>
        <v>Цех электрических сетей</v>
      </c>
      <c r="H338" s="124">
        <f>'[2]2021 УГРЦТ'!AC340</f>
        <v>120</v>
      </c>
      <c r="I338" s="107">
        <f>'[2]2021 УГРЦТ'!X340</f>
        <v>55133.279999999999</v>
      </c>
      <c r="J338" s="107">
        <f>'[2]2021 УГРЦТ'!Y340</f>
        <v>42268.527999999998</v>
      </c>
      <c r="K338" s="107">
        <f>'[2]2021 УГРЦТ'!Z340</f>
        <v>12864.752</v>
      </c>
      <c r="L338" s="125" t="e">
        <f>SUMIF([2]облаг!$B$2:$B$259,B338,[2]облаг!$D$2:$D$259)</f>
        <v>#VALUE!</v>
      </c>
      <c r="M338" s="107">
        <f t="shared" si="326"/>
        <v>459.44400000000002</v>
      </c>
      <c r="N338" s="107">
        <f t="shared" si="327"/>
        <v>5513.3280000000004</v>
      </c>
      <c r="O338" s="107">
        <f t="shared" si="328"/>
        <v>12405.308000000001</v>
      </c>
      <c r="P338" s="107">
        <f t="shared" si="329"/>
        <v>11945.864000000001</v>
      </c>
      <c r="Q338" s="107">
        <f t="shared" si="277"/>
        <v>11486.420000000002</v>
      </c>
      <c r="R338" s="107">
        <f t="shared" si="278"/>
        <v>11026.976000000002</v>
      </c>
      <c r="S338" s="107">
        <f t="shared" si="279"/>
        <v>10567.532000000003</v>
      </c>
      <c r="T338" s="107">
        <f t="shared" si="280"/>
        <v>10108.088000000003</v>
      </c>
      <c r="U338" s="107">
        <f t="shared" si="281"/>
        <v>9648.6440000000039</v>
      </c>
      <c r="V338" s="107">
        <f t="shared" si="282"/>
        <v>9189.2000000000044</v>
      </c>
      <c r="W338" s="107">
        <f t="shared" si="283"/>
        <v>8729.7560000000049</v>
      </c>
      <c r="X338" s="107">
        <f t="shared" si="284"/>
        <v>8270.3120000000054</v>
      </c>
      <c r="Y338" s="107">
        <f t="shared" si="285"/>
        <v>7810.8680000000049</v>
      </c>
      <c r="Z338" s="107">
        <f t="shared" si="286"/>
        <v>7351.4240000000045</v>
      </c>
      <c r="AA338" s="107"/>
      <c r="AB338" s="107"/>
      <c r="AC338" s="107">
        <f t="shared" si="298"/>
        <v>5513.3280000000004</v>
      </c>
      <c r="AD338" s="107">
        <f t="shared" si="287"/>
        <v>6891.9800000000041</v>
      </c>
      <c r="AE338" s="107">
        <f t="shared" si="288"/>
        <v>6432.5360000000037</v>
      </c>
      <c r="AF338" s="107">
        <f t="shared" si="289"/>
        <v>5973.0920000000033</v>
      </c>
      <c r="AG338" s="107">
        <f t="shared" si="290"/>
        <v>5513.6480000000029</v>
      </c>
      <c r="AH338" s="107">
        <f t="shared" si="291"/>
        <v>5054.2040000000025</v>
      </c>
      <c r="AI338" s="107">
        <f t="shared" si="292"/>
        <v>4594.760000000002</v>
      </c>
      <c r="AJ338" s="107">
        <f t="shared" si="293"/>
        <v>4135.3160000000016</v>
      </c>
      <c r="AK338" s="107">
        <f t="shared" si="294"/>
        <v>3675.8720000000017</v>
      </c>
      <c r="AL338" s="107">
        <f t="shared" si="295"/>
        <v>3216.4280000000017</v>
      </c>
      <c r="AM338" s="107">
        <f t="shared" si="296"/>
        <v>2756.9840000000017</v>
      </c>
      <c r="AN338" s="107">
        <f t="shared" si="297"/>
        <v>2297.5400000000018</v>
      </c>
      <c r="AO338" s="107">
        <f t="shared" si="299"/>
        <v>1838.0960000000018</v>
      </c>
      <c r="AP338" s="107"/>
      <c r="AQ338" s="126"/>
      <c r="AR338" s="107">
        <f>AS338</f>
        <v>1378.6520000000019</v>
      </c>
      <c r="AS338" s="107">
        <f t="shared" si="316"/>
        <v>1378.6520000000019</v>
      </c>
      <c r="AT338" s="107">
        <f t="shared" si="317"/>
        <v>919.2080000000019</v>
      </c>
      <c r="AU338" s="107">
        <f t="shared" si="318"/>
        <v>459.76400000000189</v>
      </c>
      <c r="AV338" s="107">
        <f t="shared" si="319"/>
        <v>0.32000000000186901</v>
      </c>
      <c r="AW338" s="107">
        <v>0</v>
      </c>
      <c r="AX338" s="107">
        <v>0</v>
      </c>
      <c r="AY338" s="107">
        <v>0</v>
      </c>
      <c r="AZ338" s="107">
        <v>0</v>
      </c>
      <c r="BA338" s="107">
        <v>0</v>
      </c>
      <c r="BB338" s="107">
        <v>0</v>
      </c>
      <c r="BC338" s="107">
        <v>0</v>
      </c>
      <c r="BD338" s="107">
        <v>0</v>
      </c>
      <c r="BE338" s="107"/>
      <c r="BI338" s="127"/>
    </row>
    <row r="339" spans="1:75" hidden="1" x14ac:dyDescent="0.2">
      <c r="A339" s="123" t="str">
        <f>'[2]2021 УГРЦТ'!A341</f>
        <v>Передвижная КТП</v>
      </c>
      <c r="B339" s="124" t="str">
        <f>'[2]2021 УГРЦТ'!B341</f>
        <v>000001641</v>
      </c>
      <c r="C339" s="124" t="str">
        <f>VLOOKUP(A:A,'2023-2027'!A:L,1,+FALSE)</f>
        <v>Передвижная КТП</v>
      </c>
      <c r="D339" s="124" t="str">
        <f>'[2]2021 УГРЦТ'!C341</f>
        <v>ПЕРЕДАЧА</v>
      </c>
      <c r="E339" s="124" t="str">
        <f>'[2]2021 УГРЦТ'!D341</f>
        <v>Другие виды основных средств</v>
      </c>
      <c r="F339" s="124" t="str">
        <f>'[2]2021 УГРЦТ'!E341</f>
        <v>12.11.2014</v>
      </c>
      <c r="G339" s="124" t="str">
        <f>'[2]2021 УГРЦТ'!F341</f>
        <v>Цех электрических сетей</v>
      </c>
      <c r="H339" s="124">
        <f>'[2]2021 УГРЦТ'!AC341</f>
        <v>211</v>
      </c>
      <c r="I339" s="107">
        <f>'[2]2021 УГРЦТ'!X341</f>
        <v>91853.91</v>
      </c>
      <c r="J339" s="107">
        <f>'[2]2021 УГРЦТ'!Y341</f>
        <v>37003.0090521327</v>
      </c>
      <c r="K339" s="107">
        <f>'[2]2021 УГРЦТ'!Z341</f>
        <v>54850.900947867303</v>
      </c>
      <c r="L339" s="125" t="e">
        <f>SUMIF([2]облаг!$B$2:$B$259,B339,[2]облаг!$D$2:$D$259)</f>
        <v>#VALUE!</v>
      </c>
      <c r="M339" s="107">
        <f t="shared" si="326"/>
        <v>435.32658767772512</v>
      </c>
      <c r="N339" s="107">
        <f t="shared" si="327"/>
        <v>5223.9190521327018</v>
      </c>
      <c r="O339" s="107">
        <f t="shared" si="328"/>
        <v>54415.574360189581</v>
      </c>
      <c r="P339" s="107">
        <f t="shared" si="329"/>
        <v>53980.247772511859</v>
      </c>
      <c r="Q339" s="107">
        <f t="shared" si="277"/>
        <v>53544.921184834137</v>
      </c>
      <c r="R339" s="107">
        <f t="shared" si="278"/>
        <v>53109.594597156414</v>
      </c>
      <c r="S339" s="107">
        <f t="shared" si="279"/>
        <v>52674.268009478692</v>
      </c>
      <c r="T339" s="107">
        <f t="shared" si="280"/>
        <v>52238.94142180097</v>
      </c>
      <c r="U339" s="107">
        <f t="shared" si="281"/>
        <v>51803.614834123247</v>
      </c>
      <c r="V339" s="107">
        <f t="shared" si="282"/>
        <v>51368.288246445525</v>
      </c>
      <c r="W339" s="107">
        <f t="shared" si="283"/>
        <v>50932.961658767803</v>
      </c>
      <c r="X339" s="107">
        <f t="shared" si="284"/>
        <v>50497.635071090081</v>
      </c>
      <c r="Y339" s="107">
        <f t="shared" si="285"/>
        <v>50062.308483412358</v>
      </c>
      <c r="Z339" s="107">
        <f t="shared" si="286"/>
        <v>49626.981895734636</v>
      </c>
      <c r="AA339" s="107"/>
      <c r="AB339" s="107"/>
      <c r="AC339" s="107">
        <f t="shared" si="298"/>
        <v>5223.9190521327018</v>
      </c>
      <c r="AD339" s="107">
        <f t="shared" si="287"/>
        <v>49191.655308056914</v>
      </c>
      <c r="AE339" s="107">
        <f t="shared" si="288"/>
        <v>48756.328720379192</v>
      </c>
      <c r="AF339" s="107">
        <f t="shared" si="289"/>
        <v>48321.002132701469</v>
      </c>
      <c r="AG339" s="107">
        <f t="shared" si="290"/>
        <v>47885.675545023747</v>
      </c>
      <c r="AH339" s="107">
        <f t="shared" si="291"/>
        <v>47450.348957346025</v>
      </c>
      <c r="AI339" s="107">
        <f t="shared" si="292"/>
        <v>47015.022369668302</v>
      </c>
      <c r="AJ339" s="107">
        <f t="shared" si="293"/>
        <v>46579.69578199058</v>
      </c>
      <c r="AK339" s="107">
        <f t="shared" si="294"/>
        <v>46144.369194312858</v>
      </c>
      <c r="AL339" s="107">
        <f t="shared" si="295"/>
        <v>45709.042606635136</v>
      </c>
      <c r="AM339" s="107">
        <f t="shared" si="296"/>
        <v>45273.716018957413</v>
      </c>
      <c r="AN339" s="107">
        <f t="shared" si="297"/>
        <v>44838.389431279691</v>
      </c>
      <c r="AO339" s="107">
        <f t="shared" si="299"/>
        <v>44403.062843601969</v>
      </c>
      <c r="AP339" s="107"/>
      <c r="AQ339" s="126"/>
      <c r="AR339" s="107">
        <f t="shared" si="300"/>
        <v>5223.9190521327018</v>
      </c>
      <c r="AS339" s="107">
        <f t="shared" si="316"/>
        <v>43967.736255924247</v>
      </c>
      <c r="AT339" s="107">
        <f t="shared" si="317"/>
        <v>43532.409668246524</v>
      </c>
      <c r="AU339" s="107">
        <f t="shared" si="318"/>
        <v>43097.083080568802</v>
      </c>
      <c r="AV339" s="107">
        <f t="shared" si="319"/>
        <v>42661.75649289108</v>
      </c>
      <c r="AW339" s="107">
        <f>AV339-M339</f>
        <v>42226.429905213357</v>
      </c>
      <c r="AX339" s="107">
        <f>AW339-M339</f>
        <v>41791.103317535635</v>
      </c>
      <c r="AY339" s="107">
        <f>AX339-M339</f>
        <v>41355.776729857913</v>
      </c>
      <c r="AZ339" s="107">
        <f>AY339-M339</f>
        <v>40920.450142180191</v>
      </c>
      <c r="BA339" s="107">
        <f>AZ339-M339</f>
        <v>40485.123554502468</v>
      </c>
      <c r="BB339" s="107">
        <f>BA339-M339</f>
        <v>40049.796966824746</v>
      </c>
      <c r="BC339" s="107">
        <f>BB339-M339</f>
        <v>39614.470379147024</v>
      </c>
      <c r="BD339" s="107">
        <f>BC339-M339</f>
        <v>39179.143791469302</v>
      </c>
      <c r="BE339" s="107"/>
      <c r="BF339" s="127"/>
      <c r="BG339" s="127"/>
      <c r="BH339" s="127"/>
      <c r="BI339" s="127"/>
      <c r="BJ339" s="127"/>
      <c r="BK339" s="127"/>
      <c r="BL339" s="127"/>
      <c r="BM339" s="127"/>
      <c r="BN339" s="127"/>
      <c r="BO339" s="127"/>
      <c r="BP339" s="127"/>
      <c r="BQ339" s="127"/>
      <c r="BR339" s="127"/>
      <c r="BS339" s="127"/>
      <c r="BT339" s="127"/>
      <c r="BU339" s="127"/>
      <c r="BV339" s="127"/>
      <c r="BW339" s="127"/>
    </row>
    <row r="340" spans="1:75" hidden="1" x14ac:dyDescent="0.2">
      <c r="A340" s="123" t="str">
        <f>'[2]2021 УГРЦТ'!A342</f>
        <v>Перфоратор Makita HR5202C</v>
      </c>
      <c r="B340" s="124" t="str">
        <f>'[2]2021 УГРЦТ'!B342</f>
        <v>000001807</v>
      </c>
      <c r="C340" s="124" t="str">
        <f>VLOOKUP(A:A,'2023-2027'!A:L,1,+FALSE)</f>
        <v>Перфоратор Makita HR5202C</v>
      </c>
      <c r="D340" s="124" t="str">
        <f>'[2]2021 УГРЦТ'!C342</f>
        <v>ПЕРЕДАЧА</v>
      </c>
      <c r="E340" s="124" t="str">
        <f>'[2]2021 УГРЦТ'!D342</f>
        <v>Машины и оборудование (кроме офисного)</v>
      </c>
      <c r="F340" s="124" t="str">
        <f>'[2]2021 УГРЦТ'!E342</f>
        <v>16.04.2020</v>
      </c>
      <c r="G340" s="124" t="str">
        <f>'[2]2021 УГРЦТ'!F342</f>
        <v>общепроизводственные расходы</v>
      </c>
      <c r="H340" s="124">
        <f>'[2]2021 УГРЦТ'!AC342</f>
        <v>24</v>
      </c>
      <c r="I340" s="107">
        <f>'[2]2021 УГРЦТ'!X342</f>
        <v>43604.17</v>
      </c>
      <c r="J340" s="107">
        <f>'[2]2021 УГРЦТ'!Y342</f>
        <v>1816.8404166666667</v>
      </c>
      <c r="K340" s="107">
        <f>'[2]2021 УГРЦТ'!Z342</f>
        <v>7267.3650000000052</v>
      </c>
      <c r="L340" s="125" t="e">
        <f>SUMIF([2]облаг!$B$2:$B$259,B340,[2]облаг!$D$2:$D$259)</f>
        <v>#VALUE!</v>
      </c>
      <c r="M340" s="107">
        <f t="shared" si="326"/>
        <v>1816.8404166666667</v>
      </c>
      <c r="N340" s="107">
        <f>K340-M340</f>
        <v>5450.5245833333383</v>
      </c>
      <c r="O340" s="107">
        <f t="shared" si="328"/>
        <v>5450.5245833333383</v>
      </c>
      <c r="P340" s="107">
        <f t="shared" si="329"/>
        <v>3633.6841666666714</v>
      </c>
      <c r="Q340" s="107">
        <f t="shared" si="277"/>
        <v>1816.8437500000048</v>
      </c>
      <c r="R340" s="107">
        <f t="shared" si="278"/>
        <v>3.3333333381051489E-3</v>
      </c>
      <c r="S340" s="107">
        <v>0</v>
      </c>
      <c r="T340" s="107">
        <v>0</v>
      </c>
      <c r="U340" s="107">
        <v>0</v>
      </c>
      <c r="V340" s="107">
        <v>0</v>
      </c>
      <c r="W340" s="107">
        <v>0</v>
      </c>
      <c r="X340" s="107">
        <v>0</v>
      </c>
      <c r="Y340" s="107">
        <v>0</v>
      </c>
      <c r="Z340" s="107">
        <v>0</v>
      </c>
      <c r="AA340" s="107"/>
      <c r="AB340" s="107"/>
      <c r="AC340" s="107">
        <v>0</v>
      </c>
      <c r="AD340" s="107">
        <v>0</v>
      </c>
      <c r="AE340" s="107">
        <v>0</v>
      </c>
      <c r="AF340" s="107">
        <v>0</v>
      </c>
      <c r="AG340" s="107">
        <v>0</v>
      </c>
      <c r="AH340" s="107">
        <v>0</v>
      </c>
      <c r="AI340" s="107">
        <v>0</v>
      </c>
      <c r="AJ340" s="107">
        <v>0</v>
      </c>
      <c r="AK340" s="107">
        <v>0</v>
      </c>
      <c r="AL340" s="107">
        <v>0</v>
      </c>
      <c r="AM340" s="107">
        <v>0</v>
      </c>
      <c r="AN340" s="107">
        <v>0</v>
      </c>
      <c r="AO340" s="107">
        <v>0</v>
      </c>
      <c r="AP340" s="107"/>
      <c r="AQ340" s="126"/>
      <c r="AR340" s="107">
        <v>0</v>
      </c>
      <c r="AS340" s="107">
        <v>0</v>
      </c>
      <c r="AT340" s="107">
        <v>0</v>
      </c>
      <c r="AU340" s="107">
        <v>0</v>
      </c>
      <c r="AV340" s="107">
        <v>0</v>
      </c>
      <c r="AW340" s="107">
        <v>0</v>
      </c>
      <c r="AX340" s="107">
        <v>0</v>
      </c>
      <c r="AY340" s="107">
        <v>0</v>
      </c>
      <c r="AZ340" s="107">
        <v>0</v>
      </c>
      <c r="BA340" s="107">
        <v>0</v>
      </c>
      <c r="BB340" s="107">
        <v>0</v>
      </c>
      <c r="BC340" s="107">
        <v>0</v>
      </c>
      <c r="BD340" s="107">
        <v>0</v>
      </c>
      <c r="BE340" s="124">
        <v>0</v>
      </c>
      <c r="BI340" s="127"/>
    </row>
    <row r="341" spans="1:75" ht="22.5" hidden="1" x14ac:dyDescent="0.2">
      <c r="A341" s="123" t="str">
        <f>'[2]2021 УГРЦТ'!A343</f>
        <v>Подстанция КТПКп-400 №2273 ( ТП № 2  2008г)</v>
      </c>
      <c r="B341" s="124" t="str">
        <f>'[2]2021 УГРЦТ'!B343</f>
        <v>00001063</v>
      </c>
      <c r="C341" s="124" t="str">
        <f>VLOOKUP(A:A,'2023-2027'!A:L,1,+FALSE)</f>
        <v>Подстанция КТПКп-400 №2273 ( ТП № 2  2008г)</v>
      </c>
      <c r="D341" s="124" t="str">
        <f>'[2]2021 УГРЦТ'!C343</f>
        <v>ПЕРЕДАЧА</v>
      </c>
      <c r="E341" s="124" t="str">
        <f>'[2]2021 УГРЦТ'!D343</f>
        <v>Сооружения</v>
      </c>
      <c r="F341" s="124" t="str">
        <f>'[2]2021 УГРЦТ'!E343</f>
        <v>31.10.2007</v>
      </c>
      <c r="G341" s="124" t="str">
        <f>'[2]2021 УГРЦТ'!F343</f>
        <v>Цех электрических сетей</v>
      </c>
      <c r="H341" s="124">
        <f>'[2]2021 УГРЦТ'!AC343</f>
        <v>180</v>
      </c>
      <c r="I341" s="107">
        <f>'[2]2021 УГРЦТ'!X343</f>
        <v>329828.57</v>
      </c>
      <c r="J341" s="107">
        <f>'[2]2021 УГРЦТ'!Y343</f>
        <v>311189.88</v>
      </c>
      <c r="K341" s="107">
        <f>'[2]2021 УГРЦТ'!Z343</f>
        <v>18638.690000000002</v>
      </c>
      <c r="L341" s="125" t="e">
        <f>SUMIF([2]облаг!$B$2:$B$259,B341,[2]облаг!$D$2:$D$259)</f>
        <v>#VALUE!</v>
      </c>
      <c r="M341" s="107">
        <f t="shared" si="326"/>
        <v>1832.3809444444446</v>
      </c>
      <c r="N341" s="107">
        <f>O341</f>
        <v>16806.309055555557</v>
      </c>
      <c r="O341" s="107">
        <f t="shared" si="328"/>
        <v>16806.309055555557</v>
      </c>
      <c r="P341" s="107">
        <f t="shared" si="329"/>
        <v>14973.928111111112</v>
      </c>
      <c r="Q341" s="107">
        <f t="shared" si="277"/>
        <v>13141.547166666667</v>
      </c>
      <c r="R341" s="107">
        <f t="shared" si="278"/>
        <v>11309.166222222222</v>
      </c>
      <c r="S341" s="107">
        <f t="shared" si="279"/>
        <v>9476.7852777777771</v>
      </c>
      <c r="T341" s="107">
        <f t="shared" si="280"/>
        <v>7644.404333333332</v>
      </c>
      <c r="U341" s="107">
        <f t="shared" si="281"/>
        <v>5812.023388888887</v>
      </c>
      <c r="V341" s="107">
        <f t="shared" si="282"/>
        <v>3979.6424444444424</v>
      </c>
      <c r="W341" s="107">
        <f t="shared" si="283"/>
        <v>2147.2614999999978</v>
      </c>
      <c r="X341" s="107">
        <f t="shared" si="284"/>
        <v>314.8805555555532</v>
      </c>
      <c r="Y341" s="107">
        <v>0</v>
      </c>
      <c r="Z341" s="107">
        <v>0</v>
      </c>
      <c r="AA341" s="107">
        <f>SUM(O341:Z341,K341)/13*$AA$2</f>
        <v>176.41400286324787</v>
      </c>
      <c r="AB341" s="107"/>
      <c r="AC341" s="107">
        <v>0</v>
      </c>
      <c r="AD341" s="107">
        <v>0</v>
      </c>
      <c r="AE341" s="107">
        <v>0</v>
      </c>
      <c r="AF341" s="107">
        <v>0</v>
      </c>
      <c r="AG341" s="107">
        <v>0</v>
      </c>
      <c r="AH341" s="107">
        <v>0</v>
      </c>
      <c r="AI341" s="107">
        <v>0</v>
      </c>
      <c r="AJ341" s="107">
        <v>0</v>
      </c>
      <c r="AK341" s="107">
        <v>0</v>
      </c>
      <c r="AL341" s="107">
        <v>0</v>
      </c>
      <c r="AM341" s="107">
        <v>0</v>
      </c>
      <c r="AN341" s="107">
        <v>0</v>
      </c>
      <c r="AO341" s="107">
        <v>0</v>
      </c>
      <c r="AP341" s="107">
        <f t="shared" ref="AP341:AP344" si="333">SUM(AD341:AO341,Z341)/13*$AP$2</f>
        <v>0</v>
      </c>
      <c r="AQ341" s="126"/>
      <c r="AR341" s="107">
        <v>0</v>
      </c>
      <c r="AS341" s="107">
        <v>0</v>
      </c>
      <c r="AT341" s="107">
        <v>0</v>
      </c>
      <c r="AU341" s="107">
        <v>0</v>
      </c>
      <c r="AV341" s="107">
        <v>0</v>
      </c>
      <c r="AW341" s="107">
        <v>0</v>
      </c>
      <c r="AX341" s="107">
        <v>0</v>
      </c>
      <c r="AY341" s="107">
        <v>0</v>
      </c>
      <c r="AZ341" s="107">
        <v>0</v>
      </c>
      <c r="BA341" s="107">
        <v>0</v>
      </c>
      <c r="BB341" s="107">
        <v>0</v>
      </c>
      <c r="BC341" s="107">
        <v>0</v>
      </c>
      <c r="BD341" s="107">
        <v>0</v>
      </c>
      <c r="BE341" s="107">
        <f>SUM(AS341:BD341,AO341)/13*$BE$2</f>
        <v>0</v>
      </c>
      <c r="BG341" s="127"/>
      <c r="BI341" s="127"/>
      <c r="BV341" s="127"/>
    </row>
    <row r="342" spans="1:75" ht="22.5" hidden="1" x14ac:dyDescent="0.2">
      <c r="A342" s="123" t="str">
        <f>'[2]2021 УГРЦТ'!A344</f>
        <v>Подстанция КТПКп-400 №2275 (ТП № 65 с 18.08.09г)</v>
      </c>
      <c r="B342" s="124" t="str">
        <f>'[2]2021 УГРЦТ'!B344</f>
        <v>00001044</v>
      </c>
      <c r="C342" s="124" t="str">
        <f>VLOOKUP(A:A,'2023-2027'!A:L,1,+FALSE)</f>
        <v>Подстанция КТПКп-400 №2275 (ТП № 65 с 18.08.09г)</v>
      </c>
      <c r="D342" s="124" t="str">
        <f>'[2]2021 УГРЦТ'!C344</f>
        <v>ПЕРЕДАЧА</v>
      </c>
      <c r="E342" s="124" t="str">
        <f>'[2]2021 УГРЦТ'!D344</f>
        <v>Сооружения</v>
      </c>
      <c r="F342" s="124" t="str">
        <f>'[2]2021 УГРЦТ'!E344</f>
        <v>31.10.2007</v>
      </c>
      <c r="G342" s="124" t="str">
        <f>'[2]2021 УГРЦТ'!F344</f>
        <v>Цех электрических сетей</v>
      </c>
      <c r="H342" s="124">
        <f>'[2]2021 УГРЦТ'!AC344</f>
        <v>180</v>
      </c>
      <c r="I342" s="107">
        <f>'[2]2021 УГРЦТ'!X344</f>
        <v>251274.09</v>
      </c>
      <c r="J342" s="107">
        <f>'[2]2021 УГРЦТ'!Y344</f>
        <v>237314.86600000001</v>
      </c>
      <c r="K342" s="107">
        <f>'[2]2021 УГРЦТ'!Z344</f>
        <v>13959.223999999987</v>
      </c>
      <c r="L342" s="125" t="e">
        <f>SUMIF([2]облаг!$B$2:$B$259,B342,[2]облаг!$D$2:$D$259)</f>
        <v>#VALUE!</v>
      </c>
      <c r="M342" s="107">
        <f t="shared" si="326"/>
        <v>1395.9671666666666</v>
      </c>
      <c r="N342" s="107">
        <f>O342</f>
        <v>12563.25683333332</v>
      </c>
      <c r="O342" s="107">
        <f t="shared" si="328"/>
        <v>12563.25683333332</v>
      </c>
      <c r="P342" s="107">
        <f t="shared" si="329"/>
        <v>11167.289666666653</v>
      </c>
      <c r="Q342" s="107">
        <f t="shared" si="277"/>
        <v>9771.3224999999857</v>
      </c>
      <c r="R342" s="107">
        <f t="shared" si="278"/>
        <v>8375.3553333333184</v>
      </c>
      <c r="S342" s="107">
        <f t="shared" si="279"/>
        <v>6979.3881666666521</v>
      </c>
      <c r="T342" s="107">
        <f t="shared" si="280"/>
        <v>5583.4209999999857</v>
      </c>
      <c r="U342" s="107">
        <f t="shared" si="281"/>
        <v>4187.4538333333194</v>
      </c>
      <c r="V342" s="107">
        <f t="shared" si="282"/>
        <v>2791.486666666653</v>
      </c>
      <c r="W342" s="107">
        <f t="shared" si="283"/>
        <v>1395.5194999999865</v>
      </c>
      <c r="X342" s="107">
        <v>0</v>
      </c>
      <c r="Y342" s="107">
        <v>0</v>
      </c>
      <c r="Z342" s="107">
        <v>0</v>
      </c>
      <c r="AA342" s="107">
        <f>SUM(O342:Z342,K342)/13*$AA$2</f>
        <v>129.92475269230744</v>
      </c>
      <c r="AB342" s="107"/>
      <c r="AC342" s="107">
        <v>0</v>
      </c>
      <c r="AD342" s="107">
        <v>0</v>
      </c>
      <c r="AE342" s="107">
        <v>0</v>
      </c>
      <c r="AF342" s="107">
        <v>0</v>
      </c>
      <c r="AG342" s="107">
        <v>0</v>
      </c>
      <c r="AH342" s="107">
        <v>0</v>
      </c>
      <c r="AI342" s="107">
        <v>0</v>
      </c>
      <c r="AJ342" s="107">
        <v>0</v>
      </c>
      <c r="AK342" s="107">
        <v>0</v>
      </c>
      <c r="AL342" s="107">
        <v>0</v>
      </c>
      <c r="AM342" s="107">
        <v>0</v>
      </c>
      <c r="AN342" s="107">
        <v>0</v>
      </c>
      <c r="AO342" s="107">
        <v>0</v>
      </c>
      <c r="AP342" s="107">
        <f t="shared" si="333"/>
        <v>0</v>
      </c>
      <c r="AQ342" s="126"/>
      <c r="AR342" s="107">
        <v>0</v>
      </c>
      <c r="AS342" s="107">
        <v>0</v>
      </c>
      <c r="AT342" s="107">
        <v>0</v>
      </c>
      <c r="AU342" s="107">
        <v>0</v>
      </c>
      <c r="AV342" s="107">
        <v>0</v>
      </c>
      <c r="AW342" s="107">
        <v>0</v>
      </c>
      <c r="AX342" s="107">
        <v>0</v>
      </c>
      <c r="AY342" s="107">
        <v>0</v>
      </c>
      <c r="AZ342" s="107">
        <v>0</v>
      </c>
      <c r="BA342" s="107">
        <v>0</v>
      </c>
      <c r="BB342" s="107">
        <v>0</v>
      </c>
      <c r="BC342" s="107">
        <v>0</v>
      </c>
      <c r="BD342" s="107">
        <v>0</v>
      </c>
      <c r="BE342" s="107">
        <f>SUM(AS342:BD342,AO342)/13*$BE$2</f>
        <v>0</v>
      </c>
      <c r="BG342" s="127"/>
      <c r="BI342" s="127"/>
      <c r="BV342" s="127"/>
    </row>
    <row r="343" spans="1:75" ht="22.5" hidden="1" x14ac:dyDescent="0.2">
      <c r="A343" s="123" t="str">
        <f>'[2]2021 УГРЦТ'!A345</f>
        <v>Подстанция трансформат. компл. КТП/ПК 630/6/0,4 кВ</v>
      </c>
      <c r="B343" s="124" t="str">
        <f>'[2]2021 УГРЦТ'!B345</f>
        <v>00001251</v>
      </c>
      <c r="C343" s="124" t="str">
        <f>VLOOKUP(A:A,'2023-2027'!A:L,1,+FALSE)</f>
        <v>Подстанция трансформат. компл. КТП/ПК 630/6/0,4 кВ</v>
      </c>
      <c r="D343" s="124" t="str">
        <f>'[2]2021 УГРЦТ'!C345</f>
        <v>ПЕРЕДАЧА</v>
      </c>
      <c r="E343" s="124" t="str">
        <f>'[2]2021 УГРЦТ'!D345</f>
        <v>Здания</v>
      </c>
      <c r="F343" s="124" t="str">
        <f>'[2]2021 УГРЦТ'!E345</f>
        <v>31.10.2010</v>
      </c>
      <c r="G343" s="124" t="str">
        <f>'[2]2021 УГРЦТ'!F345</f>
        <v>Цех электрических сетей</v>
      </c>
      <c r="H343" s="124">
        <f>'[2]2021 УГРЦТ'!AC345</f>
        <v>192</v>
      </c>
      <c r="I343" s="107">
        <f>'[2]2021 УГРЦТ'!X345</f>
        <v>865197.63</v>
      </c>
      <c r="J343" s="107">
        <f>'[2]2021 УГРЦТ'!Y345</f>
        <v>473372.36000000004</v>
      </c>
      <c r="K343" s="107">
        <f>'[2]2021 УГРЦТ'!Z345</f>
        <v>391825.26999999996</v>
      </c>
      <c r="L343" s="125" t="e">
        <f>SUMIF([2]облаг!$B$2:$B$259,B343,[2]облаг!$D$2:$D$259)</f>
        <v>#VALUE!</v>
      </c>
      <c r="M343" s="107">
        <f t="shared" si="326"/>
        <v>4506.2376562500003</v>
      </c>
      <c r="N343" s="107">
        <f t="shared" si="327"/>
        <v>54074.851875000008</v>
      </c>
      <c r="O343" s="107">
        <f t="shared" si="328"/>
        <v>387319.03234374995</v>
      </c>
      <c r="P343" s="107">
        <f t="shared" si="329"/>
        <v>382812.79468749993</v>
      </c>
      <c r="Q343" s="107">
        <f t="shared" si="277"/>
        <v>378306.55703124992</v>
      </c>
      <c r="R343" s="107">
        <f t="shared" si="278"/>
        <v>373800.3193749999</v>
      </c>
      <c r="S343" s="107">
        <f t="shared" si="279"/>
        <v>369294.08171874989</v>
      </c>
      <c r="T343" s="107">
        <f t="shared" si="280"/>
        <v>364787.84406249988</v>
      </c>
      <c r="U343" s="107">
        <f t="shared" si="281"/>
        <v>360281.60640624986</v>
      </c>
      <c r="V343" s="107">
        <f t="shared" si="282"/>
        <v>355775.36874999985</v>
      </c>
      <c r="W343" s="107">
        <f t="shared" si="283"/>
        <v>351269.13109374983</v>
      </c>
      <c r="X343" s="107">
        <f t="shared" si="284"/>
        <v>346762.89343749982</v>
      </c>
      <c r="Y343" s="107">
        <f t="shared" si="285"/>
        <v>342256.65578124981</v>
      </c>
      <c r="Z343" s="107">
        <f t="shared" si="286"/>
        <v>337750.41812499979</v>
      </c>
      <c r="AA343" s="107">
        <f>SUM(O343:Z343,K343)/13*$AA$2</f>
        <v>8025.3325693749957</v>
      </c>
      <c r="AB343" s="107"/>
      <c r="AC343" s="107">
        <f t="shared" si="298"/>
        <v>54074.851875000008</v>
      </c>
      <c r="AD343" s="107">
        <f t="shared" si="287"/>
        <v>333244.18046874978</v>
      </c>
      <c r="AE343" s="107">
        <f t="shared" si="288"/>
        <v>328737.94281249976</v>
      </c>
      <c r="AF343" s="107">
        <f t="shared" si="289"/>
        <v>324231.70515624975</v>
      </c>
      <c r="AG343" s="107">
        <f t="shared" si="290"/>
        <v>319725.46749999974</v>
      </c>
      <c r="AH343" s="107">
        <f t="shared" si="291"/>
        <v>315219.22984374972</v>
      </c>
      <c r="AI343" s="107">
        <f t="shared" si="292"/>
        <v>310712.99218749971</v>
      </c>
      <c r="AJ343" s="107">
        <f t="shared" si="293"/>
        <v>306206.75453124969</v>
      </c>
      <c r="AK343" s="107">
        <f t="shared" si="294"/>
        <v>301700.51687499968</v>
      </c>
      <c r="AL343" s="107">
        <f t="shared" si="295"/>
        <v>297194.27921874967</v>
      </c>
      <c r="AM343" s="107">
        <f t="shared" si="296"/>
        <v>292688.04156249965</v>
      </c>
      <c r="AN343" s="107">
        <f t="shared" si="297"/>
        <v>288181.80390624964</v>
      </c>
      <c r="AO343" s="107">
        <f t="shared" si="299"/>
        <v>283675.56624999963</v>
      </c>
      <c r="AP343" s="107">
        <f t="shared" si="333"/>
        <v>6835.6858281249933</v>
      </c>
      <c r="AQ343" s="126"/>
      <c r="AR343" s="107">
        <f t="shared" si="300"/>
        <v>54074.851875000008</v>
      </c>
      <c r="AS343" s="107">
        <f>AO343-M343</f>
        <v>279169.32859374961</v>
      </c>
      <c r="AT343" s="107">
        <f>AS343-M343</f>
        <v>274663.0909374996</v>
      </c>
      <c r="AU343" s="107">
        <f>AT343-M343</f>
        <v>270156.85328124958</v>
      </c>
      <c r="AV343" s="107">
        <f>AU343-M343</f>
        <v>265650.61562499957</v>
      </c>
      <c r="AW343" s="107">
        <f>AV343-M343</f>
        <v>261144.37796874956</v>
      </c>
      <c r="AX343" s="107">
        <f>AW343-M343</f>
        <v>256638.14031249954</v>
      </c>
      <c r="AY343" s="107">
        <f>AX343-M343</f>
        <v>252131.90265624953</v>
      </c>
      <c r="AZ343" s="107">
        <f>AY343-M343</f>
        <v>247625.66499999951</v>
      </c>
      <c r="BA343" s="107">
        <f>AZ343-M343</f>
        <v>243119.4273437495</v>
      </c>
      <c r="BB343" s="107">
        <f>BA343-M343</f>
        <v>238613.18968749949</v>
      </c>
      <c r="BC343" s="107">
        <f>BB343-M343</f>
        <v>234106.95203124947</v>
      </c>
      <c r="BD343" s="107">
        <f>BC343-M343</f>
        <v>229600.71437499946</v>
      </c>
      <c r="BE343" s="107">
        <f>SUM(AS343:BD343,AO343)/13*$BE$2</f>
        <v>5646.0390868749892</v>
      </c>
      <c r="BF343" s="127"/>
      <c r="BG343" s="127"/>
      <c r="BH343" s="127"/>
      <c r="BI343" s="127"/>
      <c r="BJ343" s="127"/>
      <c r="BK343" s="127"/>
      <c r="BL343" s="127"/>
      <c r="BM343" s="127"/>
      <c r="BN343" s="127"/>
      <c r="BO343" s="127"/>
      <c r="BP343" s="127"/>
      <c r="BQ343" s="127"/>
      <c r="BR343" s="127"/>
      <c r="BS343" s="127"/>
      <c r="BT343" s="127"/>
      <c r="BU343" s="127"/>
      <c r="BV343" s="127"/>
      <c r="BW343" s="127"/>
    </row>
    <row r="344" spans="1:75" hidden="1" x14ac:dyDescent="0.2">
      <c r="A344" s="123" t="str">
        <f>'[2]2021 УГРЦТ'!A346</f>
        <v>Пристройка к гаражу 2001г</v>
      </c>
      <c r="B344" s="124" t="str">
        <f>'[2]2021 УГРЦТ'!B346</f>
        <v>00000345</v>
      </c>
      <c r="C344" s="124" t="str">
        <f>VLOOKUP(A:A,'2023-2027'!A:L,1,+FALSE)</f>
        <v>Пристройка к гаражу 2001г</v>
      </c>
      <c r="D344" s="124" t="str">
        <f>'[2]2021 УГРЦТ'!C346</f>
        <v>ПЕРЕДАЧА</v>
      </c>
      <c r="E344" s="124" t="str">
        <f>'[2]2021 УГРЦТ'!D346</f>
        <v>Здания</v>
      </c>
      <c r="F344" s="124" t="str">
        <f>'[2]2021 УГРЦТ'!E346</f>
        <v>29.12.2001</v>
      </c>
      <c r="G344" s="124" t="str">
        <f>'[2]2021 УГРЦТ'!F346</f>
        <v>Автотранспортный цех</v>
      </c>
      <c r="H344" s="124">
        <f>'[2]2021 УГРЦТ'!AC346</f>
        <v>240</v>
      </c>
      <c r="I344" s="107">
        <f>'[2]2021 УГРЦТ'!X346</f>
        <v>293225.45</v>
      </c>
      <c r="J344" s="107">
        <f>'[2]2021 УГРЦТ'!Y346</f>
        <v>293225.45</v>
      </c>
      <c r="K344" s="107">
        <f>'[2]2021 УГРЦТ'!Z346</f>
        <v>0</v>
      </c>
      <c r="L344" s="125" t="e">
        <f>SUMIF([2]облаг!$B$2:$B$259,B344,[2]облаг!$D$2:$D$259)</f>
        <v>#VALUE!</v>
      </c>
      <c r="M344" s="107"/>
      <c r="N344" s="107">
        <f t="shared" si="327"/>
        <v>0</v>
      </c>
      <c r="O344" s="107">
        <f t="shared" si="328"/>
        <v>0</v>
      </c>
      <c r="P344" s="107">
        <f t="shared" si="329"/>
        <v>0</v>
      </c>
      <c r="Q344" s="107">
        <f t="shared" si="277"/>
        <v>0</v>
      </c>
      <c r="R344" s="107">
        <f t="shared" si="278"/>
        <v>0</v>
      </c>
      <c r="S344" s="107">
        <f t="shared" si="279"/>
        <v>0</v>
      </c>
      <c r="T344" s="107">
        <f t="shared" si="280"/>
        <v>0</v>
      </c>
      <c r="U344" s="107">
        <f t="shared" si="281"/>
        <v>0</v>
      </c>
      <c r="V344" s="107">
        <f t="shared" si="282"/>
        <v>0</v>
      </c>
      <c r="W344" s="107">
        <f t="shared" si="283"/>
        <v>0</v>
      </c>
      <c r="X344" s="107">
        <f t="shared" si="284"/>
        <v>0</v>
      </c>
      <c r="Y344" s="107">
        <f t="shared" si="285"/>
        <v>0</v>
      </c>
      <c r="Z344" s="107">
        <f t="shared" si="286"/>
        <v>0</v>
      </c>
      <c r="AA344" s="107">
        <f>SUM(O344:Z344,K344)/13*$AA$2</f>
        <v>0</v>
      </c>
      <c r="AB344" s="107"/>
      <c r="AC344" s="107">
        <f t="shared" si="298"/>
        <v>0</v>
      </c>
      <c r="AD344" s="107">
        <f t="shared" si="287"/>
        <v>0</v>
      </c>
      <c r="AE344" s="107">
        <f t="shared" si="288"/>
        <v>0</v>
      </c>
      <c r="AF344" s="107">
        <f t="shared" si="289"/>
        <v>0</v>
      </c>
      <c r="AG344" s="107">
        <f t="shared" si="290"/>
        <v>0</v>
      </c>
      <c r="AH344" s="107">
        <f t="shared" si="291"/>
        <v>0</v>
      </c>
      <c r="AI344" s="107">
        <f t="shared" si="292"/>
        <v>0</v>
      </c>
      <c r="AJ344" s="107">
        <f t="shared" si="293"/>
        <v>0</v>
      </c>
      <c r="AK344" s="107">
        <f t="shared" si="294"/>
        <v>0</v>
      </c>
      <c r="AL344" s="107">
        <f t="shared" si="295"/>
        <v>0</v>
      </c>
      <c r="AM344" s="107">
        <f t="shared" si="296"/>
        <v>0</v>
      </c>
      <c r="AN344" s="107">
        <f t="shared" si="297"/>
        <v>0</v>
      </c>
      <c r="AO344" s="107">
        <f t="shared" si="299"/>
        <v>0</v>
      </c>
      <c r="AP344" s="107">
        <f t="shared" si="333"/>
        <v>0</v>
      </c>
      <c r="AQ344" s="126"/>
      <c r="AR344" s="107">
        <f t="shared" si="300"/>
        <v>0</v>
      </c>
      <c r="AS344" s="107">
        <f>AO344-M344</f>
        <v>0</v>
      </c>
      <c r="AT344" s="107">
        <f>AS344-M344</f>
        <v>0</v>
      </c>
      <c r="AU344" s="107">
        <f>AT344-M344</f>
        <v>0</v>
      </c>
      <c r="AV344" s="107">
        <f>AU344-M344</f>
        <v>0</v>
      </c>
      <c r="AW344" s="107">
        <f>AV344-M344</f>
        <v>0</v>
      </c>
      <c r="AX344" s="107">
        <f>AW344-M344</f>
        <v>0</v>
      </c>
      <c r="AY344" s="107">
        <f>AX344-M344</f>
        <v>0</v>
      </c>
      <c r="AZ344" s="107">
        <f>AY344-M344</f>
        <v>0</v>
      </c>
      <c r="BA344" s="107">
        <f>AZ344-M344</f>
        <v>0</v>
      </c>
      <c r="BB344" s="107">
        <f>BA344-M344</f>
        <v>0</v>
      </c>
      <c r="BC344" s="107">
        <f>BB344-M344</f>
        <v>0</v>
      </c>
      <c r="BD344" s="107">
        <f>BC344-M344</f>
        <v>0</v>
      </c>
      <c r="BE344" s="107">
        <f>SUM(AS344:BD344,AO344)/13*$BE$2</f>
        <v>0</v>
      </c>
      <c r="BG344" s="127"/>
      <c r="BI344" s="127"/>
      <c r="BV344" s="127"/>
    </row>
    <row r="345" spans="1:75" ht="22.5" hidden="1" x14ac:dyDescent="0.2">
      <c r="A345" s="123" t="str">
        <f>'[2]2021 УГРЦТ'!A347</f>
        <v>Прицеп-роспуск лесовозный 4667В2  2015г.</v>
      </c>
      <c r="B345" s="124" t="str">
        <f>'[2]2021 УГРЦТ'!B347</f>
        <v>000001657</v>
      </c>
      <c r="C345" s="124" t="str">
        <f>VLOOKUP(A:A,'2023-2027'!A:L,1,+FALSE)</f>
        <v>Прицеп-роспуск лесовозный 4667В2  2015г.</v>
      </c>
      <c r="D345" s="124" t="str">
        <f>'[2]2021 УГРЦТ'!C347</f>
        <v>ПЕРЕДАЧА</v>
      </c>
      <c r="E345" s="124" t="str">
        <f>'[2]2021 УГРЦТ'!D347</f>
        <v>Транспортные средства</v>
      </c>
      <c r="F345" s="124" t="str">
        <f>'[2]2021 УГРЦТ'!E347</f>
        <v>30.06.2015</v>
      </c>
      <c r="G345" s="124" t="str">
        <f>'[2]2021 УГРЦТ'!F347</f>
        <v>Автотранспортный цех</v>
      </c>
      <c r="H345" s="124">
        <f>'[2]2021 УГРЦТ'!AC347</f>
        <v>120</v>
      </c>
      <c r="I345" s="107">
        <f>'[2]2021 УГРЦТ'!X347</f>
        <v>398305.08</v>
      </c>
      <c r="J345" s="107">
        <f>'[2]2021 УГРЦТ'!Y347</f>
        <v>258898.36799999999</v>
      </c>
      <c r="K345" s="107">
        <f>'[2]2021 УГРЦТ'!Z347</f>
        <v>139406.71200000003</v>
      </c>
      <c r="L345" s="125" t="e">
        <f>SUMIF([2]облаг!$B$2:$B$259,B345,[2]облаг!$D$2:$D$259)</f>
        <v>#VALUE!</v>
      </c>
      <c r="M345" s="107">
        <f t="shared" si="326"/>
        <v>3319.2090000000003</v>
      </c>
      <c r="N345" s="107">
        <f t="shared" si="327"/>
        <v>39830.508000000002</v>
      </c>
      <c r="O345" s="107">
        <f t="shared" si="328"/>
        <v>136087.50300000003</v>
      </c>
      <c r="P345" s="107">
        <f t="shared" si="329"/>
        <v>132768.29400000002</v>
      </c>
      <c r="Q345" s="107">
        <f t="shared" si="277"/>
        <v>129449.08500000002</v>
      </c>
      <c r="R345" s="107">
        <f t="shared" si="278"/>
        <v>126129.87600000002</v>
      </c>
      <c r="S345" s="107">
        <f t="shared" si="279"/>
        <v>122810.66700000002</v>
      </c>
      <c r="T345" s="107">
        <f t="shared" si="280"/>
        <v>119491.45800000001</v>
      </c>
      <c r="U345" s="107">
        <f t="shared" si="281"/>
        <v>116172.24900000001</v>
      </c>
      <c r="V345" s="107">
        <f t="shared" si="282"/>
        <v>112853.04000000001</v>
      </c>
      <c r="W345" s="107">
        <f t="shared" si="283"/>
        <v>109533.83100000001</v>
      </c>
      <c r="X345" s="107">
        <f t="shared" si="284"/>
        <v>106214.622</v>
      </c>
      <c r="Y345" s="107">
        <f t="shared" si="285"/>
        <v>102895.413</v>
      </c>
      <c r="Z345" s="107">
        <f t="shared" si="286"/>
        <v>99576.203999999998</v>
      </c>
      <c r="AA345" s="107"/>
      <c r="AB345" s="107"/>
      <c r="AC345" s="107">
        <f t="shared" si="298"/>
        <v>39830.508000000002</v>
      </c>
      <c r="AD345" s="107">
        <f t="shared" si="287"/>
        <v>96256.994999999995</v>
      </c>
      <c r="AE345" s="107">
        <f t="shared" si="288"/>
        <v>92937.785999999993</v>
      </c>
      <c r="AF345" s="107">
        <f t="shared" si="289"/>
        <v>89618.57699999999</v>
      </c>
      <c r="AG345" s="107">
        <f t="shared" si="290"/>
        <v>86299.367999999988</v>
      </c>
      <c r="AH345" s="107">
        <f t="shared" si="291"/>
        <v>82980.158999999985</v>
      </c>
      <c r="AI345" s="107">
        <f t="shared" si="292"/>
        <v>79660.949999999983</v>
      </c>
      <c r="AJ345" s="107">
        <f t="shared" si="293"/>
        <v>76341.74099999998</v>
      </c>
      <c r="AK345" s="107">
        <f t="shared" si="294"/>
        <v>73022.531999999977</v>
      </c>
      <c r="AL345" s="107">
        <f t="shared" si="295"/>
        <v>69703.322999999975</v>
      </c>
      <c r="AM345" s="107">
        <f t="shared" si="296"/>
        <v>66384.113999999972</v>
      </c>
      <c r="AN345" s="107">
        <f t="shared" si="297"/>
        <v>63064.90499999997</v>
      </c>
      <c r="AO345" s="107">
        <f t="shared" si="299"/>
        <v>59745.695999999967</v>
      </c>
      <c r="AP345" s="107"/>
      <c r="AQ345" s="126"/>
      <c r="AR345" s="107">
        <f t="shared" si="300"/>
        <v>39830.508000000002</v>
      </c>
      <c r="AS345" s="107">
        <f>AO345-M345</f>
        <v>56426.486999999965</v>
      </c>
      <c r="AT345" s="107">
        <f>AS345-M345</f>
        <v>53107.277999999962</v>
      </c>
      <c r="AU345" s="107">
        <f>AT345-M345</f>
        <v>49788.068999999959</v>
      </c>
      <c r="AV345" s="107">
        <f>AU345-M345</f>
        <v>46468.859999999957</v>
      </c>
      <c r="AW345" s="107">
        <f>AV345-M345</f>
        <v>43149.650999999954</v>
      </c>
      <c r="AX345" s="107">
        <f>AW345-M345</f>
        <v>39830.441999999952</v>
      </c>
      <c r="AY345" s="107">
        <f>AX345-M345</f>
        <v>36511.232999999949</v>
      </c>
      <c r="AZ345" s="107">
        <f>AY345-M345</f>
        <v>33192.023999999947</v>
      </c>
      <c r="BA345" s="107">
        <f>AZ345-M345</f>
        <v>29872.814999999948</v>
      </c>
      <c r="BB345" s="107">
        <f>BA345-M345</f>
        <v>26553.605999999949</v>
      </c>
      <c r="BC345" s="107">
        <f>BB345-M345</f>
        <v>23234.39699999995</v>
      </c>
      <c r="BD345" s="107">
        <f>BC345-M345</f>
        <v>19915.187999999951</v>
      </c>
      <c r="BE345" s="107"/>
      <c r="BF345" s="127"/>
      <c r="BG345" s="127"/>
      <c r="BI345" s="127"/>
      <c r="BJ345" s="127"/>
      <c r="BK345" s="127"/>
      <c r="BL345" s="127"/>
      <c r="BM345" s="127"/>
      <c r="BN345" s="127"/>
      <c r="BO345" s="127"/>
      <c r="BP345" s="127"/>
      <c r="BQ345" s="127"/>
      <c r="BR345" s="127"/>
      <c r="BS345" s="127"/>
      <c r="BT345" s="127"/>
      <c r="BU345" s="127"/>
      <c r="BV345" s="127"/>
    </row>
    <row r="346" spans="1:75" ht="22.5" hidden="1" x14ac:dyDescent="0.2">
      <c r="A346" s="123" t="str">
        <f>'[2]2021 УГРЦТ'!A348</f>
        <v>Пункт коммерческого учета ПКУ-6-У1 (ВМ) (16-1513.1) 16-1513.1</v>
      </c>
      <c r="B346" s="124" t="str">
        <f>'[2]2021 УГРЦТ'!B348</f>
        <v>000001686</v>
      </c>
      <c r="C346" s="124" t="str">
        <f>VLOOKUP(A:A,'2023-2027'!A:L,1,+FALSE)</f>
        <v>Пункт коммерческого учета ПКУ-6-У1 (ВМ) (16-1513.1) 16-1513.1</v>
      </c>
      <c r="D346" s="124" t="str">
        <f>'[2]2021 УГРЦТ'!C348</f>
        <v>ПЕРЕДАЧА</v>
      </c>
      <c r="E346" s="124" t="str">
        <f>'[2]2021 УГРЦТ'!D348</f>
        <v>Машины и оборудование (кроме офисного)</v>
      </c>
      <c r="F346" s="124" t="str">
        <f>'[2]2021 УГРЦТ'!E348</f>
        <v>22.06.2016</v>
      </c>
      <c r="G346" s="124" t="str">
        <f>'[2]2021 УГРЦТ'!F348</f>
        <v>Цех электрических сетей</v>
      </c>
      <c r="H346" s="124">
        <f>'[2]2021 УГРЦТ'!AC348</f>
        <v>84</v>
      </c>
      <c r="I346" s="107">
        <f>'[2]2021 УГРЦТ'!X348</f>
        <v>127916.95</v>
      </c>
      <c r="J346" s="107">
        <f>'[2]2021 УГРЦТ'!Y348</f>
        <v>100506.13</v>
      </c>
      <c r="K346" s="107">
        <f>'[2]2021 УГРЦТ'!Z348</f>
        <v>27410.819999999992</v>
      </c>
      <c r="L346" s="125" t="e">
        <f>SUMIF([2]облаг!$B$2:$B$259,B346,[2]облаг!$D$2:$D$259)</f>
        <v>#VALUE!</v>
      </c>
      <c r="M346" s="107">
        <f t="shared" si="326"/>
        <v>1522.8208333333332</v>
      </c>
      <c r="N346" s="107">
        <f t="shared" si="327"/>
        <v>18273.849999999999</v>
      </c>
      <c r="O346" s="107">
        <f t="shared" si="328"/>
        <v>25887.999166666661</v>
      </c>
      <c r="P346" s="107">
        <f t="shared" si="329"/>
        <v>24365.17833333333</v>
      </c>
      <c r="Q346" s="107">
        <f t="shared" si="277"/>
        <v>22842.357499999998</v>
      </c>
      <c r="R346" s="107">
        <f t="shared" si="278"/>
        <v>21319.536666666667</v>
      </c>
      <c r="S346" s="107">
        <f t="shared" si="279"/>
        <v>19796.715833333335</v>
      </c>
      <c r="T346" s="107">
        <f t="shared" si="280"/>
        <v>18273.895000000004</v>
      </c>
      <c r="U346" s="107">
        <f t="shared" si="281"/>
        <v>16751.074166666673</v>
      </c>
      <c r="V346" s="107">
        <f t="shared" si="282"/>
        <v>15228.253333333339</v>
      </c>
      <c r="W346" s="107">
        <f t="shared" si="283"/>
        <v>13705.432500000006</v>
      </c>
      <c r="X346" s="107">
        <f t="shared" si="284"/>
        <v>12182.611666666673</v>
      </c>
      <c r="Y346" s="107">
        <f t="shared" si="285"/>
        <v>10659.79083333334</v>
      </c>
      <c r="Z346" s="107">
        <f t="shared" si="286"/>
        <v>9136.9700000000066</v>
      </c>
      <c r="AA346" s="107"/>
      <c r="AB346" s="107"/>
      <c r="AC346" s="107">
        <f>AD346</f>
        <v>7614.1491666666734</v>
      </c>
      <c r="AD346" s="107">
        <f t="shared" si="287"/>
        <v>7614.1491666666734</v>
      </c>
      <c r="AE346" s="107">
        <f t="shared" si="288"/>
        <v>6091.3283333333402</v>
      </c>
      <c r="AF346" s="107">
        <f t="shared" si="289"/>
        <v>4568.507500000007</v>
      </c>
      <c r="AG346" s="107">
        <f t="shared" si="290"/>
        <v>3045.6866666666738</v>
      </c>
      <c r="AH346" s="107">
        <f t="shared" si="291"/>
        <v>1522.8658333333406</v>
      </c>
      <c r="AI346" s="107">
        <f t="shared" si="292"/>
        <v>4.5000000007348717E-2</v>
      </c>
      <c r="AJ346" s="107">
        <v>0</v>
      </c>
      <c r="AK346" s="107">
        <v>0</v>
      </c>
      <c r="AL346" s="107">
        <v>0</v>
      </c>
      <c r="AM346" s="107">
        <v>0</v>
      </c>
      <c r="AN346" s="107">
        <v>0</v>
      </c>
      <c r="AO346" s="107">
        <v>0</v>
      </c>
      <c r="AP346" s="107"/>
      <c r="AQ346" s="126"/>
      <c r="AR346" s="107">
        <v>0</v>
      </c>
      <c r="AS346" s="107">
        <v>0</v>
      </c>
      <c r="AT346" s="107">
        <v>0</v>
      </c>
      <c r="AU346" s="107">
        <v>0</v>
      </c>
      <c r="AV346" s="107">
        <v>0</v>
      </c>
      <c r="AW346" s="107">
        <v>0</v>
      </c>
      <c r="AX346" s="107">
        <v>0</v>
      </c>
      <c r="AY346" s="107">
        <v>0</v>
      </c>
      <c r="AZ346" s="107">
        <v>0</v>
      </c>
      <c r="BA346" s="107">
        <v>0</v>
      </c>
      <c r="BB346" s="107">
        <v>0</v>
      </c>
      <c r="BC346" s="107">
        <v>0</v>
      </c>
      <c r="BD346" s="107">
        <v>0</v>
      </c>
      <c r="BE346" s="124"/>
      <c r="BI346" s="127"/>
    </row>
    <row r="347" spans="1:75" hidden="1" x14ac:dyDescent="0.2">
      <c r="A347" s="123" t="str">
        <f>'[2]2021 УГРЦТ'!A349</f>
        <v>Распред. устройство 6кв 1986г</v>
      </c>
      <c r="B347" s="124" t="str">
        <f>'[2]2021 УГРЦТ'!B349</f>
        <v>00000577</v>
      </c>
      <c r="C347" s="124" t="str">
        <f>VLOOKUP(A:A,'2023-2027'!A:L,1,+FALSE)</f>
        <v>Распред. устройство 6кв 1986г</v>
      </c>
      <c r="D347" s="124" t="str">
        <f>'[2]2021 УГРЦТ'!C349</f>
        <v>ПЕРЕДАЧА</v>
      </c>
      <c r="E347" s="124" t="str">
        <f>'[2]2021 УГРЦТ'!D349</f>
        <v>Здания</v>
      </c>
      <c r="F347" s="124" t="str">
        <f>'[2]2021 УГРЦТ'!E349</f>
        <v>01.01.1986</v>
      </c>
      <c r="G347" s="124" t="str">
        <f>'[2]2021 УГРЦТ'!F349</f>
        <v>Цех электрических сетей</v>
      </c>
      <c r="H347" s="124">
        <f>'[2]2021 УГРЦТ'!AC349</f>
        <v>708</v>
      </c>
      <c r="I347" s="107">
        <f>'[2]2021 УГРЦТ'!X349</f>
        <v>14221</v>
      </c>
      <c r="J347" s="107">
        <f>'[2]2021 УГРЦТ'!Y349</f>
        <v>8487.3438983050837</v>
      </c>
      <c r="K347" s="107">
        <f>'[2]2021 УГРЦТ'!Z349</f>
        <v>5733.6561016949163</v>
      </c>
      <c r="L347" s="125" t="e">
        <f>SUMIF([2]облаг!$B$2:$B$259,B347,[2]облаг!$D$2:$D$259)</f>
        <v>#VALUE!</v>
      </c>
      <c r="M347" s="107">
        <f t="shared" si="326"/>
        <v>20.086158192090394</v>
      </c>
      <c r="N347" s="107">
        <f t="shared" si="327"/>
        <v>241.03389830508473</v>
      </c>
      <c r="O347" s="107">
        <f t="shared" si="328"/>
        <v>5713.5699435028255</v>
      </c>
      <c r="P347" s="107">
        <f t="shared" si="329"/>
        <v>5693.4837853107347</v>
      </c>
      <c r="Q347" s="107">
        <f t="shared" si="277"/>
        <v>5673.3976271186439</v>
      </c>
      <c r="R347" s="107">
        <f t="shared" si="278"/>
        <v>5653.3114689265531</v>
      </c>
      <c r="S347" s="107">
        <f t="shared" si="279"/>
        <v>5633.2253107344623</v>
      </c>
      <c r="T347" s="107">
        <f t="shared" si="280"/>
        <v>5613.1391525423714</v>
      </c>
      <c r="U347" s="107">
        <f t="shared" si="281"/>
        <v>5593.0529943502806</v>
      </c>
      <c r="V347" s="107">
        <f t="shared" si="282"/>
        <v>5572.9668361581898</v>
      </c>
      <c r="W347" s="107">
        <f t="shared" si="283"/>
        <v>5552.880677966099</v>
      </c>
      <c r="X347" s="107">
        <f t="shared" si="284"/>
        <v>5532.7945197740082</v>
      </c>
      <c r="Y347" s="107">
        <f t="shared" si="285"/>
        <v>5512.7083615819174</v>
      </c>
      <c r="Z347" s="107">
        <f t="shared" si="286"/>
        <v>5492.6222033898266</v>
      </c>
      <c r="AA347" s="107">
        <f>SUM(O347:Z347,K347)/13*$AA$2</f>
        <v>123.48906135593212</v>
      </c>
      <c r="AB347" s="107"/>
      <c r="AC347" s="107">
        <f t="shared" si="298"/>
        <v>241.03389830508473</v>
      </c>
      <c r="AD347" s="107">
        <f t="shared" si="287"/>
        <v>5472.5360451977358</v>
      </c>
      <c r="AE347" s="107">
        <f t="shared" si="288"/>
        <v>5452.449887005645</v>
      </c>
      <c r="AF347" s="107">
        <f t="shared" si="289"/>
        <v>5432.3637288135542</v>
      </c>
      <c r="AG347" s="107">
        <f t="shared" si="290"/>
        <v>5412.2775706214634</v>
      </c>
      <c r="AH347" s="107">
        <f t="shared" si="291"/>
        <v>5392.1914124293726</v>
      </c>
      <c r="AI347" s="107">
        <f t="shared" si="292"/>
        <v>5372.1052542372818</v>
      </c>
      <c r="AJ347" s="107">
        <f t="shared" si="293"/>
        <v>5352.019096045191</v>
      </c>
      <c r="AK347" s="107">
        <f t="shared" si="294"/>
        <v>5331.9329378531002</v>
      </c>
      <c r="AL347" s="107">
        <f t="shared" si="295"/>
        <v>5311.8467796610094</v>
      </c>
      <c r="AM347" s="107">
        <f t="shared" si="296"/>
        <v>5291.7606214689185</v>
      </c>
      <c r="AN347" s="107">
        <f t="shared" si="297"/>
        <v>5271.6744632768277</v>
      </c>
      <c r="AO347" s="107">
        <f t="shared" si="299"/>
        <v>5251.5883050847369</v>
      </c>
      <c r="AP347" s="107">
        <f t="shared" ref="AP347:AP348" si="334">SUM(AD347:AO347,Z347)/13*$AP$2</f>
        <v>118.18631559322016</v>
      </c>
      <c r="AQ347" s="126"/>
      <c r="AR347" s="107">
        <f t="shared" si="300"/>
        <v>241.03389830508473</v>
      </c>
      <c r="AS347" s="107">
        <f>AO347-M347</f>
        <v>5231.5021468926461</v>
      </c>
      <c r="AT347" s="107">
        <f>AS347-M347</f>
        <v>5211.4159887005553</v>
      </c>
      <c r="AU347" s="107">
        <f>AT347-M347</f>
        <v>5191.3298305084645</v>
      </c>
      <c r="AV347" s="107">
        <f>AU347-M347</f>
        <v>5171.2436723163737</v>
      </c>
      <c r="AW347" s="107">
        <f>AV347-M347</f>
        <v>5151.1575141242829</v>
      </c>
      <c r="AX347" s="107">
        <f>AW347-M347</f>
        <v>5131.0713559321921</v>
      </c>
      <c r="AY347" s="107">
        <f>AX347-M347</f>
        <v>5110.9851977401013</v>
      </c>
      <c r="AZ347" s="107">
        <f>AY347-M347</f>
        <v>5090.8990395480105</v>
      </c>
      <c r="BA347" s="107">
        <f>AZ347-M347</f>
        <v>5070.8128813559197</v>
      </c>
      <c r="BB347" s="107">
        <f>BA347-M347</f>
        <v>5050.7267231638289</v>
      </c>
      <c r="BC347" s="107">
        <f>BB347-M347</f>
        <v>5030.6405649717381</v>
      </c>
      <c r="BD347" s="107">
        <f>BC347-M347</f>
        <v>5010.5544067796473</v>
      </c>
      <c r="BE347" s="107">
        <f>SUM(AS347:BD347,AO347)/13*$BE$2</f>
        <v>112.88356983050818</v>
      </c>
      <c r="BF347" s="127"/>
      <c r="BG347" s="127"/>
      <c r="BH347" s="127"/>
      <c r="BI347" s="127"/>
      <c r="BJ347" s="127"/>
      <c r="BK347" s="127"/>
      <c r="BL347" s="127"/>
      <c r="BM347" s="127"/>
      <c r="BN347" s="127"/>
      <c r="BO347" s="127"/>
      <c r="BP347" s="127"/>
      <c r="BQ347" s="127"/>
      <c r="BR347" s="127"/>
      <c r="BS347" s="127"/>
      <c r="BT347" s="127"/>
      <c r="BU347" s="127"/>
      <c r="BV347" s="127"/>
      <c r="BW347" s="127"/>
    </row>
    <row r="348" spans="1:75" ht="22.5" hidden="1" x14ac:dyDescent="0.2">
      <c r="A348" s="123" t="str">
        <f>'[2]2021 УГРЦТ'!A350</f>
        <v>Распределительное устройство РУ-6 кВ 2007г</v>
      </c>
      <c r="B348" s="124" t="str">
        <f>'[2]2021 УГРЦТ'!B350</f>
        <v>00001034</v>
      </c>
      <c r="C348" s="124" t="str">
        <f>VLOOKUP(A:A,'2023-2027'!A:L,1,+FALSE)</f>
        <v>Распределительное устройство РУ-6 кВ 2007г</v>
      </c>
      <c r="D348" s="124" t="str">
        <f>'[2]2021 УГРЦТ'!C350</f>
        <v>ПЕРЕДАЧА</v>
      </c>
      <c r="E348" s="124" t="str">
        <f>'[2]2021 УГРЦТ'!D350</f>
        <v>Сооружения</v>
      </c>
      <c r="F348" s="124" t="str">
        <f>'[2]2021 УГРЦТ'!E350</f>
        <v>30.04.2007</v>
      </c>
      <c r="G348" s="124" t="str">
        <f>'[2]2021 УГРЦТ'!F350</f>
        <v>Цех электрических сетей</v>
      </c>
      <c r="H348" s="124">
        <f>'[2]2021 УГРЦТ'!AC350</f>
        <v>180</v>
      </c>
      <c r="I348" s="127">
        <v>9657084.6099999994</v>
      </c>
      <c r="J348" s="107">
        <v>9428419.3600000013</v>
      </c>
      <c r="K348" s="107">
        <f>I348-J348</f>
        <v>228665.24999999814</v>
      </c>
      <c r="L348" s="125" t="e">
        <f>SUMIF([2]облаг!$B$2:$B$259,B348,[2]облаг!$D$2:$D$259)</f>
        <v>#VALUE!</v>
      </c>
      <c r="M348" s="107">
        <f t="shared" si="326"/>
        <v>53650.470055555554</v>
      </c>
      <c r="N348" s="107">
        <f>O348</f>
        <v>175014.77994444259</v>
      </c>
      <c r="O348" s="107">
        <f t="shared" si="328"/>
        <v>175014.77994444259</v>
      </c>
      <c r="P348" s="107">
        <f t="shared" si="329"/>
        <v>121364.30988888704</v>
      </c>
      <c r="Q348" s="107">
        <f t="shared" ref="Q348:Q411" si="335">P348-M348</f>
        <v>67713.839833331498</v>
      </c>
      <c r="R348" s="107">
        <f t="shared" ref="R348:R411" si="336">Q348-M348</f>
        <v>14063.369777775944</v>
      </c>
      <c r="S348" s="107">
        <v>0</v>
      </c>
      <c r="T348" s="107">
        <v>0</v>
      </c>
      <c r="U348" s="107">
        <v>0</v>
      </c>
      <c r="V348" s="107">
        <v>0</v>
      </c>
      <c r="W348" s="107">
        <v>0</v>
      </c>
      <c r="X348" s="107">
        <v>0</v>
      </c>
      <c r="Y348" s="107">
        <v>0</v>
      </c>
      <c r="Z348" s="107">
        <v>0</v>
      </c>
      <c r="AA348" s="107">
        <f>SUM(O348:Z348,K348)/13*$AA$2</f>
        <v>1026.9287759828903</v>
      </c>
      <c r="AB348" s="107"/>
      <c r="AC348" s="107">
        <v>0</v>
      </c>
      <c r="AD348" s="107">
        <v>0</v>
      </c>
      <c r="AE348" s="107">
        <v>0</v>
      </c>
      <c r="AF348" s="107">
        <v>0</v>
      </c>
      <c r="AG348" s="107">
        <v>0</v>
      </c>
      <c r="AH348" s="107">
        <v>0</v>
      </c>
      <c r="AI348" s="107">
        <v>0</v>
      </c>
      <c r="AJ348" s="107">
        <v>0</v>
      </c>
      <c r="AK348" s="107">
        <v>0</v>
      </c>
      <c r="AL348" s="107">
        <v>0</v>
      </c>
      <c r="AM348" s="107">
        <v>0</v>
      </c>
      <c r="AN348" s="107">
        <v>0</v>
      </c>
      <c r="AO348" s="107">
        <v>0</v>
      </c>
      <c r="AP348" s="107">
        <f t="shared" si="334"/>
        <v>0</v>
      </c>
      <c r="AQ348" s="126"/>
      <c r="AR348" s="107">
        <v>0</v>
      </c>
      <c r="AS348" s="107">
        <v>0</v>
      </c>
      <c r="AT348" s="107">
        <v>0</v>
      </c>
      <c r="AU348" s="107">
        <v>0</v>
      </c>
      <c r="AV348" s="107">
        <v>0</v>
      </c>
      <c r="AW348" s="107">
        <v>0</v>
      </c>
      <c r="AX348" s="107">
        <v>0</v>
      </c>
      <c r="AY348" s="107">
        <v>0</v>
      </c>
      <c r="AZ348" s="107">
        <v>0</v>
      </c>
      <c r="BA348" s="107">
        <v>0</v>
      </c>
      <c r="BB348" s="107">
        <v>0</v>
      </c>
      <c r="BC348" s="107">
        <v>0</v>
      </c>
      <c r="BD348" s="107">
        <v>0</v>
      </c>
      <c r="BE348" s="107">
        <f>SUM(AS348:BD348,AO348)/13*$BE$2</f>
        <v>0</v>
      </c>
      <c r="BG348" s="127"/>
      <c r="BI348" s="127"/>
      <c r="BV348" s="127"/>
    </row>
    <row r="349" spans="1:75" ht="22.5" hidden="1" x14ac:dyDescent="0.2">
      <c r="A349" s="123" t="str">
        <f>'[2]2021 УГРЦТ'!A351</f>
        <v>Реклоузер вакуумный PBA/TEL фидер ЖВК на ВЛ-6кВ</v>
      </c>
      <c r="B349" s="124" t="str">
        <f>'[2]2021 УГРЦТ'!B351</f>
        <v>000001667</v>
      </c>
      <c r="C349" s="124" t="str">
        <f>VLOOKUP(A:A,'2023-2027'!A:L,1,+FALSE)</f>
        <v>Реклоузер вакуумный PBA/TEL фидер ЖВК на ВЛ-6кВ</v>
      </c>
      <c r="D349" s="124" t="str">
        <f>'[2]2021 УГРЦТ'!C351</f>
        <v>ПЕРЕДАЧА</v>
      </c>
      <c r="E349" s="124" t="str">
        <f>'[2]2021 УГРЦТ'!D351</f>
        <v>Машины и оборудование (кроме офисного)</v>
      </c>
      <c r="F349" s="124" t="str">
        <f>'[2]2021 УГРЦТ'!E351</f>
        <v>31.12.2015</v>
      </c>
      <c r="G349" s="124" t="str">
        <f>'[2]2021 УГРЦТ'!F351</f>
        <v>Цех электрических сетей</v>
      </c>
      <c r="H349" s="124">
        <f>'[2]2021 УГРЦТ'!AC351</f>
        <v>180</v>
      </c>
      <c r="I349" s="107">
        <f>'[2]2021 УГРЦТ'!X351</f>
        <v>1311763</v>
      </c>
      <c r="J349" s="107">
        <f>'[2]2021 УГРЦТ'!Y351</f>
        <v>524705.06666666665</v>
      </c>
      <c r="K349" s="107">
        <f>'[2]2021 УГРЦТ'!Z351</f>
        <v>787057.93333333335</v>
      </c>
      <c r="L349" s="125" t="e">
        <f>SUMIF([2]облаг!$B$2:$B$259,B349,[2]облаг!$D$2:$D$259)</f>
        <v>#VALUE!</v>
      </c>
      <c r="M349" s="107">
        <f t="shared" si="326"/>
        <v>7287.5722222222221</v>
      </c>
      <c r="N349" s="107">
        <f t="shared" si="327"/>
        <v>87450.866666666669</v>
      </c>
      <c r="O349" s="107">
        <f t="shared" si="328"/>
        <v>779770.36111111112</v>
      </c>
      <c r="P349" s="107">
        <f t="shared" si="329"/>
        <v>772482.7888888889</v>
      </c>
      <c r="Q349" s="107">
        <f t="shared" si="335"/>
        <v>765195.21666666667</v>
      </c>
      <c r="R349" s="107">
        <f t="shared" si="336"/>
        <v>757907.64444444445</v>
      </c>
      <c r="S349" s="107">
        <f t="shared" ref="S349:S412" si="337">R349-M349</f>
        <v>750620.07222222222</v>
      </c>
      <c r="T349" s="107">
        <f t="shared" ref="T349:T412" si="338">S349-M349</f>
        <v>743332.5</v>
      </c>
      <c r="U349" s="107">
        <f t="shared" ref="U349:U412" si="339">T349-M349</f>
        <v>736044.92777777778</v>
      </c>
      <c r="V349" s="107">
        <f t="shared" ref="V349:V412" si="340">U349-M349</f>
        <v>728757.35555555555</v>
      </c>
      <c r="W349" s="107">
        <f t="shared" ref="W349:W412" si="341">V349-M349</f>
        <v>721469.78333333333</v>
      </c>
      <c r="X349" s="107">
        <f t="shared" ref="X349:X412" si="342">W349-M349</f>
        <v>714182.2111111111</v>
      </c>
      <c r="Y349" s="107">
        <f t="shared" ref="Y349:Y412" si="343">X349-M349</f>
        <v>706894.63888888888</v>
      </c>
      <c r="Z349" s="107">
        <f t="shared" ref="Z349:Z412" si="344">Y349-M349</f>
        <v>699607.06666666665</v>
      </c>
      <c r="AA349" s="107"/>
      <c r="AB349" s="107"/>
      <c r="AC349" s="107">
        <f t="shared" ref="AC349:AC412" si="345">M349*12</f>
        <v>87450.866666666669</v>
      </c>
      <c r="AD349" s="107">
        <f t="shared" ref="AD349:AD412" si="346">Z349-M349</f>
        <v>692319.49444444443</v>
      </c>
      <c r="AE349" s="107">
        <f t="shared" ref="AE349:AE412" si="347">AD349-M349</f>
        <v>685031.9222222222</v>
      </c>
      <c r="AF349" s="107">
        <f t="shared" ref="AF349:AF412" si="348">AE349-M349</f>
        <v>677744.35</v>
      </c>
      <c r="AG349" s="107">
        <f t="shared" ref="AG349:AG412" si="349">AF349-M349</f>
        <v>670456.77777777775</v>
      </c>
      <c r="AH349" s="107">
        <f t="shared" ref="AH349:AH412" si="350">AG349-M349</f>
        <v>663169.20555555553</v>
      </c>
      <c r="AI349" s="107">
        <f t="shared" ref="AI349:AI412" si="351">AH349-M349</f>
        <v>655881.6333333333</v>
      </c>
      <c r="AJ349" s="107">
        <f t="shared" ref="AJ349:AJ412" si="352">AI349-M349</f>
        <v>648594.06111111108</v>
      </c>
      <c r="AK349" s="107">
        <f t="shared" ref="AK349:AK412" si="353">AJ349-M349</f>
        <v>641306.48888888885</v>
      </c>
      <c r="AL349" s="107">
        <f t="shared" ref="AL349:AL412" si="354">AK349-M349</f>
        <v>634018.91666666663</v>
      </c>
      <c r="AM349" s="107">
        <f t="shared" ref="AM349:AM412" si="355">AL349-M349</f>
        <v>626731.3444444444</v>
      </c>
      <c r="AN349" s="107">
        <f t="shared" ref="AN349:AN412" si="356">AM349-M349</f>
        <v>619443.77222222218</v>
      </c>
      <c r="AO349" s="107">
        <f t="shared" ref="AO349:AO412" si="357">AN349-M349</f>
        <v>612156.19999999995</v>
      </c>
      <c r="AP349" s="107"/>
      <c r="AQ349" s="126"/>
      <c r="AR349" s="107">
        <f t="shared" ref="AR349:AR412" si="358">M349*12</f>
        <v>87450.866666666669</v>
      </c>
      <c r="AS349" s="107">
        <f>AO349-M349</f>
        <v>604868.62777777773</v>
      </c>
      <c r="AT349" s="107">
        <f>AS349-M349</f>
        <v>597581.0555555555</v>
      </c>
      <c r="AU349" s="107">
        <f>AT349-M349</f>
        <v>590293.48333333328</v>
      </c>
      <c r="AV349" s="107">
        <f>AU349-M349</f>
        <v>583005.91111111105</v>
      </c>
      <c r="AW349" s="107">
        <f>AV349-M349</f>
        <v>575718.33888888883</v>
      </c>
      <c r="AX349" s="107">
        <f>AW349-M349</f>
        <v>568430.7666666666</v>
      </c>
      <c r="AY349" s="107">
        <f>AX349-M349</f>
        <v>561143.19444444438</v>
      </c>
      <c r="AZ349" s="107">
        <f>AY349-M349</f>
        <v>553855.62222222215</v>
      </c>
      <c r="BA349" s="107">
        <f>AZ349-M349</f>
        <v>546568.04999999993</v>
      </c>
      <c r="BB349" s="107">
        <f>BA349-M349</f>
        <v>539280.47777777771</v>
      </c>
      <c r="BC349" s="107">
        <f>BB349-M349</f>
        <v>531992.90555555548</v>
      </c>
      <c r="BD349" s="107">
        <f>BC349-M349</f>
        <v>524705.33333333326</v>
      </c>
      <c r="BE349" s="107"/>
      <c r="BF349" s="127"/>
      <c r="BG349" s="127"/>
      <c r="BH349" s="127"/>
      <c r="BI349" s="127"/>
      <c r="BJ349" s="127"/>
      <c r="BK349" s="127"/>
      <c r="BL349" s="127"/>
      <c r="BM349" s="127"/>
      <c r="BN349" s="127"/>
      <c r="BO349" s="127"/>
      <c r="BP349" s="127"/>
      <c r="BQ349" s="127"/>
      <c r="BR349" s="127"/>
      <c r="BS349" s="127"/>
      <c r="BT349" s="127"/>
      <c r="BU349" s="127"/>
      <c r="BV349" s="127"/>
      <c r="BW349" s="127"/>
    </row>
    <row r="350" spans="1:75" ht="45" hidden="1" x14ac:dyDescent="0.2">
      <c r="A350" s="123" t="str">
        <f>'[2]2021 УГРЦТ'!A352</f>
        <v>Реклоузер вакуумный PBA/TEL фидер Искатели на ВЛ 6 кВ ул. Монтажников в районе дома №11</v>
      </c>
      <c r="B350" s="124" t="str">
        <f>'[2]2021 УГРЦТ'!B352</f>
        <v>000001701</v>
      </c>
      <c r="C350" s="124" t="str">
        <f>VLOOKUP(A:A,'2023-2027'!A:L,1,+FALSE)</f>
        <v>Реклоузер вакуумный PBA/TEL фидер Искатели на ВЛ 6 кВ ул. Монтажников в районе дома №11</v>
      </c>
      <c r="D350" s="124" t="str">
        <f>'[2]2021 УГРЦТ'!C352</f>
        <v>ПЕРЕДАЧА</v>
      </c>
      <c r="E350" s="124" t="str">
        <f>'[2]2021 УГРЦТ'!D352</f>
        <v>Машины и оборудование (кроме офисного)</v>
      </c>
      <c r="F350" s="124" t="str">
        <f>'[2]2021 УГРЦТ'!E352</f>
        <v>31.03.2017</v>
      </c>
      <c r="G350" s="124" t="str">
        <f>'[2]2021 УГРЦТ'!F352</f>
        <v>Цех электрических сетей</v>
      </c>
      <c r="H350" s="124">
        <f>'[2]2021 УГРЦТ'!AC352</f>
        <v>300</v>
      </c>
      <c r="I350" s="107">
        <f>'[2]2021 УГРЦТ'!X352</f>
        <v>1356000</v>
      </c>
      <c r="J350" s="107">
        <f>'[2]2021 УГРЦТ'!Y352</f>
        <v>257640</v>
      </c>
      <c r="K350" s="107">
        <f>'[2]2021 УГРЦТ'!Z352</f>
        <v>1098360</v>
      </c>
      <c r="L350" s="125" t="e">
        <f>SUMIF([2]облаг!$B$2:$B$259,B350,[2]облаг!$D$2:$D$259)</f>
        <v>#VALUE!</v>
      </c>
      <c r="M350" s="107">
        <f t="shared" si="326"/>
        <v>4520</v>
      </c>
      <c r="N350" s="107">
        <f t="shared" si="327"/>
        <v>54240</v>
      </c>
      <c r="O350" s="107">
        <f t="shared" si="328"/>
        <v>1093840</v>
      </c>
      <c r="P350" s="107">
        <f t="shared" si="329"/>
        <v>1089320</v>
      </c>
      <c r="Q350" s="107">
        <f t="shared" si="335"/>
        <v>1084800</v>
      </c>
      <c r="R350" s="107">
        <f t="shared" si="336"/>
        <v>1080280</v>
      </c>
      <c r="S350" s="107">
        <f t="shared" si="337"/>
        <v>1075760</v>
      </c>
      <c r="T350" s="107">
        <f t="shared" si="338"/>
        <v>1071240</v>
      </c>
      <c r="U350" s="107">
        <f t="shared" si="339"/>
        <v>1066720</v>
      </c>
      <c r="V350" s="107">
        <f t="shared" si="340"/>
        <v>1062200</v>
      </c>
      <c r="W350" s="107">
        <f t="shared" si="341"/>
        <v>1057680</v>
      </c>
      <c r="X350" s="107">
        <f t="shared" si="342"/>
        <v>1053160</v>
      </c>
      <c r="Y350" s="107">
        <f t="shared" si="343"/>
        <v>1048640</v>
      </c>
      <c r="Z350" s="107">
        <f t="shared" si="344"/>
        <v>1044120</v>
      </c>
      <c r="AA350" s="107"/>
      <c r="AB350" s="107"/>
      <c r="AC350" s="107">
        <f t="shared" si="345"/>
        <v>54240</v>
      </c>
      <c r="AD350" s="107">
        <f t="shared" si="346"/>
        <v>1039600</v>
      </c>
      <c r="AE350" s="107">
        <f t="shared" si="347"/>
        <v>1035080</v>
      </c>
      <c r="AF350" s="107">
        <f t="shared" si="348"/>
        <v>1030560</v>
      </c>
      <c r="AG350" s="107">
        <f t="shared" si="349"/>
        <v>1026040</v>
      </c>
      <c r="AH350" s="107">
        <f t="shared" si="350"/>
        <v>1021520</v>
      </c>
      <c r="AI350" s="107">
        <f t="shared" si="351"/>
        <v>1017000</v>
      </c>
      <c r="AJ350" s="107">
        <f t="shared" si="352"/>
        <v>1012480</v>
      </c>
      <c r="AK350" s="107">
        <f t="shared" si="353"/>
        <v>1007960</v>
      </c>
      <c r="AL350" s="107">
        <f t="shared" si="354"/>
        <v>1003440</v>
      </c>
      <c r="AM350" s="107">
        <f t="shared" si="355"/>
        <v>998920</v>
      </c>
      <c r="AN350" s="107">
        <f t="shared" si="356"/>
        <v>994400</v>
      </c>
      <c r="AO350" s="107">
        <f t="shared" si="357"/>
        <v>989880</v>
      </c>
      <c r="AP350" s="107"/>
      <c r="AQ350" s="126"/>
      <c r="AR350" s="107">
        <f t="shared" si="358"/>
        <v>54240</v>
      </c>
      <c r="AS350" s="107">
        <f>AO350-M350</f>
        <v>985360</v>
      </c>
      <c r="AT350" s="107">
        <f>AS350-M350</f>
        <v>980840</v>
      </c>
      <c r="AU350" s="107">
        <f>AT350-M350</f>
        <v>976320</v>
      </c>
      <c r="AV350" s="107">
        <f>AU350-M350</f>
        <v>971800</v>
      </c>
      <c r="AW350" s="107">
        <f>AV350-M350</f>
        <v>967280</v>
      </c>
      <c r="AX350" s="107">
        <f>AW350-M350</f>
        <v>962760</v>
      </c>
      <c r="AY350" s="107">
        <f>AX350-M350</f>
        <v>958240</v>
      </c>
      <c r="AZ350" s="107">
        <f>AY350-M350</f>
        <v>953720</v>
      </c>
      <c r="BA350" s="107">
        <f>AZ350-M350</f>
        <v>949200</v>
      </c>
      <c r="BB350" s="107">
        <f>BA350-M350</f>
        <v>944680</v>
      </c>
      <c r="BC350" s="107">
        <f>BB350-M350</f>
        <v>940160</v>
      </c>
      <c r="BD350" s="107">
        <f>BC350-M350</f>
        <v>935640</v>
      </c>
      <c r="BE350" s="107"/>
      <c r="BF350" s="127"/>
      <c r="BG350" s="127"/>
      <c r="BH350" s="127"/>
      <c r="BI350" s="127"/>
      <c r="BJ350" s="127"/>
      <c r="BK350" s="127"/>
      <c r="BL350" s="127"/>
      <c r="BM350" s="127"/>
      <c r="BN350" s="127"/>
      <c r="BO350" s="127"/>
      <c r="BP350" s="127"/>
      <c r="BQ350" s="127"/>
      <c r="BR350" s="127"/>
      <c r="BS350" s="127"/>
      <c r="BT350" s="127"/>
      <c r="BU350" s="127"/>
      <c r="BV350" s="127"/>
      <c r="BW350" s="127"/>
    </row>
    <row r="351" spans="1:75" ht="33.75" hidden="1" x14ac:dyDescent="0.2">
      <c r="A351" s="123" t="str">
        <f>'[2]2021 УГРЦТ'!A353</f>
        <v>Реклоузер вакуумный PBA/TEL фидер Нефтебаза на ВЛ 6 кВ ул. Калмыкова, в районе дома №14</v>
      </c>
      <c r="B351" s="124" t="str">
        <f>'[2]2021 УГРЦТ'!B353</f>
        <v>000001700</v>
      </c>
      <c r="C351" s="124" t="str">
        <f>VLOOKUP(A:A,'2023-2027'!A:L,1,+FALSE)</f>
        <v>Реклоузер вакуумный PBA/TEL фидер Нефтебаза на ВЛ 6 кВ ул. Калмыкова, в районе дома №14</v>
      </c>
      <c r="D351" s="124" t="str">
        <f>'[2]2021 УГРЦТ'!C353</f>
        <v>ПЕРЕДАЧА</v>
      </c>
      <c r="E351" s="124" t="str">
        <f>'[2]2021 УГРЦТ'!D353</f>
        <v>Машины и оборудование (кроме офисного)</v>
      </c>
      <c r="F351" s="124" t="str">
        <f>'[2]2021 УГРЦТ'!E353</f>
        <v>31.03.2017</v>
      </c>
      <c r="G351" s="124" t="str">
        <f>'[2]2021 УГРЦТ'!F353</f>
        <v>Цех электрических сетей</v>
      </c>
      <c r="H351" s="124">
        <f>'[2]2021 УГРЦТ'!AC353</f>
        <v>300</v>
      </c>
      <c r="I351" s="107">
        <f>'[2]2021 УГРЦТ'!X353</f>
        <v>1356000</v>
      </c>
      <c r="J351" s="107">
        <f>'[2]2021 УГРЦТ'!Y353</f>
        <v>257640</v>
      </c>
      <c r="K351" s="107">
        <f>'[2]2021 УГРЦТ'!Z353</f>
        <v>1098360</v>
      </c>
      <c r="L351" s="125" t="e">
        <f>SUMIF([2]облаг!$B$2:$B$259,B351,[2]облаг!$D$2:$D$259)</f>
        <v>#VALUE!</v>
      </c>
      <c r="M351" s="107">
        <f t="shared" si="326"/>
        <v>4520</v>
      </c>
      <c r="N351" s="107">
        <f t="shared" si="327"/>
        <v>54240</v>
      </c>
      <c r="O351" s="107">
        <f t="shared" si="328"/>
        <v>1093840</v>
      </c>
      <c r="P351" s="107">
        <f t="shared" si="329"/>
        <v>1089320</v>
      </c>
      <c r="Q351" s="107">
        <f t="shared" si="335"/>
        <v>1084800</v>
      </c>
      <c r="R351" s="107">
        <f t="shared" si="336"/>
        <v>1080280</v>
      </c>
      <c r="S351" s="107">
        <f t="shared" si="337"/>
        <v>1075760</v>
      </c>
      <c r="T351" s="107">
        <f t="shared" si="338"/>
        <v>1071240</v>
      </c>
      <c r="U351" s="107">
        <f t="shared" si="339"/>
        <v>1066720</v>
      </c>
      <c r="V351" s="107">
        <f t="shared" si="340"/>
        <v>1062200</v>
      </c>
      <c r="W351" s="107">
        <f t="shared" si="341"/>
        <v>1057680</v>
      </c>
      <c r="X351" s="107">
        <f t="shared" si="342"/>
        <v>1053160</v>
      </c>
      <c r="Y351" s="107">
        <f t="shared" si="343"/>
        <v>1048640</v>
      </c>
      <c r="Z351" s="107">
        <f t="shared" si="344"/>
        <v>1044120</v>
      </c>
      <c r="AA351" s="107"/>
      <c r="AB351" s="107"/>
      <c r="AC351" s="107">
        <f t="shared" si="345"/>
        <v>54240</v>
      </c>
      <c r="AD351" s="107">
        <f t="shared" si="346"/>
        <v>1039600</v>
      </c>
      <c r="AE351" s="107">
        <f t="shared" si="347"/>
        <v>1035080</v>
      </c>
      <c r="AF351" s="107">
        <f t="shared" si="348"/>
        <v>1030560</v>
      </c>
      <c r="AG351" s="107">
        <f t="shared" si="349"/>
        <v>1026040</v>
      </c>
      <c r="AH351" s="107">
        <f t="shared" si="350"/>
        <v>1021520</v>
      </c>
      <c r="AI351" s="107">
        <f t="shared" si="351"/>
        <v>1017000</v>
      </c>
      <c r="AJ351" s="107">
        <f t="shared" si="352"/>
        <v>1012480</v>
      </c>
      <c r="AK351" s="107">
        <f t="shared" si="353"/>
        <v>1007960</v>
      </c>
      <c r="AL351" s="107">
        <f t="shared" si="354"/>
        <v>1003440</v>
      </c>
      <c r="AM351" s="107">
        <f t="shared" si="355"/>
        <v>998920</v>
      </c>
      <c r="AN351" s="107">
        <f t="shared" si="356"/>
        <v>994400</v>
      </c>
      <c r="AO351" s="107">
        <f t="shared" si="357"/>
        <v>989880</v>
      </c>
      <c r="AP351" s="107"/>
      <c r="AQ351" s="126"/>
      <c r="AR351" s="107">
        <f t="shared" si="358"/>
        <v>54240</v>
      </c>
      <c r="AS351" s="107">
        <f>AO351-M351</f>
        <v>985360</v>
      </c>
      <c r="AT351" s="107">
        <f>AS351-M351</f>
        <v>980840</v>
      </c>
      <c r="AU351" s="107">
        <f>AT351-M351</f>
        <v>976320</v>
      </c>
      <c r="AV351" s="107">
        <f>AU351-M351</f>
        <v>971800</v>
      </c>
      <c r="AW351" s="107">
        <f>AV351-M351</f>
        <v>967280</v>
      </c>
      <c r="AX351" s="107">
        <f>AW351-M351</f>
        <v>962760</v>
      </c>
      <c r="AY351" s="107">
        <f>AX351-M351</f>
        <v>958240</v>
      </c>
      <c r="AZ351" s="107">
        <f>AY351-M351</f>
        <v>953720</v>
      </c>
      <c r="BA351" s="107">
        <f>AZ351-M351</f>
        <v>949200</v>
      </c>
      <c r="BB351" s="107">
        <f>BA351-M351</f>
        <v>944680</v>
      </c>
      <c r="BC351" s="107">
        <f>BB351-M351</f>
        <v>940160</v>
      </c>
      <c r="BD351" s="107">
        <f>BC351-M351</f>
        <v>935640</v>
      </c>
      <c r="BE351" s="107"/>
      <c r="BF351" s="127"/>
      <c r="BG351" s="127"/>
      <c r="BH351" s="127"/>
      <c r="BI351" s="127"/>
      <c r="BJ351" s="127"/>
      <c r="BK351" s="127"/>
      <c r="BL351" s="127"/>
      <c r="BM351" s="127"/>
      <c r="BN351" s="127"/>
      <c r="BO351" s="127"/>
      <c r="BP351" s="127"/>
      <c r="BQ351" s="127"/>
      <c r="BR351" s="127"/>
      <c r="BS351" s="127"/>
      <c r="BT351" s="127"/>
      <c r="BU351" s="127"/>
      <c r="BV351" s="127"/>
      <c r="BW351" s="127"/>
    </row>
    <row r="352" spans="1:75" ht="33.75" hidden="1" x14ac:dyDescent="0.2">
      <c r="A352" s="123" t="str">
        <f>'[2]2021 УГРЦТ'!A354</f>
        <v>Реконструкция ВЛ-0,4 кВ от ТП № 43 фидер "ул. Рабочая 43" г. Нарьян-Мар НАО</v>
      </c>
      <c r="B352" s="124" t="str">
        <f>'[2]2021 УГРЦТ'!B354</f>
        <v>000001679</v>
      </c>
      <c r="C352" s="124" t="str">
        <f>VLOOKUP(A:A,'2023-2027'!A:L,1,+FALSE)</f>
        <v>Реконструкция ВЛ-0,4 кВ от ТП № 43 фидер "ул. Рабочая 43" г. Нарьян-Мар НАО</v>
      </c>
      <c r="D352" s="124" t="str">
        <f>'[2]2021 УГРЦТ'!C354</f>
        <v>ПЕРЕДАЧА</v>
      </c>
      <c r="E352" s="124" t="str">
        <f>'[2]2021 УГРЦТ'!D354</f>
        <v>Сооружения</v>
      </c>
      <c r="F352" s="124" t="str">
        <f>'[2]2021 УГРЦТ'!E354</f>
        <v>20.02.2016</v>
      </c>
      <c r="G352" s="124" t="str">
        <f>'[2]2021 УГРЦТ'!F354</f>
        <v>Цех электрических сетей</v>
      </c>
      <c r="H352" s="124">
        <f>'[2]2021 УГРЦТ'!AC354</f>
        <v>180</v>
      </c>
      <c r="I352" s="107">
        <f>'[2]2021 УГРЦТ'!X354</f>
        <v>3985204.78</v>
      </c>
      <c r="J352" s="107">
        <f>'[2]2021 УГРЦТ'!Y354</f>
        <v>1549802.0586666667</v>
      </c>
      <c r="K352" s="107">
        <f>'[2]2021 УГРЦТ'!Z354</f>
        <v>2435402.7213333333</v>
      </c>
      <c r="L352" s="125" t="e">
        <f>SUMIF([2]облаг!$B$2:$B$259,B352,[2]облаг!$D$2:$D$259)</f>
        <v>#VALUE!</v>
      </c>
      <c r="M352" s="107">
        <f t="shared" si="326"/>
        <v>22140.026555555556</v>
      </c>
      <c r="N352" s="107">
        <f t="shared" si="327"/>
        <v>265680.31866666669</v>
      </c>
      <c r="O352" s="107">
        <f t="shared" si="328"/>
        <v>2413262.6947777779</v>
      </c>
      <c r="P352" s="107">
        <f t="shared" si="329"/>
        <v>2391122.6682222225</v>
      </c>
      <c r="Q352" s="107">
        <f t="shared" si="335"/>
        <v>2368982.6416666671</v>
      </c>
      <c r="R352" s="107">
        <f t="shared" si="336"/>
        <v>2346842.6151111117</v>
      </c>
      <c r="S352" s="107">
        <f t="shared" si="337"/>
        <v>2324702.5885555563</v>
      </c>
      <c r="T352" s="107">
        <f t="shared" si="338"/>
        <v>2302562.5620000008</v>
      </c>
      <c r="U352" s="107">
        <f t="shared" si="339"/>
        <v>2280422.5354444454</v>
      </c>
      <c r="V352" s="107">
        <f t="shared" si="340"/>
        <v>2258282.50888889</v>
      </c>
      <c r="W352" s="107">
        <f t="shared" si="341"/>
        <v>2236142.4823333346</v>
      </c>
      <c r="X352" s="107">
        <f t="shared" si="342"/>
        <v>2214002.4557777792</v>
      </c>
      <c r="Y352" s="107">
        <f t="shared" si="343"/>
        <v>2191862.4292222238</v>
      </c>
      <c r="Z352" s="107">
        <f t="shared" si="344"/>
        <v>2169722.4026666684</v>
      </c>
      <c r="AA352" s="107">
        <f t="shared" ref="AA352:AA357" si="359">SUM(O352:Z352,K352)/13*$AA$2</f>
        <v>50656.376364000018</v>
      </c>
      <c r="AB352" s="107"/>
      <c r="AC352" s="107">
        <f t="shared" si="345"/>
        <v>265680.31866666669</v>
      </c>
      <c r="AD352" s="107">
        <f t="shared" si="346"/>
        <v>2147582.376111113</v>
      </c>
      <c r="AE352" s="107">
        <f t="shared" si="347"/>
        <v>2125442.3495555576</v>
      </c>
      <c r="AF352" s="107">
        <f t="shared" si="348"/>
        <v>2103302.3230000022</v>
      </c>
      <c r="AG352" s="107">
        <f t="shared" si="349"/>
        <v>2081162.2964444465</v>
      </c>
      <c r="AH352" s="107">
        <f t="shared" si="350"/>
        <v>2059022.2698888909</v>
      </c>
      <c r="AI352" s="107">
        <f t="shared" si="351"/>
        <v>2036882.2433333353</v>
      </c>
      <c r="AJ352" s="107">
        <f t="shared" si="352"/>
        <v>2014742.2167777796</v>
      </c>
      <c r="AK352" s="107">
        <f t="shared" si="353"/>
        <v>1992602.190222224</v>
      </c>
      <c r="AL352" s="107">
        <f t="shared" si="354"/>
        <v>1970462.1636666683</v>
      </c>
      <c r="AM352" s="107">
        <f t="shared" si="355"/>
        <v>1948322.1371111127</v>
      </c>
      <c r="AN352" s="107">
        <f t="shared" si="356"/>
        <v>1926182.1105555571</v>
      </c>
      <c r="AO352" s="107">
        <f t="shared" si="357"/>
        <v>1904042.0840000014</v>
      </c>
      <c r="AP352" s="107">
        <f t="shared" ref="AP352:AP357" si="360">SUM(AD352:AO352,Z352)/13*$AP$2</f>
        <v>44811.409353333365</v>
      </c>
      <c r="AQ352" s="126"/>
      <c r="AR352" s="107">
        <f t="shared" si="358"/>
        <v>265680.31866666669</v>
      </c>
      <c r="AS352" s="107">
        <f>AO352-M352</f>
        <v>1881902.0574444458</v>
      </c>
      <c r="AT352" s="107">
        <f>AS352-M352</f>
        <v>1859762.0308888901</v>
      </c>
      <c r="AU352" s="107">
        <f>AT352-M352</f>
        <v>1837622.0043333345</v>
      </c>
      <c r="AV352" s="107">
        <f>AU352-M352</f>
        <v>1815481.9777777789</v>
      </c>
      <c r="AW352" s="107">
        <f>AV352-M352</f>
        <v>1793341.9512222232</v>
      </c>
      <c r="AX352" s="107">
        <f>AW352-M352</f>
        <v>1771201.9246666676</v>
      </c>
      <c r="AY352" s="107">
        <f>AX352-M352</f>
        <v>1749061.898111112</v>
      </c>
      <c r="AZ352" s="107">
        <f>AY352-M352</f>
        <v>1726921.8715555563</v>
      </c>
      <c r="BA352" s="107">
        <f>AZ352-M352</f>
        <v>1704781.8450000007</v>
      </c>
      <c r="BB352" s="107">
        <f>BA352-M352</f>
        <v>1682641.818444445</v>
      </c>
      <c r="BC352" s="107">
        <f>BB352-M352</f>
        <v>1660501.7918888894</v>
      </c>
      <c r="BD352" s="107">
        <f>BC352-M352</f>
        <v>1638361.7653333338</v>
      </c>
      <c r="BE352" s="107">
        <f t="shared" ref="BE352:BE357" si="361">SUM(AS352:BD352,AO352)/13*$BE$2</f>
        <v>38966.442342666684</v>
      </c>
      <c r="BF352" s="127"/>
      <c r="BG352" s="127"/>
      <c r="BH352" s="127"/>
      <c r="BI352" s="127"/>
      <c r="BJ352" s="127"/>
      <c r="BK352" s="127"/>
      <c r="BL352" s="127"/>
      <c r="BM352" s="127"/>
      <c r="BN352" s="127"/>
      <c r="BO352" s="127"/>
      <c r="BP352" s="127"/>
      <c r="BQ352" s="127"/>
      <c r="BR352" s="127"/>
      <c r="BS352" s="127"/>
      <c r="BT352" s="127"/>
      <c r="BU352" s="127"/>
      <c r="BV352" s="127"/>
      <c r="BW352" s="127"/>
    </row>
    <row r="353" spans="1:75" ht="33.75" hidden="1" x14ac:dyDescent="0.2">
      <c r="A353" s="123" t="str">
        <f>'[2]2021 УГРЦТ'!A355</f>
        <v>Реконструкция ВЛ-0,4 кВ от ТП №24 фидер "ул. 60 лет Октября 3а"</v>
      </c>
      <c r="B353" s="124" t="str">
        <f>'[2]2021 УГРЦТ'!B355</f>
        <v>000001678</v>
      </c>
      <c r="C353" s="124" t="str">
        <f>VLOOKUP(A:A,'2023-2027'!A:L,1,+FALSE)</f>
        <v>Реконструкция ВЛ-0,4 кВ от ТП №24 фидер "ул. 60 лет Октября 3а"</v>
      </c>
      <c r="D353" s="124" t="str">
        <f>'[2]2021 УГРЦТ'!C355</f>
        <v>ПЕРЕДАЧА</v>
      </c>
      <c r="E353" s="124" t="str">
        <f>'[2]2021 УГРЦТ'!D355</f>
        <v>Сооружения</v>
      </c>
      <c r="F353" s="124" t="str">
        <f>'[2]2021 УГРЦТ'!E355</f>
        <v>20.02.2016</v>
      </c>
      <c r="G353" s="124" t="str">
        <f>'[2]2021 УГРЦТ'!F355</f>
        <v>Цех электрических сетей</v>
      </c>
      <c r="H353" s="124">
        <f>'[2]2021 УГРЦТ'!AC355</f>
        <v>180</v>
      </c>
      <c r="I353" s="107">
        <f>'[2]2021 УГРЦТ'!X355</f>
        <v>3184874.41</v>
      </c>
      <c r="J353" s="107">
        <f>'[2]2021 УГРЦТ'!Y355</f>
        <v>1238562.4606666667</v>
      </c>
      <c r="K353" s="107">
        <f>'[2]2021 УГРЦТ'!Z355</f>
        <v>1946311.9493333334</v>
      </c>
      <c r="L353" s="125" t="e">
        <f>SUMIF([2]облаг!$B$2:$B$259,B353,[2]облаг!$D$2:$D$259)</f>
        <v>#VALUE!</v>
      </c>
      <c r="M353" s="107">
        <f t="shared" si="326"/>
        <v>17693.746722222222</v>
      </c>
      <c r="N353" s="107">
        <f t="shared" si="327"/>
        <v>212324.96066666668</v>
      </c>
      <c r="O353" s="107">
        <f t="shared" si="328"/>
        <v>1928618.2026111111</v>
      </c>
      <c r="P353" s="107">
        <f t="shared" si="329"/>
        <v>1910924.4558888888</v>
      </c>
      <c r="Q353" s="107">
        <f t="shared" si="335"/>
        <v>1893230.7091666665</v>
      </c>
      <c r="R353" s="107">
        <f t="shared" si="336"/>
        <v>1875536.9624444442</v>
      </c>
      <c r="S353" s="107">
        <f t="shared" si="337"/>
        <v>1857843.2157222219</v>
      </c>
      <c r="T353" s="107">
        <f t="shared" si="338"/>
        <v>1840149.4689999996</v>
      </c>
      <c r="U353" s="107">
        <f t="shared" si="339"/>
        <v>1822455.7222777773</v>
      </c>
      <c r="V353" s="107">
        <f t="shared" si="340"/>
        <v>1804761.975555555</v>
      </c>
      <c r="W353" s="107">
        <f t="shared" si="341"/>
        <v>1787068.2288333327</v>
      </c>
      <c r="X353" s="107">
        <f t="shared" si="342"/>
        <v>1769374.4821111104</v>
      </c>
      <c r="Y353" s="107">
        <f t="shared" si="343"/>
        <v>1751680.735388888</v>
      </c>
      <c r="Z353" s="107">
        <f t="shared" si="344"/>
        <v>1733986.9886666657</v>
      </c>
      <c r="AA353" s="107">
        <f t="shared" si="359"/>
        <v>40483.288317999984</v>
      </c>
      <c r="AB353" s="107"/>
      <c r="AC353" s="107">
        <f t="shared" si="345"/>
        <v>212324.96066666668</v>
      </c>
      <c r="AD353" s="107">
        <f t="shared" si="346"/>
        <v>1716293.2419444434</v>
      </c>
      <c r="AE353" s="107">
        <f t="shared" si="347"/>
        <v>1698599.4952222211</v>
      </c>
      <c r="AF353" s="107">
        <f t="shared" si="348"/>
        <v>1680905.7484999988</v>
      </c>
      <c r="AG353" s="107">
        <f t="shared" si="349"/>
        <v>1663212.0017777765</v>
      </c>
      <c r="AH353" s="107">
        <f t="shared" si="350"/>
        <v>1645518.2550555542</v>
      </c>
      <c r="AI353" s="107">
        <f t="shared" si="351"/>
        <v>1627824.5083333319</v>
      </c>
      <c r="AJ353" s="107">
        <f t="shared" si="352"/>
        <v>1610130.7616111096</v>
      </c>
      <c r="AK353" s="107">
        <f t="shared" si="353"/>
        <v>1592437.0148888873</v>
      </c>
      <c r="AL353" s="107">
        <f t="shared" si="354"/>
        <v>1574743.268166665</v>
      </c>
      <c r="AM353" s="107">
        <f t="shared" si="355"/>
        <v>1557049.5214444427</v>
      </c>
      <c r="AN353" s="107">
        <f t="shared" si="356"/>
        <v>1539355.7747222204</v>
      </c>
      <c r="AO353" s="107">
        <f t="shared" si="357"/>
        <v>1521662.0279999981</v>
      </c>
      <c r="AP353" s="107">
        <f t="shared" si="360"/>
        <v>35812.139183333296</v>
      </c>
      <c r="AQ353" s="126"/>
      <c r="AR353" s="107">
        <f t="shared" si="358"/>
        <v>212324.96066666668</v>
      </c>
      <c r="AS353" s="107">
        <f>AO353-M353</f>
        <v>1503968.2812777758</v>
      </c>
      <c r="AT353" s="107">
        <f>AS353-M353</f>
        <v>1486274.5345555535</v>
      </c>
      <c r="AU353" s="107">
        <f>AT353-M353</f>
        <v>1468580.7878333312</v>
      </c>
      <c r="AV353" s="107">
        <f>AU353-M353</f>
        <v>1450887.0411111088</v>
      </c>
      <c r="AW353" s="107">
        <f>AV353-M353</f>
        <v>1433193.2943888865</v>
      </c>
      <c r="AX353" s="107">
        <f>AW353-M353</f>
        <v>1415499.5476666642</v>
      </c>
      <c r="AY353" s="107">
        <f>AX353-M353</f>
        <v>1397805.8009444419</v>
      </c>
      <c r="AZ353" s="107">
        <f>AY353-M353</f>
        <v>1380112.0542222196</v>
      </c>
      <c r="BA353" s="107">
        <f>AZ353-M353</f>
        <v>1362418.3074999973</v>
      </c>
      <c r="BB353" s="107">
        <f>BA353-M353</f>
        <v>1344724.560777775</v>
      </c>
      <c r="BC353" s="107">
        <f>BB353-M353</f>
        <v>1327030.8140555527</v>
      </c>
      <c r="BD353" s="107">
        <f>BC353-M353</f>
        <v>1309337.0673333304</v>
      </c>
      <c r="BE353" s="107">
        <f t="shared" si="361"/>
        <v>31140.990048666612</v>
      </c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</row>
    <row r="354" spans="1:75" hidden="1" x14ac:dyDescent="0.2">
      <c r="A354" s="123" t="str">
        <f>'[2]2021 УГРЦТ'!A356</f>
        <v>РП-6кВ "Банное озеро" 2008г</v>
      </c>
      <c r="B354" s="124" t="str">
        <f>'[2]2021 УГРЦТ'!B356</f>
        <v>00001093</v>
      </c>
      <c r="C354" s="124" t="str">
        <f>VLOOKUP(A:A,'2023-2027'!A:L,1,+FALSE)</f>
        <v>РП-6кВ "Банное озеро" 2008г</v>
      </c>
      <c r="D354" s="124" t="str">
        <f>'[2]2021 УГРЦТ'!C356</f>
        <v>ПЕРЕДАЧА</v>
      </c>
      <c r="E354" s="124" t="str">
        <f>'[2]2021 УГРЦТ'!D356</f>
        <v>Сооружения</v>
      </c>
      <c r="F354" s="124" t="str">
        <f>'[2]2021 УГРЦТ'!E356</f>
        <v>30.09.2008</v>
      </c>
      <c r="G354" s="124" t="str">
        <f>'[2]2021 УГРЦТ'!F356</f>
        <v>Цех электрических сетей</v>
      </c>
      <c r="H354" s="124">
        <f>'[2]2021 УГРЦТ'!AC356</f>
        <v>180</v>
      </c>
      <c r="I354" s="107">
        <f>'[2]2021 УГРЦТ'!X356</f>
        <v>588018.28</v>
      </c>
      <c r="J354" s="107">
        <f>'[2]2021 УГРЦТ'!Y356</f>
        <v>519416.40866666666</v>
      </c>
      <c r="K354" s="107">
        <f>'[2]2021 УГРЦТ'!Z356</f>
        <v>68601.871333333373</v>
      </c>
      <c r="L354" s="125" t="e">
        <f>SUMIF([2]облаг!$B$2:$B$259,B354,[2]облаг!$D$2:$D$259)</f>
        <v>#VALUE!</v>
      </c>
      <c r="M354" s="107">
        <f t="shared" si="326"/>
        <v>3266.7682222222224</v>
      </c>
      <c r="N354" s="107">
        <f t="shared" si="327"/>
        <v>39201.218666666668</v>
      </c>
      <c r="O354" s="107">
        <f t="shared" si="328"/>
        <v>65335.103111111152</v>
      </c>
      <c r="P354" s="107">
        <f t="shared" si="329"/>
        <v>62068.33488888893</v>
      </c>
      <c r="Q354" s="107">
        <f t="shared" si="335"/>
        <v>58801.566666666709</v>
      </c>
      <c r="R354" s="107">
        <f t="shared" si="336"/>
        <v>55534.798444444488</v>
      </c>
      <c r="S354" s="107">
        <f t="shared" si="337"/>
        <v>52268.030222222267</v>
      </c>
      <c r="T354" s="107">
        <f t="shared" si="338"/>
        <v>49001.262000000046</v>
      </c>
      <c r="U354" s="107">
        <f t="shared" si="339"/>
        <v>45734.493777777825</v>
      </c>
      <c r="V354" s="107">
        <f t="shared" si="340"/>
        <v>42467.725555555604</v>
      </c>
      <c r="W354" s="107">
        <f t="shared" si="341"/>
        <v>39200.957333333383</v>
      </c>
      <c r="X354" s="107">
        <f t="shared" si="342"/>
        <v>35934.189111111162</v>
      </c>
      <c r="Y354" s="107">
        <f t="shared" si="343"/>
        <v>32667.420888888941</v>
      </c>
      <c r="Z354" s="107">
        <f t="shared" si="344"/>
        <v>29400.65266666672</v>
      </c>
      <c r="AA354" s="107">
        <f t="shared" si="359"/>
        <v>1078.0277640000011</v>
      </c>
      <c r="AB354" s="107"/>
      <c r="AC354" s="107">
        <f>AD354</f>
        <v>26133.884444444499</v>
      </c>
      <c r="AD354" s="107">
        <f t="shared" si="346"/>
        <v>26133.884444444499</v>
      </c>
      <c r="AE354" s="107">
        <f t="shared" si="347"/>
        <v>22867.116222222277</v>
      </c>
      <c r="AF354" s="107">
        <f t="shared" si="348"/>
        <v>19600.348000000056</v>
      </c>
      <c r="AG354" s="107">
        <f t="shared" si="349"/>
        <v>16333.579777777833</v>
      </c>
      <c r="AH354" s="107">
        <f t="shared" si="350"/>
        <v>13066.811555555611</v>
      </c>
      <c r="AI354" s="107">
        <f t="shared" si="351"/>
        <v>9800.0433333333876</v>
      </c>
      <c r="AJ354" s="107">
        <f t="shared" si="352"/>
        <v>6533.2751111111647</v>
      </c>
      <c r="AK354" s="107">
        <f t="shared" si="353"/>
        <v>3266.5068888889423</v>
      </c>
      <c r="AL354" s="107">
        <v>0</v>
      </c>
      <c r="AM354" s="107">
        <v>0</v>
      </c>
      <c r="AN354" s="107">
        <v>0</v>
      </c>
      <c r="AO354" s="107">
        <v>0</v>
      </c>
      <c r="AP354" s="107">
        <f t="shared" si="360"/>
        <v>248.77298430769315</v>
      </c>
      <c r="AQ354" s="126"/>
      <c r="AR354" s="107">
        <v>0</v>
      </c>
      <c r="AS354" s="107">
        <v>0</v>
      </c>
      <c r="AT354" s="107">
        <v>0</v>
      </c>
      <c r="AU354" s="107">
        <v>0</v>
      </c>
      <c r="AV354" s="107">
        <v>0</v>
      </c>
      <c r="AW354" s="107">
        <v>0</v>
      </c>
      <c r="AX354" s="107">
        <v>0</v>
      </c>
      <c r="AY354" s="107">
        <v>0</v>
      </c>
      <c r="AZ354" s="107">
        <v>0</v>
      </c>
      <c r="BA354" s="107">
        <v>0</v>
      </c>
      <c r="BB354" s="107">
        <v>0</v>
      </c>
      <c r="BC354" s="107">
        <v>0</v>
      </c>
      <c r="BD354" s="107">
        <v>0</v>
      </c>
      <c r="BE354" s="107">
        <f t="shared" si="361"/>
        <v>0</v>
      </c>
      <c r="BG354" s="127"/>
      <c r="BI354" s="127"/>
      <c r="BV354" s="127"/>
    </row>
    <row r="355" spans="1:75" ht="33.75" hidden="1" x14ac:dyDescent="0.2">
      <c r="A355" s="123" t="str">
        <f>'[2]2021 УГРЦТ'!A357</f>
        <v>РП-6кВ с питающими кабельными линиями 6 кВ по ул. Октябрьская и ул. Выучейского</v>
      </c>
      <c r="B355" s="124" t="str">
        <f>'[2]2021 УГРЦТ'!B357</f>
        <v>000001756</v>
      </c>
      <c r="C355" s="124" t="str">
        <f>VLOOKUP(A:A,'2023-2027'!A:L,1,+FALSE)</f>
        <v>РП-6кВ с питающими кабельными линиями 6 кВ по ул. Октябрьская и ул. Выучейского</v>
      </c>
      <c r="D355" s="124" t="str">
        <f>'[2]2021 УГРЦТ'!C357</f>
        <v>ПЕРЕДАЧА</v>
      </c>
      <c r="E355" s="124" t="str">
        <f>'[2]2021 УГРЦТ'!D357</f>
        <v>Сооружения</v>
      </c>
      <c r="F355" s="124" t="str">
        <f>'[2]2021 УГРЦТ'!E357</f>
        <v>29.12.2018</v>
      </c>
      <c r="G355" s="124" t="str">
        <f>'[2]2021 УГРЦТ'!F357</f>
        <v>Цех электрических сетей</v>
      </c>
      <c r="H355" s="124">
        <f>'[2]2021 УГРЦТ'!AC357</f>
        <v>300</v>
      </c>
      <c r="I355" s="107">
        <f>'[2]2021 УГРЦТ'!X357</f>
        <v>10871012.09</v>
      </c>
      <c r="J355" s="107">
        <f>'[2]2021 УГРЦТ'!Y357</f>
        <v>1304521.5236000002</v>
      </c>
      <c r="K355" s="107">
        <f>'[2]2021 УГРЦТ'!Z357</f>
        <v>9566490.566399999</v>
      </c>
      <c r="L355" s="125" t="e">
        <f>SUMIF([2]облаг!$B$2:$B$259,B355,[2]облаг!$D$2:$D$259)</f>
        <v>#VALUE!</v>
      </c>
      <c r="M355" s="107">
        <f t="shared" si="326"/>
        <v>36236.706966666665</v>
      </c>
      <c r="N355" s="107">
        <f t="shared" si="327"/>
        <v>434840.48359999998</v>
      </c>
      <c r="O355" s="107">
        <f t="shared" si="328"/>
        <v>9530253.8594333325</v>
      </c>
      <c r="P355" s="107">
        <f t="shared" si="329"/>
        <v>9494017.152466666</v>
      </c>
      <c r="Q355" s="107">
        <f t="shared" si="335"/>
        <v>9457780.4454999994</v>
      </c>
      <c r="R355" s="107">
        <f t="shared" si="336"/>
        <v>9421543.7385333329</v>
      </c>
      <c r="S355" s="107">
        <f t="shared" si="337"/>
        <v>9385307.0315666664</v>
      </c>
      <c r="T355" s="107">
        <f t="shared" si="338"/>
        <v>9349070.3245999999</v>
      </c>
      <c r="U355" s="107">
        <f t="shared" si="339"/>
        <v>9312833.6176333334</v>
      </c>
      <c r="V355" s="107">
        <f t="shared" si="340"/>
        <v>9276596.9106666669</v>
      </c>
      <c r="W355" s="107">
        <f t="shared" si="341"/>
        <v>9240360.2037000004</v>
      </c>
      <c r="X355" s="107">
        <f t="shared" si="342"/>
        <v>9204123.4967333339</v>
      </c>
      <c r="Y355" s="107">
        <f t="shared" si="343"/>
        <v>9167886.7897666674</v>
      </c>
      <c r="Z355" s="107">
        <f t="shared" si="344"/>
        <v>9131650.0828000009</v>
      </c>
      <c r="AA355" s="107">
        <f t="shared" si="359"/>
        <v>205679.54714120002</v>
      </c>
      <c r="AB355" s="107"/>
      <c r="AC355" s="107">
        <f t="shared" si="345"/>
        <v>434840.48359999998</v>
      </c>
      <c r="AD355" s="107">
        <f t="shared" si="346"/>
        <v>9095413.3758333344</v>
      </c>
      <c r="AE355" s="107">
        <f t="shared" si="347"/>
        <v>9059176.6688666679</v>
      </c>
      <c r="AF355" s="107">
        <f t="shared" si="348"/>
        <v>9022939.9619000014</v>
      </c>
      <c r="AG355" s="107">
        <f t="shared" si="349"/>
        <v>8986703.2549333349</v>
      </c>
      <c r="AH355" s="107">
        <f t="shared" si="350"/>
        <v>8950466.5479666684</v>
      </c>
      <c r="AI355" s="107">
        <f t="shared" si="351"/>
        <v>8914229.8410000019</v>
      </c>
      <c r="AJ355" s="107">
        <f t="shared" si="352"/>
        <v>8877993.1340333354</v>
      </c>
      <c r="AK355" s="107">
        <f t="shared" si="353"/>
        <v>8841756.4270666689</v>
      </c>
      <c r="AL355" s="107">
        <f t="shared" si="354"/>
        <v>8805519.7201000024</v>
      </c>
      <c r="AM355" s="107">
        <f t="shared" si="355"/>
        <v>8769283.0131333359</v>
      </c>
      <c r="AN355" s="107">
        <f t="shared" si="356"/>
        <v>8733046.3061666694</v>
      </c>
      <c r="AO355" s="107">
        <f t="shared" si="357"/>
        <v>8696809.5992000028</v>
      </c>
      <c r="AP355" s="107">
        <f t="shared" si="360"/>
        <v>196113.05650200002</v>
      </c>
      <c r="AQ355" s="126"/>
      <c r="AR355" s="107">
        <f t="shared" si="358"/>
        <v>434840.48359999998</v>
      </c>
      <c r="AS355" s="107">
        <f t="shared" ref="AS355:AS364" si="362">AO355-M355</f>
        <v>8660572.8922333363</v>
      </c>
      <c r="AT355" s="107">
        <f t="shared" ref="AT355:AT364" si="363">AS355-M355</f>
        <v>8624336.1852666698</v>
      </c>
      <c r="AU355" s="107">
        <f t="shared" ref="AU355:AU364" si="364">AT355-M355</f>
        <v>8588099.4783000033</v>
      </c>
      <c r="AV355" s="107">
        <f t="shared" ref="AV355:AV364" si="365">AU355-M355</f>
        <v>8551862.7713333368</v>
      </c>
      <c r="AW355" s="107">
        <f t="shared" ref="AW355:AW364" si="366">AV355-M355</f>
        <v>8515626.0643666703</v>
      </c>
      <c r="AX355" s="107">
        <f t="shared" ref="AX355:AX364" si="367">AW355-M355</f>
        <v>8479389.3574000038</v>
      </c>
      <c r="AY355" s="107">
        <f t="shared" ref="AY355:AY364" si="368">AX355-M355</f>
        <v>8443152.6504333373</v>
      </c>
      <c r="AZ355" s="107">
        <f t="shared" ref="AZ355:AZ364" si="369">AY355-M355</f>
        <v>8406915.9434666708</v>
      </c>
      <c r="BA355" s="107">
        <f t="shared" ref="BA355:BA364" si="370">AZ355-M355</f>
        <v>8370679.2365000043</v>
      </c>
      <c r="BB355" s="107">
        <f t="shared" ref="BB355:BB364" si="371">BA355-M355</f>
        <v>8334442.5295333378</v>
      </c>
      <c r="BC355" s="107">
        <f t="shared" ref="BC355:BC364" si="372">BB355-M355</f>
        <v>8298205.8225666713</v>
      </c>
      <c r="BD355" s="107">
        <f t="shared" ref="BD355:BD364" si="373">BC355-M355</f>
        <v>8261969.1156000048</v>
      </c>
      <c r="BE355" s="107">
        <f t="shared" si="361"/>
        <v>186546.56586280008</v>
      </c>
      <c r="BF355" s="127"/>
      <c r="BG355" s="127"/>
      <c r="BH355" s="127"/>
      <c r="BI355" s="127"/>
      <c r="BJ355" s="127"/>
      <c r="BK355" s="127"/>
      <c r="BL355" s="127"/>
      <c r="BM355" s="127"/>
      <c r="BN355" s="127"/>
      <c r="BO355" s="127"/>
      <c r="BP355" s="127"/>
      <c r="BQ355" s="127"/>
      <c r="BR355" s="127"/>
      <c r="BS355" s="127"/>
      <c r="BT355" s="127"/>
      <c r="BU355" s="127"/>
      <c r="BV355" s="127"/>
      <c r="BW355" s="127"/>
    </row>
    <row r="356" spans="1:75" hidden="1" x14ac:dyDescent="0.2">
      <c r="A356" s="123" t="str">
        <f>'[2]2021 УГРЦТ'!A358</f>
        <v>Сети электроснабжения</v>
      </c>
      <c r="B356" s="124" t="str">
        <f>'[2]2021 УГРЦТ'!B358</f>
        <v>000001714</v>
      </c>
      <c r="C356" s="124" t="str">
        <f>VLOOKUP(A:A,'2023-2027'!A:L,1,+FALSE)</f>
        <v>Сети электроснабжения</v>
      </c>
      <c r="D356" s="124" t="str">
        <f>'[2]2021 УГРЦТ'!C358</f>
        <v>ПЕРЕДАЧА</v>
      </c>
      <c r="E356" s="124" t="str">
        <f>'[2]2021 УГРЦТ'!D358</f>
        <v>Сооружения</v>
      </c>
      <c r="F356" s="124" t="str">
        <f>'[2]2021 УГРЦТ'!E358</f>
        <v>05.09.2017</v>
      </c>
      <c r="G356" s="124" t="str">
        <f>'[2]2021 УГРЦТ'!F358</f>
        <v>Цех электрических сетей</v>
      </c>
      <c r="H356" s="124">
        <f>'[2]2021 УГРЦТ'!AC358</f>
        <v>360</v>
      </c>
      <c r="I356" s="107">
        <v>474777</v>
      </c>
      <c r="J356" s="107">
        <v>67260.27</v>
      </c>
      <c r="K356" s="107">
        <v>407516.73</v>
      </c>
      <c r="L356" s="125" t="e">
        <f>SUMIF([2]облаг!$B$2:$B$259,B356,[2]облаг!$D$2:$D$259)</f>
        <v>#VALUE!</v>
      </c>
      <c r="M356" s="107">
        <f t="shared" si="326"/>
        <v>1318.825</v>
      </c>
      <c r="N356" s="107">
        <f t="shared" si="327"/>
        <v>15825.900000000001</v>
      </c>
      <c r="O356" s="107">
        <f t="shared" si="328"/>
        <v>406197.90499999997</v>
      </c>
      <c r="P356" s="107">
        <f t="shared" si="329"/>
        <v>404879.07999999996</v>
      </c>
      <c r="Q356" s="107">
        <f t="shared" si="335"/>
        <v>403560.25499999995</v>
      </c>
      <c r="R356" s="107">
        <f t="shared" si="336"/>
        <v>402241.42999999993</v>
      </c>
      <c r="S356" s="107">
        <f t="shared" si="337"/>
        <v>400922.60499999992</v>
      </c>
      <c r="T356" s="107">
        <f t="shared" si="338"/>
        <v>399603.77999999991</v>
      </c>
      <c r="U356" s="107">
        <f t="shared" si="339"/>
        <v>398284.9549999999</v>
      </c>
      <c r="V356" s="107">
        <f t="shared" si="340"/>
        <v>396966.12999999989</v>
      </c>
      <c r="W356" s="107">
        <f t="shared" si="341"/>
        <v>395647.30499999988</v>
      </c>
      <c r="X356" s="107">
        <f t="shared" si="342"/>
        <v>394328.47999999986</v>
      </c>
      <c r="Y356" s="107">
        <f t="shared" si="343"/>
        <v>393009.65499999985</v>
      </c>
      <c r="Z356" s="107">
        <f t="shared" si="344"/>
        <v>391690.82999999984</v>
      </c>
      <c r="AA356" s="107">
        <f t="shared" si="359"/>
        <v>8791.2831599999972</v>
      </c>
      <c r="AB356" s="107"/>
      <c r="AC356" s="107">
        <f t="shared" si="345"/>
        <v>15825.900000000001</v>
      </c>
      <c r="AD356" s="107">
        <f t="shared" si="346"/>
        <v>390372.00499999983</v>
      </c>
      <c r="AE356" s="107">
        <f t="shared" si="347"/>
        <v>389053.17999999982</v>
      </c>
      <c r="AF356" s="107">
        <f t="shared" si="348"/>
        <v>387734.35499999981</v>
      </c>
      <c r="AG356" s="107">
        <f t="shared" si="349"/>
        <v>386415.5299999998</v>
      </c>
      <c r="AH356" s="107">
        <f t="shared" si="350"/>
        <v>385096.70499999978</v>
      </c>
      <c r="AI356" s="107">
        <f t="shared" si="351"/>
        <v>383777.87999999977</v>
      </c>
      <c r="AJ356" s="107">
        <f t="shared" si="352"/>
        <v>382459.05499999976</v>
      </c>
      <c r="AK356" s="107">
        <f t="shared" si="353"/>
        <v>381140.22999999975</v>
      </c>
      <c r="AL356" s="107">
        <f t="shared" si="354"/>
        <v>379821.40499999974</v>
      </c>
      <c r="AM356" s="107">
        <f t="shared" si="355"/>
        <v>378502.57999999973</v>
      </c>
      <c r="AN356" s="107">
        <f t="shared" si="356"/>
        <v>377183.75499999971</v>
      </c>
      <c r="AO356" s="107">
        <f t="shared" si="357"/>
        <v>375864.9299999997</v>
      </c>
      <c r="AP356" s="107">
        <f t="shared" si="360"/>
        <v>8443.1133599999957</v>
      </c>
      <c r="AQ356" s="126"/>
      <c r="AR356" s="107">
        <f t="shared" si="358"/>
        <v>15825.900000000001</v>
      </c>
      <c r="AS356" s="107">
        <f t="shared" si="362"/>
        <v>374546.10499999969</v>
      </c>
      <c r="AT356" s="107">
        <f t="shared" si="363"/>
        <v>373227.27999999968</v>
      </c>
      <c r="AU356" s="107">
        <f t="shared" si="364"/>
        <v>371908.45499999967</v>
      </c>
      <c r="AV356" s="107">
        <f t="shared" si="365"/>
        <v>370589.62999999966</v>
      </c>
      <c r="AW356" s="107">
        <f t="shared" si="366"/>
        <v>369270.80499999964</v>
      </c>
      <c r="AX356" s="107">
        <f t="shared" si="367"/>
        <v>367951.97999999963</v>
      </c>
      <c r="AY356" s="107">
        <f t="shared" si="368"/>
        <v>366633.15499999962</v>
      </c>
      <c r="AZ356" s="107">
        <f t="shared" si="369"/>
        <v>365314.32999999961</v>
      </c>
      <c r="BA356" s="107">
        <f t="shared" si="370"/>
        <v>363995.5049999996</v>
      </c>
      <c r="BB356" s="107">
        <f t="shared" si="371"/>
        <v>362676.67999999959</v>
      </c>
      <c r="BC356" s="107">
        <f t="shared" si="372"/>
        <v>361357.85499999957</v>
      </c>
      <c r="BD356" s="107">
        <f t="shared" si="373"/>
        <v>360039.02999999956</v>
      </c>
      <c r="BE356" s="107">
        <f t="shared" si="361"/>
        <v>8094.9435599999915</v>
      </c>
      <c r="BF356" s="127"/>
      <c r="BG356" s="127"/>
      <c r="BH356" s="127"/>
      <c r="BI356" s="127"/>
      <c r="BJ356" s="127"/>
      <c r="BK356" s="127"/>
      <c r="BL356" s="127"/>
      <c r="BM356" s="127"/>
      <c r="BN356" s="127"/>
      <c r="BO356" s="127"/>
      <c r="BP356" s="127"/>
      <c r="BQ356" s="127"/>
      <c r="BR356" s="127"/>
      <c r="BS356" s="127"/>
      <c r="BT356" s="127"/>
      <c r="BU356" s="127"/>
      <c r="BV356" s="127"/>
      <c r="BW356" s="127"/>
    </row>
    <row r="357" spans="1:75" ht="22.5" hidden="1" x14ac:dyDescent="0.2">
      <c r="A357" s="123" t="str">
        <f>'[2]2021 УГРЦТ'!A359</f>
        <v>Сети электроснабжения (База МТР)</v>
      </c>
      <c r="B357" s="124" t="str">
        <f>'[2]2021 УГРЦТ'!B359</f>
        <v>000001508</v>
      </c>
      <c r="C357" s="124" t="str">
        <f>VLOOKUP(A:A,'2023-2027'!A:L,1,+FALSE)</f>
        <v>Сети электроснабжения (База МТР)</v>
      </c>
      <c r="D357" s="124" t="str">
        <f>'[2]2021 УГРЦТ'!C359</f>
        <v>ПЕРЕДАЧА</v>
      </c>
      <c r="E357" s="124" t="str">
        <f>'[2]2021 УГРЦТ'!D359</f>
        <v>Сооружения</v>
      </c>
      <c r="F357" s="124" t="str">
        <f>'[2]2021 УГРЦТ'!E359</f>
        <v>29.01.2013</v>
      </c>
      <c r="G357" s="124" t="str">
        <f>'[2]2021 УГРЦТ'!F359</f>
        <v>Цех электрических сетей</v>
      </c>
      <c r="H357" s="124">
        <f>'[2]2021 УГРЦТ'!AC359</f>
        <v>180</v>
      </c>
      <c r="I357" s="107">
        <f>'[2]2021 УГРЦТ'!X359</f>
        <v>959565.45</v>
      </c>
      <c r="J357" s="107">
        <f>'[2]2021 УГРЦТ'!Y359</f>
        <v>570408.43000000005</v>
      </c>
      <c r="K357" s="107">
        <f>'[2]2021 УГРЦТ'!Z359</f>
        <v>389157.0199999999</v>
      </c>
      <c r="L357" s="125" t="e">
        <f>SUMIF([2]облаг!$B$2:$B$259,B357,[2]облаг!$D$2:$D$259)</f>
        <v>#VALUE!</v>
      </c>
      <c r="M357" s="107">
        <f t="shared" si="326"/>
        <v>5330.9191666666666</v>
      </c>
      <c r="N357" s="107">
        <f t="shared" si="327"/>
        <v>63971.03</v>
      </c>
      <c r="O357" s="107">
        <f t="shared" si="328"/>
        <v>383826.10083333321</v>
      </c>
      <c r="P357" s="107">
        <f t="shared" si="329"/>
        <v>378495.18166666653</v>
      </c>
      <c r="Q357" s="107">
        <f t="shared" si="335"/>
        <v>373164.26249999984</v>
      </c>
      <c r="R357" s="107">
        <f t="shared" si="336"/>
        <v>367833.34333333315</v>
      </c>
      <c r="S357" s="107">
        <f t="shared" si="337"/>
        <v>362502.42416666646</v>
      </c>
      <c r="T357" s="107">
        <f t="shared" si="338"/>
        <v>357171.50499999977</v>
      </c>
      <c r="U357" s="107">
        <f t="shared" si="339"/>
        <v>351840.58583333308</v>
      </c>
      <c r="V357" s="107">
        <f t="shared" si="340"/>
        <v>346509.6666666664</v>
      </c>
      <c r="W357" s="107">
        <f t="shared" si="341"/>
        <v>341178.74749999971</v>
      </c>
      <c r="X357" s="107">
        <f t="shared" si="342"/>
        <v>335847.82833333302</v>
      </c>
      <c r="Y357" s="107">
        <f t="shared" si="343"/>
        <v>330516.90916666633</v>
      </c>
      <c r="Z357" s="107">
        <f t="shared" si="344"/>
        <v>325185.98999999964</v>
      </c>
      <c r="AA357" s="107">
        <f t="shared" si="359"/>
        <v>7857.7731099999946</v>
      </c>
      <c r="AB357" s="107"/>
      <c r="AC357" s="107">
        <f t="shared" si="345"/>
        <v>63971.03</v>
      </c>
      <c r="AD357" s="107">
        <f t="shared" si="346"/>
        <v>319855.07083333295</v>
      </c>
      <c r="AE357" s="107">
        <f t="shared" si="347"/>
        <v>314524.15166666626</v>
      </c>
      <c r="AF357" s="107">
        <f t="shared" si="348"/>
        <v>309193.23249999958</v>
      </c>
      <c r="AG357" s="107">
        <f t="shared" si="349"/>
        <v>303862.31333333289</v>
      </c>
      <c r="AH357" s="107">
        <f t="shared" si="350"/>
        <v>298531.3941666662</v>
      </c>
      <c r="AI357" s="107">
        <f t="shared" si="351"/>
        <v>293200.47499999951</v>
      </c>
      <c r="AJ357" s="107">
        <f t="shared" si="352"/>
        <v>287869.55583333282</v>
      </c>
      <c r="AK357" s="107">
        <f t="shared" si="353"/>
        <v>282538.63666666613</v>
      </c>
      <c r="AL357" s="107">
        <f t="shared" si="354"/>
        <v>277207.71749999945</v>
      </c>
      <c r="AM357" s="107">
        <f t="shared" si="355"/>
        <v>271876.79833333276</v>
      </c>
      <c r="AN357" s="107">
        <f t="shared" si="356"/>
        <v>266545.87916666607</v>
      </c>
      <c r="AO357" s="107">
        <f t="shared" si="357"/>
        <v>261214.95999999941</v>
      </c>
      <c r="AP357" s="107">
        <f t="shared" si="360"/>
        <v>6450.4104499999885</v>
      </c>
      <c r="AQ357" s="126"/>
      <c r="AR357" s="107">
        <f t="shared" si="358"/>
        <v>63971.03</v>
      </c>
      <c r="AS357" s="107">
        <f t="shared" si="362"/>
        <v>255884.04083333275</v>
      </c>
      <c r="AT357" s="107">
        <f t="shared" si="363"/>
        <v>250553.12166666609</v>
      </c>
      <c r="AU357" s="107">
        <f t="shared" si="364"/>
        <v>245222.20249999943</v>
      </c>
      <c r="AV357" s="107">
        <f t="shared" si="365"/>
        <v>239891.28333333277</v>
      </c>
      <c r="AW357" s="107">
        <f t="shared" si="366"/>
        <v>234560.36416666611</v>
      </c>
      <c r="AX357" s="107">
        <f t="shared" si="367"/>
        <v>229229.44499999945</v>
      </c>
      <c r="AY357" s="107">
        <f t="shared" si="368"/>
        <v>223898.52583333279</v>
      </c>
      <c r="AZ357" s="107">
        <f t="shared" si="369"/>
        <v>218567.60666666614</v>
      </c>
      <c r="BA357" s="107">
        <f t="shared" si="370"/>
        <v>213236.68749999948</v>
      </c>
      <c r="BB357" s="107">
        <f t="shared" si="371"/>
        <v>207905.76833333282</v>
      </c>
      <c r="BC357" s="107">
        <f t="shared" si="372"/>
        <v>202574.84916666616</v>
      </c>
      <c r="BD357" s="107">
        <f t="shared" si="373"/>
        <v>197243.9299999995</v>
      </c>
      <c r="BE357" s="107">
        <f t="shared" si="361"/>
        <v>5043.0477899999869</v>
      </c>
      <c r="BF357" s="127"/>
      <c r="BG357" s="127"/>
      <c r="BH357" s="127"/>
      <c r="BI357" s="127"/>
      <c r="BJ357" s="127"/>
      <c r="BK357" s="127"/>
      <c r="BL357" s="127"/>
      <c r="BM357" s="127"/>
      <c r="BN357" s="127"/>
      <c r="BO357" s="127"/>
      <c r="BP357" s="127"/>
      <c r="BQ357" s="127"/>
      <c r="BR357" s="127"/>
      <c r="BS357" s="127"/>
      <c r="BT357" s="127"/>
      <c r="BU357" s="127"/>
      <c r="BV357" s="127"/>
      <c r="BW357" s="127"/>
    </row>
    <row r="358" spans="1:75" ht="56.25" hidden="1" x14ac:dyDescent="0.2">
      <c r="A358" s="123" t="str">
        <f>'[2]2021 УГРЦТ'!A360</f>
        <v>Система охранно-пожарной сигнализации в производственных помещениях ЦЭС ГУП НАО "Нарьян-Марская электростанция"</v>
      </c>
      <c r="B358" s="124" t="str">
        <f>'[2]2021 УГРЦТ'!B360</f>
        <v>000001731</v>
      </c>
      <c r="C358" s="124" t="str">
        <f>VLOOKUP(A:A,'2023-2027'!A:L,1,+FALSE)</f>
        <v>Система охранно-пожарной сигнализации в производственных помещениях ЦЭС ГУП НАО "Нарьян-Марская электростанция"</v>
      </c>
      <c r="D358" s="124" t="str">
        <f>'[2]2021 УГРЦТ'!C360</f>
        <v>ПЕРЕДАЧА</v>
      </c>
      <c r="E358" s="124" t="str">
        <f>'[2]2021 УГРЦТ'!D360</f>
        <v>Машины и оборудование (кроме офисного)</v>
      </c>
      <c r="F358" s="124" t="str">
        <f>'[2]2021 УГРЦТ'!E360</f>
        <v>31.05.2018</v>
      </c>
      <c r="G358" s="124" t="str">
        <f>'[2]2021 УГРЦТ'!F360</f>
        <v>Цех электрических сетей</v>
      </c>
      <c r="H358" s="124">
        <f>'[2]2021 УГРЦТ'!AC360</f>
        <v>180</v>
      </c>
      <c r="I358" s="107">
        <f>'[2]2021 УГРЦТ'!X360</f>
        <v>105065.86</v>
      </c>
      <c r="J358" s="107">
        <f>'[2]2021 УГРЦТ'!Y360</f>
        <v>25099.090666666671</v>
      </c>
      <c r="K358" s="107">
        <f>'[2]2021 УГРЦТ'!Z360</f>
        <v>79966.76933333333</v>
      </c>
      <c r="L358" s="125" t="e">
        <f>SUMIF([2]облаг!$B$2:$B$259,B358,[2]облаг!$D$2:$D$259)</f>
        <v>#VALUE!</v>
      </c>
      <c r="M358" s="107">
        <f t="shared" si="326"/>
        <v>583.69922222222226</v>
      </c>
      <c r="N358" s="107">
        <f t="shared" si="327"/>
        <v>7004.3906666666671</v>
      </c>
      <c r="O358" s="107">
        <f t="shared" si="328"/>
        <v>79383.070111111112</v>
      </c>
      <c r="P358" s="107">
        <f t="shared" si="329"/>
        <v>78799.370888888894</v>
      </c>
      <c r="Q358" s="107">
        <f t="shared" si="335"/>
        <v>78215.671666666676</v>
      </c>
      <c r="R358" s="107">
        <f t="shared" si="336"/>
        <v>77631.972444444458</v>
      </c>
      <c r="S358" s="107">
        <f t="shared" si="337"/>
        <v>77048.27322222224</v>
      </c>
      <c r="T358" s="107">
        <f t="shared" si="338"/>
        <v>76464.574000000022</v>
      </c>
      <c r="U358" s="107">
        <f t="shared" si="339"/>
        <v>75880.874777777804</v>
      </c>
      <c r="V358" s="107">
        <f t="shared" si="340"/>
        <v>75297.175555555586</v>
      </c>
      <c r="W358" s="107">
        <f t="shared" si="341"/>
        <v>74713.476333333369</v>
      </c>
      <c r="X358" s="107">
        <f t="shared" si="342"/>
        <v>74129.777111111151</v>
      </c>
      <c r="Y358" s="107">
        <f t="shared" si="343"/>
        <v>73546.077888888933</v>
      </c>
      <c r="Z358" s="107">
        <f t="shared" si="344"/>
        <v>72962.378666666715</v>
      </c>
      <c r="AA358" s="107"/>
      <c r="AB358" s="107"/>
      <c r="AC358" s="107">
        <f t="shared" si="345"/>
        <v>7004.3906666666671</v>
      </c>
      <c r="AD358" s="107">
        <f t="shared" si="346"/>
        <v>72378.679444444497</v>
      </c>
      <c r="AE358" s="107">
        <f t="shared" si="347"/>
        <v>71794.980222222279</v>
      </c>
      <c r="AF358" s="107">
        <f t="shared" si="348"/>
        <v>71211.281000000061</v>
      </c>
      <c r="AG358" s="107">
        <f t="shared" si="349"/>
        <v>70627.581777777843</v>
      </c>
      <c r="AH358" s="107">
        <f t="shared" si="350"/>
        <v>70043.882555555625</v>
      </c>
      <c r="AI358" s="107">
        <f t="shared" si="351"/>
        <v>69460.183333333407</v>
      </c>
      <c r="AJ358" s="107">
        <f t="shared" si="352"/>
        <v>68876.484111111189</v>
      </c>
      <c r="AK358" s="107">
        <f t="shared" si="353"/>
        <v>68292.784888888971</v>
      </c>
      <c r="AL358" s="107">
        <f t="shared" si="354"/>
        <v>67709.085666666753</v>
      </c>
      <c r="AM358" s="107">
        <f t="shared" si="355"/>
        <v>67125.386444444535</v>
      </c>
      <c r="AN358" s="107">
        <f t="shared" si="356"/>
        <v>66541.687222222317</v>
      </c>
      <c r="AO358" s="107">
        <f t="shared" si="357"/>
        <v>65957.988000000099</v>
      </c>
      <c r="AP358" s="107"/>
      <c r="AQ358" s="126"/>
      <c r="AR358" s="107">
        <f t="shared" si="358"/>
        <v>7004.3906666666671</v>
      </c>
      <c r="AS358" s="107">
        <f t="shared" si="362"/>
        <v>65374.288777777874</v>
      </c>
      <c r="AT358" s="107">
        <f t="shared" si="363"/>
        <v>64790.589555555649</v>
      </c>
      <c r="AU358" s="107">
        <f t="shared" si="364"/>
        <v>64206.890333333424</v>
      </c>
      <c r="AV358" s="107">
        <f t="shared" si="365"/>
        <v>63623.191111111199</v>
      </c>
      <c r="AW358" s="107">
        <f t="shared" si="366"/>
        <v>63039.491888888973</v>
      </c>
      <c r="AX358" s="107">
        <f t="shared" si="367"/>
        <v>62455.792666666748</v>
      </c>
      <c r="AY358" s="107">
        <f t="shared" si="368"/>
        <v>61872.093444444523</v>
      </c>
      <c r="AZ358" s="107">
        <f t="shared" si="369"/>
        <v>61288.394222222298</v>
      </c>
      <c r="BA358" s="107">
        <f t="shared" si="370"/>
        <v>60704.695000000072</v>
      </c>
      <c r="BB358" s="107">
        <f t="shared" si="371"/>
        <v>60120.995777777847</v>
      </c>
      <c r="BC358" s="107">
        <f t="shared" si="372"/>
        <v>59537.296555555622</v>
      </c>
      <c r="BD358" s="107">
        <f t="shared" si="373"/>
        <v>58953.597333333397</v>
      </c>
      <c r="BE358" s="107"/>
      <c r="BF358" s="127"/>
      <c r="BG358" s="127"/>
      <c r="BH358" s="127"/>
      <c r="BI358" s="127"/>
      <c r="BJ358" s="127"/>
      <c r="BK358" s="127"/>
      <c r="BL358" s="127"/>
      <c r="BM358" s="127"/>
      <c r="BN358" s="127"/>
      <c r="BO358" s="127"/>
      <c r="BP358" s="127"/>
      <c r="BQ358" s="127"/>
      <c r="BR358" s="127"/>
      <c r="BS358" s="127"/>
      <c r="BT358" s="127"/>
      <c r="BU358" s="127"/>
      <c r="BV358" s="127"/>
      <c r="BW358" s="127"/>
    </row>
    <row r="359" spans="1:75" ht="56.25" hidden="1" x14ac:dyDescent="0.2">
      <c r="A359" s="123" t="str">
        <f>'[2]2021 УГРЦТ'!A361</f>
        <v>Система охранно-пожарной сигнализации в производственных помещениях АТЦ ГУП НАО "Нарьян-Марская электростанция"</v>
      </c>
      <c r="B359" s="139" t="str">
        <f>'[2]2021 УГРЦТ'!B361</f>
        <v>000001728</v>
      </c>
      <c r="C359" s="124" t="str">
        <f>VLOOKUP(A:A,'2023-2027'!A:L,1,+FALSE)</f>
        <v>Система охранно-пожарной сигнализации в производственных помещениях АТЦ ГУП НАО "Нарьян-Марская электростанция"</v>
      </c>
      <c r="D359" s="124" t="str">
        <f>'[2]2021 УГРЦТ'!C361</f>
        <v>ПЕРЕДАЧА</v>
      </c>
      <c r="E359" s="124" t="str">
        <f>'[2]2021 УГРЦТ'!D361</f>
        <v>Машины и оборудование (кроме офисного)</v>
      </c>
      <c r="F359" s="124" t="str">
        <f>'[2]2021 УГРЦТ'!E361</f>
        <v>31.05.2018</v>
      </c>
      <c r="G359" s="124" t="str">
        <f>'[2]2021 УГРЦТ'!F361</f>
        <v>Автотранспортный цех</v>
      </c>
      <c r="H359" s="124">
        <f>'[2]2021 УГРЦТ'!AC361</f>
        <v>180</v>
      </c>
      <c r="I359" s="107">
        <f>'[2]2021 УГРЦТ'!X361</f>
        <v>115619.89</v>
      </c>
      <c r="J359" s="107">
        <f>'[2]2021 УГРЦТ'!Y361</f>
        <v>27620.222666666668</v>
      </c>
      <c r="K359" s="107">
        <f>'[2]2021 УГРЦТ'!Z361</f>
        <v>87999.667333333331</v>
      </c>
      <c r="L359" s="125" t="e">
        <f>SUMIF([2]облаг!$B$2:$B$259,B359,[2]облаг!$D$2:$D$259)</f>
        <v>#VALUE!</v>
      </c>
      <c r="M359" s="107">
        <f t="shared" si="326"/>
        <v>642.33272222222217</v>
      </c>
      <c r="N359" s="107">
        <f t="shared" si="327"/>
        <v>7707.9926666666661</v>
      </c>
      <c r="O359" s="107">
        <f t="shared" si="328"/>
        <v>87357.334611111102</v>
      </c>
      <c r="P359" s="107">
        <f t="shared" si="329"/>
        <v>86715.001888888874</v>
      </c>
      <c r="Q359" s="107">
        <f t="shared" si="335"/>
        <v>86072.669166666645</v>
      </c>
      <c r="R359" s="107">
        <f t="shared" si="336"/>
        <v>85430.336444444416</v>
      </c>
      <c r="S359" s="107">
        <f t="shared" si="337"/>
        <v>84788.003722222187</v>
      </c>
      <c r="T359" s="107">
        <f t="shared" si="338"/>
        <v>84145.670999999958</v>
      </c>
      <c r="U359" s="107">
        <f t="shared" si="339"/>
        <v>83503.33827777773</v>
      </c>
      <c r="V359" s="107">
        <f t="shared" si="340"/>
        <v>82861.005555555501</v>
      </c>
      <c r="W359" s="107">
        <f t="shared" si="341"/>
        <v>82218.672833333272</v>
      </c>
      <c r="X359" s="107">
        <f t="shared" si="342"/>
        <v>81576.340111111043</v>
      </c>
      <c r="Y359" s="107">
        <f t="shared" si="343"/>
        <v>80934.007388888815</v>
      </c>
      <c r="Z359" s="107">
        <f t="shared" si="344"/>
        <v>80291.674666666586</v>
      </c>
      <c r="AA359" s="107"/>
      <c r="AB359" s="107"/>
      <c r="AC359" s="107">
        <f t="shared" si="345"/>
        <v>7707.9926666666661</v>
      </c>
      <c r="AD359" s="107">
        <f t="shared" si="346"/>
        <v>79649.341944444357</v>
      </c>
      <c r="AE359" s="107">
        <f t="shared" si="347"/>
        <v>79007.009222222128</v>
      </c>
      <c r="AF359" s="107">
        <f t="shared" si="348"/>
        <v>78364.6764999999</v>
      </c>
      <c r="AG359" s="107">
        <f t="shared" si="349"/>
        <v>77722.343777777671</v>
      </c>
      <c r="AH359" s="107">
        <f t="shared" si="350"/>
        <v>77080.011055555442</v>
      </c>
      <c r="AI359" s="107">
        <f t="shared" si="351"/>
        <v>76437.678333333213</v>
      </c>
      <c r="AJ359" s="107">
        <f t="shared" si="352"/>
        <v>75795.345611110984</v>
      </c>
      <c r="AK359" s="107">
        <f t="shared" si="353"/>
        <v>75153.012888888756</v>
      </c>
      <c r="AL359" s="107">
        <f t="shared" si="354"/>
        <v>74510.680166666527</v>
      </c>
      <c r="AM359" s="107">
        <f t="shared" si="355"/>
        <v>73868.347444444298</v>
      </c>
      <c r="AN359" s="107">
        <f t="shared" si="356"/>
        <v>73226.014722222069</v>
      </c>
      <c r="AO359" s="107">
        <f t="shared" si="357"/>
        <v>72583.681999999841</v>
      </c>
      <c r="AP359" s="107"/>
      <c r="AQ359" s="126"/>
      <c r="AR359" s="107">
        <f t="shared" si="358"/>
        <v>7707.9926666666661</v>
      </c>
      <c r="AS359" s="107">
        <f t="shared" si="362"/>
        <v>71941.349277777612</v>
      </c>
      <c r="AT359" s="107">
        <f t="shared" si="363"/>
        <v>71299.016555555383</v>
      </c>
      <c r="AU359" s="107">
        <f t="shared" si="364"/>
        <v>70656.683833333154</v>
      </c>
      <c r="AV359" s="107">
        <f t="shared" si="365"/>
        <v>70014.351111110926</v>
      </c>
      <c r="AW359" s="107">
        <f t="shared" si="366"/>
        <v>69372.018388888697</v>
      </c>
      <c r="AX359" s="107">
        <f t="shared" si="367"/>
        <v>68729.685666666468</v>
      </c>
      <c r="AY359" s="107">
        <f t="shared" si="368"/>
        <v>68087.352944444239</v>
      </c>
      <c r="AZ359" s="107">
        <f t="shared" si="369"/>
        <v>67445.02022222201</v>
      </c>
      <c r="BA359" s="107">
        <f t="shared" si="370"/>
        <v>66802.687499999782</v>
      </c>
      <c r="BB359" s="107">
        <f t="shared" si="371"/>
        <v>66160.354777777553</v>
      </c>
      <c r="BC359" s="107">
        <f t="shared" si="372"/>
        <v>65518.022055555331</v>
      </c>
      <c r="BD359" s="107">
        <f t="shared" si="373"/>
        <v>64875.68933333311</v>
      </c>
      <c r="BE359" s="107"/>
      <c r="BF359" s="127"/>
      <c r="BG359" s="127"/>
      <c r="BH359" s="127"/>
      <c r="BI359" s="127"/>
      <c r="BJ359" s="127"/>
      <c r="BK359" s="127"/>
      <c r="BL359" s="127"/>
      <c r="BM359" s="127"/>
      <c r="BN359" s="127"/>
      <c r="BO359" s="127"/>
      <c r="BP359" s="127"/>
      <c r="BQ359" s="127"/>
      <c r="BR359" s="127"/>
      <c r="BS359" s="127"/>
      <c r="BT359" s="127"/>
      <c r="BU359" s="127"/>
      <c r="BV359" s="127"/>
      <c r="BW359" s="127"/>
    </row>
    <row r="360" spans="1:75" ht="33.75" hidden="1" x14ac:dyDescent="0.2">
      <c r="A360" s="123" t="str">
        <f>'[2]2021 УГРЦТ'!A362</f>
        <v>Спасательный центр в г. Нарьян-Маре. Кабель электроснабжения 6 кВ</v>
      </c>
      <c r="B360" s="124" t="str">
        <f>'[2]2021 УГРЦТ'!B362</f>
        <v>000001704</v>
      </c>
      <c r="C360" s="124" t="str">
        <f>VLOOKUP(A:A,'2023-2027'!A:L,1,+FALSE)</f>
        <v>Спасательный центр в г. Нарьян-Маре. Кабель электроснабжения 6 кВ</v>
      </c>
      <c r="D360" s="124" t="str">
        <f>'[2]2021 УГРЦТ'!C362</f>
        <v>ПЕРЕДАЧА</v>
      </c>
      <c r="E360" s="124" t="str">
        <f>'[2]2021 УГРЦТ'!D362</f>
        <v>Сооружения</v>
      </c>
      <c r="F360" s="124" t="str">
        <f>'[2]2021 УГРЦТ'!E362</f>
        <v>24.05.2017</v>
      </c>
      <c r="G360" s="124" t="str">
        <f>'[2]2021 УГРЦТ'!F362</f>
        <v>Цех электрических сетей</v>
      </c>
      <c r="H360" s="124">
        <f>'[2]2021 УГРЦТ'!AC362</f>
        <v>360</v>
      </c>
      <c r="I360" s="107">
        <v>7653204.9500000002</v>
      </c>
      <c r="J360" s="107">
        <v>1169239.5316666667</v>
      </c>
      <c r="K360" s="107">
        <v>6483965.418333333</v>
      </c>
      <c r="L360" s="125" t="e">
        <f>SUMIF([2]облаг!$B$2:$B$259,B360,[2]облаг!$D$2:$D$259)</f>
        <v>#VALUE!</v>
      </c>
      <c r="M360" s="107">
        <f t="shared" si="326"/>
        <v>21258.902638888889</v>
      </c>
      <c r="N360" s="107">
        <f t="shared" si="327"/>
        <v>255106.83166666667</v>
      </c>
      <c r="O360" s="107">
        <f t="shared" si="328"/>
        <v>6462706.5156944441</v>
      </c>
      <c r="P360" s="107">
        <f t="shared" si="329"/>
        <v>6441447.6130555551</v>
      </c>
      <c r="Q360" s="107">
        <f t="shared" si="335"/>
        <v>6420188.7104166662</v>
      </c>
      <c r="R360" s="107">
        <f t="shared" si="336"/>
        <v>6398929.8077777773</v>
      </c>
      <c r="S360" s="107">
        <f t="shared" si="337"/>
        <v>6377670.9051388884</v>
      </c>
      <c r="T360" s="107">
        <f t="shared" si="338"/>
        <v>6356412.0024999995</v>
      </c>
      <c r="U360" s="107">
        <f t="shared" si="339"/>
        <v>6335153.0998611106</v>
      </c>
      <c r="V360" s="107">
        <f t="shared" si="340"/>
        <v>6313894.1972222216</v>
      </c>
      <c r="W360" s="107">
        <f t="shared" si="341"/>
        <v>6292635.2945833327</v>
      </c>
      <c r="X360" s="107">
        <f t="shared" si="342"/>
        <v>6271376.3919444438</v>
      </c>
      <c r="Y360" s="107">
        <f t="shared" si="343"/>
        <v>6250117.4893055549</v>
      </c>
      <c r="Z360" s="107">
        <f t="shared" si="344"/>
        <v>6228858.586666666</v>
      </c>
      <c r="AA360" s="107">
        <f>SUM(O360:Z360,K360)/13*$AA$2</f>
        <v>139841.06405499997</v>
      </c>
      <c r="AB360" s="107"/>
      <c r="AC360" s="107">
        <f t="shared" si="345"/>
        <v>255106.83166666667</v>
      </c>
      <c r="AD360" s="107">
        <f t="shared" si="346"/>
        <v>6207599.6840277771</v>
      </c>
      <c r="AE360" s="107">
        <f t="shared" si="347"/>
        <v>6186340.7813888881</v>
      </c>
      <c r="AF360" s="107">
        <f t="shared" si="348"/>
        <v>6165081.8787499992</v>
      </c>
      <c r="AG360" s="107">
        <f t="shared" si="349"/>
        <v>6143822.9761111103</v>
      </c>
      <c r="AH360" s="107">
        <f t="shared" si="350"/>
        <v>6122564.0734722214</v>
      </c>
      <c r="AI360" s="107">
        <f t="shared" si="351"/>
        <v>6101305.1708333325</v>
      </c>
      <c r="AJ360" s="107">
        <f t="shared" si="352"/>
        <v>6080046.2681944435</v>
      </c>
      <c r="AK360" s="107">
        <f t="shared" si="353"/>
        <v>6058787.3655555546</v>
      </c>
      <c r="AL360" s="107">
        <f t="shared" si="354"/>
        <v>6037528.4629166657</v>
      </c>
      <c r="AM360" s="107">
        <f t="shared" si="355"/>
        <v>6016269.5602777768</v>
      </c>
      <c r="AN360" s="107">
        <f t="shared" si="356"/>
        <v>5995010.6576388879</v>
      </c>
      <c r="AO360" s="107">
        <f t="shared" si="357"/>
        <v>5973751.754999999</v>
      </c>
      <c r="AP360" s="107">
        <f>SUM(AD360:AO360,Z360)/13*$AP$2</f>
        <v>134228.71375833332</v>
      </c>
      <c r="AQ360" s="126"/>
      <c r="AR360" s="107">
        <f t="shared" si="358"/>
        <v>255106.83166666667</v>
      </c>
      <c r="AS360" s="107">
        <f t="shared" si="362"/>
        <v>5952492.85236111</v>
      </c>
      <c r="AT360" s="107">
        <f t="shared" si="363"/>
        <v>5931233.9497222211</v>
      </c>
      <c r="AU360" s="107">
        <f t="shared" si="364"/>
        <v>5909975.0470833322</v>
      </c>
      <c r="AV360" s="107">
        <f t="shared" si="365"/>
        <v>5888716.1444444433</v>
      </c>
      <c r="AW360" s="107">
        <f t="shared" si="366"/>
        <v>5867457.2418055544</v>
      </c>
      <c r="AX360" s="107">
        <f t="shared" si="367"/>
        <v>5846198.3391666654</v>
      </c>
      <c r="AY360" s="107">
        <f t="shared" si="368"/>
        <v>5824939.4365277765</v>
      </c>
      <c r="AZ360" s="107">
        <f t="shared" si="369"/>
        <v>5803680.5338888876</v>
      </c>
      <c r="BA360" s="107">
        <f t="shared" si="370"/>
        <v>5782421.6312499987</v>
      </c>
      <c r="BB360" s="107">
        <f t="shared" si="371"/>
        <v>5761162.7286111098</v>
      </c>
      <c r="BC360" s="107">
        <f t="shared" si="372"/>
        <v>5739903.8259722209</v>
      </c>
      <c r="BD360" s="107">
        <f t="shared" si="373"/>
        <v>5718644.9233333319</v>
      </c>
      <c r="BE360" s="107">
        <f>SUM(AS360:BD360,AO360)/13*$BE$2</f>
        <v>128616.36346166664</v>
      </c>
      <c r="BF360" s="127"/>
      <c r="BG360" s="127"/>
      <c r="BH360" s="127"/>
      <c r="BI360" s="127"/>
      <c r="BJ360" s="127"/>
      <c r="BK360" s="127"/>
      <c r="BL360" s="127"/>
      <c r="BM360" s="127"/>
      <c r="BN360" s="127"/>
      <c r="BO360" s="127"/>
      <c r="BP360" s="127"/>
      <c r="BQ360" s="127"/>
      <c r="BR360" s="127"/>
      <c r="BS360" s="127"/>
      <c r="BT360" s="127"/>
      <c r="BU360" s="127"/>
      <c r="BV360" s="127"/>
      <c r="BW360" s="127"/>
    </row>
    <row r="361" spans="1:75" ht="33.75" hidden="1" x14ac:dyDescent="0.2">
      <c r="A361" s="123" t="str">
        <f>'[2]2021 УГРЦТ'!A363</f>
        <v>Специальный автогидроподъемник Чайка-Сервис 2784SG</v>
      </c>
      <c r="B361" s="139" t="str">
        <f>'[2]2021 УГРЦТ'!B363</f>
        <v>000001819</v>
      </c>
      <c r="C361" s="124" t="str">
        <f>VLOOKUP(A:A,'2023-2027'!A:L,1,+FALSE)</f>
        <v>Специальный автогидроподъемник Чайка-Сервис 2784SG</v>
      </c>
      <c r="D361" s="124" t="str">
        <f>'[2]2021 УГРЦТ'!C363</f>
        <v>ПЕРЕДАЧА</v>
      </c>
      <c r="E361" s="124" t="str">
        <f>'[2]2021 УГРЦТ'!D363</f>
        <v>Транспортные средства</v>
      </c>
      <c r="F361" s="124" t="str">
        <f>'[2]2021 УГРЦТ'!E363</f>
        <v>27.08.2020</v>
      </c>
      <c r="G361" s="124" t="str">
        <f>'[2]2021 УГРЦТ'!F363</f>
        <v>Автотранспортный цех</v>
      </c>
      <c r="H361" s="124">
        <f>'[2]2021 УГРЦТ'!AC363</f>
        <v>120</v>
      </c>
      <c r="I361" s="107">
        <f>'[2]2021 УГРЦТ'!X363</f>
        <v>5619166.6699999999</v>
      </c>
      <c r="J361" s="107">
        <f>'[2]2021 УГРЦТ'!Y363</f>
        <v>749222.22699999996</v>
      </c>
      <c r="K361" s="107">
        <f>'[2]2021 УГРЦТ'!Z363</f>
        <v>4869944.443</v>
      </c>
      <c r="L361" s="125" t="e">
        <f>SUMIF([2]облаг!$B$2:$B$259,B361,[2]облаг!$D$2:$D$259)</f>
        <v>#VALUE!</v>
      </c>
      <c r="M361" s="107">
        <f t="shared" si="326"/>
        <v>46826.388916666663</v>
      </c>
      <c r="N361" s="107">
        <f t="shared" si="327"/>
        <v>561916.6669999999</v>
      </c>
      <c r="O361" s="107">
        <f t="shared" si="328"/>
        <v>4823118.0540833334</v>
      </c>
      <c r="P361" s="107">
        <f t="shared" si="329"/>
        <v>4776291.6651666667</v>
      </c>
      <c r="Q361" s="107">
        <f t="shared" si="335"/>
        <v>4729465.2762500001</v>
      </c>
      <c r="R361" s="107">
        <f t="shared" si="336"/>
        <v>4682638.8873333335</v>
      </c>
      <c r="S361" s="107">
        <f t="shared" si="337"/>
        <v>4635812.4984166669</v>
      </c>
      <c r="T361" s="107">
        <f t="shared" si="338"/>
        <v>4588986.1095000003</v>
      </c>
      <c r="U361" s="107">
        <f t="shared" si="339"/>
        <v>4542159.7205833336</v>
      </c>
      <c r="V361" s="107">
        <f t="shared" si="340"/>
        <v>4495333.331666667</v>
      </c>
      <c r="W361" s="107">
        <f t="shared" si="341"/>
        <v>4448506.9427500004</v>
      </c>
      <c r="X361" s="107">
        <f t="shared" si="342"/>
        <v>4401680.5538333338</v>
      </c>
      <c r="Y361" s="107">
        <f t="shared" si="343"/>
        <v>4354854.1649166672</v>
      </c>
      <c r="Z361" s="107">
        <f t="shared" si="344"/>
        <v>4308027.7760000005</v>
      </c>
      <c r="AA361" s="107"/>
      <c r="AB361" s="107"/>
      <c r="AC361" s="107">
        <f t="shared" si="345"/>
        <v>561916.6669999999</v>
      </c>
      <c r="AD361" s="107">
        <f t="shared" si="346"/>
        <v>4261201.3870833339</v>
      </c>
      <c r="AE361" s="107">
        <f t="shared" si="347"/>
        <v>4214374.9981666673</v>
      </c>
      <c r="AF361" s="107">
        <f t="shared" si="348"/>
        <v>4167548.6092500007</v>
      </c>
      <c r="AG361" s="107">
        <f t="shared" si="349"/>
        <v>4120722.2203333341</v>
      </c>
      <c r="AH361" s="107">
        <f t="shared" si="350"/>
        <v>4073895.8314166674</v>
      </c>
      <c r="AI361" s="107">
        <f t="shared" si="351"/>
        <v>4027069.4425000008</v>
      </c>
      <c r="AJ361" s="107">
        <f t="shared" si="352"/>
        <v>3980243.0535833342</v>
      </c>
      <c r="AK361" s="107">
        <f t="shared" si="353"/>
        <v>3933416.6646666676</v>
      </c>
      <c r="AL361" s="107">
        <f t="shared" si="354"/>
        <v>3886590.275750001</v>
      </c>
      <c r="AM361" s="107">
        <f t="shared" si="355"/>
        <v>3839763.8868333343</v>
      </c>
      <c r="AN361" s="107">
        <f t="shared" si="356"/>
        <v>3792937.4979166677</v>
      </c>
      <c r="AO361" s="107">
        <f t="shared" si="357"/>
        <v>3746111.1090000011</v>
      </c>
      <c r="AP361" s="107"/>
      <c r="AQ361" s="126"/>
      <c r="AR361" s="107">
        <f t="shared" si="358"/>
        <v>561916.6669999999</v>
      </c>
      <c r="AS361" s="107">
        <f t="shared" si="362"/>
        <v>3699284.7200833345</v>
      </c>
      <c r="AT361" s="107">
        <f t="shared" si="363"/>
        <v>3652458.3311666679</v>
      </c>
      <c r="AU361" s="107">
        <f t="shared" si="364"/>
        <v>3605631.9422500012</v>
      </c>
      <c r="AV361" s="107">
        <f t="shared" si="365"/>
        <v>3558805.5533333346</v>
      </c>
      <c r="AW361" s="107">
        <f t="shared" si="366"/>
        <v>3511979.164416668</v>
      </c>
      <c r="AX361" s="107">
        <f t="shared" si="367"/>
        <v>3465152.7755000014</v>
      </c>
      <c r="AY361" s="107">
        <f t="shared" si="368"/>
        <v>3418326.3865833348</v>
      </c>
      <c r="AZ361" s="107">
        <f t="shared" si="369"/>
        <v>3371499.9976666681</v>
      </c>
      <c r="BA361" s="107">
        <f t="shared" si="370"/>
        <v>3324673.6087500015</v>
      </c>
      <c r="BB361" s="107">
        <f t="shared" si="371"/>
        <v>3277847.2198333349</v>
      </c>
      <c r="BC361" s="107">
        <f t="shared" si="372"/>
        <v>3231020.8309166683</v>
      </c>
      <c r="BD361" s="107">
        <f t="shared" si="373"/>
        <v>3184194.4420000017</v>
      </c>
      <c r="BE361" s="107"/>
      <c r="BF361" s="127"/>
      <c r="BG361" s="127"/>
      <c r="BH361" s="127"/>
      <c r="BI361" s="127"/>
      <c r="BJ361" s="127"/>
      <c r="BK361" s="127"/>
      <c r="BL361" s="127"/>
      <c r="BM361" s="127"/>
      <c r="BN361" s="127"/>
      <c r="BO361" s="127"/>
      <c r="BP361" s="127"/>
      <c r="BQ361" s="127"/>
      <c r="BR361" s="127"/>
      <c r="BS361" s="127"/>
      <c r="BT361" s="127"/>
      <c r="BU361" s="127"/>
      <c r="BV361" s="127"/>
      <c r="BW361" s="127"/>
    </row>
    <row r="362" spans="1:75" ht="45" hidden="1" x14ac:dyDescent="0.2">
      <c r="A362" s="123" t="str">
        <f>'[2]2021 УГРЦТ'!A364</f>
        <v>Строительство ВЛ-0,4 кВ по ул. Строителей (от ТП №65 ф. Монтажников д.15, 15б, 17, ф. Строителей д.1, 3, 3а)</v>
      </c>
      <c r="B362" s="124" t="str">
        <f>'[2]2021 УГРЦТ'!B364</f>
        <v>000001825</v>
      </c>
      <c r="C362" s="124" t="str">
        <f>VLOOKUP(A:A,'2023-2027'!A:L,1,+FALSE)</f>
        <v>Строительство ВЛ-0,4 кВ по ул. Строителей (от ТП №65 ф. Монтажников д.15, 15б, 17, ф. Строителей д.1, 3, 3а)</v>
      </c>
      <c r="D362" s="124" t="str">
        <f>'[2]2021 УГРЦТ'!C364</f>
        <v>ПЕРЕДАЧА</v>
      </c>
      <c r="E362" s="124" t="str">
        <f>'[2]2021 УГРЦТ'!D364</f>
        <v>Сооружения</v>
      </c>
      <c r="F362" s="124" t="str">
        <f>'[2]2021 УГРЦТ'!E364</f>
        <v>12.11.2020</v>
      </c>
      <c r="G362" s="124" t="str">
        <f>'[2]2021 УГРЦТ'!F364</f>
        <v>Цех электрических сетей</v>
      </c>
      <c r="H362" s="124">
        <f>'[2]2021 УГРЦТ'!AC364</f>
        <v>480</v>
      </c>
      <c r="I362" s="107">
        <f>'[2]2021 УГРЦТ'!X364</f>
        <v>4267272.09</v>
      </c>
      <c r="J362" s="107">
        <f>'[2]2021 УГРЦТ'!Y364</f>
        <v>115571.95224999996</v>
      </c>
      <c r="K362" s="107">
        <f>'[2]2021 УГРЦТ'!Z364</f>
        <v>4151700.1377499998</v>
      </c>
      <c r="L362" s="125" t="e">
        <f>SUMIF([2]облаг!$B$2:$B$259,B362,[2]облаг!$D$2:$D$259)</f>
        <v>#VALUE!</v>
      </c>
      <c r="M362" s="107">
        <f t="shared" si="326"/>
        <v>8890.1501874999994</v>
      </c>
      <c r="N362" s="107">
        <f t="shared" si="327"/>
        <v>106681.80224999999</v>
      </c>
      <c r="O362" s="107">
        <f t="shared" si="328"/>
        <v>4142809.9875624999</v>
      </c>
      <c r="P362" s="107">
        <f t="shared" si="329"/>
        <v>4133919.8373750001</v>
      </c>
      <c r="Q362" s="107">
        <f t="shared" si="335"/>
        <v>4125029.6871875003</v>
      </c>
      <c r="R362" s="107">
        <f t="shared" si="336"/>
        <v>4116139.5370000005</v>
      </c>
      <c r="S362" s="107">
        <f t="shared" si="337"/>
        <v>4107249.3868125007</v>
      </c>
      <c r="T362" s="107">
        <f t="shared" si="338"/>
        <v>4098359.2366250008</v>
      </c>
      <c r="U362" s="107">
        <f t="shared" si="339"/>
        <v>4089469.086437501</v>
      </c>
      <c r="V362" s="107">
        <f t="shared" si="340"/>
        <v>4080578.9362500012</v>
      </c>
      <c r="W362" s="107">
        <f t="shared" si="341"/>
        <v>4071688.7860625014</v>
      </c>
      <c r="X362" s="107">
        <f t="shared" si="342"/>
        <v>4062798.6358750015</v>
      </c>
      <c r="Y362" s="107">
        <f t="shared" si="343"/>
        <v>4053908.4856875017</v>
      </c>
      <c r="Z362" s="107">
        <f t="shared" si="344"/>
        <v>4045018.3355000019</v>
      </c>
      <c r="AA362" s="107">
        <f>SUM(O362:Z362,K362)/13*$AA$2</f>
        <v>90163.903205750015</v>
      </c>
      <c r="AB362" s="107"/>
      <c r="AC362" s="107">
        <f t="shared" si="345"/>
        <v>106681.80224999999</v>
      </c>
      <c r="AD362" s="107">
        <f t="shared" si="346"/>
        <v>4036128.1853125021</v>
      </c>
      <c r="AE362" s="107">
        <f t="shared" si="347"/>
        <v>4027238.0351250023</v>
      </c>
      <c r="AF362" s="107">
        <f t="shared" si="348"/>
        <v>4018347.8849375024</v>
      </c>
      <c r="AG362" s="107">
        <f t="shared" si="349"/>
        <v>4009457.7347500026</v>
      </c>
      <c r="AH362" s="107">
        <f t="shared" si="350"/>
        <v>4000567.5845625028</v>
      </c>
      <c r="AI362" s="107">
        <f t="shared" si="351"/>
        <v>3991677.434375003</v>
      </c>
      <c r="AJ362" s="107">
        <f t="shared" si="352"/>
        <v>3982787.2841875032</v>
      </c>
      <c r="AK362" s="107">
        <f t="shared" si="353"/>
        <v>3973897.1340000033</v>
      </c>
      <c r="AL362" s="107">
        <f t="shared" si="354"/>
        <v>3965006.9838125035</v>
      </c>
      <c r="AM362" s="107">
        <f t="shared" si="355"/>
        <v>3956116.8336250037</v>
      </c>
      <c r="AN362" s="107">
        <f t="shared" si="356"/>
        <v>3947226.6834375039</v>
      </c>
      <c r="AO362" s="107">
        <f t="shared" si="357"/>
        <v>3938336.5332500041</v>
      </c>
      <c r="AP362" s="107">
        <f t="shared" ref="AP362:AP364" si="374">SUM(AD362:AO362,Z362)/13*$AP$2</f>
        <v>87816.903556250065</v>
      </c>
      <c r="AQ362" s="126"/>
      <c r="AR362" s="107">
        <f t="shared" si="358"/>
        <v>106681.80224999999</v>
      </c>
      <c r="AS362" s="107">
        <f t="shared" si="362"/>
        <v>3929446.3830625042</v>
      </c>
      <c r="AT362" s="107">
        <f t="shared" si="363"/>
        <v>3920556.2328750044</v>
      </c>
      <c r="AU362" s="107">
        <f t="shared" si="364"/>
        <v>3911666.0826875046</v>
      </c>
      <c r="AV362" s="107">
        <f t="shared" si="365"/>
        <v>3902775.9325000048</v>
      </c>
      <c r="AW362" s="107">
        <f t="shared" si="366"/>
        <v>3893885.7823125049</v>
      </c>
      <c r="AX362" s="107">
        <f t="shared" si="367"/>
        <v>3884995.6321250051</v>
      </c>
      <c r="AY362" s="107">
        <f t="shared" si="368"/>
        <v>3876105.4819375053</v>
      </c>
      <c r="AZ362" s="107">
        <f t="shared" si="369"/>
        <v>3867215.3317500055</v>
      </c>
      <c r="BA362" s="107">
        <f t="shared" si="370"/>
        <v>3858325.1815625057</v>
      </c>
      <c r="BB362" s="107">
        <f t="shared" si="371"/>
        <v>3849435.0313750058</v>
      </c>
      <c r="BC362" s="107">
        <f t="shared" si="372"/>
        <v>3840544.881187506</v>
      </c>
      <c r="BD362" s="107">
        <f t="shared" si="373"/>
        <v>3831654.7310000062</v>
      </c>
      <c r="BE362" s="107">
        <f>SUM(AS362:BD362,AO362)/13*$BE$2</f>
        <v>85469.903906750114</v>
      </c>
      <c r="BF362" s="127"/>
      <c r="BG362" s="127"/>
      <c r="BH362" s="127"/>
      <c r="BI362" s="127"/>
      <c r="BJ362" s="127"/>
      <c r="BK362" s="127"/>
      <c r="BL362" s="127"/>
      <c r="BM362" s="127"/>
      <c r="BN362" s="127"/>
      <c r="BO362" s="127"/>
      <c r="BP362" s="127"/>
      <c r="BQ362" s="127"/>
      <c r="BR362" s="127"/>
      <c r="BS362" s="127"/>
      <c r="BT362" s="127"/>
      <c r="BU362" s="127"/>
      <c r="BV362" s="127"/>
      <c r="BW362" s="127"/>
    </row>
    <row r="363" spans="1:75" ht="33.75" hidden="1" x14ac:dyDescent="0.2">
      <c r="A363" s="123" t="str">
        <f>'[2]2021 УГРЦТ'!A365</f>
        <v>Строительство ВЛ-0,4кВ от ТП №2 фидер ул. 60 лет Октября д.43А г. Нарьян-Мар НАО</v>
      </c>
      <c r="B363" s="124" t="str">
        <f>'[2]2021 УГРЦТ'!B365</f>
        <v>000001690</v>
      </c>
      <c r="C363" s="124" t="str">
        <f>VLOOKUP(A:A,'2023-2027'!A:L,1,+FALSE)</f>
        <v>Строительство ВЛ-0,4кВ от ТП №2 фидер ул. 60 лет Октября д.43А г. Нарьян-Мар НАО</v>
      </c>
      <c r="D363" s="124" t="str">
        <f>'[2]2021 УГРЦТ'!C365</f>
        <v>ПЕРЕДАЧА</v>
      </c>
      <c r="E363" s="124" t="str">
        <f>'[2]2021 УГРЦТ'!D365</f>
        <v>Сооружения</v>
      </c>
      <c r="F363" s="124" t="str">
        <f>'[2]2021 УГРЦТ'!E365</f>
        <v>10.08.2016</v>
      </c>
      <c r="G363" s="124" t="str">
        <f>'[2]2021 УГРЦТ'!F365</f>
        <v>Цех электрических сетей</v>
      </c>
      <c r="H363" s="124">
        <f>'[2]2021 УГРЦТ'!AC365</f>
        <v>180</v>
      </c>
      <c r="I363" s="107">
        <f>'[2]2021 УГРЦТ'!X365</f>
        <v>1849040.59</v>
      </c>
      <c r="J363" s="107">
        <f>'[2]2021 УГРЦТ'!Y365</f>
        <v>657436.77266666666</v>
      </c>
      <c r="K363" s="107">
        <f>'[2]2021 УГРЦТ'!Z365</f>
        <v>1191603.8173333334</v>
      </c>
      <c r="L363" s="125" t="e">
        <f>SUMIF([2]облаг!$B$2:$B$259,B363,[2]облаг!$D$2:$D$259)</f>
        <v>#VALUE!</v>
      </c>
      <c r="M363" s="107">
        <f t="shared" si="326"/>
        <v>10272.447722222223</v>
      </c>
      <c r="N363" s="107">
        <f t="shared" si="327"/>
        <v>123269.37266666668</v>
      </c>
      <c r="O363" s="107">
        <f t="shared" si="328"/>
        <v>1181331.3696111112</v>
      </c>
      <c r="P363" s="107">
        <f t="shared" si="329"/>
        <v>1171058.921888889</v>
      </c>
      <c r="Q363" s="107">
        <f t="shared" si="335"/>
        <v>1160786.4741666669</v>
      </c>
      <c r="R363" s="107">
        <f t="shared" si="336"/>
        <v>1150514.0264444447</v>
      </c>
      <c r="S363" s="107">
        <f t="shared" si="337"/>
        <v>1140241.5787222225</v>
      </c>
      <c r="T363" s="107">
        <f t="shared" si="338"/>
        <v>1129969.1310000003</v>
      </c>
      <c r="U363" s="107">
        <f t="shared" si="339"/>
        <v>1119696.6832777781</v>
      </c>
      <c r="V363" s="107">
        <f t="shared" si="340"/>
        <v>1109424.2355555559</v>
      </c>
      <c r="W363" s="107">
        <f t="shared" si="341"/>
        <v>1099151.7878333337</v>
      </c>
      <c r="X363" s="107">
        <f t="shared" si="342"/>
        <v>1088879.3401111115</v>
      </c>
      <c r="Y363" s="107">
        <f t="shared" si="343"/>
        <v>1078606.8923888893</v>
      </c>
      <c r="Z363" s="107">
        <f t="shared" si="344"/>
        <v>1068334.4446666671</v>
      </c>
      <c r="AA363" s="107">
        <f>SUM(O363:Z363,K363)/13*$AA$2</f>
        <v>24859.320882000004</v>
      </c>
      <c r="AB363" s="107"/>
      <c r="AC363" s="107">
        <f t="shared" si="345"/>
        <v>123269.37266666668</v>
      </c>
      <c r="AD363" s="107">
        <f t="shared" si="346"/>
        <v>1058061.996944445</v>
      </c>
      <c r="AE363" s="107">
        <f t="shared" si="347"/>
        <v>1047789.5492222228</v>
      </c>
      <c r="AF363" s="107">
        <f t="shared" si="348"/>
        <v>1037517.1015000006</v>
      </c>
      <c r="AG363" s="107">
        <f t="shared" si="349"/>
        <v>1027244.6537777784</v>
      </c>
      <c r="AH363" s="107">
        <f t="shared" si="350"/>
        <v>1016972.2060555562</v>
      </c>
      <c r="AI363" s="107">
        <f t="shared" si="351"/>
        <v>1006699.758333334</v>
      </c>
      <c r="AJ363" s="107">
        <f t="shared" si="352"/>
        <v>996427.31061111181</v>
      </c>
      <c r="AK363" s="107">
        <f t="shared" si="353"/>
        <v>986154.86288888962</v>
      </c>
      <c r="AL363" s="107">
        <f t="shared" si="354"/>
        <v>975882.41516666743</v>
      </c>
      <c r="AM363" s="107">
        <f t="shared" si="355"/>
        <v>965609.96744444524</v>
      </c>
      <c r="AN363" s="107">
        <f t="shared" si="356"/>
        <v>955337.51972222305</v>
      </c>
      <c r="AO363" s="107">
        <f t="shared" si="357"/>
        <v>945065.07200000086</v>
      </c>
      <c r="AP363" s="107">
        <f t="shared" si="374"/>
        <v>22147.394683333347</v>
      </c>
      <c r="AQ363" s="126"/>
      <c r="AR363" s="107">
        <f t="shared" si="358"/>
        <v>123269.37266666668</v>
      </c>
      <c r="AS363" s="107">
        <f t="shared" si="362"/>
        <v>934792.62427777867</v>
      </c>
      <c r="AT363" s="107">
        <f t="shared" si="363"/>
        <v>924520.17655555648</v>
      </c>
      <c r="AU363" s="107">
        <f t="shared" si="364"/>
        <v>914247.72883333429</v>
      </c>
      <c r="AV363" s="107">
        <f t="shared" si="365"/>
        <v>903975.2811111121</v>
      </c>
      <c r="AW363" s="107">
        <f t="shared" si="366"/>
        <v>893702.83338888991</v>
      </c>
      <c r="AX363" s="107">
        <f t="shared" si="367"/>
        <v>883430.38566666772</v>
      </c>
      <c r="AY363" s="107">
        <f t="shared" si="368"/>
        <v>873157.93794444553</v>
      </c>
      <c r="AZ363" s="107">
        <f t="shared" si="369"/>
        <v>862885.49022222334</v>
      </c>
      <c r="BA363" s="107">
        <f t="shared" si="370"/>
        <v>852613.04250000115</v>
      </c>
      <c r="BB363" s="107">
        <f t="shared" si="371"/>
        <v>842340.59477777896</v>
      </c>
      <c r="BC363" s="107">
        <f t="shared" si="372"/>
        <v>832068.14705555676</v>
      </c>
      <c r="BD363" s="107">
        <f t="shared" si="373"/>
        <v>821795.69933333457</v>
      </c>
      <c r="BE363" s="107">
        <f>SUM(AS363:BD363,AO363)/13*$BE$2</f>
        <v>19435.46848466669</v>
      </c>
      <c r="BF363" s="127"/>
      <c r="BG363" s="127"/>
      <c r="BH363" s="127"/>
      <c r="BI363" s="127"/>
      <c r="BJ363" s="127"/>
      <c r="BK363" s="127"/>
      <c r="BL363" s="127"/>
      <c r="BM363" s="127"/>
      <c r="BN363" s="127"/>
      <c r="BO363" s="127"/>
      <c r="BP363" s="127"/>
      <c r="BQ363" s="127"/>
      <c r="BR363" s="127"/>
      <c r="BS363" s="127"/>
      <c r="BT363" s="127"/>
      <c r="BU363" s="127"/>
      <c r="BV363" s="127"/>
      <c r="BW363" s="127"/>
    </row>
    <row r="364" spans="1:75" ht="56.25" hidden="1" x14ac:dyDescent="0.2">
      <c r="A364" s="123" t="str">
        <f>'[2]2021 УГРЦТ'!A366</f>
        <v>Строительство участка ВЛ-0,4 кВ от ТП №46, фидер "ул.Молодежная", фидер "ул.Юбилейная", фидер магазин "Хороший"</v>
      </c>
      <c r="B364" s="124" t="str">
        <f>'[2]2021 УГРЦТ'!B366</f>
        <v>000001699</v>
      </c>
      <c r="C364" s="124" t="str">
        <f>VLOOKUP(A:A,'2023-2027'!A:L,1,+FALSE)</f>
        <v>Строительство участка ВЛ-0,4 кВ от ТП №46, фидер "ул.Молодежная", фидер "ул.Юбилейная", фидер магазин "Хороший"</v>
      </c>
      <c r="D364" s="124" t="str">
        <f>'[2]2021 УГРЦТ'!C366</f>
        <v>ПЕРЕДАЧА</v>
      </c>
      <c r="E364" s="124" t="str">
        <f>'[2]2021 УГРЦТ'!D366</f>
        <v>Сооружения</v>
      </c>
      <c r="F364" s="124" t="str">
        <f>'[2]2021 УГРЦТ'!E366</f>
        <v>23.12.2016</v>
      </c>
      <c r="G364" s="124" t="str">
        <f>'[2]2021 УГРЦТ'!F366</f>
        <v>Цех электрических сетей</v>
      </c>
      <c r="H364" s="124">
        <f>'[2]2021 УГРЦТ'!AC366</f>
        <v>180</v>
      </c>
      <c r="I364" s="107">
        <f>'[2]2021 УГРЦТ'!X366</f>
        <v>2516509.21</v>
      </c>
      <c r="J364" s="107">
        <f>'[2]2021 УГРЦТ'!Y366</f>
        <v>838836.56066666672</v>
      </c>
      <c r="K364" s="107">
        <f>'[2]2021 УГРЦТ'!Z366</f>
        <v>1677672.6493333331</v>
      </c>
      <c r="L364" s="125" t="e">
        <f>SUMIF([2]облаг!$B$2:$B$259,B364,[2]облаг!$D$2:$D$259)</f>
        <v>#VALUE!</v>
      </c>
      <c r="M364" s="107">
        <f t="shared" si="326"/>
        <v>13980.606722222223</v>
      </c>
      <c r="N364" s="107">
        <f t="shared" si="327"/>
        <v>167767.28066666669</v>
      </c>
      <c r="O364" s="107">
        <f t="shared" si="328"/>
        <v>1663692.042611111</v>
      </c>
      <c r="P364" s="107">
        <f t="shared" si="329"/>
        <v>1649711.4358888888</v>
      </c>
      <c r="Q364" s="107">
        <f t="shared" si="335"/>
        <v>1635730.8291666666</v>
      </c>
      <c r="R364" s="107">
        <f t="shared" si="336"/>
        <v>1621750.2224444444</v>
      </c>
      <c r="S364" s="107">
        <f t="shared" si="337"/>
        <v>1607769.6157222223</v>
      </c>
      <c r="T364" s="107">
        <f t="shared" si="338"/>
        <v>1593789.0090000001</v>
      </c>
      <c r="U364" s="107">
        <f t="shared" si="339"/>
        <v>1579808.4022777779</v>
      </c>
      <c r="V364" s="107">
        <f t="shared" si="340"/>
        <v>1565827.7955555557</v>
      </c>
      <c r="W364" s="107">
        <f t="shared" si="341"/>
        <v>1551847.1888333336</v>
      </c>
      <c r="X364" s="107">
        <f t="shared" si="342"/>
        <v>1537866.5821111114</v>
      </c>
      <c r="Y364" s="107">
        <f t="shared" si="343"/>
        <v>1523885.9753888892</v>
      </c>
      <c r="Z364" s="107">
        <f t="shared" si="344"/>
        <v>1509905.368666667</v>
      </c>
      <c r="AA364" s="107">
        <f>SUM(O364:Z364,K364)/13*$AA$2</f>
        <v>35063.358197999994</v>
      </c>
      <c r="AB364" s="107"/>
      <c r="AC364" s="107">
        <f t="shared" si="345"/>
        <v>167767.28066666669</v>
      </c>
      <c r="AD364" s="107">
        <f t="shared" si="346"/>
        <v>1495924.7619444449</v>
      </c>
      <c r="AE364" s="107">
        <f t="shared" si="347"/>
        <v>1481944.1552222227</v>
      </c>
      <c r="AF364" s="107">
        <f t="shared" si="348"/>
        <v>1467963.5485000005</v>
      </c>
      <c r="AG364" s="107">
        <f t="shared" si="349"/>
        <v>1453982.9417777783</v>
      </c>
      <c r="AH364" s="107">
        <f t="shared" si="350"/>
        <v>1440002.3350555561</v>
      </c>
      <c r="AI364" s="107">
        <f t="shared" si="351"/>
        <v>1426021.728333334</v>
      </c>
      <c r="AJ364" s="107">
        <f t="shared" si="352"/>
        <v>1412041.1216111118</v>
      </c>
      <c r="AK364" s="107">
        <f t="shared" si="353"/>
        <v>1398060.5148888896</v>
      </c>
      <c r="AL364" s="107">
        <f t="shared" si="354"/>
        <v>1384079.9081666674</v>
      </c>
      <c r="AM364" s="107">
        <f t="shared" si="355"/>
        <v>1370099.3014444453</v>
      </c>
      <c r="AN364" s="107">
        <f t="shared" si="356"/>
        <v>1356118.6947222231</v>
      </c>
      <c r="AO364" s="107">
        <f t="shared" si="357"/>
        <v>1342138.0880000009</v>
      </c>
      <c r="AP364" s="107">
        <f t="shared" si="374"/>
        <v>31372.478023333344</v>
      </c>
      <c r="AQ364" s="126"/>
      <c r="AR364" s="107">
        <f t="shared" si="358"/>
        <v>167767.28066666669</v>
      </c>
      <c r="AS364" s="107">
        <f t="shared" si="362"/>
        <v>1328157.4812777787</v>
      </c>
      <c r="AT364" s="107">
        <f t="shared" si="363"/>
        <v>1314176.8745555566</v>
      </c>
      <c r="AU364" s="107">
        <f t="shared" si="364"/>
        <v>1300196.2678333344</v>
      </c>
      <c r="AV364" s="107">
        <f t="shared" si="365"/>
        <v>1286215.6611111122</v>
      </c>
      <c r="AW364" s="107">
        <f t="shared" si="366"/>
        <v>1272235.05438889</v>
      </c>
      <c r="AX364" s="107">
        <f t="shared" si="367"/>
        <v>1258254.4476666679</v>
      </c>
      <c r="AY364" s="107">
        <f t="shared" si="368"/>
        <v>1244273.8409444457</v>
      </c>
      <c r="AZ364" s="107">
        <f t="shared" si="369"/>
        <v>1230293.2342222235</v>
      </c>
      <c r="BA364" s="107">
        <f t="shared" si="370"/>
        <v>1216312.6275000013</v>
      </c>
      <c r="BB364" s="107">
        <f t="shared" si="371"/>
        <v>1202332.0207777792</v>
      </c>
      <c r="BC364" s="107">
        <f t="shared" si="372"/>
        <v>1188351.414055557</v>
      </c>
      <c r="BD364" s="107">
        <f t="shared" si="373"/>
        <v>1174370.8073333348</v>
      </c>
      <c r="BE364" s="107">
        <f>SUM(AS364:BD364,AO364)/13*$BE$2</f>
        <v>27681.59784866669</v>
      </c>
      <c r="BF364" s="127"/>
      <c r="BG364" s="127"/>
      <c r="BH364" s="127"/>
      <c r="BI364" s="127"/>
      <c r="BJ364" s="127"/>
      <c r="BK364" s="127"/>
      <c r="BL364" s="127"/>
      <c r="BM364" s="127"/>
      <c r="BN364" s="127"/>
      <c r="BO364" s="127"/>
      <c r="BP364" s="127"/>
      <c r="BQ364" s="127"/>
      <c r="BR364" s="127"/>
      <c r="BS364" s="127"/>
      <c r="BT364" s="127"/>
      <c r="BU364" s="127"/>
      <c r="BV364" s="127"/>
      <c r="BW364" s="127"/>
    </row>
    <row r="365" spans="1:75" hidden="1" x14ac:dyDescent="0.2">
      <c r="A365" s="123" t="str">
        <f>'[2]2021 УГРЦТ'!A367</f>
        <v>Тепловизор RGK TL-80</v>
      </c>
      <c r="B365" s="124" t="str">
        <f>'[2]2021 УГРЦТ'!B367</f>
        <v>000001742</v>
      </c>
      <c r="C365" s="124" t="str">
        <f>VLOOKUP(A:A,'2023-2027'!A:L,1,+FALSE)</f>
        <v>Тепловизор RGK TL-80</v>
      </c>
      <c r="D365" s="124" t="str">
        <f>'[2]2021 УГРЦТ'!C367</f>
        <v>ПЕРЕДАЧА</v>
      </c>
      <c r="E365" s="124" t="str">
        <f>'[2]2021 УГРЦТ'!D367</f>
        <v>Машины и оборудование (кроме офисного)</v>
      </c>
      <c r="F365" s="124" t="str">
        <f>'[2]2021 УГРЦТ'!E367</f>
        <v>28.08.2018</v>
      </c>
      <c r="G365" s="124" t="str">
        <f>'[2]2021 УГРЦТ'!F367</f>
        <v>Цех электрических сетей</v>
      </c>
      <c r="H365" s="124">
        <f>'[2]2021 УГРЦТ'!AC367</f>
        <v>60</v>
      </c>
      <c r="I365" s="107">
        <f>'[2]2021 УГРЦТ'!X367</f>
        <v>138588.07</v>
      </c>
      <c r="J365" s="107">
        <f>'[2]2021 УГРЦТ'!Y367</f>
        <v>92392.01400000001</v>
      </c>
      <c r="K365" s="107">
        <f>'[2]2021 УГРЦТ'!Z367</f>
        <v>46196.055999999997</v>
      </c>
      <c r="L365" s="125" t="e">
        <f>SUMIF([2]облаг!$B$2:$B$259,B365,[2]облаг!$D$2:$D$259)</f>
        <v>#VALUE!</v>
      </c>
      <c r="M365" s="107">
        <f t="shared" si="326"/>
        <v>2309.8011666666666</v>
      </c>
      <c r="N365" s="107">
        <f t="shared" si="327"/>
        <v>27717.614000000001</v>
      </c>
      <c r="O365" s="107">
        <f t="shared" si="328"/>
        <v>43886.254833333332</v>
      </c>
      <c r="P365" s="107">
        <f t="shared" si="329"/>
        <v>41576.453666666668</v>
      </c>
      <c r="Q365" s="107">
        <f t="shared" si="335"/>
        <v>39266.652500000004</v>
      </c>
      <c r="R365" s="107">
        <f t="shared" si="336"/>
        <v>36956.851333333339</v>
      </c>
      <c r="S365" s="107">
        <f t="shared" si="337"/>
        <v>34647.050166666675</v>
      </c>
      <c r="T365" s="107">
        <f t="shared" si="338"/>
        <v>32337.249000000007</v>
      </c>
      <c r="U365" s="107">
        <f t="shared" si="339"/>
        <v>30027.447833333339</v>
      </c>
      <c r="V365" s="107">
        <f t="shared" si="340"/>
        <v>27717.646666666671</v>
      </c>
      <c r="W365" s="107">
        <f t="shared" si="341"/>
        <v>25407.845500000003</v>
      </c>
      <c r="X365" s="107">
        <f t="shared" si="342"/>
        <v>23098.044333333335</v>
      </c>
      <c r="Y365" s="107">
        <f t="shared" si="343"/>
        <v>20788.243166666667</v>
      </c>
      <c r="Z365" s="107">
        <f t="shared" si="344"/>
        <v>18478.441999999999</v>
      </c>
      <c r="AA365" s="107"/>
      <c r="AB365" s="107"/>
      <c r="AC365" s="107">
        <f>AD365</f>
        <v>16168.640833333333</v>
      </c>
      <c r="AD365" s="107">
        <f t="shared" si="346"/>
        <v>16168.640833333333</v>
      </c>
      <c r="AE365" s="107">
        <f t="shared" si="347"/>
        <v>13858.839666666667</v>
      </c>
      <c r="AF365" s="107">
        <f t="shared" si="348"/>
        <v>11549.038500000001</v>
      </c>
      <c r="AG365" s="107">
        <f t="shared" si="349"/>
        <v>9239.2373333333344</v>
      </c>
      <c r="AH365" s="107">
        <f t="shared" si="350"/>
        <v>6929.4361666666682</v>
      </c>
      <c r="AI365" s="107">
        <f t="shared" si="351"/>
        <v>4619.635000000002</v>
      </c>
      <c r="AJ365" s="107">
        <f t="shared" si="352"/>
        <v>2309.8338333333354</v>
      </c>
      <c r="AK365" s="107">
        <f t="shared" si="353"/>
        <v>3.2666666668774269E-2</v>
      </c>
      <c r="AL365" s="107">
        <v>0</v>
      </c>
      <c r="AM365" s="107">
        <v>0</v>
      </c>
      <c r="AN365" s="107">
        <v>0</v>
      </c>
      <c r="AO365" s="107">
        <v>0</v>
      </c>
      <c r="AP365" s="107"/>
      <c r="AQ365" s="126"/>
      <c r="AR365" s="107">
        <v>0</v>
      </c>
      <c r="AS365" s="107">
        <v>0</v>
      </c>
      <c r="AT365" s="107">
        <v>0</v>
      </c>
      <c r="AU365" s="107">
        <v>0</v>
      </c>
      <c r="AV365" s="107">
        <v>0</v>
      </c>
      <c r="AW365" s="107">
        <v>0</v>
      </c>
      <c r="AX365" s="107">
        <v>0</v>
      </c>
      <c r="AY365" s="107">
        <v>0</v>
      </c>
      <c r="AZ365" s="107">
        <v>0</v>
      </c>
      <c r="BA365" s="107">
        <v>0</v>
      </c>
      <c r="BB365" s="107">
        <v>0</v>
      </c>
      <c r="BC365" s="107">
        <v>0</v>
      </c>
      <c r="BD365" s="107">
        <v>0</v>
      </c>
      <c r="BE365" s="124"/>
      <c r="BI365" s="127"/>
    </row>
    <row r="366" spans="1:75" ht="22.5" hidden="1" x14ac:dyDescent="0.2">
      <c r="A366" s="123" t="str">
        <f>'[2]2021 УГРЦТ'!A368</f>
        <v>Токоизмерительные клещи с поверкой U1213A</v>
      </c>
      <c r="B366" s="124" t="str">
        <f>'[2]2021 УГРЦТ'!B368</f>
        <v>000001868</v>
      </c>
      <c r="C366" s="124" t="str">
        <f>VLOOKUP(A:A,'2023-2027'!A:L,1,+FALSE)</f>
        <v>Токоизмерительные клещи с поверкой U1213A</v>
      </c>
      <c r="D366" s="124" t="str">
        <f>'[2]2021 УГРЦТ'!C368</f>
        <v>ПЕРЕДАЧА</v>
      </c>
      <c r="E366" s="124" t="str">
        <f>'[2]2021 УГРЦТ'!D368</f>
        <v>Производственный и хозяйственный инвентарь</v>
      </c>
      <c r="F366" s="134">
        <f>'[2]2021 УГРЦТ'!E368</f>
        <v>44509</v>
      </c>
      <c r="G366" s="124" t="str">
        <f>'[2]2021 УГРЦТ'!F368</f>
        <v>Цех электрических сетей</v>
      </c>
      <c r="H366" s="124">
        <f>'[2]2021 УГРЦТ'!AC368</f>
        <v>84</v>
      </c>
      <c r="I366" s="107">
        <f>'[2]2021 УГРЦТ'!X368</f>
        <v>62904.17</v>
      </c>
      <c r="J366" s="107">
        <f>'[2]2021 УГРЦТ'!Y368</f>
        <v>748.85916666666662</v>
      </c>
      <c r="K366" s="107">
        <f>'[2]2021 УГРЦТ'!Z368</f>
        <v>62155.310833333329</v>
      </c>
      <c r="L366" s="125" t="e">
        <f>SUMIF([2]облаг!$B$2:$B$259,B366,[2]облаг!$D$2:$D$259)</f>
        <v>#VALUE!</v>
      </c>
      <c r="M366" s="107">
        <f t="shared" si="326"/>
        <v>748.85916666666662</v>
      </c>
      <c r="N366" s="107">
        <f t="shared" si="327"/>
        <v>8986.31</v>
      </c>
      <c r="O366" s="107">
        <f t="shared" si="328"/>
        <v>61406.45166666666</v>
      </c>
      <c r="P366" s="107">
        <f t="shared" si="329"/>
        <v>60657.592499999992</v>
      </c>
      <c r="Q366" s="107">
        <f t="shared" si="335"/>
        <v>59908.733333333323</v>
      </c>
      <c r="R366" s="107">
        <f t="shared" si="336"/>
        <v>59159.874166666654</v>
      </c>
      <c r="S366" s="107">
        <f t="shared" si="337"/>
        <v>58411.014999999985</v>
      </c>
      <c r="T366" s="107">
        <f t="shared" si="338"/>
        <v>57662.155833333316</v>
      </c>
      <c r="U366" s="107">
        <f t="shared" si="339"/>
        <v>56913.296666666647</v>
      </c>
      <c r="V366" s="107">
        <f t="shared" si="340"/>
        <v>56164.437499999978</v>
      </c>
      <c r="W366" s="107">
        <f t="shared" si="341"/>
        <v>55415.578333333309</v>
      </c>
      <c r="X366" s="107">
        <f t="shared" si="342"/>
        <v>54666.71916666664</v>
      </c>
      <c r="Y366" s="107">
        <f t="shared" si="343"/>
        <v>53917.859999999971</v>
      </c>
      <c r="Z366" s="107">
        <f t="shared" si="344"/>
        <v>53169.000833333303</v>
      </c>
      <c r="AA366" s="107"/>
      <c r="AB366" s="107"/>
      <c r="AC366" s="107">
        <f t="shared" si="345"/>
        <v>8986.31</v>
      </c>
      <c r="AD366" s="107">
        <f t="shared" si="346"/>
        <v>52420.141666666634</v>
      </c>
      <c r="AE366" s="107">
        <f t="shared" si="347"/>
        <v>51671.282499999965</v>
      </c>
      <c r="AF366" s="107">
        <f t="shared" si="348"/>
        <v>50922.423333333296</v>
      </c>
      <c r="AG366" s="107">
        <f t="shared" si="349"/>
        <v>50173.564166666627</v>
      </c>
      <c r="AH366" s="107">
        <f t="shared" si="350"/>
        <v>49424.704999999958</v>
      </c>
      <c r="AI366" s="107">
        <f t="shared" si="351"/>
        <v>48675.845833333289</v>
      </c>
      <c r="AJ366" s="107">
        <f t="shared" si="352"/>
        <v>47926.98666666662</v>
      </c>
      <c r="AK366" s="107">
        <f t="shared" si="353"/>
        <v>47178.127499999951</v>
      </c>
      <c r="AL366" s="107">
        <f t="shared" si="354"/>
        <v>46429.268333333282</v>
      </c>
      <c r="AM366" s="107">
        <f t="shared" si="355"/>
        <v>45680.409166666614</v>
      </c>
      <c r="AN366" s="107">
        <f t="shared" si="356"/>
        <v>44931.549999999945</v>
      </c>
      <c r="AO366" s="107">
        <f t="shared" si="357"/>
        <v>44182.690833333276</v>
      </c>
      <c r="AP366" s="107"/>
      <c r="AQ366" s="126"/>
      <c r="AR366" s="107">
        <f t="shared" si="358"/>
        <v>8986.31</v>
      </c>
      <c r="AS366" s="107">
        <f t="shared" ref="AS366:AS372" si="375">AO366-M366</f>
        <v>43433.831666666607</v>
      </c>
      <c r="AT366" s="107">
        <f t="shared" ref="AT366:AT372" si="376">AS366-M366</f>
        <v>42684.972499999938</v>
      </c>
      <c r="AU366" s="107">
        <f t="shared" ref="AU366:AU372" si="377">AT366-M366</f>
        <v>41936.113333333269</v>
      </c>
      <c r="AV366" s="107">
        <f t="shared" ref="AV366:AV372" si="378">AU366-M366</f>
        <v>41187.2541666666</v>
      </c>
      <c r="AW366" s="107">
        <f t="shared" ref="AW366:AW372" si="379">AV366-M366</f>
        <v>40438.394999999931</v>
      </c>
      <c r="AX366" s="107">
        <f t="shared" ref="AX366:AX372" si="380">AW366-M366</f>
        <v>39689.535833333262</v>
      </c>
      <c r="AY366" s="107">
        <f t="shared" ref="AY366:AY372" si="381">AX366-M366</f>
        <v>38940.676666666594</v>
      </c>
      <c r="AZ366" s="107">
        <f t="shared" ref="AZ366:AZ372" si="382">AY366-M366</f>
        <v>38191.817499999925</v>
      </c>
      <c r="BA366" s="107">
        <f t="shared" ref="BA366:BA372" si="383">AZ366-M366</f>
        <v>37442.958333333256</v>
      </c>
      <c r="BB366" s="107">
        <f t="shared" ref="BB366:BB372" si="384">BA366-M366</f>
        <v>36694.099166666587</v>
      </c>
      <c r="BC366" s="107">
        <f t="shared" ref="BC366:BC372" si="385">BB366-M366</f>
        <v>35945.239999999918</v>
      </c>
      <c r="BD366" s="107">
        <f t="shared" ref="BD366:BD372" si="386">BC366-M366</f>
        <v>35196.380833333249</v>
      </c>
      <c r="BE366" s="107"/>
      <c r="BF366" s="127"/>
      <c r="BG366" s="127"/>
      <c r="BH366" s="127"/>
      <c r="BI366" s="127"/>
      <c r="BJ366" s="127"/>
      <c r="BK366" s="127"/>
      <c r="BL366" s="127"/>
      <c r="BM366" s="127"/>
      <c r="BN366" s="127"/>
      <c r="BO366" s="127"/>
      <c r="BP366" s="127"/>
      <c r="BQ366" s="127"/>
      <c r="BR366" s="127"/>
      <c r="BS366" s="127"/>
      <c r="BT366" s="127"/>
      <c r="BU366" s="127"/>
      <c r="BV366" s="127"/>
      <c r="BW366" s="127"/>
    </row>
    <row r="367" spans="1:75" ht="22.5" hidden="1" x14ac:dyDescent="0.2">
      <c r="A367" s="123" t="str">
        <f>'[2]2021 УГРЦТ'!A369</f>
        <v>ТП 100/6/0,4кВ лыжная база "Старт"</v>
      </c>
      <c r="B367" s="124" t="str">
        <f>'[2]2021 УГРЦТ'!B369</f>
        <v>00001230</v>
      </c>
      <c r="C367" s="124" t="str">
        <f>VLOOKUP(A:A,'2023-2027'!A:L,1,+FALSE)</f>
        <v>ТП 100/6/0,4кВ лыжная база "Старт"</v>
      </c>
      <c r="D367" s="124" t="str">
        <f>'[2]2021 УГРЦТ'!C369</f>
        <v>ПЕРЕДАЧА</v>
      </c>
      <c r="E367" s="124" t="str">
        <f>'[2]2021 УГРЦТ'!D369</f>
        <v>Сооружения</v>
      </c>
      <c r="F367" s="124" t="str">
        <f>'[2]2021 УГРЦТ'!E369</f>
        <v>30.11.2010</v>
      </c>
      <c r="G367" s="124" t="str">
        <f>'[2]2021 УГРЦТ'!F369</f>
        <v>Цех электрических сетей</v>
      </c>
      <c r="H367" s="124">
        <f>'[2]2021 УГРЦТ'!AC369</f>
        <v>240</v>
      </c>
      <c r="I367" s="107">
        <f>'[2]2021 УГРЦТ'!X369</f>
        <v>164403.51999999999</v>
      </c>
      <c r="J367" s="107">
        <f>'[2]2021 УГРЦТ'!Y369</f>
        <v>91404.6</v>
      </c>
      <c r="K367" s="107">
        <f>'[2]2021 УГРЦТ'!Z369</f>
        <v>72998.919999999984</v>
      </c>
      <c r="L367" s="125" t="e">
        <f>SUMIF([2]облаг!$B$2:$B$259,B367,[2]облаг!$D$2:$D$259)</f>
        <v>#VALUE!</v>
      </c>
      <c r="M367" s="107">
        <f t="shared" si="326"/>
        <v>685.01466666666659</v>
      </c>
      <c r="N367" s="107">
        <f t="shared" si="327"/>
        <v>8220.1759999999995</v>
      </c>
      <c r="O367" s="107">
        <f t="shared" si="328"/>
        <v>72313.905333333314</v>
      </c>
      <c r="P367" s="107">
        <f t="shared" si="329"/>
        <v>71628.890666666644</v>
      </c>
      <c r="Q367" s="107">
        <f t="shared" si="335"/>
        <v>70943.875999999975</v>
      </c>
      <c r="R367" s="107">
        <f t="shared" si="336"/>
        <v>70258.861333333305</v>
      </c>
      <c r="S367" s="107">
        <f t="shared" si="337"/>
        <v>69573.846666666635</v>
      </c>
      <c r="T367" s="107">
        <f t="shared" si="338"/>
        <v>68888.831999999966</v>
      </c>
      <c r="U367" s="107">
        <f t="shared" si="339"/>
        <v>68203.817333333296</v>
      </c>
      <c r="V367" s="107">
        <f t="shared" si="340"/>
        <v>67518.802666666626</v>
      </c>
      <c r="W367" s="107">
        <f t="shared" si="341"/>
        <v>66833.787999999957</v>
      </c>
      <c r="X367" s="107">
        <f t="shared" si="342"/>
        <v>66148.773333333287</v>
      </c>
      <c r="Y367" s="107">
        <f t="shared" si="343"/>
        <v>65463.758666666618</v>
      </c>
      <c r="Z367" s="107">
        <f t="shared" si="344"/>
        <v>64778.743999999948</v>
      </c>
      <c r="AA367" s="107">
        <f t="shared" ref="AA367:AA391" si="387">SUM(O367:Z367,K367)/13*$AA$2</f>
        <v>1515.5543039999989</v>
      </c>
      <c r="AB367" s="107"/>
      <c r="AC367" s="107">
        <f t="shared" si="345"/>
        <v>8220.1759999999995</v>
      </c>
      <c r="AD367" s="107">
        <f t="shared" si="346"/>
        <v>64093.729333333278</v>
      </c>
      <c r="AE367" s="107">
        <f t="shared" si="347"/>
        <v>63408.714666666609</v>
      </c>
      <c r="AF367" s="107">
        <f t="shared" si="348"/>
        <v>62723.699999999939</v>
      </c>
      <c r="AG367" s="107">
        <f t="shared" si="349"/>
        <v>62038.685333333269</v>
      </c>
      <c r="AH367" s="107">
        <f t="shared" si="350"/>
        <v>61353.6706666666</v>
      </c>
      <c r="AI367" s="107">
        <f t="shared" si="351"/>
        <v>60668.65599999993</v>
      </c>
      <c r="AJ367" s="107">
        <f t="shared" si="352"/>
        <v>59983.64133333326</v>
      </c>
      <c r="AK367" s="107">
        <f t="shared" si="353"/>
        <v>59298.626666666591</v>
      </c>
      <c r="AL367" s="107">
        <f t="shared" si="354"/>
        <v>58613.611999999921</v>
      </c>
      <c r="AM367" s="107">
        <f t="shared" si="355"/>
        <v>57928.597333333251</v>
      </c>
      <c r="AN367" s="107">
        <f t="shared" si="356"/>
        <v>57243.582666666582</v>
      </c>
      <c r="AO367" s="107">
        <f t="shared" si="357"/>
        <v>56558.567999999912</v>
      </c>
      <c r="AP367" s="107">
        <f t="shared" ref="AP367:AP391" si="388">SUM(AD367:AO367,Z367)/13*$AP$2</f>
        <v>1334.7104319999983</v>
      </c>
      <c r="AQ367" s="126"/>
      <c r="AR367" s="107">
        <f t="shared" si="358"/>
        <v>8220.1759999999995</v>
      </c>
      <c r="AS367" s="107">
        <f t="shared" si="375"/>
        <v>55873.553333333242</v>
      </c>
      <c r="AT367" s="107">
        <f t="shared" si="376"/>
        <v>55188.538666666573</v>
      </c>
      <c r="AU367" s="107">
        <f t="shared" si="377"/>
        <v>54503.523999999903</v>
      </c>
      <c r="AV367" s="107">
        <f t="shared" si="378"/>
        <v>53818.509333333233</v>
      </c>
      <c r="AW367" s="107">
        <f t="shared" si="379"/>
        <v>53133.494666666564</v>
      </c>
      <c r="AX367" s="107">
        <f t="shared" si="380"/>
        <v>52448.479999999894</v>
      </c>
      <c r="AY367" s="107">
        <f t="shared" si="381"/>
        <v>51763.465333333224</v>
      </c>
      <c r="AZ367" s="107">
        <f t="shared" si="382"/>
        <v>51078.450666666555</v>
      </c>
      <c r="BA367" s="107">
        <f t="shared" si="383"/>
        <v>50393.435999999885</v>
      </c>
      <c r="BB367" s="107">
        <f t="shared" si="384"/>
        <v>49708.421333333215</v>
      </c>
      <c r="BC367" s="107">
        <f t="shared" si="385"/>
        <v>49023.406666666546</v>
      </c>
      <c r="BD367" s="107">
        <f t="shared" si="386"/>
        <v>48338.391999999876</v>
      </c>
      <c r="BE367" s="107">
        <f t="shared" ref="BE367:BE391" si="389">SUM(AS367:BD367,AO367)/13*$BE$2</f>
        <v>1153.8665599999977</v>
      </c>
      <c r="BF367" s="127"/>
      <c r="BG367" s="127"/>
      <c r="BH367" s="127"/>
      <c r="BI367" s="127"/>
      <c r="BJ367" s="127"/>
      <c r="BK367" s="127"/>
      <c r="BL367" s="127"/>
      <c r="BM367" s="127"/>
      <c r="BN367" s="127"/>
      <c r="BO367" s="127"/>
      <c r="BP367" s="127"/>
      <c r="BQ367" s="127"/>
      <c r="BR367" s="127"/>
      <c r="BS367" s="127"/>
      <c r="BT367" s="127"/>
      <c r="BU367" s="127"/>
      <c r="BV367" s="127"/>
      <c r="BW367" s="127"/>
    </row>
    <row r="368" spans="1:75" hidden="1" x14ac:dyDescent="0.2">
      <c r="A368" s="123" t="str">
        <f>'[2]2021 УГРЦТ'!A370</f>
        <v>ТП №1 " Сахалин "</v>
      </c>
      <c r="B368" s="124" t="str">
        <f>'[2]2021 УГРЦТ'!B370</f>
        <v>00000995</v>
      </c>
      <c r="C368" s="124" t="str">
        <f>VLOOKUP(A:A,'2023-2027'!A:L,1,+FALSE)</f>
        <v>ТП №1 " Сахалин "</v>
      </c>
      <c r="D368" s="124" t="str">
        <f>'[2]2021 УГРЦТ'!C370</f>
        <v>ПЕРЕДАЧА</v>
      </c>
      <c r="E368" s="124" t="str">
        <f>'[2]2021 УГРЦТ'!D370</f>
        <v>Сооружения</v>
      </c>
      <c r="F368" s="124" t="str">
        <f>'[2]2021 УГРЦТ'!E370</f>
        <v>31.10.2006</v>
      </c>
      <c r="G368" s="124" t="str">
        <f>'[2]2021 УГРЦТ'!F370</f>
        <v>Цех электрических сетей</v>
      </c>
      <c r="H368" s="124">
        <f>'[2]2021 УГРЦТ'!AC370</f>
        <v>180</v>
      </c>
      <c r="I368" s="107">
        <f>'[2]2021 УГРЦТ'!X370</f>
        <v>113278.86</v>
      </c>
      <c r="J368" s="107">
        <f>'[2]2021 УГРЦТ'!Y370</f>
        <v>113278.86300000001</v>
      </c>
      <c r="K368" s="107">
        <f>'[2]2021 УГРЦТ'!Z370</f>
        <v>-3.0000000115251169E-3</v>
      </c>
      <c r="L368" s="125" t="e">
        <f>SUMIF([2]облаг!$B$2:$B$259,B368,[2]облаг!$D$2:$D$259)</f>
        <v>#VALUE!</v>
      </c>
      <c r="M368" s="107"/>
      <c r="N368" s="107">
        <f t="shared" si="327"/>
        <v>0</v>
      </c>
      <c r="O368" s="107">
        <f t="shared" si="328"/>
        <v>-3.0000000115251169E-3</v>
      </c>
      <c r="P368" s="107">
        <f t="shared" si="329"/>
        <v>-3.0000000115251169E-3</v>
      </c>
      <c r="Q368" s="107">
        <f t="shared" si="335"/>
        <v>-3.0000000115251169E-3</v>
      </c>
      <c r="R368" s="107">
        <f t="shared" si="336"/>
        <v>-3.0000000115251169E-3</v>
      </c>
      <c r="S368" s="107">
        <f t="shared" si="337"/>
        <v>-3.0000000115251169E-3</v>
      </c>
      <c r="T368" s="107">
        <f t="shared" si="338"/>
        <v>-3.0000000115251169E-3</v>
      </c>
      <c r="U368" s="107">
        <f t="shared" si="339"/>
        <v>-3.0000000115251169E-3</v>
      </c>
      <c r="V368" s="107">
        <f t="shared" si="340"/>
        <v>-3.0000000115251169E-3</v>
      </c>
      <c r="W368" s="107">
        <f t="shared" si="341"/>
        <v>-3.0000000115251169E-3</v>
      </c>
      <c r="X368" s="107">
        <f t="shared" si="342"/>
        <v>-3.0000000115251169E-3</v>
      </c>
      <c r="Y368" s="107">
        <f t="shared" si="343"/>
        <v>-3.0000000115251169E-3</v>
      </c>
      <c r="Z368" s="107">
        <f t="shared" si="344"/>
        <v>-3.0000000115251169E-3</v>
      </c>
      <c r="AA368" s="107">
        <f t="shared" si="387"/>
        <v>-6.6000000253552569E-5</v>
      </c>
      <c r="AB368" s="107"/>
      <c r="AC368" s="107">
        <f t="shared" si="345"/>
        <v>0</v>
      </c>
      <c r="AD368" s="107">
        <f t="shared" si="346"/>
        <v>-3.0000000115251169E-3</v>
      </c>
      <c r="AE368" s="107">
        <f t="shared" si="347"/>
        <v>-3.0000000115251169E-3</v>
      </c>
      <c r="AF368" s="107">
        <f t="shared" si="348"/>
        <v>-3.0000000115251169E-3</v>
      </c>
      <c r="AG368" s="107">
        <f t="shared" si="349"/>
        <v>-3.0000000115251169E-3</v>
      </c>
      <c r="AH368" s="107">
        <f t="shared" si="350"/>
        <v>-3.0000000115251169E-3</v>
      </c>
      <c r="AI368" s="107">
        <f t="shared" si="351"/>
        <v>-3.0000000115251169E-3</v>
      </c>
      <c r="AJ368" s="107">
        <f t="shared" si="352"/>
        <v>-3.0000000115251169E-3</v>
      </c>
      <c r="AK368" s="107">
        <f t="shared" si="353"/>
        <v>-3.0000000115251169E-3</v>
      </c>
      <c r="AL368" s="107">
        <f t="shared" si="354"/>
        <v>-3.0000000115251169E-3</v>
      </c>
      <c r="AM368" s="107">
        <f t="shared" si="355"/>
        <v>-3.0000000115251169E-3</v>
      </c>
      <c r="AN368" s="107">
        <f t="shared" si="356"/>
        <v>-3.0000000115251169E-3</v>
      </c>
      <c r="AO368" s="107">
        <f t="shared" si="357"/>
        <v>-3.0000000115251169E-3</v>
      </c>
      <c r="AP368" s="107">
        <f t="shared" si="388"/>
        <v>-6.6000000253552569E-5</v>
      </c>
      <c r="AQ368" s="126"/>
      <c r="AR368" s="107">
        <f t="shared" si="358"/>
        <v>0</v>
      </c>
      <c r="AS368" s="107">
        <f t="shared" si="375"/>
        <v>-3.0000000115251169E-3</v>
      </c>
      <c r="AT368" s="107">
        <f t="shared" si="376"/>
        <v>-3.0000000115251169E-3</v>
      </c>
      <c r="AU368" s="107">
        <f t="shared" si="377"/>
        <v>-3.0000000115251169E-3</v>
      </c>
      <c r="AV368" s="107">
        <f t="shared" si="378"/>
        <v>-3.0000000115251169E-3</v>
      </c>
      <c r="AW368" s="107">
        <f t="shared" si="379"/>
        <v>-3.0000000115251169E-3</v>
      </c>
      <c r="AX368" s="107">
        <f t="shared" si="380"/>
        <v>-3.0000000115251169E-3</v>
      </c>
      <c r="AY368" s="107">
        <f t="shared" si="381"/>
        <v>-3.0000000115251169E-3</v>
      </c>
      <c r="AZ368" s="107">
        <f t="shared" si="382"/>
        <v>-3.0000000115251169E-3</v>
      </c>
      <c r="BA368" s="107">
        <f t="shared" si="383"/>
        <v>-3.0000000115251169E-3</v>
      </c>
      <c r="BB368" s="107">
        <f t="shared" si="384"/>
        <v>-3.0000000115251169E-3</v>
      </c>
      <c r="BC368" s="107">
        <f t="shared" si="385"/>
        <v>-3.0000000115251169E-3</v>
      </c>
      <c r="BD368" s="107">
        <f t="shared" si="386"/>
        <v>-3.0000000115251169E-3</v>
      </c>
      <c r="BE368" s="107">
        <f t="shared" si="389"/>
        <v>-6.6000000253552569E-5</v>
      </c>
      <c r="BG368" s="127"/>
      <c r="BI368" s="127"/>
      <c r="BV368" s="127"/>
    </row>
    <row r="369" spans="1:75" hidden="1" x14ac:dyDescent="0.2">
      <c r="A369" s="123" t="str">
        <f>'[2]2021 УГРЦТ'!A371</f>
        <v>ТП №10  Маслозавод    =10лет</v>
      </c>
      <c r="B369" s="124" t="str">
        <f>'[2]2021 УГРЦТ'!B371</f>
        <v>00000258</v>
      </c>
      <c r="C369" s="124" t="str">
        <f>VLOOKUP(A:A,'2023-2027'!A:L,1,+FALSE)</f>
        <v>ТП №10  Маслозавод    =10лет</v>
      </c>
      <c r="D369" s="124" t="str">
        <f>'[2]2021 УГРЦТ'!C371</f>
        <v>ПЕРЕДАЧА</v>
      </c>
      <c r="E369" s="124" t="str">
        <f>'[2]2021 УГРЦТ'!D371</f>
        <v>Здания</v>
      </c>
      <c r="F369" s="124" t="str">
        <f>'[2]2021 УГРЦТ'!E371</f>
        <v>01.09.1998</v>
      </c>
      <c r="G369" s="124" t="str">
        <f>'[2]2021 УГРЦТ'!F371</f>
        <v>Цех электрических сетей</v>
      </c>
      <c r="H369" s="124">
        <f>'[2]2021 УГРЦТ'!AC371</f>
        <v>708</v>
      </c>
      <c r="I369" s="107">
        <f>'[2]2021 УГРЦТ'!X371</f>
        <v>283921.7</v>
      </c>
      <c r="J369" s="107">
        <f>'[2]2021 УГРЦТ'!Y371</f>
        <v>96252.002203389828</v>
      </c>
      <c r="K369" s="107">
        <f>'[2]2021 УГРЦТ'!Z371</f>
        <v>187669.69779661018</v>
      </c>
      <c r="L369" s="125" t="e">
        <f>SUMIF([2]облаг!$B$2:$B$259,B369,[2]облаг!$D$2:$D$259)</f>
        <v>#VALUE!</v>
      </c>
      <c r="M369" s="107">
        <f t="shared" si="326"/>
        <v>401.0193502824859</v>
      </c>
      <c r="N369" s="107">
        <f t="shared" si="327"/>
        <v>4812.2322033898308</v>
      </c>
      <c r="O369" s="107">
        <f t="shared" si="328"/>
        <v>187268.67844632769</v>
      </c>
      <c r="P369" s="107">
        <f t="shared" si="329"/>
        <v>186867.65909604519</v>
      </c>
      <c r="Q369" s="107">
        <f t="shared" si="335"/>
        <v>186466.63974576269</v>
      </c>
      <c r="R369" s="107">
        <f t="shared" si="336"/>
        <v>186065.62039548019</v>
      </c>
      <c r="S369" s="107">
        <f t="shared" si="337"/>
        <v>185664.60104519769</v>
      </c>
      <c r="T369" s="107">
        <f t="shared" si="338"/>
        <v>185263.58169491519</v>
      </c>
      <c r="U369" s="107">
        <f t="shared" si="339"/>
        <v>184862.56234463269</v>
      </c>
      <c r="V369" s="107">
        <f t="shared" si="340"/>
        <v>184461.54299435019</v>
      </c>
      <c r="W369" s="107">
        <f t="shared" si="341"/>
        <v>184060.5236440677</v>
      </c>
      <c r="X369" s="107">
        <f t="shared" si="342"/>
        <v>183659.5042937852</v>
      </c>
      <c r="Y369" s="107">
        <f t="shared" si="343"/>
        <v>183258.4849435027</v>
      </c>
      <c r="Z369" s="107">
        <f t="shared" si="344"/>
        <v>182857.4655932202</v>
      </c>
      <c r="AA369" s="107">
        <f t="shared" si="387"/>
        <v>4075.7987972881347</v>
      </c>
      <c r="AB369" s="107"/>
      <c r="AC369" s="107">
        <f t="shared" si="345"/>
        <v>4812.2322033898308</v>
      </c>
      <c r="AD369" s="107">
        <f t="shared" si="346"/>
        <v>182456.4462429377</v>
      </c>
      <c r="AE369" s="107">
        <f t="shared" si="347"/>
        <v>182055.4268926552</v>
      </c>
      <c r="AF369" s="107">
        <f t="shared" si="348"/>
        <v>181654.4075423727</v>
      </c>
      <c r="AG369" s="107">
        <f t="shared" si="349"/>
        <v>181253.38819209021</v>
      </c>
      <c r="AH369" s="107">
        <f t="shared" si="350"/>
        <v>180852.36884180771</v>
      </c>
      <c r="AI369" s="107">
        <f t="shared" si="351"/>
        <v>180451.34949152521</v>
      </c>
      <c r="AJ369" s="107">
        <f t="shared" si="352"/>
        <v>180050.33014124271</v>
      </c>
      <c r="AK369" s="107">
        <f t="shared" si="353"/>
        <v>179649.31079096021</v>
      </c>
      <c r="AL369" s="107">
        <f t="shared" si="354"/>
        <v>179248.29144067771</v>
      </c>
      <c r="AM369" s="107">
        <f t="shared" si="355"/>
        <v>178847.27209039521</v>
      </c>
      <c r="AN369" s="107">
        <f t="shared" si="356"/>
        <v>178446.25274011272</v>
      </c>
      <c r="AO369" s="107">
        <f t="shared" si="357"/>
        <v>178045.23338983022</v>
      </c>
      <c r="AP369" s="107">
        <f t="shared" si="388"/>
        <v>3969.929688813555</v>
      </c>
      <c r="AQ369" s="126"/>
      <c r="AR369" s="107">
        <f t="shared" si="358"/>
        <v>4812.2322033898308</v>
      </c>
      <c r="AS369" s="107">
        <f t="shared" si="375"/>
        <v>177644.21403954772</v>
      </c>
      <c r="AT369" s="107">
        <f t="shared" si="376"/>
        <v>177243.19468926522</v>
      </c>
      <c r="AU369" s="107">
        <f t="shared" si="377"/>
        <v>176842.17533898272</v>
      </c>
      <c r="AV369" s="107">
        <f t="shared" si="378"/>
        <v>176441.15598870022</v>
      </c>
      <c r="AW369" s="107">
        <f t="shared" si="379"/>
        <v>176040.13663841772</v>
      </c>
      <c r="AX369" s="107">
        <f t="shared" si="380"/>
        <v>175639.11728813522</v>
      </c>
      <c r="AY369" s="107">
        <f t="shared" si="381"/>
        <v>175238.09793785273</v>
      </c>
      <c r="AZ369" s="107">
        <f t="shared" si="382"/>
        <v>174837.07858757023</v>
      </c>
      <c r="BA369" s="107">
        <f t="shared" si="383"/>
        <v>174436.05923728773</v>
      </c>
      <c r="BB369" s="107">
        <f t="shared" si="384"/>
        <v>174035.03988700523</v>
      </c>
      <c r="BC369" s="107">
        <f t="shared" si="385"/>
        <v>173634.02053672273</v>
      </c>
      <c r="BD369" s="107">
        <f t="shared" si="386"/>
        <v>173233.00118644023</v>
      </c>
      <c r="BE369" s="107">
        <f t="shared" si="389"/>
        <v>3864.0605803389753</v>
      </c>
      <c r="BF369" s="127"/>
      <c r="BG369" s="127"/>
      <c r="BH369" s="127"/>
      <c r="BI369" s="127"/>
      <c r="BJ369" s="127"/>
      <c r="BK369" s="127"/>
      <c r="BL369" s="127"/>
      <c r="BM369" s="127"/>
      <c r="BN369" s="127"/>
      <c r="BO369" s="127"/>
      <c r="BP369" s="127"/>
      <c r="BQ369" s="127"/>
      <c r="BR369" s="127"/>
      <c r="BS369" s="127"/>
      <c r="BT369" s="127"/>
      <c r="BU369" s="127"/>
      <c r="BV369" s="127"/>
      <c r="BW369" s="127"/>
    </row>
    <row r="370" spans="1:75" hidden="1" x14ac:dyDescent="0.2">
      <c r="A370" s="123" t="str">
        <f>'[2]2021 УГРЦТ'!A372</f>
        <v>ТП №101 (2КТП База МТР)</v>
      </c>
      <c r="B370" s="124" t="str">
        <f>'[2]2021 УГРЦТ'!B372</f>
        <v>000001510</v>
      </c>
      <c r="C370" s="124" t="str">
        <f>VLOOKUP(A:A,'2023-2027'!A:L,1,+FALSE)</f>
        <v>ТП №101 (2КТП База МТР)</v>
      </c>
      <c r="D370" s="124" t="str">
        <f>'[2]2021 УГРЦТ'!C372</f>
        <v>ПЕРЕДАЧА</v>
      </c>
      <c r="E370" s="124" t="str">
        <f>'[2]2021 УГРЦТ'!D372</f>
        <v>Сооружения</v>
      </c>
      <c r="F370" s="124" t="str">
        <f>'[2]2021 УГРЦТ'!E372</f>
        <v>30.01.2013</v>
      </c>
      <c r="G370" s="124" t="str">
        <f>'[2]2021 УГРЦТ'!F372</f>
        <v>Цех электрических сетей</v>
      </c>
      <c r="H370" s="124">
        <f>'[2]2021 УГРЦТ'!AC372</f>
        <v>240</v>
      </c>
      <c r="I370" s="107">
        <f>'[2]2021 УГРЦТ'!X372</f>
        <v>3012131.78</v>
      </c>
      <c r="J370" s="107">
        <f>'[2]2021 УГРЦТ'!Y372</f>
        <v>1342908.8389999999</v>
      </c>
      <c r="K370" s="107">
        <f>'[2]2021 УГРЦТ'!Z372</f>
        <v>1669222.9409999999</v>
      </c>
      <c r="L370" s="125" t="e">
        <f>SUMIF([2]облаг!$B$2:$B$259,B370,[2]облаг!$D$2:$D$259)</f>
        <v>#VALUE!</v>
      </c>
      <c r="M370" s="107">
        <f t="shared" si="326"/>
        <v>12550.549083333333</v>
      </c>
      <c r="N370" s="107">
        <f t="shared" si="327"/>
        <v>150606.58900000001</v>
      </c>
      <c r="O370" s="107">
        <f t="shared" si="328"/>
        <v>1656672.3919166666</v>
      </c>
      <c r="P370" s="107">
        <f t="shared" si="329"/>
        <v>1644121.8428333334</v>
      </c>
      <c r="Q370" s="107">
        <f t="shared" si="335"/>
        <v>1631571.2937500002</v>
      </c>
      <c r="R370" s="107">
        <f t="shared" si="336"/>
        <v>1619020.744666667</v>
      </c>
      <c r="S370" s="107">
        <f t="shared" si="337"/>
        <v>1606470.1955833337</v>
      </c>
      <c r="T370" s="107">
        <f t="shared" si="338"/>
        <v>1593919.6465000005</v>
      </c>
      <c r="U370" s="107">
        <f t="shared" si="339"/>
        <v>1581369.0974166673</v>
      </c>
      <c r="V370" s="107">
        <f t="shared" si="340"/>
        <v>1568818.548333334</v>
      </c>
      <c r="W370" s="107">
        <f t="shared" si="341"/>
        <v>1556267.9992500008</v>
      </c>
      <c r="X370" s="107">
        <f t="shared" si="342"/>
        <v>1543717.4501666676</v>
      </c>
      <c r="Y370" s="107">
        <f t="shared" si="343"/>
        <v>1531166.9010833343</v>
      </c>
      <c r="Z370" s="107">
        <f t="shared" si="344"/>
        <v>1518616.3520000011</v>
      </c>
      <c r="AA370" s="107">
        <f t="shared" si="387"/>
        <v>35066.232223000006</v>
      </c>
      <c r="AB370" s="107"/>
      <c r="AC370" s="107">
        <f t="shared" si="345"/>
        <v>150606.58900000001</v>
      </c>
      <c r="AD370" s="107">
        <f t="shared" si="346"/>
        <v>1506065.8029166679</v>
      </c>
      <c r="AE370" s="107">
        <f t="shared" si="347"/>
        <v>1493515.2538333347</v>
      </c>
      <c r="AF370" s="107">
        <f t="shared" si="348"/>
        <v>1480964.7047500014</v>
      </c>
      <c r="AG370" s="107">
        <f t="shared" si="349"/>
        <v>1468414.1556666682</v>
      </c>
      <c r="AH370" s="107">
        <f t="shared" si="350"/>
        <v>1455863.606583335</v>
      </c>
      <c r="AI370" s="107">
        <f t="shared" si="351"/>
        <v>1443313.0575000017</v>
      </c>
      <c r="AJ370" s="107">
        <f t="shared" si="352"/>
        <v>1430762.5084166685</v>
      </c>
      <c r="AK370" s="107">
        <f t="shared" si="353"/>
        <v>1418211.9593333353</v>
      </c>
      <c r="AL370" s="107">
        <f t="shared" si="354"/>
        <v>1405661.4102500021</v>
      </c>
      <c r="AM370" s="107">
        <f t="shared" si="355"/>
        <v>1393110.8611666688</v>
      </c>
      <c r="AN370" s="107">
        <f t="shared" si="356"/>
        <v>1380560.3120833356</v>
      </c>
      <c r="AO370" s="107">
        <f t="shared" si="357"/>
        <v>1368009.7630000024</v>
      </c>
      <c r="AP370" s="107">
        <f t="shared" si="388"/>
        <v>31752.887265000041</v>
      </c>
      <c r="AQ370" s="126"/>
      <c r="AR370" s="107">
        <f t="shared" si="358"/>
        <v>150606.58900000001</v>
      </c>
      <c r="AS370" s="107">
        <f t="shared" si="375"/>
        <v>1355459.2139166691</v>
      </c>
      <c r="AT370" s="107">
        <f t="shared" si="376"/>
        <v>1342908.6648333359</v>
      </c>
      <c r="AU370" s="107">
        <f t="shared" si="377"/>
        <v>1330358.1157500027</v>
      </c>
      <c r="AV370" s="107">
        <f t="shared" si="378"/>
        <v>1317807.5666666694</v>
      </c>
      <c r="AW370" s="107">
        <f t="shared" si="379"/>
        <v>1305257.0175833362</v>
      </c>
      <c r="AX370" s="107">
        <f t="shared" si="380"/>
        <v>1292706.468500003</v>
      </c>
      <c r="AY370" s="107">
        <f t="shared" si="381"/>
        <v>1280155.9194166698</v>
      </c>
      <c r="AZ370" s="107">
        <f t="shared" si="382"/>
        <v>1267605.3703333365</v>
      </c>
      <c r="BA370" s="107">
        <f t="shared" si="383"/>
        <v>1255054.8212500033</v>
      </c>
      <c r="BB370" s="107">
        <f t="shared" si="384"/>
        <v>1242504.2721666701</v>
      </c>
      <c r="BC370" s="107">
        <f t="shared" si="385"/>
        <v>1229953.7230833368</v>
      </c>
      <c r="BD370" s="107">
        <f t="shared" si="386"/>
        <v>1217403.1740000036</v>
      </c>
      <c r="BE370" s="107">
        <f t="shared" si="389"/>
        <v>28439.542307000065</v>
      </c>
      <c r="BF370" s="127"/>
      <c r="BG370" s="127"/>
      <c r="BH370" s="127"/>
      <c r="BI370" s="127"/>
      <c r="BJ370" s="127"/>
      <c r="BK370" s="127"/>
      <c r="BL370" s="127"/>
      <c r="BM370" s="127"/>
      <c r="BN370" s="127"/>
      <c r="BO370" s="127"/>
      <c r="BP370" s="127"/>
      <c r="BQ370" s="127"/>
      <c r="BR370" s="127"/>
      <c r="BS370" s="127"/>
      <c r="BT370" s="127"/>
      <c r="BU370" s="127"/>
      <c r="BV370" s="127"/>
      <c r="BW370" s="127"/>
    </row>
    <row r="371" spans="1:75" hidden="1" x14ac:dyDescent="0.2">
      <c r="A371" s="123" t="str">
        <f>'[2]2021 УГРЦТ'!A373</f>
        <v>ТП №11 ул Меньшикова 1  1972г.</v>
      </c>
      <c r="B371" s="124" t="str">
        <f>'[2]2021 УГРЦТ'!B373</f>
        <v>00000132</v>
      </c>
      <c r="C371" s="124" t="str">
        <f>VLOOKUP(A:A,'2023-2027'!A:L,1,+FALSE)</f>
        <v>ТП №11 ул Меньшикова 1  1972г.</v>
      </c>
      <c r="D371" s="124" t="str">
        <f>'[2]2021 УГРЦТ'!C373</f>
        <v>ПЕРЕДАЧА</v>
      </c>
      <c r="E371" s="124" t="str">
        <f>'[2]2021 УГРЦТ'!D373</f>
        <v>Здания</v>
      </c>
      <c r="F371" s="124" t="str">
        <f>'[2]2021 УГРЦТ'!E373</f>
        <v>31.01.1972</v>
      </c>
      <c r="G371" s="124" t="str">
        <f>'[2]2021 УГРЦТ'!F373</f>
        <v>Цех электрических сетей</v>
      </c>
      <c r="H371" s="124">
        <f>'[2]2021 УГРЦТ'!AC373</f>
        <v>708</v>
      </c>
      <c r="I371" s="107">
        <f>'[2]2021 УГРЦТ'!X373</f>
        <v>583613.52</v>
      </c>
      <c r="J371" s="107">
        <f>'[2]2021 УГРЦТ'!Y373</f>
        <v>292274.68</v>
      </c>
      <c r="K371" s="107">
        <f>'[2]2021 УГРЦТ'!Z373</f>
        <v>291338.84000000003</v>
      </c>
      <c r="L371" s="125" t="e">
        <f>SUMIF([2]облаг!$B$2:$B$259,B371,[2]облаг!$D$2:$D$259)</f>
        <v>#VALUE!</v>
      </c>
      <c r="M371" s="107">
        <f t="shared" si="326"/>
        <v>824.31288135593218</v>
      </c>
      <c r="N371" s="107">
        <f t="shared" si="327"/>
        <v>9891.7545762711852</v>
      </c>
      <c r="O371" s="107">
        <f t="shared" si="328"/>
        <v>290514.5271186441</v>
      </c>
      <c r="P371" s="107">
        <f t="shared" si="329"/>
        <v>289690.21423728816</v>
      </c>
      <c r="Q371" s="107">
        <f t="shared" si="335"/>
        <v>288865.90135593223</v>
      </c>
      <c r="R371" s="107">
        <f t="shared" si="336"/>
        <v>288041.5884745763</v>
      </c>
      <c r="S371" s="107">
        <f t="shared" si="337"/>
        <v>287217.27559322037</v>
      </c>
      <c r="T371" s="107">
        <f t="shared" si="338"/>
        <v>286392.96271186444</v>
      </c>
      <c r="U371" s="107">
        <f t="shared" si="339"/>
        <v>285568.64983050851</v>
      </c>
      <c r="V371" s="107">
        <f t="shared" si="340"/>
        <v>284744.33694915258</v>
      </c>
      <c r="W371" s="107">
        <f t="shared" si="341"/>
        <v>283920.02406779665</v>
      </c>
      <c r="X371" s="107">
        <f t="shared" si="342"/>
        <v>283095.71118644072</v>
      </c>
      <c r="Y371" s="107">
        <f t="shared" si="343"/>
        <v>282271.39830508479</v>
      </c>
      <c r="Z371" s="107">
        <f t="shared" si="344"/>
        <v>281447.08542372886</v>
      </c>
      <c r="AA371" s="107">
        <f t="shared" si="387"/>
        <v>6300.645179661019</v>
      </c>
      <c r="AB371" s="107"/>
      <c r="AC371" s="107">
        <f t="shared" si="345"/>
        <v>9891.7545762711852</v>
      </c>
      <c r="AD371" s="107">
        <f t="shared" si="346"/>
        <v>280622.77254237293</v>
      </c>
      <c r="AE371" s="107">
        <f t="shared" si="347"/>
        <v>279798.459661017</v>
      </c>
      <c r="AF371" s="107">
        <f t="shared" si="348"/>
        <v>278974.14677966107</v>
      </c>
      <c r="AG371" s="107">
        <f t="shared" si="349"/>
        <v>278149.83389830514</v>
      </c>
      <c r="AH371" s="107">
        <f t="shared" si="350"/>
        <v>277325.52101694921</v>
      </c>
      <c r="AI371" s="107">
        <f t="shared" si="351"/>
        <v>276501.20813559328</v>
      </c>
      <c r="AJ371" s="107">
        <f t="shared" si="352"/>
        <v>275676.89525423734</v>
      </c>
      <c r="AK371" s="107">
        <f t="shared" si="353"/>
        <v>274852.58237288141</v>
      </c>
      <c r="AL371" s="107">
        <f t="shared" si="354"/>
        <v>274028.26949152548</v>
      </c>
      <c r="AM371" s="107">
        <f t="shared" si="355"/>
        <v>273203.95661016955</v>
      </c>
      <c r="AN371" s="107">
        <f t="shared" si="356"/>
        <v>272379.64372881362</v>
      </c>
      <c r="AO371" s="107">
        <f t="shared" si="357"/>
        <v>271555.33084745769</v>
      </c>
      <c r="AP371" s="107">
        <f t="shared" si="388"/>
        <v>6083.0265789830519</v>
      </c>
      <c r="AQ371" s="126"/>
      <c r="AR371" s="107">
        <f t="shared" si="358"/>
        <v>9891.7545762711852</v>
      </c>
      <c r="AS371" s="107">
        <f t="shared" si="375"/>
        <v>270731.01796610176</v>
      </c>
      <c r="AT371" s="107">
        <f t="shared" si="376"/>
        <v>269906.70508474583</v>
      </c>
      <c r="AU371" s="107">
        <f t="shared" si="377"/>
        <v>269082.3922033899</v>
      </c>
      <c r="AV371" s="107">
        <f t="shared" si="378"/>
        <v>268258.07932203397</v>
      </c>
      <c r="AW371" s="107">
        <f t="shared" si="379"/>
        <v>267433.76644067804</v>
      </c>
      <c r="AX371" s="107">
        <f t="shared" si="380"/>
        <v>266609.45355932211</v>
      </c>
      <c r="AY371" s="107">
        <f t="shared" si="381"/>
        <v>265785.14067796618</v>
      </c>
      <c r="AZ371" s="107">
        <f t="shared" si="382"/>
        <v>264960.82779661025</v>
      </c>
      <c r="BA371" s="107">
        <f t="shared" si="383"/>
        <v>264136.51491525432</v>
      </c>
      <c r="BB371" s="107">
        <f t="shared" si="384"/>
        <v>263312.20203389839</v>
      </c>
      <c r="BC371" s="107">
        <f t="shared" si="385"/>
        <v>262487.88915254246</v>
      </c>
      <c r="BD371" s="107">
        <f t="shared" si="386"/>
        <v>261663.57627118652</v>
      </c>
      <c r="BE371" s="107">
        <f t="shared" si="389"/>
        <v>5865.4079783050856</v>
      </c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</row>
    <row r="372" spans="1:75" ht="22.5" hidden="1" x14ac:dyDescent="0.2">
      <c r="A372" s="123" t="str">
        <f>'[2]2021 УГРЦТ'!A374</f>
        <v>ТП №12/1 по ул. Меньшикова д.22А</v>
      </c>
      <c r="B372" s="124" t="str">
        <f>'[2]2021 УГРЦТ'!B374</f>
        <v>00001254</v>
      </c>
      <c r="C372" s="124" t="str">
        <f>VLOOKUP(A:A,'2023-2027'!A:L,1,+FALSE)</f>
        <v>ТП №12/1 по ул. Меньшикова д.22А</v>
      </c>
      <c r="D372" s="124" t="str">
        <f>'[2]2021 УГРЦТ'!C374</f>
        <v>ПЕРЕДАЧА</v>
      </c>
      <c r="E372" s="124" t="str">
        <f>'[2]2021 УГРЦТ'!D374</f>
        <v>Сооружения</v>
      </c>
      <c r="F372" s="124" t="str">
        <f>'[2]2021 УГРЦТ'!E374</f>
        <v>31.10.2010</v>
      </c>
      <c r="G372" s="124" t="str">
        <f>'[2]2021 УГРЦТ'!F374</f>
        <v>Цех электрических сетей</v>
      </c>
      <c r="H372" s="124">
        <f>'[2]2021 УГРЦТ'!AC374</f>
        <v>240</v>
      </c>
      <c r="I372" s="107">
        <v>687228.88</v>
      </c>
      <c r="J372" s="107">
        <v>383702.34400000004</v>
      </c>
      <c r="K372" s="107">
        <v>303526.53599999996</v>
      </c>
      <c r="L372" s="125" t="e">
        <f>SUMIF([2]облаг!$B$2:$B$259,B372,[2]облаг!$D$2:$D$259)</f>
        <v>#VALUE!</v>
      </c>
      <c r="M372" s="107">
        <f t="shared" si="326"/>
        <v>2863.4536666666668</v>
      </c>
      <c r="N372" s="107">
        <f t="shared" si="327"/>
        <v>34361.444000000003</v>
      </c>
      <c r="O372" s="107">
        <f t="shared" si="328"/>
        <v>300663.08233333332</v>
      </c>
      <c r="P372" s="107">
        <f t="shared" si="329"/>
        <v>297799.62866666669</v>
      </c>
      <c r="Q372" s="107">
        <f t="shared" si="335"/>
        <v>294936.17500000005</v>
      </c>
      <c r="R372" s="107">
        <f t="shared" si="336"/>
        <v>292072.72133333341</v>
      </c>
      <c r="S372" s="107">
        <f t="shared" si="337"/>
        <v>289209.26766666677</v>
      </c>
      <c r="T372" s="107">
        <f t="shared" si="338"/>
        <v>286345.81400000013</v>
      </c>
      <c r="U372" s="107">
        <f t="shared" si="339"/>
        <v>283482.36033333349</v>
      </c>
      <c r="V372" s="107">
        <f t="shared" si="340"/>
        <v>280618.90666666685</v>
      </c>
      <c r="W372" s="107">
        <f t="shared" si="341"/>
        <v>277755.45300000021</v>
      </c>
      <c r="X372" s="107">
        <f t="shared" si="342"/>
        <v>274891.99933333357</v>
      </c>
      <c r="Y372" s="107">
        <f t="shared" si="343"/>
        <v>272028.54566666693</v>
      </c>
      <c r="Z372" s="107">
        <f t="shared" si="344"/>
        <v>269165.0920000003</v>
      </c>
      <c r="AA372" s="107">
        <f t="shared" si="387"/>
        <v>6299.6079080000027</v>
      </c>
      <c r="AB372" s="107"/>
      <c r="AC372" s="107">
        <f t="shared" si="345"/>
        <v>34361.444000000003</v>
      </c>
      <c r="AD372" s="107">
        <f t="shared" si="346"/>
        <v>266301.63833333366</v>
      </c>
      <c r="AE372" s="107">
        <f t="shared" si="347"/>
        <v>263438.18466666702</v>
      </c>
      <c r="AF372" s="107">
        <f t="shared" si="348"/>
        <v>260574.73100000035</v>
      </c>
      <c r="AG372" s="107">
        <f t="shared" si="349"/>
        <v>257711.27733333368</v>
      </c>
      <c r="AH372" s="107">
        <f t="shared" si="350"/>
        <v>254847.82366666701</v>
      </c>
      <c r="AI372" s="107">
        <f t="shared" si="351"/>
        <v>251984.37000000034</v>
      </c>
      <c r="AJ372" s="107">
        <f t="shared" si="352"/>
        <v>249120.91633333368</v>
      </c>
      <c r="AK372" s="107">
        <f t="shared" si="353"/>
        <v>246257.46266666701</v>
      </c>
      <c r="AL372" s="107">
        <f t="shared" si="354"/>
        <v>243394.00900000034</v>
      </c>
      <c r="AM372" s="107">
        <f t="shared" si="355"/>
        <v>240530.55533333367</v>
      </c>
      <c r="AN372" s="107">
        <f t="shared" si="356"/>
        <v>237667.101666667</v>
      </c>
      <c r="AO372" s="107">
        <f t="shared" si="357"/>
        <v>234803.64800000034</v>
      </c>
      <c r="AP372" s="107">
        <f t="shared" si="388"/>
        <v>5543.6561400000082</v>
      </c>
      <c r="AQ372" s="126"/>
      <c r="AR372" s="107">
        <f t="shared" si="358"/>
        <v>34361.444000000003</v>
      </c>
      <c r="AS372" s="107">
        <f t="shared" si="375"/>
        <v>231940.19433333367</v>
      </c>
      <c r="AT372" s="107">
        <f t="shared" si="376"/>
        <v>229076.740666667</v>
      </c>
      <c r="AU372" s="107">
        <f t="shared" si="377"/>
        <v>226213.28700000033</v>
      </c>
      <c r="AV372" s="107">
        <f t="shared" si="378"/>
        <v>223349.83333333366</v>
      </c>
      <c r="AW372" s="107">
        <f t="shared" si="379"/>
        <v>220486.379666667</v>
      </c>
      <c r="AX372" s="107">
        <f t="shared" si="380"/>
        <v>217622.92600000033</v>
      </c>
      <c r="AY372" s="107">
        <f t="shared" si="381"/>
        <v>214759.47233333366</v>
      </c>
      <c r="AZ372" s="107">
        <f t="shared" si="382"/>
        <v>211896.01866666699</v>
      </c>
      <c r="BA372" s="107">
        <f t="shared" si="383"/>
        <v>209032.56500000032</v>
      </c>
      <c r="BB372" s="107">
        <f t="shared" si="384"/>
        <v>206169.11133333365</v>
      </c>
      <c r="BC372" s="107">
        <f t="shared" si="385"/>
        <v>203305.65766666699</v>
      </c>
      <c r="BD372" s="107">
        <f t="shared" si="386"/>
        <v>200442.20400000032</v>
      </c>
      <c r="BE372" s="107">
        <f t="shared" si="389"/>
        <v>4787.7043720000065</v>
      </c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</row>
    <row r="373" spans="1:75" ht="33.75" hidden="1" x14ac:dyDescent="0.2">
      <c r="A373" s="123" t="str">
        <f>'[2]2021 УГРЦТ'!A375</f>
        <v>ТП №13-1 "Бондарная"(КТПН(КК)400 с тр-мТМ250/60,4)</v>
      </c>
      <c r="B373" s="124" t="str">
        <f>'[2]2021 УГРЦТ'!B375</f>
        <v>00001116</v>
      </c>
      <c r="C373" s="124" t="str">
        <f>VLOOKUP(A:A,'2023-2027'!A:L,1,+FALSE)</f>
        <v>ТП №13-1 "Бондарная"(КТПН(КК)400 с тр-мТМ250/60,4)</v>
      </c>
      <c r="D373" s="124" t="str">
        <f>'[2]2021 УГРЦТ'!C375</f>
        <v>ПЕРЕДАЧА</v>
      </c>
      <c r="E373" s="124" t="str">
        <f>'[2]2021 УГРЦТ'!D375</f>
        <v>Сооружения</v>
      </c>
      <c r="F373" s="124" t="str">
        <f>'[2]2021 УГРЦТ'!E375</f>
        <v>30.03.2009</v>
      </c>
      <c r="G373" s="124" t="str">
        <f>'[2]2021 УГРЦТ'!F375</f>
        <v>Цех электрических сетей</v>
      </c>
      <c r="H373" s="124">
        <f>'[2]2021 УГРЦТ'!AC375</f>
        <v>113</v>
      </c>
      <c r="I373" s="107">
        <f>'[2]2021 УГРЦТ'!X375</f>
        <v>696914.55</v>
      </c>
      <c r="J373" s="107">
        <f>'[2]2021 УГРЦТ'!Y375</f>
        <v>581439.78999999992</v>
      </c>
      <c r="K373" s="107">
        <f>'[2]2021 УГРЦТ'!Z375</f>
        <v>115474.76000000013</v>
      </c>
      <c r="L373" s="125" t="e">
        <f>SUMIF([2]облаг!$B$2:$B$259,B373,[2]облаг!$D$2:$D$259)</f>
        <v>#VALUE!</v>
      </c>
      <c r="M373" s="107">
        <f t="shared" si="326"/>
        <v>6167.3853982300889</v>
      </c>
      <c r="N373" s="107">
        <f t="shared" si="327"/>
        <v>74008.624778761063</v>
      </c>
      <c r="O373" s="107">
        <f t="shared" si="328"/>
        <v>109307.37460177003</v>
      </c>
      <c r="P373" s="107">
        <f t="shared" si="329"/>
        <v>103139.98920353994</v>
      </c>
      <c r="Q373" s="107">
        <f t="shared" si="335"/>
        <v>96972.603805309845</v>
      </c>
      <c r="R373" s="107">
        <f t="shared" si="336"/>
        <v>90805.218407079752</v>
      </c>
      <c r="S373" s="107">
        <f t="shared" si="337"/>
        <v>84637.833008849659</v>
      </c>
      <c r="T373" s="107">
        <f t="shared" si="338"/>
        <v>78470.447610619565</v>
      </c>
      <c r="U373" s="107">
        <f t="shared" si="339"/>
        <v>72303.062212389472</v>
      </c>
      <c r="V373" s="107">
        <f t="shared" si="340"/>
        <v>66135.676814159378</v>
      </c>
      <c r="W373" s="107">
        <f t="shared" si="341"/>
        <v>59968.291415929292</v>
      </c>
      <c r="X373" s="107">
        <f t="shared" si="342"/>
        <v>53800.906017699206</v>
      </c>
      <c r="Y373" s="107">
        <f t="shared" si="343"/>
        <v>47633.52061946912</v>
      </c>
      <c r="Z373" s="107">
        <f t="shared" si="344"/>
        <v>41466.135221239034</v>
      </c>
      <c r="AA373" s="107">
        <f t="shared" si="387"/>
        <v>1726.3498474336304</v>
      </c>
      <c r="AB373" s="107"/>
      <c r="AC373" s="107">
        <f>AD373</f>
        <v>35298.749823008948</v>
      </c>
      <c r="AD373" s="107">
        <f t="shared" si="346"/>
        <v>35298.749823008948</v>
      </c>
      <c r="AE373" s="107">
        <f t="shared" si="347"/>
        <v>29131.364424778858</v>
      </c>
      <c r="AF373" s="107">
        <f t="shared" si="348"/>
        <v>22963.979026548768</v>
      </c>
      <c r="AG373" s="107">
        <f t="shared" si="349"/>
        <v>16796.593628318678</v>
      </c>
      <c r="AH373" s="107">
        <f t="shared" si="350"/>
        <v>10629.208230088589</v>
      </c>
      <c r="AI373" s="107">
        <f t="shared" si="351"/>
        <v>4461.8228318584997</v>
      </c>
      <c r="AJ373" s="107">
        <v>0</v>
      </c>
      <c r="AK373" s="107">
        <v>0</v>
      </c>
      <c r="AL373" s="107">
        <v>0</v>
      </c>
      <c r="AM373" s="107">
        <v>0</v>
      </c>
      <c r="AN373" s="107">
        <v>0</v>
      </c>
      <c r="AO373" s="107">
        <v>0</v>
      </c>
      <c r="AP373" s="107">
        <f t="shared" si="388"/>
        <v>272.03482846834692</v>
      </c>
      <c r="AQ373" s="126"/>
      <c r="AR373" s="107">
        <v>0</v>
      </c>
      <c r="AS373" s="107">
        <v>0</v>
      </c>
      <c r="AT373" s="107">
        <v>0</v>
      </c>
      <c r="AU373" s="107">
        <v>0</v>
      </c>
      <c r="AV373" s="107">
        <v>0</v>
      </c>
      <c r="AW373" s="107">
        <v>0</v>
      </c>
      <c r="AX373" s="107">
        <v>0</v>
      </c>
      <c r="AY373" s="107">
        <v>0</v>
      </c>
      <c r="AZ373" s="107">
        <v>0</v>
      </c>
      <c r="BA373" s="107">
        <v>0</v>
      </c>
      <c r="BB373" s="107">
        <v>0</v>
      </c>
      <c r="BC373" s="107">
        <v>0</v>
      </c>
      <c r="BD373" s="107">
        <v>0</v>
      </c>
      <c r="BE373" s="107">
        <f t="shared" si="389"/>
        <v>0</v>
      </c>
      <c r="BG373" s="127"/>
      <c r="BI373" s="127"/>
      <c r="BV373" s="127"/>
    </row>
    <row r="374" spans="1:75" hidden="1" x14ac:dyDescent="0.2">
      <c r="A374" s="123" t="str">
        <f>'[2]2021 УГРЦТ'!A376</f>
        <v>ТП №14 баня 1  1974г.</v>
      </c>
      <c r="B374" s="124" t="str">
        <f>'[2]2021 УГРЦТ'!B376</f>
        <v>00000536</v>
      </c>
      <c r="C374" s="124" t="str">
        <f>VLOOKUP(A:A,'2023-2027'!A:L,1,+FALSE)</f>
        <v>ТП №14 баня 1  1974г.</v>
      </c>
      <c r="D374" s="124" t="str">
        <f>'[2]2021 УГРЦТ'!C376</f>
        <v>ПЕРЕДАЧА</v>
      </c>
      <c r="E374" s="124" t="str">
        <f>'[2]2021 УГРЦТ'!D376</f>
        <v>Здания</v>
      </c>
      <c r="F374" s="124" t="str">
        <f>'[2]2021 УГРЦТ'!E376</f>
        <v>31.01.1974</v>
      </c>
      <c r="G374" s="124" t="str">
        <f>'[2]2021 УГРЦТ'!F376</f>
        <v>Цех электрических сетей</v>
      </c>
      <c r="H374" s="124">
        <f>'[2]2021 УГРЦТ'!AC376</f>
        <v>708</v>
      </c>
      <c r="I374" s="107">
        <f>'[2]2021 УГРЦТ'!X376</f>
        <v>403347</v>
      </c>
      <c r="J374" s="107">
        <f>'[2]2021 УГРЦТ'!Y376</f>
        <v>149392.18</v>
      </c>
      <c r="K374" s="107">
        <f>'[2]2021 УГРЦТ'!Z376</f>
        <v>253954.82</v>
      </c>
      <c r="L374" s="125" t="e">
        <f>SUMIF([2]облаг!$B$2:$B$259,B374,[2]облаг!$D$2:$D$259)</f>
        <v>#VALUE!</v>
      </c>
      <c r="M374" s="107">
        <f t="shared" si="326"/>
        <v>569.69915254237287</v>
      </c>
      <c r="N374" s="107">
        <f t="shared" si="327"/>
        <v>6836.3898305084749</v>
      </c>
      <c r="O374" s="107">
        <f t="shared" si="328"/>
        <v>253385.12084745764</v>
      </c>
      <c r="P374" s="107">
        <f t="shared" si="329"/>
        <v>252815.42169491528</v>
      </c>
      <c r="Q374" s="107">
        <f t="shared" si="335"/>
        <v>252245.72254237291</v>
      </c>
      <c r="R374" s="107">
        <f t="shared" si="336"/>
        <v>251676.02338983055</v>
      </c>
      <c r="S374" s="107">
        <f t="shared" si="337"/>
        <v>251106.32423728818</v>
      </c>
      <c r="T374" s="107">
        <f t="shared" si="338"/>
        <v>250536.62508474581</v>
      </c>
      <c r="U374" s="107">
        <f t="shared" si="339"/>
        <v>249966.92593220345</v>
      </c>
      <c r="V374" s="107">
        <f t="shared" si="340"/>
        <v>249397.22677966108</v>
      </c>
      <c r="W374" s="107">
        <f t="shared" si="341"/>
        <v>248827.52762711872</v>
      </c>
      <c r="X374" s="107">
        <f t="shared" si="342"/>
        <v>248257.82847457635</v>
      </c>
      <c r="Y374" s="107">
        <f t="shared" si="343"/>
        <v>247688.12932203399</v>
      </c>
      <c r="Z374" s="107">
        <f t="shared" si="344"/>
        <v>247118.43016949162</v>
      </c>
      <c r="AA374" s="107">
        <f t="shared" si="387"/>
        <v>5511.8057518644073</v>
      </c>
      <c r="AB374" s="107"/>
      <c r="AC374" s="107">
        <f t="shared" si="345"/>
        <v>6836.3898305084749</v>
      </c>
      <c r="AD374" s="107">
        <f t="shared" si="346"/>
        <v>246548.73101694926</v>
      </c>
      <c r="AE374" s="107">
        <f t="shared" si="347"/>
        <v>245979.03186440689</v>
      </c>
      <c r="AF374" s="107">
        <f t="shared" si="348"/>
        <v>245409.33271186452</v>
      </c>
      <c r="AG374" s="107">
        <f t="shared" si="349"/>
        <v>244839.63355932216</v>
      </c>
      <c r="AH374" s="107">
        <f t="shared" si="350"/>
        <v>244269.93440677979</v>
      </c>
      <c r="AI374" s="107">
        <f t="shared" si="351"/>
        <v>243700.23525423743</v>
      </c>
      <c r="AJ374" s="107">
        <f t="shared" si="352"/>
        <v>243130.53610169506</v>
      </c>
      <c r="AK374" s="107">
        <f t="shared" si="353"/>
        <v>242560.8369491527</v>
      </c>
      <c r="AL374" s="107">
        <f t="shared" si="354"/>
        <v>241991.13779661033</v>
      </c>
      <c r="AM374" s="107">
        <f t="shared" si="355"/>
        <v>241421.43864406797</v>
      </c>
      <c r="AN374" s="107">
        <f t="shared" si="356"/>
        <v>240851.7394915256</v>
      </c>
      <c r="AO374" s="107">
        <f t="shared" si="357"/>
        <v>240282.04033898324</v>
      </c>
      <c r="AP374" s="107">
        <f t="shared" si="388"/>
        <v>5361.4051755932223</v>
      </c>
      <c r="AQ374" s="126"/>
      <c r="AR374" s="107">
        <f t="shared" si="358"/>
        <v>6836.3898305084749</v>
      </c>
      <c r="AS374" s="107">
        <f t="shared" ref="AS374:AS380" si="390">AO374-M374</f>
        <v>239712.34118644087</v>
      </c>
      <c r="AT374" s="107">
        <f t="shared" ref="AT374:AT380" si="391">AS374-M374</f>
        <v>239142.6420338985</v>
      </c>
      <c r="AU374" s="107">
        <f t="shared" ref="AU374:AU380" si="392">AT374-M374</f>
        <v>238572.94288135614</v>
      </c>
      <c r="AV374" s="107">
        <f t="shared" ref="AV374:AV380" si="393">AU374-M374</f>
        <v>238003.24372881377</v>
      </c>
      <c r="AW374" s="107">
        <f t="shared" ref="AW374:AW380" si="394">AV374-M374</f>
        <v>237433.54457627141</v>
      </c>
      <c r="AX374" s="107">
        <f t="shared" ref="AX374:AX380" si="395">AW374-M374</f>
        <v>236863.84542372904</v>
      </c>
      <c r="AY374" s="107">
        <f t="shared" ref="AY374:AY380" si="396">AX374-M374</f>
        <v>236294.14627118668</v>
      </c>
      <c r="AZ374" s="107">
        <f t="shared" ref="AZ374:AZ380" si="397">AY374-M374</f>
        <v>235724.44711864431</v>
      </c>
      <c r="BA374" s="107">
        <f t="shared" ref="BA374:BA380" si="398">AZ374-M374</f>
        <v>235154.74796610195</v>
      </c>
      <c r="BB374" s="107">
        <f t="shared" ref="BB374:BB380" si="399">BA374-M374</f>
        <v>234585.04881355958</v>
      </c>
      <c r="BC374" s="107">
        <f t="shared" ref="BC374:BC380" si="400">BB374-M374</f>
        <v>234015.34966101722</v>
      </c>
      <c r="BD374" s="107">
        <f t="shared" ref="BD374:BD380" si="401">BC374-M374</f>
        <v>233445.65050847485</v>
      </c>
      <c r="BE374" s="107">
        <f t="shared" si="389"/>
        <v>5211.0045993220383</v>
      </c>
      <c r="BF374" s="127"/>
      <c r="BG374" s="127"/>
      <c r="BH374" s="127"/>
      <c r="BI374" s="127"/>
      <c r="BJ374" s="127"/>
      <c r="BK374" s="127"/>
      <c r="BL374" s="127"/>
      <c r="BM374" s="127"/>
      <c r="BN374" s="127"/>
      <c r="BO374" s="127"/>
      <c r="BP374" s="127"/>
      <c r="BQ374" s="127"/>
      <c r="BR374" s="127"/>
      <c r="BS374" s="127"/>
      <c r="BT374" s="127"/>
      <c r="BU374" s="127"/>
      <c r="BV374" s="127"/>
      <c r="BW374" s="127"/>
    </row>
    <row r="375" spans="1:75" hidden="1" x14ac:dyDescent="0.2">
      <c r="A375" s="123" t="str">
        <f>'[2]2021 УГРЦТ'!A377</f>
        <v>ТП №17 ул Печорская  1978г.</v>
      </c>
      <c r="B375" s="124" t="str">
        <f>'[2]2021 УГРЦТ'!B377</f>
        <v>00000136</v>
      </c>
      <c r="C375" s="124" t="str">
        <f>VLOOKUP(A:A,'2023-2027'!A:L,1,+FALSE)</f>
        <v>ТП №17 ул Печорская  1978г.</v>
      </c>
      <c r="D375" s="124" t="str">
        <f>'[2]2021 УГРЦТ'!C377</f>
        <v>ПЕРЕДАЧА</v>
      </c>
      <c r="E375" s="124" t="str">
        <f>'[2]2021 УГРЦТ'!D377</f>
        <v>Здания</v>
      </c>
      <c r="F375" s="124" t="str">
        <f>'[2]2021 УГРЦТ'!E377</f>
        <v>31.01.1978</v>
      </c>
      <c r="G375" s="124" t="str">
        <f>'[2]2021 УГРЦТ'!F377</f>
        <v>Цех электрических сетей</v>
      </c>
      <c r="H375" s="124">
        <f>'[2]2021 УГРЦТ'!AC377</f>
        <v>708</v>
      </c>
      <c r="I375" s="107">
        <f>'[2]2021 УГРЦТ'!X377</f>
        <v>35347</v>
      </c>
      <c r="J375" s="107">
        <f>'[2]2021 УГРЦТ'!Y377</f>
        <v>25990.621694915255</v>
      </c>
      <c r="K375" s="107">
        <f>'[2]2021 УГРЦТ'!Z377</f>
        <v>9356.3783050847451</v>
      </c>
      <c r="L375" s="125" t="e">
        <f>SUMIF([2]облаг!$B$2:$B$259,B375,[2]облаг!$D$2:$D$259)</f>
        <v>#VALUE!</v>
      </c>
      <c r="M375" s="107">
        <f t="shared" si="326"/>
        <v>49.925141242937855</v>
      </c>
      <c r="N375" s="107">
        <f t="shared" si="327"/>
        <v>599.10169491525426</v>
      </c>
      <c r="O375" s="107">
        <f t="shared" si="328"/>
        <v>9306.4531638418066</v>
      </c>
      <c r="P375" s="107">
        <f t="shared" si="329"/>
        <v>9256.5280225988681</v>
      </c>
      <c r="Q375" s="107">
        <f t="shared" si="335"/>
        <v>9206.6028813559296</v>
      </c>
      <c r="R375" s="107">
        <f t="shared" si="336"/>
        <v>9156.6777401129912</v>
      </c>
      <c r="S375" s="107">
        <f t="shared" si="337"/>
        <v>9106.7525988700527</v>
      </c>
      <c r="T375" s="107">
        <f t="shared" si="338"/>
        <v>9056.8274576271142</v>
      </c>
      <c r="U375" s="107">
        <f t="shared" si="339"/>
        <v>9006.9023163841757</v>
      </c>
      <c r="V375" s="107">
        <f t="shared" si="340"/>
        <v>8956.9771751412372</v>
      </c>
      <c r="W375" s="107">
        <f t="shared" si="341"/>
        <v>8907.0520338982988</v>
      </c>
      <c r="X375" s="107">
        <f t="shared" si="342"/>
        <v>8857.1268926553603</v>
      </c>
      <c r="Y375" s="107">
        <f t="shared" si="343"/>
        <v>8807.2017514124218</v>
      </c>
      <c r="Z375" s="107">
        <f t="shared" si="344"/>
        <v>8757.2766101694833</v>
      </c>
      <c r="AA375" s="107">
        <f t="shared" si="387"/>
        <v>199.25020406779649</v>
      </c>
      <c r="AB375" s="107"/>
      <c r="AC375" s="107">
        <f t="shared" si="345"/>
        <v>599.10169491525426</v>
      </c>
      <c r="AD375" s="107">
        <f t="shared" si="346"/>
        <v>8707.3514689265448</v>
      </c>
      <c r="AE375" s="107">
        <f t="shared" si="347"/>
        <v>8657.4263276836064</v>
      </c>
      <c r="AF375" s="107">
        <f t="shared" si="348"/>
        <v>8607.5011864406679</v>
      </c>
      <c r="AG375" s="107">
        <f t="shared" si="349"/>
        <v>8557.5760451977294</v>
      </c>
      <c r="AH375" s="107">
        <f t="shared" si="350"/>
        <v>8507.6509039547909</v>
      </c>
      <c r="AI375" s="107">
        <f t="shared" si="351"/>
        <v>8457.7257627118524</v>
      </c>
      <c r="AJ375" s="107">
        <f t="shared" si="352"/>
        <v>8407.800621468914</v>
      </c>
      <c r="AK375" s="107">
        <f t="shared" si="353"/>
        <v>8357.8754802259755</v>
      </c>
      <c r="AL375" s="107">
        <f t="shared" si="354"/>
        <v>8307.950338983037</v>
      </c>
      <c r="AM375" s="107">
        <f t="shared" si="355"/>
        <v>8258.0251977400985</v>
      </c>
      <c r="AN375" s="107">
        <f t="shared" si="356"/>
        <v>8208.10005649716</v>
      </c>
      <c r="AO375" s="107">
        <f t="shared" si="357"/>
        <v>8158.1749152542225</v>
      </c>
      <c r="AP375" s="107">
        <f t="shared" si="388"/>
        <v>186.06996677966075</v>
      </c>
      <c r="AQ375" s="126"/>
      <c r="AR375" s="107">
        <f t="shared" si="358"/>
        <v>599.10169491525426</v>
      </c>
      <c r="AS375" s="107">
        <f t="shared" si="390"/>
        <v>8108.2497740112849</v>
      </c>
      <c r="AT375" s="107">
        <f t="shared" si="391"/>
        <v>8058.3246327683473</v>
      </c>
      <c r="AU375" s="107">
        <f t="shared" si="392"/>
        <v>8008.3994915254098</v>
      </c>
      <c r="AV375" s="107">
        <f t="shared" si="393"/>
        <v>7958.4743502824722</v>
      </c>
      <c r="AW375" s="107">
        <f t="shared" si="394"/>
        <v>7908.5492090395346</v>
      </c>
      <c r="AX375" s="107">
        <f t="shared" si="395"/>
        <v>7858.624067796597</v>
      </c>
      <c r="AY375" s="107">
        <f t="shared" si="396"/>
        <v>7808.6989265536595</v>
      </c>
      <c r="AZ375" s="107">
        <f t="shared" si="397"/>
        <v>7758.7737853107219</v>
      </c>
      <c r="BA375" s="107">
        <f t="shared" si="398"/>
        <v>7708.8486440677843</v>
      </c>
      <c r="BB375" s="107">
        <f t="shared" si="399"/>
        <v>7658.9235028248468</v>
      </c>
      <c r="BC375" s="107">
        <f t="shared" si="400"/>
        <v>7608.9983615819092</v>
      </c>
      <c r="BD375" s="107">
        <f t="shared" si="401"/>
        <v>7559.0732203389716</v>
      </c>
      <c r="BE375" s="107">
        <f t="shared" si="389"/>
        <v>172.88972949152515</v>
      </c>
      <c r="BF375" s="127"/>
      <c r="BG375" s="127"/>
      <c r="BH375" s="127"/>
      <c r="BI375" s="127"/>
      <c r="BJ375" s="127"/>
      <c r="BK375" s="127"/>
      <c r="BL375" s="127"/>
      <c r="BM375" s="127"/>
      <c r="BN375" s="127"/>
      <c r="BO375" s="127"/>
      <c r="BP375" s="127"/>
      <c r="BQ375" s="127"/>
      <c r="BR375" s="127"/>
      <c r="BS375" s="127"/>
      <c r="BT375" s="127"/>
      <c r="BU375" s="127"/>
      <c r="BV375" s="127"/>
      <c r="BW375" s="127"/>
    </row>
    <row r="376" spans="1:75" hidden="1" x14ac:dyDescent="0.2">
      <c r="A376" s="123" t="str">
        <f>'[2]2021 УГРЦТ'!A378</f>
        <v>ТП №18 ул 60 лет СССР 5  1981г.</v>
      </c>
      <c r="B376" s="124" t="str">
        <f>'[2]2021 УГРЦТ'!B378</f>
        <v>00000138</v>
      </c>
      <c r="C376" s="124" t="str">
        <f>VLOOKUP(A:A,'2023-2027'!A:L,1,+FALSE)</f>
        <v>ТП №18 ул 60 лет СССР 5  1981г.</v>
      </c>
      <c r="D376" s="124" t="str">
        <f>'[2]2021 УГРЦТ'!C378</f>
        <v>ПЕРЕДАЧА</v>
      </c>
      <c r="E376" s="124" t="str">
        <f>'[2]2021 УГРЦТ'!D378</f>
        <v>Здания</v>
      </c>
      <c r="F376" s="124" t="str">
        <f>'[2]2021 УГРЦТ'!E378</f>
        <v>31.01.1981</v>
      </c>
      <c r="G376" s="124" t="str">
        <f>'[2]2021 УГРЦТ'!F378</f>
        <v>Цех электрических сетей</v>
      </c>
      <c r="H376" s="124">
        <f>'[2]2021 УГРЦТ'!AC378</f>
        <v>708</v>
      </c>
      <c r="I376" s="107">
        <f>'[2]2021 УГРЦТ'!X378</f>
        <v>35347</v>
      </c>
      <c r="J376" s="107">
        <f>'[2]2021 УГРЦТ'!Y378</f>
        <v>24282.621694915255</v>
      </c>
      <c r="K376" s="107">
        <f>'[2]2021 УГРЦТ'!Z378</f>
        <v>11064.378305084745</v>
      </c>
      <c r="L376" s="125" t="e">
        <f>SUMIF([2]облаг!$B$2:$B$259,B376,[2]облаг!$D$2:$D$259)</f>
        <v>#VALUE!</v>
      </c>
      <c r="M376" s="107">
        <f t="shared" si="326"/>
        <v>49.925141242937855</v>
      </c>
      <c r="N376" s="107">
        <f t="shared" si="327"/>
        <v>599.10169491525426</v>
      </c>
      <c r="O376" s="107">
        <f t="shared" si="328"/>
        <v>11014.453163841807</v>
      </c>
      <c r="P376" s="107">
        <f t="shared" si="329"/>
        <v>10964.528022598868</v>
      </c>
      <c r="Q376" s="107">
        <f t="shared" si="335"/>
        <v>10914.60288135593</v>
      </c>
      <c r="R376" s="107">
        <f t="shared" si="336"/>
        <v>10864.677740112991</v>
      </c>
      <c r="S376" s="107">
        <f t="shared" si="337"/>
        <v>10814.752598870053</v>
      </c>
      <c r="T376" s="107">
        <f t="shared" si="338"/>
        <v>10764.827457627114</v>
      </c>
      <c r="U376" s="107">
        <f t="shared" si="339"/>
        <v>10714.902316384176</v>
      </c>
      <c r="V376" s="107">
        <f t="shared" si="340"/>
        <v>10664.977175141237</v>
      </c>
      <c r="W376" s="107">
        <f t="shared" si="341"/>
        <v>10615.052033898299</v>
      </c>
      <c r="X376" s="107">
        <f t="shared" si="342"/>
        <v>10565.12689265536</v>
      </c>
      <c r="Y376" s="107">
        <f t="shared" si="343"/>
        <v>10515.201751412422</v>
      </c>
      <c r="Z376" s="107">
        <f t="shared" si="344"/>
        <v>10465.276610169483</v>
      </c>
      <c r="AA376" s="107">
        <f t="shared" si="387"/>
        <v>236.82620406779651</v>
      </c>
      <c r="AB376" s="107"/>
      <c r="AC376" s="107">
        <f t="shared" si="345"/>
        <v>599.10169491525426</v>
      </c>
      <c r="AD376" s="107">
        <f t="shared" si="346"/>
        <v>10415.351468926545</v>
      </c>
      <c r="AE376" s="107">
        <f t="shared" si="347"/>
        <v>10365.426327683606</v>
      </c>
      <c r="AF376" s="107">
        <f t="shared" si="348"/>
        <v>10315.501186440668</v>
      </c>
      <c r="AG376" s="107">
        <f t="shared" si="349"/>
        <v>10265.576045197729</v>
      </c>
      <c r="AH376" s="107">
        <f t="shared" si="350"/>
        <v>10215.650903954791</v>
      </c>
      <c r="AI376" s="107">
        <f t="shared" si="351"/>
        <v>10165.725762711852</v>
      </c>
      <c r="AJ376" s="107">
        <f t="shared" si="352"/>
        <v>10115.800621468914</v>
      </c>
      <c r="AK376" s="107">
        <f t="shared" si="353"/>
        <v>10065.875480225975</v>
      </c>
      <c r="AL376" s="107">
        <f t="shared" si="354"/>
        <v>10015.950338983037</v>
      </c>
      <c r="AM376" s="107">
        <f t="shared" si="355"/>
        <v>9966.0251977400985</v>
      </c>
      <c r="AN376" s="107">
        <f t="shared" si="356"/>
        <v>9916.10005649716</v>
      </c>
      <c r="AO376" s="107">
        <f t="shared" si="357"/>
        <v>9866.1749152542216</v>
      </c>
      <c r="AP376" s="107">
        <f t="shared" si="388"/>
        <v>223.64596677966071</v>
      </c>
      <c r="AQ376" s="126"/>
      <c r="AR376" s="107">
        <f t="shared" si="358"/>
        <v>599.10169491525426</v>
      </c>
      <c r="AS376" s="107">
        <f t="shared" si="390"/>
        <v>9816.2497740112831</v>
      </c>
      <c r="AT376" s="107">
        <f t="shared" si="391"/>
        <v>9766.3246327683446</v>
      </c>
      <c r="AU376" s="107">
        <f t="shared" si="392"/>
        <v>9716.3994915254061</v>
      </c>
      <c r="AV376" s="107">
        <f t="shared" si="393"/>
        <v>9666.4743502824676</v>
      </c>
      <c r="AW376" s="107">
        <f t="shared" si="394"/>
        <v>9616.5492090395292</v>
      </c>
      <c r="AX376" s="107">
        <f t="shared" si="395"/>
        <v>9566.6240677965907</v>
      </c>
      <c r="AY376" s="107">
        <f t="shared" si="396"/>
        <v>9516.6989265536522</v>
      </c>
      <c r="AZ376" s="107">
        <f t="shared" si="397"/>
        <v>9466.7737853107137</v>
      </c>
      <c r="BA376" s="107">
        <f t="shared" si="398"/>
        <v>9416.8486440677752</v>
      </c>
      <c r="BB376" s="107">
        <f t="shared" si="399"/>
        <v>9366.9235028248368</v>
      </c>
      <c r="BC376" s="107">
        <f t="shared" si="400"/>
        <v>9316.9983615818983</v>
      </c>
      <c r="BD376" s="107">
        <f t="shared" si="401"/>
        <v>9267.0732203389598</v>
      </c>
      <c r="BE376" s="107">
        <f t="shared" si="389"/>
        <v>210.465729491525</v>
      </c>
      <c r="BF376" s="127"/>
      <c r="BG376" s="127"/>
      <c r="BH376" s="127"/>
      <c r="BI376" s="127"/>
      <c r="BJ376" s="127"/>
      <c r="BK376" s="127"/>
      <c r="BL376" s="127"/>
      <c r="BM376" s="127"/>
      <c r="BN376" s="127"/>
      <c r="BO376" s="127"/>
      <c r="BP376" s="127"/>
      <c r="BQ376" s="127"/>
      <c r="BR376" s="127"/>
      <c r="BS376" s="127"/>
      <c r="BT376" s="127"/>
      <c r="BU376" s="127"/>
      <c r="BV376" s="127"/>
      <c r="BW376" s="127"/>
    </row>
    <row r="377" spans="1:75" hidden="1" x14ac:dyDescent="0.2">
      <c r="A377" s="123" t="str">
        <f>'[2]2021 УГРЦТ'!A379</f>
        <v>ТП №19 ул Южная 2  1968г.</v>
      </c>
      <c r="B377" s="124" t="str">
        <f>'[2]2021 УГРЦТ'!B379</f>
        <v>00000139</v>
      </c>
      <c r="C377" s="124" t="str">
        <f>VLOOKUP(A:A,'2023-2027'!A:L,1,+FALSE)</f>
        <v>ТП №19 ул Южная 2  1968г.</v>
      </c>
      <c r="D377" s="124" t="str">
        <f>'[2]2021 УГРЦТ'!C379</f>
        <v>ПЕРЕДАЧА</v>
      </c>
      <c r="E377" s="124" t="str">
        <f>'[2]2021 УГРЦТ'!D379</f>
        <v>Здания</v>
      </c>
      <c r="F377" s="124" t="str">
        <f>'[2]2021 УГРЦТ'!E379</f>
        <v>31.01.1968</v>
      </c>
      <c r="G377" s="124" t="str">
        <f>'[2]2021 УГРЦТ'!F379</f>
        <v>Цех электрических сетей</v>
      </c>
      <c r="H377" s="124">
        <f>'[2]2021 УГРЦТ'!AC379</f>
        <v>708</v>
      </c>
      <c r="I377" s="107">
        <f>'[2]2021 УГРЦТ'!X379</f>
        <v>374452</v>
      </c>
      <c r="J377" s="107">
        <f>'[2]2021 УГРЦТ'!Y379</f>
        <v>200448.88999999998</v>
      </c>
      <c r="K377" s="107">
        <f>'[2]2021 УГРЦТ'!Z379</f>
        <v>174003.11000000002</v>
      </c>
      <c r="L377" s="125" t="e">
        <f>SUMIF([2]облаг!$B$2:$B$259,B377,[2]облаг!$D$2:$D$259)</f>
        <v>#VALUE!</v>
      </c>
      <c r="M377" s="107">
        <f t="shared" si="326"/>
        <v>528.88700564971748</v>
      </c>
      <c r="N377" s="107">
        <f t="shared" si="327"/>
        <v>6346.6440677966093</v>
      </c>
      <c r="O377" s="107">
        <f t="shared" si="328"/>
        <v>173474.2229943503</v>
      </c>
      <c r="P377" s="107">
        <f t="shared" si="329"/>
        <v>172945.33598870059</v>
      </c>
      <c r="Q377" s="107">
        <f t="shared" si="335"/>
        <v>172416.44898305088</v>
      </c>
      <c r="R377" s="107">
        <f t="shared" si="336"/>
        <v>171887.56197740117</v>
      </c>
      <c r="S377" s="107">
        <f t="shared" si="337"/>
        <v>171358.67497175146</v>
      </c>
      <c r="T377" s="107">
        <f t="shared" si="338"/>
        <v>170829.78796610175</v>
      </c>
      <c r="U377" s="107">
        <f t="shared" si="339"/>
        <v>170300.90096045204</v>
      </c>
      <c r="V377" s="107">
        <f t="shared" si="340"/>
        <v>169772.01395480233</v>
      </c>
      <c r="W377" s="107">
        <f t="shared" si="341"/>
        <v>169243.12694915262</v>
      </c>
      <c r="X377" s="107">
        <f t="shared" si="342"/>
        <v>168714.23994350291</v>
      </c>
      <c r="Y377" s="107">
        <f t="shared" si="343"/>
        <v>168185.3529378532</v>
      </c>
      <c r="Z377" s="107">
        <f t="shared" si="344"/>
        <v>167656.46593220349</v>
      </c>
      <c r="AA377" s="107">
        <f t="shared" si="387"/>
        <v>3758.2553352542382</v>
      </c>
      <c r="AB377" s="107"/>
      <c r="AC377" s="107">
        <f t="shared" si="345"/>
        <v>6346.6440677966093</v>
      </c>
      <c r="AD377" s="107">
        <f t="shared" si="346"/>
        <v>167127.57892655378</v>
      </c>
      <c r="AE377" s="107">
        <f t="shared" si="347"/>
        <v>166598.69192090406</v>
      </c>
      <c r="AF377" s="107">
        <f t="shared" si="348"/>
        <v>166069.80491525435</v>
      </c>
      <c r="AG377" s="107">
        <f t="shared" si="349"/>
        <v>165540.91790960464</v>
      </c>
      <c r="AH377" s="107">
        <f t="shared" si="350"/>
        <v>165012.03090395493</v>
      </c>
      <c r="AI377" s="107">
        <f t="shared" si="351"/>
        <v>164483.14389830522</v>
      </c>
      <c r="AJ377" s="107">
        <f t="shared" si="352"/>
        <v>163954.25689265551</v>
      </c>
      <c r="AK377" s="107">
        <f t="shared" si="353"/>
        <v>163425.3698870058</v>
      </c>
      <c r="AL377" s="107">
        <f t="shared" si="354"/>
        <v>162896.48288135609</v>
      </c>
      <c r="AM377" s="107">
        <f t="shared" si="355"/>
        <v>162367.59587570638</v>
      </c>
      <c r="AN377" s="107">
        <f t="shared" si="356"/>
        <v>161838.70887005667</v>
      </c>
      <c r="AO377" s="107">
        <f t="shared" si="357"/>
        <v>161309.82186440696</v>
      </c>
      <c r="AP377" s="107">
        <f t="shared" si="388"/>
        <v>3618.6291657627139</v>
      </c>
      <c r="AQ377" s="126"/>
      <c r="AR377" s="107">
        <f t="shared" si="358"/>
        <v>6346.6440677966093</v>
      </c>
      <c r="AS377" s="107">
        <f t="shared" si="390"/>
        <v>160780.93485875725</v>
      </c>
      <c r="AT377" s="107">
        <f t="shared" si="391"/>
        <v>160252.04785310754</v>
      </c>
      <c r="AU377" s="107">
        <f t="shared" si="392"/>
        <v>159723.16084745782</v>
      </c>
      <c r="AV377" s="107">
        <f t="shared" si="393"/>
        <v>159194.27384180811</v>
      </c>
      <c r="AW377" s="107">
        <f t="shared" si="394"/>
        <v>158665.3868361584</v>
      </c>
      <c r="AX377" s="107">
        <f t="shared" si="395"/>
        <v>158136.49983050869</v>
      </c>
      <c r="AY377" s="107">
        <f t="shared" si="396"/>
        <v>157607.61282485898</v>
      </c>
      <c r="AZ377" s="107">
        <f t="shared" si="397"/>
        <v>157078.72581920927</v>
      </c>
      <c r="BA377" s="107">
        <f t="shared" si="398"/>
        <v>156549.83881355956</v>
      </c>
      <c r="BB377" s="107">
        <f t="shared" si="399"/>
        <v>156020.95180790985</v>
      </c>
      <c r="BC377" s="107">
        <f t="shared" si="400"/>
        <v>155492.06480226014</v>
      </c>
      <c r="BD377" s="107">
        <f t="shared" si="401"/>
        <v>154963.17779661043</v>
      </c>
      <c r="BE377" s="107">
        <f t="shared" si="389"/>
        <v>3479.0029962711915</v>
      </c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27"/>
    </row>
    <row r="378" spans="1:75" hidden="1" x14ac:dyDescent="0.2">
      <c r="A378" s="123" t="str">
        <f>'[2]2021 УГРЦТ'!A380</f>
        <v>ТП №20 пер Рыбацкий 1970г</v>
      </c>
      <c r="B378" s="124" t="str">
        <f>'[2]2021 УГРЦТ'!B380</f>
        <v>00000540</v>
      </c>
      <c r="C378" s="124" t="str">
        <f>VLOOKUP(A:A,'2023-2027'!A:L,1,+FALSE)</f>
        <v>ТП №20 пер Рыбацкий 1970г</v>
      </c>
      <c r="D378" s="124" t="str">
        <f>'[2]2021 УГРЦТ'!C380</f>
        <v>ПЕРЕДАЧА</v>
      </c>
      <c r="E378" s="124" t="str">
        <f>'[2]2021 УГРЦТ'!D380</f>
        <v>Здания</v>
      </c>
      <c r="F378" s="124" t="str">
        <f>'[2]2021 УГРЦТ'!E380</f>
        <v>31.01.1970</v>
      </c>
      <c r="G378" s="124" t="str">
        <f>'[2]2021 УГРЦТ'!F380</f>
        <v>Цех электрических сетей</v>
      </c>
      <c r="H378" s="124">
        <f>'[2]2021 УГРЦТ'!AC380</f>
        <v>708</v>
      </c>
      <c r="I378" s="107">
        <f>'[2]2021 УГРЦТ'!X380</f>
        <v>28452</v>
      </c>
      <c r="J378" s="107">
        <f>'[2]2021 УГРЦТ'!Y380</f>
        <v>24945.387288135596</v>
      </c>
      <c r="K378" s="107">
        <f>'[2]2021 УГРЦТ'!Z380</f>
        <v>3506.6127118644035</v>
      </c>
      <c r="L378" s="125" t="e">
        <f>SUMIF([2]облаг!$B$2:$B$259,B378,[2]облаг!$D$2:$D$259)</f>
        <v>#VALUE!</v>
      </c>
      <c r="M378" s="107">
        <f t="shared" si="326"/>
        <v>40.186440677966104</v>
      </c>
      <c r="N378" s="107">
        <f t="shared" si="327"/>
        <v>482.23728813559325</v>
      </c>
      <c r="O378" s="107">
        <f t="shared" si="328"/>
        <v>3466.4262711864376</v>
      </c>
      <c r="P378" s="107">
        <f t="shared" si="329"/>
        <v>3426.2398305084716</v>
      </c>
      <c r="Q378" s="107">
        <f t="shared" si="335"/>
        <v>3386.0533898305057</v>
      </c>
      <c r="R378" s="107">
        <f t="shared" si="336"/>
        <v>3345.8669491525397</v>
      </c>
      <c r="S378" s="107">
        <f t="shared" si="337"/>
        <v>3305.6805084745738</v>
      </c>
      <c r="T378" s="107">
        <f t="shared" si="338"/>
        <v>3265.4940677966079</v>
      </c>
      <c r="U378" s="107">
        <f t="shared" si="339"/>
        <v>3225.3076271186419</v>
      </c>
      <c r="V378" s="107">
        <f t="shared" si="340"/>
        <v>3185.121186440676</v>
      </c>
      <c r="W378" s="107">
        <f t="shared" si="341"/>
        <v>3144.93474576271</v>
      </c>
      <c r="X378" s="107">
        <f t="shared" si="342"/>
        <v>3104.7483050847441</v>
      </c>
      <c r="Y378" s="107">
        <f t="shared" si="343"/>
        <v>3064.5618644067781</v>
      </c>
      <c r="Z378" s="107">
        <f t="shared" si="344"/>
        <v>3024.3754237288122</v>
      </c>
      <c r="AA378" s="107">
        <f t="shared" si="387"/>
        <v>71.840869491525382</v>
      </c>
      <c r="AB378" s="107"/>
      <c r="AC378" s="107">
        <f t="shared" si="345"/>
        <v>482.23728813559325</v>
      </c>
      <c r="AD378" s="107">
        <f t="shared" si="346"/>
        <v>2984.1889830508462</v>
      </c>
      <c r="AE378" s="107">
        <f t="shared" si="347"/>
        <v>2944.0025423728803</v>
      </c>
      <c r="AF378" s="107">
        <f t="shared" si="348"/>
        <v>2903.8161016949143</v>
      </c>
      <c r="AG378" s="107">
        <f t="shared" si="349"/>
        <v>2863.6296610169484</v>
      </c>
      <c r="AH378" s="107">
        <f t="shared" si="350"/>
        <v>2823.4432203389824</v>
      </c>
      <c r="AI378" s="107">
        <f t="shared" si="351"/>
        <v>2783.2567796610165</v>
      </c>
      <c r="AJ378" s="107">
        <f t="shared" si="352"/>
        <v>2743.0703389830505</v>
      </c>
      <c r="AK378" s="107">
        <f t="shared" si="353"/>
        <v>2702.8838983050846</v>
      </c>
      <c r="AL378" s="107">
        <f t="shared" si="354"/>
        <v>2662.6974576271186</v>
      </c>
      <c r="AM378" s="107">
        <f t="shared" si="355"/>
        <v>2622.5110169491527</v>
      </c>
      <c r="AN378" s="107">
        <f t="shared" si="356"/>
        <v>2582.3245762711867</v>
      </c>
      <c r="AO378" s="107">
        <f t="shared" si="357"/>
        <v>2542.1381355932208</v>
      </c>
      <c r="AP378" s="107">
        <f t="shared" si="388"/>
        <v>61.231649152542367</v>
      </c>
      <c r="AQ378" s="126"/>
      <c r="AR378" s="107">
        <f t="shared" si="358"/>
        <v>482.23728813559325</v>
      </c>
      <c r="AS378" s="107">
        <f t="shared" si="390"/>
        <v>2501.9516949152548</v>
      </c>
      <c r="AT378" s="107">
        <f t="shared" si="391"/>
        <v>2461.7652542372889</v>
      </c>
      <c r="AU378" s="107">
        <f t="shared" si="392"/>
        <v>2421.578813559323</v>
      </c>
      <c r="AV378" s="107">
        <f t="shared" si="393"/>
        <v>2381.392372881357</v>
      </c>
      <c r="AW378" s="107">
        <f t="shared" si="394"/>
        <v>2341.2059322033911</v>
      </c>
      <c r="AX378" s="107">
        <f t="shared" si="395"/>
        <v>2301.0194915254251</v>
      </c>
      <c r="AY378" s="107">
        <f t="shared" si="396"/>
        <v>2260.8330508474592</v>
      </c>
      <c r="AZ378" s="107">
        <f t="shared" si="397"/>
        <v>2220.6466101694932</v>
      </c>
      <c r="BA378" s="107">
        <f t="shared" si="398"/>
        <v>2180.4601694915273</v>
      </c>
      <c r="BB378" s="107">
        <f t="shared" si="399"/>
        <v>2140.2737288135613</v>
      </c>
      <c r="BC378" s="107">
        <f t="shared" si="400"/>
        <v>2100.0872881355954</v>
      </c>
      <c r="BD378" s="107">
        <f t="shared" si="401"/>
        <v>2059.9008474576294</v>
      </c>
      <c r="BE378" s="107">
        <f t="shared" si="389"/>
        <v>50.622428813559353</v>
      </c>
      <c r="BF378" s="127"/>
      <c r="BG378" s="127"/>
      <c r="BH378" s="127"/>
      <c r="BI378" s="127"/>
      <c r="BJ378" s="127"/>
      <c r="BK378" s="127"/>
      <c r="BL378" s="127"/>
      <c r="BM378" s="127"/>
      <c r="BN378" s="127"/>
      <c r="BO378" s="127"/>
      <c r="BP378" s="127"/>
      <c r="BQ378" s="127"/>
      <c r="BR378" s="127"/>
      <c r="BS378" s="127"/>
      <c r="BT378" s="127"/>
      <c r="BU378" s="127"/>
      <c r="BV378" s="127"/>
      <c r="BW378" s="127"/>
    </row>
    <row r="379" spans="1:75" hidden="1" x14ac:dyDescent="0.2">
      <c r="A379" s="123" t="str">
        <f>'[2]2021 УГРЦТ'!A381</f>
        <v>ТП №21 ул Хатанзейского  1967г.</v>
      </c>
      <c r="B379" s="124" t="str">
        <f>'[2]2021 УГРЦТ'!B381</f>
        <v>00000541</v>
      </c>
      <c r="C379" s="124" t="str">
        <f>VLOOKUP(A:A,'2023-2027'!A:L,1,+FALSE)</f>
        <v>ТП №21 ул Хатанзейского  1967г.</v>
      </c>
      <c r="D379" s="124" t="str">
        <f>'[2]2021 УГРЦТ'!C381</f>
        <v>ПЕРЕДАЧА</v>
      </c>
      <c r="E379" s="124" t="str">
        <f>'[2]2021 УГРЦТ'!D381</f>
        <v>Здания</v>
      </c>
      <c r="F379" s="124" t="str">
        <f>'[2]2021 УГРЦТ'!E381</f>
        <v>31.01.1967</v>
      </c>
      <c r="G379" s="124" t="str">
        <f>'[2]2021 УГРЦТ'!F381</f>
        <v>Цех электрических сетей</v>
      </c>
      <c r="H379" s="124">
        <f>'[2]2021 УГРЦТ'!AC381</f>
        <v>708</v>
      </c>
      <c r="I379" s="107">
        <f>'[2]2021 УГРЦТ'!X381</f>
        <v>110115</v>
      </c>
      <c r="J379" s="107">
        <f>'[2]2021 УГРЦТ'!Y381</f>
        <v>81608.569999999992</v>
      </c>
      <c r="K379" s="107">
        <f>'[2]2021 УГРЦТ'!Z381</f>
        <v>28506.430000000008</v>
      </c>
      <c r="L379" s="125" t="e">
        <f>SUMIF([2]облаг!$B$2:$B$259,B379,[2]облаг!$D$2:$D$259)</f>
        <v>#VALUE!</v>
      </c>
      <c r="M379" s="107">
        <f t="shared" si="326"/>
        <v>155.52966101694915</v>
      </c>
      <c r="N379" s="107">
        <f t="shared" si="327"/>
        <v>1866.3559322033898</v>
      </c>
      <c r="O379" s="107">
        <f t="shared" si="328"/>
        <v>28350.900338983058</v>
      </c>
      <c r="P379" s="107">
        <f t="shared" si="329"/>
        <v>28195.370677966108</v>
      </c>
      <c r="Q379" s="107">
        <f t="shared" si="335"/>
        <v>28039.841016949158</v>
      </c>
      <c r="R379" s="107">
        <f t="shared" si="336"/>
        <v>27884.311355932208</v>
      </c>
      <c r="S379" s="107">
        <f t="shared" si="337"/>
        <v>27728.781694915258</v>
      </c>
      <c r="T379" s="107">
        <f t="shared" si="338"/>
        <v>27573.252033898309</v>
      </c>
      <c r="U379" s="107">
        <f t="shared" si="339"/>
        <v>27417.722372881359</v>
      </c>
      <c r="V379" s="107">
        <f t="shared" si="340"/>
        <v>27262.192711864409</v>
      </c>
      <c r="W379" s="107">
        <f t="shared" si="341"/>
        <v>27106.663050847459</v>
      </c>
      <c r="X379" s="107">
        <f t="shared" si="342"/>
        <v>26951.133389830509</v>
      </c>
      <c r="Y379" s="107">
        <f t="shared" si="343"/>
        <v>26795.603728813559</v>
      </c>
      <c r="Z379" s="107">
        <f t="shared" si="344"/>
        <v>26640.07406779661</v>
      </c>
      <c r="AA379" s="107">
        <f t="shared" si="387"/>
        <v>606.61154474576279</v>
      </c>
      <c r="AB379" s="107"/>
      <c r="AC379" s="107">
        <f t="shared" si="345"/>
        <v>1866.3559322033898</v>
      </c>
      <c r="AD379" s="107">
        <f t="shared" si="346"/>
        <v>26484.54440677966</v>
      </c>
      <c r="AE379" s="107">
        <f t="shared" si="347"/>
        <v>26329.01474576271</v>
      </c>
      <c r="AF379" s="107">
        <f t="shared" si="348"/>
        <v>26173.48508474576</v>
      </c>
      <c r="AG379" s="107">
        <f t="shared" si="349"/>
        <v>26017.95542372881</v>
      </c>
      <c r="AH379" s="107">
        <f t="shared" si="350"/>
        <v>25862.42576271186</v>
      </c>
      <c r="AI379" s="107">
        <f t="shared" si="351"/>
        <v>25706.896101694911</v>
      </c>
      <c r="AJ379" s="107">
        <f t="shared" si="352"/>
        <v>25551.366440677961</v>
      </c>
      <c r="AK379" s="107">
        <f t="shared" si="353"/>
        <v>25395.836779661011</v>
      </c>
      <c r="AL379" s="107">
        <f t="shared" si="354"/>
        <v>25240.307118644061</v>
      </c>
      <c r="AM379" s="107">
        <f t="shared" si="355"/>
        <v>25084.777457627111</v>
      </c>
      <c r="AN379" s="107">
        <f t="shared" si="356"/>
        <v>24929.247796610161</v>
      </c>
      <c r="AO379" s="107">
        <f t="shared" si="357"/>
        <v>24773.718135593212</v>
      </c>
      <c r="AP379" s="107">
        <f t="shared" si="388"/>
        <v>565.55171423728802</v>
      </c>
      <c r="AQ379" s="126"/>
      <c r="AR379" s="107">
        <f t="shared" si="358"/>
        <v>1866.3559322033898</v>
      </c>
      <c r="AS379" s="107">
        <f t="shared" si="390"/>
        <v>24618.188474576262</v>
      </c>
      <c r="AT379" s="107">
        <f t="shared" si="391"/>
        <v>24462.658813559312</v>
      </c>
      <c r="AU379" s="107">
        <f t="shared" si="392"/>
        <v>24307.129152542362</v>
      </c>
      <c r="AV379" s="107">
        <f t="shared" si="393"/>
        <v>24151.599491525412</v>
      </c>
      <c r="AW379" s="107">
        <f t="shared" si="394"/>
        <v>23996.069830508462</v>
      </c>
      <c r="AX379" s="107">
        <f t="shared" si="395"/>
        <v>23840.540169491513</v>
      </c>
      <c r="AY379" s="107">
        <f t="shared" si="396"/>
        <v>23685.010508474563</v>
      </c>
      <c r="AZ379" s="107">
        <f t="shared" si="397"/>
        <v>23529.480847457613</v>
      </c>
      <c r="BA379" s="107">
        <f t="shared" si="398"/>
        <v>23373.951186440663</v>
      </c>
      <c r="BB379" s="107">
        <f t="shared" si="399"/>
        <v>23218.421525423713</v>
      </c>
      <c r="BC379" s="107">
        <f t="shared" si="400"/>
        <v>23062.891864406763</v>
      </c>
      <c r="BD379" s="107">
        <f t="shared" si="401"/>
        <v>22907.362203389814</v>
      </c>
      <c r="BE379" s="107">
        <f t="shared" si="389"/>
        <v>524.49188372881326</v>
      </c>
      <c r="BF379" s="127"/>
      <c r="BG379" s="127"/>
      <c r="BH379" s="127"/>
      <c r="BI379" s="127"/>
      <c r="BJ379" s="127"/>
      <c r="BK379" s="127"/>
      <c r="BL379" s="127"/>
      <c r="BM379" s="127"/>
      <c r="BN379" s="127"/>
      <c r="BO379" s="127"/>
      <c r="BP379" s="127"/>
      <c r="BQ379" s="127"/>
      <c r="BR379" s="127"/>
      <c r="BS379" s="127"/>
      <c r="BT379" s="127"/>
      <c r="BU379" s="127"/>
      <c r="BV379" s="127"/>
    </row>
    <row r="380" spans="1:75" ht="22.5" hidden="1" x14ac:dyDescent="0.2">
      <c r="A380" s="123" t="str">
        <f>'[2]2021 УГРЦТ'!A382</f>
        <v>ТП №22  пос Р/комб   ул Строительная  1992г.</v>
      </c>
      <c r="B380" s="124" t="str">
        <f>'[2]2021 УГРЦТ'!B382</f>
        <v>00000527</v>
      </c>
      <c r="C380" s="124" t="str">
        <f>VLOOKUP(A:A,'2023-2027'!A:L,1,+FALSE)</f>
        <v>ТП №22  пос Р/комб   ул Строительная  1992г.</v>
      </c>
      <c r="D380" s="124" t="str">
        <f>'[2]2021 УГРЦТ'!C382</f>
        <v>ПЕРЕДАЧА</v>
      </c>
      <c r="E380" s="124" t="str">
        <f>'[2]2021 УГРЦТ'!D382</f>
        <v>Здания</v>
      </c>
      <c r="F380" s="124" t="str">
        <f>'[2]2021 УГРЦТ'!E382</f>
        <v>31.01.1992</v>
      </c>
      <c r="G380" s="124" t="str">
        <f>'[2]2021 УГРЦТ'!F382</f>
        <v>Цех электрических сетей</v>
      </c>
      <c r="H380" s="124">
        <f>'[2]2021 УГРЦТ'!AC382</f>
        <v>708</v>
      </c>
      <c r="I380" s="107">
        <f>'[2]2021 УГРЦТ'!X382</f>
        <v>58630</v>
      </c>
      <c r="J380" s="107">
        <f>'[2]2021 УГРЦТ'!Y382</f>
        <v>29138.278813559322</v>
      </c>
      <c r="K380" s="107">
        <f>'[2]2021 УГРЦТ'!Z382</f>
        <v>29491.721186440678</v>
      </c>
      <c r="L380" s="125" t="e">
        <f>SUMIF([2]облаг!$B$2:$B$259,B380,[2]облаг!$D$2:$D$259)</f>
        <v>#VALUE!</v>
      </c>
      <c r="M380" s="107">
        <f t="shared" si="326"/>
        <v>82.81073446327683</v>
      </c>
      <c r="N380" s="107">
        <f t="shared" si="327"/>
        <v>993.72881355932191</v>
      </c>
      <c r="O380" s="107">
        <f t="shared" si="328"/>
        <v>29408.910451977401</v>
      </c>
      <c r="P380" s="107">
        <f t="shared" si="329"/>
        <v>29326.099717514124</v>
      </c>
      <c r="Q380" s="107">
        <f t="shared" si="335"/>
        <v>29243.288983050847</v>
      </c>
      <c r="R380" s="107">
        <f t="shared" si="336"/>
        <v>29160.478248587569</v>
      </c>
      <c r="S380" s="107">
        <f t="shared" si="337"/>
        <v>29077.667514124292</v>
      </c>
      <c r="T380" s="107">
        <f t="shared" si="338"/>
        <v>28994.856779661015</v>
      </c>
      <c r="U380" s="107">
        <f t="shared" si="339"/>
        <v>28912.046045197738</v>
      </c>
      <c r="V380" s="107">
        <f t="shared" si="340"/>
        <v>28829.235310734461</v>
      </c>
      <c r="W380" s="107">
        <f t="shared" si="341"/>
        <v>28746.424576271183</v>
      </c>
      <c r="X380" s="107">
        <f t="shared" si="342"/>
        <v>28663.613841807906</v>
      </c>
      <c r="Y380" s="107">
        <f t="shared" si="343"/>
        <v>28580.803107344629</v>
      </c>
      <c r="Z380" s="107">
        <f t="shared" si="344"/>
        <v>28497.992372881352</v>
      </c>
      <c r="AA380" s="107">
        <f t="shared" si="387"/>
        <v>637.88684915254225</v>
      </c>
      <c r="AB380" s="107"/>
      <c r="AC380" s="107">
        <f t="shared" si="345"/>
        <v>993.72881355932191</v>
      </c>
      <c r="AD380" s="107">
        <f t="shared" si="346"/>
        <v>28415.181638418075</v>
      </c>
      <c r="AE380" s="107">
        <f t="shared" si="347"/>
        <v>28332.370903954798</v>
      </c>
      <c r="AF380" s="107">
        <f t="shared" si="348"/>
        <v>28249.56016949152</v>
      </c>
      <c r="AG380" s="107">
        <f t="shared" si="349"/>
        <v>28166.749435028243</v>
      </c>
      <c r="AH380" s="107">
        <f t="shared" si="350"/>
        <v>28083.938700564966</v>
      </c>
      <c r="AI380" s="107">
        <f t="shared" si="351"/>
        <v>28001.127966101689</v>
      </c>
      <c r="AJ380" s="107">
        <f t="shared" si="352"/>
        <v>27918.317231638412</v>
      </c>
      <c r="AK380" s="107">
        <f t="shared" si="353"/>
        <v>27835.506497175134</v>
      </c>
      <c r="AL380" s="107">
        <f t="shared" si="354"/>
        <v>27752.695762711857</v>
      </c>
      <c r="AM380" s="107">
        <f t="shared" si="355"/>
        <v>27669.88502824858</v>
      </c>
      <c r="AN380" s="107">
        <f t="shared" si="356"/>
        <v>27587.074293785303</v>
      </c>
      <c r="AO380" s="107">
        <f t="shared" si="357"/>
        <v>27504.263559322026</v>
      </c>
      <c r="AP380" s="107">
        <f t="shared" si="388"/>
        <v>616.02481525423718</v>
      </c>
      <c r="AQ380" s="126"/>
      <c r="AR380" s="107">
        <f t="shared" si="358"/>
        <v>993.72881355932191</v>
      </c>
      <c r="AS380" s="107">
        <f t="shared" si="390"/>
        <v>27421.452824858748</v>
      </c>
      <c r="AT380" s="107">
        <f t="shared" si="391"/>
        <v>27338.642090395471</v>
      </c>
      <c r="AU380" s="107">
        <f t="shared" si="392"/>
        <v>27255.831355932194</v>
      </c>
      <c r="AV380" s="107">
        <f t="shared" si="393"/>
        <v>27173.020621468917</v>
      </c>
      <c r="AW380" s="107">
        <f t="shared" si="394"/>
        <v>27090.20988700564</v>
      </c>
      <c r="AX380" s="107">
        <f t="shared" si="395"/>
        <v>27007.399152542363</v>
      </c>
      <c r="AY380" s="107">
        <f t="shared" si="396"/>
        <v>26924.588418079085</v>
      </c>
      <c r="AZ380" s="107">
        <f t="shared" si="397"/>
        <v>26841.777683615808</v>
      </c>
      <c r="BA380" s="107">
        <f t="shared" si="398"/>
        <v>26758.966949152531</v>
      </c>
      <c r="BB380" s="107">
        <f t="shared" si="399"/>
        <v>26676.156214689254</v>
      </c>
      <c r="BC380" s="107">
        <f t="shared" si="400"/>
        <v>26593.345480225977</v>
      </c>
      <c r="BD380" s="107">
        <f t="shared" si="401"/>
        <v>26510.534745762699</v>
      </c>
      <c r="BE380" s="107">
        <f t="shared" si="389"/>
        <v>594.162781355932</v>
      </c>
      <c r="BF380" s="127"/>
      <c r="BG380" s="127"/>
      <c r="BH380" s="127"/>
      <c r="BI380" s="127"/>
      <c r="BJ380" s="127"/>
      <c r="BK380" s="127"/>
      <c r="BL380" s="127"/>
      <c r="BM380" s="127"/>
      <c r="BN380" s="127"/>
      <c r="BO380" s="127"/>
      <c r="BP380" s="127"/>
      <c r="BQ380" s="127"/>
      <c r="BR380" s="127"/>
      <c r="BS380" s="127"/>
      <c r="BT380" s="127"/>
      <c r="BU380" s="127"/>
      <c r="BV380" s="127"/>
      <c r="BW380" s="127"/>
    </row>
    <row r="381" spans="1:75" ht="22.5" hidden="1" x14ac:dyDescent="0.2">
      <c r="A381" s="123" t="str">
        <f>'[2]2021 УГРЦТ'!A383</f>
        <v>ТП №23 район "Тубдиспансер" 2008г</v>
      </c>
      <c r="B381" s="124" t="str">
        <f>'[2]2021 УГРЦТ'!B383</f>
        <v>00001091</v>
      </c>
      <c r="C381" s="124" t="str">
        <f>VLOOKUP(A:A,'2023-2027'!A:L,1,+FALSE)</f>
        <v>ТП №23 район "Тубдиспансер" 2008г</v>
      </c>
      <c r="D381" s="124" t="str">
        <f>'[2]2021 УГРЦТ'!C383</f>
        <v>ПЕРЕДАЧА</v>
      </c>
      <c r="E381" s="124" t="str">
        <f>'[2]2021 УГРЦТ'!D383</f>
        <v>Сооружения</v>
      </c>
      <c r="F381" s="124" t="str">
        <f>'[2]2021 УГРЦТ'!E383</f>
        <v>30.09.2008</v>
      </c>
      <c r="G381" s="124" t="str">
        <f>'[2]2021 УГРЦТ'!F383</f>
        <v>Цех электрических сетей</v>
      </c>
      <c r="H381" s="124">
        <f>'[2]2021 УГРЦТ'!AC383</f>
        <v>180</v>
      </c>
      <c r="I381" s="107">
        <f>'[2]2021 УГРЦТ'!X383</f>
        <v>365828.44</v>
      </c>
      <c r="J381" s="107">
        <f>'[2]2021 УГРЦТ'!Y383</f>
        <v>323148.42266666668</v>
      </c>
      <c r="K381" s="107">
        <f>'[2]2021 УГРЦТ'!Z383</f>
        <v>42680.017333333322</v>
      </c>
      <c r="L381" s="125" t="e">
        <f>SUMIF([2]облаг!$B$2:$B$259,B381,[2]облаг!$D$2:$D$259)</f>
        <v>#VALUE!</v>
      </c>
      <c r="M381" s="107">
        <f t="shared" si="326"/>
        <v>2032.3802222222223</v>
      </c>
      <c r="N381" s="107">
        <f t="shared" si="327"/>
        <v>24388.562666666669</v>
      </c>
      <c r="O381" s="107">
        <f t="shared" si="328"/>
        <v>40647.6371111111</v>
      </c>
      <c r="P381" s="107">
        <f t="shared" si="329"/>
        <v>38615.256888888878</v>
      </c>
      <c r="Q381" s="107">
        <f t="shared" si="335"/>
        <v>36582.876666666656</v>
      </c>
      <c r="R381" s="107">
        <f t="shared" si="336"/>
        <v>34550.496444444434</v>
      </c>
      <c r="S381" s="107">
        <f t="shared" si="337"/>
        <v>32518.116222222212</v>
      </c>
      <c r="T381" s="107">
        <f t="shared" si="338"/>
        <v>30485.73599999999</v>
      </c>
      <c r="U381" s="107">
        <f t="shared" si="339"/>
        <v>28453.355777777768</v>
      </c>
      <c r="V381" s="107">
        <f t="shared" si="340"/>
        <v>26420.975555555546</v>
      </c>
      <c r="W381" s="107">
        <f t="shared" si="341"/>
        <v>24388.595333333324</v>
      </c>
      <c r="X381" s="107">
        <f t="shared" si="342"/>
        <v>22356.215111111102</v>
      </c>
      <c r="Y381" s="107">
        <f t="shared" si="343"/>
        <v>20323.83488888888</v>
      </c>
      <c r="Z381" s="107">
        <f t="shared" si="344"/>
        <v>18291.454666666657</v>
      </c>
      <c r="AA381" s="107">
        <f t="shared" si="387"/>
        <v>670.68619199999978</v>
      </c>
      <c r="AB381" s="107"/>
      <c r="AC381" s="107">
        <f>AD381</f>
        <v>16259.074444444435</v>
      </c>
      <c r="AD381" s="107">
        <f t="shared" si="346"/>
        <v>16259.074444444435</v>
      </c>
      <c r="AE381" s="107">
        <f t="shared" si="347"/>
        <v>14226.694222222213</v>
      </c>
      <c r="AF381" s="107">
        <f t="shared" si="348"/>
        <v>12194.313999999991</v>
      </c>
      <c r="AG381" s="107">
        <f t="shared" si="349"/>
        <v>10161.933777777769</v>
      </c>
      <c r="AH381" s="107">
        <f t="shared" si="350"/>
        <v>8129.5535555555471</v>
      </c>
      <c r="AI381" s="107">
        <f t="shared" si="351"/>
        <v>6097.173333333325</v>
      </c>
      <c r="AJ381" s="107">
        <f t="shared" si="352"/>
        <v>4064.7931111111029</v>
      </c>
      <c r="AK381" s="107">
        <f t="shared" si="353"/>
        <v>2032.4128888888806</v>
      </c>
      <c r="AL381" s="107">
        <f t="shared" si="354"/>
        <v>3.266666665831508E-2</v>
      </c>
      <c r="AM381" s="107">
        <v>0</v>
      </c>
      <c r="AN381" s="107">
        <v>0</v>
      </c>
      <c r="AO381" s="107">
        <v>0</v>
      </c>
      <c r="AP381" s="107">
        <f t="shared" si="388"/>
        <v>154.77412358974343</v>
      </c>
      <c r="AQ381" s="126"/>
      <c r="AR381" s="107">
        <v>0</v>
      </c>
      <c r="AS381" s="107">
        <v>0</v>
      </c>
      <c r="AT381" s="107">
        <v>0</v>
      </c>
      <c r="AU381" s="107">
        <v>0</v>
      </c>
      <c r="AV381" s="107">
        <v>0</v>
      </c>
      <c r="AW381" s="107">
        <v>0</v>
      </c>
      <c r="AX381" s="107">
        <v>0</v>
      </c>
      <c r="AY381" s="107">
        <v>0</v>
      </c>
      <c r="AZ381" s="107">
        <v>0</v>
      </c>
      <c r="BA381" s="107">
        <v>0</v>
      </c>
      <c r="BB381" s="107">
        <v>0</v>
      </c>
      <c r="BC381" s="107">
        <v>0</v>
      </c>
      <c r="BD381" s="107">
        <v>0</v>
      </c>
      <c r="BE381" s="107">
        <f t="shared" si="389"/>
        <v>0</v>
      </c>
      <c r="BG381" s="127"/>
      <c r="BI381" s="127"/>
      <c r="BV381" s="127"/>
    </row>
    <row r="382" spans="1:75" ht="22.5" hidden="1" x14ac:dyDescent="0.2">
      <c r="A382" s="123" t="str">
        <f>'[2]2021 УГРЦТ'!A384</f>
        <v>ТП №24   ул 60 лет Октября 3а  1975г.</v>
      </c>
      <c r="B382" s="124" t="str">
        <f>'[2]2021 УГРЦТ'!B384</f>
        <v>00000542</v>
      </c>
      <c r="C382" s="124" t="str">
        <f>VLOOKUP(A:A,'2023-2027'!A:L,1,+FALSE)</f>
        <v>ТП №24   ул 60 лет Октября 3а  1975г.</v>
      </c>
      <c r="D382" s="124" t="str">
        <f>'[2]2021 УГРЦТ'!C384</f>
        <v>ПЕРЕДАЧА</v>
      </c>
      <c r="E382" s="124" t="str">
        <f>'[2]2021 УГРЦТ'!D384</f>
        <v>Здания</v>
      </c>
      <c r="F382" s="124" t="str">
        <f>'[2]2021 УГРЦТ'!E384</f>
        <v>31.01.1975</v>
      </c>
      <c r="G382" s="124" t="str">
        <f>'[2]2021 УГРЦТ'!F384</f>
        <v>Цех электрических сетей</v>
      </c>
      <c r="H382" s="124">
        <f>'[2]2021 УГРЦТ'!AC384</f>
        <v>708</v>
      </c>
      <c r="I382" s="107">
        <f>'[2]2021 УГРЦТ'!X384</f>
        <v>57954.52</v>
      </c>
      <c r="J382" s="107">
        <f>'[2]2021 УГРЦТ'!Y384</f>
        <v>37170.68</v>
      </c>
      <c r="K382" s="107">
        <f>'[2]2021 УГРЦТ'!Z384</f>
        <v>20783.839999999997</v>
      </c>
      <c r="L382" s="125" t="e">
        <f>SUMIF([2]облаг!$B$2:$B$259,B382,[2]облаг!$D$2:$D$259)</f>
        <v>#VALUE!</v>
      </c>
      <c r="M382" s="107">
        <f t="shared" si="326"/>
        <v>81.856666666666669</v>
      </c>
      <c r="N382" s="107">
        <f t="shared" si="327"/>
        <v>982.28</v>
      </c>
      <c r="O382" s="107">
        <f t="shared" si="328"/>
        <v>20701.98333333333</v>
      </c>
      <c r="P382" s="107">
        <f t="shared" si="329"/>
        <v>20620.126666666663</v>
      </c>
      <c r="Q382" s="107">
        <f t="shared" si="335"/>
        <v>20538.269999999997</v>
      </c>
      <c r="R382" s="107">
        <f t="shared" si="336"/>
        <v>20456.41333333333</v>
      </c>
      <c r="S382" s="107">
        <f t="shared" si="337"/>
        <v>20374.556666666664</v>
      </c>
      <c r="T382" s="107">
        <f t="shared" si="338"/>
        <v>20292.699999999997</v>
      </c>
      <c r="U382" s="107">
        <f t="shared" si="339"/>
        <v>20210.843333333331</v>
      </c>
      <c r="V382" s="107">
        <f t="shared" si="340"/>
        <v>20128.986666666664</v>
      </c>
      <c r="W382" s="107">
        <f t="shared" si="341"/>
        <v>20047.129999999997</v>
      </c>
      <c r="X382" s="107">
        <f t="shared" si="342"/>
        <v>19965.273333333331</v>
      </c>
      <c r="Y382" s="107">
        <f t="shared" si="343"/>
        <v>19883.416666666664</v>
      </c>
      <c r="Z382" s="107">
        <f t="shared" si="344"/>
        <v>19801.559999999998</v>
      </c>
      <c r="AA382" s="107">
        <f t="shared" si="387"/>
        <v>446.43939999999992</v>
      </c>
      <c r="AB382" s="107"/>
      <c r="AC382" s="107">
        <f t="shared" si="345"/>
        <v>982.28</v>
      </c>
      <c r="AD382" s="107">
        <f t="shared" si="346"/>
        <v>19719.703333333331</v>
      </c>
      <c r="AE382" s="107">
        <f t="shared" si="347"/>
        <v>19637.846666666665</v>
      </c>
      <c r="AF382" s="107">
        <f t="shared" si="348"/>
        <v>19555.989999999998</v>
      </c>
      <c r="AG382" s="107">
        <f t="shared" si="349"/>
        <v>19474.133333333331</v>
      </c>
      <c r="AH382" s="107">
        <f t="shared" si="350"/>
        <v>19392.276666666665</v>
      </c>
      <c r="AI382" s="107">
        <f t="shared" si="351"/>
        <v>19310.419999999998</v>
      </c>
      <c r="AJ382" s="107">
        <f t="shared" si="352"/>
        <v>19228.563333333332</v>
      </c>
      <c r="AK382" s="107">
        <f t="shared" si="353"/>
        <v>19146.706666666665</v>
      </c>
      <c r="AL382" s="107">
        <f t="shared" si="354"/>
        <v>19064.849999999999</v>
      </c>
      <c r="AM382" s="107">
        <f t="shared" si="355"/>
        <v>18982.993333333332</v>
      </c>
      <c r="AN382" s="107">
        <f t="shared" si="356"/>
        <v>18901.136666666665</v>
      </c>
      <c r="AO382" s="107">
        <f t="shared" si="357"/>
        <v>18819.28</v>
      </c>
      <c r="AP382" s="107">
        <f t="shared" si="388"/>
        <v>424.82923999999991</v>
      </c>
      <c r="AQ382" s="126"/>
      <c r="AR382" s="107">
        <f t="shared" si="358"/>
        <v>982.28</v>
      </c>
      <c r="AS382" s="107">
        <f t="shared" ref="AS382:AS400" si="402">AO382-M382</f>
        <v>18737.423333333332</v>
      </c>
      <c r="AT382" s="107">
        <f t="shared" ref="AT382:AT400" si="403">AS382-M382</f>
        <v>18655.566666666666</v>
      </c>
      <c r="AU382" s="107">
        <f t="shared" ref="AU382:AU400" si="404">AT382-M382</f>
        <v>18573.71</v>
      </c>
      <c r="AV382" s="107">
        <f t="shared" ref="AV382:AV400" si="405">AU382-M382</f>
        <v>18491.853333333333</v>
      </c>
      <c r="AW382" s="107">
        <f t="shared" ref="AW382:AW400" si="406">AV382-M382</f>
        <v>18409.996666666666</v>
      </c>
      <c r="AX382" s="107">
        <f t="shared" ref="AX382:AX400" si="407">AW382-M382</f>
        <v>18328.14</v>
      </c>
      <c r="AY382" s="107">
        <f t="shared" ref="AY382:AY400" si="408">AX382-M382</f>
        <v>18246.283333333333</v>
      </c>
      <c r="AZ382" s="107">
        <f t="shared" ref="AZ382:AZ400" si="409">AY382-M382</f>
        <v>18164.426666666666</v>
      </c>
      <c r="BA382" s="107">
        <f t="shared" ref="BA382:BA400" si="410">AZ382-M382</f>
        <v>18082.57</v>
      </c>
      <c r="BB382" s="107">
        <f t="shared" ref="BB382:BB400" si="411">BA382-M382</f>
        <v>18000.713333333333</v>
      </c>
      <c r="BC382" s="107">
        <f t="shared" ref="BC382:BC400" si="412">BB382-M382</f>
        <v>17918.856666666667</v>
      </c>
      <c r="BD382" s="107">
        <f t="shared" ref="BD382:BD400" si="413">BC382-M382</f>
        <v>17837</v>
      </c>
      <c r="BE382" s="107">
        <f t="shared" si="389"/>
        <v>403.21907999999996</v>
      </c>
      <c r="BF382" s="127"/>
      <c r="BG382" s="127"/>
      <c r="BH382" s="127"/>
      <c r="BI382" s="127"/>
      <c r="BJ382" s="127"/>
      <c r="BK382" s="127"/>
      <c r="BL382" s="127"/>
      <c r="BM382" s="127"/>
      <c r="BN382" s="127"/>
      <c r="BO382" s="127"/>
      <c r="BP382" s="127"/>
      <c r="BQ382" s="127"/>
      <c r="BR382" s="127"/>
      <c r="BS382" s="127"/>
      <c r="BT382" s="127"/>
      <c r="BU382" s="127"/>
      <c r="BV382" s="127"/>
      <c r="BW382" s="127"/>
    </row>
    <row r="383" spans="1:75" hidden="1" x14ac:dyDescent="0.2">
      <c r="A383" s="123" t="str">
        <f>'[2]2021 УГРЦТ'!A385</f>
        <v>ТП №25 Н-Марское АТП  1978г.</v>
      </c>
      <c r="B383" s="124" t="str">
        <f>'[2]2021 УГРЦТ'!B385</f>
        <v>00000543</v>
      </c>
      <c r="C383" s="124" t="str">
        <f>VLOOKUP(A:A,'2023-2027'!A:L,1,+FALSE)</f>
        <v>ТП №25 Н-Марское АТП  1978г.</v>
      </c>
      <c r="D383" s="124" t="str">
        <f>'[2]2021 УГРЦТ'!C385</f>
        <v>ПЕРЕДАЧА</v>
      </c>
      <c r="E383" s="124" t="str">
        <f>'[2]2021 УГРЦТ'!D385</f>
        <v>Здания</v>
      </c>
      <c r="F383" s="124" t="str">
        <f>'[2]2021 УГРЦТ'!E385</f>
        <v>31.01.1978</v>
      </c>
      <c r="G383" s="124" t="str">
        <f>'[2]2021 УГРЦТ'!F385</f>
        <v>Цех электрических сетей</v>
      </c>
      <c r="H383" s="124">
        <f>'[2]2021 УГРЦТ'!AC385</f>
        <v>708</v>
      </c>
      <c r="I383" s="107">
        <f>'[2]2021 УГРЦТ'!X385</f>
        <v>28452</v>
      </c>
      <c r="J383" s="107">
        <f>'[2]2021 УГРЦТ'!Y385</f>
        <v>20962.387288135596</v>
      </c>
      <c r="K383" s="107">
        <f>'[2]2021 УГРЦТ'!Z385</f>
        <v>7489.6127118644035</v>
      </c>
      <c r="L383" s="125" t="e">
        <f>SUMIF([2]облаг!$B$2:$B$259,B383,[2]облаг!$D$2:$D$259)</f>
        <v>#VALUE!</v>
      </c>
      <c r="M383" s="107">
        <f t="shared" si="326"/>
        <v>40.186440677966104</v>
      </c>
      <c r="N383" s="107">
        <f t="shared" si="327"/>
        <v>482.23728813559325</v>
      </c>
      <c r="O383" s="107">
        <f t="shared" si="328"/>
        <v>7449.4262711864376</v>
      </c>
      <c r="P383" s="107">
        <f t="shared" si="329"/>
        <v>7409.2398305084716</v>
      </c>
      <c r="Q383" s="107">
        <f t="shared" si="335"/>
        <v>7369.0533898305057</v>
      </c>
      <c r="R383" s="107">
        <f t="shared" si="336"/>
        <v>7328.8669491525397</v>
      </c>
      <c r="S383" s="107">
        <f t="shared" si="337"/>
        <v>7288.6805084745738</v>
      </c>
      <c r="T383" s="107">
        <f t="shared" si="338"/>
        <v>7248.4940677966079</v>
      </c>
      <c r="U383" s="107">
        <f t="shared" si="339"/>
        <v>7208.3076271186419</v>
      </c>
      <c r="V383" s="107">
        <f t="shared" si="340"/>
        <v>7168.121186440676</v>
      </c>
      <c r="W383" s="107">
        <f t="shared" si="341"/>
        <v>7127.93474576271</v>
      </c>
      <c r="X383" s="107">
        <f t="shared" si="342"/>
        <v>7087.7483050847441</v>
      </c>
      <c r="Y383" s="107">
        <f t="shared" si="343"/>
        <v>7047.5618644067781</v>
      </c>
      <c r="Z383" s="107">
        <f t="shared" si="344"/>
        <v>7007.3754237288122</v>
      </c>
      <c r="AA383" s="107">
        <f t="shared" si="387"/>
        <v>159.46686949152539</v>
      </c>
      <c r="AB383" s="107"/>
      <c r="AC383" s="107">
        <f t="shared" si="345"/>
        <v>482.23728813559325</v>
      </c>
      <c r="AD383" s="107">
        <f t="shared" si="346"/>
        <v>6967.1889830508462</v>
      </c>
      <c r="AE383" s="107">
        <f t="shared" si="347"/>
        <v>6927.0025423728803</v>
      </c>
      <c r="AF383" s="107">
        <f t="shared" si="348"/>
        <v>6886.8161016949143</v>
      </c>
      <c r="AG383" s="107">
        <f t="shared" si="349"/>
        <v>6846.6296610169484</v>
      </c>
      <c r="AH383" s="107">
        <f t="shared" si="350"/>
        <v>6806.4432203389824</v>
      </c>
      <c r="AI383" s="107">
        <f t="shared" si="351"/>
        <v>6766.2567796610165</v>
      </c>
      <c r="AJ383" s="107">
        <f t="shared" si="352"/>
        <v>6726.0703389830505</v>
      </c>
      <c r="AK383" s="107">
        <f t="shared" si="353"/>
        <v>6685.8838983050846</v>
      </c>
      <c r="AL383" s="107">
        <f t="shared" si="354"/>
        <v>6645.6974576271186</v>
      </c>
      <c r="AM383" s="107">
        <f t="shared" si="355"/>
        <v>6605.5110169491527</v>
      </c>
      <c r="AN383" s="107">
        <f t="shared" si="356"/>
        <v>6565.3245762711867</v>
      </c>
      <c r="AO383" s="107">
        <f t="shared" si="357"/>
        <v>6525.1381355932208</v>
      </c>
      <c r="AP383" s="107">
        <f t="shared" si="388"/>
        <v>148.85764915254236</v>
      </c>
      <c r="AQ383" s="126"/>
      <c r="AR383" s="107">
        <f t="shared" si="358"/>
        <v>482.23728813559325</v>
      </c>
      <c r="AS383" s="107">
        <f t="shared" si="402"/>
        <v>6484.9516949152548</v>
      </c>
      <c r="AT383" s="107">
        <f t="shared" si="403"/>
        <v>6444.7652542372889</v>
      </c>
      <c r="AU383" s="107">
        <f t="shared" si="404"/>
        <v>6404.578813559323</v>
      </c>
      <c r="AV383" s="107">
        <f t="shared" si="405"/>
        <v>6364.392372881357</v>
      </c>
      <c r="AW383" s="107">
        <f t="shared" si="406"/>
        <v>6324.2059322033911</v>
      </c>
      <c r="AX383" s="107">
        <f t="shared" si="407"/>
        <v>6284.0194915254251</v>
      </c>
      <c r="AY383" s="107">
        <f t="shared" si="408"/>
        <v>6243.8330508474592</v>
      </c>
      <c r="AZ383" s="107">
        <f t="shared" si="409"/>
        <v>6203.6466101694932</v>
      </c>
      <c r="BA383" s="107">
        <f t="shared" si="410"/>
        <v>6163.4601694915273</v>
      </c>
      <c r="BB383" s="107">
        <f t="shared" si="411"/>
        <v>6123.2737288135613</v>
      </c>
      <c r="BC383" s="107">
        <f t="shared" si="412"/>
        <v>6083.0872881355954</v>
      </c>
      <c r="BD383" s="107">
        <f t="shared" si="413"/>
        <v>6042.9008474576294</v>
      </c>
      <c r="BE383" s="107">
        <f t="shared" si="389"/>
        <v>138.24842881355934</v>
      </c>
      <c r="BF383" s="127"/>
      <c r="BG383" s="127"/>
      <c r="BH383" s="127"/>
      <c r="BI383" s="127"/>
      <c r="BJ383" s="127"/>
      <c r="BK383" s="127"/>
      <c r="BL383" s="127"/>
      <c r="BM383" s="127"/>
      <c r="BN383" s="127"/>
      <c r="BO383" s="127"/>
      <c r="BP383" s="127"/>
      <c r="BQ383" s="127"/>
      <c r="BR383" s="127"/>
      <c r="BS383" s="127"/>
      <c r="BT383" s="127"/>
      <c r="BU383" s="127"/>
      <c r="BV383" s="127"/>
      <c r="BW383" s="127"/>
    </row>
    <row r="384" spans="1:75" hidden="1" x14ac:dyDescent="0.2">
      <c r="A384" s="123" t="str">
        <f>'[2]2021 УГРЦТ'!A386</f>
        <v>ТП №26/1 "База РСУ"</v>
      </c>
      <c r="B384" s="124" t="str">
        <f>'[2]2021 УГРЦТ'!B386</f>
        <v>000001645</v>
      </c>
      <c r="C384" s="124" t="str">
        <f>VLOOKUP(A:A,'2023-2027'!A:L,1,+FALSE)</f>
        <v>ТП №26/1 "База РСУ"</v>
      </c>
      <c r="D384" s="124" t="str">
        <f>'[2]2021 УГРЦТ'!C386</f>
        <v>ПЕРЕДАЧА</v>
      </c>
      <c r="E384" s="124" t="str">
        <f>'[2]2021 УГРЦТ'!D386</f>
        <v>Сооружения</v>
      </c>
      <c r="F384" s="124" t="str">
        <f>'[2]2021 УГРЦТ'!E386</f>
        <v>04.12.2014</v>
      </c>
      <c r="G384" s="124" t="str">
        <f>'[2]2021 УГРЦТ'!F386</f>
        <v>Цех электрических сетей</v>
      </c>
      <c r="H384" s="124">
        <f>'[2]2021 УГРЦТ'!AC386</f>
        <v>240</v>
      </c>
      <c r="I384" s="107">
        <f>'[2]2021 УГРЦТ'!X386</f>
        <v>1621695.9</v>
      </c>
      <c r="J384" s="107">
        <f>'[2]2021 УГРЦТ'!Y386</f>
        <v>567593.83499999996</v>
      </c>
      <c r="K384" s="107">
        <f>'[2]2021 УГРЦТ'!Z386</f>
        <v>1054102.0649999999</v>
      </c>
      <c r="L384" s="125" t="e">
        <f>SUMIF([2]облаг!$B$2:$B$259,B384,[2]облаг!$D$2:$D$259)</f>
        <v>#VALUE!</v>
      </c>
      <c r="M384" s="107">
        <f t="shared" si="326"/>
        <v>6757.0662499999999</v>
      </c>
      <c r="N384" s="107">
        <f t="shared" si="327"/>
        <v>81084.794999999998</v>
      </c>
      <c r="O384" s="107">
        <f t="shared" si="328"/>
        <v>1047344.9987499999</v>
      </c>
      <c r="P384" s="107">
        <f t="shared" si="329"/>
        <v>1040587.9324999999</v>
      </c>
      <c r="Q384" s="107">
        <f t="shared" si="335"/>
        <v>1033830.8662499998</v>
      </c>
      <c r="R384" s="107">
        <f t="shared" si="336"/>
        <v>1027073.7999999998</v>
      </c>
      <c r="S384" s="107">
        <f t="shared" si="337"/>
        <v>1020316.7337499998</v>
      </c>
      <c r="T384" s="107">
        <f t="shared" si="338"/>
        <v>1013559.6674999997</v>
      </c>
      <c r="U384" s="107">
        <f t="shared" si="339"/>
        <v>1006802.6012499997</v>
      </c>
      <c r="V384" s="107">
        <f t="shared" si="340"/>
        <v>1000045.5349999997</v>
      </c>
      <c r="W384" s="107">
        <f t="shared" si="341"/>
        <v>993288.46874999965</v>
      </c>
      <c r="X384" s="107">
        <f t="shared" si="342"/>
        <v>986531.40249999962</v>
      </c>
      <c r="Y384" s="107">
        <f t="shared" si="343"/>
        <v>979774.33624999959</v>
      </c>
      <c r="Z384" s="107">
        <f t="shared" si="344"/>
        <v>973017.26999999955</v>
      </c>
      <c r="AA384" s="107">
        <f t="shared" si="387"/>
        <v>22298.312684999994</v>
      </c>
      <c r="AB384" s="107"/>
      <c r="AC384" s="107">
        <f t="shared" si="345"/>
        <v>81084.794999999998</v>
      </c>
      <c r="AD384" s="107">
        <f t="shared" si="346"/>
        <v>966260.20374999952</v>
      </c>
      <c r="AE384" s="107">
        <f t="shared" si="347"/>
        <v>959503.13749999949</v>
      </c>
      <c r="AF384" s="107">
        <f t="shared" si="348"/>
        <v>952746.07124999946</v>
      </c>
      <c r="AG384" s="107">
        <f t="shared" si="349"/>
        <v>945989.00499999942</v>
      </c>
      <c r="AH384" s="107">
        <f t="shared" si="350"/>
        <v>939231.93874999939</v>
      </c>
      <c r="AI384" s="107">
        <f t="shared" si="351"/>
        <v>932474.87249999936</v>
      </c>
      <c r="AJ384" s="107">
        <f t="shared" si="352"/>
        <v>925717.80624999932</v>
      </c>
      <c r="AK384" s="107">
        <f t="shared" si="353"/>
        <v>918960.73999999929</v>
      </c>
      <c r="AL384" s="107">
        <f t="shared" si="354"/>
        <v>912203.67374999926</v>
      </c>
      <c r="AM384" s="107">
        <f t="shared" si="355"/>
        <v>905446.60749999923</v>
      </c>
      <c r="AN384" s="107">
        <f t="shared" si="356"/>
        <v>898689.54124999919</v>
      </c>
      <c r="AO384" s="107">
        <f t="shared" si="357"/>
        <v>891932.47499999916</v>
      </c>
      <c r="AP384" s="107">
        <f t="shared" si="388"/>
        <v>20514.447194999986</v>
      </c>
      <c r="AQ384" s="126"/>
      <c r="AR384" s="107">
        <f t="shared" si="358"/>
        <v>81084.794999999998</v>
      </c>
      <c r="AS384" s="107">
        <f t="shared" si="402"/>
        <v>885175.40874999913</v>
      </c>
      <c r="AT384" s="107">
        <f t="shared" si="403"/>
        <v>878418.3424999991</v>
      </c>
      <c r="AU384" s="107">
        <f t="shared" si="404"/>
        <v>871661.27624999906</v>
      </c>
      <c r="AV384" s="107">
        <f t="shared" si="405"/>
        <v>864904.20999999903</v>
      </c>
      <c r="AW384" s="107">
        <f t="shared" si="406"/>
        <v>858147.143749999</v>
      </c>
      <c r="AX384" s="107">
        <f t="shared" si="407"/>
        <v>851390.07749999897</v>
      </c>
      <c r="AY384" s="107">
        <f t="shared" si="408"/>
        <v>844633.01124999893</v>
      </c>
      <c r="AZ384" s="107">
        <f t="shared" si="409"/>
        <v>837875.9449999989</v>
      </c>
      <c r="BA384" s="107">
        <f t="shared" si="410"/>
        <v>831118.87874999887</v>
      </c>
      <c r="BB384" s="107">
        <f t="shared" si="411"/>
        <v>824361.81249999884</v>
      </c>
      <c r="BC384" s="107">
        <f t="shared" si="412"/>
        <v>817604.7462499988</v>
      </c>
      <c r="BD384" s="107">
        <f t="shared" si="413"/>
        <v>810847.67999999877</v>
      </c>
      <c r="BE384" s="107">
        <f t="shared" si="389"/>
        <v>18730.581704999975</v>
      </c>
      <c r="BF384" s="127"/>
      <c r="BG384" s="127"/>
      <c r="BH384" s="127"/>
      <c r="BI384" s="127"/>
      <c r="BJ384" s="127"/>
      <c r="BK384" s="127"/>
      <c r="BL384" s="127"/>
      <c r="BM384" s="127"/>
      <c r="BN384" s="127"/>
      <c r="BO384" s="127"/>
      <c r="BP384" s="127"/>
      <c r="BQ384" s="127"/>
      <c r="BR384" s="127"/>
      <c r="BS384" s="127"/>
      <c r="BT384" s="127"/>
      <c r="BU384" s="127"/>
      <c r="BV384" s="127"/>
      <c r="BW384" s="127"/>
    </row>
    <row r="385" spans="1:75" hidden="1" x14ac:dyDescent="0.2">
      <c r="A385" s="123" t="str">
        <f>'[2]2021 УГРЦТ'!A387</f>
        <v>ТП №27 школа 1  1982г.</v>
      </c>
      <c r="B385" s="124" t="str">
        <f>'[2]2021 УГРЦТ'!B387</f>
        <v>00000544</v>
      </c>
      <c r="C385" s="124" t="str">
        <f>VLOOKUP(A:A,'2023-2027'!A:L,1,+FALSE)</f>
        <v>ТП №27 школа 1  1982г.</v>
      </c>
      <c r="D385" s="124" t="str">
        <f>'[2]2021 УГРЦТ'!C387</f>
        <v>ПЕРЕДАЧА</v>
      </c>
      <c r="E385" s="124" t="str">
        <f>'[2]2021 УГРЦТ'!D387</f>
        <v>Здания</v>
      </c>
      <c r="F385" s="124" t="str">
        <f>'[2]2021 УГРЦТ'!E387</f>
        <v>31.01.1982</v>
      </c>
      <c r="G385" s="124" t="str">
        <f>'[2]2021 УГРЦТ'!F387</f>
        <v>Цех электрических сетей</v>
      </c>
      <c r="H385" s="124">
        <f>'[2]2021 УГРЦТ'!AC387</f>
        <v>708</v>
      </c>
      <c r="I385" s="107">
        <f>'[2]2021 УГРЦТ'!X387</f>
        <v>81054</v>
      </c>
      <c r="J385" s="107">
        <f>'[2]2021 УГРЦТ'!Y387</f>
        <v>54878.406610169492</v>
      </c>
      <c r="K385" s="107">
        <f>'[2]2021 УГРЦТ'!Z387</f>
        <v>26175.593389830508</v>
      </c>
      <c r="L385" s="125" t="e">
        <f>SUMIF([2]облаг!$B$2:$B$259,B385,[2]облаг!$D$2:$D$259)</f>
        <v>#VALUE!</v>
      </c>
      <c r="M385" s="107">
        <f t="shared" si="326"/>
        <v>114.48305084745763</v>
      </c>
      <c r="N385" s="107">
        <f t="shared" si="327"/>
        <v>1373.7966101694915</v>
      </c>
      <c r="O385" s="107">
        <f t="shared" si="328"/>
        <v>26061.11033898305</v>
      </c>
      <c r="P385" s="107">
        <f t="shared" si="329"/>
        <v>25946.627288135591</v>
      </c>
      <c r="Q385" s="107">
        <f t="shared" si="335"/>
        <v>25832.144237288132</v>
      </c>
      <c r="R385" s="107">
        <f t="shared" si="336"/>
        <v>25717.661186440673</v>
      </c>
      <c r="S385" s="107">
        <f t="shared" si="337"/>
        <v>25603.178135593214</v>
      </c>
      <c r="T385" s="107">
        <f t="shared" si="338"/>
        <v>25488.695084745756</v>
      </c>
      <c r="U385" s="107">
        <f t="shared" si="339"/>
        <v>25374.212033898297</v>
      </c>
      <c r="V385" s="107">
        <f t="shared" si="340"/>
        <v>25259.728983050838</v>
      </c>
      <c r="W385" s="107">
        <f t="shared" si="341"/>
        <v>25145.245932203379</v>
      </c>
      <c r="X385" s="107">
        <f t="shared" si="342"/>
        <v>25030.76288135592</v>
      </c>
      <c r="Y385" s="107">
        <f t="shared" si="343"/>
        <v>24916.279830508462</v>
      </c>
      <c r="Z385" s="107">
        <f t="shared" si="344"/>
        <v>24801.796779661003</v>
      </c>
      <c r="AA385" s="107">
        <f t="shared" si="387"/>
        <v>560.75129186440665</v>
      </c>
      <c r="AB385" s="107"/>
      <c r="AC385" s="107">
        <f t="shared" si="345"/>
        <v>1373.7966101694915</v>
      </c>
      <c r="AD385" s="107">
        <f t="shared" si="346"/>
        <v>24687.313728813544</v>
      </c>
      <c r="AE385" s="107">
        <f t="shared" si="347"/>
        <v>24572.830677966085</v>
      </c>
      <c r="AF385" s="107">
        <f t="shared" si="348"/>
        <v>24458.347627118626</v>
      </c>
      <c r="AG385" s="107">
        <f t="shared" si="349"/>
        <v>24343.864576271168</v>
      </c>
      <c r="AH385" s="107">
        <f t="shared" si="350"/>
        <v>24229.381525423709</v>
      </c>
      <c r="AI385" s="107">
        <f t="shared" si="351"/>
        <v>24114.89847457625</v>
      </c>
      <c r="AJ385" s="107">
        <f t="shared" si="352"/>
        <v>24000.415423728791</v>
      </c>
      <c r="AK385" s="107">
        <f t="shared" si="353"/>
        <v>23885.932372881332</v>
      </c>
      <c r="AL385" s="107">
        <f t="shared" si="354"/>
        <v>23771.449322033874</v>
      </c>
      <c r="AM385" s="107">
        <f t="shared" si="355"/>
        <v>23656.966271186415</v>
      </c>
      <c r="AN385" s="107">
        <f t="shared" si="356"/>
        <v>23542.483220338956</v>
      </c>
      <c r="AO385" s="107">
        <f t="shared" si="357"/>
        <v>23428.000169491497</v>
      </c>
      <c r="AP385" s="107">
        <f t="shared" si="388"/>
        <v>530.5277664406774</v>
      </c>
      <c r="AQ385" s="126"/>
      <c r="AR385" s="107">
        <f t="shared" si="358"/>
        <v>1373.7966101694915</v>
      </c>
      <c r="AS385" s="107">
        <f t="shared" si="402"/>
        <v>23313.517118644038</v>
      </c>
      <c r="AT385" s="107">
        <f t="shared" si="403"/>
        <v>23199.03406779658</v>
      </c>
      <c r="AU385" s="107">
        <f t="shared" si="404"/>
        <v>23084.551016949121</v>
      </c>
      <c r="AV385" s="107">
        <f t="shared" si="405"/>
        <v>22970.067966101662</v>
      </c>
      <c r="AW385" s="107">
        <f t="shared" si="406"/>
        <v>22855.584915254203</v>
      </c>
      <c r="AX385" s="107">
        <f t="shared" si="407"/>
        <v>22741.101864406744</v>
      </c>
      <c r="AY385" s="107">
        <f t="shared" si="408"/>
        <v>22626.618813559286</v>
      </c>
      <c r="AZ385" s="107">
        <f t="shared" si="409"/>
        <v>22512.135762711827</v>
      </c>
      <c r="BA385" s="107">
        <f t="shared" si="410"/>
        <v>22397.652711864368</v>
      </c>
      <c r="BB385" s="107">
        <f t="shared" si="411"/>
        <v>22283.169661016909</v>
      </c>
      <c r="BC385" s="107">
        <f t="shared" si="412"/>
        <v>22168.68661016945</v>
      </c>
      <c r="BD385" s="107">
        <f t="shared" si="413"/>
        <v>22054.203559321992</v>
      </c>
      <c r="BE385" s="107">
        <f t="shared" si="389"/>
        <v>500.30424101694837</v>
      </c>
      <c r="BF385" s="127"/>
      <c r="BG385" s="127"/>
      <c r="BH385" s="127"/>
      <c r="BI385" s="127"/>
      <c r="BJ385" s="127"/>
      <c r="BK385" s="127"/>
      <c r="BL385" s="127"/>
      <c r="BM385" s="127"/>
      <c r="BN385" s="127"/>
      <c r="BO385" s="127"/>
      <c r="BP385" s="127"/>
      <c r="BQ385" s="127"/>
      <c r="BR385" s="127"/>
      <c r="BS385" s="127"/>
      <c r="BT385" s="127"/>
      <c r="BU385" s="127"/>
      <c r="BV385" s="127"/>
      <c r="BW385" s="127"/>
    </row>
    <row r="386" spans="1:75" hidden="1" x14ac:dyDescent="0.2">
      <c r="A386" s="123" t="str">
        <f>'[2]2021 УГРЦТ'!A388</f>
        <v>ТП №28/1 "Юбилейная"</v>
      </c>
      <c r="B386" s="124" t="str">
        <f>'[2]2021 УГРЦТ'!B388</f>
        <v>000001646</v>
      </c>
      <c r="C386" s="124" t="str">
        <f>VLOOKUP(A:A,'2023-2027'!A:L,1,+FALSE)</f>
        <v>ТП №28/1 "Юбилейная"</v>
      </c>
      <c r="D386" s="124" t="str">
        <f>'[2]2021 УГРЦТ'!C388</f>
        <v>ПЕРЕДАЧА</v>
      </c>
      <c r="E386" s="124" t="str">
        <f>'[2]2021 УГРЦТ'!D388</f>
        <v>Сооружения</v>
      </c>
      <c r="F386" s="124" t="str">
        <f>'[2]2021 УГРЦТ'!E388</f>
        <v>31.12.2014</v>
      </c>
      <c r="G386" s="124" t="str">
        <f>'[2]2021 УГРЦТ'!F388</f>
        <v>Цех электрических сетей</v>
      </c>
      <c r="H386" s="124">
        <f>'[2]2021 УГРЦТ'!AC388</f>
        <v>240</v>
      </c>
      <c r="I386" s="107">
        <f>'[2]2021 УГРЦТ'!X388</f>
        <v>1622740.26</v>
      </c>
      <c r="J386" s="107">
        <f>'[2]2021 УГРЦТ'!Y388</f>
        <v>567959.25300000003</v>
      </c>
      <c r="K386" s="107">
        <f>'[2]2021 УГРЦТ'!Z388</f>
        <v>1054781.007</v>
      </c>
      <c r="L386" s="125" t="e">
        <f>SUMIF([2]облаг!$B$2:$B$259,B386,[2]облаг!$D$2:$D$259)</f>
        <v>#VALUE!</v>
      </c>
      <c r="M386" s="107">
        <f t="shared" si="326"/>
        <v>6761.4177499999996</v>
      </c>
      <c r="N386" s="107">
        <f t="shared" si="327"/>
        <v>81137.012999999992</v>
      </c>
      <c r="O386" s="107">
        <f t="shared" si="328"/>
        <v>1048019.58925</v>
      </c>
      <c r="P386" s="107">
        <f t="shared" si="329"/>
        <v>1041258.1714999999</v>
      </c>
      <c r="Q386" s="107">
        <f t="shared" si="335"/>
        <v>1034496.7537499999</v>
      </c>
      <c r="R386" s="107">
        <f t="shared" si="336"/>
        <v>1027735.3359999999</v>
      </c>
      <c r="S386" s="107">
        <f t="shared" si="337"/>
        <v>1020973.9182499999</v>
      </c>
      <c r="T386" s="107">
        <f t="shared" si="338"/>
        <v>1014212.5004999998</v>
      </c>
      <c r="U386" s="107">
        <f t="shared" si="339"/>
        <v>1007451.0827499998</v>
      </c>
      <c r="V386" s="107">
        <f t="shared" si="340"/>
        <v>1000689.6649999998</v>
      </c>
      <c r="W386" s="107">
        <f t="shared" si="341"/>
        <v>993928.24724999978</v>
      </c>
      <c r="X386" s="107">
        <f t="shared" si="342"/>
        <v>987166.82949999976</v>
      </c>
      <c r="Y386" s="107">
        <f t="shared" si="343"/>
        <v>980405.41174999974</v>
      </c>
      <c r="Z386" s="107">
        <f t="shared" si="344"/>
        <v>973643.99399999972</v>
      </c>
      <c r="AA386" s="107">
        <f t="shared" si="387"/>
        <v>22312.675010999992</v>
      </c>
      <c r="AB386" s="107"/>
      <c r="AC386" s="107">
        <f t="shared" si="345"/>
        <v>81137.012999999992</v>
      </c>
      <c r="AD386" s="107">
        <f t="shared" si="346"/>
        <v>966882.57624999969</v>
      </c>
      <c r="AE386" s="107">
        <f t="shared" si="347"/>
        <v>960121.15849999967</v>
      </c>
      <c r="AF386" s="107">
        <f t="shared" si="348"/>
        <v>953359.74074999965</v>
      </c>
      <c r="AG386" s="107">
        <f t="shared" si="349"/>
        <v>946598.32299999963</v>
      </c>
      <c r="AH386" s="107">
        <f t="shared" si="350"/>
        <v>939836.9052499996</v>
      </c>
      <c r="AI386" s="107">
        <f t="shared" si="351"/>
        <v>933075.48749999958</v>
      </c>
      <c r="AJ386" s="107">
        <f t="shared" si="352"/>
        <v>926314.06974999956</v>
      </c>
      <c r="AK386" s="107">
        <f t="shared" si="353"/>
        <v>919552.65199999954</v>
      </c>
      <c r="AL386" s="107">
        <f t="shared" si="354"/>
        <v>912791.23424999951</v>
      </c>
      <c r="AM386" s="107">
        <f t="shared" si="355"/>
        <v>906029.81649999949</v>
      </c>
      <c r="AN386" s="107">
        <f t="shared" si="356"/>
        <v>899268.39874999947</v>
      </c>
      <c r="AO386" s="107">
        <f t="shared" si="357"/>
        <v>892506.98099999945</v>
      </c>
      <c r="AP386" s="107">
        <f t="shared" si="388"/>
        <v>20527.660724999987</v>
      </c>
      <c r="AQ386" s="126"/>
      <c r="AR386" s="107">
        <f t="shared" si="358"/>
        <v>81137.012999999992</v>
      </c>
      <c r="AS386" s="107">
        <f t="shared" si="402"/>
        <v>885745.56324999942</v>
      </c>
      <c r="AT386" s="107">
        <f t="shared" si="403"/>
        <v>878984.1454999994</v>
      </c>
      <c r="AU386" s="107">
        <f t="shared" si="404"/>
        <v>872222.72774999938</v>
      </c>
      <c r="AV386" s="107">
        <f t="shared" si="405"/>
        <v>865461.30999999936</v>
      </c>
      <c r="AW386" s="107">
        <f t="shared" si="406"/>
        <v>858699.89224999934</v>
      </c>
      <c r="AX386" s="107">
        <f t="shared" si="407"/>
        <v>851938.47449999931</v>
      </c>
      <c r="AY386" s="107">
        <f t="shared" si="408"/>
        <v>845177.05674999929</v>
      </c>
      <c r="AZ386" s="107">
        <f t="shared" si="409"/>
        <v>838415.63899999927</v>
      </c>
      <c r="BA386" s="107">
        <f t="shared" si="410"/>
        <v>831654.22124999925</v>
      </c>
      <c r="BB386" s="107">
        <f t="shared" si="411"/>
        <v>824892.80349999922</v>
      </c>
      <c r="BC386" s="107">
        <f t="shared" si="412"/>
        <v>818131.3857499992</v>
      </c>
      <c r="BD386" s="107">
        <f t="shared" si="413"/>
        <v>811369.96799999918</v>
      </c>
      <c r="BE386" s="107">
        <f t="shared" si="389"/>
        <v>18742.646438999986</v>
      </c>
      <c r="BF386" s="127"/>
      <c r="BG386" s="127"/>
      <c r="BH386" s="127"/>
      <c r="BI386" s="127"/>
      <c r="BJ386" s="127"/>
      <c r="BK386" s="127"/>
      <c r="BL386" s="127"/>
      <c r="BM386" s="127"/>
      <c r="BN386" s="127"/>
      <c r="BO386" s="127"/>
      <c r="BP386" s="127"/>
      <c r="BQ386" s="127"/>
      <c r="BR386" s="127"/>
      <c r="BS386" s="127"/>
      <c r="BT386" s="127"/>
      <c r="BU386" s="127"/>
      <c r="BV386" s="127"/>
      <c r="BW386" s="127"/>
    </row>
    <row r="387" spans="1:75" hidden="1" x14ac:dyDescent="0.2">
      <c r="A387" s="123" t="str">
        <f>'[2]2021 УГРЦТ'!A389</f>
        <v>ТП №3 больница 1988г.</v>
      </c>
      <c r="B387" s="124" t="str">
        <f>'[2]2021 УГРЦТ'!B389</f>
        <v>00000126</v>
      </c>
      <c r="C387" s="124" t="str">
        <f>VLOOKUP(A:A,'2023-2027'!A:L,1,+FALSE)</f>
        <v>ТП №3 больница 1988г.</v>
      </c>
      <c r="D387" s="124" t="str">
        <f>'[2]2021 УГРЦТ'!C389</f>
        <v>ПЕРЕДАЧА</v>
      </c>
      <c r="E387" s="124" t="str">
        <f>'[2]2021 УГРЦТ'!D389</f>
        <v>Здания</v>
      </c>
      <c r="F387" s="124" t="str">
        <f>'[2]2021 УГРЦТ'!E389</f>
        <v>31.01.1988</v>
      </c>
      <c r="G387" s="124" t="str">
        <f>'[2]2021 УГРЦТ'!F389</f>
        <v>Цех электрических сетей</v>
      </c>
      <c r="H387" s="124">
        <f>'[2]2021 УГРЦТ'!AC389</f>
        <v>708</v>
      </c>
      <c r="I387" s="107">
        <f>'[2]2021 УГРЦТ'!X389</f>
        <v>139755</v>
      </c>
      <c r="J387" s="107">
        <f>'[2]2021 УГРЦТ'!Y389</f>
        <v>79241.99881355933</v>
      </c>
      <c r="K387" s="107">
        <f>'[2]2021 УГРЦТ'!Z389</f>
        <v>60513.00118644067</v>
      </c>
      <c r="L387" s="125" t="e">
        <f>SUMIF([2]облаг!$B$2:$B$259,B387,[2]облаг!$D$2:$D$259)</f>
        <v>#VALUE!</v>
      </c>
      <c r="M387" s="107">
        <f t="shared" si="326"/>
        <v>197.39406779661016</v>
      </c>
      <c r="N387" s="107">
        <f t="shared" si="327"/>
        <v>2368.7288135593217</v>
      </c>
      <c r="O387" s="107">
        <f t="shared" si="328"/>
        <v>60315.60711864406</v>
      </c>
      <c r="P387" s="107">
        <f t="shared" si="329"/>
        <v>60118.213050847451</v>
      </c>
      <c r="Q387" s="107">
        <f t="shared" si="335"/>
        <v>59920.818983050842</v>
      </c>
      <c r="R387" s="107">
        <f t="shared" si="336"/>
        <v>59723.424915254232</v>
      </c>
      <c r="S387" s="107">
        <f t="shared" si="337"/>
        <v>59526.030847457623</v>
      </c>
      <c r="T387" s="107">
        <f t="shared" si="338"/>
        <v>59328.636779661014</v>
      </c>
      <c r="U387" s="107">
        <f t="shared" si="339"/>
        <v>59131.242711864405</v>
      </c>
      <c r="V387" s="107">
        <f t="shared" si="340"/>
        <v>58933.848644067795</v>
      </c>
      <c r="W387" s="107">
        <f t="shared" si="341"/>
        <v>58736.454576271186</v>
      </c>
      <c r="X387" s="107">
        <f t="shared" si="342"/>
        <v>58539.060508474577</v>
      </c>
      <c r="Y387" s="107">
        <f t="shared" si="343"/>
        <v>58341.666440677967</v>
      </c>
      <c r="Z387" s="107">
        <f t="shared" si="344"/>
        <v>58144.272372881358</v>
      </c>
      <c r="AA387" s="107">
        <f t="shared" si="387"/>
        <v>1305.2300091525424</v>
      </c>
      <c r="AB387" s="107"/>
      <c r="AC387" s="107">
        <f t="shared" si="345"/>
        <v>2368.7288135593217</v>
      </c>
      <c r="AD387" s="107">
        <f t="shared" si="346"/>
        <v>57946.878305084749</v>
      </c>
      <c r="AE387" s="107">
        <f t="shared" si="347"/>
        <v>57749.484237288139</v>
      </c>
      <c r="AF387" s="107">
        <f t="shared" si="348"/>
        <v>57552.09016949153</v>
      </c>
      <c r="AG387" s="107">
        <f t="shared" si="349"/>
        <v>57354.696101694921</v>
      </c>
      <c r="AH387" s="107">
        <f t="shared" si="350"/>
        <v>57157.302033898311</v>
      </c>
      <c r="AI387" s="107">
        <f t="shared" si="351"/>
        <v>56959.907966101702</v>
      </c>
      <c r="AJ387" s="107">
        <f t="shared" si="352"/>
        <v>56762.513898305093</v>
      </c>
      <c r="AK387" s="107">
        <f t="shared" si="353"/>
        <v>56565.119830508484</v>
      </c>
      <c r="AL387" s="107">
        <f t="shared" si="354"/>
        <v>56367.725762711874</v>
      </c>
      <c r="AM387" s="107">
        <f t="shared" si="355"/>
        <v>56170.331694915265</v>
      </c>
      <c r="AN387" s="107">
        <f t="shared" si="356"/>
        <v>55972.937627118656</v>
      </c>
      <c r="AO387" s="107">
        <f t="shared" si="357"/>
        <v>55775.543559322046</v>
      </c>
      <c r="AP387" s="107">
        <f t="shared" si="388"/>
        <v>1253.1179752542373</v>
      </c>
      <c r="AQ387" s="126"/>
      <c r="AR387" s="107">
        <f t="shared" si="358"/>
        <v>2368.7288135593217</v>
      </c>
      <c r="AS387" s="107">
        <f t="shared" si="402"/>
        <v>55578.149491525437</v>
      </c>
      <c r="AT387" s="107">
        <f t="shared" si="403"/>
        <v>55380.755423728828</v>
      </c>
      <c r="AU387" s="107">
        <f t="shared" si="404"/>
        <v>55183.361355932218</v>
      </c>
      <c r="AV387" s="107">
        <f t="shared" si="405"/>
        <v>54985.967288135609</v>
      </c>
      <c r="AW387" s="107">
        <f t="shared" si="406"/>
        <v>54788.573220339</v>
      </c>
      <c r="AX387" s="107">
        <f t="shared" si="407"/>
        <v>54591.179152542391</v>
      </c>
      <c r="AY387" s="107">
        <f t="shared" si="408"/>
        <v>54393.785084745781</v>
      </c>
      <c r="AZ387" s="107">
        <f t="shared" si="409"/>
        <v>54196.391016949172</v>
      </c>
      <c r="BA387" s="107">
        <f t="shared" si="410"/>
        <v>53998.996949152563</v>
      </c>
      <c r="BB387" s="107">
        <f t="shared" si="411"/>
        <v>53801.602881355953</v>
      </c>
      <c r="BC387" s="107">
        <f t="shared" si="412"/>
        <v>53604.208813559344</v>
      </c>
      <c r="BD387" s="107">
        <f t="shared" si="413"/>
        <v>53406.814745762735</v>
      </c>
      <c r="BE387" s="107">
        <f t="shared" si="389"/>
        <v>1201.0059413559325</v>
      </c>
      <c r="BF387" s="127"/>
      <c r="BG387" s="127"/>
      <c r="BH387" s="127"/>
      <c r="BI387" s="127"/>
      <c r="BJ387" s="127"/>
      <c r="BK387" s="127"/>
      <c r="BL387" s="127"/>
      <c r="BM387" s="127"/>
      <c r="BN387" s="127"/>
      <c r="BO387" s="127"/>
      <c r="BP387" s="127"/>
      <c r="BQ387" s="127"/>
      <c r="BR387" s="127"/>
      <c r="BS387" s="127"/>
      <c r="BT387" s="127"/>
      <c r="BU387" s="127"/>
      <c r="BV387" s="127"/>
      <c r="BW387" s="127"/>
    </row>
    <row r="388" spans="1:75" ht="22.5" hidden="1" x14ac:dyDescent="0.2">
      <c r="A388" s="123" t="str">
        <f>'[2]2021 УГРЦТ'!A390</f>
        <v>ТП №31 Озерная  водонасосная 1986г</v>
      </c>
      <c r="B388" s="124" t="str">
        <f>'[2]2021 УГРЦТ'!B390</f>
        <v>00000585</v>
      </c>
      <c r="C388" s="124" t="str">
        <f>VLOOKUP(A:A,'2023-2027'!A:L,1,+FALSE)</f>
        <v>ТП №31 Озерная  водонасосная 1986г</v>
      </c>
      <c r="D388" s="124" t="str">
        <f>'[2]2021 УГРЦТ'!C390</f>
        <v>ПЕРЕДАЧА</v>
      </c>
      <c r="E388" s="124" t="str">
        <f>'[2]2021 УГРЦТ'!D390</f>
        <v>Здания</v>
      </c>
      <c r="F388" s="124" t="str">
        <f>'[2]2021 УГРЦТ'!E390</f>
        <v>01.01.1986</v>
      </c>
      <c r="G388" s="124" t="str">
        <f>'[2]2021 УГРЦТ'!F390</f>
        <v>Цех электрических сетей</v>
      </c>
      <c r="H388" s="124">
        <f>'[2]2021 УГРЦТ'!AC390</f>
        <v>708</v>
      </c>
      <c r="I388" s="107">
        <f>'[2]2021 УГРЦТ'!X390</f>
        <v>138425</v>
      </c>
      <c r="J388" s="107">
        <f>'[2]2021 УГРЦТ'!Y390</f>
        <v>82639.53644067797</v>
      </c>
      <c r="K388" s="107">
        <f>'[2]2021 УГРЦТ'!Z390</f>
        <v>55785.46355932203</v>
      </c>
      <c r="L388" s="125" t="e">
        <f>SUMIF([2]облаг!$B$2:$B$259,B388,[2]облаг!$D$2:$D$259)</f>
        <v>#VALUE!</v>
      </c>
      <c r="M388" s="107">
        <f t="shared" si="326"/>
        <v>195.51553672316385</v>
      </c>
      <c r="N388" s="107">
        <f t="shared" si="327"/>
        <v>2346.1864406779659</v>
      </c>
      <c r="O388" s="107">
        <f t="shared" si="328"/>
        <v>55589.948022598866</v>
      </c>
      <c r="P388" s="107">
        <f t="shared" si="329"/>
        <v>55394.432485875703</v>
      </c>
      <c r="Q388" s="107">
        <f t="shared" si="335"/>
        <v>55198.916949152539</v>
      </c>
      <c r="R388" s="107">
        <f t="shared" si="336"/>
        <v>55003.401412429375</v>
      </c>
      <c r="S388" s="107">
        <f t="shared" si="337"/>
        <v>54807.885875706212</v>
      </c>
      <c r="T388" s="107">
        <f t="shared" si="338"/>
        <v>54612.370338983048</v>
      </c>
      <c r="U388" s="107">
        <f t="shared" si="339"/>
        <v>54416.854802259884</v>
      </c>
      <c r="V388" s="107">
        <f t="shared" si="340"/>
        <v>54221.339265536721</v>
      </c>
      <c r="W388" s="107">
        <f t="shared" si="341"/>
        <v>54025.823728813557</v>
      </c>
      <c r="X388" s="107">
        <f t="shared" si="342"/>
        <v>53830.308192090393</v>
      </c>
      <c r="Y388" s="107">
        <f t="shared" si="343"/>
        <v>53634.79265536723</v>
      </c>
      <c r="Z388" s="107">
        <f t="shared" si="344"/>
        <v>53439.277118644066</v>
      </c>
      <c r="AA388" s="107">
        <f t="shared" si="387"/>
        <v>1201.4721474576272</v>
      </c>
      <c r="AB388" s="107"/>
      <c r="AC388" s="107">
        <f t="shared" si="345"/>
        <v>2346.1864406779659</v>
      </c>
      <c r="AD388" s="107">
        <f t="shared" si="346"/>
        <v>53243.761581920902</v>
      </c>
      <c r="AE388" s="107">
        <f t="shared" si="347"/>
        <v>53048.246045197739</v>
      </c>
      <c r="AF388" s="107">
        <f t="shared" si="348"/>
        <v>52852.730508474575</v>
      </c>
      <c r="AG388" s="107">
        <f t="shared" si="349"/>
        <v>52657.214971751411</v>
      </c>
      <c r="AH388" s="107">
        <f t="shared" si="350"/>
        <v>52461.699435028248</v>
      </c>
      <c r="AI388" s="107">
        <f t="shared" si="351"/>
        <v>52266.183898305084</v>
      </c>
      <c r="AJ388" s="107">
        <f t="shared" si="352"/>
        <v>52070.66836158192</v>
      </c>
      <c r="AK388" s="107">
        <f t="shared" si="353"/>
        <v>51875.152824858757</v>
      </c>
      <c r="AL388" s="107">
        <f t="shared" si="354"/>
        <v>51679.637288135593</v>
      </c>
      <c r="AM388" s="107">
        <f t="shared" si="355"/>
        <v>51484.121751412429</v>
      </c>
      <c r="AN388" s="107">
        <f t="shared" si="356"/>
        <v>51288.606214689265</v>
      </c>
      <c r="AO388" s="107">
        <f t="shared" si="357"/>
        <v>51093.090677966102</v>
      </c>
      <c r="AP388" s="107">
        <f t="shared" si="388"/>
        <v>1149.8560457627118</v>
      </c>
      <c r="AQ388" s="126"/>
      <c r="AR388" s="107">
        <f t="shared" si="358"/>
        <v>2346.1864406779659</v>
      </c>
      <c r="AS388" s="107">
        <f t="shared" si="402"/>
        <v>50897.575141242938</v>
      </c>
      <c r="AT388" s="107">
        <f t="shared" si="403"/>
        <v>50702.059604519774</v>
      </c>
      <c r="AU388" s="107">
        <f t="shared" si="404"/>
        <v>50506.544067796611</v>
      </c>
      <c r="AV388" s="107">
        <f t="shared" si="405"/>
        <v>50311.028531073447</v>
      </c>
      <c r="AW388" s="107">
        <f t="shared" si="406"/>
        <v>50115.512994350283</v>
      </c>
      <c r="AX388" s="107">
        <f t="shared" si="407"/>
        <v>49919.99745762712</v>
      </c>
      <c r="AY388" s="107">
        <f t="shared" si="408"/>
        <v>49724.481920903956</v>
      </c>
      <c r="AZ388" s="107">
        <f t="shared" si="409"/>
        <v>49528.966384180792</v>
      </c>
      <c r="BA388" s="107">
        <f t="shared" si="410"/>
        <v>49333.450847457629</v>
      </c>
      <c r="BB388" s="107">
        <f t="shared" si="411"/>
        <v>49137.935310734465</v>
      </c>
      <c r="BC388" s="107">
        <f t="shared" si="412"/>
        <v>48942.419774011301</v>
      </c>
      <c r="BD388" s="107">
        <f t="shared" si="413"/>
        <v>48746.904237288138</v>
      </c>
      <c r="BE388" s="107">
        <f t="shared" si="389"/>
        <v>1098.2399440677968</v>
      </c>
      <c r="BF388" s="127"/>
      <c r="BG388" s="127"/>
      <c r="BH388" s="127"/>
      <c r="BI388" s="127"/>
      <c r="BJ388" s="127"/>
      <c r="BK388" s="127"/>
      <c r="BL388" s="127"/>
      <c r="BM388" s="127"/>
      <c r="BN388" s="127"/>
      <c r="BO388" s="127"/>
      <c r="BP388" s="127"/>
      <c r="BQ388" s="127"/>
      <c r="BR388" s="127"/>
      <c r="BS388" s="127"/>
      <c r="BT388" s="127"/>
      <c r="BU388" s="127"/>
      <c r="BV388" s="127"/>
      <c r="BW388" s="127"/>
    </row>
    <row r="389" spans="1:75" hidden="1" x14ac:dyDescent="0.2">
      <c r="A389" s="123" t="str">
        <f>'[2]2021 УГРЦТ'!A391</f>
        <v>ТП №32 ул Ленина 41  1985г.</v>
      </c>
      <c r="B389" s="124" t="str">
        <f>'[2]2021 УГРЦТ'!B391</f>
        <v>00000588</v>
      </c>
      <c r="C389" s="124" t="str">
        <f>VLOOKUP(A:A,'2023-2027'!A:L,1,+FALSE)</f>
        <v>ТП №32 ул Ленина 41  1985г.</v>
      </c>
      <c r="D389" s="124" t="str">
        <f>'[2]2021 УГРЦТ'!C391</f>
        <v>ПЕРЕДАЧА</v>
      </c>
      <c r="E389" s="124" t="str">
        <f>'[2]2021 УГРЦТ'!D391</f>
        <v>Здания</v>
      </c>
      <c r="F389" s="124" t="str">
        <f>'[2]2021 УГРЦТ'!E391</f>
        <v>31.01.1985</v>
      </c>
      <c r="G389" s="124" t="str">
        <f>'[2]2021 УГРЦТ'!F391</f>
        <v>Цех электрических сетей</v>
      </c>
      <c r="H389" s="124">
        <f>'[2]2021 УГРЦТ'!AC391</f>
        <v>708</v>
      </c>
      <c r="I389" s="107">
        <f>'[2]2021 УГРЦТ'!X391</f>
        <v>104326</v>
      </c>
      <c r="J389" s="107">
        <f>'[2]2021 УГРЦТ'!Y391</f>
        <v>64374.107288135594</v>
      </c>
      <c r="K389" s="107">
        <f>'[2]2021 УГРЦТ'!Z391</f>
        <v>39951.892711864406</v>
      </c>
      <c r="L389" s="125" t="e">
        <f>SUMIF([2]облаг!$B$2:$B$259,B389,[2]облаг!$D$2:$D$259)</f>
        <v>#VALUE!</v>
      </c>
      <c r="M389" s="107">
        <f t="shared" si="326"/>
        <v>147.35310734463278</v>
      </c>
      <c r="N389" s="107">
        <f t="shared" si="327"/>
        <v>1768.2372881355932</v>
      </c>
      <c r="O389" s="107">
        <f t="shared" si="328"/>
        <v>39804.53960451977</v>
      </c>
      <c r="P389" s="107">
        <f t="shared" si="329"/>
        <v>39657.186497175135</v>
      </c>
      <c r="Q389" s="107">
        <f t="shared" si="335"/>
        <v>39509.833389830499</v>
      </c>
      <c r="R389" s="107">
        <f t="shared" si="336"/>
        <v>39362.480282485863</v>
      </c>
      <c r="S389" s="107">
        <f t="shared" si="337"/>
        <v>39215.127175141228</v>
      </c>
      <c r="T389" s="107">
        <f t="shared" si="338"/>
        <v>39067.774067796592</v>
      </c>
      <c r="U389" s="107">
        <f t="shared" si="339"/>
        <v>38920.420960451956</v>
      </c>
      <c r="V389" s="107">
        <f t="shared" si="340"/>
        <v>38773.067853107321</v>
      </c>
      <c r="W389" s="107">
        <f t="shared" si="341"/>
        <v>38625.714745762685</v>
      </c>
      <c r="X389" s="107">
        <f t="shared" si="342"/>
        <v>38478.36163841805</v>
      </c>
      <c r="Y389" s="107">
        <f t="shared" si="343"/>
        <v>38331.008531073414</v>
      </c>
      <c r="Z389" s="107">
        <f t="shared" si="344"/>
        <v>38183.655423728778</v>
      </c>
      <c r="AA389" s="107">
        <f t="shared" si="387"/>
        <v>859.49102949152484</v>
      </c>
      <c r="AB389" s="107"/>
      <c r="AC389" s="107">
        <f t="shared" si="345"/>
        <v>1768.2372881355932</v>
      </c>
      <c r="AD389" s="107">
        <f t="shared" si="346"/>
        <v>38036.302316384143</v>
      </c>
      <c r="AE389" s="107">
        <f t="shared" si="347"/>
        <v>37888.949209039507</v>
      </c>
      <c r="AF389" s="107">
        <f t="shared" si="348"/>
        <v>37741.596101694871</v>
      </c>
      <c r="AG389" s="107">
        <f t="shared" si="349"/>
        <v>37594.242994350236</v>
      </c>
      <c r="AH389" s="107">
        <f t="shared" si="350"/>
        <v>37446.8898870056</v>
      </c>
      <c r="AI389" s="107">
        <f t="shared" si="351"/>
        <v>37299.536779660964</v>
      </c>
      <c r="AJ389" s="107">
        <f t="shared" si="352"/>
        <v>37152.183672316329</v>
      </c>
      <c r="AK389" s="107">
        <f t="shared" si="353"/>
        <v>37004.830564971693</v>
      </c>
      <c r="AL389" s="107">
        <f t="shared" si="354"/>
        <v>36857.477457627057</v>
      </c>
      <c r="AM389" s="107">
        <f t="shared" si="355"/>
        <v>36710.124350282422</v>
      </c>
      <c r="AN389" s="107">
        <f t="shared" si="356"/>
        <v>36562.771242937786</v>
      </c>
      <c r="AO389" s="107">
        <f t="shared" si="357"/>
        <v>36415.418135593151</v>
      </c>
      <c r="AP389" s="107">
        <f t="shared" si="388"/>
        <v>820.58980915254097</v>
      </c>
      <c r="AQ389" s="126"/>
      <c r="AR389" s="107">
        <f t="shared" si="358"/>
        <v>1768.2372881355932</v>
      </c>
      <c r="AS389" s="107">
        <f t="shared" si="402"/>
        <v>36268.065028248515</v>
      </c>
      <c r="AT389" s="107">
        <f t="shared" si="403"/>
        <v>36120.711920903879</v>
      </c>
      <c r="AU389" s="107">
        <f t="shared" si="404"/>
        <v>35973.358813559244</v>
      </c>
      <c r="AV389" s="107">
        <f t="shared" si="405"/>
        <v>35826.005706214608</v>
      </c>
      <c r="AW389" s="107">
        <f t="shared" si="406"/>
        <v>35678.652598869972</v>
      </c>
      <c r="AX389" s="107">
        <f t="shared" si="407"/>
        <v>35531.299491525337</v>
      </c>
      <c r="AY389" s="107">
        <f t="shared" si="408"/>
        <v>35383.946384180701</v>
      </c>
      <c r="AZ389" s="107">
        <f t="shared" si="409"/>
        <v>35236.593276836065</v>
      </c>
      <c r="BA389" s="107">
        <f t="shared" si="410"/>
        <v>35089.24016949143</v>
      </c>
      <c r="BB389" s="107">
        <f t="shared" si="411"/>
        <v>34941.887062146794</v>
      </c>
      <c r="BC389" s="107">
        <f t="shared" si="412"/>
        <v>34794.533954802158</v>
      </c>
      <c r="BD389" s="107">
        <f t="shared" si="413"/>
        <v>34647.180847457523</v>
      </c>
      <c r="BE389" s="107">
        <f t="shared" si="389"/>
        <v>781.6885888135572</v>
      </c>
      <c r="BF389" s="127"/>
      <c r="BG389" s="127"/>
      <c r="BH389" s="127"/>
      <c r="BI389" s="127"/>
      <c r="BJ389" s="127"/>
      <c r="BK389" s="127"/>
      <c r="BL389" s="127"/>
      <c r="BM389" s="127"/>
      <c r="BN389" s="127"/>
      <c r="BO389" s="127"/>
      <c r="BP389" s="127"/>
      <c r="BQ389" s="127"/>
      <c r="BR389" s="127"/>
      <c r="BS389" s="127"/>
      <c r="BT389" s="127"/>
      <c r="BU389" s="127"/>
      <c r="BV389" s="127"/>
      <c r="BW389" s="127"/>
    </row>
    <row r="390" spans="1:75" ht="22.5" hidden="1" x14ac:dyDescent="0.2">
      <c r="A390" s="123" t="str">
        <f>'[2]2021 УГРЦТ'!A392</f>
        <v>ТП №34 ул Южная 43а  ГКТП 1991г.</v>
      </c>
      <c r="B390" s="124" t="str">
        <f>'[2]2021 УГРЦТ'!B392</f>
        <v>00000223</v>
      </c>
      <c r="C390" s="124" t="str">
        <f>VLOOKUP(A:A,'2023-2027'!A:L,1,+FALSE)</f>
        <v>ТП №34 ул Южная 43а  ГКТП 1991г.</v>
      </c>
      <c r="D390" s="124" t="str">
        <f>'[2]2021 УГРЦТ'!C392</f>
        <v>ПЕРЕДАЧА</v>
      </c>
      <c r="E390" s="124" t="str">
        <f>'[2]2021 УГРЦТ'!D392</f>
        <v>Здания</v>
      </c>
      <c r="F390" s="124" t="str">
        <f>'[2]2021 УГРЦТ'!E392</f>
        <v>30.01.1991</v>
      </c>
      <c r="G390" s="124" t="str">
        <f>'[2]2021 УГРЦТ'!F392</f>
        <v>Цех электрических сетей</v>
      </c>
      <c r="H390" s="124">
        <v>708</v>
      </c>
      <c r="I390" s="107">
        <f>'[2]2021 УГРЦТ'!X392</f>
        <v>340105.33</v>
      </c>
      <c r="J390" s="107">
        <f>'[2]2021 УГРЦТ'!Y392</f>
        <v>268938.81</v>
      </c>
      <c r="K390" s="107">
        <f>'[2]2021 УГРЦТ'!Z392</f>
        <v>71166.520000000019</v>
      </c>
      <c r="L390" s="125" t="e">
        <f>SUMIF([2]облаг!$B$2:$B$259,B390,[2]облаг!$D$2:$D$259)</f>
        <v>#VALUE!</v>
      </c>
      <c r="M390" s="107">
        <f t="shared" ref="M390:M453" si="414">I390/H390</f>
        <v>480.37475988700567</v>
      </c>
      <c r="N390" s="107">
        <f t="shared" ref="N390:N453" si="415">M390*12</f>
        <v>5764.497118644068</v>
      </c>
      <c r="O390" s="107">
        <f t="shared" ref="O390:O453" si="416">K390-M390</f>
        <v>70686.145240113008</v>
      </c>
      <c r="P390" s="107">
        <f t="shared" ref="P390:P453" si="417">O390-M390</f>
        <v>70205.770480225998</v>
      </c>
      <c r="Q390" s="107">
        <f t="shared" si="335"/>
        <v>69725.395720338987</v>
      </c>
      <c r="R390" s="107">
        <f t="shared" si="336"/>
        <v>69245.020960451977</v>
      </c>
      <c r="S390" s="107">
        <f t="shared" si="337"/>
        <v>68764.646200564966</v>
      </c>
      <c r="T390" s="107">
        <f t="shared" si="338"/>
        <v>68284.271440677956</v>
      </c>
      <c r="U390" s="107">
        <f t="shared" si="339"/>
        <v>67803.896680790946</v>
      </c>
      <c r="V390" s="107">
        <f t="shared" si="340"/>
        <v>67323.521920903935</v>
      </c>
      <c r="W390" s="107">
        <f t="shared" si="341"/>
        <v>66843.147161016925</v>
      </c>
      <c r="X390" s="107">
        <f t="shared" si="342"/>
        <v>66362.772401129914</v>
      </c>
      <c r="Y390" s="107">
        <f t="shared" si="343"/>
        <v>65882.397641242904</v>
      </c>
      <c r="Z390" s="107">
        <f t="shared" si="344"/>
        <v>65402.022881355901</v>
      </c>
      <c r="AA390" s="107">
        <f t="shared" si="387"/>
        <v>1502.253971694915</v>
      </c>
      <c r="AB390" s="107"/>
      <c r="AC390" s="107">
        <f t="shared" si="345"/>
        <v>5764.497118644068</v>
      </c>
      <c r="AD390" s="107">
        <f t="shared" si="346"/>
        <v>64921.648121468897</v>
      </c>
      <c r="AE390" s="107">
        <f t="shared" si="347"/>
        <v>64441.273361581894</v>
      </c>
      <c r="AF390" s="107">
        <f t="shared" si="348"/>
        <v>63960.898601694891</v>
      </c>
      <c r="AG390" s="107">
        <f t="shared" si="349"/>
        <v>63480.523841807888</v>
      </c>
      <c r="AH390" s="107">
        <f t="shared" si="350"/>
        <v>63000.149081920885</v>
      </c>
      <c r="AI390" s="107">
        <f t="shared" si="351"/>
        <v>62519.774322033882</v>
      </c>
      <c r="AJ390" s="107">
        <f t="shared" si="352"/>
        <v>62039.399562146878</v>
      </c>
      <c r="AK390" s="107">
        <f t="shared" si="353"/>
        <v>61559.024802259875</v>
      </c>
      <c r="AL390" s="107">
        <f t="shared" si="354"/>
        <v>61078.650042372872</v>
      </c>
      <c r="AM390" s="107">
        <f t="shared" si="355"/>
        <v>60598.275282485869</v>
      </c>
      <c r="AN390" s="107">
        <f t="shared" si="356"/>
        <v>60117.900522598866</v>
      </c>
      <c r="AO390" s="107">
        <f t="shared" si="357"/>
        <v>59637.525762711863</v>
      </c>
      <c r="AP390" s="107">
        <f t="shared" si="388"/>
        <v>1375.4350350847456</v>
      </c>
      <c r="AQ390" s="126"/>
      <c r="AR390" s="107">
        <f t="shared" si="358"/>
        <v>5764.497118644068</v>
      </c>
      <c r="AS390" s="107">
        <f t="shared" si="402"/>
        <v>59157.151002824859</v>
      </c>
      <c r="AT390" s="107">
        <f t="shared" si="403"/>
        <v>58676.776242937856</v>
      </c>
      <c r="AU390" s="107">
        <f t="shared" si="404"/>
        <v>58196.401483050853</v>
      </c>
      <c r="AV390" s="107">
        <f t="shared" si="405"/>
        <v>57716.02672316385</v>
      </c>
      <c r="AW390" s="107">
        <f t="shared" si="406"/>
        <v>57235.651963276847</v>
      </c>
      <c r="AX390" s="107">
        <f t="shared" si="407"/>
        <v>56755.277203389844</v>
      </c>
      <c r="AY390" s="107">
        <f t="shared" si="408"/>
        <v>56274.90244350284</v>
      </c>
      <c r="AZ390" s="107">
        <f t="shared" si="409"/>
        <v>55794.527683615837</v>
      </c>
      <c r="BA390" s="107">
        <f t="shared" si="410"/>
        <v>55314.152923728834</v>
      </c>
      <c r="BB390" s="107">
        <f t="shared" si="411"/>
        <v>54833.778163841831</v>
      </c>
      <c r="BC390" s="107">
        <f t="shared" si="412"/>
        <v>54353.403403954828</v>
      </c>
      <c r="BD390" s="107">
        <f t="shared" si="413"/>
        <v>53873.028644067825</v>
      </c>
      <c r="BE390" s="107">
        <f t="shared" si="389"/>
        <v>1248.6160984745766</v>
      </c>
      <c r="BG390" s="127"/>
      <c r="BI390" s="127"/>
      <c r="BV390" s="127"/>
    </row>
    <row r="391" spans="1:75" hidden="1" x14ac:dyDescent="0.2">
      <c r="A391" s="123" t="str">
        <f>'[2]2021 УГРЦТ'!A393</f>
        <v>ТП №35 ул Ленина 5  1993г.</v>
      </c>
      <c r="B391" s="124" t="str">
        <f>'[2]2021 УГРЦТ'!B393</f>
        <v>00000551</v>
      </c>
      <c r="C391" s="124" t="str">
        <f>VLOOKUP(A:A,'2023-2027'!A:L,1,+FALSE)</f>
        <v>ТП №35 ул Ленина 5  1993г.</v>
      </c>
      <c r="D391" s="124" t="str">
        <f>'[2]2021 УГРЦТ'!C393</f>
        <v>ПЕРЕДАЧА</v>
      </c>
      <c r="E391" s="124" t="str">
        <f>'[2]2021 УГРЦТ'!D393</f>
        <v>Здания</v>
      </c>
      <c r="F391" s="124" t="str">
        <f>'[2]2021 УГРЦТ'!E393</f>
        <v>31.01.1993</v>
      </c>
      <c r="G391" s="124" t="str">
        <f>'[2]2021 УГРЦТ'!F393</f>
        <v>Цех электрических сетей</v>
      </c>
      <c r="H391" s="124">
        <f>'[2]2021 УГРЦТ'!AC393</f>
        <v>708</v>
      </c>
      <c r="I391" s="107">
        <f>'[2]2021 УГРЦТ'!X393</f>
        <v>2184</v>
      </c>
      <c r="J391" s="107">
        <f>'[2]2021 УГРЦТ'!Y393</f>
        <v>1016.4069491525423</v>
      </c>
      <c r="K391" s="107">
        <f>'[2]2021 УГРЦТ'!Z393</f>
        <v>1167.5930508474576</v>
      </c>
      <c r="L391" s="125" t="e">
        <f>SUMIF([2]облаг!$B$2:$B$259,B391,[2]облаг!$D$2:$D$259)</f>
        <v>#VALUE!</v>
      </c>
      <c r="M391" s="107">
        <f t="shared" si="414"/>
        <v>3.0847457627118646</v>
      </c>
      <c r="N391" s="107">
        <f t="shared" si="415"/>
        <v>37.016949152542374</v>
      </c>
      <c r="O391" s="107">
        <f t="shared" si="416"/>
        <v>1164.5083050847456</v>
      </c>
      <c r="P391" s="107">
        <f t="shared" si="417"/>
        <v>1161.4235593220337</v>
      </c>
      <c r="Q391" s="107">
        <f t="shared" si="335"/>
        <v>1158.3388135593218</v>
      </c>
      <c r="R391" s="107">
        <f t="shared" si="336"/>
        <v>1155.2540677966099</v>
      </c>
      <c r="S391" s="107">
        <f t="shared" si="337"/>
        <v>1152.169322033898</v>
      </c>
      <c r="T391" s="107">
        <f t="shared" si="338"/>
        <v>1149.0845762711861</v>
      </c>
      <c r="U391" s="107">
        <f t="shared" si="339"/>
        <v>1145.9998305084741</v>
      </c>
      <c r="V391" s="107">
        <f t="shared" si="340"/>
        <v>1142.9150847457622</v>
      </c>
      <c r="W391" s="107">
        <f t="shared" si="341"/>
        <v>1139.8303389830503</v>
      </c>
      <c r="X391" s="107">
        <f t="shared" si="342"/>
        <v>1136.7455932203384</v>
      </c>
      <c r="Y391" s="107">
        <f t="shared" si="343"/>
        <v>1133.6608474576265</v>
      </c>
      <c r="Z391" s="107">
        <f t="shared" si="344"/>
        <v>1130.5761016949145</v>
      </c>
      <c r="AA391" s="107">
        <f t="shared" si="387"/>
        <v>25.279860677966091</v>
      </c>
      <c r="AB391" s="107"/>
      <c r="AC391" s="107">
        <f t="shared" si="345"/>
        <v>37.016949152542374</v>
      </c>
      <c r="AD391" s="107">
        <f t="shared" si="346"/>
        <v>1127.4913559322026</v>
      </c>
      <c r="AE391" s="107">
        <f t="shared" si="347"/>
        <v>1124.4066101694907</v>
      </c>
      <c r="AF391" s="107">
        <f t="shared" si="348"/>
        <v>1121.3218644067788</v>
      </c>
      <c r="AG391" s="107">
        <f t="shared" si="349"/>
        <v>1118.2371186440669</v>
      </c>
      <c r="AH391" s="107">
        <f t="shared" si="350"/>
        <v>1115.1523728813549</v>
      </c>
      <c r="AI391" s="107">
        <f t="shared" si="351"/>
        <v>1112.067627118643</v>
      </c>
      <c r="AJ391" s="107">
        <f t="shared" si="352"/>
        <v>1108.9828813559311</v>
      </c>
      <c r="AK391" s="107">
        <f t="shared" si="353"/>
        <v>1105.8981355932192</v>
      </c>
      <c r="AL391" s="107">
        <f t="shared" si="354"/>
        <v>1102.8133898305073</v>
      </c>
      <c r="AM391" s="107">
        <f t="shared" si="355"/>
        <v>1099.7286440677954</v>
      </c>
      <c r="AN391" s="107">
        <f t="shared" si="356"/>
        <v>1096.6438983050834</v>
      </c>
      <c r="AO391" s="107">
        <f t="shared" si="357"/>
        <v>1093.5591525423715</v>
      </c>
      <c r="AP391" s="107">
        <f t="shared" si="388"/>
        <v>24.465487796610144</v>
      </c>
      <c r="AQ391" s="126"/>
      <c r="AR391" s="107">
        <f t="shared" si="358"/>
        <v>37.016949152542374</v>
      </c>
      <c r="AS391" s="107">
        <f t="shared" si="402"/>
        <v>1090.4744067796596</v>
      </c>
      <c r="AT391" s="107">
        <f t="shared" si="403"/>
        <v>1087.3896610169477</v>
      </c>
      <c r="AU391" s="107">
        <f t="shared" si="404"/>
        <v>1084.3049152542358</v>
      </c>
      <c r="AV391" s="107">
        <f t="shared" si="405"/>
        <v>1081.2201694915238</v>
      </c>
      <c r="AW391" s="107">
        <f t="shared" si="406"/>
        <v>1078.1354237288119</v>
      </c>
      <c r="AX391" s="107">
        <f t="shared" si="407"/>
        <v>1075.0506779661</v>
      </c>
      <c r="AY391" s="107">
        <f t="shared" si="408"/>
        <v>1071.9659322033881</v>
      </c>
      <c r="AZ391" s="107">
        <f t="shared" si="409"/>
        <v>1068.8811864406762</v>
      </c>
      <c r="BA391" s="107">
        <f t="shared" si="410"/>
        <v>1065.7964406779643</v>
      </c>
      <c r="BB391" s="107">
        <f t="shared" si="411"/>
        <v>1062.7116949152523</v>
      </c>
      <c r="BC391" s="107">
        <f t="shared" si="412"/>
        <v>1059.6269491525404</v>
      </c>
      <c r="BD391" s="107">
        <f t="shared" si="413"/>
        <v>1056.5422033898285</v>
      </c>
      <c r="BE391" s="107">
        <f t="shared" si="389"/>
        <v>23.651114915254198</v>
      </c>
      <c r="BF391" s="127"/>
      <c r="BG391" s="127"/>
      <c r="BH391" s="127"/>
      <c r="BI391" s="127"/>
      <c r="BJ391" s="127"/>
      <c r="BK391" s="127"/>
      <c r="BL391" s="127"/>
      <c r="BM391" s="127"/>
      <c r="BN391" s="127"/>
      <c r="BO391" s="127"/>
      <c r="BP391" s="127"/>
      <c r="BQ391" s="127"/>
      <c r="BR391" s="127"/>
      <c r="BS391" s="127"/>
      <c r="BT391" s="127"/>
      <c r="BU391" s="127"/>
      <c r="BV391" s="127"/>
      <c r="BW391" s="127"/>
    </row>
    <row r="392" spans="1:75" ht="22.5" hidden="1" x14ac:dyDescent="0.2">
      <c r="A392" s="123" t="str">
        <f>'[2]2021 УГРЦТ'!A394</f>
        <v>ТП №35 ул. Ленина р-он д.№5 2008г(оборуд-е)</v>
      </c>
      <c r="B392" s="124" t="str">
        <f>'[2]2021 УГРЦТ'!B394</f>
        <v>00001089</v>
      </c>
      <c r="C392" s="124" t="str">
        <f>VLOOKUP(A:A,'2023-2027'!A:L,1,+FALSE)</f>
        <v>ТП №35 ул. Ленина р-он д.№5 2008г(оборуд-е)</v>
      </c>
      <c r="D392" s="124" t="str">
        <f>'[2]2021 УГРЦТ'!C394</f>
        <v>ПЕРЕДАЧА</v>
      </c>
      <c r="E392" s="124" t="str">
        <f>'[2]2021 УГРЦТ'!D394</f>
        <v>Машины и оборудование (кроме офисного)</v>
      </c>
      <c r="F392" s="124" t="str">
        <f>'[2]2021 УГРЦТ'!E394</f>
        <v>30.09.2008</v>
      </c>
      <c r="G392" s="124" t="str">
        <f>'[2]2021 УГРЦТ'!F394</f>
        <v>Цех электрических сетей</v>
      </c>
      <c r="H392" s="124">
        <f>'[2]2021 УГРЦТ'!AC394</f>
        <v>315</v>
      </c>
      <c r="I392" s="107">
        <f>'[2]2021 УГРЦТ'!X394</f>
        <v>603015.09</v>
      </c>
      <c r="J392" s="107">
        <f>'[2]2021 УГРЦТ'!Y394</f>
        <v>209953.68</v>
      </c>
      <c r="K392" s="107">
        <f>'[2]2021 УГРЦТ'!Z394</f>
        <v>393061.41</v>
      </c>
      <c r="L392" s="125" t="e">
        <f>SUMIF([2]облаг!$B$2:$B$259,B392,[2]облаг!$D$2:$D$259)</f>
        <v>#VALUE!</v>
      </c>
      <c r="M392" s="107">
        <f t="shared" si="414"/>
        <v>1914.3336190476189</v>
      </c>
      <c r="N392" s="107">
        <f t="shared" si="415"/>
        <v>22972.003428571428</v>
      </c>
      <c r="O392" s="107">
        <f t="shared" si="416"/>
        <v>391147.07638095238</v>
      </c>
      <c r="P392" s="107">
        <f t="shared" si="417"/>
        <v>389232.74276190478</v>
      </c>
      <c r="Q392" s="107">
        <f t="shared" si="335"/>
        <v>387318.40914285718</v>
      </c>
      <c r="R392" s="107">
        <f t="shared" si="336"/>
        <v>385404.07552380959</v>
      </c>
      <c r="S392" s="107">
        <f t="shared" si="337"/>
        <v>383489.74190476199</v>
      </c>
      <c r="T392" s="107">
        <f t="shared" si="338"/>
        <v>381575.40828571439</v>
      </c>
      <c r="U392" s="107">
        <f t="shared" si="339"/>
        <v>379661.0746666668</v>
      </c>
      <c r="V392" s="107">
        <f t="shared" si="340"/>
        <v>377746.7410476192</v>
      </c>
      <c r="W392" s="107">
        <f t="shared" si="341"/>
        <v>375832.40742857161</v>
      </c>
      <c r="X392" s="107">
        <f t="shared" si="342"/>
        <v>373918.07380952401</v>
      </c>
      <c r="Y392" s="107">
        <f t="shared" si="343"/>
        <v>372003.74019047641</v>
      </c>
      <c r="Z392" s="107">
        <f t="shared" si="344"/>
        <v>370089.40657142882</v>
      </c>
      <c r="AA392" s="107"/>
      <c r="AB392" s="107"/>
      <c r="AC392" s="107">
        <f t="shared" si="345"/>
        <v>22972.003428571428</v>
      </c>
      <c r="AD392" s="107">
        <f t="shared" si="346"/>
        <v>368175.07295238122</v>
      </c>
      <c r="AE392" s="107">
        <f t="shared" si="347"/>
        <v>366260.73933333362</v>
      </c>
      <c r="AF392" s="107">
        <f t="shared" si="348"/>
        <v>364346.40571428603</v>
      </c>
      <c r="AG392" s="107">
        <f t="shared" si="349"/>
        <v>362432.07209523843</v>
      </c>
      <c r="AH392" s="107">
        <f t="shared" si="350"/>
        <v>360517.73847619083</v>
      </c>
      <c r="AI392" s="107">
        <f t="shared" si="351"/>
        <v>358603.40485714324</v>
      </c>
      <c r="AJ392" s="107">
        <f t="shared" si="352"/>
        <v>356689.07123809564</v>
      </c>
      <c r="AK392" s="107">
        <f t="shared" si="353"/>
        <v>354774.73761904804</v>
      </c>
      <c r="AL392" s="107">
        <f t="shared" si="354"/>
        <v>352860.40400000045</v>
      </c>
      <c r="AM392" s="107">
        <f t="shared" si="355"/>
        <v>350946.07038095285</v>
      </c>
      <c r="AN392" s="107">
        <f t="shared" si="356"/>
        <v>349031.73676190525</v>
      </c>
      <c r="AO392" s="107">
        <f t="shared" si="357"/>
        <v>347117.40314285766</v>
      </c>
      <c r="AP392" s="107"/>
      <c r="AQ392" s="126"/>
      <c r="AR392" s="107">
        <f t="shared" si="358"/>
        <v>22972.003428571428</v>
      </c>
      <c r="AS392" s="107">
        <f t="shared" si="402"/>
        <v>345203.06952381006</v>
      </c>
      <c r="AT392" s="107">
        <f t="shared" si="403"/>
        <v>343288.73590476246</v>
      </c>
      <c r="AU392" s="107">
        <f t="shared" si="404"/>
        <v>341374.40228571487</v>
      </c>
      <c r="AV392" s="107">
        <f t="shared" si="405"/>
        <v>339460.06866666727</v>
      </c>
      <c r="AW392" s="107">
        <f t="shared" si="406"/>
        <v>337545.73504761967</v>
      </c>
      <c r="AX392" s="107">
        <f t="shared" si="407"/>
        <v>335631.40142857208</v>
      </c>
      <c r="AY392" s="107">
        <f t="shared" si="408"/>
        <v>333717.06780952448</v>
      </c>
      <c r="AZ392" s="107">
        <f t="shared" si="409"/>
        <v>331802.73419047688</v>
      </c>
      <c r="BA392" s="107">
        <f t="shared" si="410"/>
        <v>329888.40057142929</v>
      </c>
      <c r="BB392" s="107">
        <f t="shared" si="411"/>
        <v>327974.06695238169</v>
      </c>
      <c r="BC392" s="107">
        <f t="shared" si="412"/>
        <v>326059.73333333409</v>
      </c>
      <c r="BD392" s="107">
        <f t="shared" si="413"/>
        <v>324145.3997142865</v>
      </c>
      <c r="BE392" s="107"/>
      <c r="BF392" s="127"/>
      <c r="BG392" s="127"/>
      <c r="BH392" s="127"/>
      <c r="BI392" s="127"/>
      <c r="BJ392" s="127"/>
      <c r="BK392" s="127"/>
      <c r="BL392" s="127"/>
      <c r="BM392" s="127"/>
      <c r="BN392" s="127"/>
      <c r="BO392" s="127"/>
      <c r="BP392" s="127"/>
      <c r="BQ392" s="127"/>
      <c r="BR392" s="127"/>
      <c r="BS392" s="127"/>
      <c r="BT392" s="127"/>
      <c r="BU392" s="127"/>
      <c r="BV392" s="127"/>
      <c r="BW392" s="127"/>
    </row>
    <row r="393" spans="1:75" ht="22.5" hidden="1" x14ac:dyDescent="0.2">
      <c r="A393" s="123" t="str">
        <f>'[2]2021 УГРЦТ'!A395</f>
        <v>ТП №36  КОП ресторан Север 1993г</v>
      </c>
      <c r="B393" s="124" t="str">
        <f>'[2]2021 УГРЦТ'!B395</f>
        <v>00000227</v>
      </c>
      <c r="C393" s="124" t="str">
        <f>VLOOKUP(A:A,'2023-2027'!A:L,1,+FALSE)</f>
        <v>ТП №36  КОП ресторан Север 1993г</v>
      </c>
      <c r="D393" s="124" t="str">
        <f>'[2]2021 УГРЦТ'!C395</f>
        <v>ПЕРЕДАЧА</v>
      </c>
      <c r="E393" s="124" t="str">
        <f>'[2]2021 УГРЦТ'!D395</f>
        <v>Здания</v>
      </c>
      <c r="F393" s="124" t="str">
        <f>'[2]2021 УГРЦТ'!E395</f>
        <v>31.01.1993</v>
      </c>
      <c r="G393" s="124" t="str">
        <f>'[2]2021 УГРЦТ'!F395</f>
        <v>Цех электрических сетей</v>
      </c>
      <c r="H393" s="124">
        <f>'[2]2021 УГРЦТ'!AC395</f>
        <v>384</v>
      </c>
      <c r="I393" s="107">
        <f>'[2]2021 УГРЦТ'!X395</f>
        <v>401728.31</v>
      </c>
      <c r="J393" s="107">
        <f>'[2]2021 УГРЦТ'!Y395</f>
        <v>322684.40000000002</v>
      </c>
      <c r="K393" s="107">
        <f>'[2]2021 УГРЦТ'!Z395</f>
        <v>79043.909999999974</v>
      </c>
      <c r="L393" s="125" t="e">
        <f>SUMIF([2]облаг!$B$2:$B$259,B393,[2]облаг!$D$2:$D$259)</f>
        <v>#VALUE!</v>
      </c>
      <c r="M393" s="107">
        <f t="shared" si="414"/>
        <v>1046.1674739583334</v>
      </c>
      <c r="N393" s="107">
        <f t="shared" si="415"/>
        <v>12554.009687500002</v>
      </c>
      <c r="O393" s="107">
        <f t="shared" si="416"/>
        <v>77997.742526041635</v>
      </c>
      <c r="P393" s="107">
        <f t="shared" si="417"/>
        <v>76951.575052083295</v>
      </c>
      <c r="Q393" s="107">
        <f t="shared" si="335"/>
        <v>75905.407578124956</v>
      </c>
      <c r="R393" s="107">
        <f t="shared" si="336"/>
        <v>74859.240104166616</v>
      </c>
      <c r="S393" s="107">
        <f t="shared" si="337"/>
        <v>73813.072630208277</v>
      </c>
      <c r="T393" s="107">
        <f t="shared" si="338"/>
        <v>72766.905156249937</v>
      </c>
      <c r="U393" s="107">
        <f t="shared" si="339"/>
        <v>71720.737682291598</v>
      </c>
      <c r="V393" s="107">
        <f t="shared" si="340"/>
        <v>70674.570208333258</v>
      </c>
      <c r="W393" s="107">
        <f t="shared" si="341"/>
        <v>69628.402734374919</v>
      </c>
      <c r="X393" s="107">
        <f t="shared" si="342"/>
        <v>68582.235260416579</v>
      </c>
      <c r="Y393" s="107">
        <f t="shared" si="343"/>
        <v>67536.067786458239</v>
      </c>
      <c r="Z393" s="107">
        <f t="shared" si="344"/>
        <v>66489.9003124999</v>
      </c>
      <c r="AA393" s="107">
        <f>SUM(O393:Z393,K393)/13*$AA$2</f>
        <v>1600.8719134374978</v>
      </c>
      <c r="AB393" s="107"/>
      <c r="AC393" s="107">
        <f t="shared" si="345"/>
        <v>12554.009687500002</v>
      </c>
      <c r="AD393" s="107">
        <f t="shared" si="346"/>
        <v>65443.732838541568</v>
      </c>
      <c r="AE393" s="107">
        <f t="shared" si="347"/>
        <v>64397.565364583235</v>
      </c>
      <c r="AF393" s="107">
        <f t="shared" si="348"/>
        <v>63351.397890624903</v>
      </c>
      <c r="AG393" s="107">
        <f t="shared" si="349"/>
        <v>62305.230416666571</v>
      </c>
      <c r="AH393" s="107">
        <f t="shared" si="350"/>
        <v>61259.062942708239</v>
      </c>
      <c r="AI393" s="107">
        <f t="shared" si="351"/>
        <v>60212.895468749906</v>
      </c>
      <c r="AJ393" s="107">
        <f t="shared" si="352"/>
        <v>59166.727994791574</v>
      </c>
      <c r="AK393" s="107">
        <f t="shared" si="353"/>
        <v>58120.560520833242</v>
      </c>
      <c r="AL393" s="107">
        <f t="shared" si="354"/>
        <v>57074.393046874909</v>
      </c>
      <c r="AM393" s="107">
        <f t="shared" si="355"/>
        <v>56028.225572916577</v>
      </c>
      <c r="AN393" s="107">
        <f t="shared" si="356"/>
        <v>54982.058098958245</v>
      </c>
      <c r="AO393" s="107">
        <f t="shared" si="357"/>
        <v>53935.890624999913</v>
      </c>
      <c r="AP393" s="107">
        <f t="shared" ref="AP393:AP394" si="418">SUM(AD393:AO393,Z393)/13*$AP$2</f>
        <v>1324.6837003124981</v>
      </c>
      <c r="AQ393" s="126"/>
      <c r="AR393" s="107">
        <f t="shared" si="358"/>
        <v>12554.009687500002</v>
      </c>
      <c r="AS393" s="107">
        <f t="shared" si="402"/>
        <v>52889.72315104158</v>
      </c>
      <c r="AT393" s="107">
        <f t="shared" si="403"/>
        <v>51843.555677083248</v>
      </c>
      <c r="AU393" s="107">
        <f t="shared" si="404"/>
        <v>50797.388203124916</v>
      </c>
      <c r="AV393" s="107">
        <f t="shared" si="405"/>
        <v>49751.220729166584</v>
      </c>
      <c r="AW393" s="107">
        <f t="shared" si="406"/>
        <v>48705.053255208251</v>
      </c>
      <c r="AX393" s="107">
        <f t="shared" si="407"/>
        <v>47658.885781249919</v>
      </c>
      <c r="AY393" s="107">
        <f t="shared" si="408"/>
        <v>46612.718307291587</v>
      </c>
      <c r="AZ393" s="107">
        <f t="shared" si="409"/>
        <v>45566.550833333255</v>
      </c>
      <c r="BA393" s="107">
        <f t="shared" si="410"/>
        <v>44520.383359374922</v>
      </c>
      <c r="BB393" s="107">
        <f t="shared" si="411"/>
        <v>43474.21588541659</v>
      </c>
      <c r="BC393" s="107">
        <f t="shared" si="412"/>
        <v>42428.048411458258</v>
      </c>
      <c r="BD393" s="107">
        <f t="shared" si="413"/>
        <v>41381.880937499925</v>
      </c>
      <c r="BE393" s="107">
        <f>SUM(AS393:BD393,AO393)/13*$BE$2</f>
        <v>1048.4954871874982</v>
      </c>
      <c r="BF393" s="127"/>
      <c r="BG393" s="127"/>
      <c r="BI393" s="127"/>
      <c r="BJ393" s="127"/>
      <c r="BK393" s="127"/>
      <c r="BL393" s="127"/>
      <c r="BM393" s="127"/>
      <c r="BN393" s="127"/>
      <c r="BO393" s="127"/>
      <c r="BP393" s="127"/>
      <c r="BQ393" s="127"/>
      <c r="BR393" s="127"/>
      <c r="BS393" s="127"/>
      <c r="BT393" s="127"/>
      <c r="BU393" s="127"/>
      <c r="BV393" s="127"/>
    </row>
    <row r="394" spans="1:75" ht="22.5" hidden="1" x14ac:dyDescent="0.2">
      <c r="A394" s="123" t="str">
        <f>'[2]2021 УГРЦТ'!A396</f>
        <v>ТП №37 жил, дом Ленина 27  1984г.</v>
      </c>
      <c r="B394" s="124" t="str">
        <f>'[2]2021 УГРЦТ'!B396</f>
        <v>00000150</v>
      </c>
      <c r="C394" s="124" t="str">
        <f>VLOOKUP(A:A,'2023-2027'!A:L,1,+FALSE)</f>
        <v>ТП №37 жил, дом Ленина 27  1984г.</v>
      </c>
      <c r="D394" s="124" t="str">
        <f>'[2]2021 УГРЦТ'!C396</f>
        <v>ПЕРЕДАЧА</v>
      </c>
      <c r="E394" s="124" t="str">
        <f>'[2]2021 УГРЦТ'!D396</f>
        <v>Здания</v>
      </c>
      <c r="F394" s="124" t="str">
        <f>'[2]2021 УГРЦТ'!E396</f>
        <v>31.01.1994</v>
      </c>
      <c r="G394" s="124" t="str">
        <f>'[2]2021 УГРЦТ'!F396</f>
        <v>Цех электрических сетей</v>
      </c>
      <c r="H394" s="124">
        <f>'[2]2021 УГРЦТ'!AC396</f>
        <v>708</v>
      </c>
      <c r="I394" s="107">
        <f>'[2]2021 УГРЦТ'!X396</f>
        <v>490429.34</v>
      </c>
      <c r="J394" s="107">
        <f>'[2]2021 УГРЦТ'!Y396</f>
        <v>135458.97999999998</v>
      </c>
      <c r="K394" s="107">
        <f>'[2]2021 УГРЦТ'!Z396</f>
        <v>354970.36000000004</v>
      </c>
      <c r="L394" s="125" t="e">
        <f>SUMIF([2]облаг!$B$2:$B$259,B394,[2]облаг!$D$2:$D$259)</f>
        <v>#VALUE!</v>
      </c>
      <c r="M394" s="107">
        <f t="shared" si="414"/>
        <v>692.69680790960456</v>
      </c>
      <c r="N394" s="107">
        <f t="shared" si="415"/>
        <v>8312.3616949152547</v>
      </c>
      <c r="O394" s="107">
        <f t="shared" si="416"/>
        <v>354277.66319209046</v>
      </c>
      <c r="P394" s="107">
        <f t="shared" si="417"/>
        <v>353584.96638418088</v>
      </c>
      <c r="Q394" s="107">
        <f t="shared" si="335"/>
        <v>352892.2695762713</v>
      </c>
      <c r="R394" s="107">
        <f t="shared" si="336"/>
        <v>352199.57276836172</v>
      </c>
      <c r="S394" s="107">
        <f t="shared" si="337"/>
        <v>351506.87596045213</v>
      </c>
      <c r="T394" s="107">
        <f t="shared" si="338"/>
        <v>350814.17915254255</v>
      </c>
      <c r="U394" s="107">
        <f t="shared" si="339"/>
        <v>350121.48234463297</v>
      </c>
      <c r="V394" s="107">
        <f t="shared" si="340"/>
        <v>349428.78553672339</v>
      </c>
      <c r="W394" s="107">
        <f t="shared" si="341"/>
        <v>348736.0887288138</v>
      </c>
      <c r="X394" s="107">
        <f t="shared" si="342"/>
        <v>348043.39192090422</v>
      </c>
      <c r="Y394" s="107">
        <f t="shared" si="343"/>
        <v>347350.69511299464</v>
      </c>
      <c r="Z394" s="107">
        <f t="shared" si="344"/>
        <v>346657.99830508506</v>
      </c>
      <c r="AA394" s="107">
        <f>SUM(O394:Z394,K394)/13*$AA$2</f>
        <v>7717.9119413559365</v>
      </c>
      <c r="AB394" s="107"/>
      <c r="AC394" s="107">
        <f t="shared" si="345"/>
        <v>8312.3616949152547</v>
      </c>
      <c r="AD394" s="107">
        <f t="shared" si="346"/>
        <v>345965.30149717547</v>
      </c>
      <c r="AE394" s="107">
        <f t="shared" si="347"/>
        <v>345272.60468926589</v>
      </c>
      <c r="AF394" s="107">
        <f t="shared" si="348"/>
        <v>344579.90788135631</v>
      </c>
      <c r="AG394" s="107">
        <f t="shared" si="349"/>
        <v>343887.21107344673</v>
      </c>
      <c r="AH394" s="107">
        <f t="shared" si="350"/>
        <v>343194.51426553715</v>
      </c>
      <c r="AI394" s="107">
        <f t="shared" si="351"/>
        <v>342501.81745762756</v>
      </c>
      <c r="AJ394" s="107">
        <f t="shared" si="352"/>
        <v>341809.12064971798</v>
      </c>
      <c r="AK394" s="107">
        <f t="shared" si="353"/>
        <v>341116.4238418084</v>
      </c>
      <c r="AL394" s="107">
        <f t="shared" si="354"/>
        <v>340423.72703389882</v>
      </c>
      <c r="AM394" s="107">
        <f t="shared" si="355"/>
        <v>339731.03022598923</v>
      </c>
      <c r="AN394" s="107">
        <f t="shared" si="356"/>
        <v>339038.33341807965</v>
      </c>
      <c r="AO394" s="107">
        <f t="shared" si="357"/>
        <v>338345.63661017007</v>
      </c>
      <c r="AP394" s="107">
        <f t="shared" si="418"/>
        <v>7535.0399840678056</v>
      </c>
      <c r="AQ394" s="126"/>
      <c r="AR394" s="107">
        <f t="shared" si="358"/>
        <v>8312.3616949152547</v>
      </c>
      <c r="AS394" s="107">
        <f t="shared" si="402"/>
        <v>337652.93980226049</v>
      </c>
      <c r="AT394" s="107">
        <f t="shared" si="403"/>
        <v>336960.24299435091</v>
      </c>
      <c r="AU394" s="107">
        <f t="shared" si="404"/>
        <v>336267.54618644132</v>
      </c>
      <c r="AV394" s="107">
        <f t="shared" si="405"/>
        <v>335574.84937853174</v>
      </c>
      <c r="AW394" s="107">
        <f t="shared" si="406"/>
        <v>334882.15257062216</v>
      </c>
      <c r="AX394" s="107">
        <f t="shared" si="407"/>
        <v>334189.45576271258</v>
      </c>
      <c r="AY394" s="107">
        <f t="shared" si="408"/>
        <v>333496.75895480299</v>
      </c>
      <c r="AZ394" s="107">
        <f t="shared" si="409"/>
        <v>332804.06214689341</v>
      </c>
      <c r="BA394" s="107">
        <f t="shared" si="410"/>
        <v>332111.36533898383</v>
      </c>
      <c r="BB394" s="107">
        <f t="shared" si="411"/>
        <v>331418.66853107425</v>
      </c>
      <c r="BC394" s="107">
        <f t="shared" si="412"/>
        <v>330725.97172316466</v>
      </c>
      <c r="BD394" s="107">
        <f t="shared" si="413"/>
        <v>330033.27491525508</v>
      </c>
      <c r="BE394" s="107">
        <f>SUM(AS394:BD394,AO394)/13*$BE$2</f>
        <v>7352.1680267796773</v>
      </c>
      <c r="BF394" s="127"/>
      <c r="BG394" s="127"/>
      <c r="BH394" s="127"/>
      <c r="BI394" s="127"/>
      <c r="BJ394" s="127"/>
      <c r="BK394" s="127"/>
      <c r="BL394" s="127"/>
      <c r="BM394" s="127"/>
      <c r="BN394" s="127"/>
      <c r="BO394" s="127"/>
      <c r="BP394" s="127"/>
      <c r="BQ394" s="127"/>
      <c r="BR394" s="127"/>
      <c r="BS394" s="127"/>
      <c r="BT394" s="127"/>
      <c r="BU394" s="127"/>
      <c r="BV394" s="127"/>
      <c r="BW394" s="127"/>
    </row>
    <row r="395" spans="1:75" hidden="1" x14ac:dyDescent="0.2">
      <c r="A395" s="123" t="str">
        <f>'[2]2021 УГРЦТ'!A397</f>
        <v>ТП №38 ул Заполярная   1985г.</v>
      </c>
      <c r="B395" s="124" t="str">
        <f>'[2]2021 УГРЦТ'!B397</f>
        <v>00000229</v>
      </c>
      <c r="C395" s="124" t="str">
        <f>VLOOKUP(A:A,'2023-2027'!A:L,1,+FALSE)</f>
        <v>ТП №38 ул Заполярная   1985г.</v>
      </c>
      <c r="D395" s="124" t="str">
        <f>'[2]2021 УГРЦТ'!C397</f>
        <v>ПЕРЕДАЧА</v>
      </c>
      <c r="E395" s="124" t="str">
        <f>'[2]2021 УГРЦТ'!D397</f>
        <v>Машины и оборудование (кроме офисного)</v>
      </c>
      <c r="F395" s="124" t="str">
        <f>'[2]2021 УГРЦТ'!E397</f>
        <v>31.12.2011</v>
      </c>
      <c r="G395" s="124" t="str">
        <f>'[2]2021 УГРЦТ'!F397</f>
        <v>Цех электрических сетей</v>
      </c>
      <c r="H395" s="124">
        <f>'[2]2021 УГРЦТ'!AC397</f>
        <v>708</v>
      </c>
      <c r="I395" s="107">
        <f>'[2]2021 УГРЦТ'!X397</f>
        <v>153796.03</v>
      </c>
      <c r="J395" s="107">
        <f>'[2]2021 УГРЦТ'!Y397</f>
        <v>32673.98</v>
      </c>
      <c r="K395" s="107">
        <f>'[2]2021 УГРЦТ'!Z397</f>
        <v>121122.05</v>
      </c>
      <c r="L395" s="125" t="e">
        <f>SUMIF([2]облаг!$B$2:$B$259,B395,[2]облаг!$D$2:$D$259)</f>
        <v>#VALUE!</v>
      </c>
      <c r="M395" s="107">
        <f t="shared" si="414"/>
        <v>217.22603107344634</v>
      </c>
      <c r="N395" s="107">
        <f t="shared" si="415"/>
        <v>2606.7123728813558</v>
      </c>
      <c r="O395" s="107">
        <f t="shared" si="416"/>
        <v>120904.82396892656</v>
      </c>
      <c r="P395" s="107">
        <f t="shared" si="417"/>
        <v>120687.59793785312</v>
      </c>
      <c r="Q395" s="107">
        <f t="shared" si="335"/>
        <v>120470.37190677968</v>
      </c>
      <c r="R395" s="107">
        <f t="shared" si="336"/>
        <v>120253.14587570624</v>
      </c>
      <c r="S395" s="107">
        <f t="shared" si="337"/>
        <v>120035.91984463279</v>
      </c>
      <c r="T395" s="107">
        <f t="shared" si="338"/>
        <v>119818.69381355935</v>
      </c>
      <c r="U395" s="107">
        <f t="shared" si="339"/>
        <v>119601.46778248591</v>
      </c>
      <c r="V395" s="107">
        <f t="shared" si="340"/>
        <v>119384.24175141247</v>
      </c>
      <c r="W395" s="107">
        <f t="shared" si="341"/>
        <v>119167.01572033903</v>
      </c>
      <c r="X395" s="107">
        <f t="shared" si="342"/>
        <v>118949.78968926558</v>
      </c>
      <c r="Y395" s="107">
        <f t="shared" si="343"/>
        <v>118732.56365819214</v>
      </c>
      <c r="Z395" s="107">
        <f t="shared" si="344"/>
        <v>118515.3376271187</v>
      </c>
      <c r="AA395" s="107"/>
      <c r="AB395" s="107"/>
      <c r="AC395" s="107">
        <f t="shared" si="345"/>
        <v>2606.7123728813558</v>
      </c>
      <c r="AD395" s="107">
        <f t="shared" si="346"/>
        <v>118298.11159604526</v>
      </c>
      <c r="AE395" s="107">
        <f t="shared" si="347"/>
        <v>118080.88556497182</v>
      </c>
      <c r="AF395" s="107">
        <f t="shared" si="348"/>
        <v>117863.65953389838</v>
      </c>
      <c r="AG395" s="107">
        <f t="shared" si="349"/>
        <v>117646.43350282493</v>
      </c>
      <c r="AH395" s="107">
        <f t="shared" si="350"/>
        <v>117429.20747175149</v>
      </c>
      <c r="AI395" s="107">
        <f t="shared" si="351"/>
        <v>117211.98144067805</v>
      </c>
      <c r="AJ395" s="107">
        <f t="shared" si="352"/>
        <v>116994.75540960461</v>
      </c>
      <c r="AK395" s="107">
        <f t="shared" si="353"/>
        <v>116777.52937853117</v>
      </c>
      <c r="AL395" s="107">
        <f t="shared" si="354"/>
        <v>116560.30334745772</v>
      </c>
      <c r="AM395" s="107">
        <f t="shared" si="355"/>
        <v>116343.07731638428</v>
      </c>
      <c r="AN395" s="107">
        <f t="shared" si="356"/>
        <v>116125.85128531084</v>
      </c>
      <c r="AO395" s="107">
        <f t="shared" si="357"/>
        <v>115908.6252542374</v>
      </c>
      <c r="AP395" s="107"/>
      <c r="AQ395" s="126"/>
      <c r="AR395" s="107">
        <f t="shared" si="358"/>
        <v>2606.7123728813558</v>
      </c>
      <c r="AS395" s="107">
        <f t="shared" si="402"/>
        <v>115691.39922316396</v>
      </c>
      <c r="AT395" s="107">
        <f t="shared" si="403"/>
        <v>115474.17319209051</v>
      </c>
      <c r="AU395" s="107">
        <f t="shared" si="404"/>
        <v>115256.94716101707</v>
      </c>
      <c r="AV395" s="107">
        <f t="shared" si="405"/>
        <v>115039.72112994363</v>
      </c>
      <c r="AW395" s="107">
        <f t="shared" si="406"/>
        <v>114822.49509887019</v>
      </c>
      <c r="AX395" s="107">
        <f t="shared" si="407"/>
        <v>114605.26906779675</v>
      </c>
      <c r="AY395" s="107">
        <f t="shared" si="408"/>
        <v>114388.04303672331</v>
      </c>
      <c r="AZ395" s="107">
        <f t="shared" si="409"/>
        <v>114170.81700564986</v>
      </c>
      <c r="BA395" s="107">
        <f t="shared" si="410"/>
        <v>113953.59097457642</v>
      </c>
      <c r="BB395" s="107">
        <f t="shared" si="411"/>
        <v>113736.36494350298</v>
      </c>
      <c r="BC395" s="107">
        <f t="shared" si="412"/>
        <v>113519.13891242954</v>
      </c>
      <c r="BD395" s="107">
        <f t="shared" si="413"/>
        <v>113301.9128813561</v>
      </c>
      <c r="BE395" s="107"/>
      <c r="BF395" s="127"/>
      <c r="BG395" s="127"/>
      <c r="BH395" s="127"/>
      <c r="BI395" s="127"/>
      <c r="BJ395" s="127"/>
      <c r="BK395" s="127"/>
      <c r="BL395" s="127"/>
      <c r="BM395" s="127"/>
      <c r="BN395" s="127"/>
      <c r="BO395" s="127"/>
      <c r="BP395" s="127"/>
      <c r="BQ395" s="127"/>
      <c r="BR395" s="127"/>
      <c r="BS395" s="127"/>
      <c r="BT395" s="127"/>
      <c r="BU395" s="127"/>
      <c r="BV395" s="127"/>
      <c r="BW395" s="127"/>
    </row>
    <row r="396" spans="1:75" hidden="1" x14ac:dyDescent="0.2">
      <c r="A396" s="123" t="str">
        <f>'[2]2021 УГРЦТ'!A398</f>
        <v>ТП №4 АТС  КБО 1993г</v>
      </c>
      <c r="B396" s="124" t="str">
        <f>'[2]2021 УГРЦТ'!B398</f>
        <v>00000539</v>
      </c>
      <c r="C396" s="124" t="str">
        <f>VLOOKUP(A:A,'2023-2027'!A:L,1,+FALSE)</f>
        <v>ТП №4 АТС  КБО 1993г</v>
      </c>
      <c r="D396" s="124" t="str">
        <f>'[2]2021 УГРЦТ'!C398</f>
        <v>ПЕРЕДАЧА</v>
      </c>
      <c r="E396" s="124" t="str">
        <f>'[2]2021 УГРЦТ'!D398</f>
        <v>Здания</v>
      </c>
      <c r="F396" s="124" t="str">
        <f>'[2]2021 УГРЦТ'!E398</f>
        <v>31.01.1993</v>
      </c>
      <c r="G396" s="124" t="str">
        <f>'[2]2021 УГРЦТ'!F398</f>
        <v>Цех электрических сетей</v>
      </c>
      <c r="H396" s="124">
        <f>'[2]2021 УГРЦТ'!AC398</f>
        <v>708</v>
      </c>
      <c r="I396" s="107">
        <f>'[2]2021 УГРЦТ'!X398</f>
        <v>3990</v>
      </c>
      <c r="J396" s="107">
        <f>'[2]2021 УГРЦТ'!Y398</f>
        <v>1872.5671186440679</v>
      </c>
      <c r="K396" s="107">
        <f>'[2]2021 УГРЦТ'!Z398</f>
        <v>2117.4328813559323</v>
      </c>
      <c r="L396" s="125" t="e">
        <f>SUMIF([2]облаг!$B$2:$B$259,B396,[2]облаг!$D$2:$D$259)</f>
        <v>#VALUE!</v>
      </c>
      <c r="M396" s="107">
        <f t="shared" si="414"/>
        <v>5.6355932203389827</v>
      </c>
      <c r="N396" s="107">
        <f t="shared" si="415"/>
        <v>67.627118644067792</v>
      </c>
      <c r="O396" s="107">
        <f t="shared" si="416"/>
        <v>2111.7972881355931</v>
      </c>
      <c r="P396" s="107">
        <f t="shared" si="417"/>
        <v>2106.161694915254</v>
      </c>
      <c r="Q396" s="107">
        <f t="shared" si="335"/>
        <v>2100.5261016949148</v>
      </c>
      <c r="R396" s="107">
        <f t="shared" si="336"/>
        <v>2094.8905084745757</v>
      </c>
      <c r="S396" s="107">
        <f t="shared" si="337"/>
        <v>2089.2549152542365</v>
      </c>
      <c r="T396" s="107">
        <f t="shared" si="338"/>
        <v>2083.6193220338973</v>
      </c>
      <c r="U396" s="107">
        <f t="shared" si="339"/>
        <v>2077.9837288135582</v>
      </c>
      <c r="V396" s="107">
        <f t="shared" si="340"/>
        <v>2072.348135593219</v>
      </c>
      <c r="W396" s="107">
        <f t="shared" si="341"/>
        <v>2066.7125423728799</v>
      </c>
      <c r="X396" s="107">
        <f t="shared" si="342"/>
        <v>2061.0769491525407</v>
      </c>
      <c r="Y396" s="107">
        <f t="shared" si="343"/>
        <v>2055.4413559322015</v>
      </c>
      <c r="Z396" s="107">
        <f t="shared" si="344"/>
        <v>2049.8057627118624</v>
      </c>
      <c r="AA396" s="107">
        <f>SUM(O396:Z396,K396)/13*$AA$2</f>
        <v>45.839625084745748</v>
      </c>
      <c r="AB396" s="107"/>
      <c r="AC396" s="107">
        <f t="shared" si="345"/>
        <v>67.627118644067792</v>
      </c>
      <c r="AD396" s="107">
        <f t="shared" si="346"/>
        <v>2044.1701694915234</v>
      </c>
      <c r="AE396" s="107">
        <f t="shared" si="347"/>
        <v>2038.5345762711845</v>
      </c>
      <c r="AF396" s="107">
        <f t="shared" si="348"/>
        <v>2032.8989830508456</v>
      </c>
      <c r="AG396" s="107">
        <f t="shared" si="349"/>
        <v>2027.2633898305066</v>
      </c>
      <c r="AH396" s="107">
        <f t="shared" si="350"/>
        <v>2021.6277966101677</v>
      </c>
      <c r="AI396" s="107">
        <f t="shared" si="351"/>
        <v>2015.9922033898288</v>
      </c>
      <c r="AJ396" s="107">
        <f t="shared" si="352"/>
        <v>2010.3566101694898</v>
      </c>
      <c r="AK396" s="107">
        <f t="shared" si="353"/>
        <v>2004.7210169491509</v>
      </c>
      <c r="AL396" s="107">
        <f t="shared" si="354"/>
        <v>1999.085423728812</v>
      </c>
      <c r="AM396" s="107">
        <f t="shared" si="355"/>
        <v>1993.449830508473</v>
      </c>
      <c r="AN396" s="107">
        <f t="shared" si="356"/>
        <v>1987.8142372881341</v>
      </c>
      <c r="AO396" s="107">
        <f t="shared" si="357"/>
        <v>1982.1786440677952</v>
      </c>
      <c r="AP396" s="107">
        <f t="shared" ref="AP396:AP397" si="419">SUM(AD396:AO396,Z396)/13*$AP$2</f>
        <v>44.351828474576237</v>
      </c>
      <c r="AQ396" s="126"/>
      <c r="AR396" s="107">
        <f t="shared" si="358"/>
        <v>67.627118644067792</v>
      </c>
      <c r="AS396" s="107">
        <f t="shared" si="402"/>
        <v>1976.5430508474562</v>
      </c>
      <c r="AT396" s="107">
        <f t="shared" si="403"/>
        <v>1970.9074576271173</v>
      </c>
      <c r="AU396" s="107">
        <f t="shared" si="404"/>
        <v>1965.2718644067784</v>
      </c>
      <c r="AV396" s="107">
        <f t="shared" si="405"/>
        <v>1959.6362711864394</v>
      </c>
      <c r="AW396" s="107">
        <f t="shared" si="406"/>
        <v>1954.0006779661005</v>
      </c>
      <c r="AX396" s="107">
        <f t="shared" si="407"/>
        <v>1948.3650847457616</v>
      </c>
      <c r="AY396" s="107">
        <f t="shared" si="408"/>
        <v>1942.7294915254226</v>
      </c>
      <c r="AZ396" s="107">
        <f t="shared" si="409"/>
        <v>1937.0938983050837</v>
      </c>
      <c r="BA396" s="107">
        <f t="shared" si="410"/>
        <v>1931.4583050847448</v>
      </c>
      <c r="BB396" s="107">
        <f t="shared" si="411"/>
        <v>1925.8227118644058</v>
      </c>
      <c r="BC396" s="107">
        <f t="shared" si="412"/>
        <v>1920.1871186440669</v>
      </c>
      <c r="BD396" s="107">
        <f t="shared" si="413"/>
        <v>1914.551525423728</v>
      </c>
      <c r="BE396" s="107">
        <f>SUM(AS396:BD396,AO396)/13*$BE$2</f>
        <v>42.864031864406755</v>
      </c>
      <c r="BF396" s="127"/>
      <c r="BG396" s="127"/>
      <c r="BH396" s="127"/>
      <c r="BI396" s="127"/>
      <c r="BJ396" s="127"/>
      <c r="BK396" s="127"/>
      <c r="BL396" s="127"/>
      <c r="BM396" s="127"/>
      <c r="BN396" s="127"/>
      <c r="BO396" s="127"/>
      <c r="BP396" s="127"/>
      <c r="BQ396" s="127"/>
      <c r="BR396" s="127"/>
      <c r="BS396" s="127"/>
      <c r="BT396" s="127"/>
      <c r="BU396" s="127"/>
      <c r="BV396" s="127"/>
      <c r="BW396" s="127"/>
    </row>
    <row r="397" spans="1:75" hidden="1" x14ac:dyDescent="0.2">
      <c r="A397" s="123" t="str">
        <f>'[2]2021 УГРЦТ'!A399</f>
        <v>ТП №40-1 школа №2-новая</v>
      </c>
      <c r="B397" s="124" t="str">
        <f>'[2]2021 УГРЦТ'!B399</f>
        <v>00001155</v>
      </c>
      <c r="C397" s="124" t="str">
        <f>VLOOKUP(A:A,'2023-2027'!A:L,1,+FALSE)</f>
        <v>ТП №40-1 школа №2-новая</v>
      </c>
      <c r="D397" s="124" t="str">
        <f>'[2]2021 УГРЦТ'!C399</f>
        <v>ПЕРЕДАЧА</v>
      </c>
      <c r="E397" s="124" t="str">
        <f>'[2]2021 УГРЦТ'!D399</f>
        <v>Сооружения</v>
      </c>
      <c r="F397" s="124" t="str">
        <f>'[2]2021 УГРЦТ'!E399</f>
        <v>31.12.2009</v>
      </c>
      <c r="G397" s="124" t="str">
        <f>'[2]2021 УГРЦТ'!F399</f>
        <v>Цех электрических сетей</v>
      </c>
      <c r="H397" s="124">
        <f>'[2]2021 УГРЦТ'!AC399</f>
        <v>360</v>
      </c>
      <c r="I397" s="107">
        <f>'[2]2021 УГРЦТ'!X399</f>
        <v>709010.42</v>
      </c>
      <c r="J397" s="107">
        <f>'[2]2021 УГРЦТ'!Y399</f>
        <v>283603.72066666669</v>
      </c>
      <c r="K397" s="107">
        <f>'[2]2021 УГРЦТ'!Z399</f>
        <v>425406.69933333335</v>
      </c>
      <c r="L397" s="125" t="e">
        <f>SUMIF([2]облаг!$B$2:$B$259,B397,[2]облаг!$D$2:$D$259)</f>
        <v>#VALUE!</v>
      </c>
      <c r="M397" s="107">
        <f t="shared" si="414"/>
        <v>1969.4733888888891</v>
      </c>
      <c r="N397" s="107">
        <f t="shared" si="415"/>
        <v>23633.680666666667</v>
      </c>
      <c r="O397" s="107">
        <f t="shared" si="416"/>
        <v>423437.22594444448</v>
      </c>
      <c r="P397" s="107">
        <f t="shared" si="417"/>
        <v>421467.75255555561</v>
      </c>
      <c r="Q397" s="107">
        <f t="shared" si="335"/>
        <v>419498.27916666673</v>
      </c>
      <c r="R397" s="107">
        <f t="shared" si="336"/>
        <v>417528.80577777786</v>
      </c>
      <c r="S397" s="107">
        <f t="shared" si="337"/>
        <v>415559.33238888899</v>
      </c>
      <c r="T397" s="107">
        <f t="shared" si="338"/>
        <v>413589.85900000011</v>
      </c>
      <c r="U397" s="107">
        <f t="shared" si="339"/>
        <v>411620.38561111124</v>
      </c>
      <c r="V397" s="107">
        <f t="shared" si="340"/>
        <v>409650.91222222237</v>
      </c>
      <c r="W397" s="107">
        <f t="shared" si="341"/>
        <v>407681.43883333349</v>
      </c>
      <c r="X397" s="107">
        <f t="shared" si="342"/>
        <v>405711.96544444462</v>
      </c>
      <c r="Y397" s="107">
        <f t="shared" si="343"/>
        <v>403742.49205555575</v>
      </c>
      <c r="Z397" s="107">
        <f t="shared" si="344"/>
        <v>401773.01866666687</v>
      </c>
      <c r="AA397" s="107">
        <f>SUM(O397:Z397,K397)/13*$AA$2</f>
        <v>9098.9768980000026</v>
      </c>
      <c r="AB397" s="107"/>
      <c r="AC397" s="107">
        <f t="shared" si="345"/>
        <v>23633.680666666667</v>
      </c>
      <c r="AD397" s="107">
        <f t="shared" si="346"/>
        <v>399803.545277778</v>
      </c>
      <c r="AE397" s="107">
        <f t="shared" si="347"/>
        <v>397834.07188888913</v>
      </c>
      <c r="AF397" s="107">
        <f t="shared" si="348"/>
        <v>395864.59850000025</v>
      </c>
      <c r="AG397" s="107">
        <f t="shared" si="349"/>
        <v>393895.12511111138</v>
      </c>
      <c r="AH397" s="107">
        <f t="shared" si="350"/>
        <v>391925.65172222251</v>
      </c>
      <c r="AI397" s="107">
        <f t="shared" si="351"/>
        <v>389956.17833333364</v>
      </c>
      <c r="AJ397" s="107">
        <f t="shared" si="352"/>
        <v>387986.70494444476</v>
      </c>
      <c r="AK397" s="107">
        <f t="shared" si="353"/>
        <v>386017.23155555589</v>
      </c>
      <c r="AL397" s="107">
        <f t="shared" si="354"/>
        <v>384047.75816666702</v>
      </c>
      <c r="AM397" s="107">
        <f t="shared" si="355"/>
        <v>382078.28477777814</v>
      </c>
      <c r="AN397" s="107">
        <f t="shared" si="356"/>
        <v>380108.81138888927</v>
      </c>
      <c r="AO397" s="107">
        <f t="shared" si="357"/>
        <v>378139.3380000004</v>
      </c>
      <c r="AP397" s="107">
        <f t="shared" si="419"/>
        <v>8579.0359233333402</v>
      </c>
      <c r="AQ397" s="126"/>
      <c r="AR397" s="107">
        <f t="shared" si="358"/>
        <v>23633.680666666667</v>
      </c>
      <c r="AS397" s="107">
        <f t="shared" si="402"/>
        <v>376169.86461111152</v>
      </c>
      <c r="AT397" s="107">
        <f t="shared" si="403"/>
        <v>374200.39122222265</v>
      </c>
      <c r="AU397" s="107">
        <f t="shared" si="404"/>
        <v>372230.91783333378</v>
      </c>
      <c r="AV397" s="107">
        <f t="shared" si="405"/>
        <v>370261.4444444449</v>
      </c>
      <c r="AW397" s="107">
        <f t="shared" si="406"/>
        <v>368291.97105555603</v>
      </c>
      <c r="AX397" s="107">
        <f t="shared" si="407"/>
        <v>366322.49766666716</v>
      </c>
      <c r="AY397" s="107">
        <f t="shared" si="408"/>
        <v>364353.02427777828</v>
      </c>
      <c r="AZ397" s="107">
        <f t="shared" si="409"/>
        <v>362383.55088888941</v>
      </c>
      <c r="BA397" s="107">
        <f t="shared" si="410"/>
        <v>360414.07750000054</v>
      </c>
      <c r="BB397" s="107">
        <f t="shared" si="411"/>
        <v>358444.60411111166</v>
      </c>
      <c r="BC397" s="107">
        <f t="shared" si="412"/>
        <v>356475.13072222279</v>
      </c>
      <c r="BD397" s="107">
        <f t="shared" si="413"/>
        <v>354505.65733333392</v>
      </c>
      <c r="BE397" s="107">
        <f>SUM(AS397:BD397,AO397)/13*$BE$2</f>
        <v>8059.0949486666768</v>
      </c>
      <c r="BF397" s="127"/>
      <c r="BG397" s="127"/>
      <c r="BH397" s="127"/>
      <c r="BI397" s="127"/>
      <c r="BJ397" s="127"/>
      <c r="BK397" s="127"/>
      <c r="BL397" s="127"/>
      <c r="BM397" s="127"/>
      <c r="BN397" s="127"/>
      <c r="BO397" s="127"/>
      <c r="BP397" s="127"/>
      <c r="BQ397" s="127"/>
      <c r="BR397" s="127"/>
      <c r="BS397" s="127"/>
      <c r="BT397" s="127"/>
      <c r="BU397" s="127"/>
      <c r="BV397" s="127"/>
      <c r="BW397" s="127"/>
    </row>
    <row r="398" spans="1:75" ht="22.5" hidden="1" x14ac:dyDescent="0.2">
      <c r="A398" s="123" t="str">
        <f>'[2]2021 УГРЦТ'!A400</f>
        <v>ТП №42 по ул. Рабочая  2008г(оборуд-е)</v>
      </c>
      <c r="B398" s="124" t="str">
        <f>'[2]2021 УГРЦТ'!B400</f>
        <v>00001088</v>
      </c>
      <c r="C398" s="124" t="str">
        <f>VLOOKUP(A:A,'2023-2027'!A:L,1,+FALSE)</f>
        <v>ТП №42 по ул. Рабочая  2008г(оборуд-е)</v>
      </c>
      <c r="D398" s="124" t="str">
        <f>'[2]2021 УГРЦТ'!C400</f>
        <v>ПЕРЕДАЧА</v>
      </c>
      <c r="E398" s="124" t="str">
        <f>'[2]2021 УГРЦТ'!D400</f>
        <v>Машины и оборудование (кроме офисного)</v>
      </c>
      <c r="F398" s="124" t="str">
        <f>'[2]2021 УГРЦТ'!E400</f>
        <v>30.09.2008</v>
      </c>
      <c r="G398" s="124" t="str">
        <f>'[2]2021 УГРЦТ'!F400</f>
        <v>Цех электрических сетей</v>
      </c>
      <c r="H398" s="124">
        <f>'[2]2021 УГРЦТ'!AC400</f>
        <v>708</v>
      </c>
      <c r="I398" s="107">
        <f>'[2]2021 УГРЦТ'!X400</f>
        <v>792311.92</v>
      </c>
      <c r="J398" s="107">
        <f>'[2]2021 УГРЦТ'!Y400</f>
        <v>369117.8</v>
      </c>
      <c r="K398" s="107">
        <f>'[2]2021 УГРЦТ'!Z400</f>
        <v>423194.12000000005</v>
      </c>
      <c r="L398" s="125" t="e">
        <f>SUMIF([2]облаг!$B$2:$B$259,B398,[2]облаг!$D$2:$D$259)</f>
        <v>#VALUE!</v>
      </c>
      <c r="M398" s="107">
        <f t="shared" si="414"/>
        <v>1119.0846327683616</v>
      </c>
      <c r="N398" s="107">
        <f t="shared" si="415"/>
        <v>13429.01559322034</v>
      </c>
      <c r="O398" s="107">
        <f t="shared" si="416"/>
        <v>422075.0353672317</v>
      </c>
      <c r="P398" s="107">
        <f t="shared" si="417"/>
        <v>420955.95073446335</v>
      </c>
      <c r="Q398" s="107">
        <f t="shared" si="335"/>
        <v>419836.86610169499</v>
      </c>
      <c r="R398" s="107">
        <f t="shared" si="336"/>
        <v>418717.78146892664</v>
      </c>
      <c r="S398" s="107">
        <f t="shared" si="337"/>
        <v>417598.69683615828</v>
      </c>
      <c r="T398" s="107">
        <f t="shared" si="338"/>
        <v>416479.61220338993</v>
      </c>
      <c r="U398" s="107">
        <f t="shared" si="339"/>
        <v>415360.52757062158</v>
      </c>
      <c r="V398" s="107">
        <f t="shared" si="340"/>
        <v>414241.44293785322</v>
      </c>
      <c r="W398" s="107">
        <f t="shared" si="341"/>
        <v>413122.35830508487</v>
      </c>
      <c r="X398" s="107">
        <f t="shared" si="342"/>
        <v>412003.27367231651</v>
      </c>
      <c r="Y398" s="107">
        <f t="shared" si="343"/>
        <v>410884.18903954816</v>
      </c>
      <c r="Z398" s="107">
        <f t="shared" si="344"/>
        <v>409765.10440677981</v>
      </c>
      <c r="AA398" s="107"/>
      <c r="AB398" s="107"/>
      <c r="AC398" s="107">
        <f t="shared" si="345"/>
        <v>13429.01559322034</v>
      </c>
      <c r="AD398" s="107">
        <f t="shared" si="346"/>
        <v>408646.01977401145</v>
      </c>
      <c r="AE398" s="107">
        <f t="shared" si="347"/>
        <v>407526.9351412431</v>
      </c>
      <c r="AF398" s="107">
        <f t="shared" si="348"/>
        <v>406407.85050847474</v>
      </c>
      <c r="AG398" s="107">
        <f t="shared" si="349"/>
        <v>405288.76587570639</v>
      </c>
      <c r="AH398" s="107">
        <f t="shared" si="350"/>
        <v>404169.68124293804</v>
      </c>
      <c r="AI398" s="107">
        <f t="shared" si="351"/>
        <v>403050.59661016968</v>
      </c>
      <c r="AJ398" s="107">
        <f t="shared" si="352"/>
        <v>401931.51197740133</v>
      </c>
      <c r="AK398" s="107">
        <f t="shared" si="353"/>
        <v>400812.42734463298</v>
      </c>
      <c r="AL398" s="107">
        <f t="shared" si="354"/>
        <v>399693.34271186462</v>
      </c>
      <c r="AM398" s="107">
        <f t="shared" si="355"/>
        <v>398574.25807909627</v>
      </c>
      <c r="AN398" s="107">
        <f t="shared" si="356"/>
        <v>397455.17344632791</v>
      </c>
      <c r="AO398" s="107">
        <f t="shared" si="357"/>
        <v>396336.08881355956</v>
      </c>
      <c r="AP398" s="107"/>
      <c r="AQ398" s="126"/>
      <c r="AR398" s="107">
        <f t="shared" si="358"/>
        <v>13429.01559322034</v>
      </c>
      <c r="AS398" s="107">
        <f t="shared" si="402"/>
        <v>395217.00418079121</v>
      </c>
      <c r="AT398" s="107">
        <f t="shared" si="403"/>
        <v>394097.91954802285</v>
      </c>
      <c r="AU398" s="107">
        <f t="shared" si="404"/>
        <v>392978.8349152545</v>
      </c>
      <c r="AV398" s="107">
        <f t="shared" si="405"/>
        <v>391859.75028248614</v>
      </c>
      <c r="AW398" s="107">
        <f t="shared" si="406"/>
        <v>390740.66564971779</v>
      </c>
      <c r="AX398" s="107">
        <f t="shared" si="407"/>
        <v>389621.58101694944</v>
      </c>
      <c r="AY398" s="107">
        <f t="shared" si="408"/>
        <v>388502.49638418108</v>
      </c>
      <c r="AZ398" s="107">
        <f t="shared" si="409"/>
        <v>387383.41175141273</v>
      </c>
      <c r="BA398" s="107">
        <f t="shared" si="410"/>
        <v>386264.32711864437</v>
      </c>
      <c r="BB398" s="107">
        <f t="shared" si="411"/>
        <v>385145.24248587602</v>
      </c>
      <c r="BC398" s="107">
        <f t="shared" si="412"/>
        <v>384026.15785310767</v>
      </c>
      <c r="BD398" s="107">
        <f t="shared" si="413"/>
        <v>382907.07322033931</v>
      </c>
      <c r="BE398" s="107"/>
      <c r="BF398" s="127"/>
      <c r="BG398" s="127"/>
      <c r="BH398" s="127"/>
      <c r="BI398" s="127"/>
      <c r="BJ398" s="127"/>
      <c r="BK398" s="127"/>
      <c r="BL398" s="127"/>
      <c r="BM398" s="127"/>
      <c r="BN398" s="127"/>
      <c r="BO398" s="127"/>
      <c r="BP398" s="127"/>
      <c r="BQ398" s="127"/>
      <c r="BR398" s="127"/>
      <c r="BS398" s="127"/>
      <c r="BT398" s="127"/>
      <c r="BU398" s="127"/>
      <c r="BV398" s="127"/>
      <c r="BW398" s="127"/>
    </row>
    <row r="399" spans="1:75" hidden="1" x14ac:dyDescent="0.2">
      <c r="A399" s="123" t="str">
        <f>'[2]2021 УГРЦТ'!A401</f>
        <v>ТП №42 ул Рабочая 21 1980г</v>
      </c>
      <c r="B399" s="124" t="str">
        <f>'[2]2021 УГРЦТ'!B401</f>
        <v>00000156</v>
      </c>
      <c r="C399" s="124" t="str">
        <f>VLOOKUP(A:A,'2023-2027'!A:L,1,+FALSE)</f>
        <v>ТП №42 ул Рабочая 21 1980г</v>
      </c>
      <c r="D399" s="124" t="str">
        <f>'[2]2021 УГРЦТ'!C401</f>
        <v>ПЕРЕДАЧА</v>
      </c>
      <c r="E399" s="124" t="str">
        <f>'[2]2021 УГРЦТ'!D401</f>
        <v>Здания</v>
      </c>
      <c r="F399" s="124" t="str">
        <f>'[2]2021 УГРЦТ'!E401</f>
        <v>31.01.1980</v>
      </c>
      <c r="G399" s="124" t="str">
        <f>'[2]2021 УГРЦТ'!F401</f>
        <v>Цех электрических сетей</v>
      </c>
      <c r="H399" s="124">
        <f>'[2]2021 УГРЦТ'!AC401</f>
        <v>708</v>
      </c>
      <c r="I399" s="107">
        <f>'[2]2021 УГРЦТ'!X401</f>
        <v>94845</v>
      </c>
      <c r="J399" s="107">
        <f>'[2]2021 УГРЦТ'!Y401</f>
        <v>70889.162372881357</v>
      </c>
      <c r="K399" s="107">
        <f>'[2]2021 УГРЦТ'!Z401</f>
        <v>23955.837627118643</v>
      </c>
      <c r="L399" s="125" t="e">
        <f>SUMIF([2]облаг!$B$2:$B$259,B399,[2]облаг!$D$2:$D$259)</f>
        <v>#VALUE!</v>
      </c>
      <c r="M399" s="107">
        <f t="shared" si="414"/>
        <v>133.96186440677965</v>
      </c>
      <c r="N399" s="107">
        <f t="shared" si="415"/>
        <v>1607.5423728813557</v>
      </c>
      <c r="O399" s="107">
        <f t="shared" si="416"/>
        <v>23821.875762711861</v>
      </c>
      <c r="P399" s="107">
        <f t="shared" si="417"/>
        <v>23687.91389830508</v>
      </c>
      <c r="Q399" s="107">
        <f t="shared" si="335"/>
        <v>23553.952033898298</v>
      </c>
      <c r="R399" s="107">
        <f t="shared" si="336"/>
        <v>23419.990169491517</v>
      </c>
      <c r="S399" s="107">
        <f t="shared" si="337"/>
        <v>23286.028305084736</v>
      </c>
      <c r="T399" s="107">
        <f t="shared" si="338"/>
        <v>23152.066440677954</v>
      </c>
      <c r="U399" s="107">
        <f t="shared" si="339"/>
        <v>23018.104576271173</v>
      </c>
      <c r="V399" s="107">
        <f t="shared" si="340"/>
        <v>22884.142711864391</v>
      </c>
      <c r="W399" s="107">
        <f t="shared" si="341"/>
        <v>22750.18084745761</v>
      </c>
      <c r="X399" s="107">
        <f t="shared" si="342"/>
        <v>22616.218983050829</v>
      </c>
      <c r="Y399" s="107">
        <f t="shared" si="343"/>
        <v>22482.257118644047</v>
      </c>
      <c r="Z399" s="107">
        <f t="shared" si="344"/>
        <v>22348.295254237266</v>
      </c>
      <c r="AA399" s="107">
        <f t="shared" ref="AA399:AA409" si="420">SUM(O399:Z399,K399)/13*$AA$2</f>
        <v>509.34546169491495</v>
      </c>
      <c r="AB399" s="107"/>
      <c r="AC399" s="107">
        <f t="shared" si="345"/>
        <v>1607.5423728813557</v>
      </c>
      <c r="AD399" s="107">
        <f t="shared" si="346"/>
        <v>22214.333389830485</v>
      </c>
      <c r="AE399" s="107">
        <f t="shared" si="347"/>
        <v>22080.371525423703</v>
      </c>
      <c r="AF399" s="107">
        <f t="shared" si="348"/>
        <v>21946.409661016922</v>
      </c>
      <c r="AG399" s="107">
        <f t="shared" si="349"/>
        <v>21812.44779661014</v>
      </c>
      <c r="AH399" s="107">
        <f t="shared" si="350"/>
        <v>21678.485932203359</v>
      </c>
      <c r="AI399" s="107">
        <f t="shared" si="351"/>
        <v>21544.524067796578</v>
      </c>
      <c r="AJ399" s="107">
        <f t="shared" si="352"/>
        <v>21410.562203389796</v>
      </c>
      <c r="AK399" s="107">
        <f t="shared" si="353"/>
        <v>21276.600338983015</v>
      </c>
      <c r="AL399" s="107">
        <f t="shared" si="354"/>
        <v>21142.638474576233</v>
      </c>
      <c r="AM399" s="107">
        <f t="shared" si="355"/>
        <v>21008.676610169452</v>
      </c>
      <c r="AN399" s="107">
        <f t="shared" si="356"/>
        <v>20874.714745762671</v>
      </c>
      <c r="AO399" s="107">
        <f t="shared" si="357"/>
        <v>20740.752881355889</v>
      </c>
      <c r="AP399" s="107">
        <f t="shared" ref="AP399:AP409" si="421">SUM(AD399:AO399,Z399)/13*$AP$2</f>
        <v>473.97952949152466</v>
      </c>
      <c r="AQ399" s="126"/>
      <c r="AR399" s="107">
        <f t="shared" si="358"/>
        <v>1607.5423728813557</v>
      </c>
      <c r="AS399" s="107">
        <f t="shared" si="402"/>
        <v>20606.791016949108</v>
      </c>
      <c r="AT399" s="107">
        <f t="shared" si="403"/>
        <v>20472.829152542326</v>
      </c>
      <c r="AU399" s="107">
        <f t="shared" si="404"/>
        <v>20338.867288135545</v>
      </c>
      <c r="AV399" s="107">
        <f t="shared" si="405"/>
        <v>20204.905423728764</v>
      </c>
      <c r="AW399" s="107">
        <f t="shared" si="406"/>
        <v>20070.943559321982</v>
      </c>
      <c r="AX399" s="107">
        <f t="shared" si="407"/>
        <v>19936.981694915201</v>
      </c>
      <c r="AY399" s="107">
        <f t="shared" si="408"/>
        <v>19803.01983050842</v>
      </c>
      <c r="AZ399" s="107">
        <f t="shared" si="409"/>
        <v>19669.057966101638</v>
      </c>
      <c r="BA399" s="107">
        <f t="shared" si="410"/>
        <v>19535.096101694857</v>
      </c>
      <c r="BB399" s="107">
        <f t="shared" si="411"/>
        <v>19401.134237288075</v>
      </c>
      <c r="BC399" s="107">
        <f t="shared" si="412"/>
        <v>19267.172372881294</v>
      </c>
      <c r="BD399" s="107">
        <f t="shared" si="413"/>
        <v>19133.210508474513</v>
      </c>
      <c r="BE399" s="107">
        <f t="shared" ref="BE399:BE409" si="422">SUM(AS399:BD399,AO399)/13*$BE$2</f>
        <v>438.61359728813437</v>
      </c>
      <c r="BF399" s="127"/>
      <c r="BG399" s="127"/>
      <c r="BH399" s="127"/>
      <c r="BI399" s="127"/>
      <c r="BJ399" s="127"/>
      <c r="BK399" s="127"/>
      <c r="BL399" s="127"/>
      <c r="BM399" s="127"/>
      <c r="BN399" s="127"/>
      <c r="BO399" s="127"/>
      <c r="BP399" s="127"/>
      <c r="BQ399" s="127"/>
      <c r="BR399" s="127"/>
      <c r="BS399" s="127"/>
      <c r="BT399" s="127"/>
      <c r="BU399" s="127"/>
      <c r="BV399" s="127"/>
      <c r="BW399" s="127"/>
    </row>
    <row r="400" spans="1:75" ht="22.5" hidden="1" x14ac:dyDescent="0.2">
      <c r="A400" s="123" t="str">
        <f>'[2]2021 УГРЦТ'!A402</f>
        <v>ТП №44 "Ненецкая СББЖ г.Нарьян-Мара"</v>
      </c>
      <c r="B400" s="124" t="str">
        <f>'[2]2021 УГРЦТ'!B402</f>
        <v>000001668</v>
      </c>
      <c r="C400" s="124" t="str">
        <f>VLOOKUP(A:A,'2023-2027'!A:L,1,+FALSE)</f>
        <v>ТП №44 "Ненецкая СББЖ г.Нарьян-Мара"</v>
      </c>
      <c r="D400" s="124" t="str">
        <f>'[2]2021 УГРЦТ'!C402</f>
        <v>ПЕРЕДАЧА</v>
      </c>
      <c r="E400" s="124" t="str">
        <f>'[2]2021 УГРЦТ'!D402</f>
        <v>Сооружения</v>
      </c>
      <c r="F400" s="124" t="str">
        <f>'[2]2021 УГРЦТ'!E402</f>
        <v>31.12.2015</v>
      </c>
      <c r="G400" s="124" t="str">
        <f>'[2]2021 УГРЦТ'!F402</f>
        <v>Цех электрических сетей</v>
      </c>
      <c r="H400" s="124">
        <f>'[2]2021 УГРЦТ'!AC402</f>
        <v>240</v>
      </c>
      <c r="I400" s="107">
        <v>1561848.18</v>
      </c>
      <c r="J400" s="107">
        <v>468554.40899999999</v>
      </c>
      <c r="K400" s="107">
        <v>1093293.7709999999</v>
      </c>
      <c r="L400" s="125" t="e">
        <f>SUMIF([2]облаг!$B$2:$B$259,B400,[2]облаг!$D$2:$D$259)</f>
        <v>#VALUE!</v>
      </c>
      <c r="M400" s="107">
        <f t="shared" si="414"/>
        <v>6507.70075</v>
      </c>
      <c r="N400" s="107">
        <f t="shared" si="415"/>
        <v>78092.409</v>
      </c>
      <c r="O400" s="107">
        <f t="shared" si="416"/>
        <v>1086786.0702499999</v>
      </c>
      <c r="P400" s="107">
        <f t="shared" si="417"/>
        <v>1080278.3694999998</v>
      </c>
      <c r="Q400" s="107">
        <f t="shared" si="335"/>
        <v>1073770.6687499997</v>
      </c>
      <c r="R400" s="107">
        <f t="shared" si="336"/>
        <v>1067262.9679999996</v>
      </c>
      <c r="S400" s="107">
        <f t="shared" si="337"/>
        <v>1060755.2672499996</v>
      </c>
      <c r="T400" s="107">
        <f t="shared" si="338"/>
        <v>1054247.5664999995</v>
      </c>
      <c r="U400" s="107">
        <f t="shared" si="339"/>
        <v>1047739.8657499995</v>
      </c>
      <c r="V400" s="107">
        <f t="shared" si="340"/>
        <v>1041232.1649999996</v>
      </c>
      <c r="W400" s="107">
        <f t="shared" si="341"/>
        <v>1034724.4642499996</v>
      </c>
      <c r="X400" s="107">
        <f t="shared" si="342"/>
        <v>1028216.7634999997</v>
      </c>
      <c r="Y400" s="107">
        <f t="shared" si="343"/>
        <v>1021709.0627499997</v>
      </c>
      <c r="Z400" s="107">
        <f t="shared" si="344"/>
        <v>1015201.3619999997</v>
      </c>
      <c r="AA400" s="107">
        <f t="shared" si="420"/>
        <v>23193.446462999993</v>
      </c>
      <c r="AB400" s="107"/>
      <c r="AC400" s="107">
        <f t="shared" si="345"/>
        <v>78092.409</v>
      </c>
      <c r="AD400" s="107">
        <f t="shared" si="346"/>
        <v>1008693.6612499998</v>
      </c>
      <c r="AE400" s="107">
        <f t="shared" si="347"/>
        <v>1002185.9604999998</v>
      </c>
      <c r="AF400" s="107">
        <f t="shared" si="348"/>
        <v>995678.25974999985</v>
      </c>
      <c r="AG400" s="107">
        <f t="shared" si="349"/>
        <v>989170.55899999989</v>
      </c>
      <c r="AH400" s="107">
        <f t="shared" si="350"/>
        <v>982662.85824999993</v>
      </c>
      <c r="AI400" s="107">
        <f t="shared" si="351"/>
        <v>976155.15749999997</v>
      </c>
      <c r="AJ400" s="107">
        <f t="shared" si="352"/>
        <v>969647.45675000001</v>
      </c>
      <c r="AK400" s="107">
        <f t="shared" si="353"/>
        <v>963139.75600000005</v>
      </c>
      <c r="AL400" s="107">
        <f t="shared" si="354"/>
        <v>956632.05525000009</v>
      </c>
      <c r="AM400" s="107">
        <f t="shared" si="355"/>
        <v>950124.35450000013</v>
      </c>
      <c r="AN400" s="107">
        <f t="shared" si="356"/>
        <v>943616.65375000017</v>
      </c>
      <c r="AO400" s="107">
        <f t="shared" si="357"/>
        <v>937108.95300000021</v>
      </c>
      <c r="AP400" s="107">
        <f t="shared" si="421"/>
        <v>21475.413464999994</v>
      </c>
      <c r="AQ400" s="126"/>
      <c r="AR400" s="107">
        <f t="shared" si="358"/>
        <v>78092.409</v>
      </c>
      <c r="AS400" s="107">
        <f t="shared" si="402"/>
        <v>930601.25225000025</v>
      </c>
      <c r="AT400" s="107">
        <f t="shared" si="403"/>
        <v>924093.55150000029</v>
      </c>
      <c r="AU400" s="107">
        <f t="shared" si="404"/>
        <v>917585.85075000033</v>
      </c>
      <c r="AV400" s="107">
        <f t="shared" si="405"/>
        <v>911078.15000000037</v>
      </c>
      <c r="AW400" s="107">
        <f t="shared" si="406"/>
        <v>904570.44925000041</v>
      </c>
      <c r="AX400" s="107">
        <f t="shared" si="407"/>
        <v>898062.74850000045</v>
      </c>
      <c r="AY400" s="107">
        <f t="shared" si="408"/>
        <v>891555.04775000049</v>
      </c>
      <c r="AZ400" s="107">
        <f t="shared" si="409"/>
        <v>885047.34700000053</v>
      </c>
      <c r="BA400" s="107">
        <f t="shared" si="410"/>
        <v>878539.64625000057</v>
      </c>
      <c r="BB400" s="107">
        <f t="shared" si="411"/>
        <v>872031.94550000061</v>
      </c>
      <c r="BC400" s="107">
        <f t="shared" si="412"/>
        <v>865524.24475000065</v>
      </c>
      <c r="BD400" s="107">
        <f t="shared" si="413"/>
        <v>859016.54400000069</v>
      </c>
      <c r="BE400" s="107">
        <f t="shared" si="422"/>
        <v>19757.38046700001</v>
      </c>
      <c r="BF400" s="127"/>
      <c r="BG400" s="127"/>
      <c r="BH400" s="127"/>
      <c r="BI400" s="127"/>
      <c r="BJ400" s="127"/>
      <c r="BK400" s="127"/>
      <c r="BL400" s="127"/>
      <c r="BM400" s="127"/>
      <c r="BN400" s="127"/>
      <c r="BO400" s="127"/>
      <c r="BP400" s="127"/>
      <c r="BQ400" s="127"/>
      <c r="BR400" s="127"/>
      <c r="BS400" s="127"/>
      <c r="BT400" s="127"/>
      <c r="BU400" s="127"/>
      <c r="BV400" s="127"/>
      <c r="BW400" s="127"/>
    </row>
    <row r="401" spans="1:75" hidden="1" x14ac:dyDescent="0.2">
      <c r="A401" s="123" t="str">
        <f>'[2]2021 УГРЦТ'!A403</f>
        <v>ТП №45 ПОКиТС 2008г</v>
      </c>
      <c r="B401" s="124" t="str">
        <f>'[2]2021 УГРЦТ'!B403</f>
        <v>00001096</v>
      </c>
      <c r="C401" s="124" t="str">
        <f>VLOOKUP(A:A,'2023-2027'!A:L,1,+FALSE)</f>
        <v>ТП №45 ПОКиТС 2008г</v>
      </c>
      <c r="D401" s="124" t="str">
        <f>'[2]2021 УГРЦТ'!C403</f>
        <v>ПЕРЕДАЧА</v>
      </c>
      <c r="E401" s="124" t="str">
        <f>'[2]2021 УГРЦТ'!D403</f>
        <v>Сооружения</v>
      </c>
      <c r="F401" s="124" t="str">
        <f>'[2]2021 УГРЦТ'!E403</f>
        <v>31.10.2008</v>
      </c>
      <c r="G401" s="124" t="str">
        <f>'[2]2021 УГРЦТ'!F403</f>
        <v>Цех электрических сетей</v>
      </c>
      <c r="H401" s="124">
        <f>'[2]2021 УГРЦТ'!AC403</f>
        <v>180</v>
      </c>
      <c r="I401" s="107">
        <f>'[2]2021 УГРЦТ'!X403</f>
        <v>636241.19999999995</v>
      </c>
      <c r="J401" s="107">
        <f>'[2]2021 УГРЦТ'!Y403</f>
        <v>558477.9</v>
      </c>
      <c r="K401" s="107">
        <f>'[2]2021 УГРЦТ'!Z403</f>
        <v>77763.29999999993</v>
      </c>
      <c r="L401" s="125" t="e">
        <f>SUMIF([2]облаг!$B$2:$B$259,B401,[2]облаг!$D$2:$D$259)</f>
        <v>#VALUE!</v>
      </c>
      <c r="M401" s="107">
        <f t="shared" si="414"/>
        <v>3534.6733333333332</v>
      </c>
      <c r="N401" s="107">
        <f t="shared" si="415"/>
        <v>42416.08</v>
      </c>
      <c r="O401" s="107">
        <f t="shared" si="416"/>
        <v>74228.626666666591</v>
      </c>
      <c r="P401" s="107">
        <f t="shared" si="417"/>
        <v>70693.953333333251</v>
      </c>
      <c r="Q401" s="107">
        <f t="shared" si="335"/>
        <v>67159.279999999912</v>
      </c>
      <c r="R401" s="107">
        <f t="shared" si="336"/>
        <v>63624.606666666579</v>
      </c>
      <c r="S401" s="107">
        <f t="shared" si="337"/>
        <v>60089.933333333247</v>
      </c>
      <c r="T401" s="107">
        <f t="shared" si="338"/>
        <v>56555.259999999915</v>
      </c>
      <c r="U401" s="107">
        <f t="shared" si="339"/>
        <v>53020.586666666582</v>
      </c>
      <c r="V401" s="107">
        <f t="shared" si="340"/>
        <v>49485.91333333325</v>
      </c>
      <c r="W401" s="107">
        <f t="shared" si="341"/>
        <v>45951.239999999918</v>
      </c>
      <c r="X401" s="107">
        <f t="shared" si="342"/>
        <v>42416.566666666586</v>
      </c>
      <c r="Y401" s="107">
        <f t="shared" si="343"/>
        <v>38881.893333333253</v>
      </c>
      <c r="Z401" s="107">
        <f t="shared" si="344"/>
        <v>35347.219999999921</v>
      </c>
      <c r="AA401" s="107">
        <f t="shared" si="420"/>
        <v>1244.2157199999979</v>
      </c>
      <c r="AB401" s="107"/>
      <c r="AC401" s="107">
        <f>AD401</f>
        <v>31812.546666666589</v>
      </c>
      <c r="AD401" s="107">
        <f t="shared" si="346"/>
        <v>31812.546666666589</v>
      </c>
      <c r="AE401" s="107">
        <f t="shared" si="347"/>
        <v>28277.873333333257</v>
      </c>
      <c r="AF401" s="107">
        <f t="shared" si="348"/>
        <v>24743.199999999924</v>
      </c>
      <c r="AG401" s="107">
        <f t="shared" si="349"/>
        <v>21208.526666666592</v>
      </c>
      <c r="AH401" s="107">
        <f t="shared" si="350"/>
        <v>17673.85333333326</v>
      </c>
      <c r="AI401" s="107">
        <f t="shared" si="351"/>
        <v>14139.179999999928</v>
      </c>
      <c r="AJ401" s="107">
        <f t="shared" si="352"/>
        <v>10604.506666666595</v>
      </c>
      <c r="AK401" s="107">
        <f t="shared" si="353"/>
        <v>7069.8333333332621</v>
      </c>
      <c r="AL401" s="107">
        <f t="shared" si="354"/>
        <v>3535.1599999999289</v>
      </c>
      <c r="AM401" s="107">
        <f t="shared" si="355"/>
        <v>0.48666666659573821</v>
      </c>
      <c r="AN401" s="107">
        <v>0</v>
      </c>
      <c r="AO401" s="107">
        <v>0</v>
      </c>
      <c r="AP401" s="107">
        <f t="shared" si="421"/>
        <v>329.00557743589599</v>
      </c>
      <c r="AQ401" s="126"/>
      <c r="AR401" s="107">
        <v>0</v>
      </c>
      <c r="AS401" s="107">
        <v>0</v>
      </c>
      <c r="AT401" s="107">
        <v>0</v>
      </c>
      <c r="AU401" s="107">
        <v>0</v>
      </c>
      <c r="AV401" s="107">
        <v>0</v>
      </c>
      <c r="AW401" s="107">
        <v>0</v>
      </c>
      <c r="AX401" s="107">
        <v>0</v>
      </c>
      <c r="AY401" s="107">
        <v>0</v>
      </c>
      <c r="AZ401" s="107">
        <v>0</v>
      </c>
      <c r="BA401" s="107">
        <v>0</v>
      </c>
      <c r="BB401" s="107">
        <v>0</v>
      </c>
      <c r="BC401" s="107">
        <v>0</v>
      </c>
      <c r="BD401" s="107">
        <v>0</v>
      </c>
      <c r="BE401" s="107">
        <f t="shared" si="422"/>
        <v>0</v>
      </c>
      <c r="BG401" s="127"/>
      <c r="BI401" s="127"/>
      <c r="BV401" s="127"/>
    </row>
    <row r="402" spans="1:75" hidden="1" x14ac:dyDescent="0.2">
      <c r="A402" s="123" t="str">
        <f>'[2]2021 УГРЦТ'!A404</f>
        <v>ТП №48 Угольная</v>
      </c>
      <c r="B402" s="124" t="str">
        <f>'[2]2021 УГРЦТ'!B404</f>
        <v>00000231</v>
      </c>
      <c r="C402" s="124" t="str">
        <f>VLOOKUP(A:A,'2023-2027'!A:L,1,+FALSE)</f>
        <v>ТП №48 Угольная</v>
      </c>
      <c r="D402" s="124" t="str">
        <f>'[2]2021 УГРЦТ'!C404</f>
        <v>ПЕРЕДАЧА</v>
      </c>
      <c r="E402" s="124" t="str">
        <f>'[2]2021 УГРЦТ'!D404</f>
        <v>Сооружения</v>
      </c>
      <c r="F402" s="124" t="str">
        <f>'[2]2021 УГРЦТ'!E404</f>
        <v>01.01.1996</v>
      </c>
      <c r="G402" s="124" t="str">
        <f>'[2]2021 УГРЦТ'!F404</f>
        <v>Цех электрических сетей</v>
      </c>
      <c r="H402" s="124">
        <f>'[2]2021 УГРЦТ'!AC404</f>
        <v>708</v>
      </c>
      <c r="I402" s="107">
        <f>'[2]2021 УГРЦТ'!X404</f>
        <v>84493.17</v>
      </c>
      <c r="J402" s="107">
        <f>'[2]2021 УГРЦТ'!Y404</f>
        <v>22796.84</v>
      </c>
      <c r="K402" s="107">
        <f>'[2]2021 УГРЦТ'!Z404</f>
        <v>61696.33</v>
      </c>
      <c r="L402" s="125" t="e">
        <f>SUMIF([2]облаг!$B$2:$B$259,B402,[2]облаг!$D$2:$D$259)</f>
        <v>#VALUE!</v>
      </c>
      <c r="M402" s="107">
        <f t="shared" si="414"/>
        <v>119.34063559322034</v>
      </c>
      <c r="N402" s="107">
        <f t="shared" si="415"/>
        <v>1432.0876271186441</v>
      </c>
      <c r="O402" s="107">
        <f t="shared" si="416"/>
        <v>61576.989364406778</v>
      </c>
      <c r="P402" s="107">
        <f t="shared" si="417"/>
        <v>61457.648728813554</v>
      </c>
      <c r="Q402" s="107">
        <f t="shared" si="335"/>
        <v>61338.30809322033</v>
      </c>
      <c r="R402" s="107">
        <f t="shared" si="336"/>
        <v>61218.967457627106</v>
      </c>
      <c r="S402" s="107">
        <f t="shared" si="337"/>
        <v>61099.626822033882</v>
      </c>
      <c r="T402" s="107">
        <f t="shared" si="338"/>
        <v>60980.286186440659</v>
      </c>
      <c r="U402" s="107">
        <f t="shared" si="339"/>
        <v>60860.945550847435</v>
      </c>
      <c r="V402" s="107">
        <f t="shared" si="340"/>
        <v>60741.604915254211</v>
      </c>
      <c r="W402" s="107">
        <f t="shared" si="341"/>
        <v>60622.264279660987</v>
      </c>
      <c r="X402" s="107">
        <f t="shared" si="342"/>
        <v>60502.923644067763</v>
      </c>
      <c r="Y402" s="107">
        <f t="shared" si="343"/>
        <v>60383.583008474539</v>
      </c>
      <c r="Z402" s="107">
        <f t="shared" si="344"/>
        <v>60264.242372881316</v>
      </c>
      <c r="AA402" s="107">
        <f t="shared" si="420"/>
        <v>1341.5662961016942</v>
      </c>
      <c r="AB402" s="107"/>
      <c r="AC402" s="107">
        <f t="shared" si="345"/>
        <v>1432.0876271186441</v>
      </c>
      <c r="AD402" s="107">
        <f t="shared" si="346"/>
        <v>60144.901737288092</v>
      </c>
      <c r="AE402" s="107">
        <f t="shared" si="347"/>
        <v>60025.561101694868</v>
      </c>
      <c r="AF402" s="107">
        <f t="shared" si="348"/>
        <v>59906.220466101644</v>
      </c>
      <c r="AG402" s="107">
        <f t="shared" si="349"/>
        <v>59786.87983050842</v>
      </c>
      <c r="AH402" s="107">
        <f t="shared" si="350"/>
        <v>59667.539194915196</v>
      </c>
      <c r="AI402" s="107">
        <f t="shared" si="351"/>
        <v>59548.198559321972</v>
      </c>
      <c r="AJ402" s="107">
        <f t="shared" si="352"/>
        <v>59428.857923728749</v>
      </c>
      <c r="AK402" s="107">
        <f t="shared" si="353"/>
        <v>59309.517288135525</v>
      </c>
      <c r="AL402" s="107">
        <f t="shared" si="354"/>
        <v>59190.176652542301</v>
      </c>
      <c r="AM402" s="107">
        <f t="shared" si="355"/>
        <v>59070.836016949077</v>
      </c>
      <c r="AN402" s="107">
        <f t="shared" si="356"/>
        <v>58951.495381355853</v>
      </c>
      <c r="AO402" s="107">
        <f t="shared" si="357"/>
        <v>58832.154745762629</v>
      </c>
      <c r="AP402" s="107">
        <f t="shared" si="421"/>
        <v>1310.0603683050831</v>
      </c>
      <c r="AQ402" s="126"/>
      <c r="AR402" s="107">
        <f t="shared" si="358"/>
        <v>1432.0876271186441</v>
      </c>
      <c r="AS402" s="107">
        <f t="shared" ref="AS402:AS420" si="423">AO402-M402</f>
        <v>58712.814110169405</v>
      </c>
      <c r="AT402" s="107">
        <f t="shared" ref="AT402:AT420" si="424">AS402-M402</f>
        <v>58593.473474576182</v>
      </c>
      <c r="AU402" s="107">
        <f t="shared" ref="AU402:AU420" si="425">AT402-M402</f>
        <v>58474.132838982958</v>
      </c>
      <c r="AV402" s="107">
        <f t="shared" ref="AV402:AV420" si="426">AU402-M402</f>
        <v>58354.792203389734</v>
      </c>
      <c r="AW402" s="107">
        <f t="shared" ref="AW402:AW420" si="427">AV402-M402</f>
        <v>58235.45156779651</v>
      </c>
      <c r="AX402" s="107">
        <f t="shared" ref="AX402:AX420" si="428">AW402-M402</f>
        <v>58116.110932203286</v>
      </c>
      <c r="AY402" s="107">
        <f>AX402-M402</f>
        <v>57996.770296610062</v>
      </c>
      <c r="AZ402" s="107">
        <f>AY402-M402</f>
        <v>57877.429661016839</v>
      </c>
      <c r="BA402" s="107">
        <f>AZ402-M402</f>
        <v>57758.089025423615</v>
      </c>
      <c r="BB402" s="107">
        <f>BA402-M402</f>
        <v>57638.748389830391</v>
      </c>
      <c r="BC402" s="107">
        <f>BB402-M402</f>
        <v>57519.407754237167</v>
      </c>
      <c r="BD402" s="107">
        <f>BC402-M402</f>
        <v>57400.067118643943</v>
      </c>
      <c r="BE402" s="107">
        <f t="shared" si="422"/>
        <v>1278.5544405084722</v>
      </c>
      <c r="BF402" s="127"/>
      <c r="BG402" s="127"/>
      <c r="BH402" s="127"/>
      <c r="BI402" s="127"/>
      <c r="BJ402" s="127"/>
      <c r="BK402" s="127"/>
      <c r="BL402" s="127"/>
      <c r="BM402" s="127"/>
      <c r="BN402" s="127"/>
      <c r="BO402" s="127"/>
      <c r="BP402" s="127"/>
      <c r="BQ402" s="127"/>
      <c r="BR402" s="127"/>
      <c r="BS402" s="127"/>
      <c r="BT402" s="127"/>
      <c r="BU402" s="127"/>
      <c r="BV402" s="127"/>
      <c r="BW402" s="127"/>
    </row>
    <row r="403" spans="1:75" ht="22.5" hidden="1" x14ac:dyDescent="0.2">
      <c r="A403" s="123" t="str">
        <f>'[2]2021 УГРЦТ'!A405</f>
        <v>ТП №5/1 2КТПН-630/6/0,4 Смидовича 20А 2010г</v>
      </c>
      <c r="B403" s="124" t="str">
        <f>'[2]2021 УГРЦТ'!B405</f>
        <v>00000927</v>
      </c>
      <c r="C403" s="124" t="str">
        <f>VLOOKUP(A:A,'2023-2027'!A:L,1,+FALSE)</f>
        <v>ТП №5/1 2КТПН-630/6/0,4 Смидовича 20А 2010г</v>
      </c>
      <c r="D403" s="124" t="str">
        <f>'[2]2021 УГРЦТ'!C405</f>
        <v>ПЕРЕДАЧА</v>
      </c>
      <c r="E403" s="124" t="str">
        <f>'[2]2021 УГРЦТ'!D405</f>
        <v>Сооружения</v>
      </c>
      <c r="F403" s="124" t="str">
        <f>'[2]2021 УГРЦТ'!E405</f>
        <v>31.12.2010</v>
      </c>
      <c r="G403" s="124" t="str">
        <f>'[2]2021 УГРЦТ'!F405</f>
        <v>Цех электрических сетей</v>
      </c>
      <c r="H403" s="124">
        <f>'[2]2021 УГРЦТ'!AC405</f>
        <v>240</v>
      </c>
      <c r="I403" s="107">
        <f>'[2]2021 УГРЦТ'!X405</f>
        <v>5770950</v>
      </c>
      <c r="J403" s="107">
        <f>'[2]2021 УГРЦТ'!Y405</f>
        <v>3174023.1</v>
      </c>
      <c r="K403" s="107">
        <f>'[2]2021 УГРЦТ'!Z405</f>
        <v>2596926.9</v>
      </c>
      <c r="L403" s="125" t="e">
        <f>SUMIF([2]облаг!$B$2:$B$259,B403,[2]облаг!$D$2:$D$259)</f>
        <v>#VALUE!</v>
      </c>
      <c r="M403" s="107">
        <f t="shared" si="414"/>
        <v>24045.625</v>
      </c>
      <c r="N403" s="107">
        <f t="shared" si="415"/>
        <v>288547.5</v>
      </c>
      <c r="O403" s="107">
        <f t="shared" si="416"/>
        <v>2572881.2749999999</v>
      </c>
      <c r="P403" s="107">
        <f t="shared" si="417"/>
        <v>2548835.65</v>
      </c>
      <c r="Q403" s="107">
        <f t="shared" si="335"/>
        <v>2524790.0249999999</v>
      </c>
      <c r="R403" s="107">
        <f t="shared" si="336"/>
        <v>2500744.4</v>
      </c>
      <c r="S403" s="107">
        <f t="shared" si="337"/>
        <v>2476698.7749999999</v>
      </c>
      <c r="T403" s="107">
        <f t="shared" si="338"/>
        <v>2452653.15</v>
      </c>
      <c r="U403" s="107">
        <f t="shared" si="339"/>
        <v>2428607.5249999999</v>
      </c>
      <c r="V403" s="107">
        <f t="shared" si="340"/>
        <v>2404561.9</v>
      </c>
      <c r="W403" s="107">
        <f t="shared" si="341"/>
        <v>2380516.2749999999</v>
      </c>
      <c r="X403" s="107">
        <f t="shared" si="342"/>
        <v>2356470.65</v>
      </c>
      <c r="Y403" s="107">
        <f t="shared" si="343"/>
        <v>2332425.0249999999</v>
      </c>
      <c r="Z403" s="107">
        <f t="shared" si="344"/>
        <v>2308379.4</v>
      </c>
      <c r="AA403" s="107">
        <f t="shared" si="420"/>
        <v>53958.369299999984</v>
      </c>
      <c r="AB403" s="107"/>
      <c r="AC403" s="107">
        <f t="shared" si="345"/>
        <v>288547.5</v>
      </c>
      <c r="AD403" s="107">
        <f t="shared" si="346"/>
        <v>2284333.7749999999</v>
      </c>
      <c r="AE403" s="107">
        <f t="shared" si="347"/>
        <v>2260288.15</v>
      </c>
      <c r="AF403" s="107">
        <f t="shared" si="348"/>
        <v>2236242.5249999999</v>
      </c>
      <c r="AG403" s="107">
        <f t="shared" si="349"/>
        <v>2212196.9</v>
      </c>
      <c r="AH403" s="107">
        <f t="shared" si="350"/>
        <v>2188151.2749999999</v>
      </c>
      <c r="AI403" s="107">
        <f t="shared" si="351"/>
        <v>2164105.65</v>
      </c>
      <c r="AJ403" s="107">
        <f t="shared" si="352"/>
        <v>2140060.0249999999</v>
      </c>
      <c r="AK403" s="107">
        <f t="shared" si="353"/>
        <v>2116014.4</v>
      </c>
      <c r="AL403" s="107">
        <f t="shared" si="354"/>
        <v>2091968.7749999999</v>
      </c>
      <c r="AM403" s="107">
        <f t="shared" si="355"/>
        <v>2067923.15</v>
      </c>
      <c r="AN403" s="107">
        <f t="shared" si="356"/>
        <v>2043877.5249999999</v>
      </c>
      <c r="AO403" s="107">
        <f t="shared" si="357"/>
        <v>2019831.9</v>
      </c>
      <c r="AP403" s="107">
        <f t="shared" si="421"/>
        <v>47610.324299999986</v>
      </c>
      <c r="AQ403" s="126"/>
      <c r="AR403" s="107">
        <f t="shared" si="358"/>
        <v>288547.5</v>
      </c>
      <c r="AS403" s="107">
        <f t="shared" si="423"/>
        <v>1995786.2749999999</v>
      </c>
      <c r="AT403" s="107">
        <f t="shared" si="424"/>
        <v>1971740.65</v>
      </c>
      <c r="AU403" s="107">
        <f t="shared" si="425"/>
        <v>1947695.0249999999</v>
      </c>
      <c r="AV403" s="107">
        <f t="shared" si="426"/>
        <v>1923649.4</v>
      </c>
      <c r="AW403" s="107">
        <f t="shared" si="427"/>
        <v>1899603.7749999999</v>
      </c>
      <c r="AX403" s="107">
        <f t="shared" si="428"/>
        <v>1875558.15</v>
      </c>
      <c r="AY403" s="107">
        <f>AX403-M403</f>
        <v>1851512.5249999999</v>
      </c>
      <c r="AZ403" s="107">
        <f>AY403-M403</f>
        <v>1827466.9</v>
      </c>
      <c r="BA403" s="107">
        <f>AZ403-M403</f>
        <v>1803421.2749999999</v>
      </c>
      <c r="BB403" s="107">
        <f>BA403-M403</f>
        <v>1779375.65</v>
      </c>
      <c r="BC403" s="107">
        <f>BB403-M403</f>
        <v>1755330.0249999999</v>
      </c>
      <c r="BD403" s="107">
        <f>BC403-M403</f>
        <v>1731284.4</v>
      </c>
      <c r="BE403" s="107">
        <f t="shared" si="422"/>
        <v>41262.279299999987</v>
      </c>
      <c r="BF403" s="127"/>
      <c r="BG403" s="127"/>
      <c r="BH403" s="127"/>
      <c r="BI403" s="127"/>
      <c r="BJ403" s="127"/>
      <c r="BK403" s="127"/>
      <c r="BL403" s="127"/>
      <c r="BM403" s="127"/>
      <c r="BN403" s="127"/>
      <c r="BO403" s="127"/>
      <c r="BP403" s="127"/>
      <c r="BQ403" s="127"/>
      <c r="BR403" s="127"/>
      <c r="BS403" s="127"/>
      <c r="BT403" s="127"/>
      <c r="BU403" s="127"/>
      <c r="BV403" s="127"/>
      <c r="BW403" s="127"/>
    </row>
    <row r="404" spans="1:75" ht="22.5" hidden="1" x14ac:dyDescent="0.2">
      <c r="A404" s="123" t="str">
        <f>'[2]2021 УГРЦТ'!A406</f>
        <v>ТП №51 ГОСНИ по НАО К-42-630 1997г.</v>
      </c>
      <c r="B404" s="124" t="str">
        <f>'[2]2021 УГРЦТ'!B406</f>
        <v>00000094</v>
      </c>
      <c r="C404" s="124" t="str">
        <f>VLOOKUP(A:A,'2023-2027'!A:L,1,+FALSE)</f>
        <v>ТП №51 ГОСНИ по НАО К-42-630 1997г.</v>
      </c>
      <c r="D404" s="124" t="str">
        <f>'[2]2021 УГРЦТ'!C406</f>
        <v>ПЕРЕДАЧА</v>
      </c>
      <c r="E404" s="124" t="str">
        <f>'[2]2021 УГРЦТ'!D406</f>
        <v>Здания</v>
      </c>
      <c r="F404" s="124" t="str">
        <f>'[2]2021 УГРЦТ'!E406</f>
        <v>01.12.1997</v>
      </c>
      <c r="G404" s="124" t="str">
        <f>'[2]2021 УГРЦТ'!F406</f>
        <v>Цех электрических сетей</v>
      </c>
      <c r="H404" s="124">
        <f>'[2]2021 УГРЦТ'!AC406</f>
        <v>708</v>
      </c>
      <c r="I404" s="107">
        <f>'[2]2021 УГРЦТ'!X406</f>
        <v>511304</v>
      </c>
      <c r="J404" s="107">
        <f>'[2]2021 УГРЦТ'!Y406</f>
        <v>182752.40949152541</v>
      </c>
      <c r="K404" s="107">
        <f>'[2]2021 УГРЦТ'!Z406</f>
        <v>328551.59050847462</v>
      </c>
      <c r="L404" s="125" t="e">
        <f>SUMIF([2]облаг!$B$2:$B$259,B404,[2]облаг!$D$2:$D$259)</f>
        <v>#VALUE!</v>
      </c>
      <c r="M404" s="107">
        <f t="shared" si="414"/>
        <v>722.18079096045199</v>
      </c>
      <c r="N404" s="107">
        <f t="shared" si="415"/>
        <v>8666.1694915254229</v>
      </c>
      <c r="O404" s="107">
        <f t="shared" si="416"/>
        <v>327829.40971751418</v>
      </c>
      <c r="P404" s="107">
        <f t="shared" si="417"/>
        <v>327107.22892655374</v>
      </c>
      <c r="Q404" s="107">
        <f t="shared" si="335"/>
        <v>326385.0481355933</v>
      </c>
      <c r="R404" s="107">
        <f t="shared" si="336"/>
        <v>325662.86734463286</v>
      </c>
      <c r="S404" s="107">
        <f t="shared" si="337"/>
        <v>324940.68655367242</v>
      </c>
      <c r="T404" s="107">
        <f t="shared" si="338"/>
        <v>324218.50576271198</v>
      </c>
      <c r="U404" s="107">
        <f t="shared" si="339"/>
        <v>323496.32497175154</v>
      </c>
      <c r="V404" s="107">
        <f t="shared" si="340"/>
        <v>322774.1441807911</v>
      </c>
      <c r="W404" s="107">
        <f t="shared" si="341"/>
        <v>322051.96338983066</v>
      </c>
      <c r="X404" s="107">
        <f t="shared" si="342"/>
        <v>321329.78259887022</v>
      </c>
      <c r="Y404" s="107">
        <f t="shared" si="343"/>
        <v>320607.60180790978</v>
      </c>
      <c r="Z404" s="107">
        <f t="shared" si="344"/>
        <v>319885.42101694935</v>
      </c>
      <c r="AA404" s="107">
        <f t="shared" si="420"/>
        <v>7132.807126779664</v>
      </c>
      <c r="AB404" s="107"/>
      <c r="AC404" s="107">
        <f t="shared" si="345"/>
        <v>8666.1694915254229</v>
      </c>
      <c r="AD404" s="107">
        <f t="shared" si="346"/>
        <v>319163.24022598891</v>
      </c>
      <c r="AE404" s="107">
        <f t="shared" si="347"/>
        <v>318441.05943502847</v>
      </c>
      <c r="AF404" s="107">
        <f t="shared" si="348"/>
        <v>317718.87864406803</v>
      </c>
      <c r="AG404" s="107">
        <f t="shared" si="349"/>
        <v>316996.69785310759</v>
      </c>
      <c r="AH404" s="107">
        <f t="shared" si="350"/>
        <v>316274.51706214715</v>
      </c>
      <c r="AI404" s="107">
        <f t="shared" si="351"/>
        <v>315552.33627118671</v>
      </c>
      <c r="AJ404" s="107">
        <f t="shared" si="352"/>
        <v>314830.15548022627</v>
      </c>
      <c r="AK404" s="107">
        <f t="shared" si="353"/>
        <v>314107.97468926583</v>
      </c>
      <c r="AL404" s="107">
        <f t="shared" si="354"/>
        <v>313385.79389830539</v>
      </c>
      <c r="AM404" s="107">
        <f t="shared" si="355"/>
        <v>312663.61310734495</v>
      </c>
      <c r="AN404" s="107">
        <f t="shared" si="356"/>
        <v>311941.43231638451</v>
      </c>
      <c r="AO404" s="107">
        <f t="shared" si="357"/>
        <v>311219.25152542407</v>
      </c>
      <c r="AP404" s="107">
        <f t="shared" si="421"/>
        <v>6942.1513979661067</v>
      </c>
      <c r="AQ404" s="126"/>
      <c r="AR404" s="107">
        <f t="shared" si="358"/>
        <v>8666.1694915254229</v>
      </c>
      <c r="AS404" s="107">
        <f t="shared" si="423"/>
        <v>310497.07073446363</v>
      </c>
      <c r="AT404" s="107">
        <f t="shared" si="424"/>
        <v>309774.88994350319</v>
      </c>
      <c r="AU404" s="107">
        <f t="shared" si="425"/>
        <v>309052.70915254275</v>
      </c>
      <c r="AV404" s="107">
        <f t="shared" si="426"/>
        <v>308330.52836158231</v>
      </c>
      <c r="AW404" s="107">
        <f t="shared" si="427"/>
        <v>307608.34757062187</v>
      </c>
      <c r="AX404" s="107">
        <f t="shared" si="428"/>
        <v>306886.16677966143</v>
      </c>
      <c r="AY404" s="107">
        <f>AX404-M404</f>
        <v>306163.985988701</v>
      </c>
      <c r="AZ404" s="107">
        <f>AY404-M404</f>
        <v>305441.80519774056</v>
      </c>
      <c r="BA404" s="107">
        <f>AZ404-M404</f>
        <v>304719.62440678012</v>
      </c>
      <c r="BB404" s="107">
        <f>BA404-M404</f>
        <v>303997.44361581968</v>
      </c>
      <c r="BC404" s="107">
        <f>BB404-M404</f>
        <v>303275.26282485924</v>
      </c>
      <c r="BD404" s="107">
        <f>BC404-M404</f>
        <v>302553.0820338988</v>
      </c>
      <c r="BE404" s="107">
        <f t="shared" si="422"/>
        <v>6751.4956691525513</v>
      </c>
      <c r="BF404" s="127"/>
      <c r="BG404" s="127"/>
      <c r="BH404" s="127"/>
      <c r="BI404" s="127"/>
      <c r="BJ404" s="127"/>
      <c r="BK404" s="127"/>
      <c r="BL404" s="127"/>
      <c r="BM404" s="127"/>
      <c r="BN404" s="127"/>
      <c r="BO404" s="127"/>
      <c r="BP404" s="127"/>
      <c r="BQ404" s="127"/>
      <c r="BR404" s="127"/>
      <c r="BS404" s="127"/>
      <c r="BT404" s="127"/>
      <c r="BU404" s="127"/>
      <c r="BV404" s="127"/>
      <c r="BW404" s="127"/>
    </row>
    <row r="405" spans="1:75" hidden="1" x14ac:dyDescent="0.2">
      <c r="A405" s="123" t="str">
        <f>'[2]2021 УГРЦТ'!A407</f>
        <v>ТП №54  на базе ДРСУ</v>
      </c>
      <c r="B405" s="124" t="str">
        <f>'[2]2021 УГРЦТ'!B407</f>
        <v>00000093</v>
      </c>
      <c r="C405" s="124" t="str">
        <f>VLOOKUP(A:A,'2023-2027'!A:L,1,+FALSE)</f>
        <v>ТП №54  на базе ДРСУ</v>
      </c>
      <c r="D405" s="124" t="str">
        <f>'[2]2021 УГРЦТ'!C407</f>
        <v>ПЕРЕДАЧА</v>
      </c>
      <c r="E405" s="124" t="str">
        <f>'[2]2021 УГРЦТ'!D407</f>
        <v>Сооружения</v>
      </c>
      <c r="F405" s="124" t="str">
        <f>'[2]2021 УГРЦТ'!E407</f>
        <v>01.12.1997</v>
      </c>
      <c r="G405" s="124" t="str">
        <f>'[2]2021 УГРЦТ'!F407</f>
        <v>Цех электрических сетей</v>
      </c>
      <c r="H405" s="124">
        <f>'[2]2021 УГРЦТ'!AC407</f>
        <v>276</v>
      </c>
      <c r="I405" s="107">
        <f>'[2]2021 УГРЦТ'!X407</f>
        <v>55000</v>
      </c>
      <c r="J405" s="107">
        <f>'[2]2021 УГРЦТ'!Y407</f>
        <v>48854.504347826085</v>
      </c>
      <c r="K405" s="107">
        <f>'[2]2021 УГРЦТ'!Z407</f>
        <v>6145.495652173915</v>
      </c>
      <c r="L405" s="125" t="e">
        <f>SUMIF([2]облаг!$B$2:$B$259,B405,[2]облаг!$D$2:$D$259)</f>
        <v>#VALUE!</v>
      </c>
      <c r="M405" s="107">
        <f t="shared" si="414"/>
        <v>199.27536231884059</v>
      </c>
      <c r="N405" s="107">
        <f t="shared" si="415"/>
        <v>2391.304347826087</v>
      </c>
      <c r="O405" s="107">
        <f t="shared" si="416"/>
        <v>5946.220289855074</v>
      </c>
      <c r="P405" s="107">
        <f t="shared" si="417"/>
        <v>5746.9449275362331</v>
      </c>
      <c r="Q405" s="107">
        <f t="shared" si="335"/>
        <v>5547.6695652173921</v>
      </c>
      <c r="R405" s="107">
        <f t="shared" si="336"/>
        <v>5348.3942028985512</v>
      </c>
      <c r="S405" s="107">
        <f t="shared" si="337"/>
        <v>5149.1188405797102</v>
      </c>
      <c r="T405" s="107">
        <f t="shared" si="338"/>
        <v>4949.8434782608692</v>
      </c>
      <c r="U405" s="107">
        <f t="shared" si="339"/>
        <v>4750.5681159420283</v>
      </c>
      <c r="V405" s="107">
        <f t="shared" si="340"/>
        <v>4551.2927536231873</v>
      </c>
      <c r="W405" s="107">
        <f t="shared" si="341"/>
        <v>4352.0173913043463</v>
      </c>
      <c r="X405" s="107">
        <f t="shared" si="342"/>
        <v>4152.7420289855054</v>
      </c>
      <c r="Y405" s="107">
        <f t="shared" si="343"/>
        <v>3953.4666666666649</v>
      </c>
      <c r="Z405" s="107">
        <f t="shared" si="344"/>
        <v>3754.1913043478244</v>
      </c>
      <c r="AA405" s="107">
        <f t="shared" si="420"/>
        <v>108.89655652173911</v>
      </c>
      <c r="AB405" s="107"/>
      <c r="AC405" s="107">
        <f t="shared" si="345"/>
        <v>2391.304347826087</v>
      </c>
      <c r="AD405" s="107">
        <f t="shared" si="346"/>
        <v>3554.9159420289839</v>
      </c>
      <c r="AE405" s="107">
        <f t="shared" si="347"/>
        <v>3355.6405797101434</v>
      </c>
      <c r="AF405" s="107">
        <f t="shared" si="348"/>
        <v>3156.3652173913028</v>
      </c>
      <c r="AG405" s="107">
        <f t="shared" si="349"/>
        <v>2957.0898550724623</v>
      </c>
      <c r="AH405" s="107">
        <f t="shared" si="350"/>
        <v>2757.8144927536218</v>
      </c>
      <c r="AI405" s="107">
        <f t="shared" si="351"/>
        <v>2558.5391304347813</v>
      </c>
      <c r="AJ405" s="107">
        <f t="shared" si="352"/>
        <v>2359.2637681159408</v>
      </c>
      <c r="AK405" s="107">
        <f t="shared" si="353"/>
        <v>2159.9884057971003</v>
      </c>
      <c r="AL405" s="107">
        <f t="shared" si="354"/>
        <v>1960.7130434782598</v>
      </c>
      <c r="AM405" s="107">
        <f t="shared" si="355"/>
        <v>1761.4376811594193</v>
      </c>
      <c r="AN405" s="107">
        <f t="shared" si="356"/>
        <v>1562.1623188405788</v>
      </c>
      <c r="AO405" s="107">
        <f t="shared" si="357"/>
        <v>1362.8869565217383</v>
      </c>
      <c r="AP405" s="107">
        <f t="shared" si="421"/>
        <v>56.287860869565186</v>
      </c>
      <c r="AQ405" s="126"/>
      <c r="AR405" s="107">
        <f t="shared" si="358"/>
        <v>2391.304347826087</v>
      </c>
      <c r="AS405" s="107">
        <f t="shared" si="423"/>
        <v>1163.6115942028978</v>
      </c>
      <c r="AT405" s="107">
        <f t="shared" si="424"/>
        <v>964.33623188405716</v>
      </c>
      <c r="AU405" s="107">
        <f t="shared" si="425"/>
        <v>765.06086956521654</v>
      </c>
      <c r="AV405" s="107">
        <f t="shared" si="426"/>
        <v>565.78550724637591</v>
      </c>
      <c r="AW405" s="107">
        <f t="shared" si="427"/>
        <v>366.51014492753529</v>
      </c>
      <c r="AX405" s="107">
        <f t="shared" si="428"/>
        <v>167.2347826086947</v>
      </c>
      <c r="AY405" s="107">
        <v>0</v>
      </c>
      <c r="AZ405" s="107">
        <v>0</v>
      </c>
      <c r="BA405" s="107">
        <v>0</v>
      </c>
      <c r="BB405" s="107">
        <v>0</v>
      </c>
      <c r="BC405" s="107">
        <v>0</v>
      </c>
      <c r="BD405" s="107">
        <v>0</v>
      </c>
      <c r="BE405" s="107">
        <f t="shared" si="422"/>
        <v>9.063028762541796</v>
      </c>
      <c r="BG405" s="127"/>
      <c r="BI405" s="127"/>
      <c r="BV405" s="127"/>
    </row>
    <row r="406" spans="1:75" ht="22.5" hidden="1" x14ac:dyDescent="0.2">
      <c r="A406" s="123" t="str">
        <f>'[2]2021 УГРЦТ'!A408</f>
        <v>ТП №56 Факел звероферма КТП  1997г  ч/з ле/з курью</v>
      </c>
      <c r="B406" s="124" t="str">
        <f>'[2]2021 УГРЦТ'!B408</f>
        <v>00000092</v>
      </c>
      <c r="C406" s="124" t="str">
        <f>VLOOKUP(A:A,'2023-2027'!A:L,1,+FALSE)</f>
        <v>ТП №56 Факел звероферма КТП  1997г  ч/з ле/з курью</v>
      </c>
      <c r="D406" s="124" t="str">
        <f>'[2]2021 УГРЦТ'!C408</f>
        <v>ПЕРЕДАЧА</v>
      </c>
      <c r="E406" s="124" t="str">
        <f>'[2]2021 УГРЦТ'!D408</f>
        <v>Сооружения</v>
      </c>
      <c r="F406" s="124" t="str">
        <f>'[2]2021 УГРЦТ'!E408</f>
        <v>01.01.1997</v>
      </c>
      <c r="G406" s="124" t="str">
        <f>'[2]2021 УГРЦТ'!F408</f>
        <v>Цех электрических сетей</v>
      </c>
      <c r="H406" s="124">
        <f>'[2]2021 УГРЦТ'!AC408</f>
        <v>708</v>
      </c>
      <c r="I406" s="107">
        <f>'[2]2021 УГРЦТ'!X408</f>
        <v>15845</v>
      </c>
      <c r="J406" s="107">
        <f>'[2]2021 УГРЦТ'!Y408</f>
        <v>6437.9493220338991</v>
      </c>
      <c r="K406" s="107">
        <f>'[2]2021 УГРЦТ'!Z408</f>
        <v>9407.0506779661009</v>
      </c>
      <c r="L406" s="125" t="e">
        <f>SUMIF([2]облаг!$B$2:$B$259,B406,[2]облаг!$D$2:$D$259)</f>
        <v>#VALUE!</v>
      </c>
      <c r="M406" s="107">
        <f t="shared" si="414"/>
        <v>22.379943502824858</v>
      </c>
      <c r="N406" s="107">
        <f t="shared" si="415"/>
        <v>268.5593220338983</v>
      </c>
      <c r="O406" s="107">
        <f t="shared" si="416"/>
        <v>9384.6707344632759</v>
      </c>
      <c r="P406" s="107">
        <f t="shared" si="417"/>
        <v>9362.290790960451</v>
      </c>
      <c r="Q406" s="107">
        <f t="shared" si="335"/>
        <v>9339.910847457626</v>
      </c>
      <c r="R406" s="107">
        <f t="shared" si="336"/>
        <v>9317.530903954801</v>
      </c>
      <c r="S406" s="107">
        <f t="shared" si="337"/>
        <v>9295.1509604519761</v>
      </c>
      <c r="T406" s="107">
        <f t="shared" si="338"/>
        <v>9272.7710169491511</v>
      </c>
      <c r="U406" s="107">
        <f t="shared" si="339"/>
        <v>9250.3910734463261</v>
      </c>
      <c r="V406" s="107">
        <f t="shared" si="340"/>
        <v>9228.0111299435011</v>
      </c>
      <c r="W406" s="107">
        <f t="shared" si="341"/>
        <v>9205.6311864406762</v>
      </c>
      <c r="X406" s="107">
        <f t="shared" si="342"/>
        <v>9183.2512429378512</v>
      </c>
      <c r="Y406" s="107">
        <f t="shared" si="343"/>
        <v>9160.8712994350262</v>
      </c>
      <c r="Z406" s="107">
        <f t="shared" si="344"/>
        <v>9138.4913559322013</v>
      </c>
      <c r="AA406" s="107">
        <f t="shared" si="420"/>
        <v>204.00096237288128</v>
      </c>
      <c r="AB406" s="107"/>
      <c r="AC406" s="107">
        <f t="shared" si="345"/>
        <v>268.5593220338983</v>
      </c>
      <c r="AD406" s="107">
        <f t="shared" si="346"/>
        <v>9116.1114124293763</v>
      </c>
      <c r="AE406" s="107">
        <f t="shared" si="347"/>
        <v>9093.7314689265513</v>
      </c>
      <c r="AF406" s="107">
        <f t="shared" si="348"/>
        <v>9071.3515254237263</v>
      </c>
      <c r="AG406" s="107">
        <f t="shared" si="349"/>
        <v>9048.9715819209014</v>
      </c>
      <c r="AH406" s="107">
        <f t="shared" si="350"/>
        <v>9026.5916384180764</v>
      </c>
      <c r="AI406" s="107">
        <f t="shared" si="351"/>
        <v>9004.2116949152514</v>
      </c>
      <c r="AJ406" s="107">
        <f t="shared" si="352"/>
        <v>8981.8317514124265</v>
      </c>
      <c r="AK406" s="107">
        <f t="shared" si="353"/>
        <v>8959.4518079096015</v>
      </c>
      <c r="AL406" s="107">
        <f t="shared" si="354"/>
        <v>8937.0718644067765</v>
      </c>
      <c r="AM406" s="107">
        <f t="shared" si="355"/>
        <v>8914.6919209039515</v>
      </c>
      <c r="AN406" s="107">
        <f t="shared" si="356"/>
        <v>8892.3119774011266</v>
      </c>
      <c r="AO406" s="107">
        <f t="shared" si="357"/>
        <v>8869.9320338983016</v>
      </c>
      <c r="AP406" s="107">
        <f t="shared" si="421"/>
        <v>198.09265728813551</v>
      </c>
      <c r="AQ406" s="126"/>
      <c r="AR406" s="107">
        <f t="shared" si="358"/>
        <v>268.5593220338983</v>
      </c>
      <c r="AS406" s="107">
        <f t="shared" si="423"/>
        <v>8847.5520903954766</v>
      </c>
      <c r="AT406" s="107">
        <f t="shared" si="424"/>
        <v>8825.1721468926517</v>
      </c>
      <c r="AU406" s="107">
        <f t="shared" si="425"/>
        <v>8802.7922033898267</v>
      </c>
      <c r="AV406" s="107">
        <f t="shared" si="426"/>
        <v>8780.4122598870017</v>
      </c>
      <c r="AW406" s="107">
        <f t="shared" si="427"/>
        <v>8758.0323163841767</v>
      </c>
      <c r="AX406" s="107">
        <f t="shared" si="428"/>
        <v>8735.6523728813518</v>
      </c>
      <c r="AY406" s="107">
        <f t="shared" ref="AY406:AY412" si="429">AX406-M406</f>
        <v>8713.2724293785268</v>
      </c>
      <c r="AZ406" s="107">
        <f t="shared" ref="AZ406:AZ412" si="430">AY406-M406</f>
        <v>8690.8924858757018</v>
      </c>
      <c r="BA406" s="107">
        <f t="shared" ref="BA406:BA412" si="431">AZ406-M406</f>
        <v>8668.5125423728769</v>
      </c>
      <c r="BB406" s="107">
        <f t="shared" ref="BB406:BB412" si="432">BA406-M406</f>
        <v>8646.1325988700519</v>
      </c>
      <c r="BC406" s="107">
        <f t="shared" ref="BC406:BC412" si="433">BB406-M406</f>
        <v>8623.7526553672269</v>
      </c>
      <c r="BD406" s="107">
        <f t="shared" ref="BD406:BD412" si="434">BC406-M406</f>
        <v>8601.3727118644019</v>
      </c>
      <c r="BE406" s="107">
        <f t="shared" si="422"/>
        <v>192.18435220338972</v>
      </c>
      <c r="BF406" s="127"/>
      <c r="BG406" s="127"/>
      <c r="BH406" s="127"/>
      <c r="BI406" s="127"/>
      <c r="BJ406" s="127"/>
      <c r="BK406" s="127"/>
      <c r="BL406" s="127"/>
      <c r="BM406" s="127"/>
      <c r="BN406" s="127"/>
      <c r="BO406" s="127"/>
      <c r="BP406" s="127"/>
      <c r="BQ406" s="127"/>
      <c r="BR406" s="127"/>
      <c r="BS406" s="127"/>
      <c r="BT406" s="127"/>
      <c r="BU406" s="127"/>
      <c r="BV406" s="127"/>
      <c r="BW406" s="127"/>
    </row>
    <row r="407" spans="1:75" ht="22.5" hidden="1" x14ac:dyDescent="0.2">
      <c r="A407" s="123" t="str">
        <f>'[2]2021 УГРЦТ'!A409</f>
        <v>ТП №57 Геолог 2х ТМ-250 п Искателей  1981г.</v>
      </c>
      <c r="B407" s="124" t="str">
        <f>'[2]2021 УГРЦТ'!B409</f>
        <v>00000496</v>
      </c>
      <c r="C407" s="124" t="str">
        <f>VLOOKUP(A:A,'2023-2027'!A:L,1,+FALSE)</f>
        <v>ТП №57 Геолог 2х ТМ-250 п Искателей  1981г.</v>
      </c>
      <c r="D407" s="124" t="str">
        <f>'[2]2021 УГРЦТ'!C409</f>
        <v>ПЕРЕДАЧА</v>
      </c>
      <c r="E407" s="124" t="str">
        <f>'[2]2021 УГРЦТ'!D409</f>
        <v>Здания</v>
      </c>
      <c r="F407" s="124" t="str">
        <f>'[2]2021 УГРЦТ'!E409</f>
        <v>01.12.1997</v>
      </c>
      <c r="G407" s="124" t="str">
        <f>'[2]2021 УГРЦТ'!F409</f>
        <v>Цех электрических сетей</v>
      </c>
      <c r="H407" s="124">
        <f>'[2]2021 УГРЦТ'!AC409</f>
        <v>708</v>
      </c>
      <c r="I407" s="107">
        <f>'[2]2021 УГРЦТ'!X409</f>
        <v>1759133.06</v>
      </c>
      <c r="J407" s="107">
        <f>'[2]2021 УГРЦТ'!Y409</f>
        <v>110763.87</v>
      </c>
      <c r="K407" s="107">
        <f>'[2]2021 УГРЦТ'!Z409</f>
        <v>1648369.19</v>
      </c>
      <c r="L407" s="125" t="e">
        <f>SUMIF([2]облаг!$B$2:$B$259,B407,[2]облаг!$D$2:$D$259)</f>
        <v>#VALUE!</v>
      </c>
      <c r="M407" s="107">
        <f t="shared" si="414"/>
        <v>2484.6512146892655</v>
      </c>
      <c r="N407" s="107">
        <f t="shared" si="415"/>
        <v>29815.814576271187</v>
      </c>
      <c r="O407" s="107">
        <f t="shared" si="416"/>
        <v>1645884.5387853107</v>
      </c>
      <c r="P407" s="107">
        <f t="shared" si="417"/>
        <v>1643399.8875706214</v>
      </c>
      <c r="Q407" s="107">
        <f t="shared" si="335"/>
        <v>1640915.2363559322</v>
      </c>
      <c r="R407" s="107">
        <f t="shared" si="336"/>
        <v>1638430.5851412429</v>
      </c>
      <c r="S407" s="107">
        <f t="shared" si="337"/>
        <v>1635945.9339265537</v>
      </c>
      <c r="T407" s="107">
        <f t="shared" si="338"/>
        <v>1633461.2827118644</v>
      </c>
      <c r="U407" s="107">
        <f t="shared" si="339"/>
        <v>1630976.6314971752</v>
      </c>
      <c r="V407" s="107">
        <f t="shared" si="340"/>
        <v>1628491.980282486</v>
      </c>
      <c r="W407" s="107">
        <f t="shared" si="341"/>
        <v>1626007.3290677967</v>
      </c>
      <c r="X407" s="107">
        <f t="shared" si="342"/>
        <v>1623522.6778531075</v>
      </c>
      <c r="Y407" s="107">
        <f t="shared" si="343"/>
        <v>1621038.0266384182</v>
      </c>
      <c r="Z407" s="107">
        <f t="shared" si="344"/>
        <v>1618553.375423729</v>
      </c>
      <c r="AA407" s="107">
        <f t="shared" si="420"/>
        <v>35936.148219661016</v>
      </c>
      <c r="AB407" s="107"/>
      <c r="AC407" s="107">
        <f t="shared" si="345"/>
        <v>29815.814576271187</v>
      </c>
      <c r="AD407" s="107">
        <f t="shared" si="346"/>
        <v>1616068.7242090397</v>
      </c>
      <c r="AE407" s="107">
        <f t="shared" si="347"/>
        <v>1613584.0729943505</v>
      </c>
      <c r="AF407" s="107">
        <f t="shared" si="348"/>
        <v>1611099.4217796612</v>
      </c>
      <c r="AG407" s="107">
        <f t="shared" si="349"/>
        <v>1608614.770564972</v>
      </c>
      <c r="AH407" s="107">
        <f t="shared" si="350"/>
        <v>1606130.1193502827</v>
      </c>
      <c r="AI407" s="107">
        <f t="shared" si="351"/>
        <v>1603645.4681355935</v>
      </c>
      <c r="AJ407" s="107">
        <f t="shared" si="352"/>
        <v>1601160.8169209042</v>
      </c>
      <c r="AK407" s="107">
        <f t="shared" si="353"/>
        <v>1598676.165706215</v>
      </c>
      <c r="AL407" s="107">
        <f t="shared" si="354"/>
        <v>1596191.5144915257</v>
      </c>
      <c r="AM407" s="107">
        <f t="shared" si="355"/>
        <v>1593706.8632768365</v>
      </c>
      <c r="AN407" s="107">
        <f t="shared" si="356"/>
        <v>1591222.2120621472</v>
      </c>
      <c r="AO407" s="107">
        <f t="shared" si="357"/>
        <v>1588737.560847458</v>
      </c>
      <c r="AP407" s="107">
        <f t="shared" si="421"/>
        <v>35280.200298983058</v>
      </c>
      <c r="AQ407" s="126"/>
      <c r="AR407" s="107">
        <f t="shared" si="358"/>
        <v>29815.814576271187</v>
      </c>
      <c r="AS407" s="107">
        <f t="shared" si="423"/>
        <v>1586252.9096327687</v>
      </c>
      <c r="AT407" s="107">
        <f t="shared" si="424"/>
        <v>1583768.2584180795</v>
      </c>
      <c r="AU407" s="107">
        <f t="shared" si="425"/>
        <v>1581283.6072033902</v>
      </c>
      <c r="AV407" s="107">
        <f t="shared" si="426"/>
        <v>1578798.955988701</v>
      </c>
      <c r="AW407" s="107">
        <f t="shared" si="427"/>
        <v>1576314.3047740117</v>
      </c>
      <c r="AX407" s="107">
        <f t="shared" si="428"/>
        <v>1573829.6535593225</v>
      </c>
      <c r="AY407" s="107">
        <f t="shared" si="429"/>
        <v>1571345.0023446332</v>
      </c>
      <c r="AZ407" s="107">
        <f t="shared" si="430"/>
        <v>1568860.351129944</v>
      </c>
      <c r="BA407" s="107">
        <f t="shared" si="431"/>
        <v>1566375.6999152547</v>
      </c>
      <c r="BB407" s="107">
        <f t="shared" si="432"/>
        <v>1563891.0487005655</v>
      </c>
      <c r="BC407" s="107">
        <f t="shared" si="433"/>
        <v>1561406.3974858762</v>
      </c>
      <c r="BD407" s="107">
        <f t="shared" si="434"/>
        <v>1558921.746271187</v>
      </c>
      <c r="BE407" s="107">
        <f t="shared" si="422"/>
        <v>34624.252378305086</v>
      </c>
      <c r="BF407" s="127"/>
      <c r="BG407" s="127"/>
      <c r="BH407" s="127"/>
      <c r="BI407" s="127"/>
      <c r="BJ407" s="127"/>
      <c r="BK407" s="127"/>
      <c r="BL407" s="127"/>
      <c r="BM407" s="127"/>
      <c r="BN407" s="127"/>
      <c r="BO407" s="127"/>
      <c r="BP407" s="127"/>
      <c r="BQ407" s="127"/>
      <c r="BR407" s="127"/>
      <c r="BS407" s="127"/>
      <c r="BT407" s="127"/>
      <c r="BU407" s="127"/>
      <c r="BV407" s="127"/>
      <c r="BW407" s="127"/>
    </row>
    <row r="408" spans="1:75" hidden="1" x14ac:dyDescent="0.2">
      <c r="A408" s="123" t="str">
        <f>'[2]2021 УГРЦТ'!A410</f>
        <v>ТП №58 ГКТПН 10-400</v>
      </c>
      <c r="B408" s="124" t="str">
        <f>'[2]2021 УГРЦТ'!B410</f>
        <v>00000249</v>
      </c>
      <c r="C408" s="124" t="str">
        <f>VLOOKUP(A:A,'2023-2027'!A:L,1,+FALSE)</f>
        <v>ТП №58 ГКТПН 10-400</v>
      </c>
      <c r="D408" s="124" t="str">
        <f>'[2]2021 УГРЦТ'!C410</f>
        <v>ПЕРЕДАЧА</v>
      </c>
      <c r="E408" s="124" t="str">
        <f>'[2]2021 УГРЦТ'!D410</f>
        <v>Сооружения</v>
      </c>
      <c r="F408" s="124" t="str">
        <f>'[2]2021 УГРЦТ'!E410</f>
        <v>01.06.1998</v>
      </c>
      <c r="G408" s="124" t="str">
        <f>'[2]2021 УГРЦТ'!F410</f>
        <v>Цех электрических сетей</v>
      </c>
      <c r="H408" s="124">
        <f>'[2]2021 УГРЦТ'!AC410</f>
        <v>276</v>
      </c>
      <c r="I408" s="107">
        <f>'[2]2021 УГРЦТ'!X410</f>
        <v>41158.949999999997</v>
      </c>
      <c r="J408" s="107">
        <f>'[2]2021 УГРЦТ'!Y410</f>
        <v>41158.950000000004</v>
      </c>
      <c r="K408" s="107">
        <f>'[2]2021 УГРЦТ'!Z410</f>
        <v>0</v>
      </c>
      <c r="L408" s="125" t="e">
        <f>SUMIF([2]облаг!$B$2:$B$259,B408,[2]облаг!$D$2:$D$259)</f>
        <v>#VALUE!</v>
      </c>
      <c r="M408" s="107"/>
      <c r="N408" s="107">
        <f t="shared" si="415"/>
        <v>0</v>
      </c>
      <c r="O408" s="107">
        <f t="shared" si="416"/>
        <v>0</v>
      </c>
      <c r="P408" s="107">
        <f t="shared" si="417"/>
        <v>0</v>
      </c>
      <c r="Q408" s="107">
        <f t="shared" si="335"/>
        <v>0</v>
      </c>
      <c r="R408" s="107">
        <f t="shared" si="336"/>
        <v>0</v>
      </c>
      <c r="S408" s="107">
        <f t="shared" si="337"/>
        <v>0</v>
      </c>
      <c r="T408" s="107">
        <f t="shared" si="338"/>
        <v>0</v>
      </c>
      <c r="U408" s="107">
        <f t="shared" si="339"/>
        <v>0</v>
      </c>
      <c r="V408" s="107">
        <f t="shared" si="340"/>
        <v>0</v>
      </c>
      <c r="W408" s="107">
        <f t="shared" si="341"/>
        <v>0</v>
      </c>
      <c r="X408" s="107">
        <f t="shared" si="342"/>
        <v>0</v>
      </c>
      <c r="Y408" s="107">
        <f t="shared" si="343"/>
        <v>0</v>
      </c>
      <c r="Z408" s="107">
        <f t="shared" si="344"/>
        <v>0</v>
      </c>
      <c r="AA408" s="107">
        <f t="shared" si="420"/>
        <v>0</v>
      </c>
      <c r="AB408" s="107"/>
      <c r="AC408" s="107">
        <f t="shared" si="345"/>
        <v>0</v>
      </c>
      <c r="AD408" s="107">
        <f t="shared" si="346"/>
        <v>0</v>
      </c>
      <c r="AE408" s="107">
        <f t="shared" si="347"/>
        <v>0</v>
      </c>
      <c r="AF408" s="107">
        <f t="shared" si="348"/>
        <v>0</v>
      </c>
      <c r="AG408" s="107">
        <f t="shared" si="349"/>
        <v>0</v>
      </c>
      <c r="AH408" s="107">
        <f t="shared" si="350"/>
        <v>0</v>
      </c>
      <c r="AI408" s="107">
        <f t="shared" si="351"/>
        <v>0</v>
      </c>
      <c r="AJ408" s="107">
        <f t="shared" si="352"/>
        <v>0</v>
      </c>
      <c r="AK408" s="107">
        <f t="shared" si="353"/>
        <v>0</v>
      </c>
      <c r="AL408" s="107">
        <f t="shared" si="354"/>
        <v>0</v>
      </c>
      <c r="AM408" s="107">
        <f t="shared" si="355"/>
        <v>0</v>
      </c>
      <c r="AN408" s="107">
        <f t="shared" si="356"/>
        <v>0</v>
      </c>
      <c r="AO408" s="107">
        <f t="shared" si="357"/>
        <v>0</v>
      </c>
      <c r="AP408" s="107">
        <f t="shared" si="421"/>
        <v>0</v>
      </c>
      <c r="AQ408" s="126"/>
      <c r="AR408" s="107">
        <f t="shared" si="358"/>
        <v>0</v>
      </c>
      <c r="AS408" s="107">
        <f t="shared" si="423"/>
        <v>0</v>
      </c>
      <c r="AT408" s="107">
        <f t="shared" si="424"/>
        <v>0</v>
      </c>
      <c r="AU408" s="107">
        <f t="shared" si="425"/>
        <v>0</v>
      </c>
      <c r="AV408" s="107">
        <f t="shared" si="426"/>
        <v>0</v>
      </c>
      <c r="AW408" s="107">
        <f t="shared" si="427"/>
        <v>0</v>
      </c>
      <c r="AX408" s="107">
        <f t="shared" si="428"/>
        <v>0</v>
      </c>
      <c r="AY408" s="107">
        <f t="shared" si="429"/>
        <v>0</v>
      </c>
      <c r="AZ408" s="107">
        <f t="shared" si="430"/>
        <v>0</v>
      </c>
      <c r="BA408" s="107">
        <f t="shared" si="431"/>
        <v>0</v>
      </c>
      <c r="BB408" s="107">
        <f t="shared" si="432"/>
        <v>0</v>
      </c>
      <c r="BC408" s="107">
        <f t="shared" si="433"/>
        <v>0</v>
      </c>
      <c r="BD408" s="107">
        <f t="shared" si="434"/>
        <v>0</v>
      </c>
      <c r="BE408" s="107">
        <f t="shared" si="422"/>
        <v>0</v>
      </c>
      <c r="BG408" s="127"/>
      <c r="BI408" s="127"/>
      <c r="BV408" s="127"/>
    </row>
    <row r="409" spans="1:75" ht="22.5" hidden="1" x14ac:dyDescent="0.2">
      <c r="A409" s="123" t="str">
        <f>'[2]2021 УГРЦТ'!A411</f>
        <v>ТП №59 ТМ-250 школа п.Искателей 1997г</v>
      </c>
      <c r="B409" s="124" t="str">
        <f>'[2]2021 УГРЦТ'!B411</f>
        <v>00000096</v>
      </c>
      <c r="C409" s="124" t="str">
        <f>VLOOKUP(A:A,'2023-2027'!A:L,1,+FALSE)</f>
        <v>ТП №59 ТМ-250 школа п.Искателей 1997г</v>
      </c>
      <c r="D409" s="124" t="str">
        <f>'[2]2021 УГРЦТ'!C411</f>
        <v>ПЕРЕДАЧА</v>
      </c>
      <c r="E409" s="124" t="str">
        <f>'[2]2021 УГРЦТ'!D411</f>
        <v>Здания</v>
      </c>
      <c r="F409" s="124" t="str">
        <f>'[2]2021 УГРЦТ'!E411</f>
        <v>01.12.1997</v>
      </c>
      <c r="G409" s="124" t="str">
        <f>'[2]2021 УГРЦТ'!F411</f>
        <v>Цех электрических сетей</v>
      </c>
      <c r="H409" s="124">
        <f>'[2]2021 УГРЦТ'!AC411</f>
        <v>708</v>
      </c>
      <c r="I409" s="107">
        <f>'[2]2021 УГРЦТ'!X411</f>
        <v>11932</v>
      </c>
      <c r="J409" s="107">
        <f>'[2]2021 УГРЦТ'!Y411</f>
        <v>4264.1572881355933</v>
      </c>
      <c r="K409" s="107">
        <f>'[2]2021 УГРЦТ'!Z411</f>
        <v>7667.8427118644067</v>
      </c>
      <c r="L409" s="125" t="e">
        <f>SUMIF([2]облаг!$B$2:$B$259,B409,[2]облаг!$D$2:$D$259)</f>
        <v>#VALUE!</v>
      </c>
      <c r="M409" s="107">
        <f t="shared" si="414"/>
        <v>16.853107344632768</v>
      </c>
      <c r="N409" s="107">
        <f t="shared" si="415"/>
        <v>202.23728813559322</v>
      </c>
      <c r="O409" s="107">
        <f t="shared" si="416"/>
        <v>7650.9896045197738</v>
      </c>
      <c r="P409" s="107">
        <f t="shared" si="417"/>
        <v>7634.1364971751409</v>
      </c>
      <c r="Q409" s="107">
        <f t="shared" si="335"/>
        <v>7617.283389830508</v>
      </c>
      <c r="R409" s="107">
        <f t="shared" si="336"/>
        <v>7600.4302824858751</v>
      </c>
      <c r="S409" s="107">
        <f t="shared" si="337"/>
        <v>7583.5771751412422</v>
      </c>
      <c r="T409" s="107">
        <f t="shared" si="338"/>
        <v>7566.7240677966092</v>
      </c>
      <c r="U409" s="107">
        <f t="shared" si="339"/>
        <v>7549.8709604519763</v>
      </c>
      <c r="V409" s="107">
        <f t="shared" si="340"/>
        <v>7533.0178531073434</v>
      </c>
      <c r="W409" s="107">
        <f t="shared" si="341"/>
        <v>7516.1647457627105</v>
      </c>
      <c r="X409" s="107">
        <f t="shared" si="342"/>
        <v>7499.3116384180776</v>
      </c>
      <c r="Y409" s="107">
        <f t="shared" si="343"/>
        <v>7482.4585310734446</v>
      </c>
      <c r="Z409" s="107">
        <f t="shared" si="344"/>
        <v>7465.6054237288117</v>
      </c>
      <c r="AA409" s="107">
        <f t="shared" si="420"/>
        <v>166.46792949152538</v>
      </c>
      <c r="AB409" s="107"/>
      <c r="AC409" s="107">
        <f t="shared" si="345"/>
        <v>202.23728813559322</v>
      </c>
      <c r="AD409" s="107">
        <f t="shared" si="346"/>
        <v>7448.7523163841788</v>
      </c>
      <c r="AE409" s="107">
        <f t="shared" si="347"/>
        <v>7431.8992090395459</v>
      </c>
      <c r="AF409" s="107">
        <f t="shared" si="348"/>
        <v>7415.046101694913</v>
      </c>
      <c r="AG409" s="107">
        <f t="shared" si="349"/>
        <v>7398.1929943502801</v>
      </c>
      <c r="AH409" s="107">
        <f t="shared" si="350"/>
        <v>7381.3398870056471</v>
      </c>
      <c r="AI409" s="107">
        <f t="shared" si="351"/>
        <v>7364.4867796610142</v>
      </c>
      <c r="AJ409" s="107">
        <f t="shared" si="352"/>
        <v>7347.6336723163813</v>
      </c>
      <c r="AK409" s="107">
        <f t="shared" si="353"/>
        <v>7330.7805649717484</v>
      </c>
      <c r="AL409" s="107">
        <f t="shared" si="354"/>
        <v>7313.9274576271155</v>
      </c>
      <c r="AM409" s="107">
        <f t="shared" si="355"/>
        <v>7297.0743502824826</v>
      </c>
      <c r="AN409" s="107">
        <f t="shared" si="356"/>
        <v>7280.2212429378496</v>
      </c>
      <c r="AO409" s="107">
        <f t="shared" si="357"/>
        <v>7263.3681355932167</v>
      </c>
      <c r="AP409" s="107">
        <f t="shared" si="421"/>
        <v>162.0187091525423</v>
      </c>
      <c r="AQ409" s="126"/>
      <c r="AR409" s="107">
        <f t="shared" si="358"/>
        <v>202.23728813559322</v>
      </c>
      <c r="AS409" s="107">
        <f t="shared" si="423"/>
        <v>7246.5150282485838</v>
      </c>
      <c r="AT409" s="107">
        <f t="shared" si="424"/>
        <v>7229.6619209039509</v>
      </c>
      <c r="AU409" s="107">
        <f t="shared" si="425"/>
        <v>7212.808813559318</v>
      </c>
      <c r="AV409" s="107">
        <f t="shared" si="426"/>
        <v>7195.9557062146851</v>
      </c>
      <c r="AW409" s="107">
        <f t="shared" si="427"/>
        <v>7179.1025988700521</v>
      </c>
      <c r="AX409" s="107">
        <f t="shared" si="428"/>
        <v>7162.2494915254192</v>
      </c>
      <c r="AY409" s="107">
        <f t="shared" si="429"/>
        <v>7145.3963841807863</v>
      </c>
      <c r="AZ409" s="107">
        <f t="shared" si="430"/>
        <v>7128.5432768361534</v>
      </c>
      <c r="BA409" s="107">
        <f t="shared" si="431"/>
        <v>7111.6901694915205</v>
      </c>
      <c r="BB409" s="107">
        <f t="shared" si="432"/>
        <v>7094.8370621468875</v>
      </c>
      <c r="BC409" s="107">
        <f t="shared" si="433"/>
        <v>7077.9839548022546</v>
      </c>
      <c r="BD409" s="107">
        <f t="shared" si="434"/>
        <v>7061.1308474576217</v>
      </c>
      <c r="BE409" s="107">
        <f t="shared" si="422"/>
        <v>157.56948881355925</v>
      </c>
      <c r="BF409" s="127"/>
      <c r="BG409" s="127"/>
      <c r="BH409" s="127"/>
      <c r="BI409" s="127"/>
      <c r="BJ409" s="127"/>
      <c r="BK409" s="127"/>
      <c r="BL409" s="127"/>
      <c r="BM409" s="127"/>
      <c r="BN409" s="127"/>
      <c r="BO409" s="127"/>
      <c r="BP409" s="127"/>
      <c r="BQ409" s="127"/>
      <c r="BR409" s="127"/>
      <c r="BS409" s="127"/>
      <c r="BT409" s="127"/>
      <c r="BU409" s="127"/>
      <c r="BV409" s="127"/>
      <c r="BW409" s="127"/>
    </row>
    <row r="410" spans="1:75" hidden="1" x14ac:dyDescent="0.2">
      <c r="A410" s="123" t="str">
        <f>'[2]2021 УГРЦТ'!A412</f>
        <v>ТП №60</v>
      </c>
      <c r="B410" s="124" t="str">
        <f>'[2]2021 УГРЦТ'!B412</f>
        <v>00000228</v>
      </c>
      <c r="C410" s="124" t="str">
        <f>VLOOKUP(A:A,'2023-2027'!A:L,1,+FALSE)</f>
        <v>ТП №60</v>
      </c>
      <c r="D410" s="124" t="str">
        <f>'[2]2021 УГРЦТ'!C412</f>
        <v>ПЕРЕДАЧА</v>
      </c>
      <c r="E410" s="124" t="str">
        <f>'[2]2021 УГРЦТ'!D412</f>
        <v>Машины и оборудование (кроме офисного)</v>
      </c>
      <c r="F410" s="124" t="str">
        <f>'[2]2021 УГРЦТ'!E412</f>
        <v>01.01.1995</v>
      </c>
      <c r="G410" s="124" t="str">
        <f>'[2]2021 УГРЦТ'!F412</f>
        <v>Цех электрических сетей</v>
      </c>
      <c r="H410" s="124">
        <f>'[2]2021 УГРЦТ'!AC412</f>
        <v>708</v>
      </c>
      <c r="I410" s="107">
        <f>'[2]2021 УГРЦТ'!X412</f>
        <v>1794513.35</v>
      </c>
      <c r="J410" s="107">
        <f>'[2]2021 УГРЦТ'!Y412</f>
        <v>614904.75</v>
      </c>
      <c r="K410" s="107">
        <f>'[2]2021 УГРЦТ'!Z412</f>
        <v>1179608.6000000001</v>
      </c>
      <c r="L410" s="125" t="e">
        <f>SUMIF([2]облаг!$B$2:$B$259,B410,[2]облаг!$D$2:$D$259)</f>
        <v>#VALUE!</v>
      </c>
      <c r="M410" s="107">
        <f t="shared" si="414"/>
        <v>2534.623375706215</v>
      </c>
      <c r="N410" s="107">
        <f t="shared" si="415"/>
        <v>30415.480508474582</v>
      </c>
      <c r="O410" s="107">
        <f t="shared" si="416"/>
        <v>1177073.976624294</v>
      </c>
      <c r="P410" s="107">
        <f t="shared" si="417"/>
        <v>1174539.3532485878</v>
      </c>
      <c r="Q410" s="107">
        <f t="shared" si="335"/>
        <v>1172004.7298728817</v>
      </c>
      <c r="R410" s="107">
        <f t="shared" si="336"/>
        <v>1169470.1064971755</v>
      </c>
      <c r="S410" s="107">
        <f t="shared" si="337"/>
        <v>1166935.4831214694</v>
      </c>
      <c r="T410" s="107">
        <f t="shared" si="338"/>
        <v>1164400.8597457632</v>
      </c>
      <c r="U410" s="107">
        <f t="shared" si="339"/>
        <v>1161866.2363700571</v>
      </c>
      <c r="V410" s="107">
        <f t="shared" si="340"/>
        <v>1159331.612994351</v>
      </c>
      <c r="W410" s="107">
        <f t="shared" si="341"/>
        <v>1156796.9896186448</v>
      </c>
      <c r="X410" s="107">
        <f t="shared" si="342"/>
        <v>1154262.3662429387</v>
      </c>
      <c r="Y410" s="107">
        <f t="shared" si="343"/>
        <v>1151727.7428672325</v>
      </c>
      <c r="Z410" s="107">
        <f t="shared" si="344"/>
        <v>1149193.1194915264</v>
      </c>
      <c r="AA410" s="107"/>
      <c r="AB410" s="107"/>
      <c r="AC410" s="107">
        <f t="shared" si="345"/>
        <v>30415.480508474582</v>
      </c>
      <c r="AD410" s="107">
        <f t="shared" si="346"/>
        <v>1146658.4961158202</v>
      </c>
      <c r="AE410" s="107">
        <f t="shared" si="347"/>
        <v>1144123.8727401141</v>
      </c>
      <c r="AF410" s="107">
        <f t="shared" si="348"/>
        <v>1141589.249364408</v>
      </c>
      <c r="AG410" s="107">
        <f t="shared" si="349"/>
        <v>1139054.6259887018</v>
      </c>
      <c r="AH410" s="107">
        <f t="shared" si="350"/>
        <v>1136520.0026129957</v>
      </c>
      <c r="AI410" s="107">
        <f t="shared" si="351"/>
        <v>1133985.3792372895</v>
      </c>
      <c r="AJ410" s="107">
        <f t="shared" si="352"/>
        <v>1131450.7558615834</v>
      </c>
      <c r="AK410" s="107">
        <f t="shared" si="353"/>
        <v>1128916.1324858773</v>
      </c>
      <c r="AL410" s="107">
        <f t="shared" si="354"/>
        <v>1126381.5091101711</v>
      </c>
      <c r="AM410" s="107">
        <f t="shared" si="355"/>
        <v>1123846.885734465</v>
      </c>
      <c r="AN410" s="107">
        <f t="shared" si="356"/>
        <v>1121312.2623587588</v>
      </c>
      <c r="AO410" s="107">
        <f t="shared" si="357"/>
        <v>1118777.6389830527</v>
      </c>
      <c r="AP410" s="107"/>
      <c r="AQ410" s="126"/>
      <c r="AR410" s="107">
        <f t="shared" si="358"/>
        <v>30415.480508474582</v>
      </c>
      <c r="AS410" s="107">
        <f t="shared" si="423"/>
        <v>1116243.0156073465</v>
      </c>
      <c r="AT410" s="107">
        <f t="shared" si="424"/>
        <v>1113708.3922316404</v>
      </c>
      <c r="AU410" s="107">
        <f t="shared" si="425"/>
        <v>1111173.7688559343</v>
      </c>
      <c r="AV410" s="107">
        <f t="shared" si="426"/>
        <v>1108639.1454802281</v>
      </c>
      <c r="AW410" s="107">
        <f t="shared" si="427"/>
        <v>1106104.522104522</v>
      </c>
      <c r="AX410" s="107">
        <f t="shared" si="428"/>
        <v>1103569.8987288158</v>
      </c>
      <c r="AY410" s="107">
        <f t="shared" si="429"/>
        <v>1101035.2753531097</v>
      </c>
      <c r="AZ410" s="107">
        <f t="shared" si="430"/>
        <v>1098500.6519774036</v>
      </c>
      <c r="BA410" s="107">
        <f t="shared" si="431"/>
        <v>1095966.0286016974</v>
      </c>
      <c r="BB410" s="107">
        <f t="shared" si="432"/>
        <v>1093431.4052259913</v>
      </c>
      <c r="BC410" s="107">
        <f t="shared" si="433"/>
        <v>1090896.7818502851</v>
      </c>
      <c r="BD410" s="107">
        <f t="shared" si="434"/>
        <v>1088362.158474579</v>
      </c>
      <c r="BE410" s="107"/>
      <c r="BF410" s="127"/>
      <c r="BG410" s="127"/>
      <c r="BH410" s="127"/>
      <c r="BI410" s="127"/>
      <c r="BJ410" s="127"/>
      <c r="BK410" s="127"/>
      <c r="BL410" s="127"/>
      <c r="BM410" s="127"/>
      <c r="BN410" s="127"/>
      <c r="BO410" s="127"/>
      <c r="BP410" s="127"/>
      <c r="BQ410" s="127"/>
      <c r="BR410" s="127"/>
      <c r="BS410" s="127"/>
      <c r="BT410" s="127"/>
      <c r="BU410" s="127"/>
      <c r="BV410" s="127"/>
      <c r="BW410" s="127"/>
    </row>
    <row r="411" spans="1:75" hidden="1" x14ac:dyDescent="0.2">
      <c r="A411" s="123" t="str">
        <f>'[2]2021 УГРЦТ'!A413</f>
        <v xml:space="preserve">ТП №60 Озерная 6  Искателей </v>
      </c>
      <c r="B411" s="124" t="str">
        <f>'[2]2021 УГРЦТ'!B413</f>
        <v>00000098</v>
      </c>
      <c r="C411" s="124" t="str">
        <f>VLOOKUP(A:A,'2023-2027'!A:L,1,+FALSE)</f>
        <v xml:space="preserve">ТП №60 Озерная 6  Искателей </v>
      </c>
      <c r="D411" s="124" t="str">
        <f>'[2]2021 УГРЦТ'!C413</f>
        <v>ПЕРЕДАЧА</v>
      </c>
      <c r="E411" s="124" t="str">
        <f>'[2]2021 УГРЦТ'!D413</f>
        <v>Здания</v>
      </c>
      <c r="F411" s="124" t="str">
        <f>'[2]2021 УГРЦТ'!E413</f>
        <v>01.12.1997</v>
      </c>
      <c r="G411" s="124" t="str">
        <f>'[2]2021 УГРЦТ'!F413</f>
        <v>Цех электрических сетей</v>
      </c>
      <c r="H411" s="124">
        <f>'[2]2021 УГРЦТ'!AC413</f>
        <v>708</v>
      </c>
      <c r="I411" s="107">
        <f>'[2]2021 УГРЦТ'!X413</f>
        <v>15582</v>
      </c>
      <c r="J411" s="107">
        <f>'[2]2021 УГРЦТ'!Y413</f>
        <v>5569.6116949152547</v>
      </c>
      <c r="K411" s="107">
        <f>'[2]2021 УГРЦТ'!Z413</f>
        <v>10012.388305084745</v>
      </c>
      <c r="L411" s="125" t="e">
        <f>SUMIF([2]облаг!$B$2:$B$259,B411,[2]облаг!$D$2:$D$259)</f>
        <v>#VALUE!</v>
      </c>
      <c r="M411" s="107">
        <f t="shared" si="414"/>
        <v>22.008474576271187</v>
      </c>
      <c r="N411" s="107">
        <f t="shared" si="415"/>
        <v>264.10169491525426</v>
      </c>
      <c r="O411" s="107">
        <f t="shared" si="416"/>
        <v>9990.3798305084747</v>
      </c>
      <c r="P411" s="107">
        <f t="shared" si="417"/>
        <v>9968.3713559322041</v>
      </c>
      <c r="Q411" s="107">
        <f t="shared" si="335"/>
        <v>9946.3628813559335</v>
      </c>
      <c r="R411" s="107">
        <f t="shared" si="336"/>
        <v>9924.3544067796629</v>
      </c>
      <c r="S411" s="107">
        <f t="shared" si="337"/>
        <v>9902.3459322033923</v>
      </c>
      <c r="T411" s="107">
        <f t="shared" si="338"/>
        <v>9880.3374576271217</v>
      </c>
      <c r="U411" s="107">
        <f t="shared" si="339"/>
        <v>9858.3289830508511</v>
      </c>
      <c r="V411" s="107">
        <f t="shared" si="340"/>
        <v>9836.3205084745805</v>
      </c>
      <c r="W411" s="107">
        <f t="shared" si="341"/>
        <v>9814.3120338983099</v>
      </c>
      <c r="X411" s="107">
        <f t="shared" si="342"/>
        <v>9792.3035593220393</v>
      </c>
      <c r="Y411" s="107">
        <f t="shared" si="343"/>
        <v>9770.2950847457687</v>
      </c>
      <c r="Z411" s="107">
        <f t="shared" si="344"/>
        <v>9748.2866101694981</v>
      </c>
      <c r="AA411" s="107">
        <f t="shared" ref="AA411:AA431" si="435">SUM(O411:Z411,K411)/13*$AA$2</f>
        <v>217.36742406779669</v>
      </c>
      <c r="AB411" s="107"/>
      <c r="AC411" s="107">
        <f t="shared" si="345"/>
        <v>264.10169491525426</v>
      </c>
      <c r="AD411" s="107">
        <f t="shared" si="346"/>
        <v>9726.2781355932275</v>
      </c>
      <c r="AE411" s="107">
        <f t="shared" si="347"/>
        <v>9704.2696610169569</v>
      </c>
      <c r="AF411" s="107">
        <f t="shared" si="348"/>
        <v>9682.2611864406863</v>
      </c>
      <c r="AG411" s="107">
        <f t="shared" si="349"/>
        <v>9660.2527118644157</v>
      </c>
      <c r="AH411" s="107">
        <f t="shared" si="350"/>
        <v>9638.2442372881451</v>
      </c>
      <c r="AI411" s="107">
        <f t="shared" si="351"/>
        <v>9616.2357627118745</v>
      </c>
      <c r="AJ411" s="107">
        <f t="shared" si="352"/>
        <v>9594.2272881356039</v>
      </c>
      <c r="AK411" s="107">
        <f t="shared" si="353"/>
        <v>9572.2188135593333</v>
      </c>
      <c r="AL411" s="107">
        <f t="shared" si="354"/>
        <v>9550.2103389830627</v>
      </c>
      <c r="AM411" s="107">
        <f t="shared" si="355"/>
        <v>9528.2018644067921</v>
      </c>
      <c r="AN411" s="107">
        <f t="shared" si="356"/>
        <v>9506.1933898305215</v>
      </c>
      <c r="AO411" s="107">
        <f t="shared" si="357"/>
        <v>9484.1849152542509</v>
      </c>
      <c r="AP411" s="107">
        <f t="shared" ref="AP411:AP431" si="436">SUM(AD411:AO411,Z411)/13*$AP$2</f>
        <v>211.55718677966124</v>
      </c>
      <c r="AQ411" s="126"/>
      <c r="AR411" s="107">
        <f t="shared" si="358"/>
        <v>264.10169491525426</v>
      </c>
      <c r="AS411" s="107">
        <f t="shared" si="423"/>
        <v>9462.1764406779803</v>
      </c>
      <c r="AT411" s="107">
        <f t="shared" si="424"/>
        <v>9440.1679661017097</v>
      </c>
      <c r="AU411" s="107">
        <f t="shared" si="425"/>
        <v>9418.1594915254391</v>
      </c>
      <c r="AV411" s="107">
        <f t="shared" si="426"/>
        <v>9396.1510169491685</v>
      </c>
      <c r="AW411" s="107">
        <f t="shared" si="427"/>
        <v>9374.1425423728979</v>
      </c>
      <c r="AX411" s="107">
        <f t="shared" si="428"/>
        <v>9352.1340677966273</v>
      </c>
      <c r="AY411" s="107">
        <f t="shared" si="429"/>
        <v>9330.1255932203567</v>
      </c>
      <c r="AZ411" s="107">
        <f t="shared" si="430"/>
        <v>9308.1171186440861</v>
      </c>
      <c r="BA411" s="107">
        <f t="shared" si="431"/>
        <v>9286.1086440678155</v>
      </c>
      <c r="BB411" s="107">
        <f t="shared" si="432"/>
        <v>9264.1001694915449</v>
      </c>
      <c r="BC411" s="107">
        <f t="shared" si="433"/>
        <v>9242.0916949152743</v>
      </c>
      <c r="BD411" s="107">
        <f t="shared" si="434"/>
        <v>9220.0832203390037</v>
      </c>
      <c r="BE411" s="107">
        <f t="shared" ref="BE411:BE431" si="437">SUM(AS411:BD411,AO411)/13*$BE$2</f>
        <v>205.74694949152584</v>
      </c>
      <c r="BF411" s="127"/>
      <c r="BG411" s="127"/>
      <c r="BH411" s="127"/>
      <c r="BI411" s="127"/>
      <c r="BJ411" s="127"/>
      <c r="BK411" s="127"/>
      <c r="BL411" s="127"/>
      <c r="BM411" s="127"/>
      <c r="BN411" s="127"/>
      <c r="BO411" s="127"/>
      <c r="BP411" s="127"/>
      <c r="BQ411" s="127"/>
      <c r="BR411" s="127"/>
      <c r="BS411" s="127"/>
      <c r="BT411" s="127"/>
      <c r="BU411" s="127"/>
      <c r="BV411" s="127"/>
      <c r="BW411" s="127"/>
    </row>
    <row r="412" spans="1:75" ht="22.5" hidden="1" x14ac:dyDescent="0.2">
      <c r="A412" s="123" t="str">
        <f>'[2]2021 УГРЦТ'!A414</f>
        <v>ТП №6-1 ул Ненец-Оленн-Выуч-Полярн 96-кв дом 2010г</v>
      </c>
      <c r="B412" s="124" t="str">
        <f>'[2]2021 УГРЦТ'!B414</f>
        <v>00001220</v>
      </c>
      <c r="C412" s="124" t="str">
        <f>VLOOKUP(A:A,'2023-2027'!A:L,1,+FALSE)</f>
        <v>ТП №6-1 ул Ненец-Оленн-Выуч-Полярн 96-кв дом 2010г</v>
      </c>
      <c r="D412" s="124" t="str">
        <f>'[2]2021 УГРЦТ'!C414</f>
        <v>ПЕРЕДАЧА</v>
      </c>
      <c r="E412" s="124" t="str">
        <f>'[2]2021 УГРЦТ'!D414</f>
        <v>Здания</v>
      </c>
      <c r="F412" s="124" t="str">
        <f>'[2]2021 УГРЦТ'!E414</f>
        <v>31.05.2010</v>
      </c>
      <c r="G412" s="124" t="str">
        <f>'[2]2021 УГРЦТ'!F414</f>
        <v>Цех электрических сетей</v>
      </c>
      <c r="H412" s="124">
        <f>'[2]2021 УГРЦТ'!AC414</f>
        <v>240</v>
      </c>
      <c r="I412" s="107">
        <v>5475203</v>
      </c>
      <c r="J412" s="107">
        <v>3171055.6</v>
      </c>
      <c r="K412" s="107">
        <v>2304147.4</v>
      </c>
      <c r="L412" s="125" t="e">
        <f>SUMIF([2]облаг!$B$2:$B$259,B412,[2]облаг!$D$2:$D$259)</f>
        <v>#VALUE!</v>
      </c>
      <c r="M412" s="107">
        <f t="shared" si="414"/>
        <v>22813.345833333333</v>
      </c>
      <c r="N412" s="107">
        <f t="shared" si="415"/>
        <v>273760.15000000002</v>
      </c>
      <c r="O412" s="107">
        <f t="shared" si="416"/>
        <v>2281334.0541666667</v>
      </c>
      <c r="P412" s="107">
        <f t="shared" si="417"/>
        <v>2258520.7083333335</v>
      </c>
      <c r="Q412" s="107">
        <f t="shared" ref="Q412:Q475" si="438">P412-M412</f>
        <v>2235707.3625000003</v>
      </c>
      <c r="R412" s="107">
        <f t="shared" ref="R412:R475" si="439">Q412-M412</f>
        <v>2212894.0166666671</v>
      </c>
      <c r="S412" s="107">
        <f t="shared" si="337"/>
        <v>2190080.6708333339</v>
      </c>
      <c r="T412" s="107">
        <f t="shared" si="338"/>
        <v>2167267.3250000007</v>
      </c>
      <c r="U412" s="107">
        <f t="shared" si="339"/>
        <v>2144453.9791666674</v>
      </c>
      <c r="V412" s="107">
        <f t="shared" si="340"/>
        <v>2121640.6333333342</v>
      </c>
      <c r="W412" s="107">
        <f t="shared" si="341"/>
        <v>2098827.287500001</v>
      </c>
      <c r="X412" s="107">
        <f t="shared" si="342"/>
        <v>2076013.9416666676</v>
      </c>
      <c r="Y412" s="107">
        <f t="shared" si="343"/>
        <v>2053200.5958333341</v>
      </c>
      <c r="Z412" s="107">
        <f t="shared" si="344"/>
        <v>2030387.2500000007</v>
      </c>
      <c r="AA412" s="107">
        <f t="shared" si="435"/>
        <v>47679.881150000001</v>
      </c>
      <c r="AB412" s="107"/>
      <c r="AC412" s="107">
        <f t="shared" si="345"/>
        <v>273760.15000000002</v>
      </c>
      <c r="AD412" s="107">
        <f t="shared" si="346"/>
        <v>2007573.9041666673</v>
      </c>
      <c r="AE412" s="107">
        <f t="shared" si="347"/>
        <v>1984760.5583333338</v>
      </c>
      <c r="AF412" s="107">
        <f t="shared" si="348"/>
        <v>1961947.2125000004</v>
      </c>
      <c r="AG412" s="107">
        <f t="shared" si="349"/>
        <v>1939133.8666666669</v>
      </c>
      <c r="AH412" s="107">
        <f t="shared" si="350"/>
        <v>1916320.5208333335</v>
      </c>
      <c r="AI412" s="107">
        <f t="shared" si="351"/>
        <v>1893507.175</v>
      </c>
      <c r="AJ412" s="107">
        <f t="shared" si="352"/>
        <v>1870693.8291666666</v>
      </c>
      <c r="AK412" s="107">
        <f t="shared" si="353"/>
        <v>1847880.4833333332</v>
      </c>
      <c r="AL412" s="107">
        <f t="shared" si="354"/>
        <v>1825067.1374999997</v>
      </c>
      <c r="AM412" s="107">
        <f t="shared" si="355"/>
        <v>1802253.7916666663</v>
      </c>
      <c r="AN412" s="107">
        <f t="shared" si="356"/>
        <v>1779440.4458333328</v>
      </c>
      <c r="AO412" s="107">
        <f t="shared" si="357"/>
        <v>1756627.0999999994</v>
      </c>
      <c r="AP412" s="107">
        <f t="shared" si="436"/>
        <v>41657.157850000003</v>
      </c>
      <c r="AQ412" s="126"/>
      <c r="AR412" s="107">
        <f t="shared" si="358"/>
        <v>273760.15000000002</v>
      </c>
      <c r="AS412" s="107">
        <f t="shared" si="423"/>
        <v>1733813.754166666</v>
      </c>
      <c r="AT412" s="107">
        <f t="shared" si="424"/>
        <v>1711000.4083333325</v>
      </c>
      <c r="AU412" s="107">
        <f t="shared" si="425"/>
        <v>1688187.0624999991</v>
      </c>
      <c r="AV412" s="107">
        <f t="shared" si="426"/>
        <v>1665373.7166666656</v>
      </c>
      <c r="AW412" s="107">
        <f t="shared" si="427"/>
        <v>1642560.3708333322</v>
      </c>
      <c r="AX412" s="107">
        <f t="shared" si="428"/>
        <v>1619747.0249999987</v>
      </c>
      <c r="AY412" s="107">
        <f t="shared" si="429"/>
        <v>1596933.6791666653</v>
      </c>
      <c r="AZ412" s="107">
        <f t="shared" si="430"/>
        <v>1574120.3333333319</v>
      </c>
      <c r="BA412" s="107">
        <f t="shared" si="431"/>
        <v>1551306.9874999984</v>
      </c>
      <c r="BB412" s="107">
        <f t="shared" si="432"/>
        <v>1528493.641666665</v>
      </c>
      <c r="BC412" s="107">
        <f t="shared" si="433"/>
        <v>1505680.2958333315</v>
      </c>
      <c r="BD412" s="107">
        <f t="shared" si="434"/>
        <v>1482866.9499999981</v>
      </c>
      <c r="BE412" s="107">
        <f t="shared" si="437"/>
        <v>35634.434549999969</v>
      </c>
      <c r="BF412" s="127"/>
      <c r="BG412" s="127"/>
      <c r="BH412" s="127"/>
      <c r="BI412" s="127"/>
      <c r="BJ412" s="127"/>
      <c r="BK412" s="127"/>
      <c r="BL412" s="127"/>
      <c r="BM412" s="127"/>
      <c r="BN412" s="127"/>
      <c r="BO412" s="127"/>
      <c r="BP412" s="127"/>
      <c r="BQ412" s="127"/>
      <c r="BR412" s="127"/>
      <c r="BS412" s="127"/>
      <c r="BT412" s="127"/>
      <c r="BU412" s="127"/>
      <c r="BV412" s="127"/>
      <c r="BW412" s="127"/>
    </row>
    <row r="413" spans="1:75" ht="22.5" hidden="1" x14ac:dyDescent="0.2">
      <c r="A413" s="123" t="str">
        <f>'[2]2021 УГРЦТ'!A415</f>
        <v>ТП №64  Рассихина 7 ГКТП ТМ-320 пИскателей 1997г</v>
      </c>
      <c r="B413" s="124" t="str">
        <f>'[2]2021 УГРЦТ'!B415</f>
        <v>00000095</v>
      </c>
      <c r="C413" s="124" t="str">
        <f>VLOOKUP(A:A,'2023-2027'!A:L,1,+FALSE)</f>
        <v>ТП №64  Рассихина 7 ГКТП ТМ-320 пИскателей 1997г</v>
      </c>
      <c r="D413" s="124" t="str">
        <f>'[2]2021 УГРЦТ'!C415</f>
        <v>ПЕРЕДАЧА</v>
      </c>
      <c r="E413" s="124" t="str">
        <f>'[2]2021 УГРЦТ'!D415</f>
        <v>Сооружения</v>
      </c>
      <c r="F413" s="124" t="str">
        <f>'[2]2021 УГРЦТ'!E415</f>
        <v>01.12.1997</v>
      </c>
      <c r="G413" s="124" t="str">
        <f>'[2]2021 УГРЦТ'!F415</f>
        <v>Цех электрических сетей</v>
      </c>
      <c r="H413" s="124">
        <f>'[2]2021 УГРЦТ'!AC415</f>
        <v>276</v>
      </c>
      <c r="I413" s="107">
        <f>'[2]2021 УГРЦТ'!X415</f>
        <v>141293</v>
      </c>
      <c r="J413" s="107">
        <f>'[2]2021 УГРЦТ'!Y415</f>
        <v>125502.12391304347</v>
      </c>
      <c r="K413" s="107">
        <f>'[2]2021 УГРЦТ'!Z415</f>
        <v>15790.87608695653</v>
      </c>
      <c r="L413" s="125" t="e">
        <f>SUMIF([2]облаг!$B$2:$B$259,B413,[2]облаг!$D$2:$D$259)</f>
        <v>#VALUE!</v>
      </c>
      <c r="M413" s="107">
        <f t="shared" si="414"/>
        <v>511.93115942028987</v>
      </c>
      <c r="N413" s="107">
        <f t="shared" si="415"/>
        <v>6143.173913043478</v>
      </c>
      <c r="O413" s="107">
        <f t="shared" si="416"/>
        <v>15278.94492753624</v>
      </c>
      <c r="P413" s="107">
        <f t="shared" si="417"/>
        <v>14767.01376811595</v>
      </c>
      <c r="Q413" s="107">
        <f t="shared" si="438"/>
        <v>14255.08260869566</v>
      </c>
      <c r="R413" s="107">
        <f t="shared" si="439"/>
        <v>13743.15144927537</v>
      </c>
      <c r="S413" s="107">
        <f t="shared" ref="S413:S476" si="440">R413-M413</f>
        <v>13231.22028985508</v>
      </c>
      <c r="T413" s="107">
        <f t="shared" ref="T413:T476" si="441">S413-M413</f>
        <v>12719.28913043479</v>
      </c>
      <c r="U413" s="107">
        <f t="shared" ref="U413:U476" si="442">T413-M413</f>
        <v>12207.3579710145</v>
      </c>
      <c r="V413" s="107">
        <f t="shared" ref="V413:V476" si="443">U413-M413</f>
        <v>11695.42681159421</v>
      </c>
      <c r="W413" s="107">
        <f t="shared" ref="W413:W476" si="444">V413-M413</f>
        <v>11183.49565217392</v>
      </c>
      <c r="X413" s="107">
        <f t="shared" ref="X413:X476" si="445">W413-M413</f>
        <v>10671.56449275363</v>
      </c>
      <c r="Y413" s="107">
        <f t="shared" ref="Y413:Y476" si="446">X413-M413</f>
        <v>10159.63333333334</v>
      </c>
      <c r="Z413" s="107">
        <f t="shared" ref="Z413:Z476" si="447">Y413-M413</f>
        <v>9647.7021739130505</v>
      </c>
      <c r="AA413" s="107">
        <f t="shared" si="435"/>
        <v>279.8243608695654</v>
      </c>
      <c r="AB413" s="107"/>
      <c r="AC413" s="107">
        <f t="shared" ref="AC413:AC476" si="448">M413*12</f>
        <v>6143.173913043478</v>
      </c>
      <c r="AD413" s="107">
        <f t="shared" ref="AD413:AD476" si="449">Z413-M413</f>
        <v>9135.7710144927605</v>
      </c>
      <c r="AE413" s="107">
        <f t="shared" ref="AE413:AE476" si="450">AD413-M413</f>
        <v>8623.8398550724705</v>
      </c>
      <c r="AF413" s="107">
        <f t="shared" ref="AF413:AF476" si="451">AE413-M413</f>
        <v>8111.9086956521805</v>
      </c>
      <c r="AG413" s="107">
        <f t="shared" ref="AG413:AG476" si="452">AF413-M413</f>
        <v>7599.9775362318906</v>
      </c>
      <c r="AH413" s="107">
        <f t="shared" ref="AH413:AH476" si="453">AG413-M413</f>
        <v>7088.0463768116006</v>
      </c>
      <c r="AI413" s="107">
        <f t="shared" ref="AI413:AI476" si="454">AH413-M413</f>
        <v>6576.1152173913106</v>
      </c>
      <c r="AJ413" s="107">
        <f t="shared" ref="AJ413:AJ476" si="455">AI413-M413</f>
        <v>6064.1840579710206</v>
      </c>
      <c r="AK413" s="107">
        <f t="shared" ref="AK413:AK476" si="456">AJ413-M413</f>
        <v>5552.2528985507306</v>
      </c>
      <c r="AL413" s="107">
        <f t="shared" ref="AL413:AL476" si="457">AK413-M413</f>
        <v>5040.3217391304406</v>
      </c>
      <c r="AM413" s="107">
        <f t="shared" ref="AM413:AM476" si="458">AL413-M413</f>
        <v>4528.3905797101506</v>
      </c>
      <c r="AN413" s="107">
        <f t="shared" ref="AN413:AN476" si="459">AM413-M413</f>
        <v>4016.4594202898606</v>
      </c>
      <c r="AO413" s="107">
        <f t="shared" ref="AO413:AO476" si="460">AN413-M413</f>
        <v>3504.5282608695707</v>
      </c>
      <c r="AP413" s="107">
        <f t="shared" si="436"/>
        <v>144.67453478260882</v>
      </c>
      <c r="AQ413" s="126"/>
      <c r="AR413" s="107">
        <f>AS413</f>
        <v>2992.5971014492807</v>
      </c>
      <c r="AS413" s="107">
        <f t="shared" si="423"/>
        <v>2992.5971014492807</v>
      </c>
      <c r="AT413" s="107">
        <f t="shared" si="424"/>
        <v>2480.6659420289907</v>
      </c>
      <c r="AU413" s="107">
        <f t="shared" si="425"/>
        <v>1968.7347826087007</v>
      </c>
      <c r="AV413" s="107">
        <f t="shared" si="426"/>
        <v>1456.8036231884107</v>
      </c>
      <c r="AW413" s="107">
        <f t="shared" si="427"/>
        <v>944.87246376812084</v>
      </c>
      <c r="AX413" s="107">
        <f t="shared" si="428"/>
        <v>432.94130434783096</v>
      </c>
      <c r="AY413" s="107">
        <v>0</v>
      </c>
      <c r="AZ413" s="107">
        <v>0</v>
      </c>
      <c r="BA413" s="107">
        <v>0</v>
      </c>
      <c r="BB413" s="107">
        <v>0</v>
      </c>
      <c r="BC413" s="107">
        <v>0</v>
      </c>
      <c r="BD413" s="107">
        <v>0</v>
      </c>
      <c r="BE413" s="107">
        <f t="shared" si="437"/>
        <v>23.321935117056913</v>
      </c>
      <c r="BG413" s="127"/>
      <c r="BI413" s="127"/>
      <c r="BV413" s="127"/>
    </row>
    <row r="414" spans="1:75" ht="22.5" hidden="1" x14ac:dyDescent="0.2">
      <c r="A414" s="123" t="str">
        <f>'[2]2021 УГРЦТ'!A416</f>
        <v>ТП №65 Строителей 8  пИскателей 1997г</v>
      </c>
      <c r="B414" s="124" t="str">
        <f>'[2]2021 УГРЦТ'!B416</f>
        <v>00000506</v>
      </c>
      <c r="C414" s="124" t="str">
        <f>VLOOKUP(A:A,'2023-2027'!A:L,1,+FALSE)</f>
        <v>ТП №65 Строителей 8  пИскателей 1997г</v>
      </c>
      <c r="D414" s="124" t="str">
        <f>'[2]2021 УГРЦТ'!C416</f>
        <v>ПЕРЕДАЧА</v>
      </c>
      <c r="E414" s="124" t="str">
        <f>'[2]2021 УГРЦТ'!D416</f>
        <v>Сооружения</v>
      </c>
      <c r="F414" s="124" t="str">
        <f>'[2]2021 УГРЦТ'!E416</f>
        <v>01.12.1997</v>
      </c>
      <c r="G414" s="124" t="str">
        <f>'[2]2021 УГРЦТ'!F416</f>
        <v>Цех электрических сетей</v>
      </c>
      <c r="H414" s="124">
        <f>'[2]2021 УГРЦТ'!AC416</f>
        <v>708</v>
      </c>
      <c r="I414" s="107">
        <f>'[2]2021 УГРЦТ'!X416</f>
        <v>177359</v>
      </c>
      <c r="J414" s="107">
        <f>'[2]2021 УГРЦТ'!Y416</f>
        <v>47188.53</v>
      </c>
      <c r="K414" s="107">
        <f>'[2]2021 УГРЦТ'!Z416</f>
        <v>130170.47</v>
      </c>
      <c r="L414" s="125" t="e">
        <f>SUMIF([2]облаг!$B$2:$B$259,B414,[2]облаг!$D$2:$D$259)</f>
        <v>#VALUE!</v>
      </c>
      <c r="M414" s="107">
        <f t="shared" si="414"/>
        <v>250.50706214689265</v>
      </c>
      <c r="N414" s="107">
        <f t="shared" si="415"/>
        <v>3006.0847457627119</v>
      </c>
      <c r="O414" s="107">
        <f t="shared" si="416"/>
        <v>129919.96293785311</v>
      </c>
      <c r="P414" s="107">
        <f t="shared" si="417"/>
        <v>129669.45587570622</v>
      </c>
      <c r="Q414" s="107">
        <f t="shared" si="438"/>
        <v>129418.94881355933</v>
      </c>
      <c r="R414" s="107">
        <f t="shared" si="439"/>
        <v>129168.44175141244</v>
      </c>
      <c r="S414" s="107">
        <f t="shared" si="440"/>
        <v>128917.93468926554</v>
      </c>
      <c r="T414" s="107">
        <f t="shared" si="441"/>
        <v>128667.42762711865</v>
      </c>
      <c r="U414" s="107">
        <f t="shared" si="442"/>
        <v>128416.92056497176</v>
      </c>
      <c r="V414" s="107">
        <f t="shared" si="443"/>
        <v>128166.41350282487</v>
      </c>
      <c r="W414" s="107">
        <f t="shared" si="444"/>
        <v>127915.90644067798</v>
      </c>
      <c r="X414" s="107">
        <f t="shared" si="445"/>
        <v>127665.39937853109</v>
      </c>
      <c r="Y414" s="107">
        <f t="shared" si="446"/>
        <v>127414.8923163842</v>
      </c>
      <c r="Z414" s="107">
        <f t="shared" si="447"/>
        <v>127164.38525423731</v>
      </c>
      <c r="AA414" s="107">
        <f t="shared" si="435"/>
        <v>2830.6834077966105</v>
      </c>
      <c r="AB414" s="107"/>
      <c r="AC414" s="107">
        <f t="shared" si="448"/>
        <v>3006.0847457627119</v>
      </c>
      <c r="AD414" s="107">
        <f t="shared" si="449"/>
        <v>126913.87819209041</v>
      </c>
      <c r="AE414" s="107">
        <f t="shared" si="450"/>
        <v>126663.37112994352</v>
      </c>
      <c r="AF414" s="107">
        <f t="shared" si="451"/>
        <v>126412.86406779663</v>
      </c>
      <c r="AG414" s="107">
        <f t="shared" si="452"/>
        <v>126162.35700564974</v>
      </c>
      <c r="AH414" s="107">
        <f t="shared" si="453"/>
        <v>125911.84994350285</v>
      </c>
      <c r="AI414" s="107">
        <f t="shared" si="454"/>
        <v>125661.34288135596</v>
      </c>
      <c r="AJ414" s="107">
        <f t="shared" si="455"/>
        <v>125410.83581920907</v>
      </c>
      <c r="AK414" s="107">
        <f t="shared" si="456"/>
        <v>125160.32875706218</v>
      </c>
      <c r="AL414" s="107">
        <f t="shared" si="457"/>
        <v>124909.82169491528</v>
      </c>
      <c r="AM414" s="107">
        <f t="shared" si="458"/>
        <v>124659.31463276839</v>
      </c>
      <c r="AN414" s="107">
        <f t="shared" si="459"/>
        <v>124408.8075706215</v>
      </c>
      <c r="AO414" s="107">
        <f t="shared" si="460"/>
        <v>124158.30050847461</v>
      </c>
      <c r="AP414" s="107">
        <f t="shared" si="436"/>
        <v>2764.5495433898313</v>
      </c>
      <c r="AQ414" s="126"/>
      <c r="AR414" s="107">
        <f t="shared" ref="AR414:AR477" si="461">M414*12</f>
        <v>3006.0847457627119</v>
      </c>
      <c r="AS414" s="107">
        <f t="shared" si="423"/>
        <v>123907.79344632772</v>
      </c>
      <c r="AT414" s="107">
        <f t="shared" si="424"/>
        <v>123657.28638418083</v>
      </c>
      <c r="AU414" s="107">
        <f t="shared" si="425"/>
        <v>123406.77932203394</v>
      </c>
      <c r="AV414" s="107">
        <f t="shared" si="426"/>
        <v>123156.27225988705</v>
      </c>
      <c r="AW414" s="107">
        <f t="shared" si="427"/>
        <v>122905.76519774015</v>
      </c>
      <c r="AX414" s="107">
        <f t="shared" si="428"/>
        <v>122655.25813559326</v>
      </c>
      <c r="AY414" s="107">
        <f t="shared" ref="AY414:AY420" si="462">AX414-M414</f>
        <v>122404.75107344637</v>
      </c>
      <c r="AZ414" s="107">
        <f t="shared" ref="AZ414:AZ420" si="463">AY414-M414</f>
        <v>122154.24401129948</v>
      </c>
      <c r="BA414" s="107">
        <f t="shared" ref="BA414:BA420" si="464">AZ414-M414</f>
        <v>121903.73694915259</v>
      </c>
      <c r="BB414" s="107">
        <f t="shared" ref="BB414:BB420" si="465">BA414-M414</f>
        <v>121653.2298870057</v>
      </c>
      <c r="BC414" s="107">
        <f t="shared" ref="BC414:BC420" si="466">BB414-M414</f>
        <v>121402.72282485881</v>
      </c>
      <c r="BD414" s="107">
        <f t="shared" ref="BD414:BD420" si="467">BC414-M414</f>
        <v>121152.21576271192</v>
      </c>
      <c r="BE414" s="107">
        <f t="shared" si="437"/>
        <v>2698.4156789830513</v>
      </c>
      <c r="BF414" s="127"/>
      <c r="BG414" s="127"/>
      <c r="BH414" s="127"/>
      <c r="BI414" s="127"/>
      <c r="BJ414" s="127"/>
      <c r="BK414" s="127"/>
      <c r="BL414" s="127"/>
      <c r="BM414" s="127"/>
      <c r="BN414" s="127"/>
      <c r="BO414" s="127"/>
      <c r="BP414" s="127"/>
      <c r="BQ414" s="127"/>
      <c r="BR414" s="127"/>
      <c r="BS414" s="127"/>
      <c r="BT414" s="127"/>
      <c r="BU414" s="127"/>
      <c r="BV414" s="127"/>
      <c r="BW414" s="127"/>
    </row>
    <row r="415" spans="1:75" hidden="1" x14ac:dyDescent="0.2">
      <c r="A415" s="123" t="str">
        <f>'[2]2021 УГРЦТ'!A417</f>
        <v>ТП №66  МРП</v>
      </c>
      <c r="B415" s="124" t="str">
        <f>'[2]2021 УГРЦТ'!B417</f>
        <v>00000533</v>
      </c>
      <c r="C415" s="124" t="str">
        <f>VLOOKUP(A:A,'2023-2027'!A:L,1,+FALSE)</f>
        <v>ТП №66  МРП</v>
      </c>
      <c r="D415" s="124" t="str">
        <f>'[2]2021 УГРЦТ'!C417</f>
        <v>ПЕРЕДАЧА</v>
      </c>
      <c r="E415" s="124" t="str">
        <f>'[2]2021 УГРЦТ'!D417</f>
        <v>Здания</v>
      </c>
      <c r="F415" s="124" t="str">
        <f>'[2]2021 УГРЦТ'!E417</f>
        <v>31.05.1998</v>
      </c>
      <c r="G415" s="124" t="str">
        <f>'[2]2021 УГРЦТ'!F417</f>
        <v>Цех электрических сетей</v>
      </c>
      <c r="H415" s="124">
        <f>'[2]2021 УГРЦТ'!AC417</f>
        <v>708</v>
      </c>
      <c r="I415" s="107">
        <f>'[2]2021 УГРЦТ'!X417</f>
        <v>264000</v>
      </c>
      <c r="J415" s="107">
        <f>'[2]2021 УГРЦТ'!Y417</f>
        <v>37223.980000000003</v>
      </c>
      <c r="K415" s="107">
        <f>'[2]2021 УГРЦТ'!Z417</f>
        <v>226776.02</v>
      </c>
      <c r="L415" s="125" t="e">
        <f>SUMIF([2]облаг!$B$2:$B$259,B415,[2]облаг!$D$2:$D$259)</f>
        <v>#VALUE!</v>
      </c>
      <c r="M415" s="107">
        <f t="shared" si="414"/>
        <v>372.88135593220341</v>
      </c>
      <c r="N415" s="107">
        <f t="shared" si="415"/>
        <v>4474.5762711864409</v>
      </c>
      <c r="O415" s="107">
        <f t="shared" si="416"/>
        <v>226403.13864406777</v>
      </c>
      <c r="P415" s="107">
        <f t="shared" si="417"/>
        <v>226030.25728813556</v>
      </c>
      <c r="Q415" s="107">
        <f t="shared" si="438"/>
        <v>225657.37593220334</v>
      </c>
      <c r="R415" s="107">
        <f t="shared" si="439"/>
        <v>225284.49457627113</v>
      </c>
      <c r="S415" s="107">
        <f t="shared" si="440"/>
        <v>224911.61322033891</v>
      </c>
      <c r="T415" s="107">
        <f t="shared" si="441"/>
        <v>224538.7318644067</v>
      </c>
      <c r="U415" s="107">
        <f t="shared" si="442"/>
        <v>224165.85050847448</v>
      </c>
      <c r="V415" s="107">
        <f t="shared" si="443"/>
        <v>223792.96915254227</v>
      </c>
      <c r="W415" s="107">
        <f t="shared" si="444"/>
        <v>223420.08779661005</v>
      </c>
      <c r="X415" s="107">
        <f t="shared" si="445"/>
        <v>223047.20644067784</v>
      </c>
      <c r="Y415" s="107">
        <f t="shared" si="446"/>
        <v>222674.32508474562</v>
      </c>
      <c r="Z415" s="107">
        <f t="shared" si="447"/>
        <v>222301.44372881341</v>
      </c>
      <c r="AA415" s="107">
        <f t="shared" si="435"/>
        <v>4939.852101016947</v>
      </c>
      <c r="AB415" s="107"/>
      <c r="AC415" s="107">
        <f t="shared" si="448"/>
        <v>4474.5762711864409</v>
      </c>
      <c r="AD415" s="107">
        <f t="shared" si="449"/>
        <v>221928.56237288119</v>
      </c>
      <c r="AE415" s="107">
        <f t="shared" si="450"/>
        <v>221555.68101694898</v>
      </c>
      <c r="AF415" s="107">
        <f t="shared" si="451"/>
        <v>221182.79966101676</v>
      </c>
      <c r="AG415" s="107">
        <f t="shared" si="452"/>
        <v>220809.91830508455</v>
      </c>
      <c r="AH415" s="107">
        <f t="shared" si="453"/>
        <v>220437.03694915233</v>
      </c>
      <c r="AI415" s="107">
        <f t="shared" si="454"/>
        <v>220064.15559322012</v>
      </c>
      <c r="AJ415" s="107">
        <f t="shared" si="455"/>
        <v>219691.2742372879</v>
      </c>
      <c r="AK415" s="107">
        <f t="shared" si="456"/>
        <v>219318.39288135568</v>
      </c>
      <c r="AL415" s="107">
        <f t="shared" si="457"/>
        <v>218945.51152542347</v>
      </c>
      <c r="AM415" s="107">
        <f t="shared" si="458"/>
        <v>218572.63016949125</v>
      </c>
      <c r="AN415" s="107">
        <f t="shared" si="459"/>
        <v>218199.74881355904</v>
      </c>
      <c r="AO415" s="107">
        <f t="shared" si="460"/>
        <v>217826.86745762682</v>
      </c>
      <c r="AP415" s="107">
        <f t="shared" si="436"/>
        <v>4841.4114230508421</v>
      </c>
      <c r="AQ415" s="126"/>
      <c r="AR415" s="107">
        <f t="shared" si="461"/>
        <v>4474.5762711864409</v>
      </c>
      <c r="AS415" s="107">
        <f t="shared" si="423"/>
        <v>217453.98610169461</v>
      </c>
      <c r="AT415" s="107">
        <f t="shared" si="424"/>
        <v>217081.10474576239</v>
      </c>
      <c r="AU415" s="107">
        <f t="shared" si="425"/>
        <v>216708.22338983018</v>
      </c>
      <c r="AV415" s="107">
        <f t="shared" si="426"/>
        <v>216335.34203389796</v>
      </c>
      <c r="AW415" s="107">
        <f t="shared" si="427"/>
        <v>215962.46067796575</v>
      </c>
      <c r="AX415" s="107">
        <f t="shared" si="428"/>
        <v>215589.57932203353</v>
      </c>
      <c r="AY415" s="107">
        <f t="shared" si="462"/>
        <v>215216.69796610132</v>
      </c>
      <c r="AZ415" s="107">
        <f t="shared" si="463"/>
        <v>214843.8166101691</v>
      </c>
      <c r="BA415" s="107">
        <f t="shared" si="464"/>
        <v>214470.93525423689</v>
      </c>
      <c r="BB415" s="107">
        <f t="shared" si="465"/>
        <v>214098.05389830467</v>
      </c>
      <c r="BC415" s="107">
        <f t="shared" si="466"/>
        <v>213725.17254237246</v>
      </c>
      <c r="BD415" s="107">
        <f t="shared" si="467"/>
        <v>213352.29118644024</v>
      </c>
      <c r="BE415" s="107">
        <f t="shared" si="437"/>
        <v>4742.9707450847372</v>
      </c>
      <c r="BF415" s="127"/>
      <c r="BG415" s="127"/>
      <c r="BH415" s="127"/>
      <c r="BI415" s="127"/>
      <c r="BJ415" s="127"/>
      <c r="BK415" s="127"/>
      <c r="BL415" s="127"/>
      <c r="BM415" s="127"/>
      <c r="BN415" s="127"/>
      <c r="BO415" s="127"/>
      <c r="BP415" s="127"/>
      <c r="BQ415" s="127"/>
      <c r="BR415" s="127"/>
      <c r="BS415" s="127"/>
      <c r="BT415" s="127"/>
      <c r="BU415" s="127"/>
      <c r="BV415" s="127"/>
      <c r="BW415" s="127"/>
    </row>
    <row r="416" spans="1:75" hidden="1" x14ac:dyDescent="0.2">
      <c r="A416" s="123" t="str">
        <f>'[2]2021 УГРЦТ'!A418</f>
        <v>ТП №67 школа№5 2000г.</v>
      </c>
      <c r="B416" s="124" t="str">
        <f>'[2]2021 УГРЦТ'!B418</f>
        <v>00000262</v>
      </c>
      <c r="C416" s="124" t="str">
        <f>VLOOKUP(A:A,'2023-2027'!A:L,1,+FALSE)</f>
        <v>ТП №67 школа№5 2000г.</v>
      </c>
      <c r="D416" s="124" t="str">
        <f>'[2]2021 УГРЦТ'!C418</f>
        <v>ПЕРЕДАЧА</v>
      </c>
      <c r="E416" s="124" t="str">
        <f>'[2]2021 УГРЦТ'!D418</f>
        <v>Здания</v>
      </c>
      <c r="F416" s="124" t="str">
        <f>'[2]2021 УГРЦТ'!E418</f>
        <v>01.05.2000</v>
      </c>
      <c r="G416" s="124" t="str">
        <f>'[2]2021 УГРЦТ'!F418</f>
        <v>Цех электрических сетей</v>
      </c>
      <c r="H416" s="124">
        <f>'[2]2021 УГРЦТ'!AC418</f>
        <v>708</v>
      </c>
      <c r="I416" s="107">
        <f>'[2]2021 УГРЦТ'!X418</f>
        <v>110253</v>
      </c>
      <c r="J416" s="107">
        <f>'[2]2021 УГРЦТ'!Y418</f>
        <v>40342.724915254235</v>
      </c>
      <c r="K416" s="107">
        <f>'[2]2021 УГРЦТ'!Z418</f>
        <v>69910.275084745765</v>
      </c>
      <c r="L416" s="125" t="e">
        <f>SUMIF([2]облаг!$B$2:$B$259,B416,[2]облаг!$D$2:$D$259)</f>
        <v>#VALUE!</v>
      </c>
      <c r="M416" s="107">
        <f t="shared" si="414"/>
        <v>155.72457627118644</v>
      </c>
      <c r="N416" s="107">
        <f t="shared" si="415"/>
        <v>1868.6949152542372</v>
      </c>
      <c r="O416" s="107">
        <f t="shared" si="416"/>
        <v>69754.550508474582</v>
      </c>
      <c r="P416" s="107">
        <f t="shared" si="417"/>
        <v>69598.825932203399</v>
      </c>
      <c r="Q416" s="107">
        <f t="shared" si="438"/>
        <v>69443.101355932216</v>
      </c>
      <c r="R416" s="107">
        <f t="shared" si="439"/>
        <v>69287.376779661034</v>
      </c>
      <c r="S416" s="107">
        <f t="shared" si="440"/>
        <v>69131.652203389851</v>
      </c>
      <c r="T416" s="107">
        <f t="shared" si="441"/>
        <v>68975.927627118668</v>
      </c>
      <c r="U416" s="107">
        <f t="shared" si="442"/>
        <v>68820.203050847485</v>
      </c>
      <c r="V416" s="107">
        <f t="shared" si="443"/>
        <v>68664.478474576303</v>
      </c>
      <c r="W416" s="107">
        <f t="shared" si="444"/>
        <v>68508.75389830512</v>
      </c>
      <c r="X416" s="107">
        <f t="shared" si="445"/>
        <v>68353.029322033937</v>
      </c>
      <c r="Y416" s="107">
        <f t="shared" si="446"/>
        <v>68197.304745762754</v>
      </c>
      <c r="Z416" s="107">
        <f t="shared" si="447"/>
        <v>68041.580169491572</v>
      </c>
      <c r="AA416" s="107">
        <f t="shared" si="435"/>
        <v>1517.4704077966105</v>
      </c>
      <c r="AB416" s="107"/>
      <c r="AC416" s="107">
        <f t="shared" si="448"/>
        <v>1868.6949152542372</v>
      </c>
      <c r="AD416" s="107">
        <f t="shared" si="449"/>
        <v>67885.855593220389</v>
      </c>
      <c r="AE416" s="107">
        <f t="shared" si="450"/>
        <v>67730.131016949206</v>
      </c>
      <c r="AF416" s="107">
        <f t="shared" si="451"/>
        <v>67574.406440678024</v>
      </c>
      <c r="AG416" s="107">
        <f t="shared" si="452"/>
        <v>67418.681864406841</v>
      </c>
      <c r="AH416" s="107">
        <f t="shared" si="453"/>
        <v>67262.957288135658</v>
      </c>
      <c r="AI416" s="107">
        <f t="shared" si="454"/>
        <v>67107.232711864475</v>
      </c>
      <c r="AJ416" s="107">
        <f t="shared" si="455"/>
        <v>66951.508135593293</v>
      </c>
      <c r="AK416" s="107">
        <f t="shared" si="456"/>
        <v>66795.78355932211</v>
      </c>
      <c r="AL416" s="107">
        <f t="shared" si="457"/>
        <v>66640.058983050927</v>
      </c>
      <c r="AM416" s="107">
        <f t="shared" si="458"/>
        <v>66484.334406779744</v>
      </c>
      <c r="AN416" s="107">
        <f t="shared" si="459"/>
        <v>66328.609830508562</v>
      </c>
      <c r="AO416" s="107">
        <f t="shared" si="460"/>
        <v>66172.885254237379</v>
      </c>
      <c r="AP416" s="107">
        <f t="shared" si="436"/>
        <v>1476.359119661018</v>
      </c>
      <c r="AQ416" s="126"/>
      <c r="AR416" s="107">
        <f t="shared" si="461"/>
        <v>1868.6949152542372</v>
      </c>
      <c r="AS416" s="107">
        <f t="shared" si="423"/>
        <v>66017.160677966196</v>
      </c>
      <c r="AT416" s="107">
        <f t="shared" si="424"/>
        <v>65861.436101695013</v>
      </c>
      <c r="AU416" s="107">
        <f t="shared" si="425"/>
        <v>65705.711525423831</v>
      </c>
      <c r="AV416" s="107">
        <f t="shared" si="426"/>
        <v>65549.986949152648</v>
      </c>
      <c r="AW416" s="107">
        <f t="shared" si="427"/>
        <v>65394.262372881458</v>
      </c>
      <c r="AX416" s="107">
        <f t="shared" si="428"/>
        <v>65238.537796610268</v>
      </c>
      <c r="AY416" s="107">
        <f t="shared" si="462"/>
        <v>65082.813220339078</v>
      </c>
      <c r="AZ416" s="107">
        <f t="shared" si="463"/>
        <v>64927.088644067888</v>
      </c>
      <c r="BA416" s="107">
        <f t="shared" si="464"/>
        <v>64771.364067796698</v>
      </c>
      <c r="BB416" s="107">
        <f t="shared" si="465"/>
        <v>64615.639491525508</v>
      </c>
      <c r="BC416" s="107">
        <f t="shared" si="466"/>
        <v>64459.914915254318</v>
      </c>
      <c r="BD416" s="107">
        <f t="shared" si="467"/>
        <v>64304.190338983128</v>
      </c>
      <c r="BE416" s="107">
        <f t="shared" si="437"/>
        <v>1435.2478315254255</v>
      </c>
      <c r="BF416" s="127"/>
      <c r="BG416" s="127"/>
      <c r="BH416" s="127"/>
      <c r="BI416" s="127"/>
      <c r="BJ416" s="127"/>
      <c r="BK416" s="127"/>
      <c r="BL416" s="127"/>
      <c r="BM416" s="127"/>
      <c r="BN416" s="127"/>
      <c r="BO416" s="127"/>
      <c r="BP416" s="127"/>
      <c r="BQ416" s="127"/>
      <c r="BR416" s="127"/>
      <c r="BS416" s="127"/>
      <c r="BT416" s="127"/>
      <c r="BU416" s="127"/>
      <c r="BV416" s="127"/>
      <c r="BW416" s="127"/>
    </row>
    <row r="417" spans="1:75" hidden="1" x14ac:dyDescent="0.2">
      <c r="A417" s="123" t="str">
        <f>'[2]2021 УГРЦТ'!A419</f>
        <v>ТП №7 столовая 1  1967г.</v>
      </c>
      <c r="B417" s="124" t="str">
        <f>'[2]2021 УГРЦТ'!B419</f>
        <v>00000529</v>
      </c>
      <c r="C417" s="124" t="str">
        <f>VLOOKUP(A:A,'2023-2027'!A:L,1,+FALSE)</f>
        <v>ТП №7 столовая 1  1967г.</v>
      </c>
      <c r="D417" s="124" t="str">
        <f>'[2]2021 УГРЦТ'!C419</f>
        <v>ПЕРЕДАЧА</v>
      </c>
      <c r="E417" s="124" t="str">
        <f>'[2]2021 УГРЦТ'!D419</f>
        <v>Здания</v>
      </c>
      <c r="F417" s="124" t="str">
        <f>'[2]2021 УГРЦТ'!E419</f>
        <v>31.01.1967</v>
      </c>
      <c r="G417" s="124" t="str">
        <f>'[2]2021 УГРЦТ'!F419</f>
        <v>Цех электрических сетей</v>
      </c>
      <c r="H417" s="124">
        <f>'[2]2021 УГРЦТ'!AC419</f>
        <v>708</v>
      </c>
      <c r="I417" s="107">
        <f>'[2]2021 УГРЦТ'!X419</f>
        <v>410888.55</v>
      </c>
      <c r="J417" s="107">
        <f>'[2]2021 УГРЦТ'!Y419</f>
        <v>285348.40999999997</v>
      </c>
      <c r="K417" s="107">
        <f>'[2]2021 УГРЦТ'!Z419</f>
        <v>125540.14000000001</v>
      </c>
      <c r="L417" s="125" t="e">
        <f>SUMIF([2]облаг!$B$2:$B$259,B417,[2]облаг!$D$2:$D$259)</f>
        <v>#VALUE!</v>
      </c>
      <c r="M417" s="107">
        <f t="shared" si="414"/>
        <v>580.35105932203385</v>
      </c>
      <c r="N417" s="107">
        <f t="shared" si="415"/>
        <v>6964.2127118644057</v>
      </c>
      <c r="O417" s="107">
        <f t="shared" si="416"/>
        <v>124959.78894067799</v>
      </c>
      <c r="P417" s="107">
        <f t="shared" si="417"/>
        <v>124379.43788135596</v>
      </c>
      <c r="Q417" s="107">
        <f t="shared" si="438"/>
        <v>123799.08682203393</v>
      </c>
      <c r="R417" s="107">
        <f t="shared" si="439"/>
        <v>123218.73576271191</v>
      </c>
      <c r="S417" s="107">
        <f t="shared" si="440"/>
        <v>122638.38470338988</v>
      </c>
      <c r="T417" s="107">
        <f t="shared" si="441"/>
        <v>122058.03364406785</v>
      </c>
      <c r="U417" s="107">
        <f t="shared" si="442"/>
        <v>121477.68258474582</v>
      </c>
      <c r="V417" s="107">
        <f t="shared" si="443"/>
        <v>120897.3315254238</v>
      </c>
      <c r="W417" s="107">
        <f t="shared" si="444"/>
        <v>120316.98046610177</v>
      </c>
      <c r="X417" s="107">
        <f t="shared" si="445"/>
        <v>119736.62940677974</v>
      </c>
      <c r="Y417" s="107">
        <f t="shared" si="446"/>
        <v>119156.27834745772</v>
      </c>
      <c r="Z417" s="107">
        <f t="shared" si="447"/>
        <v>118575.92728813569</v>
      </c>
      <c r="AA417" s="107">
        <f t="shared" si="435"/>
        <v>2685.2767401694923</v>
      </c>
      <c r="AB417" s="107"/>
      <c r="AC417" s="107">
        <f t="shared" si="448"/>
        <v>6964.2127118644057</v>
      </c>
      <c r="AD417" s="107">
        <f t="shared" si="449"/>
        <v>117995.57622881366</v>
      </c>
      <c r="AE417" s="107">
        <f t="shared" si="450"/>
        <v>117415.22516949163</v>
      </c>
      <c r="AF417" s="107">
        <f t="shared" si="451"/>
        <v>116834.87411016961</v>
      </c>
      <c r="AG417" s="107">
        <f t="shared" si="452"/>
        <v>116254.52305084758</v>
      </c>
      <c r="AH417" s="107">
        <f t="shared" si="453"/>
        <v>115674.17199152555</v>
      </c>
      <c r="AI417" s="107">
        <f t="shared" si="454"/>
        <v>115093.82093220353</v>
      </c>
      <c r="AJ417" s="107">
        <f t="shared" si="455"/>
        <v>114513.4698728815</v>
      </c>
      <c r="AK417" s="107">
        <f t="shared" si="456"/>
        <v>113933.11881355947</v>
      </c>
      <c r="AL417" s="107">
        <f t="shared" si="457"/>
        <v>113352.76775423744</v>
      </c>
      <c r="AM417" s="107">
        <f t="shared" si="458"/>
        <v>112772.41669491542</v>
      </c>
      <c r="AN417" s="107">
        <f t="shared" si="459"/>
        <v>112192.06563559339</v>
      </c>
      <c r="AO417" s="107">
        <f t="shared" si="460"/>
        <v>111611.71457627136</v>
      </c>
      <c r="AP417" s="107">
        <f t="shared" si="436"/>
        <v>2532.0640605084773</v>
      </c>
      <c r="AQ417" s="126"/>
      <c r="AR417" s="107">
        <f t="shared" si="461"/>
        <v>6964.2127118644057</v>
      </c>
      <c r="AS417" s="107">
        <f t="shared" si="423"/>
        <v>111031.36351694934</v>
      </c>
      <c r="AT417" s="107">
        <f t="shared" si="424"/>
        <v>110451.01245762731</v>
      </c>
      <c r="AU417" s="107">
        <f t="shared" si="425"/>
        <v>109870.66139830528</v>
      </c>
      <c r="AV417" s="107">
        <f t="shared" si="426"/>
        <v>109290.31033898325</v>
      </c>
      <c r="AW417" s="107">
        <f t="shared" si="427"/>
        <v>108709.95927966123</v>
      </c>
      <c r="AX417" s="107">
        <f t="shared" si="428"/>
        <v>108129.6082203392</v>
      </c>
      <c r="AY417" s="107">
        <f t="shared" si="462"/>
        <v>107549.25716101717</v>
      </c>
      <c r="AZ417" s="107">
        <f t="shared" si="463"/>
        <v>106968.90610169515</v>
      </c>
      <c r="BA417" s="107">
        <f t="shared" si="464"/>
        <v>106388.55504237312</v>
      </c>
      <c r="BB417" s="107">
        <f t="shared" si="465"/>
        <v>105808.20398305109</v>
      </c>
      <c r="BC417" s="107">
        <f t="shared" si="466"/>
        <v>105227.85292372906</v>
      </c>
      <c r="BD417" s="107">
        <f t="shared" si="467"/>
        <v>104647.50186440704</v>
      </c>
      <c r="BE417" s="107">
        <f t="shared" si="437"/>
        <v>2378.8513808474618</v>
      </c>
      <c r="BF417" s="127"/>
      <c r="BG417" s="127"/>
      <c r="BH417" s="127"/>
      <c r="BI417" s="127"/>
      <c r="BJ417" s="127"/>
      <c r="BK417" s="127"/>
      <c r="BL417" s="127"/>
      <c r="BM417" s="127"/>
      <c r="BN417" s="127"/>
      <c r="BO417" s="127"/>
      <c r="BP417" s="127"/>
      <c r="BQ417" s="127"/>
      <c r="BR417" s="127"/>
      <c r="BS417" s="127"/>
      <c r="BT417" s="127"/>
      <c r="BU417" s="127"/>
      <c r="BV417" s="127"/>
    </row>
    <row r="418" spans="1:75" ht="22.5" hidden="1" x14ac:dyDescent="0.2">
      <c r="A418" s="123" t="str">
        <f>'[2]2021 УГРЦТ'!A420</f>
        <v>ТП №73(Трансформаторная подстанция Ленина 35б )</v>
      </c>
      <c r="B418" s="124" t="str">
        <f>'[2]2021 УГРЦТ'!B420</f>
        <v>00001122</v>
      </c>
      <c r="C418" s="124" t="str">
        <f>VLOOKUP(A:A,'2023-2027'!A:L,1,+FALSE)</f>
        <v>ТП №73(Трансформаторная подстанция Ленина 35б )</v>
      </c>
      <c r="D418" s="124" t="str">
        <f>'[2]2021 УГРЦТ'!C420</f>
        <v>ПЕРЕДАЧА</v>
      </c>
      <c r="E418" s="124" t="str">
        <f>'[2]2021 УГРЦТ'!D420</f>
        <v>Здания</v>
      </c>
      <c r="F418" s="124" t="str">
        <f>'[2]2021 УГРЦТ'!E420</f>
        <v>31.07.2009</v>
      </c>
      <c r="G418" s="124" t="str">
        <f>'[2]2021 УГРЦТ'!F420</f>
        <v>Цех электрических сетей</v>
      </c>
      <c r="H418" s="124">
        <f>'[2]2021 УГРЦТ'!AC420</f>
        <v>240</v>
      </c>
      <c r="I418" s="107">
        <f>'[2]2021 УГРЦТ'!X420</f>
        <v>442207.81</v>
      </c>
      <c r="J418" s="107">
        <f>'[2]2021 УГРЦТ'!Y420</f>
        <v>274537.00049999997</v>
      </c>
      <c r="K418" s="107">
        <f>'[2]2021 УГРЦТ'!Z420</f>
        <v>167670.80950000003</v>
      </c>
      <c r="L418" s="125" t="e">
        <f>SUMIF([2]облаг!$B$2:$B$259,B418,[2]облаг!$D$2:$D$259)</f>
        <v>#VALUE!</v>
      </c>
      <c r="M418" s="107">
        <f t="shared" si="414"/>
        <v>1842.5325416666667</v>
      </c>
      <c r="N418" s="107">
        <f t="shared" si="415"/>
        <v>22110.390500000001</v>
      </c>
      <c r="O418" s="107">
        <f t="shared" si="416"/>
        <v>165828.27695833336</v>
      </c>
      <c r="P418" s="107">
        <f t="shared" si="417"/>
        <v>163985.74441666668</v>
      </c>
      <c r="Q418" s="107">
        <f t="shared" si="438"/>
        <v>162143.21187500001</v>
      </c>
      <c r="R418" s="107">
        <f t="shared" si="439"/>
        <v>160300.67933333333</v>
      </c>
      <c r="S418" s="107">
        <f t="shared" si="440"/>
        <v>158458.14679166666</v>
      </c>
      <c r="T418" s="107">
        <f t="shared" si="441"/>
        <v>156615.61424999998</v>
      </c>
      <c r="U418" s="107">
        <f t="shared" si="442"/>
        <v>154773.08170833331</v>
      </c>
      <c r="V418" s="107">
        <f t="shared" si="443"/>
        <v>152930.54916666663</v>
      </c>
      <c r="W418" s="107">
        <f t="shared" si="444"/>
        <v>151088.01662499996</v>
      </c>
      <c r="X418" s="107">
        <f t="shared" si="445"/>
        <v>149245.48408333329</v>
      </c>
      <c r="Y418" s="107">
        <f t="shared" si="446"/>
        <v>147402.95154166661</v>
      </c>
      <c r="Z418" s="107">
        <f t="shared" si="447"/>
        <v>145560.41899999994</v>
      </c>
      <c r="AA418" s="107">
        <f t="shared" si="435"/>
        <v>3445.5435134999993</v>
      </c>
      <c r="AB418" s="107"/>
      <c r="AC418" s="107">
        <f t="shared" si="448"/>
        <v>22110.390500000001</v>
      </c>
      <c r="AD418" s="107">
        <f t="shared" si="449"/>
        <v>143717.88645833326</v>
      </c>
      <c r="AE418" s="107">
        <f t="shared" si="450"/>
        <v>141875.35391666659</v>
      </c>
      <c r="AF418" s="107">
        <f t="shared" si="451"/>
        <v>140032.82137499991</v>
      </c>
      <c r="AG418" s="107">
        <f t="shared" si="452"/>
        <v>138190.28883333324</v>
      </c>
      <c r="AH418" s="107">
        <f t="shared" si="453"/>
        <v>136347.75629166656</v>
      </c>
      <c r="AI418" s="107">
        <f t="shared" si="454"/>
        <v>134505.22374999989</v>
      </c>
      <c r="AJ418" s="107">
        <f t="shared" si="455"/>
        <v>132662.69120833321</v>
      </c>
      <c r="AK418" s="107">
        <f t="shared" si="456"/>
        <v>130820.15866666655</v>
      </c>
      <c r="AL418" s="107">
        <f t="shared" si="457"/>
        <v>128977.62612499989</v>
      </c>
      <c r="AM418" s="107">
        <f t="shared" si="458"/>
        <v>127135.09358333323</v>
      </c>
      <c r="AN418" s="107">
        <f t="shared" si="459"/>
        <v>125292.56104166657</v>
      </c>
      <c r="AO418" s="107">
        <f t="shared" si="460"/>
        <v>123450.02849999991</v>
      </c>
      <c r="AP418" s="107">
        <f t="shared" si="436"/>
        <v>2959.1149224999986</v>
      </c>
      <c r="AQ418" s="126"/>
      <c r="AR418" s="107">
        <f t="shared" si="461"/>
        <v>22110.390500000001</v>
      </c>
      <c r="AS418" s="107">
        <f t="shared" si="423"/>
        <v>121607.49595833325</v>
      </c>
      <c r="AT418" s="107">
        <f t="shared" si="424"/>
        <v>119764.96341666659</v>
      </c>
      <c r="AU418" s="107">
        <f t="shared" si="425"/>
        <v>117922.43087499993</v>
      </c>
      <c r="AV418" s="107">
        <f t="shared" si="426"/>
        <v>116079.89833333327</v>
      </c>
      <c r="AW418" s="107">
        <f t="shared" si="427"/>
        <v>114237.36579166661</v>
      </c>
      <c r="AX418" s="107">
        <f t="shared" si="428"/>
        <v>112394.83324999995</v>
      </c>
      <c r="AY418" s="107">
        <f t="shared" si="462"/>
        <v>110552.30070833329</v>
      </c>
      <c r="AZ418" s="107">
        <f t="shared" si="463"/>
        <v>108709.76816666663</v>
      </c>
      <c r="BA418" s="107">
        <f t="shared" si="464"/>
        <v>106867.23562499997</v>
      </c>
      <c r="BB418" s="107">
        <f t="shared" si="465"/>
        <v>105024.70308333331</v>
      </c>
      <c r="BC418" s="107">
        <f t="shared" si="466"/>
        <v>103182.17054166665</v>
      </c>
      <c r="BD418" s="107">
        <f t="shared" si="467"/>
        <v>101339.63799999999</v>
      </c>
      <c r="BE418" s="107">
        <f t="shared" si="437"/>
        <v>2472.6863314999991</v>
      </c>
      <c r="BF418" s="127"/>
      <c r="BG418" s="127"/>
      <c r="BH418" s="127"/>
      <c r="BI418" s="127"/>
      <c r="BJ418" s="127"/>
      <c r="BK418" s="127"/>
      <c r="BL418" s="127"/>
      <c r="BM418" s="127"/>
      <c r="BN418" s="127"/>
      <c r="BO418" s="127"/>
      <c r="BP418" s="127"/>
      <c r="BQ418" s="127"/>
      <c r="BR418" s="127"/>
      <c r="BS418" s="127"/>
      <c r="BT418" s="127"/>
      <c r="BU418" s="127"/>
      <c r="BV418" s="127"/>
      <c r="BW418" s="127"/>
    </row>
    <row r="419" spans="1:75" ht="22.5" hidden="1" x14ac:dyDescent="0.2">
      <c r="A419" s="123" t="str">
        <f>'[2]2021 УГРЦТ'!A421</f>
        <v>ТП №75 КТП /ПК-К-250/10/04 на Неф-в 11а  2006г</v>
      </c>
      <c r="B419" s="124" t="str">
        <f>'[2]2021 УГРЦТ'!B421</f>
        <v>00000982</v>
      </c>
      <c r="C419" s="124" t="str">
        <f>VLOOKUP(A:A,'2023-2027'!A:L,1,+FALSE)</f>
        <v>ТП №75 КТП /ПК-К-250/10/04 на Неф-в 11а  2006г</v>
      </c>
      <c r="D419" s="124" t="str">
        <f>'[2]2021 УГРЦТ'!C421</f>
        <v>ПЕРЕДАЧА</v>
      </c>
      <c r="E419" s="124" t="str">
        <f>'[2]2021 УГРЦТ'!D421</f>
        <v>Сооружения</v>
      </c>
      <c r="F419" s="124" t="str">
        <f>'[2]2021 УГРЦТ'!E421</f>
        <v>31.08.2006</v>
      </c>
      <c r="G419" s="124" t="str">
        <f>'[2]2021 УГРЦТ'!F421</f>
        <v>Цех электрических сетей</v>
      </c>
      <c r="H419" s="124">
        <f>'[2]2021 УГРЦТ'!AC421</f>
        <v>180</v>
      </c>
      <c r="I419" s="107">
        <f>'[2]2021 УГРЦТ'!X421</f>
        <v>213802.94</v>
      </c>
      <c r="J419" s="107">
        <f>'[2]2021 УГРЦТ'!Y421</f>
        <v>213802.94</v>
      </c>
      <c r="K419" s="107">
        <f>'[2]2021 УГРЦТ'!Z421</f>
        <v>0</v>
      </c>
      <c r="L419" s="125" t="e">
        <f>SUMIF([2]облаг!$B$2:$B$259,B419,[2]облаг!$D$2:$D$259)</f>
        <v>#VALUE!</v>
      </c>
      <c r="M419" s="107"/>
      <c r="N419" s="107">
        <f t="shared" si="415"/>
        <v>0</v>
      </c>
      <c r="O419" s="107">
        <f t="shared" si="416"/>
        <v>0</v>
      </c>
      <c r="P419" s="107">
        <f t="shared" si="417"/>
        <v>0</v>
      </c>
      <c r="Q419" s="107">
        <f t="shared" si="438"/>
        <v>0</v>
      </c>
      <c r="R419" s="107">
        <f t="shared" si="439"/>
        <v>0</v>
      </c>
      <c r="S419" s="107">
        <f t="shared" si="440"/>
        <v>0</v>
      </c>
      <c r="T419" s="107">
        <f t="shared" si="441"/>
        <v>0</v>
      </c>
      <c r="U419" s="107">
        <f t="shared" si="442"/>
        <v>0</v>
      </c>
      <c r="V419" s="107">
        <f t="shared" si="443"/>
        <v>0</v>
      </c>
      <c r="W419" s="107">
        <f t="shared" si="444"/>
        <v>0</v>
      </c>
      <c r="X419" s="107">
        <f t="shared" si="445"/>
        <v>0</v>
      </c>
      <c r="Y419" s="107">
        <f t="shared" si="446"/>
        <v>0</v>
      </c>
      <c r="Z419" s="107">
        <f t="shared" si="447"/>
        <v>0</v>
      </c>
      <c r="AA419" s="107">
        <f t="shared" si="435"/>
        <v>0</v>
      </c>
      <c r="AB419" s="107"/>
      <c r="AC419" s="107">
        <f t="shared" si="448"/>
        <v>0</v>
      </c>
      <c r="AD419" s="107">
        <f t="shared" si="449"/>
        <v>0</v>
      </c>
      <c r="AE419" s="107">
        <f t="shared" si="450"/>
        <v>0</v>
      </c>
      <c r="AF419" s="107">
        <f t="shared" si="451"/>
        <v>0</v>
      </c>
      <c r="AG419" s="107">
        <f t="shared" si="452"/>
        <v>0</v>
      </c>
      <c r="AH419" s="107">
        <f t="shared" si="453"/>
        <v>0</v>
      </c>
      <c r="AI419" s="107">
        <f t="shared" si="454"/>
        <v>0</v>
      </c>
      <c r="AJ419" s="107">
        <f t="shared" si="455"/>
        <v>0</v>
      </c>
      <c r="AK419" s="107">
        <f t="shared" si="456"/>
        <v>0</v>
      </c>
      <c r="AL419" s="107">
        <f t="shared" si="457"/>
        <v>0</v>
      </c>
      <c r="AM419" s="107">
        <f t="shared" si="458"/>
        <v>0</v>
      </c>
      <c r="AN419" s="107">
        <f t="shared" si="459"/>
        <v>0</v>
      </c>
      <c r="AO419" s="107">
        <f t="shared" si="460"/>
        <v>0</v>
      </c>
      <c r="AP419" s="107">
        <f t="shared" si="436"/>
        <v>0</v>
      </c>
      <c r="AQ419" s="126"/>
      <c r="AR419" s="107">
        <f t="shared" si="461"/>
        <v>0</v>
      </c>
      <c r="AS419" s="107">
        <f t="shared" si="423"/>
        <v>0</v>
      </c>
      <c r="AT419" s="107">
        <f t="shared" si="424"/>
        <v>0</v>
      </c>
      <c r="AU419" s="107">
        <f t="shared" si="425"/>
        <v>0</v>
      </c>
      <c r="AV419" s="107">
        <f t="shared" si="426"/>
        <v>0</v>
      </c>
      <c r="AW419" s="107">
        <f t="shared" si="427"/>
        <v>0</v>
      </c>
      <c r="AX419" s="107">
        <f t="shared" si="428"/>
        <v>0</v>
      </c>
      <c r="AY419" s="107">
        <f t="shared" si="462"/>
        <v>0</v>
      </c>
      <c r="AZ419" s="107">
        <f t="shared" si="463"/>
        <v>0</v>
      </c>
      <c r="BA419" s="107">
        <f t="shared" si="464"/>
        <v>0</v>
      </c>
      <c r="BB419" s="107">
        <f t="shared" si="465"/>
        <v>0</v>
      </c>
      <c r="BC419" s="107">
        <f t="shared" si="466"/>
        <v>0</v>
      </c>
      <c r="BD419" s="107">
        <f t="shared" si="467"/>
        <v>0</v>
      </c>
      <c r="BE419" s="107">
        <f t="shared" si="437"/>
        <v>0</v>
      </c>
      <c r="BG419" s="127"/>
      <c r="BI419" s="127"/>
      <c r="BV419" s="127"/>
    </row>
    <row r="420" spans="1:75" hidden="1" x14ac:dyDescent="0.2">
      <c r="A420" s="123" t="str">
        <f>'[2]2021 УГРЦТ'!A422</f>
        <v>ТП №76 котельная №2</v>
      </c>
      <c r="B420" s="124" t="str">
        <f>'[2]2021 УГРЦТ'!B422</f>
        <v>00001000</v>
      </c>
      <c r="C420" s="124" t="str">
        <f>VLOOKUP(A:A,'2023-2027'!A:L,1,+FALSE)</f>
        <v>ТП №76 котельная №2</v>
      </c>
      <c r="D420" s="124" t="str">
        <f>'[2]2021 УГРЦТ'!C422</f>
        <v>ПЕРЕДАЧА</v>
      </c>
      <c r="E420" s="124" t="str">
        <f>'[2]2021 УГРЦТ'!D422</f>
        <v>Сооружения</v>
      </c>
      <c r="F420" s="124" t="str">
        <f>'[2]2021 УГРЦТ'!E422</f>
        <v>31.10.2006</v>
      </c>
      <c r="G420" s="124" t="str">
        <f>'[2]2021 УГРЦТ'!F422</f>
        <v>Цех электрических сетей</v>
      </c>
      <c r="H420" s="124">
        <f>'[2]2021 УГРЦТ'!AC422</f>
        <v>180</v>
      </c>
      <c r="I420" s="107">
        <f>'[2]2021 УГРЦТ'!X422</f>
        <v>236505.42</v>
      </c>
      <c r="J420" s="107">
        <f>'[2]2021 УГРЦТ'!Y422</f>
        <v>236505.421</v>
      </c>
      <c r="K420" s="107">
        <f>'[2]2021 УГРЦТ'!Z422</f>
        <v>-9.9999998928979039E-4</v>
      </c>
      <c r="L420" s="125" t="e">
        <f>SUMIF([2]облаг!$B$2:$B$259,B420,[2]облаг!$D$2:$D$259)</f>
        <v>#VALUE!</v>
      </c>
      <c r="M420" s="107"/>
      <c r="N420" s="107">
        <f t="shared" si="415"/>
        <v>0</v>
      </c>
      <c r="O420" s="107">
        <f t="shared" si="416"/>
        <v>-9.9999998928979039E-4</v>
      </c>
      <c r="P420" s="107">
        <f t="shared" si="417"/>
        <v>-9.9999998928979039E-4</v>
      </c>
      <c r="Q420" s="107">
        <f t="shared" si="438"/>
        <v>-9.9999998928979039E-4</v>
      </c>
      <c r="R420" s="107">
        <f t="shared" si="439"/>
        <v>-9.9999998928979039E-4</v>
      </c>
      <c r="S420" s="107">
        <f t="shared" si="440"/>
        <v>-9.9999998928979039E-4</v>
      </c>
      <c r="T420" s="107">
        <f t="shared" si="441"/>
        <v>-9.9999998928979039E-4</v>
      </c>
      <c r="U420" s="107">
        <f t="shared" si="442"/>
        <v>-9.9999998928979039E-4</v>
      </c>
      <c r="V420" s="107">
        <f t="shared" si="443"/>
        <v>-9.9999998928979039E-4</v>
      </c>
      <c r="W420" s="107">
        <f t="shared" si="444"/>
        <v>-9.9999998928979039E-4</v>
      </c>
      <c r="X420" s="107">
        <f t="shared" si="445"/>
        <v>-9.9999998928979039E-4</v>
      </c>
      <c r="Y420" s="107">
        <f t="shared" si="446"/>
        <v>-9.9999998928979039E-4</v>
      </c>
      <c r="Z420" s="107">
        <f t="shared" si="447"/>
        <v>-9.9999998928979039E-4</v>
      </c>
      <c r="AA420" s="107">
        <f t="shared" si="435"/>
        <v>-2.1999999764375386E-5</v>
      </c>
      <c r="AB420" s="107"/>
      <c r="AC420" s="107">
        <f t="shared" si="448"/>
        <v>0</v>
      </c>
      <c r="AD420" s="107">
        <f t="shared" si="449"/>
        <v>-9.9999998928979039E-4</v>
      </c>
      <c r="AE420" s="107">
        <f t="shared" si="450"/>
        <v>-9.9999998928979039E-4</v>
      </c>
      <c r="AF420" s="107">
        <f t="shared" si="451"/>
        <v>-9.9999998928979039E-4</v>
      </c>
      <c r="AG420" s="107">
        <f t="shared" si="452"/>
        <v>-9.9999998928979039E-4</v>
      </c>
      <c r="AH420" s="107">
        <f t="shared" si="453"/>
        <v>-9.9999998928979039E-4</v>
      </c>
      <c r="AI420" s="107">
        <f t="shared" si="454"/>
        <v>-9.9999998928979039E-4</v>
      </c>
      <c r="AJ420" s="107">
        <f t="shared" si="455"/>
        <v>-9.9999998928979039E-4</v>
      </c>
      <c r="AK420" s="107">
        <f t="shared" si="456"/>
        <v>-9.9999998928979039E-4</v>
      </c>
      <c r="AL420" s="107">
        <f t="shared" si="457"/>
        <v>-9.9999998928979039E-4</v>
      </c>
      <c r="AM420" s="107">
        <f t="shared" si="458"/>
        <v>-9.9999998928979039E-4</v>
      </c>
      <c r="AN420" s="107">
        <f t="shared" si="459"/>
        <v>-9.9999998928979039E-4</v>
      </c>
      <c r="AO420" s="107">
        <f t="shared" si="460"/>
        <v>-9.9999998928979039E-4</v>
      </c>
      <c r="AP420" s="107">
        <f t="shared" si="436"/>
        <v>-2.1999999764375386E-5</v>
      </c>
      <c r="AQ420" s="126"/>
      <c r="AR420" s="107">
        <f t="shared" si="461"/>
        <v>0</v>
      </c>
      <c r="AS420" s="107">
        <f t="shared" si="423"/>
        <v>-9.9999998928979039E-4</v>
      </c>
      <c r="AT420" s="107">
        <f t="shared" si="424"/>
        <v>-9.9999998928979039E-4</v>
      </c>
      <c r="AU420" s="107">
        <f t="shared" si="425"/>
        <v>-9.9999998928979039E-4</v>
      </c>
      <c r="AV420" s="107">
        <f t="shared" si="426"/>
        <v>-9.9999998928979039E-4</v>
      </c>
      <c r="AW420" s="107">
        <f t="shared" si="427"/>
        <v>-9.9999998928979039E-4</v>
      </c>
      <c r="AX420" s="107">
        <f t="shared" si="428"/>
        <v>-9.9999998928979039E-4</v>
      </c>
      <c r="AY420" s="107">
        <f t="shared" si="462"/>
        <v>-9.9999998928979039E-4</v>
      </c>
      <c r="AZ420" s="107">
        <f t="shared" si="463"/>
        <v>-9.9999998928979039E-4</v>
      </c>
      <c r="BA420" s="107">
        <f t="shared" si="464"/>
        <v>-9.9999998928979039E-4</v>
      </c>
      <c r="BB420" s="107">
        <f t="shared" si="465"/>
        <v>-9.9999998928979039E-4</v>
      </c>
      <c r="BC420" s="107">
        <f t="shared" si="466"/>
        <v>-9.9999998928979039E-4</v>
      </c>
      <c r="BD420" s="107">
        <f t="shared" si="467"/>
        <v>-9.9999998928979039E-4</v>
      </c>
      <c r="BE420" s="107">
        <f t="shared" si="437"/>
        <v>-2.1999999764375386E-5</v>
      </c>
      <c r="BG420" s="127"/>
      <c r="BI420" s="127"/>
      <c r="BV420" s="127"/>
    </row>
    <row r="421" spans="1:75" ht="22.5" hidden="1" x14ac:dyDescent="0.2">
      <c r="A421" s="123" t="str">
        <f>'[2]2021 УГРЦТ'!A423</f>
        <v>ТП №77 пер Антипина п Мирный 2007г</v>
      </c>
      <c r="B421" s="124" t="str">
        <f>'[2]2021 УГРЦТ'!B423</f>
        <v>00001053</v>
      </c>
      <c r="C421" s="124" t="str">
        <f>VLOOKUP(A:A,'2023-2027'!A:L,1,+FALSE)</f>
        <v>ТП №77 пер Антипина п Мирный 2007г</v>
      </c>
      <c r="D421" s="124" t="str">
        <f>'[2]2021 УГРЦТ'!C423</f>
        <v>ПЕРЕДАЧА</v>
      </c>
      <c r="E421" s="124" t="str">
        <f>'[2]2021 УГРЦТ'!D423</f>
        <v>Сооружения</v>
      </c>
      <c r="F421" s="124" t="str">
        <f>'[2]2021 УГРЦТ'!E423</f>
        <v>16.10.2007</v>
      </c>
      <c r="G421" s="124" t="str">
        <f>'[2]2021 УГРЦТ'!F423</f>
        <v>Цех электрических сетей</v>
      </c>
      <c r="H421" s="124">
        <f>'[2]2021 УГРЦТ'!AC423</f>
        <v>180</v>
      </c>
      <c r="I421" s="107">
        <f>'[2]2021 УГРЦТ'!X423</f>
        <v>604017.51</v>
      </c>
      <c r="J421" s="107">
        <f>'[2]2021 УГРЦТ'!Y423</f>
        <v>570460.53399999999</v>
      </c>
      <c r="K421" s="107">
        <f>'[2]2021 УГРЦТ'!Z423</f>
        <v>33556.976000000024</v>
      </c>
      <c r="L421" s="125" t="e">
        <f>SUMIF([2]облаг!$B$2:$B$259,B421,[2]облаг!$D$2:$D$259)</f>
        <v>#VALUE!</v>
      </c>
      <c r="M421" s="107">
        <f t="shared" si="414"/>
        <v>3355.6528333333335</v>
      </c>
      <c r="N421" s="107">
        <f>O421</f>
        <v>30201.323166666691</v>
      </c>
      <c r="O421" s="107">
        <f t="shared" si="416"/>
        <v>30201.323166666691</v>
      </c>
      <c r="P421" s="107">
        <f t="shared" si="417"/>
        <v>26845.670333333357</v>
      </c>
      <c r="Q421" s="107">
        <f t="shared" si="438"/>
        <v>23490.017500000024</v>
      </c>
      <c r="R421" s="107">
        <f t="shared" si="439"/>
        <v>20134.36466666669</v>
      </c>
      <c r="S421" s="107">
        <f t="shared" si="440"/>
        <v>16778.711833333356</v>
      </c>
      <c r="T421" s="107">
        <f t="shared" si="441"/>
        <v>13423.059000000023</v>
      </c>
      <c r="U421" s="107">
        <f t="shared" si="442"/>
        <v>10067.406166666689</v>
      </c>
      <c r="V421" s="107">
        <f t="shared" si="443"/>
        <v>6711.7533333333558</v>
      </c>
      <c r="W421" s="107">
        <f t="shared" si="444"/>
        <v>3356.1005000000223</v>
      </c>
      <c r="X421" s="107">
        <f t="shared" si="445"/>
        <v>0.44766666668874677</v>
      </c>
      <c r="Y421" s="107">
        <v>0</v>
      </c>
      <c r="Z421" s="107">
        <v>0</v>
      </c>
      <c r="AA421" s="107">
        <f t="shared" si="435"/>
        <v>312.34217412820556</v>
      </c>
      <c r="AB421" s="107"/>
      <c r="AC421" s="107">
        <v>0</v>
      </c>
      <c r="AD421" s="107">
        <v>0</v>
      </c>
      <c r="AE421" s="107">
        <v>0</v>
      </c>
      <c r="AF421" s="107">
        <v>0</v>
      </c>
      <c r="AG421" s="107">
        <v>0</v>
      </c>
      <c r="AH421" s="107">
        <v>0</v>
      </c>
      <c r="AI421" s="107">
        <v>0</v>
      </c>
      <c r="AJ421" s="107">
        <v>0</v>
      </c>
      <c r="AK421" s="107">
        <v>0</v>
      </c>
      <c r="AL421" s="107">
        <v>0</v>
      </c>
      <c r="AM421" s="107">
        <v>0</v>
      </c>
      <c r="AN421" s="107">
        <v>0</v>
      </c>
      <c r="AO421" s="107">
        <v>0</v>
      </c>
      <c r="AP421" s="107">
        <f t="shared" si="436"/>
        <v>0</v>
      </c>
      <c r="AQ421" s="126"/>
      <c r="AR421" s="107">
        <v>0</v>
      </c>
      <c r="AS421" s="107">
        <v>0</v>
      </c>
      <c r="AT421" s="107">
        <v>0</v>
      </c>
      <c r="AU421" s="107">
        <v>0</v>
      </c>
      <c r="AV421" s="107">
        <v>0</v>
      </c>
      <c r="AW421" s="107">
        <v>0</v>
      </c>
      <c r="AX421" s="107">
        <v>0</v>
      </c>
      <c r="AY421" s="107">
        <v>0</v>
      </c>
      <c r="AZ421" s="107">
        <v>0</v>
      </c>
      <c r="BA421" s="107">
        <v>0</v>
      </c>
      <c r="BB421" s="107">
        <v>0</v>
      </c>
      <c r="BC421" s="107">
        <v>0</v>
      </c>
      <c r="BD421" s="107">
        <v>0</v>
      </c>
      <c r="BE421" s="107">
        <f t="shared" si="437"/>
        <v>0</v>
      </c>
      <c r="BG421" s="127"/>
      <c r="BI421" s="127"/>
      <c r="BV421" s="127"/>
    </row>
    <row r="422" spans="1:75" hidden="1" x14ac:dyDescent="0.2">
      <c r="A422" s="123" t="str">
        <f>'[2]2021 УГРЦТ'!A424</f>
        <v>ТП №8 ул Ленина 47, 47а  1978г.</v>
      </c>
      <c r="B422" s="124" t="str">
        <f>'[2]2021 УГРЦТ'!B424</f>
        <v>00000581</v>
      </c>
      <c r="C422" s="124" t="str">
        <f>VLOOKUP(A:A,'2023-2027'!A:L,1,+FALSE)</f>
        <v>ТП №8 ул Ленина 47, 47а  1978г.</v>
      </c>
      <c r="D422" s="124" t="str">
        <f>'[2]2021 УГРЦТ'!C424</f>
        <v>ПЕРЕДАЧА</v>
      </c>
      <c r="E422" s="124" t="str">
        <f>'[2]2021 УГРЦТ'!D424</f>
        <v>Здания</v>
      </c>
      <c r="F422" s="124" t="str">
        <f>'[2]2021 УГРЦТ'!E424</f>
        <v>31.01.1978</v>
      </c>
      <c r="G422" s="124" t="str">
        <f>'[2]2021 УГРЦТ'!F424</f>
        <v>Цех электрических сетей</v>
      </c>
      <c r="H422" s="124">
        <f>'[2]2021 УГРЦТ'!AC424</f>
        <v>708</v>
      </c>
      <c r="I422" s="107">
        <f>'[2]2021 УГРЦТ'!X424</f>
        <v>35347</v>
      </c>
      <c r="J422" s="107">
        <f>'[2]2021 УГРЦТ'!Y424</f>
        <v>26403.621694915255</v>
      </c>
      <c r="K422" s="107">
        <f>'[2]2021 УГРЦТ'!Z424</f>
        <v>8943.3783050847451</v>
      </c>
      <c r="L422" s="125" t="e">
        <f>SUMIF([2]облаг!$B$2:$B$259,B422,[2]облаг!$D$2:$D$259)</f>
        <v>#VALUE!</v>
      </c>
      <c r="M422" s="107">
        <f t="shared" si="414"/>
        <v>49.925141242937855</v>
      </c>
      <c r="N422" s="107">
        <f t="shared" si="415"/>
        <v>599.10169491525426</v>
      </c>
      <c r="O422" s="107">
        <f t="shared" si="416"/>
        <v>8893.4531638418066</v>
      </c>
      <c r="P422" s="107">
        <f t="shared" si="417"/>
        <v>8843.5280225988681</v>
      </c>
      <c r="Q422" s="107">
        <f t="shared" si="438"/>
        <v>8793.6028813559296</v>
      </c>
      <c r="R422" s="107">
        <f t="shared" si="439"/>
        <v>8743.6777401129912</v>
      </c>
      <c r="S422" s="107">
        <f t="shared" si="440"/>
        <v>8693.7525988700527</v>
      </c>
      <c r="T422" s="107">
        <f t="shared" si="441"/>
        <v>8643.8274576271142</v>
      </c>
      <c r="U422" s="107">
        <f t="shared" si="442"/>
        <v>8593.9023163841757</v>
      </c>
      <c r="V422" s="107">
        <f t="shared" si="443"/>
        <v>8543.9771751412372</v>
      </c>
      <c r="W422" s="107">
        <f t="shared" si="444"/>
        <v>8494.0520338982988</v>
      </c>
      <c r="X422" s="107">
        <f t="shared" si="445"/>
        <v>8444.1268926553603</v>
      </c>
      <c r="Y422" s="107">
        <f t="shared" si="446"/>
        <v>8394.2017514124218</v>
      </c>
      <c r="Z422" s="107">
        <f t="shared" si="447"/>
        <v>8344.2766101694833</v>
      </c>
      <c r="AA422" s="107">
        <f t="shared" si="435"/>
        <v>190.1642040677965</v>
      </c>
      <c r="AB422" s="107"/>
      <c r="AC422" s="107">
        <f t="shared" si="448"/>
        <v>599.10169491525426</v>
      </c>
      <c r="AD422" s="107">
        <f t="shared" si="449"/>
        <v>8294.3514689265448</v>
      </c>
      <c r="AE422" s="107">
        <f t="shared" si="450"/>
        <v>8244.4263276836064</v>
      </c>
      <c r="AF422" s="107">
        <f t="shared" si="451"/>
        <v>8194.5011864406679</v>
      </c>
      <c r="AG422" s="107">
        <f t="shared" si="452"/>
        <v>8144.5760451977303</v>
      </c>
      <c r="AH422" s="107">
        <f t="shared" si="453"/>
        <v>8094.6509039547927</v>
      </c>
      <c r="AI422" s="107">
        <f t="shared" si="454"/>
        <v>8044.7257627118552</v>
      </c>
      <c r="AJ422" s="107">
        <f t="shared" si="455"/>
        <v>7994.8006214689176</v>
      </c>
      <c r="AK422" s="107">
        <f t="shared" si="456"/>
        <v>7944.87548022598</v>
      </c>
      <c r="AL422" s="107">
        <f t="shared" si="457"/>
        <v>7894.9503389830425</v>
      </c>
      <c r="AM422" s="107">
        <f t="shared" si="458"/>
        <v>7845.0251977401049</v>
      </c>
      <c r="AN422" s="107">
        <f t="shared" si="459"/>
        <v>7795.1000564971673</v>
      </c>
      <c r="AO422" s="107">
        <f t="shared" si="460"/>
        <v>7745.1749152542297</v>
      </c>
      <c r="AP422" s="107">
        <f t="shared" si="436"/>
        <v>176.98396677966082</v>
      </c>
      <c r="AQ422" s="126"/>
      <c r="AR422" s="107">
        <f t="shared" si="461"/>
        <v>599.10169491525426</v>
      </c>
      <c r="AS422" s="107">
        <f>AO422-M422</f>
        <v>7695.2497740112922</v>
      </c>
      <c r="AT422" s="107">
        <f>AS422-M422</f>
        <v>7645.3246327683546</v>
      </c>
      <c r="AU422" s="107">
        <f>AT422-M422</f>
        <v>7595.399491525417</v>
      </c>
      <c r="AV422" s="107">
        <f>AU422-M422</f>
        <v>7545.4743502824795</v>
      </c>
      <c r="AW422" s="107">
        <f>AV422-M422</f>
        <v>7495.5492090395419</v>
      </c>
      <c r="AX422" s="107">
        <f>AW422-M422</f>
        <v>7445.6240677966043</v>
      </c>
      <c r="AY422" s="107">
        <f>AX422-M422</f>
        <v>7395.6989265536668</v>
      </c>
      <c r="AZ422" s="107">
        <f>AY422-M422</f>
        <v>7345.7737853107292</v>
      </c>
      <c r="BA422" s="107">
        <f>AZ422-M422</f>
        <v>7295.8486440677916</v>
      </c>
      <c r="BB422" s="107">
        <f>BA422-M422</f>
        <v>7245.923502824854</v>
      </c>
      <c r="BC422" s="107">
        <f>BB422-M422</f>
        <v>7195.9983615819165</v>
      </c>
      <c r="BD422" s="107">
        <f>BC422-M422</f>
        <v>7146.0732203389789</v>
      </c>
      <c r="BE422" s="107">
        <f t="shared" si="437"/>
        <v>163.80372949152527</v>
      </c>
      <c r="BF422" s="127"/>
      <c r="BG422" s="127"/>
      <c r="BH422" s="127"/>
      <c r="BI422" s="127"/>
      <c r="BJ422" s="127"/>
      <c r="BK422" s="127"/>
      <c r="BL422" s="127"/>
      <c r="BM422" s="127"/>
      <c r="BN422" s="127"/>
      <c r="BO422" s="127"/>
      <c r="BP422" s="127"/>
      <c r="BQ422" s="127"/>
      <c r="BR422" s="127"/>
      <c r="BS422" s="127"/>
      <c r="BT422" s="127"/>
      <c r="BU422" s="127"/>
      <c r="BV422" s="127"/>
      <c r="BW422" s="127"/>
    </row>
    <row r="423" spans="1:75" ht="22.5" hidden="1" x14ac:dyDescent="0.2">
      <c r="A423" s="123" t="str">
        <f>'[2]2021 УГРЦТ'!A425</f>
        <v>ТП №80 "Окруж.музей" ул. Победы, р -он д.5</v>
      </c>
      <c r="B423" s="124" t="str">
        <f>'[2]2021 УГРЦТ'!B425</f>
        <v>00001159</v>
      </c>
      <c r="C423" s="124" t="str">
        <f>VLOOKUP(A:A,'2023-2027'!A:L,1,+FALSE)</f>
        <v>ТП №80 "Окруж.музей" ул. Победы, р -он д.5</v>
      </c>
      <c r="D423" s="124" t="str">
        <f>'[2]2021 УГРЦТ'!C425</f>
        <v>ПЕРЕДАЧА</v>
      </c>
      <c r="E423" s="124" t="str">
        <f>'[2]2021 УГРЦТ'!D425</f>
        <v>Здания</v>
      </c>
      <c r="F423" s="124" t="str">
        <f>'[2]2021 УГРЦТ'!E425</f>
        <v>31.10.2009</v>
      </c>
      <c r="G423" s="124" t="str">
        <f>'[2]2021 УГРЦТ'!F425</f>
        <v>Цех электрических сетей</v>
      </c>
      <c r="H423" s="124">
        <f>'[2]2021 УГРЦТ'!AC425</f>
        <v>240</v>
      </c>
      <c r="I423" s="107">
        <v>2890765</v>
      </c>
      <c r="J423" s="107">
        <v>1758548.11</v>
      </c>
      <c r="K423" s="107">
        <v>1132216.8899999999</v>
      </c>
      <c r="L423" s="125" t="e">
        <f>SUMIF([2]облаг!$B$2:$B$259,B423,[2]облаг!$D$2:$D$259)</f>
        <v>#VALUE!</v>
      </c>
      <c r="M423" s="107">
        <f t="shared" si="414"/>
        <v>12044.854166666666</v>
      </c>
      <c r="N423" s="107">
        <f t="shared" si="415"/>
        <v>144538.25</v>
      </c>
      <c r="O423" s="107">
        <f t="shared" si="416"/>
        <v>1120172.0358333332</v>
      </c>
      <c r="P423" s="107">
        <f t="shared" si="417"/>
        <v>1108127.1816666664</v>
      </c>
      <c r="Q423" s="107">
        <f t="shared" si="438"/>
        <v>1096082.3274999997</v>
      </c>
      <c r="R423" s="107">
        <f t="shared" si="439"/>
        <v>1084037.4733333329</v>
      </c>
      <c r="S423" s="107">
        <f t="shared" si="440"/>
        <v>1071992.6191666662</v>
      </c>
      <c r="T423" s="107">
        <f t="shared" si="441"/>
        <v>1059947.7649999994</v>
      </c>
      <c r="U423" s="107">
        <f t="shared" si="442"/>
        <v>1047902.9108333328</v>
      </c>
      <c r="V423" s="107">
        <f t="shared" si="443"/>
        <v>1035858.0566666662</v>
      </c>
      <c r="W423" s="107">
        <f t="shared" si="444"/>
        <v>1023813.2024999995</v>
      </c>
      <c r="X423" s="107">
        <f t="shared" si="445"/>
        <v>1011768.3483333329</v>
      </c>
      <c r="Y423" s="107">
        <f t="shared" si="446"/>
        <v>999723.49416666629</v>
      </c>
      <c r="Z423" s="107">
        <f t="shared" si="447"/>
        <v>987678.63999999966</v>
      </c>
      <c r="AA423" s="107">
        <f t="shared" si="435"/>
        <v>23318.850829999985</v>
      </c>
      <c r="AB423" s="107"/>
      <c r="AC423" s="107">
        <f t="shared" si="448"/>
        <v>144538.25</v>
      </c>
      <c r="AD423" s="107">
        <f t="shared" si="449"/>
        <v>975633.78583333304</v>
      </c>
      <c r="AE423" s="107">
        <f t="shared" si="450"/>
        <v>963588.93166666641</v>
      </c>
      <c r="AF423" s="107">
        <f t="shared" si="451"/>
        <v>951544.07749999978</v>
      </c>
      <c r="AG423" s="107">
        <f t="shared" si="452"/>
        <v>939499.22333333315</v>
      </c>
      <c r="AH423" s="107">
        <f t="shared" si="453"/>
        <v>927454.36916666653</v>
      </c>
      <c r="AI423" s="107">
        <f t="shared" si="454"/>
        <v>915409.5149999999</v>
      </c>
      <c r="AJ423" s="107">
        <f t="shared" si="455"/>
        <v>903364.66083333327</v>
      </c>
      <c r="AK423" s="107">
        <f t="shared" si="456"/>
        <v>891319.80666666664</v>
      </c>
      <c r="AL423" s="107">
        <f t="shared" si="457"/>
        <v>879274.95250000001</v>
      </c>
      <c r="AM423" s="107">
        <f t="shared" si="458"/>
        <v>867230.09833333339</v>
      </c>
      <c r="AN423" s="107">
        <f t="shared" si="459"/>
        <v>855185.24416666676</v>
      </c>
      <c r="AO423" s="107">
        <f t="shared" si="460"/>
        <v>843140.39000000013</v>
      </c>
      <c r="AP423" s="107">
        <f t="shared" si="436"/>
        <v>20139.009329999993</v>
      </c>
      <c r="AQ423" s="126"/>
      <c r="AR423" s="107">
        <f t="shared" si="461"/>
        <v>144538.25</v>
      </c>
      <c r="AS423" s="107">
        <f>AO423-M423</f>
        <v>831095.5358333335</v>
      </c>
      <c r="AT423" s="107">
        <f>AS423-M423</f>
        <v>819050.68166666687</v>
      </c>
      <c r="AU423" s="107">
        <f>AT423-M423</f>
        <v>807005.82750000025</v>
      </c>
      <c r="AV423" s="107">
        <f>AU423-M423</f>
        <v>794960.97333333362</v>
      </c>
      <c r="AW423" s="107">
        <f>AV423-M423</f>
        <v>782916.11916666699</v>
      </c>
      <c r="AX423" s="107">
        <f>AW423-M423</f>
        <v>770871.26500000036</v>
      </c>
      <c r="AY423" s="107">
        <f>AX423-M423</f>
        <v>758826.41083333374</v>
      </c>
      <c r="AZ423" s="107">
        <f>AY423-M423</f>
        <v>746781.55666666711</v>
      </c>
      <c r="BA423" s="107">
        <f>AZ423-M423</f>
        <v>734736.70250000048</v>
      </c>
      <c r="BB423" s="107">
        <f>BA423-M423</f>
        <v>722691.84833333385</v>
      </c>
      <c r="BC423" s="107">
        <f>BB423-M423</f>
        <v>710646.99416666722</v>
      </c>
      <c r="BD423" s="107">
        <f>BC423-M423</f>
        <v>698602.1400000006</v>
      </c>
      <c r="BE423" s="107">
        <f t="shared" si="437"/>
        <v>16959.167830000009</v>
      </c>
      <c r="BF423" s="127"/>
      <c r="BG423" s="127"/>
      <c r="BH423" s="127"/>
      <c r="BI423" s="127"/>
      <c r="BJ423" s="127"/>
      <c r="BK423" s="127"/>
      <c r="BL423" s="127"/>
      <c r="BM423" s="127"/>
      <c r="BN423" s="127"/>
      <c r="BO423" s="127"/>
      <c r="BP423" s="127"/>
      <c r="BQ423" s="127"/>
      <c r="BR423" s="127"/>
      <c r="BS423" s="127"/>
      <c r="BT423" s="127"/>
      <c r="BU423" s="127"/>
      <c r="BV423" s="127"/>
      <c r="BW423" s="127"/>
    </row>
    <row r="424" spans="1:75" ht="22.5" hidden="1" x14ac:dyDescent="0.2">
      <c r="A424" s="123" t="str">
        <f>'[2]2021 УГРЦТ'!A426</f>
        <v>ТП №85 по ул Ненецкая ул Первомайская</v>
      </c>
      <c r="B424" s="124" t="str">
        <f>'[2]2021 УГРЦТ'!B426</f>
        <v>00001113</v>
      </c>
      <c r="C424" s="124" t="str">
        <f>VLOOKUP(A:A,'2023-2027'!A:L,1,+FALSE)</f>
        <v>ТП №85 по ул Ненецкая ул Первомайская</v>
      </c>
      <c r="D424" s="124" t="str">
        <f>'[2]2021 УГРЦТ'!C426</f>
        <v>ПЕРЕДАЧА</v>
      </c>
      <c r="E424" s="124" t="str">
        <f>'[2]2021 УГРЦТ'!D426</f>
        <v>Сооружения</v>
      </c>
      <c r="F424" s="124" t="str">
        <f>'[2]2021 УГРЦТ'!E426</f>
        <v>28.02.2009</v>
      </c>
      <c r="G424" s="124" t="str">
        <f>'[2]2021 УГРЦТ'!F426</f>
        <v>Цех электрических сетей</v>
      </c>
      <c r="H424" s="124">
        <f>'[2]2021 УГРЦТ'!AC426</f>
        <v>180</v>
      </c>
      <c r="I424" s="107">
        <v>5253378</v>
      </c>
      <c r="J424" s="107">
        <v>4494556.26</v>
      </c>
      <c r="K424" s="107">
        <v>758821.74000000022</v>
      </c>
      <c r="L424" s="125" t="e">
        <f>SUMIF([2]облаг!$B$2:$B$259,B424,[2]облаг!$D$2:$D$259)</f>
        <v>#VALUE!</v>
      </c>
      <c r="M424" s="107">
        <f t="shared" si="414"/>
        <v>29185.433333333334</v>
      </c>
      <c r="N424" s="107">
        <f t="shared" si="415"/>
        <v>350225.2</v>
      </c>
      <c r="O424" s="107">
        <f t="shared" si="416"/>
        <v>729636.30666666687</v>
      </c>
      <c r="P424" s="107">
        <f t="shared" si="417"/>
        <v>700450.87333333353</v>
      </c>
      <c r="Q424" s="107">
        <f t="shared" si="438"/>
        <v>671265.44000000018</v>
      </c>
      <c r="R424" s="107">
        <f t="shared" si="439"/>
        <v>642080.00666666683</v>
      </c>
      <c r="S424" s="107">
        <f t="shared" si="440"/>
        <v>612894.57333333348</v>
      </c>
      <c r="T424" s="107">
        <f t="shared" si="441"/>
        <v>583709.14000000013</v>
      </c>
      <c r="U424" s="107">
        <f t="shared" si="442"/>
        <v>554523.70666666678</v>
      </c>
      <c r="V424" s="107">
        <f t="shared" si="443"/>
        <v>525338.27333333343</v>
      </c>
      <c r="W424" s="107">
        <f t="shared" si="444"/>
        <v>496152.84000000008</v>
      </c>
      <c r="X424" s="107">
        <f t="shared" si="445"/>
        <v>466967.40666666673</v>
      </c>
      <c r="Y424" s="107">
        <f t="shared" si="446"/>
        <v>437781.97333333339</v>
      </c>
      <c r="Z424" s="107">
        <f t="shared" si="447"/>
        <v>408596.54000000004</v>
      </c>
      <c r="AA424" s="107">
        <f t="shared" si="435"/>
        <v>12841.601080000002</v>
      </c>
      <c r="AB424" s="107"/>
      <c r="AC424" s="107">
        <f t="shared" si="448"/>
        <v>350225.2</v>
      </c>
      <c r="AD424" s="107">
        <f t="shared" si="449"/>
        <v>379411.10666666669</v>
      </c>
      <c r="AE424" s="107">
        <f t="shared" si="450"/>
        <v>350225.67333333334</v>
      </c>
      <c r="AF424" s="107">
        <f t="shared" si="451"/>
        <v>321040.24</v>
      </c>
      <c r="AG424" s="107">
        <f t="shared" si="452"/>
        <v>291854.80666666664</v>
      </c>
      <c r="AH424" s="107">
        <f t="shared" si="453"/>
        <v>262669.37333333329</v>
      </c>
      <c r="AI424" s="107">
        <f t="shared" si="454"/>
        <v>233483.93999999994</v>
      </c>
      <c r="AJ424" s="107">
        <f t="shared" si="455"/>
        <v>204298.5066666666</v>
      </c>
      <c r="AK424" s="107">
        <f t="shared" si="456"/>
        <v>175113.07333333325</v>
      </c>
      <c r="AL424" s="107">
        <f t="shared" si="457"/>
        <v>145927.6399999999</v>
      </c>
      <c r="AM424" s="107">
        <f t="shared" si="458"/>
        <v>116742.20666666656</v>
      </c>
      <c r="AN424" s="107">
        <f t="shared" si="459"/>
        <v>87556.773333333229</v>
      </c>
      <c r="AO424" s="107">
        <f t="shared" si="460"/>
        <v>58371.339999999895</v>
      </c>
      <c r="AP424" s="107">
        <f t="shared" si="436"/>
        <v>5136.6466799999989</v>
      </c>
      <c r="AQ424" s="126"/>
      <c r="AR424" s="107">
        <f>AS424</f>
        <v>29185.90666666656</v>
      </c>
      <c r="AS424" s="107">
        <f>AO424-M424</f>
        <v>29185.90666666656</v>
      </c>
      <c r="AT424" s="107">
        <f>AS424-M424</f>
        <v>0.47333333322603721</v>
      </c>
      <c r="AU424" s="107">
        <v>0</v>
      </c>
      <c r="AV424" s="107">
        <v>0</v>
      </c>
      <c r="AW424" s="107">
        <v>0</v>
      </c>
      <c r="AX424" s="107">
        <v>0</v>
      </c>
      <c r="AY424" s="107">
        <v>0</v>
      </c>
      <c r="AZ424" s="107">
        <v>0</v>
      </c>
      <c r="BA424" s="107">
        <v>0</v>
      </c>
      <c r="BB424" s="107">
        <v>0</v>
      </c>
      <c r="BC424" s="107">
        <v>0</v>
      </c>
      <c r="BD424" s="107">
        <v>0</v>
      </c>
      <c r="BE424" s="107">
        <f t="shared" si="437"/>
        <v>148.17460307692252</v>
      </c>
      <c r="BG424" s="127"/>
      <c r="BI424" s="127"/>
      <c r="BV424" s="127"/>
    </row>
    <row r="425" spans="1:75" ht="45" hidden="1" x14ac:dyDescent="0.2">
      <c r="A425" s="123" t="str">
        <f>'[2]2021 УГРЦТ'!A427</f>
        <v>ТП №86  "Детский сад/ясли на 220 мест с бассейном" в центральной части г. Нарьян-Мара</v>
      </c>
      <c r="B425" s="124" t="str">
        <f>'[2]2021 УГРЦТ'!B427</f>
        <v>000001503</v>
      </c>
      <c r="C425" s="124" t="str">
        <f>VLOOKUP(A:A,'2023-2027'!A:L,1,+FALSE)</f>
        <v>ТП №86  "Детский сад/ясли на 220 мест с бассейном" в центральной части г. Нарьян-Мара</v>
      </c>
      <c r="D425" s="124" t="str">
        <f>'[2]2021 УГРЦТ'!C427</f>
        <v>ПЕРЕДАЧА</v>
      </c>
      <c r="E425" s="124" t="str">
        <f>'[2]2021 УГРЦТ'!D427</f>
        <v>Сооружения</v>
      </c>
      <c r="F425" s="124" t="str">
        <f>'[2]2021 УГРЦТ'!E427</f>
        <v>01.11.2012</v>
      </c>
      <c r="G425" s="124" t="str">
        <f>'[2]2021 УГРЦТ'!F427</f>
        <v>Цех электрических сетей</v>
      </c>
      <c r="H425" s="124">
        <f>'[2]2021 УГРЦТ'!AC427</f>
        <v>240</v>
      </c>
      <c r="I425" s="107">
        <v>4225871.46</v>
      </c>
      <c r="J425" s="107">
        <v>1969959.73</v>
      </c>
      <c r="K425" s="107">
        <f>I425-J425</f>
        <v>2255911.73</v>
      </c>
      <c r="L425" s="125" t="e">
        <f>SUMIF([2]облаг!$B$2:$B$259,B425,[2]облаг!$D$2:$D$259)</f>
        <v>#VALUE!</v>
      </c>
      <c r="M425" s="107">
        <f t="shared" si="414"/>
        <v>17607.797750000002</v>
      </c>
      <c r="N425" s="107">
        <f t="shared" si="415"/>
        <v>211293.57300000003</v>
      </c>
      <c r="O425" s="107">
        <f t="shared" si="416"/>
        <v>2238303.9322500001</v>
      </c>
      <c r="P425" s="107">
        <f t="shared" si="417"/>
        <v>2220696.1345000002</v>
      </c>
      <c r="Q425" s="107">
        <f t="shared" si="438"/>
        <v>2203088.3367500002</v>
      </c>
      <c r="R425" s="107">
        <f t="shared" si="439"/>
        <v>2185480.5390000003</v>
      </c>
      <c r="S425" s="107">
        <f t="shared" si="440"/>
        <v>2167872.7412500004</v>
      </c>
      <c r="T425" s="107">
        <f t="shared" si="441"/>
        <v>2150264.9435000005</v>
      </c>
      <c r="U425" s="107">
        <f t="shared" si="442"/>
        <v>2132657.1457500006</v>
      </c>
      <c r="V425" s="107">
        <f t="shared" si="443"/>
        <v>2115049.3480000007</v>
      </c>
      <c r="W425" s="107">
        <f t="shared" si="444"/>
        <v>2097441.5502500008</v>
      </c>
      <c r="X425" s="107">
        <f t="shared" si="445"/>
        <v>2079833.7525000009</v>
      </c>
      <c r="Y425" s="107">
        <f t="shared" si="446"/>
        <v>2062225.954750001</v>
      </c>
      <c r="Z425" s="107">
        <f t="shared" si="447"/>
        <v>2044618.1570000011</v>
      </c>
      <c r="AA425" s="107">
        <f t="shared" si="435"/>
        <v>47305.82875700001</v>
      </c>
      <c r="AB425" s="107"/>
      <c r="AC425" s="107">
        <f t="shared" si="448"/>
        <v>211293.57300000003</v>
      </c>
      <c r="AD425" s="107">
        <f t="shared" si="449"/>
        <v>2027010.3592500011</v>
      </c>
      <c r="AE425" s="107">
        <f t="shared" si="450"/>
        <v>2009402.5615000012</v>
      </c>
      <c r="AF425" s="107">
        <f t="shared" si="451"/>
        <v>1991794.7637500013</v>
      </c>
      <c r="AG425" s="107">
        <f t="shared" si="452"/>
        <v>1974186.9660000014</v>
      </c>
      <c r="AH425" s="107">
        <f t="shared" si="453"/>
        <v>1956579.1682500015</v>
      </c>
      <c r="AI425" s="107">
        <f t="shared" si="454"/>
        <v>1938971.3705000016</v>
      </c>
      <c r="AJ425" s="107">
        <f t="shared" si="455"/>
        <v>1921363.5727500017</v>
      </c>
      <c r="AK425" s="107">
        <f t="shared" si="456"/>
        <v>1903755.7750000018</v>
      </c>
      <c r="AL425" s="107">
        <f t="shared" si="457"/>
        <v>1886147.9772500019</v>
      </c>
      <c r="AM425" s="107">
        <f t="shared" si="458"/>
        <v>1868540.1795000019</v>
      </c>
      <c r="AN425" s="107">
        <f t="shared" si="459"/>
        <v>1850932.381750002</v>
      </c>
      <c r="AO425" s="107">
        <f t="shared" si="460"/>
        <v>1833324.5840000021</v>
      </c>
      <c r="AP425" s="107">
        <f t="shared" si="436"/>
        <v>42657.370151000039</v>
      </c>
      <c r="AQ425" s="126"/>
      <c r="AR425" s="107">
        <f t="shared" si="461"/>
        <v>211293.57300000003</v>
      </c>
      <c r="AS425" s="107">
        <f>AO425-M425</f>
        <v>1815716.7862500022</v>
      </c>
      <c r="AT425" s="107">
        <f>AS425-M425</f>
        <v>1798108.9885000023</v>
      </c>
      <c r="AU425" s="107">
        <f>AT425-M425</f>
        <v>1780501.1907500024</v>
      </c>
      <c r="AV425" s="107">
        <f>AU425-M425</f>
        <v>1762893.3930000025</v>
      </c>
      <c r="AW425" s="107">
        <f>AV425-M425</f>
        <v>1745285.5952500026</v>
      </c>
      <c r="AX425" s="107">
        <f>AW425-M425</f>
        <v>1727677.7975000027</v>
      </c>
      <c r="AY425" s="107">
        <f>AX425-M425</f>
        <v>1710069.9997500028</v>
      </c>
      <c r="AZ425" s="107">
        <f>AY425-M425</f>
        <v>1692462.2020000028</v>
      </c>
      <c r="BA425" s="107">
        <f>AZ425-M425</f>
        <v>1674854.4042500029</v>
      </c>
      <c r="BB425" s="107">
        <f>BA425-M425</f>
        <v>1657246.606500003</v>
      </c>
      <c r="BC425" s="107">
        <f>BB425-M425</f>
        <v>1639638.8087500031</v>
      </c>
      <c r="BD425" s="107">
        <f>BC425-M425</f>
        <v>1622031.0110000032</v>
      </c>
      <c r="BE425" s="107">
        <f t="shared" si="437"/>
        <v>38008.911545000061</v>
      </c>
      <c r="BF425" s="127"/>
      <c r="BG425" s="127"/>
      <c r="BH425" s="127"/>
      <c r="BI425" s="127"/>
      <c r="BJ425" s="127"/>
      <c r="BK425" s="127"/>
      <c r="BL425" s="127"/>
      <c r="BM425" s="127"/>
      <c r="BN425" s="127"/>
      <c r="BO425" s="127"/>
      <c r="BP425" s="127"/>
      <c r="BQ425" s="127"/>
      <c r="BR425" s="127"/>
      <c r="BS425" s="127"/>
      <c r="BT425" s="127"/>
      <c r="BU425" s="127"/>
      <c r="BV425" s="127"/>
      <c r="BW425" s="127"/>
    </row>
    <row r="426" spans="1:75" ht="22.5" hidden="1" x14ac:dyDescent="0.2">
      <c r="A426" s="123" t="str">
        <f>'[2]2021 УГРЦТ'!A428</f>
        <v>ТП №87 "Промзона в районе аэропорта" 2008г</v>
      </c>
      <c r="B426" s="124" t="str">
        <f>'[2]2021 УГРЦТ'!B428</f>
        <v>00001092</v>
      </c>
      <c r="C426" s="124" t="str">
        <f>VLOOKUP(A:A,'2023-2027'!A:L,1,+FALSE)</f>
        <v>ТП №87 "Промзона в районе аэропорта" 2008г</v>
      </c>
      <c r="D426" s="124" t="str">
        <f>'[2]2021 УГРЦТ'!C428</f>
        <v>ПЕРЕДАЧА</v>
      </c>
      <c r="E426" s="124" t="str">
        <f>'[2]2021 УГРЦТ'!D428</f>
        <v>Сооружения</v>
      </c>
      <c r="F426" s="124" t="str">
        <f>'[2]2021 УГРЦТ'!E428</f>
        <v>30.09.2008</v>
      </c>
      <c r="G426" s="124" t="str">
        <f>'[2]2021 УГРЦТ'!F428</f>
        <v>Цех электрических сетей</v>
      </c>
      <c r="H426" s="124">
        <f>'[2]2021 УГРЦТ'!AC428</f>
        <v>180</v>
      </c>
      <c r="I426" s="107">
        <f>'[2]2021 УГРЦТ'!X428</f>
        <v>614430.39</v>
      </c>
      <c r="J426" s="107">
        <f>'[2]2021 УГРЦТ'!Y428</f>
        <v>542746.52599999995</v>
      </c>
      <c r="K426" s="107">
        <f>'[2]2021 УГРЦТ'!Z428</f>
        <v>71683.86400000006</v>
      </c>
      <c r="L426" s="125" t="e">
        <f>SUMIF([2]облаг!$B$2:$B$259,B426,[2]облаг!$D$2:$D$259)</f>
        <v>#VALUE!</v>
      </c>
      <c r="M426" s="107">
        <f t="shared" si="414"/>
        <v>3413.5021666666667</v>
      </c>
      <c r="N426" s="107">
        <f t="shared" si="415"/>
        <v>40962.025999999998</v>
      </c>
      <c r="O426" s="107">
        <f t="shared" si="416"/>
        <v>68270.361833333387</v>
      </c>
      <c r="P426" s="107">
        <f t="shared" si="417"/>
        <v>64856.859666666722</v>
      </c>
      <c r="Q426" s="107">
        <f t="shared" si="438"/>
        <v>61443.357500000056</v>
      </c>
      <c r="R426" s="107">
        <f t="shared" si="439"/>
        <v>58029.855333333391</v>
      </c>
      <c r="S426" s="107">
        <f t="shared" si="440"/>
        <v>54616.353166666726</v>
      </c>
      <c r="T426" s="107">
        <f t="shared" si="441"/>
        <v>51202.851000000061</v>
      </c>
      <c r="U426" s="107">
        <f t="shared" si="442"/>
        <v>47789.348833333395</v>
      </c>
      <c r="V426" s="107">
        <f t="shared" si="443"/>
        <v>44375.84666666673</v>
      </c>
      <c r="W426" s="107">
        <f t="shared" si="444"/>
        <v>40962.344500000065</v>
      </c>
      <c r="X426" s="107">
        <f t="shared" si="445"/>
        <v>37548.842333333399</v>
      </c>
      <c r="Y426" s="107">
        <f t="shared" si="446"/>
        <v>34135.340166666734</v>
      </c>
      <c r="Z426" s="107">
        <f t="shared" si="447"/>
        <v>30721.838000000069</v>
      </c>
      <c r="AA426" s="107">
        <f t="shared" si="435"/>
        <v>1126.4627220000013</v>
      </c>
      <c r="AB426" s="107"/>
      <c r="AC426" s="107">
        <f>AD426</f>
        <v>27308.335833333404</v>
      </c>
      <c r="AD426" s="107">
        <f t="shared" si="449"/>
        <v>27308.335833333404</v>
      </c>
      <c r="AE426" s="107">
        <f t="shared" si="450"/>
        <v>23894.833666666738</v>
      </c>
      <c r="AF426" s="107">
        <f t="shared" si="451"/>
        <v>20481.331500000073</v>
      </c>
      <c r="AG426" s="107">
        <f t="shared" si="452"/>
        <v>17067.829333333408</v>
      </c>
      <c r="AH426" s="107">
        <f t="shared" si="453"/>
        <v>13654.327166666741</v>
      </c>
      <c r="AI426" s="107">
        <f t="shared" si="454"/>
        <v>10240.825000000073</v>
      </c>
      <c r="AJ426" s="107">
        <f t="shared" si="455"/>
        <v>6827.3228333334064</v>
      </c>
      <c r="AK426" s="107">
        <f t="shared" si="456"/>
        <v>3413.8206666667397</v>
      </c>
      <c r="AL426" s="107">
        <f t="shared" si="457"/>
        <v>0.31850000007307244</v>
      </c>
      <c r="AM426" s="107">
        <v>0</v>
      </c>
      <c r="AN426" s="107">
        <v>0</v>
      </c>
      <c r="AO426" s="107">
        <v>0</v>
      </c>
      <c r="AP426" s="107">
        <f t="shared" si="436"/>
        <v>259.95670884615504</v>
      </c>
      <c r="AQ426" s="126"/>
      <c r="AR426" s="107">
        <v>0</v>
      </c>
      <c r="AS426" s="107">
        <v>0</v>
      </c>
      <c r="AT426" s="107">
        <v>0</v>
      </c>
      <c r="AU426" s="107">
        <v>0</v>
      </c>
      <c r="AV426" s="107">
        <v>0</v>
      </c>
      <c r="AW426" s="107">
        <v>0</v>
      </c>
      <c r="AX426" s="107">
        <v>0</v>
      </c>
      <c r="AY426" s="107">
        <v>0</v>
      </c>
      <c r="AZ426" s="107">
        <v>0</v>
      </c>
      <c r="BA426" s="107">
        <v>0</v>
      </c>
      <c r="BB426" s="107">
        <v>0</v>
      </c>
      <c r="BC426" s="107">
        <v>0</v>
      </c>
      <c r="BD426" s="107">
        <v>0</v>
      </c>
      <c r="BE426" s="107">
        <f t="shared" si="437"/>
        <v>0</v>
      </c>
      <c r="BG426" s="127"/>
      <c r="BI426" s="127"/>
      <c r="BV426" s="127"/>
    </row>
    <row r="427" spans="1:75" hidden="1" x14ac:dyDescent="0.2">
      <c r="A427" s="123" t="str">
        <f>'[2]2021 УГРЦТ'!A429</f>
        <v>ТП №89 ул Россихина 2010г</v>
      </c>
      <c r="B427" s="124" t="str">
        <f>'[2]2021 УГРЦТ'!B429</f>
        <v>00001235</v>
      </c>
      <c r="C427" s="124" t="str">
        <f>VLOOKUP(A:A,'2023-2027'!A:L,1,+FALSE)</f>
        <v>ТП №89 ул Россихина 2010г</v>
      </c>
      <c r="D427" s="124" t="str">
        <f>'[2]2021 УГРЦТ'!C429</f>
        <v>ПЕРЕДАЧА</v>
      </c>
      <c r="E427" s="124" t="str">
        <f>'[2]2021 УГРЦТ'!D429</f>
        <v>Сооружения</v>
      </c>
      <c r="F427" s="124" t="str">
        <f>'[2]2021 УГРЦТ'!E429</f>
        <v>31.08.2010</v>
      </c>
      <c r="G427" s="124" t="str">
        <f>'[2]2021 УГРЦТ'!F429</f>
        <v>Цех электрических сетей</v>
      </c>
      <c r="H427" s="124">
        <f>'[2]2021 УГРЦТ'!AC429</f>
        <v>240</v>
      </c>
      <c r="I427" s="107">
        <v>1032832</v>
      </c>
      <c r="J427" s="107">
        <v>585271.88</v>
      </c>
      <c r="K427" s="107">
        <v>447560.12</v>
      </c>
      <c r="L427" s="125" t="e">
        <f>SUMIF([2]облаг!$B$2:$B$259,B427,[2]облаг!$D$2:$D$259)</f>
        <v>#VALUE!</v>
      </c>
      <c r="M427" s="107">
        <f t="shared" si="414"/>
        <v>4303.4666666666662</v>
      </c>
      <c r="N427" s="107">
        <f t="shared" si="415"/>
        <v>51641.599999999991</v>
      </c>
      <c r="O427" s="107">
        <f t="shared" si="416"/>
        <v>443256.65333333332</v>
      </c>
      <c r="P427" s="107">
        <f t="shared" si="417"/>
        <v>438953.18666666665</v>
      </c>
      <c r="Q427" s="107">
        <f t="shared" si="438"/>
        <v>434649.72</v>
      </c>
      <c r="R427" s="107">
        <f t="shared" si="439"/>
        <v>430346.2533333333</v>
      </c>
      <c r="S427" s="107">
        <f t="shared" si="440"/>
        <v>426042.78666666662</v>
      </c>
      <c r="T427" s="107">
        <f t="shared" si="441"/>
        <v>421739.31999999995</v>
      </c>
      <c r="U427" s="107">
        <f t="shared" si="442"/>
        <v>417435.85333333327</v>
      </c>
      <c r="V427" s="107">
        <f t="shared" si="443"/>
        <v>413132.3866666666</v>
      </c>
      <c r="W427" s="107">
        <f t="shared" si="444"/>
        <v>408828.91999999993</v>
      </c>
      <c r="X427" s="107">
        <f t="shared" si="445"/>
        <v>404525.45333333325</v>
      </c>
      <c r="Y427" s="107">
        <f t="shared" si="446"/>
        <v>400221.98666666658</v>
      </c>
      <c r="Z427" s="107">
        <f t="shared" si="447"/>
        <v>395918.5199999999</v>
      </c>
      <c r="AA427" s="107">
        <f t="shared" si="435"/>
        <v>9278.2650399999984</v>
      </c>
      <c r="AB427" s="107"/>
      <c r="AC427" s="107">
        <f t="shared" si="448"/>
        <v>51641.599999999991</v>
      </c>
      <c r="AD427" s="107">
        <f t="shared" si="449"/>
        <v>391615.05333333323</v>
      </c>
      <c r="AE427" s="107">
        <f t="shared" si="450"/>
        <v>387311.58666666655</v>
      </c>
      <c r="AF427" s="107">
        <f t="shared" si="451"/>
        <v>383008.11999999988</v>
      </c>
      <c r="AG427" s="107">
        <f t="shared" si="452"/>
        <v>378704.6533333332</v>
      </c>
      <c r="AH427" s="107">
        <f t="shared" si="453"/>
        <v>374401.18666666653</v>
      </c>
      <c r="AI427" s="107">
        <f t="shared" si="454"/>
        <v>370097.71999999986</v>
      </c>
      <c r="AJ427" s="107">
        <f t="shared" si="455"/>
        <v>365794.25333333318</v>
      </c>
      <c r="AK427" s="107">
        <f t="shared" si="456"/>
        <v>361490.78666666651</v>
      </c>
      <c r="AL427" s="107">
        <f t="shared" si="457"/>
        <v>357187.31999999983</v>
      </c>
      <c r="AM427" s="107">
        <f t="shared" si="458"/>
        <v>352883.85333333316</v>
      </c>
      <c r="AN427" s="107">
        <f t="shared" si="459"/>
        <v>348580.38666666648</v>
      </c>
      <c r="AO427" s="107">
        <f t="shared" si="460"/>
        <v>344276.91999999981</v>
      </c>
      <c r="AP427" s="107">
        <f t="shared" si="436"/>
        <v>8142.1498399999955</v>
      </c>
      <c r="AQ427" s="126"/>
      <c r="AR427" s="107">
        <f t="shared" si="461"/>
        <v>51641.599999999991</v>
      </c>
      <c r="AS427" s="107">
        <f>AO427-M427</f>
        <v>339973.45333333313</v>
      </c>
      <c r="AT427" s="107">
        <f>AS427-M427</f>
        <v>335669.98666666646</v>
      </c>
      <c r="AU427" s="107">
        <f>AT427-M427</f>
        <v>331366.51999999979</v>
      </c>
      <c r="AV427" s="107">
        <f>AU427-M427</f>
        <v>327063.05333333311</v>
      </c>
      <c r="AW427" s="107">
        <f>AV427-M427</f>
        <v>322759.58666666644</v>
      </c>
      <c r="AX427" s="107">
        <f>AW427-M427</f>
        <v>318456.11999999976</v>
      </c>
      <c r="AY427" s="107">
        <f>AX427-M427</f>
        <v>314152.65333333309</v>
      </c>
      <c r="AZ427" s="107">
        <f>AY427-M427</f>
        <v>309849.18666666641</v>
      </c>
      <c r="BA427" s="107">
        <f>AZ427-M427</f>
        <v>305545.71999999974</v>
      </c>
      <c r="BB427" s="107">
        <f>BA427-M427</f>
        <v>301242.25333333306</v>
      </c>
      <c r="BC427" s="107">
        <f>BB427-M427</f>
        <v>296938.78666666639</v>
      </c>
      <c r="BD427" s="107">
        <f>BC427-M427</f>
        <v>292635.31999999972</v>
      </c>
      <c r="BE427" s="107">
        <f t="shared" si="437"/>
        <v>7006.0346399999944</v>
      </c>
      <c r="BF427" s="127"/>
      <c r="BG427" s="127"/>
      <c r="BH427" s="127"/>
      <c r="BI427" s="127"/>
      <c r="BJ427" s="127"/>
      <c r="BK427" s="127"/>
      <c r="BL427" s="127"/>
      <c r="BM427" s="127"/>
      <c r="BN427" s="127"/>
      <c r="BO427" s="127"/>
      <c r="BP427" s="127"/>
      <c r="BQ427" s="127"/>
      <c r="BR427" s="127"/>
      <c r="BS427" s="127"/>
      <c r="BT427" s="127"/>
      <c r="BU427" s="127"/>
      <c r="BV427" s="127"/>
      <c r="BW427" s="127"/>
    </row>
    <row r="428" spans="1:75" hidden="1" x14ac:dyDescent="0.2">
      <c r="A428" s="123" t="str">
        <f>'[2]2021 УГРЦТ'!A430</f>
        <v>ТП №9 ул Октябрьская 17  1966г.</v>
      </c>
      <c r="B428" s="124" t="str">
        <f>'[2]2021 УГРЦТ'!B430</f>
        <v>00000137</v>
      </c>
      <c r="C428" s="124" t="str">
        <f>VLOOKUP(A:A,'2023-2027'!A:L,1,+FALSE)</f>
        <v>ТП №9 ул Октябрьская 17  1966г.</v>
      </c>
      <c r="D428" s="124" t="str">
        <f>'[2]2021 УГРЦТ'!C430</f>
        <v>ПЕРЕДАЧА</v>
      </c>
      <c r="E428" s="124" t="str">
        <f>'[2]2021 УГРЦТ'!D430</f>
        <v>Здания</v>
      </c>
      <c r="F428" s="124" t="str">
        <f>'[2]2021 УГРЦТ'!E430</f>
        <v>31.01.1966</v>
      </c>
      <c r="G428" s="124" t="str">
        <f>'[2]2021 УГРЦТ'!F430</f>
        <v>Цех электрических сетей</v>
      </c>
      <c r="H428" s="124">
        <f>'[2]2021 УГРЦТ'!AC430</f>
        <v>708</v>
      </c>
      <c r="I428" s="107">
        <f>'[2]2021 УГРЦТ'!X430</f>
        <v>28452</v>
      </c>
      <c r="J428" s="107">
        <f>'[2]2021 УГРЦТ'!Y430</f>
        <v>26937.387288135596</v>
      </c>
      <c r="K428" s="107">
        <f>'[2]2021 УГРЦТ'!Z430</f>
        <v>1514.6127118644035</v>
      </c>
      <c r="L428" s="125" t="e">
        <f>SUMIF([2]облаг!$B$2:$B$259,B428,[2]облаг!$D$2:$D$259)</f>
        <v>#VALUE!</v>
      </c>
      <c r="M428" s="107">
        <f t="shared" si="414"/>
        <v>40.186440677966104</v>
      </c>
      <c r="N428" s="107">
        <f t="shared" si="415"/>
        <v>482.23728813559325</v>
      </c>
      <c r="O428" s="107">
        <f t="shared" si="416"/>
        <v>1474.4262711864374</v>
      </c>
      <c r="P428" s="107">
        <f t="shared" si="417"/>
        <v>1434.2398305084712</v>
      </c>
      <c r="Q428" s="107">
        <f t="shared" si="438"/>
        <v>1394.053389830505</v>
      </c>
      <c r="R428" s="107">
        <f t="shared" si="439"/>
        <v>1353.8669491525388</v>
      </c>
      <c r="S428" s="107">
        <f t="shared" si="440"/>
        <v>1313.6805084745727</v>
      </c>
      <c r="T428" s="107">
        <f t="shared" si="441"/>
        <v>1273.4940677966065</v>
      </c>
      <c r="U428" s="107">
        <f t="shared" si="442"/>
        <v>1233.3076271186403</v>
      </c>
      <c r="V428" s="107">
        <f t="shared" si="443"/>
        <v>1193.1211864406741</v>
      </c>
      <c r="W428" s="107">
        <f t="shared" si="444"/>
        <v>1152.934745762708</v>
      </c>
      <c r="X428" s="107">
        <f t="shared" si="445"/>
        <v>1112.7483050847418</v>
      </c>
      <c r="Y428" s="107">
        <f t="shared" si="446"/>
        <v>1072.5618644067756</v>
      </c>
      <c r="Z428" s="107">
        <f t="shared" si="447"/>
        <v>1032.3754237288094</v>
      </c>
      <c r="AA428" s="107">
        <f t="shared" si="435"/>
        <v>28.016869491525341</v>
      </c>
      <c r="AB428" s="107"/>
      <c r="AC428" s="107">
        <f t="shared" si="448"/>
        <v>482.23728813559325</v>
      </c>
      <c r="AD428" s="107">
        <f t="shared" si="449"/>
        <v>992.18898305084338</v>
      </c>
      <c r="AE428" s="107">
        <f t="shared" si="450"/>
        <v>952.00254237287731</v>
      </c>
      <c r="AF428" s="107">
        <f t="shared" si="451"/>
        <v>911.81610169491125</v>
      </c>
      <c r="AG428" s="107">
        <f t="shared" si="452"/>
        <v>871.62966101694519</v>
      </c>
      <c r="AH428" s="107">
        <f t="shared" si="453"/>
        <v>831.44322033897913</v>
      </c>
      <c r="AI428" s="107">
        <f t="shared" si="454"/>
        <v>791.25677966101307</v>
      </c>
      <c r="AJ428" s="107">
        <f t="shared" si="455"/>
        <v>751.07033898304701</v>
      </c>
      <c r="AK428" s="107">
        <f t="shared" si="456"/>
        <v>710.88389830508095</v>
      </c>
      <c r="AL428" s="107">
        <f t="shared" si="457"/>
        <v>670.69745762711489</v>
      </c>
      <c r="AM428" s="107">
        <f t="shared" si="458"/>
        <v>630.51101694914883</v>
      </c>
      <c r="AN428" s="107">
        <f t="shared" si="459"/>
        <v>590.32457627118276</v>
      </c>
      <c r="AO428" s="107">
        <f t="shared" si="460"/>
        <v>550.1381355932167</v>
      </c>
      <c r="AP428" s="107">
        <f t="shared" si="436"/>
        <v>17.407649152542287</v>
      </c>
      <c r="AQ428" s="126"/>
      <c r="AR428" s="107">
        <f t="shared" si="461"/>
        <v>482.23728813559325</v>
      </c>
      <c r="AS428" s="107">
        <f>AO428-M428</f>
        <v>509.95169491525058</v>
      </c>
      <c r="AT428" s="107">
        <f>AS428-M428</f>
        <v>469.76525423728447</v>
      </c>
      <c r="AU428" s="107">
        <f>AT428-M428</f>
        <v>429.57881355931835</v>
      </c>
      <c r="AV428" s="107">
        <f>AU428-M428</f>
        <v>389.39237288135223</v>
      </c>
      <c r="AW428" s="107">
        <f>AV428-M428</f>
        <v>349.20593220338611</v>
      </c>
      <c r="AX428" s="107">
        <f>AW428-M428</f>
        <v>309.01949152541999</v>
      </c>
      <c r="AY428" s="107">
        <f>AX428-M428</f>
        <v>268.83305084745388</v>
      </c>
      <c r="AZ428" s="107">
        <f>AY428-M428</f>
        <v>228.64661016948776</v>
      </c>
      <c r="BA428" s="107">
        <f>AZ428-M428</f>
        <v>188.46016949152164</v>
      </c>
      <c r="BB428" s="107">
        <f>BA428-M428</f>
        <v>148.27372881355552</v>
      </c>
      <c r="BC428" s="107">
        <f>BB428-M428</f>
        <v>108.08728813558942</v>
      </c>
      <c r="BD428" s="107">
        <f>BC428-M428</f>
        <v>67.900847457623314</v>
      </c>
      <c r="BE428" s="107">
        <f t="shared" si="437"/>
        <v>6.7984288135592408</v>
      </c>
      <c r="BF428" s="127"/>
      <c r="BG428" s="127"/>
      <c r="BI428" s="127"/>
      <c r="BJ428" s="127"/>
      <c r="BK428" s="127"/>
      <c r="BL428" s="127"/>
      <c r="BM428" s="127"/>
      <c r="BN428" s="127"/>
      <c r="BO428" s="127"/>
      <c r="BP428" s="127"/>
      <c r="BQ428" s="127"/>
      <c r="BR428" s="127"/>
      <c r="BS428" s="127"/>
      <c r="BT428" s="127"/>
      <c r="BU428" s="127"/>
      <c r="BV428" s="127"/>
    </row>
    <row r="429" spans="1:75" ht="22.5" hidden="1" x14ac:dyDescent="0.2">
      <c r="A429" s="123" t="str">
        <f>'[2]2021 УГРЦТ'!A431</f>
        <v>ТП №90 м-н Старый аэропорт(КТППК-В-400/6У1)</v>
      </c>
      <c r="B429" s="124" t="str">
        <f>'[2]2021 УГРЦТ'!B431</f>
        <v>000001492</v>
      </c>
      <c r="C429" s="124" t="str">
        <f>VLOOKUP(A:A,'2023-2027'!A:L,1,+FALSE)</f>
        <v>ТП №90 м-н Старый аэропорт(КТППК-В-400/6У1)</v>
      </c>
      <c r="D429" s="124" t="str">
        <f>'[2]2021 УГРЦТ'!C431</f>
        <v>ПЕРЕДАЧА</v>
      </c>
      <c r="E429" s="124" t="str">
        <f>'[2]2021 УГРЦТ'!D431</f>
        <v>Сооружения</v>
      </c>
      <c r="F429" s="124" t="str">
        <f>'[2]2021 УГРЦТ'!E431</f>
        <v>31.10.2012</v>
      </c>
      <c r="G429" s="124" t="str">
        <f>'[2]2021 УГРЦТ'!F431</f>
        <v>Цех электрических сетей</v>
      </c>
      <c r="H429" s="124">
        <f>'[2]2021 УГРЦТ'!AC431</f>
        <v>238</v>
      </c>
      <c r="I429" s="107">
        <v>1978919</v>
      </c>
      <c r="J429" s="107">
        <v>914626.84857142856</v>
      </c>
      <c r="K429" s="107">
        <v>1064292.1514285714</v>
      </c>
      <c r="L429" s="125" t="e">
        <f>SUMIF([2]облаг!$B$2:$B$259,B429,[2]облаг!$D$2:$D$259)</f>
        <v>#VALUE!</v>
      </c>
      <c r="M429" s="107">
        <f t="shared" si="414"/>
        <v>8314.7857142857138</v>
      </c>
      <c r="N429" s="107">
        <f t="shared" si="415"/>
        <v>99777.428571428565</v>
      </c>
      <c r="O429" s="107">
        <f t="shared" si="416"/>
        <v>1055977.3657142858</v>
      </c>
      <c r="P429" s="107">
        <f t="shared" si="417"/>
        <v>1047662.5800000001</v>
      </c>
      <c r="Q429" s="107">
        <f t="shared" si="438"/>
        <v>1039347.7942857144</v>
      </c>
      <c r="R429" s="107">
        <f t="shared" si="439"/>
        <v>1031033.0085714287</v>
      </c>
      <c r="S429" s="107">
        <f t="shared" si="440"/>
        <v>1022718.222857143</v>
      </c>
      <c r="T429" s="107">
        <f t="shared" si="441"/>
        <v>1014403.4371428574</v>
      </c>
      <c r="U429" s="107">
        <f t="shared" si="442"/>
        <v>1006088.6514285717</v>
      </c>
      <c r="V429" s="107">
        <f t="shared" si="443"/>
        <v>997773.86571428599</v>
      </c>
      <c r="W429" s="107">
        <f t="shared" si="444"/>
        <v>989459.08000000031</v>
      </c>
      <c r="X429" s="107">
        <f t="shared" si="445"/>
        <v>981144.29428571463</v>
      </c>
      <c r="Y429" s="107">
        <f t="shared" si="446"/>
        <v>972829.50857142895</v>
      </c>
      <c r="Z429" s="107">
        <f t="shared" si="447"/>
        <v>964514.72285714326</v>
      </c>
      <c r="AA429" s="107">
        <f t="shared" si="435"/>
        <v>22316.875617142861</v>
      </c>
      <c r="AB429" s="107"/>
      <c r="AC429" s="107">
        <f t="shared" si="448"/>
        <v>99777.428571428565</v>
      </c>
      <c r="AD429" s="107">
        <f t="shared" si="449"/>
        <v>956199.93714285758</v>
      </c>
      <c r="AE429" s="107">
        <f t="shared" si="450"/>
        <v>947885.1514285719</v>
      </c>
      <c r="AF429" s="107">
        <f t="shared" si="451"/>
        <v>939570.36571428622</v>
      </c>
      <c r="AG429" s="107">
        <f t="shared" si="452"/>
        <v>931255.58000000054</v>
      </c>
      <c r="AH429" s="107">
        <f t="shared" si="453"/>
        <v>922940.79428571486</v>
      </c>
      <c r="AI429" s="107">
        <f t="shared" si="454"/>
        <v>914626.00857142918</v>
      </c>
      <c r="AJ429" s="107">
        <f t="shared" si="455"/>
        <v>906311.2228571435</v>
      </c>
      <c r="AK429" s="107">
        <f t="shared" si="456"/>
        <v>897996.43714285782</v>
      </c>
      <c r="AL429" s="107">
        <f t="shared" si="457"/>
        <v>889681.65142857214</v>
      </c>
      <c r="AM429" s="107">
        <f t="shared" si="458"/>
        <v>881366.86571428645</v>
      </c>
      <c r="AN429" s="107">
        <f t="shared" si="459"/>
        <v>873052.08000000077</v>
      </c>
      <c r="AO429" s="107">
        <f t="shared" si="460"/>
        <v>864737.29428571509</v>
      </c>
      <c r="AP429" s="107">
        <f t="shared" si="436"/>
        <v>20121.772188571442</v>
      </c>
      <c r="AQ429" s="126"/>
      <c r="AR429" s="107">
        <f t="shared" si="461"/>
        <v>99777.428571428565</v>
      </c>
      <c r="AS429" s="107">
        <f>AO429-M429</f>
        <v>856422.50857142941</v>
      </c>
      <c r="AT429" s="107">
        <f>AS429-M429</f>
        <v>848107.72285714373</v>
      </c>
      <c r="AU429" s="107">
        <f>AT429-M429</f>
        <v>839792.93714285805</v>
      </c>
      <c r="AV429" s="107">
        <f>AU429-M429</f>
        <v>831478.15142857237</v>
      </c>
      <c r="AW429" s="107">
        <f>AV429-M429</f>
        <v>823163.36571428669</v>
      </c>
      <c r="AX429" s="107">
        <f>AW429-M429</f>
        <v>814848.58000000101</v>
      </c>
      <c r="AY429" s="107">
        <f>AX429-M429</f>
        <v>806533.79428571532</v>
      </c>
      <c r="AZ429" s="107">
        <f>AY429-M429</f>
        <v>798219.00857142964</v>
      </c>
      <c r="BA429" s="107">
        <f>AZ429-M429</f>
        <v>789904.22285714396</v>
      </c>
      <c r="BB429" s="107">
        <f>BA429-M429</f>
        <v>781589.43714285828</v>
      </c>
      <c r="BC429" s="107">
        <f>BB429-M429</f>
        <v>773274.6514285726</v>
      </c>
      <c r="BD429" s="107">
        <f>BC429-M429</f>
        <v>764959.86571428692</v>
      </c>
      <c r="BE429" s="107">
        <f t="shared" si="437"/>
        <v>17926.668760000022</v>
      </c>
      <c r="BF429" s="127"/>
      <c r="BG429" s="127"/>
      <c r="BH429" s="127"/>
      <c r="BI429" s="127"/>
      <c r="BJ429" s="127"/>
      <c r="BK429" s="127"/>
      <c r="BL429" s="127"/>
      <c r="BM429" s="127"/>
      <c r="BN429" s="127"/>
      <c r="BO429" s="127"/>
      <c r="BP429" s="127"/>
      <c r="BQ429" s="127"/>
      <c r="BR429" s="127"/>
      <c r="BS429" s="127"/>
      <c r="BT429" s="127"/>
      <c r="BU429" s="127"/>
      <c r="BV429" s="127"/>
      <c r="BW429" s="127"/>
    </row>
    <row r="430" spans="1:75" ht="22.5" hidden="1" x14ac:dyDescent="0.2">
      <c r="A430" s="123" t="str">
        <f>'[2]2021 УГРЦТ'!A432</f>
        <v>ТП №91 п. Мирный (КТП 6/0,4 кВ 1х400 кВа)</v>
      </c>
      <c r="B430" s="124" t="str">
        <f>'[2]2021 УГРЦТ'!B432</f>
        <v>000001491</v>
      </c>
      <c r="C430" s="124" t="str">
        <f>VLOOKUP(A:A,'2023-2027'!A:L,1,+FALSE)</f>
        <v>ТП №91 п. Мирный (КТП 6/0,4 кВ 1х400 кВа)</v>
      </c>
      <c r="D430" s="124" t="str">
        <f>'[2]2021 УГРЦТ'!C432</f>
        <v>ПЕРЕДАЧА</v>
      </c>
      <c r="E430" s="124" t="str">
        <f>'[2]2021 УГРЦТ'!D432</f>
        <v>Сооружения</v>
      </c>
      <c r="F430" s="124" t="str">
        <f>'[2]2021 УГРЦТ'!E432</f>
        <v>31.10.2012</v>
      </c>
      <c r="G430" s="124" t="str">
        <f>'[2]2021 УГРЦТ'!F432</f>
        <v>Цех электрических сетей</v>
      </c>
      <c r="H430" s="124">
        <f>'[2]2021 УГРЦТ'!AC432</f>
        <v>240</v>
      </c>
      <c r="I430" s="107">
        <v>1896964.52</v>
      </c>
      <c r="J430" s="107">
        <v>869442.18599999999</v>
      </c>
      <c r="K430" s="107">
        <v>1027522.334</v>
      </c>
      <c r="L430" s="125" t="e">
        <f>SUMIF([2]облаг!$B$2:$B$259,B430,[2]облаг!$D$2:$D$259)</f>
        <v>#VALUE!</v>
      </c>
      <c r="M430" s="107">
        <f t="shared" si="414"/>
        <v>7904.0188333333335</v>
      </c>
      <c r="N430" s="107">
        <f t="shared" si="415"/>
        <v>94848.225999999995</v>
      </c>
      <c r="O430" s="107">
        <f t="shared" si="416"/>
        <v>1019618.3151666668</v>
      </c>
      <c r="P430" s="107">
        <f t="shared" si="417"/>
        <v>1011714.2963333335</v>
      </c>
      <c r="Q430" s="107">
        <f t="shared" si="438"/>
        <v>1003810.2775000002</v>
      </c>
      <c r="R430" s="107">
        <f t="shared" si="439"/>
        <v>995906.25866666692</v>
      </c>
      <c r="S430" s="107">
        <f t="shared" si="440"/>
        <v>988002.23983333365</v>
      </c>
      <c r="T430" s="107">
        <f t="shared" si="441"/>
        <v>980098.22100000037</v>
      </c>
      <c r="U430" s="107">
        <f t="shared" si="442"/>
        <v>972194.20216666709</v>
      </c>
      <c r="V430" s="107">
        <f t="shared" si="443"/>
        <v>964290.18333333381</v>
      </c>
      <c r="W430" s="107">
        <f t="shared" si="444"/>
        <v>956386.16450000054</v>
      </c>
      <c r="X430" s="107">
        <f t="shared" si="445"/>
        <v>948482.14566666726</v>
      </c>
      <c r="Y430" s="107">
        <f t="shared" si="446"/>
        <v>940578.12683333398</v>
      </c>
      <c r="Z430" s="107">
        <f t="shared" si="447"/>
        <v>932674.10800000071</v>
      </c>
      <c r="AA430" s="107">
        <f t="shared" si="435"/>
        <v>21562.160862000012</v>
      </c>
      <c r="AB430" s="107"/>
      <c r="AC430" s="107">
        <f t="shared" si="448"/>
        <v>94848.225999999995</v>
      </c>
      <c r="AD430" s="107">
        <f t="shared" si="449"/>
        <v>924770.08916666743</v>
      </c>
      <c r="AE430" s="107">
        <f t="shared" si="450"/>
        <v>916866.07033333415</v>
      </c>
      <c r="AF430" s="107">
        <f t="shared" si="451"/>
        <v>908962.05150000087</v>
      </c>
      <c r="AG430" s="107">
        <f t="shared" si="452"/>
        <v>901058.0326666676</v>
      </c>
      <c r="AH430" s="107">
        <f t="shared" si="453"/>
        <v>893154.01383333432</v>
      </c>
      <c r="AI430" s="107">
        <f t="shared" si="454"/>
        <v>885249.99500000104</v>
      </c>
      <c r="AJ430" s="107">
        <f t="shared" si="455"/>
        <v>877345.97616666777</v>
      </c>
      <c r="AK430" s="107">
        <f t="shared" si="456"/>
        <v>869441.95733333449</v>
      </c>
      <c r="AL430" s="107">
        <f t="shared" si="457"/>
        <v>861537.93850000121</v>
      </c>
      <c r="AM430" s="107">
        <f t="shared" si="458"/>
        <v>853633.91966666793</v>
      </c>
      <c r="AN430" s="107">
        <f t="shared" si="459"/>
        <v>845729.90083333466</v>
      </c>
      <c r="AO430" s="107">
        <f t="shared" si="460"/>
        <v>837825.88200000138</v>
      </c>
      <c r="AP430" s="107">
        <f t="shared" si="436"/>
        <v>19475.499890000021</v>
      </c>
      <c r="AQ430" s="126"/>
      <c r="AR430" s="107">
        <f t="shared" si="461"/>
        <v>94848.225999999995</v>
      </c>
      <c r="AS430" s="107">
        <f>AO430-M430</f>
        <v>829921.8631666681</v>
      </c>
      <c r="AT430" s="107">
        <f>AS430-M430</f>
        <v>822017.84433333483</v>
      </c>
      <c r="AU430" s="107">
        <f>AT430-M430</f>
        <v>814113.82550000155</v>
      </c>
      <c r="AV430" s="107">
        <f>AU430-M430</f>
        <v>806209.80666666827</v>
      </c>
      <c r="AW430" s="107">
        <f>AV430-M430</f>
        <v>798305.78783333499</v>
      </c>
      <c r="AX430" s="107">
        <f>AW430-M430</f>
        <v>790401.76900000172</v>
      </c>
      <c r="AY430" s="107">
        <f>AX430-M430</f>
        <v>782497.75016666844</v>
      </c>
      <c r="AZ430" s="107">
        <f>AY430-M430</f>
        <v>774593.73133333516</v>
      </c>
      <c r="BA430" s="107">
        <f>AZ430-M430</f>
        <v>766689.71250000189</v>
      </c>
      <c r="BB430" s="107">
        <f>BA430-M430</f>
        <v>758785.69366666861</v>
      </c>
      <c r="BC430" s="107">
        <f>BB430-M430</f>
        <v>750881.67483333533</v>
      </c>
      <c r="BD430" s="107">
        <f>BC430-M430</f>
        <v>742977.65600000205</v>
      </c>
      <c r="BE430" s="107">
        <f t="shared" si="437"/>
        <v>17388.838918000038</v>
      </c>
      <c r="BF430" s="127"/>
      <c r="BG430" s="127"/>
      <c r="BH430" s="127"/>
      <c r="BI430" s="127"/>
      <c r="BJ430" s="127"/>
      <c r="BK430" s="127"/>
      <c r="BL430" s="127"/>
      <c r="BM430" s="127"/>
      <c r="BN430" s="127"/>
      <c r="BO430" s="127"/>
      <c r="BP430" s="127"/>
      <c r="BQ430" s="127"/>
      <c r="BR430" s="127"/>
      <c r="BS430" s="127"/>
      <c r="BT430" s="127"/>
      <c r="BU430" s="127"/>
      <c r="BV430" s="127"/>
      <c r="BW430" s="127"/>
    </row>
    <row r="431" spans="1:75" ht="22.5" hidden="1" x14ac:dyDescent="0.2">
      <c r="A431" s="123" t="str">
        <f>'[2]2021 УГРЦТ'!A433</f>
        <v>ТП №98"Ледовый дворец" ул.Калмыкова 2011г</v>
      </c>
      <c r="B431" s="124" t="str">
        <f>'[2]2021 УГРЦТ'!B433</f>
        <v>00001348</v>
      </c>
      <c r="C431" s="124" t="str">
        <f>VLOOKUP(A:A,'2023-2027'!A:L,1,+FALSE)</f>
        <v>ТП №98"Ледовый дворец" ул.Калмыкова 2011г</v>
      </c>
      <c r="D431" s="124" t="str">
        <f>'[2]2021 УГРЦТ'!C433</f>
        <v>ПЕРЕДАЧА</v>
      </c>
      <c r="E431" s="124" t="str">
        <f>'[2]2021 УГРЦТ'!D433</f>
        <v>Здания</v>
      </c>
      <c r="F431" s="124" t="str">
        <f>'[2]2021 УГРЦТ'!E433</f>
        <v>17.02.2011</v>
      </c>
      <c r="G431" s="124" t="str">
        <f>'[2]2021 УГРЦТ'!F433</f>
        <v>Цех электрических сетей</v>
      </c>
      <c r="H431" s="124">
        <f>'[2]2021 УГРЦТ'!AC433</f>
        <v>240</v>
      </c>
      <c r="I431" s="107">
        <v>2329176.9</v>
      </c>
      <c r="J431" s="107">
        <v>1261637.0449999999</v>
      </c>
      <c r="K431" s="107">
        <v>1067539.855</v>
      </c>
      <c r="L431" s="125" t="e">
        <f>SUMIF([2]облаг!$B$2:$B$259,B431,[2]облаг!$D$2:$D$259)</f>
        <v>#VALUE!</v>
      </c>
      <c r="M431" s="107">
        <f t="shared" si="414"/>
        <v>9704.9037499999995</v>
      </c>
      <c r="N431" s="107">
        <f t="shared" si="415"/>
        <v>116458.845</v>
      </c>
      <c r="O431" s="107">
        <f t="shared" si="416"/>
        <v>1057834.9512499999</v>
      </c>
      <c r="P431" s="107">
        <f t="shared" si="417"/>
        <v>1048130.0474999999</v>
      </c>
      <c r="Q431" s="107">
        <f t="shared" si="438"/>
        <v>1038425.1437499998</v>
      </c>
      <c r="R431" s="107">
        <f t="shared" si="439"/>
        <v>1028720.2399999998</v>
      </c>
      <c r="S431" s="107">
        <f t="shared" si="440"/>
        <v>1019015.3362499997</v>
      </c>
      <c r="T431" s="107">
        <f t="shared" si="441"/>
        <v>1009310.4324999996</v>
      </c>
      <c r="U431" s="107">
        <f t="shared" si="442"/>
        <v>999605.52874999959</v>
      </c>
      <c r="V431" s="107">
        <f t="shared" si="443"/>
        <v>989900.62499999953</v>
      </c>
      <c r="W431" s="107">
        <f t="shared" si="444"/>
        <v>980195.72124999948</v>
      </c>
      <c r="X431" s="107">
        <f t="shared" si="445"/>
        <v>970490.81749999942</v>
      </c>
      <c r="Y431" s="107">
        <f t="shared" si="446"/>
        <v>960785.91374999937</v>
      </c>
      <c r="Z431" s="107">
        <f t="shared" si="447"/>
        <v>951081.00999999931</v>
      </c>
      <c r="AA431" s="107">
        <f t="shared" si="435"/>
        <v>22204.829514999994</v>
      </c>
      <c r="AB431" s="107"/>
      <c r="AC431" s="107">
        <f t="shared" si="448"/>
        <v>116458.845</v>
      </c>
      <c r="AD431" s="107">
        <f t="shared" si="449"/>
        <v>941376.10624999925</v>
      </c>
      <c r="AE431" s="107">
        <f t="shared" si="450"/>
        <v>931671.2024999992</v>
      </c>
      <c r="AF431" s="107">
        <f t="shared" si="451"/>
        <v>921966.29874999914</v>
      </c>
      <c r="AG431" s="107">
        <f t="shared" si="452"/>
        <v>912261.39499999909</v>
      </c>
      <c r="AH431" s="107">
        <f t="shared" si="453"/>
        <v>902556.49124999903</v>
      </c>
      <c r="AI431" s="107">
        <f t="shared" si="454"/>
        <v>892851.58749999898</v>
      </c>
      <c r="AJ431" s="107">
        <f t="shared" si="455"/>
        <v>883146.68374999892</v>
      </c>
      <c r="AK431" s="107">
        <f t="shared" si="456"/>
        <v>873441.77999999886</v>
      </c>
      <c r="AL431" s="107">
        <f t="shared" si="457"/>
        <v>863736.87624999881</v>
      </c>
      <c r="AM431" s="107">
        <f t="shared" si="458"/>
        <v>854031.97249999875</v>
      </c>
      <c r="AN431" s="107">
        <f t="shared" si="459"/>
        <v>844327.0687499987</v>
      </c>
      <c r="AO431" s="107">
        <f t="shared" si="460"/>
        <v>834622.16499999864</v>
      </c>
      <c r="AP431" s="107">
        <f t="shared" si="436"/>
        <v>19642.734924999975</v>
      </c>
      <c r="AQ431" s="126"/>
      <c r="AR431" s="107">
        <f t="shared" si="461"/>
        <v>116458.845</v>
      </c>
      <c r="AS431" s="107">
        <f>AO431-M431</f>
        <v>824917.26124999858</v>
      </c>
      <c r="AT431" s="107">
        <f>AS431-M431</f>
        <v>815212.35749999853</v>
      </c>
      <c r="AU431" s="107">
        <f>AT431-M431</f>
        <v>805507.45374999847</v>
      </c>
      <c r="AV431" s="107">
        <f>AU431-M431</f>
        <v>795802.54999999842</v>
      </c>
      <c r="AW431" s="107">
        <f>AV431-M431</f>
        <v>786097.64624999836</v>
      </c>
      <c r="AX431" s="107">
        <f>AW431-M431</f>
        <v>776392.7424999983</v>
      </c>
      <c r="AY431" s="107">
        <f>AX431-M431</f>
        <v>766687.83874999825</v>
      </c>
      <c r="AZ431" s="107">
        <f>AY431-M431</f>
        <v>756982.93499999819</v>
      </c>
      <c r="BA431" s="107">
        <f>AZ431-M431</f>
        <v>747278.03124999814</v>
      </c>
      <c r="BB431" s="107">
        <f>BA431-M431</f>
        <v>737573.12749999808</v>
      </c>
      <c r="BC431" s="107">
        <f>BB431-M431</f>
        <v>727868.22374999803</v>
      </c>
      <c r="BD431" s="107">
        <f>BC431-M431</f>
        <v>718163.31999999797</v>
      </c>
      <c r="BE431" s="107">
        <f t="shared" si="437"/>
        <v>17080.640334999964</v>
      </c>
      <c r="BF431" s="127"/>
      <c r="BG431" s="127"/>
      <c r="BH431" s="127"/>
      <c r="BI431" s="127"/>
      <c r="BJ431" s="127"/>
      <c r="BK431" s="127"/>
      <c r="BL431" s="127"/>
      <c r="BM431" s="127"/>
      <c r="BN431" s="127"/>
      <c r="BO431" s="127"/>
      <c r="BP431" s="127"/>
      <c r="BQ431" s="127"/>
      <c r="BR431" s="127"/>
      <c r="BS431" s="127"/>
      <c r="BT431" s="127"/>
      <c r="BU431" s="127"/>
      <c r="BV431" s="127"/>
      <c r="BW431" s="127"/>
    </row>
    <row r="432" spans="1:75" ht="33.75" hidden="1" x14ac:dyDescent="0.2">
      <c r="A432" s="123" t="str">
        <f>'[2]2021 УГРЦТ'!A434</f>
        <v>Трактор ХТЗ-150К-09 с оборудованием бурильно-крановым</v>
      </c>
      <c r="B432" s="124" t="str">
        <f>'[2]2021 УГРЦТ'!B434</f>
        <v>000001654</v>
      </c>
      <c r="C432" s="124" t="str">
        <f>VLOOKUP(A:A,'2023-2027'!A:L,1,+FALSE)</f>
        <v>Трактор ХТЗ-150К-09 с оборудованием бурильно-крановым</v>
      </c>
      <c r="D432" s="124" t="str">
        <f>'[2]2021 УГРЦТ'!C434</f>
        <v>ПЕРЕДАЧА</v>
      </c>
      <c r="E432" s="124" t="str">
        <f>'[2]2021 УГРЦТ'!D434</f>
        <v>Транспортные средства</v>
      </c>
      <c r="F432" s="124" t="str">
        <f>'[2]2021 УГРЦТ'!E434</f>
        <v>16.03.2015</v>
      </c>
      <c r="G432" s="124" t="str">
        <f>'[2]2021 УГРЦТ'!F434</f>
        <v>Автотранспортный цех</v>
      </c>
      <c r="H432" s="124">
        <f>'[2]2021 УГРЦТ'!AC434</f>
        <v>82</v>
      </c>
      <c r="I432" s="107">
        <f>'[2]2021 УГРЦТ'!X434</f>
        <v>86602.39</v>
      </c>
      <c r="J432" s="107">
        <f>'[2]2021 УГРЦТ'!Y434</f>
        <v>85546.490487804884</v>
      </c>
      <c r="K432" s="107">
        <f>'[2]2021 УГРЦТ'!Z434</f>
        <v>1055.8995121951157</v>
      </c>
      <c r="L432" s="125" t="e">
        <f>SUMIF([2]облаг!$B$2:$B$259,B432,[2]облаг!$D$2:$D$259)</f>
        <v>#VALUE!</v>
      </c>
      <c r="M432" s="107">
        <f t="shared" si="414"/>
        <v>1056.1267073170732</v>
      </c>
      <c r="N432" s="107">
        <v>0</v>
      </c>
      <c r="O432" s="107">
        <v>0</v>
      </c>
      <c r="P432" s="107">
        <v>0</v>
      </c>
      <c r="Q432" s="107">
        <v>0</v>
      </c>
      <c r="R432" s="107">
        <v>0</v>
      </c>
      <c r="S432" s="107">
        <v>0</v>
      </c>
      <c r="T432" s="107">
        <v>0</v>
      </c>
      <c r="U432" s="107">
        <v>0</v>
      </c>
      <c r="V432" s="107">
        <v>0</v>
      </c>
      <c r="W432" s="107">
        <v>0</v>
      </c>
      <c r="X432" s="107">
        <v>0</v>
      </c>
      <c r="Y432" s="107">
        <v>0</v>
      </c>
      <c r="Z432" s="107">
        <v>0</v>
      </c>
      <c r="AA432" s="107"/>
      <c r="AB432" s="107"/>
      <c r="AC432" s="107">
        <f>O432</f>
        <v>0</v>
      </c>
      <c r="AD432" s="107">
        <v>0</v>
      </c>
      <c r="AE432" s="107">
        <v>0</v>
      </c>
      <c r="AF432" s="107">
        <v>0</v>
      </c>
      <c r="AG432" s="107">
        <v>0</v>
      </c>
      <c r="AH432" s="107">
        <v>0</v>
      </c>
      <c r="AI432" s="107">
        <v>0</v>
      </c>
      <c r="AJ432" s="107">
        <v>0</v>
      </c>
      <c r="AK432" s="107">
        <v>0</v>
      </c>
      <c r="AL432" s="107">
        <v>0</v>
      </c>
      <c r="AM432" s="107">
        <v>0</v>
      </c>
      <c r="AN432" s="107">
        <v>0</v>
      </c>
      <c r="AO432" s="107">
        <v>0</v>
      </c>
      <c r="AP432" s="107"/>
      <c r="AQ432" s="126"/>
      <c r="AR432" s="107">
        <v>0</v>
      </c>
      <c r="AS432" s="107">
        <v>0</v>
      </c>
      <c r="AT432" s="107">
        <v>0</v>
      </c>
      <c r="AU432" s="107">
        <v>0</v>
      </c>
      <c r="AV432" s="107">
        <v>0</v>
      </c>
      <c r="AW432" s="107">
        <v>0</v>
      </c>
      <c r="AX432" s="107">
        <v>0</v>
      </c>
      <c r="AY432" s="107">
        <v>0</v>
      </c>
      <c r="AZ432" s="107">
        <v>0</v>
      </c>
      <c r="BA432" s="107">
        <v>0</v>
      </c>
      <c r="BB432" s="107">
        <v>0</v>
      </c>
      <c r="BC432" s="107">
        <v>0</v>
      </c>
      <c r="BD432" s="107">
        <v>0</v>
      </c>
      <c r="BE432" s="124"/>
      <c r="BI432" s="127"/>
    </row>
    <row r="433" spans="1:75" ht="22.5" hidden="1" x14ac:dyDescent="0.2">
      <c r="A433" s="123" t="str">
        <f>'[2]2021 УГРЦТ'!A435</f>
        <v>Трансформатор масляный ТМГ 250/6/0,4 Y/Yн-0 №0568</v>
      </c>
      <c r="B433" s="124" t="str">
        <f>'[2]2021 УГРЦТ'!B435</f>
        <v>00001252</v>
      </c>
      <c r="C433" s="124" t="str">
        <f>VLOOKUP(A:A,'2023-2027'!A:L,1,+FALSE)</f>
        <v>Трансформатор масляный ТМГ 250/6/0,4 Y/Yн-0 №0568</v>
      </c>
      <c r="D433" s="124" t="str">
        <f>'[2]2021 УГРЦТ'!C435</f>
        <v>ПЕРЕДАЧА</v>
      </c>
      <c r="E433" s="124" t="str">
        <f>'[2]2021 УГРЦТ'!D435</f>
        <v>Машины и оборудование (кроме офисного)</v>
      </c>
      <c r="F433" s="124" t="str">
        <f>'[2]2021 УГРЦТ'!E435</f>
        <v>31.10.2010</v>
      </c>
      <c r="G433" s="124" t="str">
        <f>'[2]2021 УГРЦТ'!F435</f>
        <v>Цех электрических сетей</v>
      </c>
      <c r="H433" s="124">
        <f>'[2]2021 УГРЦТ'!AC435</f>
        <v>240</v>
      </c>
      <c r="I433" s="107">
        <f>'[2]2021 УГРЦТ'!X435</f>
        <v>153626.57999999999</v>
      </c>
      <c r="J433" s="107">
        <f>'[2]2021 УГРЦТ'!Y435</f>
        <v>85774.748999999996</v>
      </c>
      <c r="K433" s="107">
        <f>'[2]2021 УГРЦТ'!Z435</f>
        <v>67851.830999999991</v>
      </c>
      <c r="L433" s="125" t="e">
        <f>SUMIF([2]облаг!$B$2:$B$259,B433,[2]облаг!$D$2:$D$259)</f>
        <v>#VALUE!</v>
      </c>
      <c r="M433" s="107">
        <f t="shared" si="414"/>
        <v>640.11074999999994</v>
      </c>
      <c r="N433" s="107">
        <f t="shared" si="415"/>
        <v>7681.3289999999997</v>
      </c>
      <c r="O433" s="107">
        <f t="shared" si="416"/>
        <v>67211.720249999984</v>
      </c>
      <c r="P433" s="107">
        <f t="shared" si="417"/>
        <v>66571.609499999977</v>
      </c>
      <c r="Q433" s="107">
        <f t="shared" si="438"/>
        <v>65931.49874999997</v>
      </c>
      <c r="R433" s="107">
        <f t="shared" si="439"/>
        <v>65291.38799999997</v>
      </c>
      <c r="S433" s="107">
        <f t="shared" si="440"/>
        <v>64651.27724999997</v>
      </c>
      <c r="T433" s="107">
        <f t="shared" si="441"/>
        <v>64011.16649999997</v>
      </c>
      <c r="U433" s="107">
        <f t="shared" si="442"/>
        <v>63371.05574999997</v>
      </c>
      <c r="V433" s="107">
        <f t="shared" si="443"/>
        <v>62730.944999999971</v>
      </c>
      <c r="W433" s="107">
        <f t="shared" si="444"/>
        <v>62090.834249999971</v>
      </c>
      <c r="X433" s="107">
        <f t="shared" si="445"/>
        <v>61450.723499999971</v>
      </c>
      <c r="Y433" s="107">
        <f t="shared" si="446"/>
        <v>60810.612749999971</v>
      </c>
      <c r="Z433" s="107">
        <f t="shared" si="447"/>
        <v>60170.501999999971</v>
      </c>
      <c r="AA433" s="107"/>
      <c r="AB433" s="107"/>
      <c r="AC433" s="107">
        <f t="shared" si="448"/>
        <v>7681.3289999999997</v>
      </c>
      <c r="AD433" s="107">
        <f t="shared" si="449"/>
        <v>59530.391249999971</v>
      </c>
      <c r="AE433" s="107">
        <f t="shared" si="450"/>
        <v>58890.280499999972</v>
      </c>
      <c r="AF433" s="107">
        <f t="shared" si="451"/>
        <v>58250.169749999972</v>
      </c>
      <c r="AG433" s="107">
        <f t="shared" si="452"/>
        <v>57610.058999999972</v>
      </c>
      <c r="AH433" s="107">
        <f t="shared" si="453"/>
        <v>56969.948249999972</v>
      </c>
      <c r="AI433" s="107">
        <f t="shared" si="454"/>
        <v>56329.837499999972</v>
      </c>
      <c r="AJ433" s="107">
        <f t="shared" si="455"/>
        <v>55689.726749999973</v>
      </c>
      <c r="AK433" s="107">
        <f t="shared" si="456"/>
        <v>55049.615999999973</v>
      </c>
      <c r="AL433" s="107">
        <f t="shared" si="457"/>
        <v>54409.505249999973</v>
      </c>
      <c r="AM433" s="107">
        <f t="shared" si="458"/>
        <v>53769.394499999973</v>
      </c>
      <c r="AN433" s="107">
        <f t="shared" si="459"/>
        <v>53129.283749999973</v>
      </c>
      <c r="AO433" s="107">
        <f t="shared" si="460"/>
        <v>52489.172999999973</v>
      </c>
      <c r="AP433" s="107"/>
      <c r="AQ433" s="126"/>
      <c r="AR433" s="107">
        <f t="shared" si="461"/>
        <v>7681.3289999999997</v>
      </c>
      <c r="AS433" s="107">
        <f>AO433-M433</f>
        <v>51849.062249999974</v>
      </c>
      <c r="AT433" s="107">
        <f>AS433-M433</f>
        <v>51208.951499999974</v>
      </c>
      <c r="AU433" s="107">
        <f>AT433-M433</f>
        <v>50568.840749999974</v>
      </c>
      <c r="AV433" s="107">
        <f>AU433-M433</f>
        <v>49928.729999999974</v>
      </c>
      <c r="AW433" s="107">
        <f>AV433-M433</f>
        <v>49288.619249999974</v>
      </c>
      <c r="AX433" s="107">
        <f>AW433-M433</f>
        <v>48648.508499999974</v>
      </c>
      <c r="AY433" s="107">
        <f>AX433-M433</f>
        <v>48008.397749999975</v>
      </c>
      <c r="AZ433" s="107">
        <f>AY433-M433</f>
        <v>47368.286999999975</v>
      </c>
      <c r="BA433" s="107">
        <f>AZ433-M433</f>
        <v>46728.176249999975</v>
      </c>
      <c r="BB433" s="107">
        <f>BA433-M433</f>
        <v>46088.065499999975</v>
      </c>
      <c r="BC433" s="107">
        <f>BB433-M433</f>
        <v>45447.954749999975</v>
      </c>
      <c r="BD433" s="107">
        <f>BC433-M433</f>
        <v>44807.843999999975</v>
      </c>
      <c r="BE433" s="107"/>
      <c r="BF433" s="127"/>
      <c r="BG433" s="127"/>
      <c r="BH433" s="127"/>
      <c r="BI433" s="127"/>
      <c r="BJ433" s="127"/>
      <c r="BK433" s="127"/>
      <c r="BL433" s="127"/>
      <c r="BM433" s="127"/>
      <c r="BN433" s="127"/>
      <c r="BO433" s="127"/>
      <c r="BP433" s="127"/>
      <c r="BQ433" s="127"/>
      <c r="BR433" s="127"/>
      <c r="BS433" s="127"/>
      <c r="BT433" s="127"/>
      <c r="BU433" s="127"/>
      <c r="BV433" s="127"/>
      <c r="BW433" s="127"/>
    </row>
    <row r="434" spans="1:75" ht="22.5" hidden="1" x14ac:dyDescent="0.2">
      <c r="A434" s="123" t="str">
        <f>'[2]2021 УГРЦТ'!A436</f>
        <v>Трансформатор масляный ТМГ 400/6/0,4У/Ун-0 зав.№1478</v>
      </c>
      <c r="B434" s="124" t="str">
        <f>'[2]2021 УГРЦТ'!B436</f>
        <v>00001350</v>
      </c>
      <c r="C434" s="124" t="str">
        <f>VLOOKUP(A:A,'2023-2027'!A:L,1,+FALSE)</f>
        <v>Трансформатор масляный ТМГ 400/6/0,4У/Ун-0 зав.№1478</v>
      </c>
      <c r="D434" s="124" t="str">
        <f>'[2]2021 УГРЦТ'!C436</f>
        <v>ПЕРЕДАЧА</v>
      </c>
      <c r="E434" s="124" t="str">
        <f>'[2]2021 УГРЦТ'!D436</f>
        <v>Машины и оборудование (кроме офисного)</v>
      </c>
      <c r="F434" s="124" t="str">
        <f>'[2]2021 УГРЦТ'!E436</f>
        <v>15.03.2011</v>
      </c>
      <c r="G434" s="124" t="str">
        <f>'[2]2021 УГРЦТ'!F436</f>
        <v>Цех электрических сетей</v>
      </c>
      <c r="H434" s="124">
        <f>'[2]2021 УГРЦТ'!AC436</f>
        <v>240</v>
      </c>
      <c r="I434" s="107">
        <f>'[2]2021 УГРЦТ'!X436</f>
        <v>205002.26</v>
      </c>
      <c r="J434" s="107">
        <f>'[2]2021 УГРЦТ'!Y436</f>
        <v>110189.173</v>
      </c>
      <c r="K434" s="107">
        <f>'[2]2021 УГРЦТ'!Z436</f>
        <v>94813.087000000014</v>
      </c>
      <c r="L434" s="125" t="e">
        <f>SUMIF([2]облаг!$B$2:$B$259,B434,[2]облаг!$D$2:$D$259)</f>
        <v>#VALUE!</v>
      </c>
      <c r="M434" s="107">
        <f t="shared" si="414"/>
        <v>854.17608333333339</v>
      </c>
      <c r="N434" s="107">
        <f t="shared" si="415"/>
        <v>10250.113000000001</v>
      </c>
      <c r="O434" s="107">
        <f t="shared" si="416"/>
        <v>93958.910916666675</v>
      </c>
      <c r="P434" s="107">
        <f t="shared" si="417"/>
        <v>93104.734833333336</v>
      </c>
      <c r="Q434" s="107">
        <f t="shared" si="438"/>
        <v>92250.558749999997</v>
      </c>
      <c r="R434" s="107">
        <f t="shared" si="439"/>
        <v>91396.382666666657</v>
      </c>
      <c r="S434" s="107">
        <f t="shared" si="440"/>
        <v>90542.206583333318</v>
      </c>
      <c r="T434" s="107">
        <f t="shared" si="441"/>
        <v>89688.030499999979</v>
      </c>
      <c r="U434" s="107">
        <f t="shared" si="442"/>
        <v>88833.85441666664</v>
      </c>
      <c r="V434" s="107">
        <f t="shared" si="443"/>
        <v>87979.678333333301</v>
      </c>
      <c r="W434" s="107">
        <f t="shared" si="444"/>
        <v>87125.502249999961</v>
      </c>
      <c r="X434" s="107">
        <f t="shared" si="445"/>
        <v>86271.326166666622</v>
      </c>
      <c r="Y434" s="107">
        <f t="shared" si="446"/>
        <v>85417.150083333283</v>
      </c>
      <c r="Z434" s="107">
        <f t="shared" si="447"/>
        <v>84562.973999999944</v>
      </c>
      <c r="AA434" s="107"/>
      <c r="AB434" s="107"/>
      <c r="AC434" s="107">
        <f t="shared" si="448"/>
        <v>10250.113000000001</v>
      </c>
      <c r="AD434" s="107">
        <f t="shared" si="449"/>
        <v>83708.797916666605</v>
      </c>
      <c r="AE434" s="107">
        <f t="shared" si="450"/>
        <v>82854.621833333265</v>
      </c>
      <c r="AF434" s="107">
        <f t="shared" si="451"/>
        <v>82000.445749999926</v>
      </c>
      <c r="AG434" s="107">
        <f t="shared" si="452"/>
        <v>81146.269666666587</v>
      </c>
      <c r="AH434" s="107">
        <f t="shared" si="453"/>
        <v>80292.093583333248</v>
      </c>
      <c r="AI434" s="107">
        <f t="shared" si="454"/>
        <v>79437.917499999909</v>
      </c>
      <c r="AJ434" s="107">
        <f t="shared" si="455"/>
        <v>78583.741416666569</v>
      </c>
      <c r="AK434" s="107">
        <f t="shared" si="456"/>
        <v>77729.56533333323</v>
      </c>
      <c r="AL434" s="107">
        <f t="shared" si="457"/>
        <v>76875.389249999891</v>
      </c>
      <c r="AM434" s="107">
        <f t="shared" si="458"/>
        <v>76021.213166666552</v>
      </c>
      <c r="AN434" s="107">
        <f t="shared" si="459"/>
        <v>75167.037083333213</v>
      </c>
      <c r="AO434" s="107">
        <f t="shared" si="460"/>
        <v>74312.860999999873</v>
      </c>
      <c r="AP434" s="107"/>
      <c r="AQ434" s="126"/>
      <c r="AR434" s="107">
        <f t="shared" si="461"/>
        <v>10250.113000000001</v>
      </c>
      <c r="AS434" s="107">
        <f>AO434-M434</f>
        <v>73458.684916666534</v>
      </c>
      <c r="AT434" s="107">
        <f>AS434-M434</f>
        <v>72604.508833333195</v>
      </c>
      <c r="AU434" s="107">
        <f>AT434-M434</f>
        <v>71750.332749999856</v>
      </c>
      <c r="AV434" s="107">
        <f>AU434-M434</f>
        <v>70896.156666666517</v>
      </c>
      <c r="AW434" s="107">
        <f>AV434-M434</f>
        <v>70041.980583333177</v>
      </c>
      <c r="AX434" s="107">
        <f>AW434-M434</f>
        <v>69187.804499999838</v>
      </c>
      <c r="AY434" s="107">
        <f>AX434-M434</f>
        <v>68333.628416666499</v>
      </c>
      <c r="AZ434" s="107">
        <f>AY434-M434</f>
        <v>67479.45233333316</v>
      </c>
      <c r="BA434" s="107">
        <f>AZ434-M434</f>
        <v>66625.276249999821</v>
      </c>
      <c r="BB434" s="107">
        <f>BA434-M434</f>
        <v>65771.100166666482</v>
      </c>
      <c r="BC434" s="107">
        <f>BB434-M434</f>
        <v>64916.92408333315</v>
      </c>
      <c r="BD434" s="107">
        <f>BC434-M434</f>
        <v>64062.747999999818</v>
      </c>
      <c r="BE434" s="107"/>
      <c r="BF434" s="127"/>
      <c r="BG434" s="127"/>
      <c r="BH434" s="127"/>
      <c r="BI434" s="127"/>
      <c r="BJ434" s="127"/>
      <c r="BK434" s="127"/>
      <c r="BL434" s="127"/>
      <c r="BM434" s="127"/>
      <c r="BN434" s="127"/>
      <c r="BO434" s="127"/>
      <c r="BP434" s="127"/>
      <c r="BQ434" s="127"/>
      <c r="BR434" s="127"/>
      <c r="BS434" s="127"/>
      <c r="BT434" s="127"/>
      <c r="BU434" s="127"/>
      <c r="BV434" s="127"/>
      <c r="BW434" s="127"/>
    </row>
    <row r="435" spans="1:75" ht="22.5" hidden="1" x14ac:dyDescent="0.2">
      <c r="A435" s="123" t="str">
        <f>'[2]2021 УГРЦТ'!A437</f>
        <v>Трансформатор масляный ТМГ 400/6/0,4У/Ун-0 зав.№1484</v>
      </c>
      <c r="B435" s="124" t="str">
        <f>'[2]2021 УГРЦТ'!B437</f>
        <v>00001351</v>
      </c>
      <c r="C435" s="124" t="str">
        <f>VLOOKUP(A:A,'2023-2027'!A:L,1,+FALSE)</f>
        <v>Трансформатор масляный ТМГ 400/6/0,4У/Ун-0 зав.№1484</v>
      </c>
      <c r="D435" s="124" t="str">
        <f>'[2]2021 УГРЦТ'!C437</f>
        <v>ПЕРЕДАЧА</v>
      </c>
      <c r="E435" s="124" t="str">
        <f>'[2]2021 УГРЦТ'!D437</f>
        <v>Машины и оборудование (кроме офисного)</v>
      </c>
      <c r="F435" s="124" t="str">
        <f>'[2]2021 УГРЦТ'!E437</f>
        <v>15.03.2011</v>
      </c>
      <c r="G435" s="124" t="str">
        <f>'[2]2021 УГРЦТ'!F437</f>
        <v>Цех электрических сетей</v>
      </c>
      <c r="H435" s="124">
        <f>'[2]2021 УГРЦТ'!AC437</f>
        <v>240</v>
      </c>
      <c r="I435" s="107">
        <f>'[2]2021 УГРЦТ'!X437</f>
        <v>205002.26</v>
      </c>
      <c r="J435" s="107">
        <f>'[2]2021 УГРЦТ'!Y437</f>
        <v>110189.173</v>
      </c>
      <c r="K435" s="107">
        <f>'[2]2021 УГРЦТ'!Z437</f>
        <v>94813.087000000014</v>
      </c>
      <c r="L435" s="125" t="e">
        <f>SUMIF([2]облаг!$B$2:$B$259,B435,[2]облаг!$D$2:$D$259)</f>
        <v>#VALUE!</v>
      </c>
      <c r="M435" s="107">
        <f t="shared" si="414"/>
        <v>854.17608333333339</v>
      </c>
      <c r="N435" s="107">
        <f t="shared" si="415"/>
        <v>10250.113000000001</v>
      </c>
      <c r="O435" s="107">
        <f t="shared" si="416"/>
        <v>93958.910916666675</v>
      </c>
      <c r="P435" s="107">
        <f t="shared" si="417"/>
        <v>93104.734833333336</v>
      </c>
      <c r="Q435" s="107">
        <f t="shared" si="438"/>
        <v>92250.558749999997</v>
      </c>
      <c r="R435" s="107">
        <f t="shared" si="439"/>
        <v>91396.382666666657</v>
      </c>
      <c r="S435" s="107">
        <f t="shared" si="440"/>
        <v>90542.206583333318</v>
      </c>
      <c r="T435" s="107">
        <f t="shared" si="441"/>
        <v>89688.030499999979</v>
      </c>
      <c r="U435" s="107">
        <f t="shared" si="442"/>
        <v>88833.85441666664</v>
      </c>
      <c r="V435" s="107">
        <f t="shared" si="443"/>
        <v>87979.678333333301</v>
      </c>
      <c r="W435" s="107">
        <f t="shared" si="444"/>
        <v>87125.502249999961</v>
      </c>
      <c r="X435" s="107">
        <f t="shared" si="445"/>
        <v>86271.326166666622</v>
      </c>
      <c r="Y435" s="107">
        <f t="shared" si="446"/>
        <v>85417.150083333283</v>
      </c>
      <c r="Z435" s="107">
        <f t="shared" si="447"/>
        <v>84562.973999999944</v>
      </c>
      <c r="AA435" s="107"/>
      <c r="AB435" s="107"/>
      <c r="AC435" s="107">
        <f t="shared" si="448"/>
        <v>10250.113000000001</v>
      </c>
      <c r="AD435" s="107">
        <f t="shared" si="449"/>
        <v>83708.797916666605</v>
      </c>
      <c r="AE435" s="107">
        <f t="shared" si="450"/>
        <v>82854.621833333265</v>
      </c>
      <c r="AF435" s="107">
        <f t="shared" si="451"/>
        <v>82000.445749999926</v>
      </c>
      <c r="AG435" s="107">
        <f t="shared" si="452"/>
        <v>81146.269666666587</v>
      </c>
      <c r="AH435" s="107">
        <f t="shared" si="453"/>
        <v>80292.093583333248</v>
      </c>
      <c r="AI435" s="107">
        <f t="shared" si="454"/>
        <v>79437.917499999909</v>
      </c>
      <c r="AJ435" s="107">
        <f t="shared" si="455"/>
        <v>78583.741416666569</v>
      </c>
      <c r="AK435" s="107">
        <f t="shared" si="456"/>
        <v>77729.56533333323</v>
      </c>
      <c r="AL435" s="107">
        <f t="shared" si="457"/>
        <v>76875.389249999891</v>
      </c>
      <c r="AM435" s="107">
        <f t="shared" si="458"/>
        <v>76021.213166666552</v>
      </c>
      <c r="AN435" s="107">
        <f t="shared" si="459"/>
        <v>75167.037083333213</v>
      </c>
      <c r="AO435" s="107">
        <f t="shared" si="460"/>
        <v>74312.860999999873</v>
      </c>
      <c r="AP435" s="107"/>
      <c r="AQ435" s="126"/>
      <c r="AR435" s="107">
        <f t="shared" si="461"/>
        <v>10250.113000000001</v>
      </c>
      <c r="AS435" s="107">
        <f>AO435-M435</f>
        <v>73458.684916666534</v>
      </c>
      <c r="AT435" s="107">
        <f>AS435-M435</f>
        <v>72604.508833333195</v>
      </c>
      <c r="AU435" s="107">
        <f>AT435-M435</f>
        <v>71750.332749999856</v>
      </c>
      <c r="AV435" s="107">
        <f>AU435-M435</f>
        <v>70896.156666666517</v>
      </c>
      <c r="AW435" s="107">
        <f>AV435-M435</f>
        <v>70041.980583333177</v>
      </c>
      <c r="AX435" s="107">
        <f>AW435-M435</f>
        <v>69187.804499999838</v>
      </c>
      <c r="AY435" s="107">
        <f>AX435-M435</f>
        <v>68333.628416666499</v>
      </c>
      <c r="AZ435" s="107">
        <f>AY435-M435</f>
        <v>67479.45233333316</v>
      </c>
      <c r="BA435" s="107">
        <f>AZ435-M435</f>
        <v>66625.276249999821</v>
      </c>
      <c r="BB435" s="107">
        <f>BA435-M435</f>
        <v>65771.100166666482</v>
      </c>
      <c r="BC435" s="107">
        <f>BB435-M435</f>
        <v>64916.92408333315</v>
      </c>
      <c r="BD435" s="107">
        <f>BC435-M435</f>
        <v>64062.747999999818</v>
      </c>
      <c r="BE435" s="107"/>
      <c r="BF435" s="127"/>
      <c r="BG435" s="127"/>
      <c r="BH435" s="127"/>
      <c r="BI435" s="127"/>
      <c r="BJ435" s="127"/>
      <c r="BK435" s="127"/>
      <c r="BL435" s="127"/>
      <c r="BM435" s="127"/>
      <c r="BN435" s="127"/>
      <c r="BO435" s="127"/>
      <c r="BP435" s="127"/>
      <c r="BQ435" s="127"/>
      <c r="BR435" s="127"/>
      <c r="BS435" s="127"/>
      <c r="BT435" s="127"/>
      <c r="BU435" s="127"/>
      <c r="BV435" s="127"/>
      <c r="BW435" s="127"/>
    </row>
    <row r="436" spans="1:75" ht="22.5" hidden="1" x14ac:dyDescent="0.2">
      <c r="A436" s="123" t="str">
        <f>'[2]2021 УГРЦТ'!A438</f>
        <v>Трансформатор МГ400/6 Ленина35б №1 1613837 Бела-сь</v>
      </c>
      <c r="B436" s="124" t="str">
        <f>'[2]2021 УГРЦТ'!B438</f>
        <v>00001124</v>
      </c>
      <c r="C436" s="124" t="str">
        <f>VLOOKUP(A:A,'2023-2027'!A:L,1,+FALSE)</f>
        <v>Трансформатор МГ400/6 Ленина35б №1 1613837 Бела-сь</v>
      </c>
      <c r="D436" s="124" t="str">
        <f>'[2]2021 УГРЦТ'!C438</f>
        <v>ПЕРЕДАЧА</v>
      </c>
      <c r="E436" s="124" t="str">
        <f>'[2]2021 УГРЦТ'!D438</f>
        <v>Машины и оборудование (кроме офисного)</v>
      </c>
      <c r="F436" s="124" t="str">
        <f>'[2]2021 УГРЦТ'!E438</f>
        <v>31.07.2009</v>
      </c>
      <c r="G436" s="124" t="str">
        <f>'[2]2021 УГРЦТ'!F438</f>
        <v>Цех электрических сетей</v>
      </c>
      <c r="H436" s="124">
        <f>'[2]2021 УГРЦТ'!AC438</f>
        <v>180</v>
      </c>
      <c r="I436" s="107">
        <f>'[2]2021 УГРЦТ'!X438</f>
        <v>232247.67</v>
      </c>
      <c r="J436" s="107">
        <f>'[2]2021 УГРЦТ'!Y438</f>
        <v>192248.79799999998</v>
      </c>
      <c r="K436" s="107">
        <f>'[2]2021 УГРЦТ'!Z438</f>
        <v>39998.872000000032</v>
      </c>
      <c r="L436" s="125" t="e">
        <f>SUMIF([2]облаг!$B$2:$B$259,B436,[2]облаг!$D$2:$D$259)</f>
        <v>#VALUE!</v>
      </c>
      <c r="M436" s="107">
        <f t="shared" si="414"/>
        <v>1290.2648333333334</v>
      </c>
      <c r="N436" s="107">
        <f t="shared" si="415"/>
        <v>15483.178</v>
      </c>
      <c r="O436" s="107">
        <f t="shared" si="416"/>
        <v>38708.607166666698</v>
      </c>
      <c r="P436" s="107">
        <f t="shared" si="417"/>
        <v>37418.342333333363</v>
      </c>
      <c r="Q436" s="107">
        <f t="shared" si="438"/>
        <v>36128.077500000029</v>
      </c>
      <c r="R436" s="107">
        <f t="shared" si="439"/>
        <v>34837.812666666694</v>
      </c>
      <c r="S436" s="107">
        <f t="shared" si="440"/>
        <v>33547.547833333359</v>
      </c>
      <c r="T436" s="107">
        <f t="shared" si="441"/>
        <v>32257.283000000025</v>
      </c>
      <c r="U436" s="107">
        <f t="shared" si="442"/>
        <v>30967.01816666669</v>
      </c>
      <c r="V436" s="107">
        <f t="shared" si="443"/>
        <v>29676.753333333356</v>
      </c>
      <c r="W436" s="107">
        <f t="shared" si="444"/>
        <v>28386.488500000021</v>
      </c>
      <c r="X436" s="107">
        <f t="shared" si="445"/>
        <v>27096.223666666687</v>
      </c>
      <c r="Y436" s="107">
        <f t="shared" si="446"/>
        <v>25805.958833333352</v>
      </c>
      <c r="Z436" s="107">
        <f t="shared" si="447"/>
        <v>24515.694000000018</v>
      </c>
      <c r="AA436" s="107"/>
      <c r="AB436" s="107"/>
      <c r="AC436" s="107">
        <f t="shared" si="448"/>
        <v>15483.178</v>
      </c>
      <c r="AD436" s="107">
        <f t="shared" si="449"/>
        <v>23225.429166666683</v>
      </c>
      <c r="AE436" s="107">
        <f t="shared" si="450"/>
        <v>21935.164333333349</v>
      </c>
      <c r="AF436" s="107">
        <f t="shared" si="451"/>
        <v>20644.899500000014</v>
      </c>
      <c r="AG436" s="107">
        <f t="shared" si="452"/>
        <v>19354.63466666668</v>
      </c>
      <c r="AH436" s="107">
        <f t="shared" si="453"/>
        <v>18064.369833333345</v>
      </c>
      <c r="AI436" s="107">
        <f t="shared" si="454"/>
        <v>16774.10500000001</v>
      </c>
      <c r="AJ436" s="107">
        <f t="shared" si="455"/>
        <v>15483.840166666678</v>
      </c>
      <c r="AK436" s="107">
        <f t="shared" si="456"/>
        <v>14193.575333333345</v>
      </c>
      <c r="AL436" s="107">
        <f t="shared" si="457"/>
        <v>12903.310500000012</v>
      </c>
      <c r="AM436" s="107">
        <f t="shared" si="458"/>
        <v>11613.04566666668</v>
      </c>
      <c r="AN436" s="107">
        <f t="shared" si="459"/>
        <v>10322.780833333347</v>
      </c>
      <c r="AO436" s="107">
        <f t="shared" si="460"/>
        <v>9032.5160000000142</v>
      </c>
      <c r="AP436" s="107"/>
      <c r="AQ436" s="126"/>
      <c r="AR436" s="107">
        <f>AS436</f>
        <v>7742.2511666666805</v>
      </c>
      <c r="AS436" s="107">
        <f>AO436-M436</f>
        <v>7742.2511666666805</v>
      </c>
      <c r="AT436" s="107">
        <f>AS436-M436</f>
        <v>6451.9863333333469</v>
      </c>
      <c r="AU436" s="107">
        <f>AT436-M436</f>
        <v>5161.7215000000133</v>
      </c>
      <c r="AV436" s="107">
        <f>AU436-M436</f>
        <v>3871.4566666666797</v>
      </c>
      <c r="AW436" s="107">
        <f>AV436-M436</f>
        <v>2581.191833333346</v>
      </c>
      <c r="AX436" s="107">
        <f>AW436-M436</f>
        <v>1290.9270000000126</v>
      </c>
      <c r="AY436" s="107">
        <f>AX436-M436</f>
        <v>0.66216666667924073</v>
      </c>
      <c r="AZ436" s="107">
        <v>0</v>
      </c>
      <c r="BA436" s="107">
        <v>0</v>
      </c>
      <c r="BB436" s="107">
        <v>0</v>
      </c>
      <c r="BC436" s="107">
        <v>0</v>
      </c>
      <c r="BD436" s="107">
        <v>0</v>
      </c>
      <c r="BE436" s="107"/>
      <c r="BI436" s="127"/>
    </row>
    <row r="437" spans="1:75" ht="22.5" hidden="1" x14ac:dyDescent="0.2">
      <c r="A437" s="123" t="str">
        <f>'[2]2021 УГРЦТ'!A439</f>
        <v>Трансформатор МГ400/6 Ленина35б №2 1512482 Бела-сь</v>
      </c>
      <c r="B437" s="124" t="str">
        <f>'[2]2021 УГРЦТ'!B439</f>
        <v>00001125</v>
      </c>
      <c r="C437" s="124" t="str">
        <f>VLOOKUP(A:A,'2023-2027'!A:L,1,+FALSE)</f>
        <v>Трансформатор МГ400/6 Ленина35б №2 1512482 Бела-сь</v>
      </c>
      <c r="D437" s="124" t="str">
        <f>'[2]2021 УГРЦТ'!C439</f>
        <v>ПЕРЕДАЧА</v>
      </c>
      <c r="E437" s="124" t="str">
        <f>'[2]2021 УГРЦТ'!D439</f>
        <v>Машины и оборудование (кроме офисного)</v>
      </c>
      <c r="F437" s="124" t="str">
        <f>'[2]2021 УГРЦТ'!E439</f>
        <v>31.07.2009</v>
      </c>
      <c r="G437" s="124" t="str">
        <f>'[2]2021 УГРЦТ'!F439</f>
        <v>Цех электрических сетей</v>
      </c>
      <c r="H437" s="124">
        <f>'[2]2021 УГРЦТ'!AC439</f>
        <v>180</v>
      </c>
      <c r="I437" s="107">
        <f>'[2]2021 УГРЦТ'!X439</f>
        <v>232247.67</v>
      </c>
      <c r="J437" s="107">
        <f>'[2]2021 УГРЦТ'!Y439</f>
        <v>192248.79799999998</v>
      </c>
      <c r="K437" s="107">
        <f>'[2]2021 УГРЦТ'!Z439</f>
        <v>39998.872000000032</v>
      </c>
      <c r="L437" s="125" t="e">
        <f>SUMIF([2]облаг!$B$2:$B$259,B437,[2]облаг!$D$2:$D$259)</f>
        <v>#VALUE!</v>
      </c>
      <c r="M437" s="107">
        <f t="shared" si="414"/>
        <v>1290.2648333333334</v>
      </c>
      <c r="N437" s="107">
        <f t="shared" si="415"/>
        <v>15483.178</v>
      </c>
      <c r="O437" s="107">
        <f t="shared" si="416"/>
        <v>38708.607166666698</v>
      </c>
      <c r="P437" s="107">
        <f t="shared" si="417"/>
        <v>37418.342333333363</v>
      </c>
      <c r="Q437" s="107">
        <f t="shared" si="438"/>
        <v>36128.077500000029</v>
      </c>
      <c r="R437" s="107">
        <f t="shared" si="439"/>
        <v>34837.812666666694</v>
      </c>
      <c r="S437" s="107">
        <f t="shared" si="440"/>
        <v>33547.547833333359</v>
      </c>
      <c r="T437" s="107">
        <f t="shared" si="441"/>
        <v>32257.283000000025</v>
      </c>
      <c r="U437" s="107">
        <f t="shared" si="442"/>
        <v>30967.01816666669</v>
      </c>
      <c r="V437" s="107">
        <f t="shared" si="443"/>
        <v>29676.753333333356</v>
      </c>
      <c r="W437" s="107">
        <f t="shared" si="444"/>
        <v>28386.488500000021</v>
      </c>
      <c r="X437" s="107">
        <f t="shared" si="445"/>
        <v>27096.223666666687</v>
      </c>
      <c r="Y437" s="107">
        <f t="shared" si="446"/>
        <v>25805.958833333352</v>
      </c>
      <c r="Z437" s="107">
        <f t="shared" si="447"/>
        <v>24515.694000000018</v>
      </c>
      <c r="AA437" s="107"/>
      <c r="AB437" s="107"/>
      <c r="AC437" s="107">
        <f t="shared" si="448"/>
        <v>15483.178</v>
      </c>
      <c r="AD437" s="107">
        <f t="shared" si="449"/>
        <v>23225.429166666683</v>
      </c>
      <c r="AE437" s="107">
        <f t="shared" si="450"/>
        <v>21935.164333333349</v>
      </c>
      <c r="AF437" s="107">
        <f t="shared" si="451"/>
        <v>20644.899500000014</v>
      </c>
      <c r="AG437" s="107">
        <f t="shared" si="452"/>
        <v>19354.63466666668</v>
      </c>
      <c r="AH437" s="107">
        <f t="shared" si="453"/>
        <v>18064.369833333345</v>
      </c>
      <c r="AI437" s="107">
        <f t="shared" si="454"/>
        <v>16774.10500000001</v>
      </c>
      <c r="AJ437" s="107">
        <f t="shared" si="455"/>
        <v>15483.840166666678</v>
      </c>
      <c r="AK437" s="107">
        <f t="shared" si="456"/>
        <v>14193.575333333345</v>
      </c>
      <c r="AL437" s="107">
        <f t="shared" si="457"/>
        <v>12903.310500000012</v>
      </c>
      <c r="AM437" s="107">
        <f t="shared" si="458"/>
        <v>11613.04566666668</v>
      </c>
      <c r="AN437" s="107">
        <f t="shared" si="459"/>
        <v>10322.780833333347</v>
      </c>
      <c r="AO437" s="107">
        <f t="shared" si="460"/>
        <v>9032.5160000000142</v>
      </c>
      <c r="AP437" s="107"/>
      <c r="AQ437" s="126"/>
      <c r="AR437" s="107">
        <f>AS437</f>
        <v>7742.2511666666805</v>
      </c>
      <c r="AS437" s="107">
        <f>AO437-M437</f>
        <v>7742.2511666666805</v>
      </c>
      <c r="AT437" s="107">
        <f>AS437-M437</f>
        <v>6451.9863333333469</v>
      </c>
      <c r="AU437" s="107">
        <f>AT437-M437</f>
        <v>5161.7215000000133</v>
      </c>
      <c r="AV437" s="107">
        <f>AU437-M437</f>
        <v>3871.4566666666797</v>
      </c>
      <c r="AW437" s="107">
        <f>AV437-M437</f>
        <v>2581.191833333346</v>
      </c>
      <c r="AX437" s="107">
        <f>AW437-M437</f>
        <v>1290.9270000000126</v>
      </c>
      <c r="AY437" s="107">
        <f>AX437-M437</f>
        <v>0.66216666667924073</v>
      </c>
      <c r="AZ437" s="107">
        <v>0</v>
      </c>
      <c r="BA437" s="107">
        <v>0</v>
      </c>
      <c r="BB437" s="107">
        <v>0</v>
      </c>
      <c r="BC437" s="107">
        <v>0</v>
      </c>
      <c r="BD437" s="107">
        <v>0</v>
      </c>
      <c r="BE437" s="107"/>
      <c r="BI437" s="127"/>
    </row>
    <row r="438" spans="1:75" ht="22.5" hidden="1" x14ac:dyDescent="0.2">
      <c r="A438" s="123" t="str">
        <f>'[2]2021 УГРЦТ'!A440</f>
        <v>Трансформатор ТМ 250/6 №1 №906091</v>
      </c>
      <c r="B438" s="124" t="str">
        <f>'[2]2021 УГРЦТ'!B440</f>
        <v>00001100</v>
      </c>
      <c r="C438" s="124" t="str">
        <f>VLOOKUP(A:A,'2023-2027'!A:L,1,+FALSE)</f>
        <v>Трансформатор ТМ 250/6 №1 №906091</v>
      </c>
      <c r="D438" s="124" t="str">
        <f>'[2]2021 УГРЦТ'!C440</f>
        <v>ПЕРЕДАЧА</v>
      </c>
      <c r="E438" s="124" t="str">
        <f>'[2]2021 УГРЦТ'!D440</f>
        <v>Машины и оборудование (кроме офисного)</v>
      </c>
      <c r="F438" s="124" t="str">
        <f>'[2]2021 УГРЦТ'!E440</f>
        <v>31.12.2008</v>
      </c>
      <c r="G438" s="124" t="str">
        <f>'[2]2021 УГРЦТ'!F440</f>
        <v>Цех электрических сетей</v>
      </c>
      <c r="H438" s="124">
        <f>'[2]2021 УГРЦТ'!AC440</f>
        <v>180</v>
      </c>
      <c r="I438" s="107">
        <f>'[2]2021 УГРЦТ'!X440</f>
        <v>183870.25</v>
      </c>
      <c r="J438" s="107">
        <f>'[2]2021 УГРЦТ'!Y440</f>
        <v>159354.01666666666</v>
      </c>
      <c r="K438" s="107">
        <f>'[2]2021 УГРЦТ'!Z440</f>
        <v>24516.233333333337</v>
      </c>
      <c r="L438" s="125" t="e">
        <f>SUMIF([2]облаг!$B$2:$B$259,B438,[2]облаг!$D$2:$D$259)</f>
        <v>#VALUE!</v>
      </c>
      <c r="M438" s="107">
        <f t="shared" si="414"/>
        <v>1021.5013888888889</v>
      </c>
      <c r="N438" s="107">
        <f t="shared" si="415"/>
        <v>12258.016666666666</v>
      </c>
      <c r="O438" s="107">
        <f t="shared" si="416"/>
        <v>23494.731944444447</v>
      </c>
      <c r="P438" s="107">
        <f t="shared" si="417"/>
        <v>22473.230555555558</v>
      </c>
      <c r="Q438" s="107">
        <f t="shared" si="438"/>
        <v>21451.729166666668</v>
      </c>
      <c r="R438" s="107">
        <f t="shared" si="439"/>
        <v>20430.227777777778</v>
      </c>
      <c r="S438" s="107">
        <f t="shared" si="440"/>
        <v>19408.726388888888</v>
      </c>
      <c r="T438" s="107">
        <f t="shared" si="441"/>
        <v>18387.224999999999</v>
      </c>
      <c r="U438" s="107">
        <f t="shared" si="442"/>
        <v>17365.723611111109</v>
      </c>
      <c r="V438" s="107">
        <f t="shared" si="443"/>
        <v>16344.222222222219</v>
      </c>
      <c r="W438" s="107">
        <f t="shared" si="444"/>
        <v>15322.720833333329</v>
      </c>
      <c r="X438" s="107">
        <f t="shared" si="445"/>
        <v>14301.219444444439</v>
      </c>
      <c r="Y438" s="107">
        <f t="shared" si="446"/>
        <v>13279.71805555555</v>
      </c>
      <c r="Z438" s="107">
        <f t="shared" si="447"/>
        <v>12258.21666666666</v>
      </c>
      <c r="AA438" s="107"/>
      <c r="AB438" s="107"/>
      <c r="AC438" s="107">
        <f>AD438</f>
        <v>11236.71527777777</v>
      </c>
      <c r="AD438" s="107">
        <f t="shared" si="449"/>
        <v>11236.71527777777</v>
      </c>
      <c r="AE438" s="107">
        <f t="shared" si="450"/>
        <v>10215.21388888888</v>
      </c>
      <c r="AF438" s="107">
        <f t="shared" si="451"/>
        <v>9193.7124999999905</v>
      </c>
      <c r="AG438" s="107">
        <f t="shared" si="452"/>
        <v>8172.2111111111017</v>
      </c>
      <c r="AH438" s="107">
        <f t="shared" si="453"/>
        <v>7150.7097222222128</v>
      </c>
      <c r="AI438" s="107">
        <f t="shared" si="454"/>
        <v>6129.2083333333239</v>
      </c>
      <c r="AJ438" s="107">
        <f t="shared" si="455"/>
        <v>5107.7069444444351</v>
      </c>
      <c r="AK438" s="107">
        <f t="shared" si="456"/>
        <v>4086.2055555555462</v>
      </c>
      <c r="AL438" s="107">
        <f t="shared" si="457"/>
        <v>3064.7041666666573</v>
      </c>
      <c r="AM438" s="107">
        <f t="shared" si="458"/>
        <v>2043.2027777777685</v>
      </c>
      <c r="AN438" s="107">
        <f t="shared" si="459"/>
        <v>1021.7013888888796</v>
      </c>
      <c r="AO438" s="107">
        <f t="shared" si="460"/>
        <v>0.19999999999072315</v>
      </c>
      <c r="AP438" s="107"/>
      <c r="AQ438" s="126"/>
      <c r="AR438" s="107">
        <v>0</v>
      </c>
      <c r="AS438" s="107">
        <v>0</v>
      </c>
      <c r="AT438" s="107">
        <v>0</v>
      </c>
      <c r="AU438" s="107">
        <v>0</v>
      </c>
      <c r="AV438" s="107">
        <v>0</v>
      </c>
      <c r="AW438" s="107">
        <v>0</v>
      </c>
      <c r="AX438" s="107">
        <v>0</v>
      </c>
      <c r="AY438" s="107">
        <v>0</v>
      </c>
      <c r="AZ438" s="107">
        <v>0</v>
      </c>
      <c r="BA438" s="107">
        <v>0</v>
      </c>
      <c r="BB438" s="107">
        <v>0</v>
      </c>
      <c r="BC438" s="107">
        <v>0</v>
      </c>
      <c r="BD438" s="107">
        <v>0</v>
      </c>
      <c r="BE438" s="107"/>
      <c r="BI438" s="127"/>
    </row>
    <row r="439" spans="1:75" ht="22.5" hidden="1" x14ac:dyDescent="0.2">
      <c r="A439" s="123" t="str">
        <f>'[2]2021 УГРЦТ'!A441</f>
        <v>Трансформатор ТМ 250/6 №2 №906092</v>
      </c>
      <c r="B439" s="124" t="str">
        <f>'[2]2021 УГРЦТ'!B441</f>
        <v>00001101</v>
      </c>
      <c r="C439" s="124" t="str">
        <f>VLOOKUP(A:A,'2023-2027'!A:L,1,+FALSE)</f>
        <v>Трансформатор ТМ 250/6 №2 №906092</v>
      </c>
      <c r="D439" s="124" t="str">
        <f>'[2]2021 УГРЦТ'!C441</f>
        <v>ПЕРЕДАЧА</v>
      </c>
      <c r="E439" s="124" t="str">
        <f>'[2]2021 УГРЦТ'!D441</f>
        <v>Машины и оборудование (кроме офисного)</v>
      </c>
      <c r="F439" s="124" t="str">
        <f>'[2]2021 УГРЦТ'!E441</f>
        <v>31.12.2008</v>
      </c>
      <c r="G439" s="124" t="str">
        <f>'[2]2021 УГРЦТ'!F441</f>
        <v>Цех электрических сетей</v>
      </c>
      <c r="H439" s="124">
        <f>'[2]2021 УГРЦТ'!AC441</f>
        <v>180</v>
      </c>
      <c r="I439" s="107">
        <f>'[2]2021 УГРЦТ'!X441</f>
        <v>183870.25</v>
      </c>
      <c r="J439" s="107">
        <f>'[2]2021 УГРЦТ'!Y441</f>
        <v>159354.01666666666</v>
      </c>
      <c r="K439" s="107">
        <f>'[2]2021 УГРЦТ'!Z441</f>
        <v>24516.233333333337</v>
      </c>
      <c r="L439" s="125" t="e">
        <f>SUMIF([2]облаг!$B$2:$B$259,B439,[2]облаг!$D$2:$D$259)</f>
        <v>#VALUE!</v>
      </c>
      <c r="M439" s="107">
        <f t="shared" si="414"/>
        <v>1021.5013888888889</v>
      </c>
      <c r="N439" s="107">
        <f t="shared" si="415"/>
        <v>12258.016666666666</v>
      </c>
      <c r="O439" s="107">
        <f t="shared" si="416"/>
        <v>23494.731944444447</v>
      </c>
      <c r="P439" s="107">
        <f t="shared" si="417"/>
        <v>22473.230555555558</v>
      </c>
      <c r="Q439" s="107">
        <f t="shared" si="438"/>
        <v>21451.729166666668</v>
      </c>
      <c r="R439" s="107">
        <f t="shared" si="439"/>
        <v>20430.227777777778</v>
      </c>
      <c r="S439" s="107">
        <f t="shared" si="440"/>
        <v>19408.726388888888</v>
      </c>
      <c r="T439" s="107">
        <f t="shared" si="441"/>
        <v>18387.224999999999</v>
      </c>
      <c r="U439" s="107">
        <f t="shared" si="442"/>
        <v>17365.723611111109</v>
      </c>
      <c r="V439" s="107">
        <f t="shared" si="443"/>
        <v>16344.222222222219</v>
      </c>
      <c r="W439" s="107">
        <f t="shared" si="444"/>
        <v>15322.720833333329</v>
      </c>
      <c r="X439" s="107">
        <f t="shared" si="445"/>
        <v>14301.219444444439</v>
      </c>
      <c r="Y439" s="107">
        <f t="shared" si="446"/>
        <v>13279.71805555555</v>
      </c>
      <c r="Z439" s="107">
        <f t="shared" si="447"/>
        <v>12258.21666666666</v>
      </c>
      <c r="AA439" s="107"/>
      <c r="AB439" s="107"/>
      <c r="AC439" s="107">
        <f>AD439</f>
        <v>11236.71527777777</v>
      </c>
      <c r="AD439" s="107">
        <f t="shared" si="449"/>
        <v>11236.71527777777</v>
      </c>
      <c r="AE439" s="107">
        <f t="shared" si="450"/>
        <v>10215.21388888888</v>
      </c>
      <c r="AF439" s="107">
        <f t="shared" si="451"/>
        <v>9193.7124999999905</v>
      </c>
      <c r="AG439" s="107">
        <f t="shared" si="452"/>
        <v>8172.2111111111017</v>
      </c>
      <c r="AH439" s="107">
        <f t="shared" si="453"/>
        <v>7150.7097222222128</v>
      </c>
      <c r="AI439" s="107">
        <f t="shared" si="454"/>
        <v>6129.2083333333239</v>
      </c>
      <c r="AJ439" s="107">
        <f t="shared" si="455"/>
        <v>5107.7069444444351</v>
      </c>
      <c r="AK439" s="107">
        <f t="shared" si="456"/>
        <v>4086.2055555555462</v>
      </c>
      <c r="AL439" s="107">
        <f t="shared" si="457"/>
        <v>3064.7041666666573</v>
      </c>
      <c r="AM439" s="107">
        <f t="shared" si="458"/>
        <v>2043.2027777777685</v>
      </c>
      <c r="AN439" s="107">
        <f t="shared" si="459"/>
        <v>1021.7013888888796</v>
      </c>
      <c r="AO439" s="107">
        <f t="shared" si="460"/>
        <v>0.19999999999072315</v>
      </c>
      <c r="AP439" s="107"/>
      <c r="AQ439" s="126"/>
      <c r="AR439" s="107">
        <v>0</v>
      </c>
      <c r="AS439" s="107">
        <v>0</v>
      </c>
      <c r="AT439" s="107">
        <v>0</v>
      </c>
      <c r="AU439" s="107">
        <v>0</v>
      </c>
      <c r="AV439" s="107">
        <v>0</v>
      </c>
      <c r="AW439" s="107">
        <v>0</v>
      </c>
      <c r="AX439" s="107">
        <v>0</v>
      </c>
      <c r="AY439" s="107">
        <v>0</v>
      </c>
      <c r="AZ439" s="107">
        <v>0</v>
      </c>
      <c r="BA439" s="107">
        <v>0</v>
      </c>
      <c r="BB439" s="107">
        <v>0</v>
      </c>
      <c r="BC439" s="107">
        <v>0</v>
      </c>
      <c r="BD439" s="107">
        <v>0</v>
      </c>
      <c r="BE439" s="107"/>
      <c r="BI439" s="127"/>
    </row>
    <row r="440" spans="1:75" ht="22.5" hidden="1" x14ac:dyDescent="0.2">
      <c r="A440" s="123" t="str">
        <f>'[2]2021 УГРЦТ'!A442</f>
        <v>Трансформатор ТМ 400/6 №2 №1542662 ТП-46</v>
      </c>
      <c r="B440" s="124" t="str">
        <f>'[2]2021 УГРЦТ'!B442</f>
        <v>00001103</v>
      </c>
      <c r="C440" s="124" t="str">
        <f>VLOOKUP(A:A,'2023-2027'!A:L,1,+FALSE)</f>
        <v>Трансформатор ТМ 400/6 №2 №1542662 ТП-46</v>
      </c>
      <c r="D440" s="124" t="str">
        <f>'[2]2021 УГРЦТ'!C442</f>
        <v>ПЕРЕДАЧА</v>
      </c>
      <c r="E440" s="124" t="str">
        <f>'[2]2021 УГРЦТ'!D442</f>
        <v>Машины и оборудование (кроме офисного)</v>
      </c>
      <c r="F440" s="124" t="str">
        <f>'[2]2021 УГРЦТ'!E442</f>
        <v>31.12.2008</v>
      </c>
      <c r="G440" s="124" t="str">
        <f>'[2]2021 УГРЦТ'!F442</f>
        <v>Цех электрических сетей</v>
      </c>
      <c r="H440" s="124">
        <f>'[2]2021 УГРЦТ'!AC442</f>
        <v>180</v>
      </c>
      <c r="I440" s="107">
        <f>'[2]2021 УГРЦТ'!X442</f>
        <v>225395.68</v>
      </c>
      <c r="J440" s="107">
        <f>'[2]2021 УГРЦТ'!Y442</f>
        <v>195343.17866666664</v>
      </c>
      <c r="K440" s="107">
        <f>'[2]2021 УГРЦТ'!Z442</f>
        <v>30052.501333333348</v>
      </c>
      <c r="L440" s="125" t="e">
        <f>SUMIF([2]облаг!$B$2:$B$259,B440,[2]облаг!$D$2:$D$259)</f>
        <v>#VALUE!</v>
      </c>
      <c r="M440" s="107">
        <f t="shared" si="414"/>
        <v>1252.1982222222223</v>
      </c>
      <c r="N440" s="107">
        <f t="shared" si="415"/>
        <v>15026.378666666667</v>
      </c>
      <c r="O440" s="107">
        <f t="shared" si="416"/>
        <v>28800.303111111127</v>
      </c>
      <c r="P440" s="107">
        <f t="shared" si="417"/>
        <v>27548.104888888905</v>
      </c>
      <c r="Q440" s="107">
        <f t="shared" si="438"/>
        <v>26295.906666666684</v>
      </c>
      <c r="R440" s="107">
        <f t="shared" si="439"/>
        <v>25043.708444444463</v>
      </c>
      <c r="S440" s="107">
        <f t="shared" si="440"/>
        <v>23791.510222222241</v>
      </c>
      <c r="T440" s="107">
        <f t="shared" si="441"/>
        <v>22539.31200000002</v>
      </c>
      <c r="U440" s="107">
        <f t="shared" si="442"/>
        <v>21287.113777777799</v>
      </c>
      <c r="V440" s="107">
        <f t="shared" si="443"/>
        <v>20034.915555555577</v>
      </c>
      <c r="W440" s="107">
        <f t="shared" si="444"/>
        <v>18782.717333333356</v>
      </c>
      <c r="X440" s="107">
        <f t="shared" si="445"/>
        <v>17530.519111111134</v>
      </c>
      <c r="Y440" s="107">
        <f t="shared" si="446"/>
        <v>16278.320888888913</v>
      </c>
      <c r="Z440" s="107">
        <f t="shared" si="447"/>
        <v>15026.122666666692</v>
      </c>
      <c r="AA440" s="107"/>
      <c r="AB440" s="107"/>
      <c r="AC440" s="107">
        <f>AD440</f>
        <v>13773.92444444447</v>
      </c>
      <c r="AD440" s="107">
        <f t="shared" si="449"/>
        <v>13773.92444444447</v>
      </c>
      <c r="AE440" s="107">
        <f t="shared" si="450"/>
        <v>12521.726222222249</v>
      </c>
      <c r="AF440" s="107">
        <f t="shared" si="451"/>
        <v>11269.528000000028</v>
      </c>
      <c r="AG440" s="107">
        <f t="shared" si="452"/>
        <v>10017.329777777806</v>
      </c>
      <c r="AH440" s="107">
        <f t="shared" si="453"/>
        <v>8765.1315555555848</v>
      </c>
      <c r="AI440" s="107">
        <f t="shared" si="454"/>
        <v>7512.9333333333625</v>
      </c>
      <c r="AJ440" s="107">
        <f t="shared" si="455"/>
        <v>6260.7351111111402</v>
      </c>
      <c r="AK440" s="107">
        <f t="shared" si="456"/>
        <v>5008.5368888889179</v>
      </c>
      <c r="AL440" s="107">
        <f t="shared" si="457"/>
        <v>3756.3386666666956</v>
      </c>
      <c r="AM440" s="107">
        <f t="shared" si="458"/>
        <v>2504.1404444444734</v>
      </c>
      <c r="AN440" s="107">
        <f t="shared" si="459"/>
        <v>1251.9422222222511</v>
      </c>
      <c r="AO440" s="107"/>
      <c r="AP440" s="107"/>
      <c r="AQ440" s="126"/>
      <c r="AR440" s="107">
        <v>0</v>
      </c>
      <c r="AS440" s="107">
        <v>0</v>
      </c>
      <c r="AT440" s="107">
        <v>0</v>
      </c>
      <c r="AU440" s="107">
        <v>0</v>
      </c>
      <c r="AV440" s="107">
        <v>0</v>
      </c>
      <c r="AW440" s="107">
        <v>0</v>
      </c>
      <c r="AX440" s="107">
        <v>0</v>
      </c>
      <c r="AY440" s="107">
        <v>0</v>
      </c>
      <c r="AZ440" s="107">
        <v>0</v>
      </c>
      <c r="BA440" s="107">
        <v>0</v>
      </c>
      <c r="BB440" s="107">
        <v>0</v>
      </c>
      <c r="BC440" s="107">
        <v>0</v>
      </c>
      <c r="BD440" s="107">
        <v>0</v>
      </c>
      <c r="BE440" s="124"/>
      <c r="BI440" s="127"/>
    </row>
    <row r="441" spans="1:75" ht="22.5" hidden="1" x14ac:dyDescent="0.2">
      <c r="A441" s="123" t="str">
        <f>'[2]2021 УГРЦТ'!A443</f>
        <v>Трансформатор ТМ 630/6 (школа №2)</v>
      </c>
      <c r="B441" s="124" t="str">
        <f>'[2]2021 УГРЦТ'!B443</f>
        <v>00001104</v>
      </c>
      <c r="C441" s="124" t="str">
        <f>VLOOKUP(A:A,'2023-2027'!A:L,1,+FALSE)</f>
        <v>Трансформатор ТМ 630/6 (школа №2)</v>
      </c>
      <c r="D441" s="124" t="str">
        <f>'[2]2021 УГРЦТ'!C443</f>
        <v>ПЕРЕДАЧА</v>
      </c>
      <c r="E441" s="124" t="str">
        <f>'[2]2021 УГРЦТ'!D443</f>
        <v>Машины и оборудование (кроме офисного)</v>
      </c>
      <c r="F441" s="124" t="str">
        <f>'[2]2021 УГРЦТ'!E443</f>
        <v>31.12.2008</v>
      </c>
      <c r="G441" s="124" t="str">
        <f>'[2]2021 УГРЦТ'!F443</f>
        <v>Цех электрических сетей</v>
      </c>
      <c r="H441" s="124">
        <f>'[2]2021 УГРЦТ'!AC443</f>
        <v>180</v>
      </c>
      <c r="I441" s="107">
        <f>'[2]2021 УГРЦТ'!X443</f>
        <v>335565.17</v>
      </c>
      <c r="J441" s="107">
        <f>'[2]2021 УГРЦТ'!Y443</f>
        <v>290823.01133333333</v>
      </c>
      <c r="K441" s="107">
        <f>'[2]2021 УГРЦТ'!Z443</f>
        <v>44742.158666666655</v>
      </c>
      <c r="L441" s="125" t="e">
        <f>SUMIF([2]облаг!$B$2:$B$259,B441,[2]облаг!$D$2:$D$259)</f>
        <v>#VALUE!</v>
      </c>
      <c r="M441" s="107">
        <f t="shared" si="414"/>
        <v>1864.2509444444443</v>
      </c>
      <c r="N441" s="107">
        <f t="shared" si="415"/>
        <v>22371.011333333332</v>
      </c>
      <c r="O441" s="107">
        <f t="shared" si="416"/>
        <v>42877.907722222211</v>
      </c>
      <c r="P441" s="107">
        <f t="shared" si="417"/>
        <v>41013.656777777767</v>
      </c>
      <c r="Q441" s="107">
        <f t="shared" si="438"/>
        <v>39149.405833333323</v>
      </c>
      <c r="R441" s="107">
        <f t="shared" si="439"/>
        <v>37285.154888888879</v>
      </c>
      <c r="S441" s="107">
        <f t="shared" si="440"/>
        <v>35420.903944444435</v>
      </c>
      <c r="T441" s="107">
        <f t="shared" si="441"/>
        <v>33556.652999999991</v>
      </c>
      <c r="U441" s="107">
        <f t="shared" si="442"/>
        <v>31692.402055555547</v>
      </c>
      <c r="V441" s="107">
        <f t="shared" si="443"/>
        <v>29828.151111111103</v>
      </c>
      <c r="W441" s="107">
        <f t="shared" si="444"/>
        <v>27963.900166666659</v>
      </c>
      <c r="X441" s="107">
        <f t="shared" si="445"/>
        <v>26099.649222222215</v>
      </c>
      <c r="Y441" s="107">
        <f t="shared" si="446"/>
        <v>24235.398277777771</v>
      </c>
      <c r="Z441" s="107">
        <f t="shared" si="447"/>
        <v>22371.147333333327</v>
      </c>
      <c r="AA441" s="107"/>
      <c r="AB441" s="107"/>
      <c r="AC441" s="107">
        <f>AD441</f>
        <v>20506.896388888883</v>
      </c>
      <c r="AD441" s="107">
        <f t="shared" si="449"/>
        <v>20506.896388888883</v>
      </c>
      <c r="AE441" s="107">
        <f t="shared" si="450"/>
        <v>18642.645444444439</v>
      </c>
      <c r="AF441" s="107">
        <f t="shared" si="451"/>
        <v>16778.394499999995</v>
      </c>
      <c r="AG441" s="107">
        <f t="shared" si="452"/>
        <v>14914.143555555551</v>
      </c>
      <c r="AH441" s="107">
        <f t="shared" si="453"/>
        <v>13049.892611111107</v>
      </c>
      <c r="AI441" s="107">
        <f t="shared" si="454"/>
        <v>11185.641666666663</v>
      </c>
      <c r="AJ441" s="107">
        <f t="shared" si="455"/>
        <v>9321.3907222222188</v>
      </c>
      <c r="AK441" s="107">
        <f t="shared" si="456"/>
        <v>7457.1397777777747</v>
      </c>
      <c r="AL441" s="107">
        <f t="shared" si="457"/>
        <v>5592.8888333333307</v>
      </c>
      <c r="AM441" s="107">
        <f t="shared" si="458"/>
        <v>3728.6378888888867</v>
      </c>
      <c r="AN441" s="107">
        <f t="shared" si="459"/>
        <v>1864.3869444444424</v>
      </c>
      <c r="AO441" s="107">
        <f t="shared" si="460"/>
        <v>0.13599999999814827</v>
      </c>
      <c r="AP441" s="107"/>
      <c r="AQ441" s="126"/>
      <c r="AR441" s="107">
        <v>0</v>
      </c>
      <c r="AS441" s="107">
        <v>0</v>
      </c>
      <c r="AT441" s="107">
        <v>0</v>
      </c>
      <c r="AU441" s="107">
        <v>0</v>
      </c>
      <c r="AV441" s="107">
        <v>0</v>
      </c>
      <c r="AW441" s="107">
        <v>0</v>
      </c>
      <c r="AX441" s="107">
        <v>0</v>
      </c>
      <c r="AY441" s="107">
        <v>0</v>
      </c>
      <c r="AZ441" s="107">
        <v>0</v>
      </c>
      <c r="BA441" s="107">
        <v>0</v>
      </c>
      <c r="BB441" s="107">
        <v>0</v>
      </c>
      <c r="BC441" s="107">
        <v>0</v>
      </c>
      <c r="BD441" s="107">
        <v>0</v>
      </c>
      <c r="BE441" s="107"/>
      <c r="BI441" s="127"/>
    </row>
    <row r="442" spans="1:75" ht="22.5" hidden="1" x14ac:dyDescent="0.2">
      <c r="A442" s="123" t="str">
        <f>'[2]2021 УГРЦТ'!A444</f>
        <v>Трансформатор ТМ-160 КВА 6/0,4 №2984 2007г</v>
      </c>
      <c r="B442" s="124" t="str">
        <f>'[2]2021 УГРЦТ'!B444</f>
        <v>00001042</v>
      </c>
      <c r="C442" s="124" t="str">
        <f>VLOOKUP(A:A,'2023-2027'!A:L,1,+FALSE)</f>
        <v>Трансформатор ТМ-160 КВА 6/0,4 №2984 2007г</v>
      </c>
      <c r="D442" s="124" t="str">
        <f>'[2]2021 УГРЦТ'!C444</f>
        <v>ПЕРЕДАЧА</v>
      </c>
      <c r="E442" s="124" t="str">
        <f>'[2]2021 УГРЦТ'!D444</f>
        <v>Машины и оборудование (кроме офисного)</v>
      </c>
      <c r="F442" s="124" t="str">
        <f>'[2]2021 УГРЦТ'!E444</f>
        <v>31.07.2007</v>
      </c>
      <c r="G442" s="124" t="str">
        <f>'[2]2021 УГРЦТ'!F444</f>
        <v>Цех электрических сетей</v>
      </c>
      <c r="H442" s="124">
        <f>'[2]2021 УГРЦТ'!AC444</f>
        <v>240</v>
      </c>
      <c r="I442" s="107">
        <f>'[2]2021 УГРЦТ'!X444</f>
        <v>133941.4</v>
      </c>
      <c r="J442" s="107">
        <f>'[2]2021 УГРЦТ'!Y444</f>
        <v>96549.56</v>
      </c>
      <c r="K442" s="107">
        <f>'[2]2021 УГРЦТ'!Z444</f>
        <v>37391.839999999997</v>
      </c>
      <c r="L442" s="125" t="e">
        <f>SUMIF([2]облаг!$B$2:$B$259,B442,[2]облаг!$D$2:$D$259)</f>
        <v>#VALUE!</v>
      </c>
      <c r="M442" s="107">
        <f t="shared" si="414"/>
        <v>558.08916666666664</v>
      </c>
      <c r="N442" s="107">
        <f t="shared" si="415"/>
        <v>6697.07</v>
      </c>
      <c r="O442" s="107">
        <f t="shared" si="416"/>
        <v>36833.750833333332</v>
      </c>
      <c r="P442" s="107">
        <f t="shared" si="417"/>
        <v>36275.661666666667</v>
      </c>
      <c r="Q442" s="107">
        <f t="shared" si="438"/>
        <v>35717.572500000002</v>
      </c>
      <c r="R442" s="107">
        <f t="shared" si="439"/>
        <v>35159.483333333337</v>
      </c>
      <c r="S442" s="107">
        <f t="shared" si="440"/>
        <v>34601.394166666672</v>
      </c>
      <c r="T442" s="107">
        <f t="shared" si="441"/>
        <v>34043.305000000008</v>
      </c>
      <c r="U442" s="107">
        <f t="shared" si="442"/>
        <v>33485.215833333343</v>
      </c>
      <c r="V442" s="107">
        <f t="shared" si="443"/>
        <v>32927.126666666678</v>
      </c>
      <c r="W442" s="107">
        <f t="shared" si="444"/>
        <v>32369.037500000013</v>
      </c>
      <c r="X442" s="107">
        <f t="shared" si="445"/>
        <v>31810.948333333348</v>
      </c>
      <c r="Y442" s="107">
        <f t="shared" si="446"/>
        <v>31252.859166666683</v>
      </c>
      <c r="Z442" s="107">
        <f t="shared" si="447"/>
        <v>30694.770000000019</v>
      </c>
      <c r="AA442" s="107"/>
      <c r="AB442" s="107"/>
      <c r="AC442" s="107">
        <f t="shared" si="448"/>
        <v>6697.07</v>
      </c>
      <c r="AD442" s="107">
        <f t="shared" si="449"/>
        <v>30136.680833333354</v>
      </c>
      <c r="AE442" s="107">
        <f t="shared" si="450"/>
        <v>29578.591666666689</v>
      </c>
      <c r="AF442" s="107">
        <f t="shared" si="451"/>
        <v>29020.502500000024</v>
      </c>
      <c r="AG442" s="107">
        <f t="shared" si="452"/>
        <v>28462.413333333359</v>
      </c>
      <c r="AH442" s="107">
        <f t="shared" si="453"/>
        <v>27904.324166666695</v>
      </c>
      <c r="AI442" s="107">
        <f t="shared" si="454"/>
        <v>27346.23500000003</v>
      </c>
      <c r="AJ442" s="107">
        <f t="shared" si="455"/>
        <v>26788.145833333365</v>
      </c>
      <c r="AK442" s="107">
        <f t="shared" si="456"/>
        <v>26230.0566666667</v>
      </c>
      <c r="AL442" s="107">
        <f t="shared" si="457"/>
        <v>25671.967500000035</v>
      </c>
      <c r="AM442" s="107">
        <f t="shared" si="458"/>
        <v>25113.87833333337</v>
      </c>
      <c r="AN442" s="107">
        <f t="shared" si="459"/>
        <v>24555.789166666706</v>
      </c>
      <c r="AO442" s="107">
        <f t="shared" si="460"/>
        <v>23997.700000000041</v>
      </c>
      <c r="AP442" s="107"/>
      <c r="AQ442" s="126"/>
      <c r="AR442" s="107">
        <f t="shared" si="461"/>
        <v>6697.07</v>
      </c>
      <c r="AS442" s="107">
        <f>AO442-M442</f>
        <v>23439.610833333376</v>
      </c>
      <c r="AT442" s="107">
        <f>AS442-M442</f>
        <v>22881.521666666711</v>
      </c>
      <c r="AU442" s="107">
        <f>AT442-M442</f>
        <v>22323.432500000046</v>
      </c>
      <c r="AV442" s="107">
        <f>AU442-M442</f>
        <v>21765.343333333381</v>
      </c>
      <c r="AW442" s="107">
        <f>AV442-M442</f>
        <v>21207.254166666717</v>
      </c>
      <c r="AX442" s="107">
        <f>AW442-M442</f>
        <v>20649.165000000052</v>
      </c>
      <c r="AY442" s="107">
        <f>AX442-M442</f>
        <v>20091.075833333387</v>
      </c>
      <c r="AZ442" s="107">
        <f>AY442-M442</f>
        <v>19532.986666666722</v>
      </c>
      <c r="BA442" s="107">
        <f>AZ442-M442</f>
        <v>18974.897500000057</v>
      </c>
      <c r="BB442" s="107">
        <f>BA442-M442</f>
        <v>18416.808333333393</v>
      </c>
      <c r="BC442" s="107">
        <f>BB442-M442</f>
        <v>17858.719166666728</v>
      </c>
      <c r="BD442" s="107">
        <f>BC442-M442</f>
        <v>17300.630000000063</v>
      </c>
      <c r="BE442" s="107"/>
      <c r="BF442" s="127"/>
      <c r="BG442" s="127"/>
      <c r="BH442" s="127"/>
      <c r="BI442" s="127"/>
      <c r="BJ442" s="127"/>
      <c r="BK442" s="127"/>
      <c r="BL442" s="127"/>
      <c r="BM442" s="127"/>
      <c r="BN442" s="127"/>
      <c r="BO442" s="127"/>
      <c r="BP442" s="127"/>
      <c r="BQ442" s="127"/>
      <c r="BR442" s="127"/>
      <c r="BS442" s="127"/>
      <c r="BT442" s="127"/>
      <c r="BU442" s="127"/>
      <c r="BV442" s="127"/>
      <c r="BW442" s="127"/>
    </row>
    <row r="443" spans="1:75" ht="22.5" hidden="1" x14ac:dyDescent="0.2">
      <c r="A443" s="123" t="str">
        <f>'[2]2021 УГРЦТ'!A445</f>
        <v>Трансформатор ТМ-160 КВА 6/0,4 №641107</v>
      </c>
      <c r="B443" s="124" t="str">
        <f>'[2]2021 УГРЦТ'!B445</f>
        <v>00001039</v>
      </c>
      <c r="C443" s="124" t="str">
        <f>VLOOKUP(A:A,'2023-2027'!A:L,1,+FALSE)</f>
        <v>Трансформатор ТМ-160 КВА 6/0,4 №641107</v>
      </c>
      <c r="D443" s="124" t="str">
        <f>'[2]2021 УГРЦТ'!C445</f>
        <v>ПЕРЕДАЧА</v>
      </c>
      <c r="E443" s="124" t="str">
        <f>'[2]2021 УГРЦТ'!D445</f>
        <v>Машины и оборудование (кроме офисного)</v>
      </c>
      <c r="F443" s="124" t="str">
        <f>'[2]2021 УГРЦТ'!E445</f>
        <v>31.10.2007</v>
      </c>
      <c r="G443" s="124" t="str">
        <f>'[2]2021 УГРЦТ'!F445</f>
        <v>Цех электрических сетей</v>
      </c>
      <c r="H443" s="124">
        <f>'[2]2021 УГРЦТ'!AC445</f>
        <v>240</v>
      </c>
      <c r="I443" s="107">
        <f>'[2]2021 УГРЦТ'!X445</f>
        <v>134415.48000000001</v>
      </c>
      <c r="J443" s="107">
        <f>'[2]2021 УГРЦТ'!Y445</f>
        <v>95210.254000000001</v>
      </c>
      <c r="K443" s="107">
        <f>'[2]2021 УГРЦТ'!Z445</f>
        <v>39205.22600000001</v>
      </c>
      <c r="L443" s="125" t="e">
        <f>SUMIF([2]облаг!$B$2:$B$259,B443,[2]облаг!$D$2:$D$259)</f>
        <v>#VALUE!</v>
      </c>
      <c r="M443" s="107">
        <f t="shared" si="414"/>
        <v>560.06450000000007</v>
      </c>
      <c r="N443" s="107">
        <f t="shared" si="415"/>
        <v>6720.7740000000013</v>
      </c>
      <c r="O443" s="107">
        <f t="shared" si="416"/>
        <v>38645.161500000009</v>
      </c>
      <c r="P443" s="107">
        <f t="shared" si="417"/>
        <v>38085.097000000009</v>
      </c>
      <c r="Q443" s="107">
        <f t="shared" si="438"/>
        <v>37525.032500000008</v>
      </c>
      <c r="R443" s="107">
        <f t="shared" si="439"/>
        <v>36964.968000000008</v>
      </c>
      <c r="S443" s="107">
        <f t="shared" si="440"/>
        <v>36404.903500000008</v>
      </c>
      <c r="T443" s="107">
        <f t="shared" si="441"/>
        <v>35844.839000000007</v>
      </c>
      <c r="U443" s="107">
        <f t="shared" si="442"/>
        <v>35284.774500000007</v>
      </c>
      <c r="V443" s="107">
        <f t="shared" si="443"/>
        <v>34724.710000000006</v>
      </c>
      <c r="W443" s="107">
        <f t="shared" si="444"/>
        <v>34164.645500000006</v>
      </c>
      <c r="X443" s="107">
        <f t="shared" si="445"/>
        <v>33604.581000000006</v>
      </c>
      <c r="Y443" s="107">
        <f t="shared" si="446"/>
        <v>33044.516500000005</v>
      </c>
      <c r="Z443" s="107">
        <f t="shared" si="447"/>
        <v>32484.452000000005</v>
      </c>
      <c r="AA443" s="107"/>
      <c r="AB443" s="107"/>
      <c r="AC443" s="107">
        <f t="shared" si="448"/>
        <v>6720.7740000000013</v>
      </c>
      <c r="AD443" s="107">
        <f t="shared" si="449"/>
        <v>31924.387500000004</v>
      </c>
      <c r="AE443" s="107">
        <f t="shared" si="450"/>
        <v>31364.323000000004</v>
      </c>
      <c r="AF443" s="107">
        <f t="shared" si="451"/>
        <v>30804.258500000004</v>
      </c>
      <c r="AG443" s="107">
        <f t="shared" si="452"/>
        <v>30244.194000000003</v>
      </c>
      <c r="AH443" s="107">
        <f t="shared" si="453"/>
        <v>29684.129500000003</v>
      </c>
      <c r="AI443" s="107">
        <f t="shared" si="454"/>
        <v>29124.065000000002</v>
      </c>
      <c r="AJ443" s="107">
        <f t="shared" si="455"/>
        <v>28564.000500000002</v>
      </c>
      <c r="AK443" s="107">
        <f t="shared" si="456"/>
        <v>28003.936000000002</v>
      </c>
      <c r="AL443" s="107">
        <f t="shared" si="457"/>
        <v>27443.871500000001</v>
      </c>
      <c r="AM443" s="107">
        <f t="shared" si="458"/>
        <v>26883.807000000001</v>
      </c>
      <c r="AN443" s="107">
        <f t="shared" si="459"/>
        <v>26323.7425</v>
      </c>
      <c r="AO443" s="107">
        <f t="shared" si="460"/>
        <v>25763.678</v>
      </c>
      <c r="AP443" s="107"/>
      <c r="AQ443" s="126"/>
      <c r="AR443" s="107">
        <f t="shared" si="461"/>
        <v>6720.7740000000013</v>
      </c>
      <c r="AS443" s="107">
        <f>AO443-M443</f>
        <v>25203.613499999999</v>
      </c>
      <c r="AT443" s="107">
        <f>AS443-M443</f>
        <v>24643.548999999999</v>
      </c>
      <c r="AU443" s="107">
        <f>AT443-M443</f>
        <v>24083.484499999999</v>
      </c>
      <c r="AV443" s="107">
        <f>AU443-M443</f>
        <v>23523.42</v>
      </c>
      <c r="AW443" s="107">
        <f>AV443-M443</f>
        <v>22963.355499999998</v>
      </c>
      <c r="AX443" s="107">
        <f>AW443-M443</f>
        <v>22403.290999999997</v>
      </c>
      <c r="AY443" s="107">
        <f>AX443-M443</f>
        <v>21843.226499999997</v>
      </c>
      <c r="AZ443" s="107">
        <f>AY443-M443</f>
        <v>21283.161999999997</v>
      </c>
      <c r="BA443" s="107">
        <f>AZ443-M443</f>
        <v>20723.097499999996</v>
      </c>
      <c r="BB443" s="107">
        <f>BA443-M443</f>
        <v>20163.032999999996</v>
      </c>
      <c r="BC443" s="107">
        <f>BB443-M443</f>
        <v>19602.968499999995</v>
      </c>
      <c r="BD443" s="107">
        <f>BC443-M443</f>
        <v>19042.903999999995</v>
      </c>
      <c r="BE443" s="107"/>
      <c r="BF443" s="127"/>
      <c r="BG443" s="127"/>
      <c r="BH443" s="127"/>
      <c r="BI443" s="127"/>
      <c r="BJ443" s="127"/>
      <c r="BK443" s="127"/>
      <c r="BL443" s="127"/>
      <c r="BM443" s="127"/>
      <c r="BN443" s="127"/>
      <c r="BO443" s="127"/>
      <c r="BP443" s="127"/>
      <c r="BQ443" s="127"/>
      <c r="BR443" s="127"/>
      <c r="BS443" s="127"/>
      <c r="BT443" s="127"/>
      <c r="BU443" s="127"/>
      <c r="BV443" s="127"/>
      <c r="BW443" s="127"/>
    </row>
    <row r="444" spans="1:75" hidden="1" x14ac:dyDescent="0.2">
      <c r="A444" s="123" t="str">
        <f>'[2]2021 УГРЦТ'!A446</f>
        <v>Трансформатор ТМ-160/6/0,4</v>
      </c>
      <c r="B444" s="124" t="str">
        <f>'[2]2021 УГРЦТ'!B446</f>
        <v>00001016</v>
      </c>
      <c r="C444" s="124" t="str">
        <f>VLOOKUP(A:A,'2023-2027'!A:L,1,+FALSE)</f>
        <v>Трансформатор ТМ-160/6/0,4</v>
      </c>
      <c r="D444" s="124" t="str">
        <f>'[2]2021 УГРЦТ'!C446</f>
        <v>ПЕРЕДАЧА</v>
      </c>
      <c r="E444" s="124" t="str">
        <f>'[2]2021 УГРЦТ'!D446</f>
        <v>Машины и оборудование (кроме офисного)</v>
      </c>
      <c r="F444" s="124" t="str">
        <f>'[2]2021 УГРЦТ'!E446</f>
        <v>30.11.2006</v>
      </c>
      <c r="G444" s="124" t="str">
        <f>'[2]2021 УГРЦТ'!F446</f>
        <v>Цех электрических сетей</v>
      </c>
      <c r="H444" s="124">
        <f>'[2]2021 УГРЦТ'!AC446</f>
        <v>240</v>
      </c>
      <c r="I444" s="107">
        <f>'[2]2021 УГРЦТ'!X446</f>
        <v>82765.77</v>
      </c>
      <c r="J444" s="107">
        <f>'[2]2021 УГРЦТ'!Y446</f>
        <v>62419.628499999999</v>
      </c>
      <c r="K444" s="107">
        <f>'[2]2021 УГРЦТ'!Z446</f>
        <v>20346.141500000005</v>
      </c>
      <c r="L444" s="125" t="e">
        <f>SUMIF([2]облаг!$B$2:$B$259,B444,[2]облаг!$D$2:$D$259)</f>
        <v>#VALUE!</v>
      </c>
      <c r="M444" s="107">
        <f t="shared" si="414"/>
        <v>344.85737499999999</v>
      </c>
      <c r="N444" s="107">
        <f t="shared" si="415"/>
        <v>4138.2884999999997</v>
      </c>
      <c r="O444" s="107">
        <f t="shared" si="416"/>
        <v>20001.284125000006</v>
      </c>
      <c r="P444" s="107">
        <f t="shared" si="417"/>
        <v>19656.426750000006</v>
      </c>
      <c r="Q444" s="107">
        <f t="shared" si="438"/>
        <v>19311.569375000006</v>
      </c>
      <c r="R444" s="107">
        <f t="shared" si="439"/>
        <v>18966.712000000007</v>
      </c>
      <c r="S444" s="107">
        <f t="shared" si="440"/>
        <v>18621.854625000007</v>
      </c>
      <c r="T444" s="107">
        <f t="shared" si="441"/>
        <v>18276.997250000008</v>
      </c>
      <c r="U444" s="107">
        <f t="shared" si="442"/>
        <v>17932.139875000008</v>
      </c>
      <c r="V444" s="107">
        <f t="shared" si="443"/>
        <v>17587.282500000008</v>
      </c>
      <c r="W444" s="107">
        <f t="shared" si="444"/>
        <v>17242.425125000009</v>
      </c>
      <c r="X444" s="107">
        <f t="shared" si="445"/>
        <v>16897.567750000009</v>
      </c>
      <c r="Y444" s="107">
        <f t="shared" si="446"/>
        <v>16552.71037500001</v>
      </c>
      <c r="Z444" s="107">
        <f t="shared" si="447"/>
        <v>16207.85300000001</v>
      </c>
      <c r="AA444" s="107"/>
      <c r="AB444" s="107"/>
      <c r="AC444" s="107">
        <f t="shared" si="448"/>
        <v>4138.2884999999997</v>
      </c>
      <c r="AD444" s="107">
        <f t="shared" si="449"/>
        <v>15862.99562500001</v>
      </c>
      <c r="AE444" s="107">
        <f t="shared" si="450"/>
        <v>15518.138250000011</v>
      </c>
      <c r="AF444" s="107">
        <f t="shared" si="451"/>
        <v>15173.280875000011</v>
      </c>
      <c r="AG444" s="107">
        <f t="shared" si="452"/>
        <v>14828.423500000012</v>
      </c>
      <c r="AH444" s="107">
        <f t="shared" si="453"/>
        <v>14483.566125000012</v>
      </c>
      <c r="AI444" s="107">
        <f t="shared" si="454"/>
        <v>14138.708750000013</v>
      </c>
      <c r="AJ444" s="107">
        <f t="shared" si="455"/>
        <v>13793.851375000013</v>
      </c>
      <c r="AK444" s="107">
        <f t="shared" si="456"/>
        <v>13448.994000000013</v>
      </c>
      <c r="AL444" s="107">
        <f t="shared" si="457"/>
        <v>13104.136625000014</v>
      </c>
      <c r="AM444" s="107">
        <f t="shared" si="458"/>
        <v>12759.279250000014</v>
      </c>
      <c r="AN444" s="107">
        <f t="shared" si="459"/>
        <v>12414.421875000015</v>
      </c>
      <c r="AO444" s="107">
        <f t="shared" si="460"/>
        <v>12069.564500000015</v>
      </c>
      <c r="AP444" s="107"/>
      <c r="AQ444" s="126"/>
      <c r="AR444" s="107">
        <f t="shared" si="461"/>
        <v>4138.2884999999997</v>
      </c>
      <c r="AS444" s="107">
        <f>AO444-M444</f>
        <v>11724.707125000015</v>
      </c>
      <c r="AT444" s="107">
        <f>AS444-M444</f>
        <v>11379.849750000016</v>
      </c>
      <c r="AU444" s="107">
        <f>AT444-M444</f>
        <v>11034.992375000016</v>
      </c>
      <c r="AV444" s="107">
        <f>AU444-M444</f>
        <v>10690.135000000017</v>
      </c>
      <c r="AW444" s="107">
        <f>AV444-M444</f>
        <v>10345.277625000017</v>
      </c>
      <c r="AX444" s="107">
        <f>AW444-M444</f>
        <v>10000.420250000017</v>
      </c>
      <c r="AY444" s="107">
        <f>AX444-M444</f>
        <v>9655.5628750000178</v>
      </c>
      <c r="AZ444" s="107">
        <f>AY444-M444</f>
        <v>9310.7055000000182</v>
      </c>
      <c r="BA444" s="107">
        <f>AZ444-M444</f>
        <v>8965.8481250000186</v>
      </c>
      <c r="BB444" s="107">
        <f>BA444-M444</f>
        <v>8620.990750000019</v>
      </c>
      <c r="BC444" s="107">
        <f>BB444-M444</f>
        <v>8276.1333750000194</v>
      </c>
      <c r="BD444" s="107">
        <f>BC444-M444</f>
        <v>7931.2760000000198</v>
      </c>
      <c r="BE444" s="107"/>
      <c r="BF444" s="127"/>
      <c r="BG444" s="127"/>
      <c r="BH444" s="127"/>
      <c r="BI444" s="127"/>
      <c r="BJ444" s="127"/>
      <c r="BK444" s="127"/>
      <c r="BL444" s="127"/>
      <c r="BM444" s="127"/>
      <c r="BN444" s="127"/>
      <c r="BO444" s="127"/>
      <c r="BP444" s="127"/>
      <c r="BQ444" s="127"/>
      <c r="BR444" s="127"/>
      <c r="BS444" s="127"/>
      <c r="BT444" s="127"/>
      <c r="BU444" s="127"/>
      <c r="BV444" s="127"/>
    </row>
    <row r="445" spans="1:75" ht="22.5" hidden="1" x14ac:dyDescent="0.2">
      <c r="A445" s="123" t="str">
        <f>'[2]2021 УГРЦТ'!A447</f>
        <v>Трансформатор ТМ-250-6-0,4  №399099г 2000г выпуск</v>
      </c>
      <c r="B445" s="124" t="str">
        <f>'[2]2021 УГРЦТ'!B447</f>
        <v>00000267</v>
      </c>
      <c r="C445" s="124" t="str">
        <f>VLOOKUP(A:A,'2023-2027'!A:L,1,+FALSE)</f>
        <v>Трансформатор ТМ-250-6-0,4  №399099г 2000г выпуск</v>
      </c>
      <c r="D445" s="124" t="str">
        <f>'[2]2021 УГРЦТ'!C447</f>
        <v>ПЕРЕДАЧА</v>
      </c>
      <c r="E445" s="124" t="str">
        <f>'[2]2021 УГРЦТ'!D447</f>
        <v>Машины и оборудование (кроме офисного)</v>
      </c>
      <c r="F445" s="124" t="str">
        <f>'[2]2021 УГРЦТ'!E447</f>
        <v>01.09.2000</v>
      </c>
      <c r="G445" s="124" t="str">
        <f>'[2]2021 УГРЦТ'!F447</f>
        <v>Цех электрических сетей</v>
      </c>
      <c r="H445" s="124">
        <f>'[2]2021 УГРЦТ'!AC447</f>
        <v>276</v>
      </c>
      <c r="I445" s="107">
        <f>'[2]2021 УГРЦТ'!X447</f>
        <v>41151.67</v>
      </c>
      <c r="J445" s="107">
        <f>'[2]2021 УГРЦТ'!Y447</f>
        <v>38043.103043478259</v>
      </c>
      <c r="K445" s="107">
        <f>'[2]2021 УГРЦТ'!Z447</f>
        <v>3108.5669565217395</v>
      </c>
      <c r="L445" s="125" t="e">
        <f>SUMIF([2]облаг!$B$2:$B$259,B445,[2]облаг!$D$2:$D$259)</f>
        <v>#VALUE!</v>
      </c>
      <c r="M445" s="107">
        <f t="shared" si="414"/>
        <v>149.10025362318839</v>
      </c>
      <c r="N445" s="107">
        <f t="shared" si="415"/>
        <v>1789.2030434782607</v>
      </c>
      <c r="O445" s="107">
        <f t="shared" si="416"/>
        <v>2959.4667028985509</v>
      </c>
      <c r="P445" s="107">
        <f t="shared" si="417"/>
        <v>2810.3664492753624</v>
      </c>
      <c r="Q445" s="107">
        <f t="shared" si="438"/>
        <v>2661.2661956521738</v>
      </c>
      <c r="R445" s="107">
        <f t="shared" si="439"/>
        <v>2512.1659420289852</v>
      </c>
      <c r="S445" s="107">
        <f t="shared" si="440"/>
        <v>2363.0656884057967</v>
      </c>
      <c r="T445" s="107">
        <f t="shared" si="441"/>
        <v>2213.9654347826081</v>
      </c>
      <c r="U445" s="107">
        <f t="shared" si="442"/>
        <v>2064.8651811594195</v>
      </c>
      <c r="V445" s="107">
        <f t="shared" si="443"/>
        <v>1915.7649275362312</v>
      </c>
      <c r="W445" s="107">
        <f t="shared" si="444"/>
        <v>1766.6646739130429</v>
      </c>
      <c r="X445" s="107">
        <f t="shared" si="445"/>
        <v>1617.5644202898545</v>
      </c>
      <c r="Y445" s="107">
        <f t="shared" si="446"/>
        <v>1468.4641666666662</v>
      </c>
      <c r="Z445" s="107">
        <f t="shared" si="447"/>
        <v>1319.3639130434779</v>
      </c>
      <c r="AA445" s="107"/>
      <c r="AB445" s="107"/>
      <c r="AC445" s="107">
        <f>AD445</f>
        <v>1170.2636594202895</v>
      </c>
      <c r="AD445" s="107">
        <f t="shared" si="449"/>
        <v>1170.2636594202895</v>
      </c>
      <c r="AE445" s="107">
        <f t="shared" si="450"/>
        <v>1021.1634057971012</v>
      </c>
      <c r="AF445" s="107">
        <f t="shared" si="451"/>
        <v>872.06315217391284</v>
      </c>
      <c r="AG445" s="107">
        <f t="shared" si="452"/>
        <v>722.9628985507245</v>
      </c>
      <c r="AH445" s="107">
        <f t="shared" si="453"/>
        <v>573.86264492753617</v>
      </c>
      <c r="AI445" s="107">
        <f t="shared" si="454"/>
        <v>424.76239130434777</v>
      </c>
      <c r="AJ445" s="107">
        <f t="shared" si="455"/>
        <v>275.66213768115938</v>
      </c>
      <c r="AK445" s="107">
        <f t="shared" si="456"/>
        <v>126.56188405797099</v>
      </c>
      <c r="AL445" s="107">
        <v>0</v>
      </c>
      <c r="AM445" s="107">
        <v>0</v>
      </c>
      <c r="AN445" s="107">
        <v>0</v>
      </c>
      <c r="AO445" s="107">
        <v>0</v>
      </c>
      <c r="AP445" s="107"/>
      <c r="AQ445" s="126"/>
      <c r="AR445" s="107">
        <v>0</v>
      </c>
      <c r="AS445" s="107">
        <v>0</v>
      </c>
      <c r="AT445" s="107">
        <v>0</v>
      </c>
      <c r="AU445" s="107">
        <v>0</v>
      </c>
      <c r="AV445" s="107">
        <v>0</v>
      </c>
      <c r="AW445" s="107">
        <v>0</v>
      </c>
      <c r="AX445" s="107">
        <v>0</v>
      </c>
      <c r="AY445" s="107">
        <v>0</v>
      </c>
      <c r="AZ445" s="107">
        <v>0</v>
      </c>
      <c r="BA445" s="107">
        <v>0</v>
      </c>
      <c r="BB445" s="107">
        <v>0</v>
      </c>
      <c r="BC445" s="107">
        <v>0</v>
      </c>
      <c r="BD445" s="107">
        <v>0</v>
      </c>
      <c r="BE445" s="124"/>
      <c r="BI445" s="127"/>
    </row>
    <row r="446" spans="1:75" ht="22.5" hidden="1" x14ac:dyDescent="0.2">
      <c r="A446" s="123" t="str">
        <f>'[2]2021 УГРЦТ'!A448</f>
        <v>Трансформатор ТМ-400 КВА 6/0,4 №30854 2007г</v>
      </c>
      <c r="B446" s="124" t="str">
        <f>'[2]2021 УГРЦТ'!B448</f>
        <v>000001689</v>
      </c>
      <c r="C446" s="124" t="str">
        <f>VLOOKUP(A:A,'2023-2027'!A:L,1,+FALSE)</f>
        <v>Трансформатор ТМ-400 КВА 6/0,4 №30854 2007г</v>
      </c>
      <c r="D446" s="124" t="str">
        <f>'[2]2021 УГРЦТ'!C448</f>
        <v>ПЕРЕДАЧА</v>
      </c>
      <c r="E446" s="124" t="str">
        <f>'[2]2021 УГРЦТ'!D448</f>
        <v>Машины и оборудование (кроме офисного)</v>
      </c>
      <c r="F446" s="124" t="str">
        <f>'[2]2021 УГРЦТ'!E448</f>
        <v>29.07.2016</v>
      </c>
      <c r="G446" s="124" t="str">
        <f>'[2]2021 УГРЦТ'!F448</f>
        <v>Цех электрических сетей</v>
      </c>
      <c r="H446" s="124">
        <f>'[2]2021 УГРЦТ'!AC448</f>
        <v>132</v>
      </c>
      <c r="I446" s="107">
        <f>'[2]2021 УГРЦТ'!X448</f>
        <v>47535.41</v>
      </c>
      <c r="J446" s="107">
        <f>'[2]2021 УГРЦТ'!Y448</f>
        <v>23407.76090909091</v>
      </c>
      <c r="K446" s="107">
        <f>'[2]2021 УГРЦТ'!Z448</f>
        <v>24127.649090909094</v>
      </c>
      <c r="L446" s="125" t="e">
        <f>SUMIF([2]облаг!$B$2:$B$259,B446,[2]облаг!$D$2:$D$259)</f>
        <v>#VALUE!</v>
      </c>
      <c r="M446" s="107">
        <f t="shared" si="414"/>
        <v>360.11674242424243</v>
      </c>
      <c r="N446" s="107">
        <f t="shared" si="415"/>
        <v>4321.4009090909094</v>
      </c>
      <c r="O446" s="107">
        <f t="shared" si="416"/>
        <v>23767.532348484852</v>
      </c>
      <c r="P446" s="107">
        <f t="shared" si="417"/>
        <v>23407.415606060611</v>
      </c>
      <c r="Q446" s="107">
        <f t="shared" si="438"/>
        <v>23047.29886363637</v>
      </c>
      <c r="R446" s="107">
        <f t="shared" si="439"/>
        <v>22687.182121212129</v>
      </c>
      <c r="S446" s="107">
        <f t="shared" si="440"/>
        <v>22327.065378787887</v>
      </c>
      <c r="T446" s="107">
        <f t="shared" si="441"/>
        <v>21966.948636363646</v>
      </c>
      <c r="U446" s="107">
        <f t="shared" si="442"/>
        <v>21606.831893939405</v>
      </c>
      <c r="V446" s="107">
        <f t="shared" si="443"/>
        <v>21246.715151515164</v>
      </c>
      <c r="W446" s="107">
        <f t="shared" si="444"/>
        <v>20886.598409090922</v>
      </c>
      <c r="X446" s="107">
        <f t="shared" si="445"/>
        <v>20526.481666666681</v>
      </c>
      <c r="Y446" s="107">
        <f t="shared" si="446"/>
        <v>20166.36492424244</v>
      </c>
      <c r="Z446" s="107">
        <f t="shared" si="447"/>
        <v>19806.248181818199</v>
      </c>
      <c r="AA446" s="107"/>
      <c r="AB446" s="107"/>
      <c r="AC446" s="107">
        <f t="shared" si="448"/>
        <v>4321.4009090909094</v>
      </c>
      <c r="AD446" s="107">
        <f t="shared" si="449"/>
        <v>19446.131439393957</v>
      </c>
      <c r="AE446" s="107">
        <f t="shared" si="450"/>
        <v>19086.014696969716</v>
      </c>
      <c r="AF446" s="107">
        <f t="shared" si="451"/>
        <v>18725.897954545475</v>
      </c>
      <c r="AG446" s="107">
        <f t="shared" si="452"/>
        <v>18365.781212121234</v>
      </c>
      <c r="AH446" s="107">
        <f t="shared" si="453"/>
        <v>18005.664469696992</v>
      </c>
      <c r="AI446" s="107">
        <f t="shared" si="454"/>
        <v>17645.547727272751</v>
      </c>
      <c r="AJ446" s="107">
        <f t="shared" si="455"/>
        <v>17285.43098484851</v>
      </c>
      <c r="AK446" s="107">
        <f t="shared" si="456"/>
        <v>16925.314242424269</v>
      </c>
      <c r="AL446" s="107">
        <f t="shared" si="457"/>
        <v>16565.197500000028</v>
      </c>
      <c r="AM446" s="107">
        <f t="shared" si="458"/>
        <v>16205.080757575784</v>
      </c>
      <c r="AN446" s="107">
        <f t="shared" si="459"/>
        <v>15844.964015151541</v>
      </c>
      <c r="AO446" s="107">
        <f t="shared" si="460"/>
        <v>15484.847272727298</v>
      </c>
      <c r="AP446" s="107"/>
      <c r="AQ446" s="126"/>
      <c r="AR446" s="107">
        <f t="shared" si="461"/>
        <v>4321.4009090909094</v>
      </c>
      <c r="AS446" s="107">
        <f>AO446-M446</f>
        <v>15124.730530303055</v>
      </c>
      <c r="AT446" s="107">
        <f>AS446-M446</f>
        <v>14764.613787878812</v>
      </c>
      <c r="AU446" s="107">
        <f>AT446-M446</f>
        <v>14404.497045454569</v>
      </c>
      <c r="AV446" s="107">
        <f>AU446-M446</f>
        <v>14044.380303030326</v>
      </c>
      <c r="AW446" s="107">
        <f>AV446-M446</f>
        <v>13684.263560606083</v>
      </c>
      <c r="AX446" s="107">
        <f>AW446-M446</f>
        <v>13324.14681818184</v>
      </c>
      <c r="AY446" s="107">
        <f>AX446-M446</f>
        <v>12964.030075757597</v>
      </c>
      <c r="AZ446" s="107">
        <f>AY446-M446</f>
        <v>12603.913333333354</v>
      </c>
      <c r="BA446" s="107">
        <f>AZ446-M446</f>
        <v>12243.796590909111</v>
      </c>
      <c r="BB446" s="107">
        <f>BA446-M446</f>
        <v>11883.679848484868</v>
      </c>
      <c r="BC446" s="107">
        <f>BB446-M446</f>
        <v>11523.563106060625</v>
      </c>
      <c r="BD446" s="107">
        <f>BC446-M446</f>
        <v>11163.446363636382</v>
      </c>
      <c r="BE446" s="10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</row>
    <row r="447" spans="1:75" ht="22.5" hidden="1" x14ac:dyDescent="0.2">
      <c r="A447" s="123" t="str">
        <f>'[2]2021 УГРЦТ'!A449</f>
        <v>Трансформатор ТМ-400 КВА 6/0,4 №5909 2007г</v>
      </c>
      <c r="B447" s="124" t="str">
        <f>'[2]2021 УГРЦТ'!B449</f>
        <v>00001043</v>
      </c>
      <c r="C447" s="124" t="str">
        <f>VLOOKUP(A:A,'2023-2027'!A:L,1,+FALSE)</f>
        <v>Трансформатор ТМ-400 КВА 6/0,4 №5909 2007г</v>
      </c>
      <c r="D447" s="124" t="str">
        <f>'[2]2021 УГРЦТ'!C449</f>
        <v>ПЕРЕДАЧА</v>
      </c>
      <c r="E447" s="124" t="str">
        <f>'[2]2021 УГРЦТ'!D449</f>
        <v>Машины и оборудование (кроме офисного)</v>
      </c>
      <c r="F447" s="124" t="str">
        <f>'[2]2021 УГРЦТ'!E449</f>
        <v>31.07.2007</v>
      </c>
      <c r="G447" s="124" t="str">
        <f>'[2]2021 УГРЦТ'!F449</f>
        <v>Цех электрических сетей</v>
      </c>
      <c r="H447" s="124">
        <f>'[2]2021 УГРЦТ'!AC449</f>
        <v>240</v>
      </c>
      <c r="I447" s="107">
        <f>'[2]2021 УГРЦТ'!X449</f>
        <v>182634.78</v>
      </c>
      <c r="J447" s="107">
        <f>'[2]2021 УГРЦТ'!Y449</f>
        <v>131649.519</v>
      </c>
      <c r="K447" s="107">
        <f>'[2]2021 УГРЦТ'!Z449</f>
        <v>50985.260999999999</v>
      </c>
      <c r="L447" s="125" t="e">
        <f>SUMIF([2]облаг!$B$2:$B$259,B447,[2]облаг!$D$2:$D$259)</f>
        <v>#VALUE!</v>
      </c>
      <c r="M447" s="107">
        <f t="shared" si="414"/>
        <v>760.97825</v>
      </c>
      <c r="N447" s="107">
        <f t="shared" si="415"/>
        <v>9131.7389999999996</v>
      </c>
      <c r="O447" s="107">
        <f t="shared" si="416"/>
        <v>50224.282749999998</v>
      </c>
      <c r="P447" s="107">
        <f t="shared" si="417"/>
        <v>49463.304499999998</v>
      </c>
      <c r="Q447" s="107">
        <f t="shared" si="438"/>
        <v>48702.326249999998</v>
      </c>
      <c r="R447" s="107">
        <f t="shared" si="439"/>
        <v>47941.347999999998</v>
      </c>
      <c r="S447" s="107">
        <f t="shared" si="440"/>
        <v>47180.369749999998</v>
      </c>
      <c r="T447" s="107">
        <f t="shared" si="441"/>
        <v>46419.391499999998</v>
      </c>
      <c r="U447" s="107">
        <f t="shared" si="442"/>
        <v>45658.413249999998</v>
      </c>
      <c r="V447" s="107">
        <f t="shared" si="443"/>
        <v>44897.434999999998</v>
      </c>
      <c r="W447" s="107">
        <f t="shared" si="444"/>
        <v>44136.456749999998</v>
      </c>
      <c r="X447" s="107">
        <f t="shared" si="445"/>
        <v>43375.478499999997</v>
      </c>
      <c r="Y447" s="107">
        <f t="shared" si="446"/>
        <v>42614.500249999997</v>
      </c>
      <c r="Z447" s="107">
        <f t="shared" si="447"/>
        <v>41853.521999999997</v>
      </c>
      <c r="AA447" s="107"/>
      <c r="AB447" s="107"/>
      <c r="AC447" s="107">
        <f t="shared" si="448"/>
        <v>9131.7389999999996</v>
      </c>
      <c r="AD447" s="107">
        <f t="shared" si="449"/>
        <v>41092.543749999997</v>
      </c>
      <c r="AE447" s="107">
        <f t="shared" si="450"/>
        <v>40331.565499999997</v>
      </c>
      <c r="AF447" s="107">
        <f t="shared" si="451"/>
        <v>39570.587249999997</v>
      </c>
      <c r="AG447" s="107">
        <f t="shared" si="452"/>
        <v>38809.608999999997</v>
      </c>
      <c r="AH447" s="107">
        <f t="shared" si="453"/>
        <v>38048.630749999997</v>
      </c>
      <c r="AI447" s="107">
        <f t="shared" si="454"/>
        <v>37287.652499999997</v>
      </c>
      <c r="AJ447" s="107">
        <f t="shared" si="455"/>
        <v>36526.674249999996</v>
      </c>
      <c r="AK447" s="107">
        <f t="shared" si="456"/>
        <v>35765.695999999996</v>
      </c>
      <c r="AL447" s="107">
        <f t="shared" si="457"/>
        <v>35004.717749999996</v>
      </c>
      <c r="AM447" s="107">
        <f t="shared" si="458"/>
        <v>34243.739499999996</v>
      </c>
      <c r="AN447" s="107">
        <f t="shared" si="459"/>
        <v>33482.761249999996</v>
      </c>
      <c r="AO447" s="107">
        <f t="shared" si="460"/>
        <v>32721.782999999996</v>
      </c>
      <c r="AP447" s="107"/>
      <c r="AQ447" s="126"/>
      <c r="AR447" s="107">
        <f t="shared" si="461"/>
        <v>9131.7389999999996</v>
      </c>
      <c r="AS447" s="107">
        <f>AO447-M447</f>
        <v>31960.804749999996</v>
      </c>
      <c r="AT447" s="107">
        <f>AS447-M447</f>
        <v>31199.826499999996</v>
      </c>
      <c r="AU447" s="107">
        <f>AT447-M447</f>
        <v>30438.848249999995</v>
      </c>
      <c r="AV447" s="107">
        <f>AU447-M447</f>
        <v>29677.869999999995</v>
      </c>
      <c r="AW447" s="107">
        <f>AV447-M447</f>
        <v>28916.891749999995</v>
      </c>
      <c r="AX447" s="107">
        <f>AW447-M447</f>
        <v>28155.913499999995</v>
      </c>
      <c r="AY447" s="107">
        <f>AX447-M447</f>
        <v>27394.935249999995</v>
      </c>
      <c r="AZ447" s="107">
        <f>AY447-M447</f>
        <v>26633.956999999995</v>
      </c>
      <c r="BA447" s="107">
        <f>AZ447-M447</f>
        <v>25872.978749999995</v>
      </c>
      <c r="BB447" s="107">
        <f>BA447-M447</f>
        <v>25112.000499999995</v>
      </c>
      <c r="BC447" s="107">
        <f>BB447-M447</f>
        <v>24351.022249999995</v>
      </c>
      <c r="BD447" s="107">
        <f>BC447-M447</f>
        <v>23590.043999999994</v>
      </c>
      <c r="BE447" s="107"/>
      <c r="BF447" s="127"/>
      <c r="BG447" s="127"/>
      <c r="BH447" s="127"/>
      <c r="BI447" s="127"/>
      <c r="BJ447" s="127"/>
      <c r="BK447" s="127"/>
      <c r="BL447" s="127"/>
      <c r="BM447" s="127"/>
      <c r="BN447" s="127"/>
      <c r="BO447" s="127"/>
      <c r="BP447" s="127"/>
      <c r="BQ447" s="127"/>
      <c r="BR447" s="127"/>
      <c r="BS447" s="127"/>
      <c r="BT447" s="127"/>
      <c r="BU447" s="127"/>
      <c r="BV447" s="127"/>
      <c r="BW447" s="127"/>
    </row>
    <row r="448" spans="1:75" ht="22.5" hidden="1" x14ac:dyDescent="0.2">
      <c r="A448" s="123" t="str">
        <f>'[2]2021 УГРЦТ'!A450</f>
        <v>Трансформатор ТМ-400 КВА6/0,4 №3192 2007г</v>
      </c>
      <c r="B448" s="124" t="str">
        <f>'[2]2021 УГРЦТ'!B450</f>
        <v>00001045</v>
      </c>
      <c r="C448" s="124" t="str">
        <f>VLOOKUP(A:A,'2023-2027'!A:L,1,+FALSE)</f>
        <v>Трансформатор ТМ-400 КВА6/0,4 №3192 2007г</v>
      </c>
      <c r="D448" s="124" t="str">
        <f>'[2]2021 УГРЦТ'!C450</f>
        <v>ПЕРЕДАЧА</v>
      </c>
      <c r="E448" s="124" t="str">
        <f>'[2]2021 УГРЦТ'!D450</f>
        <v>Машины и оборудование (кроме офисного)</v>
      </c>
      <c r="F448" s="124" t="str">
        <f>'[2]2021 УГРЦТ'!E450</f>
        <v>31.07.2007</v>
      </c>
      <c r="G448" s="124" t="str">
        <f>'[2]2021 УГРЦТ'!F450</f>
        <v>Цех электрических сетей</v>
      </c>
      <c r="H448" s="124">
        <f>'[2]2021 УГРЦТ'!AC450</f>
        <v>240</v>
      </c>
      <c r="I448" s="107">
        <f>'[2]2021 УГРЦТ'!X450</f>
        <v>182634.77</v>
      </c>
      <c r="J448" s="107">
        <f>'[2]2021 УГРЦТ'!Y450</f>
        <v>131649.51850000001</v>
      </c>
      <c r="K448" s="107">
        <f>'[2]2021 УГРЦТ'!Z450</f>
        <v>50985.251499999984</v>
      </c>
      <c r="L448" s="125" t="e">
        <f>SUMIF([2]облаг!$B$2:$B$259,B448,[2]облаг!$D$2:$D$259)</f>
        <v>#VALUE!</v>
      </c>
      <c r="M448" s="107">
        <f t="shared" si="414"/>
        <v>760.97820833333333</v>
      </c>
      <c r="N448" s="107">
        <f t="shared" si="415"/>
        <v>9131.7384999999995</v>
      </c>
      <c r="O448" s="107">
        <f t="shared" si="416"/>
        <v>50224.27329166665</v>
      </c>
      <c r="P448" s="107">
        <f t="shared" si="417"/>
        <v>49463.295083333316</v>
      </c>
      <c r="Q448" s="107">
        <f t="shared" si="438"/>
        <v>48702.316874999982</v>
      </c>
      <c r="R448" s="107">
        <f t="shared" si="439"/>
        <v>47941.338666666648</v>
      </c>
      <c r="S448" s="107">
        <f t="shared" si="440"/>
        <v>47180.360458333314</v>
      </c>
      <c r="T448" s="107">
        <f t="shared" si="441"/>
        <v>46419.382249999981</v>
      </c>
      <c r="U448" s="107">
        <f t="shared" si="442"/>
        <v>45658.404041666647</v>
      </c>
      <c r="V448" s="107">
        <f t="shared" si="443"/>
        <v>44897.425833333313</v>
      </c>
      <c r="W448" s="107">
        <f t="shared" si="444"/>
        <v>44136.447624999979</v>
      </c>
      <c r="X448" s="107">
        <f t="shared" si="445"/>
        <v>43375.469416666645</v>
      </c>
      <c r="Y448" s="107">
        <f t="shared" si="446"/>
        <v>42614.491208333311</v>
      </c>
      <c r="Z448" s="107">
        <f t="shared" si="447"/>
        <v>41853.512999999977</v>
      </c>
      <c r="AA448" s="107"/>
      <c r="AB448" s="107"/>
      <c r="AC448" s="107">
        <f t="shared" si="448"/>
        <v>9131.7384999999995</v>
      </c>
      <c r="AD448" s="107">
        <f t="shared" si="449"/>
        <v>41092.534791666643</v>
      </c>
      <c r="AE448" s="107">
        <f t="shared" si="450"/>
        <v>40331.556583333309</v>
      </c>
      <c r="AF448" s="107">
        <f t="shared" si="451"/>
        <v>39570.578374999975</v>
      </c>
      <c r="AG448" s="107">
        <f t="shared" si="452"/>
        <v>38809.600166666642</v>
      </c>
      <c r="AH448" s="107">
        <f t="shared" si="453"/>
        <v>38048.621958333308</v>
      </c>
      <c r="AI448" s="107">
        <f t="shared" si="454"/>
        <v>37287.643749999974</v>
      </c>
      <c r="AJ448" s="107">
        <f t="shared" si="455"/>
        <v>36526.66554166664</v>
      </c>
      <c r="AK448" s="107">
        <f t="shared" si="456"/>
        <v>35765.687333333306</v>
      </c>
      <c r="AL448" s="107">
        <f t="shared" si="457"/>
        <v>35004.709124999972</v>
      </c>
      <c r="AM448" s="107">
        <f t="shared" si="458"/>
        <v>34243.730916666638</v>
      </c>
      <c r="AN448" s="107">
        <f t="shared" si="459"/>
        <v>33482.752708333304</v>
      </c>
      <c r="AO448" s="107">
        <f t="shared" si="460"/>
        <v>32721.77449999997</v>
      </c>
      <c r="AP448" s="107"/>
      <c r="AQ448" s="126"/>
      <c r="AR448" s="107">
        <f t="shared" si="461"/>
        <v>9131.7384999999995</v>
      </c>
      <c r="AS448" s="107">
        <f>AO448-M448</f>
        <v>31960.796291666637</v>
      </c>
      <c r="AT448" s="107">
        <f>AS448-M448</f>
        <v>31199.818083333303</v>
      </c>
      <c r="AU448" s="107">
        <f>AT448-M448</f>
        <v>30438.839874999969</v>
      </c>
      <c r="AV448" s="107">
        <f>AU448-M448</f>
        <v>29677.861666666635</v>
      </c>
      <c r="AW448" s="107">
        <f>AV448-M448</f>
        <v>28916.883458333301</v>
      </c>
      <c r="AX448" s="107">
        <f>AW448-M448</f>
        <v>28155.905249999967</v>
      </c>
      <c r="AY448" s="107">
        <f>AX448-M448</f>
        <v>27394.927041666633</v>
      </c>
      <c r="AZ448" s="107">
        <f>AY448-M448</f>
        <v>26633.948833333299</v>
      </c>
      <c r="BA448" s="107">
        <f>AZ448-M448</f>
        <v>25872.970624999965</v>
      </c>
      <c r="BB448" s="107">
        <f>BA448-M448</f>
        <v>25111.992416666631</v>
      </c>
      <c r="BC448" s="107">
        <f>BB448-M448</f>
        <v>24351.014208333298</v>
      </c>
      <c r="BD448" s="107">
        <f>BC448-M448</f>
        <v>23590.035999999964</v>
      </c>
      <c r="BE448" s="107"/>
      <c r="BF448" s="127"/>
      <c r="BG448" s="127"/>
      <c r="BH448" s="127"/>
      <c r="BI448" s="127"/>
      <c r="BJ448" s="127"/>
      <c r="BK448" s="127"/>
      <c r="BL448" s="127"/>
      <c r="BM448" s="127"/>
      <c r="BN448" s="127"/>
      <c r="BO448" s="127"/>
      <c r="BP448" s="127"/>
      <c r="BQ448" s="127"/>
      <c r="BR448" s="127"/>
      <c r="BS448" s="127"/>
      <c r="BT448" s="127"/>
      <c r="BU448" s="127"/>
      <c r="BV448" s="127"/>
      <c r="BW448" s="127"/>
    </row>
    <row r="449" spans="1:75" ht="22.5" hidden="1" x14ac:dyDescent="0.2">
      <c r="A449" s="123" t="str">
        <f>'[2]2021 УГРЦТ'!A451</f>
        <v>Трансформатор ТМ400/6 №1510715 (ТП №65 с 18.08.09)</v>
      </c>
      <c r="B449" s="124" t="str">
        <f>'[2]2021 УГРЦТ'!B451</f>
        <v>00001102</v>
      </c>
      <c r="C449" s="124" t="str">
        <f>VLOOKUP(A:A,'2023-2027'!A:L,1,+FALSE)</f>
        <v>Трансформатор ТМ400/6 №1510715 (ТП №65 с 18.08.09)</v>
      </c>
      <c r="D449" s="124" t="str">
        <f>'[2]2021 УГРЦТ'!C451</f>
        <v>ПЕРЕДАЧА</v>
      </c>
      <c r="E449" s="124" t="str">
        <f>'[2]2021 УГРЦТ'!D451</f>
        <v>Машины и оборудование (кроме офисного)</v>
      </c>
      <c r="F449" s="124" t="str">
        <f>'[2]2021 УГРЦТ'!E451</f>
        <v>31.12.2008</v>
      </c>
      <c r="G449" s="124" t="str">
        <f>'[2]2021 УГРЦТ'!F451</f>
        <v>Цех электрических сетей</v>
      </c>
      <c r="H449" s="124">
        <f>'[2]2021 УГРЦТ'!AC451</f>
        <v>180</v>
      </c>
      <c r="I449" s="107">
        <f>'[2]2021 УГРЦТ'!X451</f>
        <v>225395.68</v>
      </c>
      <c r="J449" s="107">
        <f>'[2]2021 УГРЦТ'!Y451</f>
        <v>195343.17866666664</v>
      </c>
      <c r="K449" s="107">
        <f>'[2]2021 УГРЦТ'!Z451</f>
        <v>30052.501333333348</v>
      </c>
      <c r="L449" s="125" t="e">
        <f>SUMIF([2]облаг!$B$2:$B$259,B449,[2]облаг!$D$2:$D$259)</f>
        <v>#VALUE!</v>
      </c>
      <c r="M449" s="107">
        <f t="shared" si="414"/>
        <v>1252.1982222222223</v>
      </c>
      <c r="N449" s="107">
        <f t="shared" si="415"/>
        <v>15026.378666666667</v>
      </c>
      <c r="O449" s="107">
        <f t="shared" si="416"/>
        <v>28800.303111111127</v>
      </c>
      <c r="P449" s="107">
        <f t="shared" si="417"/>
        <v>27548.104888888905</v>
      </c>
      <c r="Q449" s="107">
        <f t="shared" si="438"/>
        <v>26295.906666666684</v>
      </c>
      <c r="R449" s="107">
        <f t="shared" si="439"/>
        <v>25043.708444444463</v>
      </c>
      <c r="S449" s="107">
        <f t="shared" si="440"/>
        <v>23791.510222222241</v>
      </c>
      <c r="T449" s="107">
        <f t="shared" si="441"/>
        <v>22539.31200000002</v>
      </c>
      <c r="U449" s="107">
        <f t="shared" si="442"/>
        <v>21287.113777777799</v>
      </c>
      <c r="V449" s="107">
        <f t="shared" si="443"/>
        <v>20034.915555555577</v>
      </c>
      <c r="W449" s="107">
        <f t="shared" si="444"/>
        <v>18782.717333333356</v>
      </c>
      <c r="X449" s="107">
        <f t="shared" si="445"/>
        <v>17530.519111111134</v>
      </c>
      <c r="Y449" s="107">
        <f t="shared" si="446"/>
        <v>16278.320888888913</v>
      </c>
      <c r="Z449" s="107">
        <f t="shared" si="447"/>
        <v>15026.122666666692</v>
      </c>
      <c r="AA449" s="107"/>
      <c r="AB449" s="107"/>
      <c r="AC449" s="107">
        <f>AD449</f>
        <v>13773.92444444447</v>
      </c>
      <c r="AD449" s="107">
        <f t="shared" si="449"/>
        <v>13773.92444444447</v>
      </c>
      <c r="AE449" s="107">
        <f t="shared" si="450"/>
        <v>12521.726222222249</v>
      </c>
      <c r="AF449" s="107">
        <f t="shared" si="451"/>
        <v>11269.528000000028</v>
      </c>
      <c r="AG449" s="107">
        <f t="shared" si="452"/>
        <v>10017.329777777806</v>
      </c>
      <c r="AH449" s="107">
        <f t="shared" si="453"/>
        <v>8765.1315555555848</v>
      </c>
      <c r="AI449" s="107">
        <f t="shared" si="454"/>
        <v>7512.9333333333625</v>
      </c>
      <c r="AJ449" s="107">
        <f t="shared" si="455"/>
        <v>6260.7351111111402</v>
      </c>
      <c r="AK449" s="107">
        <f t="shared" si="456"/>
        <v>5008.5368888889179</v>
      </c>
      <c r="AL449" s="107">
        <f t="shared" si="457"/>
        <v>3756.3386666666956</v>
      </c>
      <c r="AM449" s="107">
        <f t="shared" si="458"/>
        <v>2504.1404444444734</v>
      </c>
      <c r="AN449" s="107">
        <f t="shared" si="459"/>
        <v>1251.9422222222511</v>
      </c>
      <c r="AO449" s="107">
        <v>0</v>
      </c>
      <c r="AP449" s="107"/>
      <c r="AQ449" s="126"/>
      <c r="AR449" s="107">
        <v>0</v>
      </c>
      <c r="AS449" s="107">
        <v>0</v>
      </c>
      <c r="AT449" s="107">
        <v>0</v>
      </c>
      <c r="AU449" s="107">
        <v>0</v>
      </c>
      <c r="AV449" s="107">
        <v>0</v>
      </c>
      <c r="AW449" s="107">
        <v>0</v>
      </c>
      <c r="AX449" s="107">
        <v>0</v>
      </c>
      <c r="AY449" s="107">
        <v>0</v>
      </c>
      <c r="AZ449" s="107">
        <v>0</v>
      </c>
      <c r="BA449" s="107">
        <v>0</v>
      </c>
      <c r="BB449" s="107">
        <v>0</v>
      </c>
      <c r="BC449" s="107">
        <v>0</v>
      </c>
      <c r="BD449" s="107">
        <v>0</v>
      </c>
      <c r="BE449" s="124"/>
      <c r="BI449" s="127"/>
    </row>
    <row r="450" spans="1:75" ht="22.5" hidden="1" x14ac:dyDescent="0.2">
      <c r="A450" s="123" t="str">
        <f>'[2]2021 УГРЦТ'!A452</f>
        <v>Трансформатор ТМГ-160/6 1379549</v>
      </c>
      <c r="B450" s="124" t="str">
        <f>'[2]2021 УГРЦТ'!B452</f>
        <v>00001015</v>
      </c>
      <c r="C450" s="124" t="str">
        <f>VLOOKUP(A:A,'2023-2027'!A:L,1,+FALSE)</f>
        <v>Трансформатор ТМГ-160/6 1379549</v>
      </c>
      <c r="D450" s="124" t="str">
        <f>'[2]2021 УГРЦТ'!C452</f>
        <v>ПЕРЕДАЧА</v>
      </c>
      <c r="E450" s="124" t="str">
        <f>'[2]2021 УГРЦТ'!D452</f>
        <v>Машины и оборудование (кроме офисного)</v>
      </c>
      <c r="F450" s="124" t="str">
        <f>'[2]2021 УГРЦТ'!E452</f>
        <v>30.11.2006</v>
      </c>
      <c r="G450" s="124" t="str">
        <f>'[2]2021 УГРЦТ'!F452</f>
        <v>Цех электрических сетей</v>
      </c>
      <c r="H450" s="124">
        <f>'[2]2021 УГРЦТ'!AC452</f>
        <v>240</v>
      </c>
      <c r="I450" s="107">
        <f>'[2]2021 УГРЦТ'!X452</f>
        <v>115398.53</v>
      </c>
      <c r="J450" s="107">
        <f>'[2]2021 УГРЦТ'!Y452</f>
        <v>87030.196500000005</v>
      </c>
      <c r="K450" s="107">
        <f>'[2]2021 УГРЦТ'!Z452</f>
        <v>28368.333499999993</v>
      </c>
      <c r="L450" s="125" t="e">
        <f>SUMIF([2]облаг!$B$2:$B$259,B450,[2]облаг!$D$2:$D$259)</f>
        <v>#VALUE!</v>
      </c>
      <c r="M450" s="107">
        <f t="shared" si="414"/>
        <v>480.82720833333332</v>
      </c>
      <c r="N450" s="107">
        <f t="shared" si="415"/>
        <v>5769.9264999999996</v>
      </c>
      <c r="O450" s="107">
        <f t="shared" si="416"/>
        <v>27887.506291666661</v>
      </c>
      <c r="P450" s="107">
        <f t="shared" si="417"/>
        <v>27406.679083333329</v>
      </c>
      <c r="Q450" s="107">
        <f t="shared" si="438"/>
        <v>26925.851874999997</v>
      </c>
      <c r="R450" s="107">
        <f t="shared" si="439"/>
        <v>26445.024666666664</v>
      </c>
      <c r="S450" s="107">
        <f t="shared" si="440"/>
        <v>25964.197458333332</v>
      </c>
      <c r="T450" s="107">
        <f t="shared" si="441"/>
        <v>25483.37025</v>
      </c>
      <c r="U450" s="107">
        <f t="shared" si="442"/>
        <v>25002.543041666668</v>
      </c>
      <c r="V450" s="107">
        <f t="shared" si="443"/>
        <v>24521.715833333335</v>
      </c>
      <c r="W450" s="107">
        <f t="shared" si="444"/>
        <v>24040.888625000003</v>
      </c>
      <c r="X450" s="107">
        <f t="shared" si="445"/>
        <v>23560.061416666671</v>
      </c>
      <c r="Y450" s="107">
        <f t="shared" si="446"/>
        <v>23079.234208333339</v>
      </c>
      <c r="Z450" s="107">
        <f t="shared" si="447"/>
        <v>22598.407000000007</v>
      </c>
      <c r="AA450" s="107"/>
      <c r="AB450" s="107"/>
      <c r="AC450" s="107">
        <f t="shared" si="448"/>
        <v>5769.9264999999996</v>
      </c>
      <c r="AD450" s="107">
        <f t="shared" si="449"/>
        <v>22117.579791666674</v>
      </c>
      <c r="AE450" s="107">
        <f t="shared" si="450"/>
        <v>21636.752583333342</v>
      </c>
      <c r="AF450" s="107">
        <f t="shared" si="451"/>
        <v>21155.92537500001</v>
      </c>
      <c r="AG450" s="107">
        <f t="shared" si="452"/>
        <v>20675.098166666678</v>
      </c>
      <c r="AH450" s="107">
        <f t="shared" si="453"/>
        <v>20194.270958333345</v>
      </c>
      <c r="AI450" s="107">
        <f t="shared" si="454"/>
        <v>19713.443750000013</v>
      </c>
      <c r="AJ450" s="107">
        <f t="shared" si="455"/>
        <v>19232.616541666681</v>
      </c>
      <c r="AK450" s="107">
        <f t="shared" si="456"/>
        <v>18751.789333333349</v>
      </c>
      <c r="AL450" s="107">
        <f t="shared" si="457"/>
        <v>18270.962125000016</v>
      </c>
      <c r="AM450" s="107">
        <f t="shared" si="458"/>
        <v>17790.134916666684</v>
      </c>
      <c r="AN450" s="107">
        <f t="shared" si="459"/>
        <v>17309.307708333352</v>
      </c>
      <c r="AO450" s="107">
        <f t="shared" si="460"/>
        <v>16828.48050000002</v>
      </c>
      <c r="AP450" s="107"/>
      <c r="AQ450" s="126"/>
      <c r="AR450" s="107">
        <f t="shared" si="461"/>
        <v>5769.9264999999996</v>
      </c>
      <c r="AS450" s="107">
        <f t="shared" ref="AS450:AS464" si="468">AO450-M450</f>
        <v>16347.653291666686</v>
      </c>
      <c r="AT450" s="107">
        <f t="shared" ref="AT450:AT464" si="469">AS450-M450</f>
        <v>15866.826083333352</v>
      </c>
      <c r="AU450" s="107">
        <f t="shared" ref="AU450:AU464" si="470">AT450-M450</f>
        <v>15385.998875000018</v>
      </c>
      <c r="AV450" s="107">
        <f t="shared" ref="AV450:AV464" si="471">AU450-M450</f>
        <v>14905.171666666683</v>
      </c>
      <c r="AW450" s="107">
        <f t="shared" ref="AW450:AW464" si="472">AV450-M450</f>
        <v>14424.344458333349</v>
      </c>
      <c r="AX450" s="107">
        <f>AW450-M450</f>
        <v>13943.517250000015</v>
      </c>
      <c r="AY450" s="107">
        <f>AX450-M450</f>
        <v>13462.690041666681</v>
      </c>
      <c r="AZ450" s="107">
        <f>AY450-M450</f>
        <v>12981.862833333347</v>
      </c>
      <c r="BA450" s="107">
        <f>AZ450-M450</f>
        <v>12501.035625000013</v>
      </c>
      <c r="BB450" s="107">
        <f>BA450-M450</f>
        <v>12020.208416666679</v>
      </c>
      <c r="BC450" s="107">
        <f>BB450-M450</f>
        <v>11539.381208333345</v>
      </c>
      <c r="BD450" s="107">
        <f>BC450-M450</f>
        <v>11058.554000000011</v>
      </c>
      <c r="BE450" s="107"/>
      <c r="BF450" s="127"/>
      <c r="BG450" s="127"/>
      <c r="BH450" s="127"/>
      <c r="BI450" s="127"/>
      <c r="BJ450" s="127"/>
      <c r="BK450" s="127"/>
      <c r="BL450" s="127"/>
      <c r="BM450" s="127"/>
      <c r="BN450" s="127"/>
      <c r="BO450" s="127"/>
      <c r="BP450" s="127"/>
      <c r="BQ450" s="127"/>
      <c r="BR450" s="127"/>
      <c r="BS450" s="127"/>
      <c r="BT450" s="127"/>
      <c r="BU450" s="127"/>
      <c r="BV450" s="127"/>
    </row>
    <row r="451" spans="1:75" ht="22.5" hidden="1" x14ac:dyDescent="0.2">
      <c r="A451" s="123" t="str">
        <f>'[2]2021 УГРЦТ'!A453</f>
        <v>Трансформатор ТМГ-160/6 №1 №146100</v>
      </c>
      <c r="B451" s="124" t="str">
        <f>'[2]2021 УГРЦТ'!B453</f>
        <v>00001014</v>
      </c>
      <c r="C451" s="124" t="str">
        <f>VLOOKUP(A:A,'2023-2027'!A:L,1,+FALSE)</f>
        <v>Трансформатор ТМГ-160/6 №1 №146100</v>
      </c>
      <c r="D451" s="124" t="str">
        <f>'[2]2021 УГРЦТ'!C453</f>
        <v>ПЕРЕДАЧА</v>
      </c>
      <c r="E451" s="124" t="str">
        <f>'[2]2021 УГРЦТ'!D453</f>
        <v>Машины и оборудование (кроме офисного)</v>
      </c>
      <c r="F451" s="124" t="str">
        <f>'[2]2021 УГРЦТ'!E453</f>
        <v>30.11.2006</v>
      </c>
      <c r="G451" s="124" t="str">
        <f>'[2]2021 УГРЦТ'!F453</f>
        <v>Цех электрических сетей</v>
      </c>
      <c r="H451" s="124">
        <f>'[2]2021 УГРЦТ'!AC453</f>
        <v>240</v>
      </c>
      <c r="I451" s="107">
        <f>'[2]2021 УГРЦТ'!X453</f>
        <v>115398.54</v>
      </c>
      <c r="J451" s="107">
        <f>'[2]2021 УГРЦТ'!Y453</f>
        <v>87030.197</v>
      </c>
      <c r="K451" s="107">
        <f>'[2]2021 УГРЦТ'!Z453</f>
        <v>28368.342999999993</v>
      </c>
      <c r="L451" s="125" t="e">
        <f>SUMIF([2]облаг!$B$2:$B$259,B451,[2]облаг!$D$2:$D$259)</f>
        <v>#VALUE!</v>
      </c>
      <c r="M451" s="107">
        <f t="shared" si="414"/>
        <v>480.82724999999999</v>
      </c>
      <c r="N451" s="107">
        <f t="shared" si="415"/>
        <v>5769.9269999999997</v>
      </c>
      <c r="O451" s="107">
        <f t="shared" si="416"/>
        <v>27887.515749999995</v>
      </c>
      <c r="P451" s="107">
        <f t="shared" si="417"/>
        <v>27406.688499999997</v>
      </c>
      <c r="Q451" s="107">
        <f t="shared" si="438"/>
        <v>26925.861249999998</v>
      </c>
      <c r="R451" s="107">
        <f t="shared" si="439"/>
        <v>26445.034</v>
      </c>
      <c r="S451" s="107">
        <f t="shared" si="440"/>
        <v>25964.206750000001</v>
      </c>
      <c r="T451" s="107">
        <f t="shared" si="441"/>
        <v>25483.379500000003</v>
      </c>
      <c r="U451" s="107">
        <f t="shared" si="442"/>
        <v>25002.552250000004</v>
      </c>
      <c r="V451" s="107">
        <f t="shared" si="443"/>
        <v>24521.725000000006</v>
      </c>
      <c r="W451" s="107">
        <f t="shared" si="444"/>
        <v>24040.897750000007</v>
      </c>
      <c r="X451" s="107">
        <f t="shared" si="445"/>
        <v>23560.070500000009</v>
      </c>
      <c r="Y451" s="107">
        <f t="shared" si="446"/>
        <v>23079.24325000001</v>
      </c>
      <c r="Z451" s="107">
        <f t="shared" si="447"/>
        <v>22598.416000000012</v>
      </c>
      <c r="AA451" s="107"/>
      <c r="AB451" s="107"/>
      <c r="AC451" s="107">
        <f t="shared" si="448"/>
        <v>5769.9269999999997</v>
      </c>
      <c r="AD451" s="107">
        <f t="shared" si="449"/>
        <v>22117.588750000014</v>
      </c>
      <c r="AE451" s="107">
        <f t="shared" si="450"/>
        <v>21636.761500000015</v>
      </c>
      <c r="AF451" s="107">
        <f t="shared" si="451"/>
        <v>21155.934250000017</v>
      </c>
      <c r="AG451" s="107">
        <f t="shared" si="452"/>
        <v>20675.107000000018</v>
      </c>
      <c r="AH451" s="107">
        <f t="shared" si="453"/>
        <v>20194.27975000002</v>
      </c>
      <c r="AI451" s="107">
        <f t="shared" si="454"/>
        <v>19713.452500000021</v>
      </c>
      <c r="AJ451" s="107">
        <f t="shared" si="455"/>
        <v>19232.625250000023</v>
      </c>
      <c r="AK451" s="107">
        <f t="shared" si="456"/>
        <v>18751.798000000024</v>
      </c>
      <c r="AL451" s="107">
        <f t="shared" si="457"/>
        <v>18270.970750000026</v>
      </c>
      <c r="AM451" s="107">
        <f t="shared" si="458"/>
        <v>17790.143500000027</v>
      </c>
      <c r="AN451" s="107">
        <f t="shared" si="459"/>
        <v>17309.316250000029</v>
      </c>
      <c r="AO451" s="107">
        <f t="shared" si="460"/>
        <v>16828.489000000031</v>
      </c>
      <c r="AP451" s="107"/>
      <c r="AQ451" s="126"/>
      <c r="AR451" s="107">
        <f t="shared" si="461"/>
        <v>5769.9269999999997</v>
      </c>
      <c r="AS451" s="107">
        <f t="shared" si="468"/>
        <v>16347.66175000003</v>
      </c>
      <c r="AT451" s="107">
        <f t="shared" si="469"/>
        <v>15866.83450000003</v>
      </c>
      <c r="AU451" s="107">
        <f t="shared" si="470"/>
        <v>15386.00725000003</v>
      </c>
      <c r="AV451" s="107">
        <f t="shared" si="471"/>
        <v>14905.180000000029</v>
      </c>
      <c r="AW451" s="107">
        <f t="shared" si="472"/>
        <v>14424.352750000029</v>
      </c>
      <c r="AX451" s="107">
        <f>AW451-M451</f>
        <v>13943.525500000029</v>
      </c>
      <c r="AY451" s="107">
        <f>AX451-M451</f>
        <v>13462.698250000029</v>
      </c>
      <c r="AZ451" s="107">
        <f>AY451-M451</f>
        <v>12981.871000000028</v>
      </c>
      <c r="BA451" s="107">
        <f>AZ451-M451</f>
        <v>12501.043750000028</v>
      </c>
      <c r="BB451" s="107">
        <f>BA451-M451</f>
        <v>12020.216500000028</v>
      </c>
      <c r="BC451" s="107">
        <f>BB451-M451</f>
        <v>11539.389250000027</v>
      </c>
      <c r="BD451" s="107">
        <f>BC451-M451</f>
        <v>11058.562000000027</v>
      </c>
      <c r="BE451" s="10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</row>
    <row r="452" spans="1:75" ht="22.5" hidden="1" x14ac:dyDescent="0.2">
      <c r="A452" s="123" t="str">
        <f>'[2]2021 УГРЦТ'!A454</f>
        <v>Трансформатор ТМГ-160/6/0,4 зав.№003703Y</v>
      </c>
      <c r="B452" s="124" t="str">
        <f>'[2]2021 УГРЦТ'!B454</f>
        <v>000001711</v>
      </c>
      <c r="C452" s="124" t="str">
        <f>VLOOKUP(A:A,'2023-2027'!A:L,1,+FALSE)</f>
        <v>Трансформатор ТМГ-160/6/0,4 зав.№003703Y</v>
      </c>
      <c r="D452" s="124" t="str">
        <f>'[2]2021 УГРЦТ'!C454</f>
        <v>ПЕРЕДАЧА</v>
      </c>
      <c r="E452" s="124" t="str">
        <f>'[2]2021 УГРЦТ'!D454</f>
        <v>Машины и оборудование (кроме офисного)</v>
      </c>
      <c r="F452" s="124" t="str">
        <f>'[2]2021 УГРЦТ'!E454</f>
        <v>31.07.2017</v>
      </c>
      <c r="G452" s="124" t="str">
        <f>'[2]2021 УГРЦТ'!F454</f>
        <v>Цех электрических сетей</v>
      </c>
      <c r="H452" s="124">
        <f>'[2]2021 УГРЦТ'!AC454</f>
        <v>360</v>
      </c>
      <c r="I452" s="107">
        <f>'[2]2021 УГРЦТ'!X454</f>
        <v>167330.70000000001</v>
      </c>
      <c r="J452" s="107">
        <f>'[2]2021 УГРЦТ'!Y454</f>
        <v>24634.899999999998</v>
      </c>
      <c r="K452" s="107">
        <f>'[2]2021 УГРЦТ'!Z454</f>
        <v>142695.80000000002</v>
      </c>
      <c r="L452" s="125" t="e">
        <f>SUMIF([2]облаг!$B$2:$B$259,B452,[2]облаг!$D$2:$D$259)</f>
        <v>#VALUE!</v>
      </c>
      <c r="M452" s="107">
        <f t="shared" si="414"/>
        <v>464.8075</v>
      </c>
      <c r="N452" s="107">
        <f t="shared" si="415"/>
        <v>5577.6900000000005</v>
      </c>
      <c r="O452" s="107">
        <f t="shared" si="416"/>
        <v>142230.99250000002</v>
      </c>
      <c r="P452" s="107">
        <f t="shared" si="417"/>
        <v>141766.18500000003</v>
      </c>
      <c r="Q452" s="107">
        <f t="shared" si="438"/>
        <v>141301.37750000003</v>
      </c>
      <c r="R452" s="107">
        <f t="shared" si="439"/>
        <v>140836.57000000004</v>
      </c>
      <c r="S452" s="107">
        <f t="shared" si="440"/>
        <v>140371.76250000004</v>
      </c>
      <c r="T452" s="107">
        <f t="shared" si="441"/>
        <v>139906.95500000005</v>
      </c>
      <c r="U452" s="107">
        <f t="shared" si="442"/>
        <v>139442.14750000005</v>
      </c>
      <c r="V452" s="107">
        <f t="shared" si="443"/>
        <v>138977.34000000005</v>
      </c>
      <c r="W452" s="107">
        <f t="shared" si="444"/>
        <v>138512.53250000006</v>
      </c>
      <c r="X452" s="107">
        <f t="shared" si="445"/>
        <v>138047.72500000006</v>
      </c>
      <c r="Y452" s="107">
        <f t="shared" si="446"/>
        <v>137582.91750000007</v>
      </c>
      <c r="Z452" s="107">
        <f t="shared" si="447"/>
        <v>137118.11000000007</v>
      </c>
      <c r="AA452" s="107"/>
      <c r="AB452" s="107"/>
      <c r="AC452" s="107">
        <f t="shared" si="448"/>
        <v>5577.6900000000005</v>
      </c>
      <c r="AD452" s="107">
        <f t="shared" si="449"/>
        <v>136653.30250000008</v>
      </c>
      <c r="AE452" s="107">
        <f t="shared" si="450"/>
        <v>136188.49500000008</v>
      </c>
      <c r="AF452" s="107">
        <f t="shared" si="451"/>
        <v>135723.68750000009</v>
      </c>
      <c r="AG452" s="107">
        <f t="shared" si="452"/>
        <v>135258.88000000009</v>
      </c>
      <c r="AH452" s="107">
        <f t="shared" si="453"/>
        <v>134794.0725000001</v>
      </c>
      <c r="AI452" s="107">
        <f t="shared" si="454"/>
        <v>134329.2650000001</v>
      </c>
      <c r="AJ452" s="107">
        <f t="shared" si="455"/>
        <v>133864.45750000011</v>
      </c>
      <c r="AK452" s="107">
        <f t="shared" si="456"/>
        <v>133399.65000000011</v>
      </c>
      <c r="AL452" s="107">
        <f t="shared" si="457"/>
        <v>132934.84250000012</v>
      </c>
      <c r="AM452" s="107">
        <f t="shared" si="458"/>
        <v>132470.03500000012</v>
      </c>
      <c r="AN452" s="107">
        <f t="shared" si="459"/>
        <v>132005.22750000012</v>
      </c>
      <c r="AO452" s="107">
        <f t="shared" si="460"/>
        <v>131540.42000000013</v>
      </c>
      <c r="AP452" s="107"/>
      <c r="AQ452" s="126"/>
      <c r="AR452" s="107">
        <f t="shared" si="461"/>
        <v>5577.6900000000005</v>
      </c>
      <c r="AS452" s="107">
        <f t="shared" si="468"/>
        <v>131075.61250000013</v>
      </c>
      <c r="AT452" s="107">
        <f t="shared" si="469"/>
        <v>130610.80500000014</v>
      </c>
      <c r="AU452" s="107">
        <f t="shared" si="470"/>
        <v>130145.99750000014</v>
      </c>
      <c r="AV452" s="107">
        <f t="shared" si="471"/>
        <v>129681.19000000015</v>
      </c>
      <c r="AW452" s="107">
        <f t="shared" si="472"/>
        <v>129216.38250000015</v>
      </c>
      <c r="AX452" s="107">
        <f>AW452-M452</f>
        <v>128751.57500000016</v>
      </c>
      <c r="AY452" s="107">
        <f>AX452-M452</f>
        <v>128286.76750000016</v>
      </c>
      <c r="AZ452" s="107">
        <f>AY452-M452</f>
        <v>127821.96000000017</v>
      </c>
      <c r="BA452" s="107">
        <f>AZ452-M452</f>
        <v>127357.15250000017</v>
      </c>
      <c r="BB452" s="107">
        <f>BA452-M452</f>
        <v>126892.34500000018</v>
      </c>
      <c r="BC452" s="107">
        <f>BB452-M452</f>
        <v>126427.53750000018</v>
      </c>
      <c r="BD452" s="107">
        <f>BC452-M452</f>
        <v>125962.73000000019</v>
      </c>
      <c r="BE452" s="107"/>
      <c r="BF452" s="127"/>
      <c r="BG452" s="127"/>
      <c r="BH452" s="127"/>
      <c r="BI452" s="127"/>
      <c r="BJ452" s="127"/>
      <c r="BK452" s="127"/>
      <c r="BL452" s="127"/>
      <c r="BM452" s="127"/>
      <c r="BN452" s="127"/>
      <c r="BO452" s="127"/>
      <c r="BP452" s="127"/>
      <c r="BQ452" s="127"/>
      <c r="BR452" s="127"/>
      <c r="BS452" s="127"/>
      <c r="BT452" s="127"/>
      <c r="BU452" s="127"/>
      <c r="BV452" s="127"/>
      <c r="BW452" s="127"/>
    </row>
    <row r="453" spans="1:75" ht="33.75" hidden="1" x14ac:dyDescent="0.2">
      <c r="A453" s="123" t="str">
        <f>'[2]2021 УГРЦТ'!A455</f>
        <v>Трансформатор ТМГ-160/6/6/0,4 схема и группа соединений Д/Ун-11 зав. 13417</v>
      </c>
      <c r="B453" s="124" t="str">
        <f>'[2]2021 УГРЦТ'!B455</f>
        <v>000001775</v>
      </c>
      <c r="C453" s="124" t="str">
        <f>VLOOKUP(A:A,'2023-2027'!A:L,1,+FALSE)</f>
        <v>Трансформатор ТМГ-160/6/6/0,4 схема и группа соединений Д/Ун-11 зав. 13417</v>
      </c>
      <c r="D453" s="124" t="str">
        <f>'[2]2021 УГРЦТ'!C455</f>
        <v>ПЕРЕДАЧА</v>
      </c>
      <c r="E453" s="124" t="str">
        <f>'[2]2021 УГРЦТ'!D455</f>
        <v>Машины и оборудование (кроме офисного)</v>
      </c>
      <c r="F453" s="124" t="str">
        <f>'[2]2021 УГРЦТ'!E455</f>
        <v>30.07.2019</v>
      </c>
      <c r="G453" s="124" t="str">
        <f>'[2]2021 УГРЦТ'!F455</f>
        <v>Цех электрических сетей</v>
      </c>
      <c r="H453" s="124">
        <f>'[2]2021 УГРЦТ'!AC455</f>
        <v>360</v>
      </c>
      <c r="I453" s="107">
        <f>'[2]2021 УГРЦТ'!X455</f>
        <v>138983.32999999999</v>
      </c>
      <c r="J453" s="107">
        <f>'[2]2021 УГРЦТ'!Y455</f>
        <v>11195.797666666667</v>
      </c>
      <c r="K453" s="107">
        <f>'[2]2021 УГРЦТ'!Z455</f>
        <v>127787.53233333332</v>
      </c>
      <c r="L453" s="125" t="e">
        <f>SUMIF([2]облаг!$B$2:$B$259,B453,[2]облаг!$D$2:$D$259)</f>
        <v>#VALUE!</v>
      </c>
      <c r="M453" s="107">
        <f t="shared" si="414"/>
        <v>386.06480555555549</v>
      </c>
      <c r="N453" s="107">
        <f t="shared" si="415"/>
        <v>4632.7776666666659</v>
      </c>
      <c r="O453" s="107">
        <f t="shared" si="416"/>
        <v>127401.46752777777</v>
      </c>
      <c r="P453" s="107">
        <f t="shared" si="417"/>
        <v>127015.40272222222</v>
      </c>
      <c r="Q453" s="107">
        <f t="shared" si="438"/>
        <v>126629.33791666667</v>
      </c>
      <c r="R453" s="107">
        <f t="shared" si="439"/>
        <v>126243.27311111112</v>
      </c>
      <c r="S453" s="107">
        <f t="shared" si="440"/>
        <v>125857.20830555557</v>
      </c>
      <c r="T453" s="107">
        <f t="shared" si="441"/>
        <v>125471.14350000002</v>
      </c>
      <c r="U453" s="107">
        <f t="shared" si="442"/>
        <v>125085.07869444447</v>
      </c>
      <c r="V453" s="107">
        <f t="shared" si="443"/>
        <v>124699.01388888892</v>
      </c>
      <c r="W453" s="107">
        <f t="shared" si="444"/>
        <v>124312.94908333337</v>
      </c>
      <c r="X453" s="107">
        <f t="shared" si="445"/>
        <v>123926.88427777782</v>
      </c>
      <c r="Y453" s="107">
        <f t="shared" si="446"/>
        <v>123540.81947222227</v>
      </c>
      <c r="Z453" s="107">
        <f t="shared" si="447"/>
        <v>123154.75466666672</v>
      </c>
      <c r="AA453" s="107"/>
      <c r="AB453" s="107"/>
      <c r="AC453" s="107">
        <f t="shared" si="448"/>
        <v>4632.7776666666659</v>
      </c>
      <c r="AD453" s="107">
        <f t="shared" si="449"/>
        <v>122768.68986111117</v>
      </c>
      <c r="AE453" s="107">
        <f t="shared" si="450"/>
        <v>122382.62505555562</v>
      </c>
      <c r="AF453" s="107">
        <f t="shared" si="451"/>
        <v>121996.56025000007</v>
      </c>
      <c r="AG453" s="107">
        <f t="shared" si="452"/>
        <v>121610.49544444452</v>
      </c>
      <c r="AH453" s="107">
        <f t="shared" si="453"/>
        <v>121224.43063888897</v>
      </c>
      <c r="AI453" s="107">
        <f t="shared" si="454"/>
        <v>120838.36583333342</v>
      </c>
      <c r="AJ453" s="107">
        <f t="shared" si="455"/>
        <v>120452.30102777787</v>
      </c>
      <c r="AK453" s="107">
        <f t="shared" si="456"/>
        <v>120066.23622222232</v>
      </c>
      <c r="AL453" s="107">
        <f t="shared" si="457"/>
        <v>119680.17141666677</v>
      </c>
      <c r="AM453" s="107">
        <f t="shared" si="458"/>
        <v>119294.10661111122</v>
      </c>
      <c r="AN453" s="107">
        <f t="shared" si="459"/>
        <v>118908.04180555567</v>
      </c>
      <c r="AO453" s="107">
        <f t="shared" si="460"/>
        <v>118521.97700000012</v>
      </c>
      <c r="AP453" s="107"/>
      <c r="AQ453" s="126"/>
      <c r="AR453" s="107">
        <f t="shared" si="461"/>
        <v>4632.7776666666659</v>
      </c>
      <c r="AS453" s="107">
        <f t="shared" si="468"/>
        <v>118135.91219444457</v>
      </c>
      <c r="AT453" s="107">
        <f t="shared" si="469"/>
        <v>117749.84738888901</v>
      </c>
      <c r="AU453" s="107">
        <f t="shared" si="470"/>
        <v>117363.78258333346</v>
      </c>
      <c r="AV453" s="107">
        <f t="shared" si="471"/>
        <v>116977.71777777791</v>
      </c>
      <c r="AW453" s="107">
        <f t="shared" si="472"/>
        <v>116591.65297222236</v>
      </c>
      <c r="AX453" s="107">
        <f>AW453-M453</f>
        <v>116205.58816666681</v>
      </c>
      <c r="AY453" s="107">
        <f>AX453-M453</f>
        <v>115819.52336111126</v>
      </c>
      <c r="AZ453" s="107">
        <f>AY453-M453</f>
        <v>115433.45855555571</v>
      </c>
      <c r="BA453" s="107">
        <f>AZ453-M453</f>
        <v>115047.39375000016</v>
      </c>
      <c r="BB453" s="107">
        <f>BA453-M453</f>
        <v>114661.32894444461</v>
      </c>
      <c r="BC453" s="107">
        <f>BB453-M453</f>
        <v>114275.26413888906</v>
      </c>
      <c r="BD453" s="107">
        <f>BC453-M453</f>
        <v>113889.19933333351</v>
      </c>
      <c r="BE453" s="107"/>
      <c r="BF453" s="127"/>
      <c r="BG453" s="127"/>
      <c r="BH453" s="127"/>
      <c r="BI453" s="127"/>
      <c r="BJ453" s="127"/>
      <c r="BK453" s="127"/>
      <c r="BL453" s="127"/>
      <c r="BM453" s="127"/>
      <c r="BN453" s="127"/>
      <c r="BO453" s="127"/>
      <c r="BP453" s="127"/>
      <c r="BQ453" s="127"/>
      <c r="BR453" s="127"/>
      <c r="BS453" s="127"/>
      <c r="BT453" s="127"/>
      <c r="BU453" s="127"/>
      <c r="BV453" s="127"/>
      <c r="BW453" s="127"/>
    </row>
    <row r="454" spans="1:75" ht="22.5" hidden="1" x14ac:dyDescent="0.2">
      <c r="A454" s="123" t="str">
        <f>'[2]2021 УГРЦТ'!A456</f>
        <v>Трансформатор ТМГ-160/6-0,4 №145970 2001г выпуска</v>
      </c>
      <c r="B454" s="124" t="str">
        <f>'[2]2021 УГРЦТ'!B456</f>
        <v>00000324</v>
      </c>
      <c r="C454" s="124" t="str">
        <f>VLOOKUP(A:A,'2023-2027'!A:L,1,+FALSE)</f>
        <v>Трансформатор ТМГ-160/6-0,4 №145970 2001г выпуска</v>
      </c>
      <c r="D454" s="124" t="str">
        <f>'[2]2021 УГРЦТ'!C456</f>
        <v>ПЕРЕДАЧА</v>
      </c>
      <c r="E454" s="124" t="str">
        <f>'[2]2021 УГРЦТ'!D456</f>
        <v>Машины и оборудование (кроме офисного)</v>
      </c>
      <c r="F454" s="124" t="str">
        <f>'[2]2021 УГРЦТ'!E456</f>
        <v>30.06.2001</v>
      </c>
      <c r="G454" s="124" t="str">
        <f>'[2]2021 УГРЦТ'!F456</f>
        <v>Цех электрических сетей</v>
      </c>
      <c r="H454" s="124">
        <f>'[2]2021 УГРЦТ'!AC456</f>
        <v>276</v>
      </c>
      <c r="I454" s="107">
        <f>'[2]2021 УГРЦТ'!X456</f>
        <v>49315.5</v>
      </c>
      <c r="J454" s="107">
        <f>'[2]2021 УГРЦТ'!Y456</f>
        <v>43980.97217391304</v>
      </c>
      <c r="K454" s="107">
        <f>'[2]2021 УГРЦТ'!Z456</f>
        <v>5334.52782608696</v>
      </c>
      <c r="L454" s="125" t="e">
        <f>SUMIF([2]облаг!$B$2:$B$259,B454,[2]облаг!$D$2:$D$259)</f>
        <v>#VALUE!</v>
      </c>
      <c r="M454" s="107">
        <f t="shared" ref="M454:M510" si="473">I454/H454</f>
        <v>178.67934782608697</v>
      </c>
      <c r="N454" s="107">
        <f t="shared" ref="N454:N510" si="474">M454*12</f>
        <v>2144.1521739130435</v>
      </c>
      <c r="O454" s="107">
        <f t="shared" ref="O454:O507" si="475">K454-M454</f>
        <v>5155.848478260873</v>
      </c>
      <c r="P454" s="107">
        <f t="shared" ref="P454:P506" si="476">O454-M454</f>
        <v>4977.169130434786</v>
      </c>
      <c r="Q454" s="107">
        <f t="shared" si="438"/>
        <v>4798.489782608699</v>
      </c>
      <c r="R454" s="107">
        <f t="shared" si="439"/>
        <v>4619.810434782612</v>
      </c>
      <c r="S454" s="107">
        <f t="shared" si="440"/>
        <v>4441.131086956525</v>
      </c>
      <c r="T454" s="107">
        <f t="shared" si="441"/>
        <v>4262.451739130438</v>
      </c>
      <c r="U454" s="107">
        <f t="shared" si="442"/>
        <v>4083.772391304351</v>
      </c>
      <c r="V454" s="107">
        <f t="shared" si="443"/>
        <v>3905.093043478264</v>
      </c>
      <c r="W454" s="107">
        <f t="shared" si="444"/>
        <v>3726.413695652177</v>
      </c>
      <c r="X454" s="107">
        <f t="shared" si="445"/>
        <v>3547.73434782609</v>
      </c>
      <c r="Y454" s="107">
        <f t="shared" si="446"/>
        <v>3369.055000000003</v>
      </c>
      <c r="Z454" s="107">
        <f t="shared" si="447"/>
        <v>3190.375652173916</v>
      </c>
      <c r="AA454" s="107"/>
      <c r="AB454" s="107"/>
      <c r="AC454" s="107">
        <f t="shared" si="448"/>
        <v>2144.1521739130435</v>
      </c>
      <c r="AD454" s="107">
        <f t="shared" si="449"/>
        <v>3011.696304347829</v>
      </c>
      <c r="AE454" s="107">
        <f t="shared" si="450"/>
        <v>2833.016956521742</v>
      </c>
      <c r="AF454" s="107">
        <f t="shared" si="451"/>
        <v>2654.337608695655</v>
      </c>
      <c r="AG454" s="107">
        <f t="shared" si="452"/>
        <v>2475.658260869568</v>
      </c>
      <c r="AH454" s="107">
        <f t="shared" si="453"/>
        <v>2296.978913043481</v>
      </c>
      <c r="AI454" s="107">
        <f t="shared" si="454"/>
        <v>2118.299565217394</v>
      </c>
      <c r="AJ454" s="107">
        <f t="shared" si="455"/>
        <v>1939.6202173913071</v>
      </c>
      <c r="AK454" s="107">
        <f t="shared" si="456"/>
        <v>1760.9408695652201</v>
      </c>
      <c r="AL454" s="107">
        <f t="shared" si="457"/>
        <v>1582.2615217391331</v>
      </c>
      <c r="AM454" s="107">
        <f t="shared" si="458"/>
        <v>1403.5821739130461</v>
      </c>
      <c r="AN454" s="107">
        <f t="shared" si="459"/>
        <v>1224.9028260869591</v>
      </c>
      <c r="AO454" s="107">
        <f t="shared" si="460"/>
        <v>1046.2234782608721</v>
      </c>
      <c r="AP454" s="107"/>
      <c r="AQ454" s="126"/>
      <c r="AR454" s="107">
        <f>AS454</f>
        <v>867.54413043478507</v>
      </c>
      <c r="AS454" s="107">
        <f t="shared" si="468"/>
        <v>867.54413043478507</v>
      </c>
      <c r="AT454" s="107">
        <f t="shared" si="469"/>
        <v>688.86478260869808</v>
      </c>
      <c r="AU454" s="107">
        <f t="shared" si="470"/>
        <v>510.18543478261108</v>
      </c>
      <c r="AV454" s="107">
        <f t="shared" si="471"/>
        <v>331.50608695652409</v>
      </c>
      <c r="AW454" s="107">
        <f t="shared" si="472"/>
        <v>152.82673913043712</v>
      </c>
      <c r="AX454" s="107">
        <v>0</v>
      </c>
      <c r="AY454" s="107">
        <v>0</v>
      </c>
      <c r="AZ454" s="107">
        <v>0</v>
      </c>
      <c r="BA454" s="107">
        <v>0</v>
      </c>
      <c r="BB454" s="107">
        <v>0</v>
      </c>
      <c r="BC454" s="107">
        <v>0</v>
      </c>
      <c r="BD454" s="107">
        <v>0</v>
      </c>
      <c r="BE454" s="107"/>
      <c r="BI454" s="127"/>
    </row>
    <row r="455" spans="1:75" ht="22.5" hidden="1" x14ac:dyDescent="0.2">
      <c r="A455" s="123" t="str">
        <f>'[2]2021 УГРЦТ'!A457</f>
        <v>Трансформатор ТМГ-250/6 №1545100</v>
      </c>
      <c r="B455" s="124" t="str">
        <f>'[2]2021 УГРЦТ'!B457</f>
        <v>00001018</v>
      </c>
      <c r="C455" s="124" t="str">
        <f>VLOOKUP(A:A,'2023-2027'!A:L,1,+FALSE)</f>
        <v>Трансформатор ТМГ-250/6 №1545100</v>
      </c>
      <c r="D455" s="124" t="str">
        <f>'[2]2021 УГРЦТ'!C457</f>
        <v>ПЕРЕДАЧА</v>
      </c>
      <c r="E455" s="124" t="str">
        <f>'[2]2021 УГРЦТ'!D457</f>
        <v>Машины и оборудование (кроме офисного)</v>
      </c>
      <c r="F455" s="124" t="str">
        <f>'[2]2021 УГРЦТ'!E457</f>
        <v>30.11.2006</v>
      </c>
      <c r="G455" s="124" t="str">
        <f>'[2]2021 УГРЦТ'!F457</f>
        <v>Цех электрических сетей</v>
      </c>
      <c r="H455" s="124">
        <f>'[2]2021 УГРЦТ'!AC457</f>
        <v>240</v>
      </c>
      <c r="I455" s="107">
        <f>'[2]2021 УГРЦТ'!X457</f>
        <v>157771.53</v>
      </c>
      <c r="J455" s="107">
        <f>'[2]2021 УГРЦТ'!Y457</f>
        <v>118985.7965</v>
      </c>
      <c r="K455" s="107">
        <f>'[2]2021 УГРЦТ'!Z457</f>
        <v>38785.733500000002</v>
      </c>
      <c r="L455" s="125" t="e">
        <f>SUMIF([2]облаг!$B$2:$B$259,B455,[2]облаг!$D$2:$D$259)</f>
        <v>#VALUE!</v>
      </c>
      <c r="M455" s="107">
        <f t="shared" si="473"/>
        <v>657.38137500000005</v>
      </c>
      <c r="N455" s="107">
        <f t="shared" si="474"/>
        <v>7888.576500000001</v>
      </c>
      <c r="O455" s="107">
        <f t="shared" si="475"/>
        <v>38128.352125000005</v>
      </c>
      <c r="P455" s="107">
        <f t="shared" si="476"/>
        <v>37470.970750000008</v>
      </c>
      <c r="Q455" s="107">
        <f t="shared" si="438"/>
        <v>36813.58937500001</v>
      </c>
      <c r="R455" s="107">
        <f t="shared" si="439"/>
        <v>36156.208000000013</v>
      </c>
      <c r="S455" s="107">
        <f t="shared" si="440"/>
        <v>35498.826625000016</v>
      </c>
      <c r="T455" s="107">
        <f t="shared" si="441"/>
        <v>34841.445250000019</v>
      </c>
      <c r="U455" s="107">
        <f t="shared" si="442"/>
        <v>34184.063875000022</v>
      </c>
      <c r="V455" s="107">
        <f t="shared" si="443"/>
        <v>33526.682500000024</v>
      </c>
      <c r="W455" s="107">
        <f t="shared" si="444"/>
        <v>32869.301125000027</v>
      </c>
      <c r="X455" s="107">
        <f t="shared" si="445"/>
        <v>32211.919750000026</v>
      </c>
      <c r="Y455" s="107">
        <f t="shared" si="446"/>
        <v>31554.538375000026</v>
      </c>
      <c r="Z455" s="107">
        <f t="shared" si="447"/>
        <v>30897.157000000025</v>
      </c>
      <c r="AA455" s="107"/>
      <c r="AB455" s="107"/>
      <c r="AC455" s="107">
        <f t="shared" si="448"/>
        <v>7888.576500000001</v>
      </c>
      <c r="AD455" s="107">
        <f t="shared" si="449"/>
        <v>30239.775625000024</v>
      </c>
      <c r="AE455" s="107">
        <f t="shared" si="450"/>
        <v>29582.394250000023</v>
      </c>
      <c r="AF455" s="107">
        <f t="shared" si="451"/>
        <v>28925.012875000022</v>
      </c>
      <c r="AG455" s="107">
        <f t="shared" si="452"/>
        <v>28267.631500000021</v>
      </c>
      <c r="AH455" s="107">
        <f t="shared" si="453"/>
        <v>27610.25012500002</v>
      </c>
      <c r="AI455" s="107">
        <f t="shared" si="454"/>
        <v>26952.86875000002</v>
      </c>
      <c r="AJ455" s="107">
        <f t="shared" si="455"/>
        <v>26295.487375000019</v>
      </c>
      <c r="AK455" s="107">
        <f t="shared" si="456"/>
        <v>25638.106000000018</v>
      </c>
      <c r="AL455" s="107">
        <f t="shared" si="457"/>
        <v>24980.724625000017</v>
      </c>
      <c r="AM455" s="107">
        <f t="shared" si="458"/>
        <v>24323.343250000016</v>
      </c>
      <c r="AN455" s="107">
        <f t="shared" si="459"/>
        <v>23665.961875000015</v>
      </c>
      <c r="AO455" s="107">
        <f t="shared" si="460"/>
        <v>23008.580500000015</v>
      </c>
      <c r="AP455" s="107"/>
      <c r="AQ455" s="126"/>
      <c r="AR455" s="107">
        <f t="shared" si="461"/>
        <v>7888.576500000001</v>
      </c>
      <c r="AS455" s="107">
        <f t="shared" si="468"/>
        <v>22351.199125000014</v>
      </c>
      <c r="AT455" s="107">
        <f t="shared" si="469"/>
        <v>21693.817750000013</v>
      </c>
      <c r="AU455" s="107">
        <f t="shared" si="470"/>
        <v>21036.436375000012</v>
      </c>
      <c r="AV455" s="107">
        <f t="shared" si="471"/>
        <v>20379.055000000011</v>
      </c>
      <c r="AW455" s="107">
        <f t="shared" si="472"/>
        <v>19721.67362500001</v>
      </c>
      <c r="AX455" s="107">
        <f>AW455-M455</f>
        <v>19064.29225000001</v>
      </c>
      <c r="AY455" s="107">
        <f>AX455-M455</f>
        <v>18406.910875000009</v>
      </c>
      <c r="AZ455" s="107">
        <f>AY455-M455</f>
        <v>17749.529500000008</v>
      </c>
      <c r="BA455" s="107">
        <f>AZ455-M455</f>
        <v>17092.148125000007</v>
      </c>
      <c r="BB455" s="107">
        <f>BA455-M455</f>
        <v>16434.766750000006</v>
      </c>
      <c r="BC455" s="107">
        <f>BB455-M455</f>
        <v>15777.385375000005</v>
      </c>
      <c r="BD455" s="107">
        <f>BC455-M455</f>
        <v>15120.004000000004</v>
      </c>
      <c r="BE455" s="107"/>
      <c r="BF455" s="127"/>
      <c r="BG455" s="127"/>
      <c r="BH455" s="127"/>
      <c r="BI455" s="127"/>
      <c r="BJ455" s="127"/>
      <c r="BK455" s="127"/>
      <c r="BL455" s="127"/>
      <c r="BM455" s="127"/>
      <c r="BN455" s="127"/>
      <c r="BO455" s="127"/>
      <c r="BP455" s="127"/>
      <c r="BQ455" s="127"/>
      <c r="BR455" s="127"/>
      <c r="BS455" s="127"/>
      <c r="BT455" s="127"/>
      <c r="BU455" s="127"/>
      <c r="BV455" s="127"/>
    </row>
    <row r="456" spans="1:75" ht="22.5" hidden="1" x14ac:dyDescent="0.2">
      <c r="A456" s="123" t="str">
        <f>'[2]2021 УГРЦТ'!A458</f>
        <v>Трансформатор ТМГ-250/6 №1№1399294</v>
      </c>
      <c r="B456" s="124" t="str">
        <f>'[2]2021 УГРЦТ'!B458</f>
        <v>00001017</v>
      </c>
      <c r="C456" s="124" t="str">
        <f>VLOOKUP(A:A,'2023-2027'!A:L,1,+FALSE)</f>
        <v>Трансформатор ТМГ-250/6 №1№1399294</v>
      </c>
      <c r="D456" s="124" t="str">
        <f>'[2]2021 УГРЦТ'!C458</f>
        <v>ПЕРЕДАЧА</v>
      </c>
      <c r="E456" s="124" t="str">
        <f>'[2]2021 УГРЦТ'!D458</f>
        <v>Машины и оборудование (кроме офисного)</v>
      </c>
      <c r="F456" s="124" t="str">
        <f>'[2]2021 УГРЦТ'!E458</f>
        <v>30.11.2006</v>
      </c>
      <c r="G456" s="124" t="str">
        <f>'[2]2021 УГРЦТ'!F458</f>
        <v>Цех электрических сетей</v>
      </c>
      <c r="H456" s="124">
        <f>'[2]2021 УГРЦТ'!AC458</f>
        <v>240</v>
      </c>
      <c r="I456" s="107">
        <f>'[2]2021 УГРЦТ'!X458</f>
        <v>157771.53</v>
      </c>
      <c r="J456" s="107">
        <f>'[2]2021 УГРЦТ'!Y458</f>
        <v>118985.7965</v>
      </c>
      <c r="K456" s="107">
        <f>'[2]2021 УГРЦТ'!Z458</f>
        <v>38785.733500000002</v>
      </c>
      <c r="L456" s="125" t="e">
        <f>SUMIF([2]облаг!$B$2:$B$259,B456,[2]облаг!$D$2:$D$259)</f>
        <v>#VALUE!</v>
      </c>
      <c r="M456" s="107">
        <f t="shared" si="473"/>
        <v>657.38137500000005</v>
      </c>
      <c r="N456" s="107">
        <f t="shared" si="474"/>
        <v>7888.576500000001</v>
      </c>
      <c r="O456" s="107">
        <f t="shared" si="475"/>
        <v>38128.352125000005</v>
      </c>
      <c r="P456" s="107">
        <f t="shared" si="476"/>
        <v>37470.970750000008</v>
      </c>
      <c r="Q456" s="107">
        <f t="shared" si="438"/>
        <v>36813.58937500001</v>
      </c>
      <c r="R456" s="107">
        <f t="shared" si="439"/>
        <v>36156.208000000013</v>
      </c>
      <c r="S456" s="107">
        <f t="shared" si="440"/>
        <v>35498.826625000016</v>
      </c>
      <c r="T456" s="107">
        <f t="shared" si="441"/>
        <v>34841.445250000019</v>
      </c>
      <c r="U456" s="107">
        <f t="shared" si="442"/>
        <v>34184.063875000022</v>
      </c>
      <c r="V456" s="107">
        <f t="shared" si="443"/>
        <v>33526.682500000024</v>
      </c>
      <c r="W456" s="107">
        <f t="shared" si="444"/>
        <v>32869.301125000027</v>
      </c>
      <c r="X456" s="107">
        <f t="shared" si="445"/>
        <v>32211.919750000026</v>
      </c>
      <c r="Y456" s="107">
        <f t="shared" si="446"/>
        <v>31554.538375000026</v>
      </c>
      <c r="Z456" s="107">
        <f t="shared" si="447"/>
        <v>30897.157000000025</v>
      </c>
      <c r="AA456" s="107"/>
      <c r="AB456" s="107"/>
      <c r="AC456" s="107">
        <f t="shared" si="448"/>
        <v>7888.576500000001</v>
      </c>
      <c r="AD456" s="107">
        <f t="shared" si="449"/>
        <v>30239.775625000024</v>
      </c>
      <c r="AE456" s="107">
        <f t="shared" si="450"/>
        <v>29582.394250000023</v>
      </c>
      <c r="AF456" s="107">
        <f t="shared" si="451"/>
        <v>28925.012875000022</v>
      </c>
      <c r="AG456" s="107">
        <f t="shared" si="452"/>
        <v>28267.631500000021</v>
      </c>
      <c r="AH456" s="107">
        <f t="shared" si="453"/>
        <v>27610.25012500002</v>
      </c>
      <c r="AI456" s="107">
        <f t="shared" si="454"/>
        <v>26952.86875000002</v>
      </c>
      <c r="AJ456" s="107">
        <f t="shared" si="455"/>
        <v>26295.487375000019</v>
      </c>
      <c r="AK456" s="107">
        <f t="shared" si="456"/>
        <v>25638.106000000018</v>
      </c>
      <c r="AL456" s="107">
        <f t="shared" si="457"/>
        <v>24980.724625000017</v>
      </c>
      <c r="AM456" s="107">
        <f t="shared" si="458"/>
        <v>24323.343250000016</v>
      </c>
      <c r="AN456" s="107">
        <f t="shared" si="459"/>
        <v>23665.961875000015</v>
      </c>
      <c r="AO456" s="107">
        <f t="shared" si="460"/>
        <v>23008.580500000015</v>
      </c>
      <c r="AP456" s="107"/>
      <c r="AQ456" s="126"/>
      <c r="AR456" s="107">
        <f t="shared" si="461"/>
        <v>7888.576500000001</v>
      </c>
      <c r="AS456" s="107">
        <f t="shared" si="468"/>
        <v>22351.199125000014</v>
      </c>
      <c r="AT456" s="107">
        <f t="shared" si="469"/>
        <v>21693.817750000013</v>
      </c>
      <c r="AU456" s="107">
        <f t="shared" si="470"/>
        <v>21036.436375000012</v>
      </c>
      <c r="AV456" s="107">
        <f t="shared" si="471"/>
        <v>20379.055000000011</v>
      </c>
      <c r="AW456" s="107">
        <f t="shared" si="472"/>
        <v>19721.67362500001</v>
      </c>
      <c r="AX456" s="107">
        <f>AW456-M456</f>
        <v>19064.29225000001</v>
      </c>
      <c r="AY456" s="107">
        <f>AX456-M456</f>
        <v>18406.910875000009</v>
      </c>
      <c r="AZ456" s="107">
        <f>AY456-M456</f>
        <v>17749.529500000008</v>
      </c>
      <c r="BA456" s="107">
        <f>AZ456-M456</f>
        <v>17092.148125000007</v>
      </c>
      <c r="BB456" s="107">
        <f>BA456-M456</f>
        <v>16434.766750000006</v>
      </c>
      <c r="BC456" s="107">
        <f>BB456-M456</f>
        <v>15777.385375000005</v>
      </c>
      <c r="BD456" s="107">
        <f>BC456-M456</f>
        <v>15120.004000000004</v>
      </c>
      <c r="BE456" s="107"/>
      <c r="BF456" s="127"/>
      <c r="BG456" s="127"/>
      <c r="BH456" s="127"/>
      <c r="BI456" s="127"/>
      <c r="BJ456" s="127"/>
      <c r="BK456" s="127"/>
      <c r="BL456" s="127"/>
      <c r="BM456" s="127"/>
      <c r="BN456" s="127"/>
      <c r="BO456" s="127"/>
      <c r="BP456" s="127"/>
      <c r="BQ456" s="127"/>
      <c r="BR456" s="127"/>
      <c r="BS456" s="127"/>
      <c r="BT456" s="127"/>
      <c r="BU456" s="127"/>
      <c r="BV456" s="127"/>
    </row>
    <row r="457" spans="1:75" ht="22.5" hidden="1" x14ac:dyDescent="0.2">
      <c r="A457" s="123" t="str">
        <f>'[2]2021 УГРЦТ'!A459</f>
        <v>Трансформатор ТМГ-250/6/0,4 зав.№003119Y</v>
      </c>
      <c r="B457" s="124" t="str">
        <f>'[2]2021 УГРЦТ'!B459</f>
        <v>000001710</v>
      </c>
      <c r="C457" s="124" t="str">
        <f>VLOOKUP(A:A,'2023-2027'!A:L,1,+FALSE)</f>
        <v>Трансформатор ТМГ-250/6/0,4 зав.№003119Y</v>
      </c>
      <c r="D457" s="124" t="str">
        <f>'[2]2021 УГРЦТ'!C459</f>
        <v>ПЕРЕДАЧА</v>
      </c>
      <c r="E457" s="124" t="str">
        <f>'[2]2021 УГРЦТ'!D459</f>
        <v>Машины и оборудование (кроме офисного)</v>
      </c>
      <c r="F457" s="124" t="str">
        <f>'[2]2021 УГРЦТ'!E459</f>
        <v>31.07.2017</v>
      </c>
      <c r="G457" s="124" t="str">
        <f>'[2]2021 УГРЦТ'!F459</f>
        <v>Цех электрических сетей</v>
      </c>
      <c r="H457" s="124">
        <f>'[2]2021 УГРЦТ'!AC459</f>
        <v>360</v>
      </c>
      <c r="I457" s="107">
        <f>'[2]2021 УГРЦТ'!X459</f>
        <v>219795.25</v>
      </c>
      <c r="J457" s="107">
        <f>'[2]2021 УГРЦТ'!Y459</f>
        <v>32358.648333333331</v>
      </c>
      <c r="K457" s="107">
        <f>'[2]2021 УГРЦТ'!Z459</f>
        <v>187436.60166666668</v>
      </c>
      <c r="L457" s="125" t="e">
        <f>SUMIF([2]облаг!$B$2:$B$259,B457,[2]облаг!$D$2:$D$259)</f>
        <v>#VALUE!</v>
      </c>
      <c r="M457" s="107">
        <f t="shared" si="473"/>
        <v>610.54236111111106</v>
      </c>
      <c r="N457" s="107">
        <f t="shared" si="474"/>
        <v>7326.5083333333332</v>
      </c>
      <c r="O457" s="107">
        <f t="shared" si="475"/>
        <v>186826.05930555557</v>
      </c>
      <c r="P457" s="107">
        <f t="shared" si="476"/>
        <v>186215.51694444445</v>
      </c>
      <c r="Q457" s="107">
        <f t="shared" si="438"/>
        <v>185604.97458333333</v>
      </c>
      <c r="R457" s="107">
        <f t="shared" si="439"/>
        <v>184994.43222222221</v>
      </c>
      <c r="S457" s="107">
        <f t="shared" si="440"/>
        <v>184383.88986111109</v>
      </c>
      <c r="T457" s="107">
        <f t="shared" si="441"/>
        <v>183773.34749999997</v>
      </c>
      <c r="U457" s="107">
        <f t="shared" si="442"/>
        <v>183162.80513888886</v>
      </c>
      <c r="V457" s="107">
        <f t="shared" si="443"/>
        <v>182552.26277777774</v>
      </c>
      <c r="W457" s="107">
        <f t="shared" si="444"/>
        <v>181941.72041666662</v>
      </c>
      <c r="X457" s="107">
        <f t="shared" si="445"/>
        <v>181331.1780555555</v>
      </c>
      <c r="Y457" s="107">
        <f t="shared" si="446"/>
        <v>180720.63569444438</v>
      </c>
      <c r="Z457" s="107">
        <f t="shared" si="447"/>
        <v>180110.09333333327</v>
      </c>
      <c r="AA457" s="107"/>
      <c r="AB457" s="107"/>
      <c r="AC457" s="107">
        <f t="shared" si="448"/>
        <v>7326.5083333333332</v>
      </c>
      <c r="AD457" s="107">
        <f t="shared" si="449"/>
        <v>179499.55097222215</v>
      </c>
      <c r="AE457" s="107">
        <f t="shared" si="450"/>
        <v>178889.00861111103</v>
      </c>
      <c r="AF457" s="107">
        <f t="shared" si="451"/>
        <v>178278.46624999991</v>
      </c>
      <c r="AG457" s="107">
        <f t="shared" si="452"/>
        <v>177667.92388888879</v>
      </c>
      <c r="AH457" s="107">
        <f t="shared" si="453"/>
        <v>177057.38152777767</v>
      </c>
      <c r="AI457" s="107">
        <f t="shared" si="454"/>
        <v>176446.83916666656</v>
      </c>
      <c r="AJ457" s="107">
        <f t="shared" si="455"/>
        <v>175836.29680555544</v>
      </c>
      <c r="AK457" s="107">
        <f t="shared" si="456"/>
        <v>175225.75444444432</v>
      </c>
      <c r="AL457" s="107">
        <f t="shared" si="457"/>
        <v>174615.2120833332</v>
      </c>
      <c r="AM457" s="107">
        <f t="shared" si="458"/>
        <v>174004.66972222208</v>
      </c>
      <c r="AN457" s="107">
        <f t="shared" si="459"/>
        <v>173394.12736111096</v>
      </c>
      <c r="AO457" s="107">
        <f t="shared" si="460"/>
        <v>172783.58499999985</v>
      </c>
      <c r="AP457" s="107"/>
      <c r="AQ457" s="126"/>
      <c r="AR457" s="107">
        <f t="shared" si="461"/>
        <v>7326.5083333333332</v>
      </c>
      <c r="AS457" s="107">
        <f t="shared" si="468"/>
        <v>172173.04263888873</v>
      </c>
      <c r="AT457" s="107">
        <f t="shared" si="469"/>
        <v>171562.50027777761</v>
      </c>
      <c r="AU457" s="107">
        <f t="shared" si="470"/>
        <v>170951.95791666649</v>
      </c>
      <c r="AV457" s="107">
        <f t="shared" si="471"/>
        <v>170341.41555555537</v>
      </c>
      <c r="AW457" s="107">
        <f t="shared" si="472"/>
        <v>169730.87319444426</v>
      </c>
      <c r="AX457" s="107">
        <f>AW457-M457</f>
        <v>169120.33083333314</v>
      </c>
      <c r="AY457" s="107">
        <f>AX457-M457</f>
        <v>168509.78847222202</v>
      </c>
      <c r="AZ457" s="107">
        <f>AY457-M457</f>
        <v>167899.2461111109</v>
      </c>
      <c r="BA457" s="107">
        <f>AZ457-M457</f>
        <v>167288.70374999978</v>
      </c>
      <c r="BB457" s="107">
        <f>BA457-M457</f>
        <v>166678.16138888866</v>
      </c>
      <c r="BC457" s="107">
        <f>BB457-M457</f>
        <v>166067.61902777755</v>
      </c>
      <c r="BD457" s="107">
        <f>BC457-M457</f>
        <v>165457.07666666643</v>
      </c>
      <c r="BE457" s="10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27"/>
    </row>
    <row r="458" spans="1:75" ht="33.75" hidden="1" x14ac:dyDescent="0.2">
      <c r="A458" s="123" t="str">
        <f>'[2]2021 УГРЦТ'!A460</f>
        <v>Трансформатор ТМГ-250/6/0,4 схема и группа соединений Д/Ун-11 Россия завод.№636720</v>
      </c>
      <c r="B458" s="124" t="str">
        <f>'[2]2021 УГРЦТ'!B460</f>
        <v>000001806</v>
      </c>
      <c r="C458" s="124" t="str">
        <f>VLOOKUP(A:A,'2023-2027'!A:L,1,+FALSE)</f>
        <v>Трансформатор ТМГ-250/6/0,4 схема и группа соединений Д/Ун-11 Россия завод.№636720</v>
      </c>
      <c r="D458" s="124" t="str">
        <f>'[2]2021 УГРЦТ'!C460</f>
        <v>ПЕРЕДАЧА</v>
      </c>
      <c r="E458" s="124" t="str">
        <f>'[2]2021 УГРЦТ'!D460</f>
        <v>Машины и оборудование (кроме офисного)</v>
      </c>
      <c r="F458" s="124" t="str">
        <f>'[2]2021 УГРЦТ'!E460</f>
        <v>06.04.2020</v>
      </c>
      <c r="G458" s="124" t="str">
        <f>'[2]2021 УГРЦТ'!F460</f>
        <v>Цех электрических сетей</v>
      </c>
      <c r="H458" s="124">
        <f>'[2]2021 УГРЦТ'!AC460</f>
        <v>240</v>
      </c>
      <c r="I458" s="107">
        <f>'[2]2021 УГРЦТ'!X460</f>
        <v>184000</v>
      </c>
      <c r="J458" s="107">
        <f>'[2]2021 УГРЦТ'!Y460</f>
        <v>15333.36</v>
      </c>
      <c r="K458" s="107">
        <f>'[2]2021 УГРЦТ'!Z460</f>
        <v>168666.64</v>
      </c>
      <c r="L458" s="125" t="e">
        <f>SUMIF([2]облаг!$B$2:$B$259,B458,[2]облаг!$D$2:$D$259)</f>
        <v>#VALUE!</v>
      </c>
      <c r="M458" s="107">
        <f t="shared" si="473"/>
        <v>766.66666666666663</v>
      </c>
      <c r="N458" s="107">
        <f t="shared" si="474"/>
        <v>9200</v>
      </c>
      <c r="O458" s="107">
        <f t="shared" si="475"/>
        <v>167899.97333333336</v>
      </c>
      <c r="P458" s="107">
        <f t="shared" si="476"/>
        <v>167133.3066666667</v>
      </c>
      <c r="Q458" s="107">
        <f t="shared" si="438"/>
        <v>166366.64000000004</v>
      </c>
      <c r="R458" s="107">
        <f t="shared" si="439"/>
        <v>165599.97333333339</v>
      </c>
      <c r="S458" s="107">
        <f t="shared" si="440"/>
        <v>164833.30666666673</v>
      </c>
      <c r="T458" s="107">
        <f t="shared" si="441"/>
        <v>164066.64000000007</v>
      </c>
      <c r="U458" s="107">
        <f t="shared" si="442"/>
        <v>163299.97333333342</v>
      </c>
      <c r="V458" s="107">
        <f t="shared" si="443"/>
        <v>162533.30666666676</v>
      </c>
      <c r="W458" s="107">
        <f t="shared" si="444"/>
        <v>161766.6400000001</v>
      </c>
      <c r="X458" s="107">
        <f t="shared" si="445"/>
        <v>160999.97333333344</v>
      </c>
      <c r="Y458" s="107">
        <f t="shared" si="446"/>
        <v>160233.30666666679</v>
      </c>
      <c r="Z458" s="107">
        <f t="shared" si="447"/>
        <v>159466.64000000013</v>
      </c>
      <c r="AA458" s="107"/>
      <c r="AB458" s="107"/>
      <c r="AC458" s="107">
        <f t="shared" si="448"/>
        <v>9200</v>
      </c>
      <c r="AD458" s="107">
        <f t="shared" si="449"/>
        <v>158699.97333333347</v>
      </c>
      <c r="AE458" s="107">
        <f t="shared" si="450"/>
        <v>157933.30666666682</v>
      </c>
      <c r="AF458" s="107">
        <f t="shared" si="451"/>
        <v>157166.64000000016</v>
      </c>
      <c r="AG458" s="107">
        <f t="shared" si="452"/>
        <v>156399.9733333335</v>
      </c>
      <c r="AH458" s="107">
        <f t="shared" si="453"/>
        <v>155633.30666666685</v>
      </c>
      <c r="AI458" s="107">
        <f t="shared" si="454"/>
        <v>154866.64000000019</v>
      </c>
      <c r="AJ458" s="107">
        <f t="shared" si="455"/>
        <v>154099.97333333353</v>
      </c>
      <c r="AK458" s="107">
        <f t="shared" si="456"/>
        <v>153333.30666666687</v>
      </c>
      <c r="AL458" s="107">
        <f t="shared" si="457"/>
        <v>152566.64000000022</v>
      </c>
      <c r="AM458" s="107">
        <f t="shared" si="458"/>
        <v>151799.97333333356</v>
      </c>
      <c r="AN458" s="107">
        <f t="shared" si="459"/>
        <v>151033.3066666669</v>
      </c>
      <c r="AO458" s="107">
        <f t="shared" si="460"/>
        <v>150266.64000000025</v>
      </c>
      <c r="AP458" s="107"/>
      <c r="AQ458" s="126"/>
      <c r="AR458" s="107">
        <f t="shared" si="461"/>
        <v>9200</v>
      </c>
      <c r="AS458" s="107">
        <f t="shared" si="468"/>
        <v>149499.97333333359</v>
      </c>
      <c r="AT458" s="107">
        <f t="shared" si="469"/>
        <v>148733.30666666693</v>
      </c>
      <c r="AU458" s="107">
        <f t="shared" si="470"/>
        <v>147966.64000000028</v>
      </c>
      <c r="AV458" s="107">
        <f t="shared" si="471"/>
        <v>147199.97333333362</v>
      </c>
      <c r="AW458" s="107">
        <f t="shared" si="472"/>
        <v>146433.30666666696</v>
      </c>
      <c r="AX458" s="107">
        <f>AW458-M458</f>
        <v>145666.64000000031</v>
      </c>
      <c r="AY458" s="107">
        <f>AX458-M458</f>
        <v>144899.97333333365</v>
      </c>
      <c r="AZ458" s="107">
        <f>AY458-M458</f>
        <v>144133.30666666699</v>
      </c>
      <c r="BA458" s="107">
        <f>AZ458-M458</f>
        <v>143366.64000000033</v>
      </c>
      <c r="BB458" s="107">
        <f>BA458-M458</f>
        <v>142599.97333333368</v>
      </c>
      <c r="BC458" s="107">
        <f>BB458-M458</f>
        <v>141833.30666666702</v>
      </c>
      <c r="BD458" s="107">
        <f>BC458-M458</f>
        <v>141066.64000000036</v>
      </c>
      <c r="BE458" s="107"/>
      <c r="BF458" s="127"/>
      <c r="BG458" s="127"/>
      <c r="BH458" s="127"/>
      <c r="BI458" s="127"/>
      <c r="BJ458" s="127"/>
      <c r="BK458" s="127"/>
      <c r="BL458" s="127"/>
      <c r="BM458" s="127"/>
      <c r="BN458" s="127"/>
      <c r="BO458" s="127"/>
      <c r="BP458" s="127"/>
      <c r="BQ458" s="127"/>
      <c r="BR458" s="127"/>
      <c r="BS458" s="127"/>
      <c r="BT458" s="127"/>
      <c r="BU458" s="127"/>
      <c r="BV458" s="127"/>
      <c r="BW458" s="127"/>
    </row>
    <row r="459" spans="1:75" ht="22.5" hidden="1" x14ac:dyDescent="0.2">
      <c r="A459" s="123" t="str">
        <f>'[2]2021 УГРЦТ'!A461</f>
        <v>Трансформатор ТМГ-250/6-0,4  № 1451843 2001г выпус</v>
      </c>
      <c r="B459" s="124" t="str">
        <f>'[2]2021 УГРЦТ'!B461</f>
        <v>00000315</v>
      </c>
      <c r="C459" s="124" t="str">
        <f>VLOOKUP(A:A,'2023-2027'!A:L,1,+FALSE)</f>
        <v>Трансформатор ТМГ-250/6-0,4  № 1451843 2001г выпус</v>
      </c>
      <c r="D459" s="124" t="str">
        <f>'[2]2021 УГРЦТ'!C461</f>
        <v>ПЕРЕДАЧА</v>
      </c>
      <c r="E459" s="124" t="str">
        <f>'[2]2021 УГРЦТ'!D461</f>
        <v>Машины и оборудование (кроме офисного)</v>
      </c>
      <c r="F459" s="124" t="str">
        <f>'[2]2021 УГРЦТ'!E461</f>
        <v>30.06.2001</v>
      </c>
      <c r="G459" s="124" t="str">
        <f>'[2]2021 УГРЦТ'!F461</f>
        <v>Цех электрических сетей</v>
      </c>
      <c r="H459" s="124">
        <f>'[2]2021 УГРЦТ'!AC461</f>
        <v>276</v>
      </c>
      <c r="I459" s="107">
        <f>'[2]2021 УГРЦТ'!X461</f>
        <v>64583</v>
      </c>
      <c r="J459" s="107">
        <f>'[2]2021 УГРЦТ'!Y461</f>
        <v>57597.586521739126</v>
      </c>
      <c r="K459" s="107">
        <f>'[2]2021 УГРЦТ'!Z461</f>
        <v>6985.4134782608744</v>
      </c>
      <c r="L459" s="125" t="e">
        <f>SUMIF([2]облаг!$B$2:$B$259,B459,[2]облаг!$D$2:$D$259)</f>
        <v>#VALUE!</v>
      </c>
      <c r="M459" s="107">
        <f t="shared" si="473"/>
        <v>233.99637681159419</v>
      </c>
      <c r="N459" s="107">
        <f t="shared" si="474"/>
        <v>2807.95652173913</v>
      </c>
      <c r="O459" s="107">
        <f t="shared" si="475"/>
        <v>6751.4171014492804</v>
      </c>
      <c r="P459" s="107">
        <f t="shared" si="476"/>
        <v>6517.4207246376864</v>
      </c>
      <c r="Q459" s="107">
        <f t="shared" si="438"/>
        <v>6283.4243478260923</v>
      </c>
      <c r="R459" s="107">
        <f t="shared" si="439"/>
        <v>6049.4279710144983</v>
      </c>
      <c r="S459" s="107">
        <f t="shared" si="440"/>
        <v>5815.4315942029043</v>
      </c>
      <c r="T459" s="107">
        <f t="shared" si="441"/>
        <v>5581.4352173913103</v>
      </c>
      <c r="U459" s="107">
        <f t="shared" si="442"/>
        <v>5347.4388405797163</v>
      </c>
      <c r="V459" s="107">
        <f t="shared" si="443"/>
        <v>5113.4424637681223</v>
      </c>
      <c r="W459" s="107">
        <f t="shared" si="444"/>
        <v>4879.4460869565282</v>
      </c>
      <c r="X459" s="107">
        <f t="shared" si="445"/>
        <v>4645.4497101449342</v>
      </c>
      <c r="Y459" s="107">
        <f t="shared" si="446"/>
        <v>4411.4533333333402</v>
      </c>
      <c r="Z459" s="107">
        <f t="shared" si="447"/>
        <v>4177.4569565217462</v>
      </c>
      <c r="AA459" s="107"/>
      <c r="AB459" s="107"/>
      <c r="AC459" s="107">
        <f t="shared" si="448"/>
        <v>2807.95652173913</v>
      </c>
      <c r="AD459" s="107">
        <f t="shared" si="449"/>
        <v>3943.4605797101522</v>
      </c>
      <c r="AE459" s="107">
        <f t="shared" si="450"/>
        <v>3709.4642028985581</v>
      </c>
      <c r="AF459" s="107">
        <f t="shared" si="451"/>
        <v>3475.4678260869641</v>
      </c>
      <c r="AG459" s="107">
        <f t="shared" si="452"/>
        <v>3241.4714492753701</v>
      </c>
      <c r="AH459" s="107">
        <f t="shared" si="453"/>
        <v>3007.4750724637761</v>
      </c>
      <c r="AI459" s="107">
        <f t="shared" si="454"/>
        <v>2773.4786956521821</v>
      </c>
      <c r="AJ459" s="107">
        <f t="shared" si="455"/>
        <v>2539.4823188405881</v>
      </c>
      <c r="AK459" s="107">
        <f t="shared" si="456"/>
        <v>2305.485942028994</v>
      </c>
      <c r="AL459" s="107">
        <f t="shared" si="457"/>
        <v>2071.4895652174</v>
      </c>
      <c r="AM459" s="107">
        <f t="shared" si="458"/>
        <v>1837.4931884058058</v>
      </c>
      <c r="AN459" s="107">
        <f t="shared" si="459"/>
        <v>1603.4968115942115</v>
      </c>
      <c r="AO459" s="107">
        <f t="shared" si="460"/>
        <v>1369.5004347826173</v>
      </c>
      <c r="AP459" s="107"/>
      <c r="AQ459" s="126"/>
      <c r="AR459" s="107">
        <f>AS459</f>
        <v>1135.504057971023</v>
      </c>
      <c r="AS459" s="107">
        <f t="shared" si="468"/>
        <v>1135.504057971023</v>
      </c>
      <c r="AT459" s="107">
        <f t="shared" si="469"/>
        <v>901.50768115942878</v>
      </c>
      <c r="AU459" s="107">
        <f t="shared" si="470"/>
        <v>667.51130434783454</v>
      </c>
      <c r="AV459" s="107">
        <f t="shared" si="471"/>
        <v>433.51492753624035</v>
      </c>
      <c r="AW459" s="107">
        <f t="shared" si="472"/>
        <v>199.51855072464616</v>
      </c>
      <c r="AX459" s="107">
        <v>0</v>
      </c>
      <c r="AY459" s="107">
        <v>0</v>
      </c>
      <c r="AZ459" s="107">
        <v>0</v>
      </c>
      <c r="BA459" s="107">
        <v>0</v>
      </c>
      <c r="BB459" s="107">
        <v>0</v>
      </c>
      <c r="BC459" s="107">
        <v>0</v>
      </c>
      <c r="BD459" s="107">
        <v>0</v>
      </c>
      <c r="BE459" s="107"/>
      <c r="BI459" s="127"/>
    </row>
    <row r="460" spans="1:75" ht="22.5" hidden="1" x14ac:dyDescent="0.2">
      <c r="A460" s="123" t="str">
        <f>'[2]2021 УГРЦТ'!A462</f>
        <v>Трансформатор ТМГ-400 6/0,4кв  №1656822 2009г</v>
      </c>
      <c r="B460" s="124" t="str">
        <f>'[2]2021 УГРЦТ'!B462</f>
        <v>00001149</v>
      </c>
      <c r="C460" s="124" t="str">
        <f>VLOOKUP(A:A,'2023-2027'!A:L,1,+FALSE)</f>
        <v>Трансформатор ТМГ-400 6/0,4кв  №1656822 2009г</v>
      </c>
      <c r="D460" s="124" t="str">
        <f>'[2]2021 УГРЦТ'!C462</f>
        <v>ПЕРЕДАЧА</v>
      </c>
      <c r="E460" s="124" t="str">
        <f>'[2]2021 УГРЦТ'!D462</f>
        <v>Машины и оборудование (кроме офисного)</v>
      </c>
      <c r="F460" s="124" t="str">
        <f>'[2]2021 УГРЦТ'!E462</f>
        <v>31.10.2009</v>
      </c>
      <c r="G460" s="124" t="str">
        <f>'[2]2021 УГРЦТ'!F462</f>
        <v>Цех электрических сетей</v>
      </c>
      <c r="H460" s="124">
        <f>'[2]2021 УГРЦТ'!AC462</f>
        <v>240</v>
      </c>
      <c r="I460" s="107">
        <f>'[2]2021 УГРЦТ'!X462</f>
        <v>212242.97</v>
      </c>
      <c r="J460" s="107">
        <f>'[2]2021 УГРЦТ'!Y462</f>
        <v>129115.0485</v>
      </c>
      <c r="K460" s="107">
        <f>'[2]2021 УГРЦТ'!Z462</f>
        <v>83127.921499999997</v>
      </c>
      <c r="L460" s="125" t="e">
        <f>SUMIF([2]облаг!$B$2:$B$259,B460,[2]облаг!$D$2:$D$259)</f>
        <v>#VALUE!</v>
      </c>
      <c r="M460" s="107">
        <f t="shared" si="473"/>
        <v>884.34570833333339</v>
      </c>
      <c r="N460" s="107">
        <f t="shared" si="474"/>
        <v>10612.148500000001</v>
      </c>
      <c r="O460" s="107">
        <f t="shared" si="475"/>
        <v>82243.575791666663</v>
      </c>
      <c r="P460" s="107">
        <f t="shared" si="476"/>
        <v>81359.230083333328</v>
      </c>
      <c r="Q460" s="107">
        <f t="shared" si="438"/>
        <v>80474.884374999994</v>
      </c>
      <c r="R460" s="107">
        <f t="shared" si="439"/>
        <v>79590.53866666666</v>
      </c>
      <c r="S460" s="107">
        <f t="shared" si="440"/>
        <v>78706.192958333326</v>
      </c>
      <c r="T460" s="107">
        <f t="shared" si="441"/>
        <v>77821.847249999992</v>
      </c>
      <c r="U460" s="107">
        <f t="shared" si="442"/>
        <v>76937.501541666657</v>
      </c>
      <c r="V460" s="107">
        <f t="shared" si="443"/>
        <v>76053.155833333323</v>
      </c>
      <c r="W460" s="107">
        <f t="shared" si="444"/>
        <v>75168.810124999989</v>
      </c>
      <c r="X460" s="107">
        <f t="shared" si="445"/>
        <v>74284.464416666655</v>
      </c>
      <c r="Y460" s="107">
        <f t="shared" si="446"/>
        <v>73400.118708333321</v>
      </c>
      <c r="Z460" s="107">
        <f t="shared" si="447"/>
        <v>72515.772999999986</v>
      </c>
      <c r="AA460" s="107"/>
      <c r="AB460" s="107"/>
      <c r="AC460" s="107">
        <f t="shared" si="448"/>
        <v>10612.148500000001</v>
      </c>
      <c r="AD460" s="107">
        <f t="shared" si="449"/>
        <v>71631.427291666652</v>
      </c>
      <c r="AE460" s="107">
        <f t="shared" si="450"/>
        <v>70747.081583333318</v>
      </c>
      <c r="AF460" s="107">
        <f t="shared" si="451"/>
        <v>69862.735874999984</v>
      </c>
      <c r="AG460" s="107">
        <f t="shared" si="452"/>
        <v>68978.39016666665</v>
      </c>
      <c r="AH460" s="107">
        <f t="shared" si="453"/>
        <v>68094.044458333316</v>
      </c>
      <c r="AI460" s="107">
        <f t="shared" si="454"/>
        <v>67209.698749999981</v>
      </c>
      <c r="AJ460" s="107">
        <f t="shared" si="455"/>
        <v>66325.353041666647</v>
      </c>
      <c r="AK460" s="107">
        <f t="shared" si="456"/>
        <v>65441.007333333313</v>
      </c>
      <c r="AL460" s="107">
        <f t="shared" si="457"/>
        <v>64556.661624999979</v>
      </c>
      <c r="AM460" s="107">
        <f t="shared" si="458"/>
        <v>63672.315916666645</v>
      </c>
      <c r="AN460" s="107">
        <f t="shared" si="459"/>
        <v>62787.97020833331</v>
      </c>
      <c r="AO460" s="107">
        <f t="shared" si="460"/>
        <v>61903.624499999976</v>
      </c>
      <c r="AP460" s="107"/>
      <c r="AQ460" s="126"/>
      <c r="AR460" s="107">
        <f t="shared" si="461"/>
        <v>10612.148500000001</v>
      </c>
      <c r="AS460" s="107">
        <f t="shared" si="468"/>
        <v>61019.278791666642</v>
      </c>
      <c r="AT460" s="107">
        <f t="shared" si="469"/>
        <v>60134.933083333308</v>
      </c>
      <c r="AU460" s="107">
        <f t="shared" si="470"/>
        <v>59250.587374999974</v>
      </c>
      <c r="AV460" s="107">
        <f t="shared" si="471"/>
        <v>58366.24166666664</v>
      </c>
      <c r="AW460" s="107">
        <f t="shared" si="472"/>
        <v>57481.895958333305</v>
      </c>
      <c r="AX460" s="107">
        <f>AW460-M460</f>
        <v>56597.550249999971</v>
      </c>
      <c r="AY460" s="107">
        <f>AX460-M460</f>
        <v>55713.204541666637</v>
      </c>
      <c r="AZ460" s="107">
        <f>AY460-M460</f>
        <v>54828.858833333303</v>
      </c>
      <c r="BA460" s="107">
        <f>AZ460-M460</f>
        <v>53944.513124999969</v>
      </c>
      <c r="BB460" s="107">
        <f>BA460-M460</f>
        <v>53060.167416666634</v>
      </c>
      <c r="BC460" s="107">
        <f>BB460-M460</f>
        <v>52175.8217083333</v>
      </c>
      <c r="BD460" s="107">
        <f>BC460-M460</f>
        <v>51291.475999999966</v>
      </c>
      <c r="BE460" s="107"/>
      <c r="BF460" s="127"/>
      <c r="BG460" s="127"/>
      <c r="BH460" s="127"/>
      <c r="BI460" s="127"/>
      <c r="BJ460" s="127"/>
      <c r="BK460" s="127"/>
      <c r="BL460" s="127"/>
      <c r="BM460" s="127"/>
      <c r="BN460" s="127"/>
      <c r="BO460" s="127"/>
      <c r="BP460" s="127"/>
      <c r="BQ460" s="127"/>
      <c r="BR460" s="127"/>
      <c r="BS460" s="127"/>
      <c r="BT460" s="127"/>
      <c r="BU460" s="127"/>
      <c r="BV460" s="127"/>
      <c r="BW460" s="127"/>
    </row>
    <row r="461" spans="1:75" ht="22.5" hidden="1" x14ac:dyDescent="0.2">
      <c r="A461" s="123" t="str">
        <f>'[2]2021 УГРЦТ'!A463</f>
        <v>Трансформатор ТМГ-400/6/0,4 зав.№003815Y</v>
      </c>
      <c r="B461" s="124" t="str">
        <f>'[2]2021 УГРЦТ'!B463</f>
        <v>000001709</v>
      </c>
      <c r="C461" s="124" t="str">
        <f>VLOOKUP(A:A,'2023-2027'!A:L,1,+FALSE)</f>
        <v>Трансформатор ТМГ-400/6/0,4 зав.№003815Y</v>
      </c>
      <c r="D461" s="124" t="str">
        <f>'[2]2021 УГРЦТ'!C463</f>
        <v>ПЕРЕДАЧА</v>
      </c>
      <c r="E461" s="124" t="str">
        <f>'[2]2021 УГРЦТ'!D463</f>
        <v>Машины и оборудование (кроме офисного)</v>
      </c>
      <c r="F461" s="124" t="str">
        <f>'[2]2021 УГРЦТ'!E463</f>
        <v>31.07.2017</v>
      </c>
      <c r="G461" s="124" t="str">
        <f>'[2]2021 УГРЦТ'!F463</f>
        <v>Цех электрических сетей</v>
      </c>
      <c r="H461" s="124">
        <f>'[2]2021 УГРЦТ'!AC463</f>
        <v>360</v>
      </c>
      <c r="I461" s="107">
        <f>'[2]2021 УГРЦТ'!X463</f>
        <v>275050.95</v>
      </c>
      <c r="J461" s="107">
        <f>'[2]2021 УГРЦТ'!Y463</f>
        <v>40493.595000000001</v>
      </c>
      <c r="K461" s="107">
        <f>'[2]2021 УГРЦТ'!Z463</f>
        <v>234557.35500000001</v>
      </c>
      <c r="L461" s="125" t="e">
        <f>SUMIF([2]облаг!$B$2:$B$259,B461,[2]облаг!$D$2:$D$259)</f>
        <v>#VALUE!</v>
      </c>
      <c r="M461" s="107">
        <f t="shared" si="473"/>
        <v>764.03041666666672</v>
      </c>
      <c r="N461" s="107">
        <f t="shared" si="474"/>
        <v>9168.3650000000016</v>
      </c>
      <c r="O461" s="107">
        <f t="shared" si="475"/>
        <v>233793.32458333333</v>
      </c>
      <c r="P461" s="107">
        <f t="shared" si="476"/>
        <v>233029.29416666666</v>
      </c>
      <c r="Q461" s="107">
        <f t="shared" si="438"/>
        <v>232265.26374999998</v>
      </c>
      <c r="R461" s="107">
        <f t="shared" si="439"/>
        <v>231501.23333333331</v>
      </c>
      <c r="S461" s="107">
        <f t="shared" si="440"/>
        <v>230737.20291666663</v>
      </c>
      <c r="T461" s="107">
        <f t="shared" si="441"/>
        <v>229973.17249999996</v>
      </c>
      <c r="U461" s="107">
        <f t="shared" si="442"/>
        <v>229209.14208333328</v>
      </c>
      <c r="V461" s="107">
        <f t="shared" si="443"/>
        <v>228445.11166666661</v>
      </c>
      <c r="W461" s="107">
        <f t="shared" si="444"/>
        <v>227681.08124999993</v>
      </c>
      <c r="X461" s="107">
        <f t="shared" si="445"/>
        <v>226917.05083333325</v>
      </c>
      <c r="Y461" s="107">
        <f t="shared" si="446"/>
        <v>226153.02041666658</v>
      </c>
      <c r="Z461" s="107">
        <f t="shared" si="447"/>
        <v>225388.9899999999</v>
      </c>
      <c r="AA461" s="107"/>
      <c r="AB461" s="107"/>
      <c r="AC461" s="107">
        <f t="shared" si="448"/>
        <v>9168.3650000000016</v>
      </c>
      <c r="AD461" s="107">
        <f t="shared" si="449"/>
        <v>224624.95958333323</v>
      </c>
      <c r="AE461" s="107">
        <f t="shared" si="450"/>
        <v>223860.92916666655</v>
      </c>
      <c r="AF461" s="107">
        <f t="shared" si="451"/>
        <v>223096.89874999988</v>
      </c>
      <c r="AG461" s="107">
        <f t="shared" si="452"/>
        <v>222332.8683333332</v>
      </c>
      <c r="AH461" s="107">
        <f t="shared" si="453"/>
        <v>221568.83791666653</v>
      </c>
      <c r="AI461" s="107">
        <f t="shared" si="454"/>
        <v>220804.80749999985</v>
      </c>
      <c r="AJ461" s="107">
        <f t="shared" si="455"/>
        <v>220040.77708333317</v>
      </c>
      <c r="AK461" s="107">
        <f t="shared" si="456"/>
        <v>219276.7466666665</v>
      </c>
      <c r="AL461" s="107">
        <f t="shared" si="457"/>
        <v>218512.71624999982</v>
      </c>
      <c r="AM461" s="107">
        <f t="shared" si="458"/>
        <v>217748.68583333315</v>
      </c>
      <c r="AN461" s="107">
        <f t="shared" si="459"/>
        <v>216984.65541666647</v>
      </c>
      <c r="AO461" s="107">
        <f t="shared" si="460"/>
        <v>216220.6249999998</v>
      </c>
      <c r="AP461" s="107"/>
      <c r="AQ461" s="126"/>
      <c r="AR461" s="107">
        <f t="shared" si="461"/>
        <v>9168.3650000000016</v>
      </c>
      <c r="AS461" s="107">
        <f t="shared" si="468"/>
        <v>215456.59458333312</v>
      </c>
      <c r="AT461" s="107">
        <f t="shared" si="469"/>
        <v>214692.56416666645</v>
      </c>
      <c r="AU461" s="107">
        <f t="shared" si="470"/>
        <v>213928.53374999977</v>
      </c>
      <c r="AV461" s="107">
        <f t="shared" si="471"/>
        <v>213164.50333333309</v>
      </c>
      <c r="AW461" s="107">
        <f t="shared" si="472"/>
        <v>212400.47291666642</v>
      </c>
      <c r="AX461" s="107">
        <f>AW461-M461</f>
        <v>211636.44249999974</v>
      </c>
      <c r="AY461" s="107">
        <f>AX461-M461</f>
        <v>210872.41208333307</v>
      </c>
      <c r="AZ461" s="107">
        <f>AY461-M461</f>
        <v>210108.38166666639</v>
      </c>
      <c r="BA461" s="107">
        <f>AZ461-M461</f>
        <v>209344.35124999972</v>
      </c>
      <c r="BB461" s="107">
        <f>BA461-M461</f>
        <v>208580.32083333304</v>
      </c>
      <c r="BC461" s="107">
        <f>BB461-M461</f>
        <v>207816.29041666636</v>
      </c>
      <c r="BD461" s="107">
        <f>BC461-M461</f>
        <v>207052.25999999969</v>
      </c>
      <c r="BE461" s="107"/>
      <c r="BF461" s="127"/>
      <c r="BG461" s="127"/>
      <c r="BH461" s="127"/>
      <c r="BI461" s="127"/>
      <c r="BJ461" s="127"/>
      <c r="BK461" s="127"/>
      <c r="BL461" s="127"/>
      <c r="BM461" s="127"/>
      <c r="BN461" s="127"/>
      <c r="BO461" s="127"/>
      <c r="BP461" s="127"/>
      <c r="BQ461" s="127"/>
      <c r="BR461" s="127"/>
      <c r="BS461" s="127"/>
      <c r="BT461" s="127"/>
      <c r="BU461" s="127"/>
      <c r="BV461" s="127"/>
      <c r="BW461" s="127"/>
    </row>
    <row r="462" spans="1:75" ht="22.5" hidden="1" x14ac:dyDescent="0.2">
      <c r="A462" s="123" t="str">
        <f>'[2]2021 УГРЦТ'!A464</f>
        <v>Трансформатор ТМГ-400/6/0,4 зав.№003816Y</v>
      </c>
      <c r="B462" s="124" t="str">
        <f>'[2]2021 УГРЦТ'!B464</f>
        <v>000001708</v>
      </c>
      <c r="C462" s="124" t="str">
        <f>VLOOKUP(A:A,'2023-2027'!A:L,1,+FALSE)</f>
        <v>Трансформатор ТМГ-400/6/0,4 зав.№003816Y</v>
      </c>
      <c r="D462" s="124" t="str">
        <f>'[2]2021 УГРЦТ'!C464</f>
        <v>ПЕРЕДАЧА</v>
      </c>
      <c r="E462" s="124" t="str">
        <f>'[2]2021 УГРЦТ'!D464</f>
        <v>Машины и оборудование (кроме офисного)</v>
      </c>
      <c r="F462" s="124" t="str">
        <f>'[2]2021 УГРЦТ'!E464</f>
        <v>31.07.2017</v>
      </c>
      <c r="G462" s="124" t="str">
        <f>'[2]2021 УГРЦТ'!F464</f>
        <v>Цех электрических сетей</v>
      </c>
      <c r="H462" s="124">
        <f>'[2]2021 УГРЦТ'!AC464</f>
        <v>360</v>
      </c>
      <c r="I462" s="107">
        <f>'[2]2021 УГРЦТ'!X464</f>
        <v>275050.95</v>
      </c>
      <c r="J462" s="107">
        <f>'[2]2021 УГРЦТ'!Y464</f>
        <v>40493.595000000001</v>
      </c>
      <c r="K462" s="107">
        <f>'[2]2021 УГРЦТ'!Z464</f>
        <v>234557.35500000001</v>
      </c>
      <c r="L462" s="125" t="e">
        <f>SUMIF([2]облаг!$B$2:$B$259,B462,[2]облаг!$D$2:$D$259)</f>
        <v>#VALUE!</v>
      </c>
      <c r="M462" s="107">
        <f t="shared" si="473"/>
        <v>764.03041666666672</v>
      </c>
      <c r="N462" s="107">
        <f t="shared" si="474"/>
        <v>9168.3650000000016</v>
      </c>
      <c r="O462" s="107">
        <f t="shared" si="475"/>
        <v>233793.32458333333</v>
      </c>
      <c r="P462" s="107">
        <f t="shared" si="476"/>
        <v>233029.29416666666</v>
      </c>
      <c r="Q462" s="107">
        <f t="shared" si="438"/>
        <v>232265.26374999998</v>
      </c>
      <c r="R462" s="107">
        <f t="shared" si="439"/>
        <v>231501.23333333331</v>
      </c>
      <c r="S462" s="107">
        <f t="shared" si="440"/>
        <v>230737.20291666663</v>
      </c>
      <c r="T462" s="107">
        <f t="shared" si="441"/>
        <v>229973.17249999996</v>
      </c>
      <c r="U462" s="107">
        <f t="shared" si="442"/>
        <v>229209.14208333328</v>
      </c>
      <c r="V462" s="107">
        <f t="shared" si="443"/>
        <v>228445.11166666661</v>
      </c>
      <c r="W462" s="107">
        <f t="shared" si="444"/>
        <v>227681.08124999993</v>
      </c>
      <c r="X462" s="107">
        <f t="shared" si="445"/>
        <v>226917.05083333325</v>
      </c>
      <c r="Y462" s="107">
        <f t="shared" si="446"/>
        <v>226153.02041666658</v>
      </c>
      <c r="Z462" s="107">
        <f t="shared" si="447"/>
        <v>225388.9899999999</v>
      </c>
      <c r="AA462" s="107"/>
      <c r="AB462" s="107"/>
      <c r="AC462" s="107">
        <f t="shared" si="448"/>
        <v>9168.3650000000016</v>
      </c>
      <c r="AD462" s="107">
        <f t="shared" si="449"/>
        <v>224624.95958333323</v>
      </c>
      <c r="AE462" s="107">
        <f t="shared" si="450"/>
        <v>223860.92916666655</v>
      </c>
      <c r="AF462" s="107">
        <f t="shared" si="451"/>
        <v>223096.89874999988</v>
      </c>
      <c r="AG462" s="107">
        <f t="shared" si="452"/>
        <v>222332.8683333332</v>
      </c>
      <c r="AH462" s="107">
        <f t="shared" si="453"/>
        <v>221568.83791666653</v>
      </c>
      <c r="AI462" s="107">
        <f t="shared" si="454"/>
        <v>220804.80749999985</v>
      </c>
      <c r="AJ462" s="107">
        <f t="shared" si="455"/>
        <v>220040.77708333317</v>
      </c>
      <c r="AK462" s="107">
        <f t="shared" si="456"/>
        <v>219276.7466666665</v>
      </c>
      <c r="AL462" s="107">
        <f t="shared" si="457"/>
        <v>218512.71624999982</v>
      </c>
      <c r="AM462" s="107">
        <f t="shared" si="458"/>
        <v>217748.68583333315</v>
      </c>
      <c r="AN462" s="107">
        <f t="shared" si="459"/>
        <v>216984.65541666647</v>
      </c>
      <c r="AO462" s="107">
        <f t="shared" si="460"/>
        <v>216220.6249999998</v>
      </c>
      <c r="AP462" s="107"/>
      <c r="AQ462" s="126"/>
      <c r="AR462" s="107">
        <f t="shared" si="461"/>
        <v>9168.3650000000016</v>
      </c>
      <c r="AS462" s="107">
        <f t="shared" si="468"/>
        <v>215456.59458333312</v>
      </c>
      <c r="AT462" s="107">
        <f t="shared" si="469"/>
        <v>214692.56416666645</v>
      </c>
      <c r="AU462" s="107">
        <f t="shared" si="470"/>
        <v>213928.53374999977</v>
      </c>
      <c r="AV462" s="107">
        <f t="shared" si="471"/>
        <v>213164.50333333309</v>
      </c>
      <c r="AW462" s="107">
        <f t="shared" si="472"/>
        <v>212400.47291666642</v>
      </c>
      <c r="AX462" s="107">
        <f>AW462-M462</f>
        <v>211636.44249999974</v>
      </c>
      <c r="AY462" s="107">
        <f>AX462-M462</f>
        <v>210872.41208333307</v>
      </c>
      <c r="AZ462" s="107">
        <f>AY462-M462</f>
        <v>210108.38166666639</v>
      </c>
      <c r="BA462" s="107">
        <f>AZ462-M462</f>
        <v>209344.35124999972</v>
      </c>
      <c r="BB462" s="107">
        <f>BA462-M462</f>
        <v>208580.32083333304</v>
      </c>
      <c r="BC462" s="107">
        <f>BB462-M462</f>
        <v>207816.29041666636</v>
      </c>
      <c r="BD462" s="107">
        <f>BC462-M462</f>
        <v>207052.25999999969</v>
      </c>
      <c r="BE462" s="107"/>
      <c r="BF462" s="127"/>
      <c r="BG462" s="127"/>
      <c r="BH462" s="127"/>
      <c r="BI462" s="127"/>
      <c r="BJ462" s="127"/>
      <c r="BK462" s="127"/>
      <c r="BL462" s="127"/>
      <c r="BM462" s="127"/>
      <c r="BN462" s="127"/>
      <c r="BO462" s="127"/>
      <c r="BP462" s="127"/>
      <c r="BQ462" s="127"/>
      <c r="BR462" s="127"/>
      <c r="BS462" s="127"/>
      <c r="BT462" s="127"/>
      <c r="BU462" s="127"/>
      <c r="BV462" s="127"/>
      <c r="BW462" s="127"/>
    </row>
    <row r="463" spans="1:75" ht="22.5" hidden="1" x14ac:dyDescent="0.2">
      <c r="A463" s="123" t="str">
        <f>'[2]2021 УГРЦТ'!A465</f>
        <v>Трансформатор ТМГ-400/6/0,4 зав.№003817Y</v>
      </c>
      <c r="B463" s="124" t="str">
        <f>'[2]2021 УГРЦТ'!B465</f>
        <v>000001707</v>
      </c>
      <c r="C463" s="124" t="str">
        <f>VLOOKUP(A:A,'2023-2027'!A:L,1,+FALSE)</f>
        <v>Трансформатор ТМГ-400/6/0,4 зав.№003817Y</v>
      </c>
      <c r="D463" s="124" t="str">
        <f>'[2]2021 УГРЦТ'!C465</f>
        <v>ПЕРЕДАЧА</v>
      </c>
      <c r="E463" s="124" t="str">
        <f>'[2]2021 УГРЦТ'!D465</f>
        <v>Машины и оборудование (кроме офисного)</v>
      </c>
      <c r="F463" s="124" t="str">
        <f>'[2]2021 УГРЦТ'!E465</f>
        <v>31.07.2017</v>
      </c>
      <c r="G463" s="124" t="str">
        <f>'[2]2021 УГРЦТ'!F465</f>
        <v>Цех электрических сетей</v>
      </c>
      <c r="H463" s="124">
        <f>'[2]2021 УГРЦТ'!AC465</f>
        <v>360</v>
      </c>
      <c r="I463" s="107">
        <f>'[2]2021 УГРЦТ'!X465</f>
        <v>275050.95</v>
      </c>
      <c r="J463" s="107">
        <f>'[2]2021 УГРЦТ'!Y465</f>
        <v>40493.595000000001</v>
      </c>
      <c r="K463" s="107">
        <f>'[2]2021 УГРЦТ'!Z465</f>
        <v>234557.35500000001</v>
      </c>
      <c r="L463" s="125" t="e">
        <f>SUMIF([2]облаг!$B$2:$B$259,B463,[2]облаг!$D$2:$D$259)</f>
        <v>#VALUE!</v>
      </c>
      <c r="M463" s="107">
        <f t="shared" si="473"/>
        <v>764.03041666666672</v>
      </c>
      <c r="N463" s="107">
        <f t="shared" si="474"/>
        <v>9168.3650000000016</v>
      </c>
      <c r="O463" s="107">
        <f t="shared" si="475"/>
        <v>233793.32458333333</v>
      </c>
      <c r="P463" s="107">
        <f t="shared" si="476"/>
        <v>233029.29416666666</v>
      </c>
      <c r="Q463" s="107">
        <f t="shared" si="438"/>
        <v>232265.26374999998</v>
      </c>
      <c r="R463" s="107">
        <f t="shared" si="439"/>
        <v>231501.23333333331</v>
      </c>
      <c r="S463" s="107">
        <f t="shared" si="440"/>
        <v>230737.20291666663</v>
      </c>
      <c r="T463" s="107">
        <f t="shared" si="441"/>
        <v>229973.17249999996</v>
      </c>
      <c r="U463" s="107">
        <f t="shared" si="442"/>
        <v>229209.14208333328</v>
      </c>
      <c r="V463" s="107">
        <f t="shared" si="443"/>
        <v>228445.11166666661</v>
      </c>
      <c r="W463" s="107">
        <f t="shared" si="444"/>
        <v>227681.08124999993</v>
      </c>
      <c r="X463" s="107">
        <f t="shared" si="445"/>
        <v>226917.05083333325</v>
      </c>
      <c r="Y463" s="107">
        <f t="shared" si="446"/>
        <v>226153.02041666658</v>
      </c>
      <c r="Z463" s="107">
        <f t="shared" si="447"/>
        <v>225388.9899999999</v>
      </c>
      <c r="AA463" s="107"/>
      <c r="AB463" s="107"/>
      <c r="AC463" s="107">
        <f t="shared" si="448"/>
        <v>9168.3650000000016</v>
      </c>
      <c r="AD463" s="107">
        <f t="shared" si="449"/>
        <v>224624.95958333323</v>
      </c>
      <c r="AE463" s="107">
        <f t="shared" si="450"/>
        <v>223860.92916666655</v>
      </c>
      <c r="AF463" s="107">
        <f t="shared" si="451"/>
        <v>223096.89874999988</v>
      </c>
      <c r="AG463" s="107">
        <f t="shared" si="452"/>
        <v>222332.8683333332</v>
      </c>
      <c r="AH463" s="107">
        <f t="shared" si="453"/>
        <v>221568.83791666653</v>
      </c>
      <c r="AI463" s="107">
        <f t="shared" si="454"/>
        <v>220804.80749999985</v>
      </c>
      <c r="AJ463" s="107">
        <f t="shared" si="455"/>
        <v>220040.77708333317</v>
      </c>
      <c r="AK463" s="107">
        <f t="shared" si="456"/>
        <v>219276.7466666665</v>
      </c>
      <c r="AL463" s="107">
        <f t="shared" si="457"/>
        <v>218512.71624999982</v>
      </c>
      <c r="AM463" s="107">
        <f t="shared" si="458"/>
        <v>217748.68583333315</v>
      </c>
      <c r="AN463" s="107">
        <f t="shared" si="459"/>
        <v>216984.65541666647</v>
      </c>
      <c r="AO463" s="107">
        <f t="shared" si="460"/>
        <v>216220.6249999998</v>
      </c>
      <c r="AP463" s="107"/>
      <c r="AQ463" s="126"/>
      <c r="AR463" s="107">
        <f t="shared" si="461"/>
        <v>9168.3650000000016</v>
      </c>
      <c r="AS463" s="107">
        <f t="shared" si="468"/>
        <v>215456.59458333312</v>
      </c>
      <c r="AT463" s="107">
        <f t="shared" si="469"/>
        <v>214692.56416666645</v>
      </c>
      <c r="AU463" s="107">
        <f t="shared" si="470"/>
        <v>213928.53374999977</v>
      </c>
      <c r="AV463" s="107">
        <f t="shared" si="471"/>
        <v>213164.50333333309</v>
      </c>
      <c r="AW463" s="107">
        <f t="shared" si="472"/>
        <v>212400.47291666642</v>
      </c>
      <c r="AX463" s="107">
        <f>AW463-M463</f>
        <v>211636.44249999974</v>
      </c>
      <c r="AY463" s="107">
        <f>AX463-M463</f>
        <v>210872.41208333307</v>
      </c>
      <c r="AZ463" s="107">
        <f>AY463-M463</f>
        <v>210108.38166666639</v>
      </c>
      <c r="BA463" s="107">
        <f>AZ463-M463</f>
        <v>209344.35124999972</v>
      </c>
      <c r="BB463" s="107">
        <f>BA463-M463</f>
        <v>208580.32083333304</v>
      </c>
      <c r="BC463" s="107">
        <f>BB463-M463</f>
        <v>207816.29041666636</v>
      </c>
      <c r="BD463" s="107">
        <f>BC463-M463</f>
        <v>207052.25999999969</v>
      </c>
      <c r="BE463" s="107"/>
      <c r="BF463" s="127"/>
      <c r="BG463" s="127"/>
      <c r="BH463" s="127"/>
      <c r="BI463" s="127"/>
      <c r="BJ463" s="127"/>
      <c r="BK463" s="127"/>
      <c r="BL463" s="127"/>
      <c r="BM463" s="127"/>
      <c r="BN463" s="127"/>
      <c r="BO463" s="127"/>
      <c r="BP463" s="127"/>
      <c r="BQ463" s="127"/>
      <c r="BR463" s="127"/>
      <c r="BS463" s="127"/>
      <c r="BT463" s="127"/>
      <c r="BU463" s="127"/>
      <c r="BV463" s="127"/>
      <c r="BW463" s="127"/>
    </row>
    <row r="464" spans="1:75" ht="33.75" hidden="1" x14ac:dyDescent="0.2">
      <c r="A464" s="123" t="str">
        <f>'[2]2021 УГРЦТ'!A466</f>
        <v>Трансформатор ТМГ-400/6/0,4 схема и группа соединений Д/Ун-11, зав.№1804жг214</v>
      </c>
      <c r="B464" s="124" t="str">
        <f>'[2]2021 УГРЦТ'!B466</f>
        <v>000001738</v>
      </c>
      <c r="C464" s="124" t="str">
        <f>VLOOKUP(A:A,'2023-2027'!A:L,1,+FALSE)</f>
        <v>Трансформатор ТМГ-400/6/0,4 схема и группа соединений Д/Ун-11, зав.№1804жг214</v>
      </c>
      <c r="D464" s="124" t="str">
        <f>'[2]2021 УГРЦТ'!C466</f>
        <v>ПЕРЕДАЧА</v>
      </c>
      <c r="E464" s="124" t="str">
        <f>'[2]2021 УГРЦТ'!D466</f>
        <v>Машины и оборудование (кроме офисного)</v>
      </c>
      <c r="F464" s="124" t="str">
        <f>'[2]2021 УГРЦТ'!E466</f>
        <v>31.07.2018</v>
      </c>
      <c r="G464" s="124" t="str">
        <f>'[2]2021 УГРЦТ'!F466</f>
        <v>Цех электрических сетей</v>
      </c>
      <c r="H464" s="124">
        <f>'[2]2021 УГРЦТ'!AC466</f>
        <v>240</v>
      </c>
      <c r="I464" s="107">
        <f>'[2]2021 УГРЦТ'!X466</f>
        <v>280493.28999999998</v>
      </c>
      <c r="J464" s="107">
        <f>'[2]2021 УГРЦТ'!Y466</f>
        <v>47917.544499999996</v>
      </c>
      <c r="K464" s="107">
        <f>'[2]2021 УГРЦТ'!Z466</f>
        <v>232575.74549999999</v>
      </c>
      <c r="L464" s="125" t="e">
        <f>SUMIF([2]облаг!$B$2:$B$259,B464,[2]облаг!$D$2:$D$259)</f>
        <v>#VALUE!</v>
      </c>
      <c r="M464" s="107">
        <f t="shared" si="473"/>
        <v>1168.7220416666667</v>
      </c>
      <c r="N464" s="107">
        <f t="shared" si="474"/>
        <v>14024.664499999999</v>
      </c>
      <c r="O464" s="107">
        <f t="shared" si="475"/>
        <v>231407.02345833334</v>
      </c>
      <c r="P464" s="107">
        <f t="shared" si="476"/>
        <v>230238.30141666668</v>
      </c>
      <c r="Q464" s="107">
        <f t="shared" si="438"/>
        <v>229069.57937500003</v>
      </c>
      <c r="R464" s="107">
        <f t="shared" si="439"/>
        <v>227900.85733333338</v>
      </c>
      <c r="S464" s="107">
        <f t="shared" si="440"/>
        <v>226732.13529166672</v>
      </c>
      <c r="T464" s="107">
        <f t="shared" si="441"/>
        <v>225563.41325000007</v>
      </c>
      <c r="U464" s="107">
        <f t="shared" si="442"/>
        <v>224394.69120833342</v>
      </c>
      <c r="V464" s="107">
        <f t="shared" si="443"/>
        <v>223225.96916666676</v>
      </c>
      <c r="W464" s="107">
        <f t="shared" si="444"/>
        <v>222057.24712500011</v>
      </c>
      <c r="X464" s="107">
        <f t="shared" si="445"/>
        <v>220888.52508333346</v>
      </c>
      <c r="Y464" s="107">
        <f t="shared" si="446"/>
        <v>219719.8030416668</v>
      </c>
      <c r="Z464" s="107">
        <f t="shared" si="447"/>
        <v>218551.08100000015</v>
      </c>
      <c r="AA464" s="107"/>
      <c r="AB464" s="107"/>
      <c r="AC464" s="107">
        <f t="shared" si="448"/>
        <v>14024.664499999999</v>
      </c>
      <c r="AD464" s="107">
        <f t="shared" si="449"/>
        <v>217382.3589583335</v>
      </c>
      <c r="AE464" s="107">
        <f t="shared" si="450"/>
        <v>216213.63691666684</v>
      </c>
      <c r="AF464" s="107">
        <f t="shared" si="451"/>
        <v>215044.91487500019</v>
      </c>
      <c r="AG464" s="107">
        <f t="shared" si="452"/>
        <v>213876.19283333354</v>
      </c>
      <c r="AH464" s="107">
        <f t="shared" si="453"/>
        <v>212707.47079166688</v>
      </c>
      <c r="AI464" s="107">
        <f t="shared" si="454"/>
        <v>211538.74875000023</v>
      </c>
      <c r="AJ464" s="107">
        <f t="shared" si="455"/>
        <v>210370.02670833358</v>
      </c>
      <c r="AK464" s="107">
        <f t="shared" si="456"/>
        <v>209201.30466666693</v>
      </c>
      <c r="AL464" s="107">
        <f t="shared" si="457"/>
        <v>208032.58262500027</v>
      </c>
      <c r="AM464" s="107">
        <f t="shared" si="458"/>
        <v>206863.86058333362</v>
      </c>
      <c r="AN464" s="107">
        <f t="shared" si="459"/>
        <v>205695.13854166697</v>
      </c>
      <c r="AO464" s="107">
        <f t="shared" si="460"/>
        <v>204526.41650000031</v>
      </c>
      <c r="AP464" s="107"/>
      <c r="AQ464" s="126"/>
      <c r="AR464" s="107">
        <f t="shared" si="461"/>
        <v>14024.664499999999</v>
      </c>
      <c r="AS464" s="107">
        <f t="shared" si="468"/>
        <v>203357.69445833366</v>
      </c>
      <c r="AT464" s="107">
        <f t="shared" si="469"/>
        <v>202188.97241666701</v>
      </c>
      <c r="AU464" s="107">
        <f t="shared" si="470"/>
        <v>201020.25037500035</v>
      </c>
      <c r="AV464" s="107">
        <f t="shared" si="471"/>
        <v>199851.5283333337</v>
      </c>
      <c r="AW464" s="107">
        <f t="shared" si="472"/>
        <v>198682.80629166705</v>
      </c>
      <c r="AX464" s="107">
        <f>AW464-M464</f>
        <v>197514.08425000039</v>
      </c>
      <c r="AY464" s="107">
        <f>AX464-M464</f>
        <v>196345.36220833374</v>
      </c>
      <c r="AZ464" s="107">
        <f>AY464-M464</f>
        <v>195176.64016666709</v>
      </c>
      <c r="BA464" s="107">
        <f>AZ464-M464</f>
        <v>194007.91812500043</v>
      </c>
      <c r="BB464" s="107">
        <f>BA464-M464</f>
        <v>192839.19608333378</v>
      </c>
      <c r="BC464" s="107">
        <f>BB464-M464</f>
        <v>191670.47404166713</v>
      </c>
      <c r="BD464" s="107">
        <f>BC464-M464</f>
        <v>190501.75200000047</v>
      </c>
      <c r="BE464" s="107"/>
      <c r="BF464" s="127"/>
      <c r="BG464" s="127"/>
      <c r="BH464" s="127"/>
      <c r="BI464" s="127"/>
      <c r="BJ464" s="127"/>
      <c r="BK464" s="127"/>
      <c r="BL464" s="127"/>
      <c r="BM464" s="127"/>
      <c r="BN464" s="127"/>
      <c r="BO464" s="127"/>
      <c r="BP464" s="127"/>
      <c r="BQ464" s="127"/>
      <c r="BR464" s="127"/>
      <c r="BS464" s="127"/>
      <c r="BT464" s="127"/>
      <c r="BU464" s="127"/>
      <c r="BV464" s="127"/>
      <c r="BW464" s="127"/>
    </row>
    <row r="465" spans="1:75" ht="22.5" hidden="1" x14ac:dyDescent="0.2">
      <c r="A465" s="123" t="str">
        <f>'[2]2021 УГРЦТ'!A467</f>
        <v>Трансформатор ТМГ-63/6-0,4 №1461186 2001г.в.</v>
      </c>
      <c r="B465" s="124" t="str">
        <f>'[2]2021 УГРЦТ'!B467</f>
        <v>00000448</v>
      </c>
      <c r="C465" s="124" t="str">
        <f>VLOOKUP(A:A,'2023-2027'!A:L,1,+FALSE)</f>
        <v>Трансформатор ТМГ-63/6-0,4 №1461186 2001г.в.</v>
      </c>
      <c r="D465" s="124" t="str">
        <f>'[2]2021 УГРЦТ'!C467</f>
        <v>ПЕРЕДАЧА</v>
      </c>
      <c r="E465" s="124" t="str">
        <f>'[2]2021 УГРЦТ'!D467</f>
        <v>Машины и оборудование (кроме офисного)</v>
      </c>
      <c r="F465" s="124" t="str">
        <f>'[2]2021 УГРЦТ'!E467</f>
        <v>28.02.2002</v>
      </c>
      <c r="G465" s="124" t="str">
        <f>'[2]2021 УГРЦТ'!F467</f>
        <v>Цех электрических сетей</v>
      </c>
      <c r="H465" s="124">
        <f>'[2]2021 УГРЦТ'!AC467</f>
        <v>238</v>
      </c>
      <c r="I465" s="107">
        <f>'[2]2021 УГРЦТ'!X467</f>
        <v>53333.33</v>
      </c>
      <c r="J465" s="107">
        <f>'[2]2021 УГРЦТ'!Y467</f>
        <v>53325.945462184878</v>
      </c>
      <c r="K465" s="107">
        <f>'[2]2021 УГРЦТ'!Z467</f>
        <v>7.3845378151236218</v>
      </c>
      <c r="L465" s="125" t="e">
        <f>SUMIF([2]облаг!$B$2:$B$259,B465,[2]облаг!$D$2:$D$259)</f>
        <v>#VALUE!</v>
      </c>
      <c r="M465" s="107">
        <f t="shared" si="473"/>
        <v>224.08962184873951</v>
      </c>
      <c r="N465" s="107">
        <v>0</v>
      </c>
      <c r="O465" s="107">
        <v>0</v>
      </c>
      <c r="P465" s="107">
        <v>0</v>
      </c>
      <c r="Q465" s="107">
        <v>0</v>
      </c>
      <c r="R465" s="107">
        <v>0</v>
      </c>
      <c r="S465" s="107">
        <v>0</v>
      </c>
      <c r="T465" s="107">
        <v>0</v>
      </c>
      <c r="U465" s="107">
        <v>0</v>
      </c>
      <c r="V465" s="107">
        <v>0</v>
      </c>
      <c r="W465" s="107">
        <v>0</v>
      </c>
      <c r="X465" s="107">
        <v>0</v>
      </c>
      <c r="Y465" s="107">
        <v>0</v>
      </c>
      <c r="Z465" s="107">
        <v>0</v>
      </c>
      <c r="AA465" s="107"/>
      <c r="AB465" s="107"/>
      <c r="AC465" s="107">
        <v>0</v>
      </c>
      <c r="AD465" s="107">
        <v>0</v>
      </c>
      <c r="AE465" s="107">
        <v>0</v>
      </c>
      <c r="AF465" s="107">
        <v>0</v>
      </c>
      <c r="AG465" s="107">
        <v>0</v>
      </c>
      <c r="AH465" s="107">
        <v>0</v>
      </c>
      <c r="AI465" s="107">
        <v>0</v>
      </c>
      <c r="AJ465" s="107">
        <v>0</v>
      </c>
      <c r="AK465" s="107">
        <v>0</v>
      </c>
      <c r="AL465" s="107">
        <v>0</v>
      </c>
      <c r="AM465" s="107">
        <v>0</v>
      </c>
      <c r="AN465" s="107">
        <v>0</v>
      </c>
      <c r="AO465" s="107">
        <v>0</v>
      </c>
      <c r="AP465" s="107"/>
      <c r="AQ465" s="126"/>
      <c r="AR465" s="107">
        <v>0</v>
      </c>
      <c r="AS465" s="107">
        <v>0</v>
      </c>
      <c r="AT465" s="107">
        <v>0</v>
      </c>
      <c r="AU465" s="107">
        <v>0</v>
      </c>
      <c r="AV465" s="107">
        <v>0</v>
      </c>
      <c r="AW465" s="107">
        <v>0</v>
      </c>
      <c r="AX465" s="107">
        <v>0</v>
      </c>
      <c r="AY465" s="107">
        <v>0</v>
      </c>
      <c r="AZ465" s="107">
        <v>0</v>
      </c>
      <c r="BA465" s="107">
        <v>0</v>
      </c>
      <c r="BB465" s="107">
        <v>0</v>
      </c>
      <c r="BC465" s="107">
        <v>0</v>
      </c>
      <c r="BD465" s="107">
        <v>0</v>
      </c>
      <c r="BE465" s="124"/>
      <c r="BI465" s="127"/>
    </row>
    <row r="466" spans="1:75" ht="22.5" hidden="1" x14ac:dyDescent="0.2">
      <c r="A466" s="123" t="str">
        <f>'[2]2021 УГРЦТ'!A468</f>
        <v>Трансформатор трёхфазный 35 кВ мощностью 1000 кВ А</v>
      </c>
      <c r="B466" s="124" t="str">
        <f>'[2]2021 УГРЦТ'!B468</f>
        <v>000001752</v>
      </c>
      <c r="C466" s="124" t="str">
        <f>VLOOKUP(A:A,'2023-2027'!A:L,1,+FALSE)</f>
        <v>Трансформатор трёхфазный 35 кВ мощностью 1000 кВ А</v>
      </c>
      <c r="D466" s="124" t="str">
        <f>'[2]2021 УГРЦТ'!C468</f>
        <v>ПЕРЕДАЧА</v>
      </c>
      <c r="E466" s="124" t="str">
        <f>'[2]2021 УГРЦТ'!D468</f>
        <v>Машины и оборудование (кроме офисного)</v>
      </c>
      <c r="F466" s="124" t="str">
        <f>'[2]2021 УГРЦТ'!E468</f>
        <v>07.11.2018</v>
      </c>
      <c r="G466" s="124" t="str">
        <f>'[2]2021 УГРЦТ'!F468</f>
        <v>Цех электрических сетей</v>
      </c>
      <c r="H466" s="124">
        <f>'[2]2021 УГРЦТ'!AC468</f>
        <v>202</v>
      </c>
      <c r="I466" s="107">
        <f>'[2]2021 УГРЦТ'!X468</f>
        <v>3772577.57</v>
      </c>
      <c r="J466" s="107">
        <f>'[2]2021 УГРЦТ'!Y468</f>
        <v>691016.76900990098</v>
      </c>
      <c r="K466" s="107">
        <f>'[2]2021 УГРЦТ'!Z468</f>
        <v>3081560.8009900991</v>
      </c>
      <c r="L466" s="125" t="e">
        <f>SUMIF([2]облаг!$B$2:$B$259,B466,[2]облаг!$D$2:$D$259)</f>
        <v>#VALUE!</v>
      </c>
      <c r="M466" s="107">
        <f t="shared" si="473"/>
        <v>18676.126584158414</v>
      </c>
      <c r="N466" s="107">
        <f t="shared" si="474"/>
        <v>224113.51900990098</v>
      </c>
      <c r="O466" s="107">
        <f t="shared" si="475"/>
        <v>3062884.6744059408</v>
      </c>
      <c r="P466" s="107">
        <f t="shared" si="476"/>
        <v>3044208.5478217825</v>
      </c>
      <c r="Q466" s="107">
        <f t="shared" si="438"/>
        <v>3025532.4212376243</v>
      </c>
      <c r="R466" s="107">
        <f t="shared" si="439"/>
        <v>3006856.294653466</v>
      </c>
      <c r="S466" s="107">
        <f t="shared" si="440"/>
        <v>2988180.1680693077</v>
      </c>
      <c r="T466" s="107">
        <f t="shared" si="441"/>
        <v>2969504.0414851494</v>
      </c>
      <c r="U466" s="107">
        <f t="shared" si="442"/>
        <v>2950827.9149009911</v>
      </c>
      <c r="V466" s="107">
        <f t="shared" si="443"/>
        <v>2932151.7883168329</v>
      </c>
      <c r="W466" s="107">
        <f t="shared" si="444"/>
        <v>2913475.6617326746</v>
      </c>
      <c r="X466" s="107">
        <f t="shared" si="445"/>
        <v>2894799.5351485163</v>
      </c>
      <c r="Y466" s="107">
        <f t="shared" si="446"/>
        <v>2876123.408564358</v>
      </c>
      <c r="Z466" s="107">
        <f t="shared" si="447"/>
        <v>2857447.2819801997</v>
      </c>
      <c r="AA466" s="107"/>
      <c r="AB466" s="107"/>
      <c r="AC466" s="107">
        <f t="shared" si="448"/>
        <v>224113.51900990098</v>
      </c>
      <c r="AD466" s="107">
        <f t="shared" si="449"/>
        <v>2838771.1553960415</v>
      </c>
      <c r="AE466" s="107">
        <f t="shared" si="450"/>
        <v>2820095.0288118832</v>
      </c>
      <c r="AF466" s="107">
        <f t="shared" si="451"/>
        <v>2801418.9022277249</v>
      </c>
      <c r="AG466" s="107">
        <f t="shared" si="452"/>
        <v>2782742.7756435666</v>
      </c>
      <c r="AH466" s="107">
        <f t="shared" si="453"/>
        <v>2764066.6490594083</v>
      </c>
      <c r="AI466" s="107">
        <f t="shared" si="454"/>
        <v>2745390.5224752501</v>
      </c>
      <c r="AJ466" s="107">
        <f t="shared" si="455"/>
        <v>2726714.3958910918</v>
      </c>
      <c r="AK466" s="107">
        <f t="shared" si="456"/>
        <v>2708038.2693069335</v>
      </c>
      <c r="AL466" s="107">
        <f t="shared" si="457"/>
        <v>2689362.1427227752</v>
      </c>
      <c r="AM466" s="107">
        <f t="shared" si="458"/>
        <v>2670686.0161386169</v>
      </c>
      <c r="AN466" s="107">
        <f t="shared" si="459"/>
        <v>2652009.8895544587</v>
      </c>
      <c r="AO466" s="107">
        <f t="shared" si="460"/>
        <v>2633333.7629703004</v>
      </c>
      <c r="AP466" s="107"/>
      <c r="AQ466" s="126"/>
      <c r="AR466" s="107">
        <f t="shared" si="461"/>
        <v>224113.51900990098</v>
      </c>
      <c r="AS466" s="107">
        <f t="shared" ref="AS466:AS489" si="477">AO466-M466</f>
        <v>2614657.6363861421</v>
      </c>
      <c r="AT466" s="107">
        <f t="shared" ref="AT466:AT489" si="478">AS466-M466</f>
        <v>2595981.5098019838</v>
      </c>
      <c r="AU466" s="107">
        <f t="shared" ref="AU466:AU489" si="479">AT466-M466</f>
        <v>2577305.3832178256</v>
      </c>
      <c r="AV466" s="107">
        <f t="shared" ref="AV466:AV489" si="480">AU466-M466</f>
        <v>2558629.2566336673</v>
      </c>
      <c r="AW466" s="107">
        <f t="shared" ref="AW466:AW489" si="481">AV466-M466</f>
        <v>2539953.130049509</v>
      </c>
      <c r="AX466" s="107">
        <f t="shared" ref="AX466:AX489" si="482">AW466-M466</f>
        <v>2521277.0034653507</v>
      </c>
      <c r="AY466" s="107">
        <f t="shared" ref="AY466:AY489" si="483">AX466-M466</f>
        <v>2502600.8768811924</v>
      </c>
      <c r="AZ466" s="107">
        <f t="shared" ref="AZ466:AZ483" si="484">AY466-M466</f>
        <v>2483924.7502970342</v>
      </c>
      <c r="BA466" s="107">
        <f t="shared" ref="BA466:BA483" si="485">AZ466-M466</f>
        <v>2465248.6237128759</v>
      </c>
      <c r="BB466" s="107">
        <f t="shared" ref="BB466:BB483" si="486">BA466-M466</f>
        <v>2446572.4971287176</v>
      </c>
      <c r="BC466" s="107">
        <f t="shared" ref="BC466:BC483" si="487">BB466-M466</f>
        <v>2427896.3705445593</v>
      </c>
      <c r="BD466" s="107">
        <f t="shared" ref="BD466:BD483" si="488">BC466-M466</f>
        <v>2409220.243960401</v>
      </c>
      <c r="BE466" s="107"/>
      <c r="BF466" s="127"/>
      <c r="BG466" s="127"/>
      <c r="BH466" s="127"/>
      <c r="BI466" s="127"/>
      <c r="BJ466" s="127"/>
      <c r="BK466" s="127"/>
      <c r="BL466" s="127"/>
      <c r="BM466" s="127"/>
      <c r="BN466" s="127"/>
      <c r="BO466" s="127"/>
      <c r="BP466" s="127"/>
      <c r="BQ466" s="127"/>
      <c r="BR466" s="127"/>
      <c r="BS466" s="127"/>
      <c r="BT466" s="127"/>
      <c r="BU466" s="127"/>
      <c r="BV466" s="127"/>
      <c r="BW466" s="127"/>
    </row>
    <row r="467" spans="1:75" ht="22.5" hidden="1" x14ac:dyDescent="0.2">
      <c r="A467" s="123" t="str">
        <f>'[2]2021 УГРЦТ'!A469</f>
        <v>Трансформатор трёхфазный 35 кВ мощностью 1000 кВ А</v>
      </c>
      <c r="B467" s="124" t="str">
        <f>'[2]2021 УГРЦТ'!B469</f>
        <v>000001753</v>
      </c>
      <c r="C467" s="124" t="str">
        <f>VLOOKUP(A:A,'2023-2027'!A:L,1,+FALSE)</f>
        <v>Трансформатор трёхфазный 35 кВ мощностью 1000 кВ А</v>
      </c>
      <c r="D467" s="124" t="str">
        <f>'[2]2021 УГРЦТ'!C469</f>
        <v>ПЕРЕДАЧА</v>
      </c>
      <c r="E467" s="124" t="str">
        <f>'[2]2021 УГРЦТ'!D469</f>
        <v>Машины и оборудование (кроме офисного)</v>
      </c>
      <c r="F467" s="124" t="str">
        <f>'[2]2021 УГРЦТ'!E469</f>
        <v>07.11.2018</v>
      </c>
      <c r="G467" s="124" t="str">
        <f>'[2]2021 УГРЦТ'!F469</f>
        <v>Цех электрических сетей</v>
      </c>
      <c r="H467" s="124">
        <f>'[2]2021 УГРЦТ'!AC469</f>
        <v>202</v>
      </c>
      <c r="I467" s="107">
        <f>'[2]2021 УГРЦТ'!X469</f>
        <v>3772577.57</v>
      </c>
      <c r="J467" s="107">
        <f>'[2]2021 УГРЦТ'!Y469</f>
        <v>691016.76900990098</v>
      </c>
      <c r="K467" s="107">
        <f>'[2]2021 УГРЦТ'!Z469</f>
        <v>3081560.8009900991</v>
      </c>
      <c r="L467" s="125" t="e">
        <f>SUMIF([2]облаг!$B$2:$B$259,B467,[2]облаг!$D$2:$D$259)</f>
        <v>#VALUE!</v>
      </c>
      <c r="M467" s="107">
        <f t="shared" si="473"/>
        <v>18676.126584158414</v>
      </c>
      <c r="N467" s="107">
        <f t="shared" si="474"/>
        <v>224113.51900990098</v>
      </c>
      <c r="O467" s="107">
        <f t="shared" si="475"/>
        <v>3062884.6744059408</v>
      </c>
      <c r="P467" s="107">
        <f t="shared" si="476"/>
        <v>3044208.5478217825</v>
      </c>
      <c r="Q467" s="107">
        <f t="shared" si="438"/>
        <v>3025532.4212376243</v>
      </c>
      <c r="R467" s="107">
        <f t="shared" si="439"/>
        <v>3006856.294653466</v>
      </c>
      <c r="S467" s="107">
        <f t="shared" si="440"/>
        <v>2988180.1680693077</v>
      </c>
      <c r="T467" s="107">
        <f t="shared" si="441"/>
        <v>2969504.0414851494</v>
      </c>
      <c r="U467" s="107">
        <f t="shared" si="442"/>
        <v>2950827.9149009911</v>
      </c>
      <c r="V467" s="107">
        <f t="shared" si="443"/>
        <v>2932151.7883168329</v>
      </c>
      <c r="W467" s="107">
        <f t="shared" si="444"/>
        <v>2913475.6617326746</v>
      </c>
      <c r="X467" s="107">
        <f t="shared" si="445"/>
        <v>2894799.5351485163</v>
      </c>
      <c r="Y467" s="107">
        <f t="shared" si="446"/>
        <v>2876123.408564358</v>
      </c>
      <c r="Z467" s="107">
        <f t="shared" si="447"/>
        <v>2857447.2819801997</v>
      </c>
      <c r="AA467" s="107"/>
      <c r="AB467" s="107"/>
      <c r="AC467" s="107">
        <f t="shared" si="448"/>
        <v>224113.51900990098</v>
      </c>
      <c r="AD467" s="107">
        <f t="shared" si="449"/>
        <v>2838771.1553960415</v>
      </c>
      <c r="AE467" s="107">
        <f t="shared" si="450"/>
        <v>2820095.0288118832</v>
      </c>
      <c r="AF467" s="107">
        <f t="shared" si="451"/>
        <v>2801418.9022277249</v>
      </c>
      <c r="AG467" s="107">
        <f t="shared" si="452"/>
        <v>2782742.7756435666</v>
      </c>
      <c r="AH467" s="107">
        <f t="shared" si="453"/>
        <v>2764066.6490594083</v>
      </c>
      <c r="AI467" s="107">
        <f t="shared" si="454"/>
        <v>2745390.5224752501</v>
      </c>
      <c r="AJ467" s="107">
        <f t="shared" si="455"/>
        <v>2726714.3958910918</v>
      </c>
      <c r="AK467" s="107">
        <f t="shared" si="456"/>
        <v>2708038.2693069335</v>
      </c>
      <c r="AL467" s="107">
        <f t="shared" si="457"/>
        <v>2689362.1427227752</v>
      </c>
      <c r="AM467" s="107">
        <f t="shared" si="458"/>
        <v>2670686.0161386169</v>
      </c>
      <c r="AN467" s="107">
        <f t="shared" si="459"/>
        <v>2652009.8895544587</v>
      </c>
      <c r="AO467" s="107">
        <f t="shared" si="460"/>
        <v>2633333.7629703004</v>
      </c>
      <c r="AP467" s="107"/>
      <c r="AQ467" s="126"/>
      <c r="AR467" s="107">
        <f t="shared" si="461"/>
        <v>224113.51900990098</v>
      </c>
      <c r="AS467" s="107">
        <f t="shared" si="477"/>
        <v>2614657.6363861421</v>
      </c>
      <c r="AT467" s="107">
        <f t="shared" si="478"/>
        <v>2595981.5098019838</v>
      </c>
      <c r="AU467" s="107">
        <f t="shared" si="479"/>
        <v>2577305.3832178256</v>
      </c>
      <c r="AV467" s="107">
        <f t="shared" si="480"/>
        <v>2558629.2566336673</v>
      </c>
      <c r="AW467" s="107">
        <f t="shared" si="481"/>
        <v>2539953.130049509</v>
      </c>
      <c r="AX467" s="107">
        <f t="shared" si="482"/>
        <v>2521277.0034653507</v>
      </c>
      <c r="AY467" s="107">
        <f t="shared" si="483"/>
        <v>2502600.8768811924</v>
      </c>
      <c r="AZ467" s="107">
        <f t="shared" si="484"/>
        <v>2483924.7502970342</v>
      </c>
      <c r="BA467" s="107">
        <f t="shared" si="485"/>
        <v>2465248.6237128759</v>
      </c>
      <c r="BB467" s="107">
        <f t="shared" si="486"/>
        <v>2446572.4971287176</v>
      </c>
      <c r="BC467" s="107">
        <f t="shared" si="487"/>
        <v>2427896.3705445593</v>
      </c>
      <c r="BD467" s="107">
        <f t="shared" si="488"/>
        <v>2409220.243960401</v>
      </c>
      <c r="BE467" s="107"/>
      <c r="BF467" s="127"/>
      <c r="BG467" s="127"/>
      <c r="BH467" s="127"/>
      <c r="BI467" s="127"/>
      <c r="BJ467" s="127"/>
      <c r="BK467" s="127"/>
      <c r="BL467" s="127"/>
      <c r="BM467" s="127"/>
      <c r="BN467" s="127"/>
      <c r="BO467" s="127"/>
      <c r="BP467" s="127"/>
      <c r="BQ467" s="127"/>
      <c r="BR467" s="127"/>
      <c r="BS467" s="127"/>
      <c r="BT467" s="127"/>
      <c r="BU467" s="127"/>
      <c r="BV467" s="127"/>
      <c r="BW467" s="127"/>
    </row>
    <row r="468" spans="1:75" hidden="1" x14ac:dyDescent="0.2">
      <c r="A468" s="123" t="str">
        <f>'[2]2021 УГРЦТ'!A470</f>
        <v>Трансформаторная подстанция</v>
      </c>
      <c r="B468" s="140" t="str">
        <f>'[2]2021 УГРЦТ'!B470</f>
        <v>000001848</v>
      </c>
      <c r="C468" s="124" t="str">
        <f>VLOOKUP(A:A,'2023-2027'!A:L,1,+FALSE)</f>
        <v>Трансформаторная подстанция</v>
      </c>
      <c r="D468" s="124" t="str">
        <f>'[2]2021 УГРЦТ'!C470</f>
        <v>ПЕРЕДАЧА</v>
      </c>
      <c r="E468" s="124" t="str">
        <f>'[2]2021 УГРЦТ'!D470</f>
        <v>Здания</v>
      </c>
      <c r="F468" s="124" t="str">
        <f>'[2]2021 УГРЦТ'!E470</f>
        <v>14.04.2021</v>
      </c>
      <c r="G468" s="124" t="str">
        <f>'[2]2021 УГРЦТ'!F470</f>
        <v>Цех электрических сетей</v>
      </c>
      <c r="H468" s="124">
        <f>'[2]2021 УГРЦТ'!AC470</f>
        <v>120</v>
      </c>
      <c r="I468" s="107">
        <f>'[2]2021 УГРЦТ'!X470</f>
        <v>1135845.03</v>
      </c>
      <c r="J468" s="107">
        <f>'[2]2021 УГРЦТ'!Y470</f>
        <v>75723.001999999993</v>
      </c>
      <c r="K468" s="107">
        <f>'[2]2021 УГРЦТ'!Z470</f>
        <v>1060122.0279999999</v>
      </c>
      <c r="L468" s="125" t="e">
        <f>SUMIF([2]облаг!$B$2:$B$259,B468,[2]облаг!$D$2:$D$259)</f>
        <v>#VALUE!</v>
      </c>
      <c r="M468" s="107">
        <f t="shared" si="473"/>
        <v>9465.375250000001</v>
      </c>
      <c r="N468" s="107">
        <f t="shared" si="474"/>
        <v>113584.50300000001</v>
      </c>
      <c r="O468" s="107">
        <f t="shared" si="475"/>
        <v>1050656.6527499999</v>
      </c>
      <c r="P468" s="107">
        <f t="shared" si="476"/>
        <v>1041191.2774999999</v>
      </c>
      <c r="Q468" s="107">
        <f t="shared" si="438"/>
        <v>1031725.9022499998</v>
      </c>
      <c r="R468" s="107">
        <f t="shared" si="439"/>
        <v>1022260.5269999998</v>
      </c>
      <c r="S468" s="107">
        <f t="shared" si="440"/>
        <v>1012795.1517499997</v>
      </c>
      <c r="T468" s="107">
        <f t="shared" si="441"/>
        <v>1003329.7764999997</v>
      </c>
      <c r="U468" s="107">
        <f t="shared" si="442"/>
        <v>993864.40124999965</v>
      </c>
      <c r="V468" s="107">
        <f t="shared" si="443"/>
        <v>984399.02599999961</v>
      </c>
      <c r="W468" s="107">
        <f t="shared" si="444"/>
        <v>974933.65074999956</v>
      </c>
      <c r="X468" s="107">
        <f t="shared" si="445"/>
        <v>965468.27549999952</v>
      </c>
      <c r="Y468" s="107">
        <f t="shared" si="446"/>
        <v>956002.90024999948</v>
      </c>
      <c r="Z468" s="107">
        <f t="shared" si="447"/>
        <v>946537.52499999944</v>
      </c>
      <c r="AA468" s="107">
        <f t="shared" ref="AA468:AA477" si="489">SUM(O468:Z468,K468)/13*$AA$2</f>
        <v>22073.255082999989</v>
      </c>
      <c r="AB468" s="107"/>
      <c r="AC468" s="107">
        <f t="shared" si="448"/>
        <v>113584.50300000001</v>
      </c>
      <c r="AD468" s="107">
        <f t="shared" si="449"/>
        <v>937072.1497499994</v>
      </c>
      <c r="AE468" s="107">
        <f t="shared" si="450"/>
        <v>927606.77449999936</v>
      </c>
      <c r="AF468" s="107">
        <f t="shared" si="451"/>
        <v>918141.39924999932</v>
      </c>
      <c r="AG468" s="107">
        <f t="shared" si="452"/>
        <v>908676.02399999928</v>
      </c>
      <c r="AH468" s="107">
        <f t="shared" si="453"/>
        <v>899210.64874999924</v>
      </c>
      <c r="AI468" s="107">
        <f t="shared" si="454"/>
        <v>889745.2734999992</v>
      </c>
      <c r="AJ468" s="107">
        <f t="shared" si="455"/>
        <v>880279.89824999915</v>
      </c>
      <c r="AK468" s="107">
        <f t="shared" si="456"/>
        <v>870814.52299999911</v>
      </c>
      <c r="AL468" s="107">
        <f t="shared" si="457"/>
        <v>861349.14774999907</v>
      </c>
      <c r="AM468" s="107">
        <f t="shared" si="458"/>
        <v>851883.77249999903</v>
      </c>
      <c r="AN468" s="107">
        <f t="shared" si="459"/>
        <v>842418.39724999899</v>
      </c>
      <c r="AO468" s="107">
        <f t="shared" si="460"/>
        <v>832953.02199999895</v>
      </c>
      <c r="AP468" s="107">
        <f t="shared" ref="AP468:AP477" si="490">SUM(AD468:AO468,Z468)/13*$AP$2</f>
        <v>19574.396016999977</v>
      </c>
      <c r="AQ468" s="126"/>
      <c r="AR468" s="107">
        <f t="shared" si="461"/>
        <v>113584.50300000001</v>
      </c>
      <c r="AS468" s="107">
        <f t="shared" si="477"/>
        <v>823487.64674999891</v>
      </c>
      <c r="AT468" s="107">
        <f t="shared" si="478"/>
        <v>814022.27149999887</v>
      </c>
      <c r="AU468" s="107">
        <f t="shared" si="479"/>
        <v>804556.89624999883</v>
      </c>
      <c r="AV468" s="107">
        <f t="shared" si="480"/>
        <v>795091.52099999879</v>
      </c>
      <c r="AW468" s="107">
        <f t="shared" si="481"/>
        <v>785626.14574999874</v>
      </c>
      <c r="AX468" s="107">
        <f t="shared" si="482"/>
        <v>776160.7704999987</v>
      </c>
      <c r="AY468" s="107">
        <f t="shared" si="483"/>
        <v>766695.39524999866</v>
      </c>
      <c r="AZ468" s="107">
        <f t="shared" si="484"/>
        <v>757230.01999999862</v>
      </c>
      <c r="BA468" s="107">
        <f t="shared" si="485"/>
        <v>747764.64474999858</v>
      </c>
      <c r="BB468" s="107">
        <f t="shared" si="486"/>
        <v>738299.26949999854</v>
      </c>
      <c r="BC468" s="107">
        <f t="shared" si="487"/>
        <v>728833.8942499985</v>
      </c>
      <c r="BD468" s="107">
        <f t="shared" si="488"/>
        <v>719368.51899999846</v>
      </c>
      <c r="BE468" s="107">
        <f t="shared" ref="BE468:BE477" si="491">SUM(AS468:BD468,AO468)/13*$BE$2</f>
        <v>17075.536950999969</v>
      </c>
      <c r="BF468" s="127"/>
      <c r="BG468" s="127"/>
      <c r="BH468" s="127"/>
      <c r="BI468" s="127"/>
      <c r="BJ468" s="127"/>
      <c r="BK468" s="127"/>
      <c r="BL468" s="127"/>
      <c r="BM468" s="127"/>
      <c r="BN468" s="127"/>
      <c r="BO468" s="127"/>
      <c r="BP468" s="127"/>
      <c r="BQ468" s="127"/>
      <c r="BR468" s="127"/>
      <c r="BS468" s="127"/>
      <c r="BT468" s="127"/>
      <c r="BU468" s="127"/>
      <c r="BV468" s="127"/>
      <c r="BW468" s="127"/>
    </row>
    <row r="469" spans="1:75" ht="22.5" hidden="1" x14ac:dyDescent="0.2">
      <c r="A469" s="123" t="str">
        <f>'[2]2021 УГРЦТ'!A471</f>
        <v>Трансформаторная подстанция №33</v>
      </c>
      <c r="B469" s="124" t="str">
        <f>'[2]2021 УГРЦТ'!B471</f>
        <v>000001781</v>
      </c>
      <c r="C469" s="124" t="str">
        <f>VLOOKUP(A:A,'2023-2027'!A:L,1,+FALSE)</f>
        <v>Трансформаторная подстанция №33</v>
      </c>
      <c r="D469" s="124" t="str">
        <f>'[2]2021 УГРЦТ'!C471</f>
        <v>ПЕРЕДАЧА</v>
      </c>
      <c r="E469" s="124" t="str">
        <f>'[2]2021 УГРЦТ'!D471</f>
        <v>Сооружения</v>
      </c>
      <c r="F469" s="124" t="str">
        <f>'[2]2021 УГРЦТ'!E471</f>
        <v>10.12.2019</v>
      </c>
      <c r="G469" s="124" t="str">
        <f>'[2]2021 УГРЦТ'!F471</f>
        <v>Цех электрических сетей</v>
      </c>
      <c r="H469" s="124">
        <f>'[2]2021 УГРЦТ'!AC471</f>
        <v>300</v>
      </c>
      <c r="I469" s="107">
        <f>'[2]2021 УГРЦТ'!X471</f>
        <v>2066041.02</v>
      </c>
      <c r="J469" s="107">
        <f>'[2]2021 УГРЦТ'!Y471</f>
        <v>165283.2408</v>
      </c>
      <c r="K469" s="107">
        <f>'[2]2021 УГРЦТ'!Z471</f>
        <v>1900757.7792</v>
      </c>
      <c r="L469" s="125" t="e">
        <f>SUMIF([2]облаг!$B$2:$B$259,B469,[2]облаг!$D$2:$D$259)</f>
        <v>#VALUE!</v>
      </c>
      <c r="M469" s="107">
        <f t="shared" si="473"/>
        <v>6886.8033999999998</v>
      </c>
      <c r="N469" s="107">
        <f t="shared" si="474"/>
        <v>82641.640799999994</v>
      </c>
      <c r="O469" s="107">
        <f t="shared" si="475"/>
        <v>1893870.9757999999</v>
      </c>
      <c r="P469" s="107">
        <f t="shared" si="476"/>
        <v>1886984.1723999998</v>
      </c>
      <c r="Q469" s="107">
        <f t="shared" si="438"/>
        <v>1880097.3689999997</v>
      </c>
      <c r="R469" s="107">
        <f t="shared" si="439"/>
        <v>1873210.5655999996</v>
      </c>
      <c r="S469" s="107">
        <f t="shared" si="440"/>
        <v>1866323.7621999995</v>
      </c>
      <c r="T469" s="107">
        <f t="shared" si="441"/>
        <v>1859436.9587999994</v>
      </c>
      <c r="U469" s="107">
        <f t="shared" si="442"/>
        <v>1852550.1553999993</v>
      </c>
      <c r="V469" s="107">
        <f t="shared" si="443"/>
        <v>1845663.3519999993</v>
      </c>
      <c r="W469" s="107">
        <f t="shared" si="444"/>
        <v>1838776.5485999992</v>
      </c>
      <c r="X469" s="107">
        <f t="shared" si="445"/>
        <v>1831889.7451999991</v>
      </c>
      <c r="Y469" s="107">
        <f t="shared" si="446"/>
        <v>1825002.941799999</v>
      </c>
      <c r="Z469" s="107">
        <f t="shared" si="447"/>
        <v>1818116.1383999989</v>
      </c>
      <c r="AA469" s="107">
        <f t="shared" si="489"/>
        <v>40907.613093599983</v>
      </c>
      <c r="AB469" s="107"/>
      <c r="AC469" s="107">
        <f t="shared" si="448"/>
        <v>82641.640799999994</v>
      </c>
      <c r="AD469" s="107">
        <f t="shared" si="449"/>
        <v>1811229.3349999988</v>
      </c>
      <c r="AE469" s="107">
        <f t="shared" si="450"/>
        <v>1804342.5315999987</v>
      </c>
      <c r="AF469" s="107">
        <f t="shared" si="451"/>
        <v>1797455.7281999986</v>
      </c>
      <c r="AG469" s="107">
        <f t="shared" si="452"/>
        <v>1790568.9247999985</v>
      </c>
      <c r="AH469" s="107">
        <f t="shared" si="453"/>
        <v>1783682.1213999984</v>
      </c>
      <c r="AI469" s="107">
        <f t="shared" si="454"/>
        <v>1776795.3179999983</v>
      </c>
      <c r="AJ469" s="107">
        <f t="shared" si="455"/>
        <v>1769908.5145999982</v>
      </c>
      <c r="AK469" s="107">
        <f t="shared" si="456"/>
        <v>1763021.7111999982</v>
      </c>
      <c r="AL469" s="107">
        <f t="shared" si="457"/>
        <v>1756134.9077999981</v>
      </c>
      <c r="AM469" s="107">
        <f t="shared" si="458"/>
        <v>1749248.104399998</v>
      </c>
      <c r="AN469" s="107">
        <f t="shared" si="459"/>
        <v>1742361.3009999979</v>
      </c>
      <c r="AO469" s="107">
        <f t="shared" si="460"/>
        <v>1735474.4975999978</v>
      </c>
      <c r="AP469" s="107">
        <f t="shared" si="490"/>
        <v>39089.496995999965</v>
      </c>
      <c r="AQ469" s="126"/>
      <c r="AR469" s="107">
        <f t="shared" si="461"/>
        <v>82641.640799999994</v>
      </c>
      <c r="AS469" s="107">
        <f t="shared" si="477"/>
        <v>1728587.6941999977</v>
      </c>
      <c r="AT469" s="107">
        <f t="shared" si="478"/>
        <v>1721700.8907999976</v>
      </c>
      <c r="AU469" s="107">
        <f t="shared" si="479"/>
        <v>1714814.0873999975</v>
      </c>
      <c r="AV469" s="107">
        <f t="shared" si="480"/>
        <v>1707927.2839999974</v>
      </c>
      <c r="AW469" s="107">
        <f t="shared" si="481"/>
        <v>1701040.4805999973</v>
      </c>
      <c r="AX469" s="107">
        <f t="shared" si="482"/>
        <v>1694153.6771999972</v>
      </c>
      <c r="AY469" s="107">
        <f t="shared" si="483"/>
        <v>1687266.8737999971</v>
      </c>
      <c r="AZ469" s="107">
        <f t="shared" si="484"/>
        <v>1680380.0703999971</v>
      </c>
      <c r="BA469" s="107">
        <f t="shared" si="485"/>
        <v>1673493.266999997</v>
      </c>
      <c r="BB469" s="107">
        <f t="shared" si="486"/>
        <v>1666606.4635999969</v>
      </c>
      <c r="BC469" s="107">
        <f t="shared" si="487"/>
        <v>1659719.6601999968</v>
      </c>
      <c r="BD469" s="107">
        <f t="shared" si="488"/>
        <v>1652832.8567999967</v>
      </c>
      <c r="BE469" s="107">
        <f t="shared" si="491"/>
        <v>37271.380898399941</v>
      </c>
      <c r="BF469" s="127"/>
      <c r="BG469" s="127"/>
      <c r="BH469" s="127"/>
      <c r="BI469" s="127"/>
      <c r="BJ469" s="127"/>
      <c r="BK469" s="127"/>
      <c r="BL469" s="127"/>
      <c r="BM469" s="127"/>
      <c r="BN469" s="127"/>
      <c r="BO469" s="127"/>
      <c r="BP469" s="127"/>
      <c r="BQ469" s="127"/>
      <c r="BR469" s="127"/>
      <c r="BS469" s="127"/>
      <c r="BT469" s="127"/>
      <c r="BU469" s="127"/>
      <c r="BV469" s="127"/>
      <c r="BW469" s="127"/>
    </row>
    <row r="470" spans="1:75" ht="22.5" hidden="1" x14ac:dyDescent="0.2">
      <c r="A470" s="123" t="str">
        <f>'[2]2021 УГРЦТ'!A472</f>
        <v>Трансформаторная подстанция КТП/П К-К 400/6/0,4</v>
      </c>
      <c r="B470" s="124" t="str">
        <f>'[2]2021 УГРЦТ'!B472</f>
        <v>00001150</v>
      </c>
      <c r="C470" s="124" t="str">
        <f>VLOOKUP(A:A,'2023-2027'!A:L,1,+FALSE)</f>
        <v>Трансформаторная подстанция КТП/П К-К 400/6/0,4</v>
      </c>
      <c r="D470" s="124" t="str">
        <f>'[2]2021 УГРЦТ'!C472</f>
        <v>ПЕРЕДАЧА</v>
      </c>
      <c r="E470" s="124" t="str">
        <f>'[2]2021 УГРЦТ'!D472</f>
        <v>Сооружения</v>
      </c>
      <c r="F470" s="124" t="str">
        <f>'[2]2021 УГРЦТ'!E472</f>
        <v>31.10.2009</v>
      </c>
      <c r="G470" s="124" t="str">
        <f>'[2]2021 УГРЦТ'!F472</f>
        <v>Цех электрических сетей</v>
      </c>
      <c r="H470" s="124">
        <f>'[2]2021 УГРЦТ'!AC472</f>
        <v>180</v>
      </c>
      <c r="I470" s="107">
        <f>'[2]2021 УГРЦТ'!X472</f>
        <v>392922.66</v>
      </c>
      <c r="J470" s="107">
        <f>'[2]2021 УГРЦТ'!Y472</f>
        <v>318703.44399999996</v>
      </c>
      <c r="K470" s="107">
        <f>'[2]2021 УГРЦТ'!Z472</f>
        <v>74219.216000000015</v>
      </c>
      <c r="L470" s="125" t="e">
        <f>SUMIF([2]облаг!$B$2:$B$259,B470,[2]облаг!$D$2:$D$259)</f>
        <v>#VALUE!</v>
      </c>
      <c r="M470" s="107">
        <f t="shared" si="473"/>
        <v>2182.9036666666666</v>
      </c>
      <c r="N470" s="107">
        <f t="shared" si="474"/>
        <v>26194.843999999997</v>
      </c>
      <c r="O470" s="107">
        <f t="shared" si="475"/>
        <v>72036.31233333335</v>
      </c>
      <c r="P470" s="107">
        <f t="shared" si="476"/>
        <v>69853.408666666684</v>
      </c>
      <c r="Q470" s="107">
        <f t="shared" si="438"/>
        <v>67670.505000000019</v>
      </c>
      <c r="R470" s="107">
        <f t="shared" si="439"/>
        <v>65487.601333333354</v>
      </c>
      <c r="S470" s="107">
        <f t="shared" si="440"/>
        <v>63304.697666666689</v>
      </c>
      <c r="T470" s="107">
        <f t="shared" si="441"/>
        <v>61121.794000000024</v>
      </c>
      <c r="U470" s="107">
        <f t="shared" si="442"/>
        <v>58938.890333333358</v>
      </c>
      <c r="V470" s="107">
        <f t="shared" si="443"/>
        <v>56755.986666666693</v>
      </c>
      <c r="W470" s="107">
        <f t="shared" si="444"/>
        <v>54573.083000000028</v>
      </c>
      <c r="X470" s="107">
        <f t="shared" si="445"/>
        <v>52390.179333333363</v>
      </c>
      <c r="Y470" s="107">
        <f t="shared" si="446"/>
        <v>50207.275666666697</v>
      </c>
      <c r="Z470" s="107">
        <f t="shared" si="447"/>
        <v>48024.372000000032</v>
      </c>
      <c r="AA470" s="107">
        <f t="shared" si="489"/>
        <v>1344.6794680000005</v>
      </c>
      <c r="AB470" s="107"/>
      <c r="AC470" s="107">
        <f t="shared" si="448"/>
        <v>26194.843999999997</v>
      </c>
      <c r="AD470" s="107">
        <f t="shared" si="449"/>
        <v>45841.468333333367</v>
      </c>
      <c r="AE470" s="107">
        <f t="shared" si="450"/>
        <v>43658.564666666702</v>
      </c>
      <c r="AF470" s="107">
        <f t="shared" si="451"/>
        <v>41475.661000000036</v>
      </c>
      <c r="AG470" s="107">
        <f t="shared" si="452"/>
        <v>39292.757333333371</v>
      </c>
      <c r="AH470" s="107">
        <f t="shared" si="453"/>
        <v>37109.853666666706</v>
      </c>
      <c r="AI470" s="107">
        <f t="shared" si="454"/>
        <v>34926.950000000041</v>
      </c>
      <c r="AJ470" s="107">
        <f t="shared" si="455"/>
        <v>32744.046333333376</v>
      </c>
      <c r="AK470" s="107">
        <f t="shared" si="456"/>
        <v>30561.14266666671</v>
      </c>
      <c r="AL470" s="107">
        <f t="shared" si="457"/>
        <v>28378.239000000045</v>
      </c>
      <c r="AM470" s="107">
        <f t="shared" si="458"/>
        <v>26195.33533333338</v>
      </c>
      <c r="AN470" s="107">
        <f t="shared" si="459"/>
        <v>24012.431666666715</v>
      </c>
      <c r="AO470" s="107">
        <f t="shared" si="460"/>
        <v>21829.528000000049</v>
      </c>
      <c r="AP470" s="107">
        <f t="shared" si="490"/>
        <v>768.39290000000085</v>
      </c>
      <c r="AQ470" s="126"/>
      <c r="AR470" s="107">
        <f t="shared" si="461"/>
        <v>26194.843999999997</v>
      </c>
      <c r="AS470" s="107">
        <f t="shared" si="477"/>
        <v>19646.624333333384</v>
      </c>
      <c r="AT470" s="107">
        <f t="shared" si="478"/>
        <v>17463.720666666719</v>
      </c>
      <c r="AU470" s="107">
        <f t="shared" si="479"/>
        <v>15280.817000000052</v>
      </c>
      <c r="AV470" s="107">
        <f t="shared" si="480"/>
        <v>13097.913333333385</v>
      </c>
      <c r="AW470" s="107">
        <f t="shared" si="481"/>
        <v>10915.009666666718</v>
      </c>
      <c r="AX470" s="107">
        <f t="shared" si="482"/>
        <v>8732.1060000000507</v>
      </c>
      <c r="AY470" s="107">
        <f t="shared" si="483"/>
        <v>6549.2023333333836</v>
      </c>
      <c r="AZ470" s="107">
        <f t="shared" si="484"/>
        <v>4366.2986666667166</v>
      </c>
      <c r="BA470" s="107">
        <f t="shared" si="485"/>
        <v>2183.39500000005</v>
      </c>
      <c r="BB470" s="107">
        <f t="shared" si="486"/>
        <v>0.4913333333834089</v>
      </c>
      <c r="BC470" s="107">
        <f t="shared" si="487"/>
        <v>-2182.4123333332832</v>
      </c>
      <c r="BD470" s="107">
        <f t="shared" si="488"/>
        <v>-4365.3159999999498</v>
      </c>
      <c r="BE470" s="107">
        <f t="shared" si="491"/>
        <v>192.10633200000112</v>
      </c>
      <c r="BG470" s="127"/>
      <c r="BI470" s="127"/>
      <c r="BV470" s="127"/>
    </row>
    <row r="471" spans="1:75" ht="22.5" hidden="1" x14ac:dyDescent="0.2">
      <c r="A471" s="123" t="str">
        <f>'[2]2021 УГРЦТ'!A473</f>
        <v>Трансформаторная подстанция КТП-250 (РУ-0,4 кВ)</v>
      </c>
      <c r="B471" s="140" t="str">
        <f>'[2]2021 УГРЦТ'!B473</f>
        <v>000001847</v>
      </c>
      <c r="C471" s="124" t="str">
        <f>VLOOKUP(A:A,'2023-2027'!A:L,1,+FALSE)</f>
        <v>Трансформаторная подстанция КТП-250 (РУ-0,4 кВ)</v>
      </c>
      <c r="D471" s="124" t="str">
        <f>'[2]2021 УГРЦТ'!C473</f>
        <v>ПЕРЕДАЧА</v>
      </c>
      <c r="E471" s="124" t="str">
        <f>'[2]2021 УГРЦТ'!D473</f>
        <v>Сооружения</v>
      </c>
      <c r="F471" s="124" t="str">
        <f>'[2]2021 УГРЦТ'!E473</f>
        <v>14.04.2021</v>
      </c>
      <c r="G471" s="124" t="str">
        <f>'[2]2021 УГРЦТ'!F473</f>
        <v>Цех электрических сетей</v>
      </c>
      <c r="H471" s="124">
        <f>'[2]2021 УГРЦТ'!AC473</f>
        <v>120</v>
      </c>
      <c r="I471" s="107">
        <f>'[2]2021 УГРЦТ'!X473</f>
        <v>38000</v>
      </c>
      <c r="J471" s="107">
        <f>'[2]2021 УГРЦТ'!Y473</f>
        <v>2533.3333333333335</v>
      </c>
      <c r="K471" s="107">
        <f>'[2]2021 УГРЦТ'!Z473</f>
        <v>35466.666666666664</v>
      </c>
      <c r="L471" s="125" t="e">
        <f>SUMIF([2]облаг!$B$2:$B$259,B471,[2]облаг!$D$2:$D$259)</f>
        <v>#VALUE!</v>
      </c>
      <c r="M471" s="107">
        <f t="shared" si="473"/>
        <v>316.66666666666669</v>
      </c>
      <c r="N471" s="107">
        <f t="shared" si="474"/>
        <v>3800</v>
      </c>
      <c r="O471" s="107">
        <f t="shared" si="475"/>
        <v>35150</v>
      </c>
      <c r="P471" s="107">
        <f t="shared" si="476"/>
        <v>34833.333333333336</v>
      </c>
      <c r="Q471" s="107">
        <f t="shared" si="438"/>
        <v>34516.666666666672</v>
      </c>
      <c r="R471" s="107">
        <f t="shared" si="439"/>
        <v>34200.000000000007</v>
      </c>
      <c r="S471" s="107">
        <f t="shared" si="440"/>
        <v>33883.333333333343</v>
      </c>
      <c r="T471" s="107">
        <f t="shared" si="441"/>
        <v>33566.666666666679</v>
      </c>
      <c r="U471" s="107">
        <f t="shared" si="442"/>
        <v>33250.000000000015</v>
      </c>
      <c r="V471" s="107">
        <f t="shared" si="443"/>
        <v>32933.33333333335</v>
      </c>
      <c r="W471" s="107">
        <f t="shared" si="444"/>
        <v>32616.666666666682</v>
      </c>
      <c r="X471" s="107">
        <f t="shared" si="445"/>
        <v>32300.000000000015</v>
      </c>
      <c r="Y471" s="107">
        <f t="shared" si="446"/>
        <v>31983.333333333347</v>
      </c>
      <c r="Z471" s="107">
        <f t="shared" si="447"/>
        <v>31666.666666666679</v>
      </c>
      <c r="AA471" s="107">
        <f t="shared" si="489"/>
        <v>738.46666666666692</v>
      </c>
      <c r="AB471" s="107"/>
      <c r="AC471" s="107">
        <f t="shared" si="448"/>
        <v>3800</v>
      </c>
      <c r="AD471" s="107">
        <f t="shared" si="449"/>
        <v>31350.000000000011</v>
      </c>
      <c r="AE471" s="107">
        <f t="shared" si="450"/>
        <v>31033.333333333343</v>
      </c>
      <c r="AF471" s="107">
        <f t="shared" si="451"/>
        <v>30716.666666666675</v>
      </c>
      <c r="AG471" s="107">
        <f t="shared" si="452"/>
        <v>30400.000000000007</v>
      </c>
      <c r="AH471" s="107">
        <f t="shared" si="453"/>
        <v>30083.333333333339</v>
      </c>
      <c r="AI471" s="107">
        <f t="shared" si="454"/>
        <v>29766.666666666672</v>
      </c>
      <c r="AJ471" s="107">
        <f t="shared" si="455"/>
        <v>29450.000000000004</v>
      </c>
      <c r="AK471" s="107">
        <f t="shared" si="456"/>
        <v>29133.333333333336</v>
      </c>
      <c r="AL471" s="107">
        <f t="shared" si="457"/>
        <v>28816.666666666668</v>
      </c>
      <c r="AM471" s="107">
        <f t="shared" si="458"/>
        <v>28500</v>
      </c>
      <c r="AN471" s="107">
        <f t="shared" si="459"/>
        <v>28183.333333333332</v>
      </c>
      <c r="AO471" s="107">
        <f t="shared" si="460"/>
        <v>27866.666666666664</v>
      </c>
      <c r="AP471" s="107">
        <f t="shared" si="490"/>
        <v>654.86666666666679</v>
      </c>
      <c r="AQ471" s="126"/>
      <c r="AR471" s="107">
        <f t="shared" si="461"/>
        <v>3800</v>
      </c>
      <c r="AS471" s="107">
        <f t="shared" si="477"/>
        <v>27549.999999999996</v>
      </c>
      <c r="AT471" s="107">
        <f t="shared" si="478"/>
        <v>27233.333333333328</v>
      </c>
      <c r="AU471" s="107">
        <f t="shared" si="479"/>
        <v>26916.666666666661</v>
      </c>
      <c r="AV471" s="107">
        <f t="shared" si="480"/>
        <v>26599.999999999993</v>
      </c>
      <c r="AW471" s="107">
        <f t="shared" si="481"/>
        <v>26283.333333333325</v>
      </c>
      <c r="AX471" s="107">
        <f t="shared" si="482"/>
        <v>25966.666666666657</v>
      </c>
      <c r="AY471" s="107">
        <f t="shared" si="483"/>
        <v>25649.999999999989</v>
      </c>
      <c r="AZ471" s="107">
        <f t="shared" si="484"/>
        <v>25333.333333333321</v>
      </c>
      <c r="BA471" s="107">
        <f t="shared" si="485"/>
        <v>25016.666666666653</v>
      </c>
      <c r="BB471" s="107">
        <f t="shared" si="486"/>
        <v>24699.999999999985</v>
      </c>
      <c r="BC471" s="107">
        <f t="shared" si="487"/>
        <v>24383.333333333318</v>
      </c>
      <c r="BD471" s="107">
        <f t="shared" si="488"/>
        <v>24066.66666666665</v>
      </c>
      <c r="BE471" s="107">
        <f t="shared" si="491"/>
        <v>571.26666666666631</v>
      </c>
      <c r="BF471" s="127"/>
      <c r="BG471" s="127"/>
      <c r="BH471" s="127"/>
      <c r="BI471" s="127"/>
      <c r="BJ471" s="127"/>
      <c r="BK471" s="127"/>
      <c r="BL471" s="127"/>
      <c r="BM471" s="127"/>
      <c r="BN471" s="127"/>
      <c r="BO471" s="127"/>
      <c r="BP471" s="127"/>
      <c r="BQ471" s="127"/>
      <c r="BR471" s="127"/>
      <c r="BS471" s="127"/>
      <c r="BT471" s="127"/>
      <c r="BU471" s="127"/>
      <c r="BV471" s="127"/>
      <c r="BW471" s="127"/>
    </row>
    <row r="472" spans="1:75" ht="33.75" hidden="1" x14ac:dyDescent="0.2">
      <c r="A472" s="123" t="str">
        <f>'[2]2021 УГРЦТ'!A474</f>
        <v>Трансформаторная подстанция КТП-250 кВ центральная в с.Тельвиска</v>
      </c>
      <c r="B472" s="140" t="str">
        <f>'[2]2021 УГРЦТ'!B474</f>
        <v>000001849</v>
      </c>
      <c r="C472" s="124" t="str">
        <f>VLOOKUP(A:A,'2023-2027'!A:L,1,+FALSE)</f>
        <v>Трансформаторная подстанция КТП-250 кВ центральная в с.Тельвиска</v>
      </c>
      <c r="D472" s="124" t="str">
        <f>'[2]2021 УГРЦТ'!C474</f>
        <v>ПЕРЕДАЧА</v>
      </c>
      <c r="E472" s="124" t="str">
        <f>'[2]2021 УГРЦТ'!D474</f>
        <v>Сооружения</v>
      </c>
      <c r="F472" s="124" t="str">
        <f>'[2]2021 УГРЦТ'!E474</f>
        <v>16.07.2021</v>
      </c>
      <c r="G472" s="124" t="str">
        <f>'[2]2021 УГРЦТ'!F474</f>
        <v>Цех электрических сетей</v>
      </c>
      <c r="H472" s="124">
        <f>'[2]2021 УГРЦТ'!AC474</f>
        <v>120</v>
      </c>
      <c r="I472" s="107">
        <f>'[2]2021 УГРЦТ'!X474</f>
        <v>40813</v>
      </c>
      <c r="J472" s="107">
        <f>'[2]2021 УГРЦТ'!Y474</f>
        <v>1700.5416666666667</v>
      </c>
      <c r="K472" s="107">
        <f>'[2]2021 УГРЦТ'!Z474</f>
        <v>39112.458333333336</v>
      </c>
      <c r="L472" s="125" t="e">
        <f>SUMIF([2]облаг!$B$2:$B$259,B472,[2]облаг!$D$2:$D$259)</f>
        <v>#VALUE!</v>
      </c>
      <c r="M472" s="107">
        <f t="shared" si="473"/>
        <v>340.10833333333335</v>
      </c>
      <c r="N472" s="107">
        <f t="shared" si="474"/>
        <v>4081.3</v>
      </c>
      <c r="O472" s="107">
        <f t="shared" si="475"/>
        <v>38772.350000000006</v>
      </c>
      <c r="P472" s="107">
        <f t="shared" si="476"/>
        <v>38432.241666666676</v>
      </c>
      <c r="Q472" s="107">
        <f t="shared" si="438"/>
        <v>38092.133333333346</v>
      </c>
      <c r="R472" s="107">
        <f t="shared" si="439"/>
        <v>37752.025000000016</v>
      </c>
      <c r="S472" s="107">
        <f t="shared" si="440"/>
        <v>37411.916666666686</v>
      </c>
      <c r="T472" s="107">
        <f t="shared" si="441"/>
        <v>37071.808333333356</v>
      </c>
      <c r="U472" s="107">
        <f t="shared" si="442"/>
        <v>36731.700000000026</v>
      </c>
      <c r="V472" s="107">
        <f t="shared" si="443"/>
        <v>36391.591666666696</v>
      </c>
      <c r="W472" s="107">
        <f t="shared" si="444"/>
        <v>36051.483333333366</v>
      </c>
      <c r="X472" s="107">
        <f t="shared" si="445"/>
        <v>35711.375000000036</v>
      </c>
      <c r="Y472" s="107">
        <f t="shared" si="446"/>
        <v>35371.266666666706</v>
      </c>
      <c r="Z472" s="107">
        <f t="shared" si="447"/>
        <v>35031.158333333377</v>
      </c>
      <c r="AA472" s="107">
        <f t="shared" si="489"/>
        <v>815.57978333333381</v>
      </c>
      <c r="AB472" s="107"/>
      <c r="AC472" s="107">
        <f t="shared" si="448"/>
        <v>4081.3</v>
      </c>
      <c r="AD472" s="107">
        <f t="shared" si="449"/>
        <v>34691.050000000047</v>
      </c>
      <c r="AE472" s="107">
        <f t="shared" si="450"/>
        <v>34350.941666666717</v>
      </c>
      <c r="AF472" s="107">
        <f t="shared" si="451"/>
        <v>34010.833333333387</v>
      </c>
      <c r="AG472" s="107">
        <f t="shared" si="452"/>
        <v>33670.725000000057</v>
      </c>
      <c r="AH472" s="107">
        <f t="shared" si="453"/>
        <v>33330.616666666727</v>
      </c>
      <c r="AI472" s="107">
        <f t="shared" si="454"/>
        <v>32990.508333333397</v>
      </c>
      <c r="AJ472" s="107">
        <f t="shared" si="455"/>
        <v>32650.400000000063</v>
      </c>
      <c r="AK472" s="107">
        <f t="shared" si="456"/>
        <v>32310.29166666673</v>
      </c>
      <c r="AL472" s="107">
        <f t="shared" si="457"/>
        <v>31970.183333333396</v>
      </c>
      <c r="AM472" s="107">
        <f t="shared" si="458"/>
        <v>31630.075000000063</v>
      </c>
      <c r="AN472" s="107">
        <f t="shared" si="459"/>
        <v>31289.966666666729</v>
      </c>
      <c r="AO472" s="107">
        <f t="shared" si="460"/>
        <v>30949.858333333395</v>
      </c>
      <c r="AP472" s="107">
        <f t="shared" si="490"/>
        <v>725.79118333333452</v>
      </c>
      <c r="AQ472" s="126"/>
      <c r="AR472" s="107">
        <f t="shared" si="461"/>
        <v>4081.3</v>
      </c>
      <c r="AS472" s="107">
        <f t="shared" si="477"/>
        <v>30609.750000000062</v>
      </c>
      <c r="AT472" s="107">
        <f t="shared" si="478"/>
        <v>30269.641666666728</v>
      </c>
      <c r="AU472" s="107">
        <f t="shared" si="479"/>
        <v>29929.533333333395</v>
      </c>
      <c r="AV472" s="107">
        <f t="shared" si="480"/>
        <v>29589.425000000061</v>
      </c>
      <c r="AW472" s="107">
        <f t="shared" si="481"/>
        <v>29249.316666666728</v>
      </c>
      <c r="AX472" s="107">
        <f t="shared" si="482"/>
        <v>28909.208333333394</v>
      </c>
      <c r="AY472" s="107">
        <f t="shared" si="483"/>
        <v>28569.10000000006</v>
      </c>
      <c r="AZ472" s="107">
        <f t="shared" si="484"/>
        <v>28228.991666666727</v>
      </c>
      <c r="BA472" s="107">
        <f t="shared" si="485"/>
        <v>27888.883333333393</v>
      </c>
      <c r="BB472" s="107">
        <f t="shared" si="486"/>
        <v>27548.77500000006</v>
      </c>
      <c r="BC472" s="107">
        <f t="shared" si="487"/>
        <v>27208.666666666726</v>
      </c>
      <c r="BD472" s="107">
        <f t="shared" si="488"/>
        <v>26868.558333333393</v>
      </c>
      <c r="BE472" s="107">
        <f t="shared" si="491"/>
        <v>636.00258333333466</v>
      </c>
      <c r="BF472" s="127"/>
      <c r="BG472" s="127"/>
      <c r="BH472" s="127"/>
      <c r="BI472" s="127"/>
      <c r="BJ472" s="127"/>
      <c r="BK472" s="127"/>
      <c r="BL472" s="127"/>
      <c r="BM472" s="127"/>
      <c r="BN472" s="127"/>
      <c r="BO472" s="127"/>
      <c r="BP472" s="127"/>
      <c r="BQ472" s="127"/>
      <c r="BR472" s="127"/>
      <c r="BS472" s="127"/>
      <c r="BT472" s="127"/>
      <c r="BU472" s="127"/>
      <c r="BV472" s="127"/>
      <c r="BW472" s="127"/>
    </row>
    <row r="473" spans="1:75" ht="45" hidden="1" x14ac:dyDescent="0.2">
      <c r="A473" s="123" t="str">
        <f>'[2]2021 УГРЦТ'!A475</f>
        <v>Трансформаторная подстанция напряжением 6/0,4 Кв мощностью 400кВА, типа 2КТПК (п) 400/6/0,4 (к/к-13У1)</v>
      </c>
      <c r="B473" s="124" t="str">
        <f>'[2]2021 УГРЦТ'!B475</f>
        <v>000001703</v>
      </c>
      <c r="C473" s="124" t="str">
        <f>VLOOKUP(A:A,'2023-2027'!A:L,1,+FALSE)</f>
        <v>Трансформаторная подстанция напряжением 6/0,4 Кв мощностью 400кВА, типа 2КТПК (п) 400/6/0,4 (к/к-13У1)</v>
      </c>
      <c r="D473" s="124" t="str">
        <f>'[2]2021 УГРЦТ'!C475</f>
        <v>ПЕРЕДАЧА</v>
      </c>
      <c r="E473" s="124" t="str">
        <f>'[2]2021 УГРЦТ'!D475</f>
        <v>Здания</v>
      </c>
      <c r="F473" s="124" t="str">
        <f>'[2]2021 УГРЦТ'!E475</f>
        <v>27.04.2017</v>
      </c>
      <c r="G473" s="124" t="str">
        <f>'[2]2021 УГРЦТ'!F475</f>
        <v>Цех электрических сетей</v>
      </c>
      <c r="H473" s="124">
        <f>'[2]2021 УГРЦТ'!AC475</f>
        <v>341</v>
      </c>
      <c r="I473" s="107">
        <f>'[2]2021 УГРЦТ'!X475</f>
        <v>2318891.4900000002</v>
      </c>
      <c r="J473" s="107">
        <f>'[2]2021 УГРЦТ'!Y475</f>
        <v>380815.09958944283</v>
      </c>
      <c r="K473" s="107">
        <f>'[2]2021 УГРЦТ'!Z475</f>
        <v>1938076.3904105574</v>
      </c>
      <c r="L473" s="125" t="e">
        <f>SUMIF([2]облаг!$B$2:$B$259,B473,[2]облаг!$D$2:$D$259)</f>
        <v>#VALUE!</v>
      </c>
      <c r="M473" s="107">
        <f t="shared" si="473"/>
        <v>6800.2682991202355</v>
      </c>
      <c r="N473" s="107">
        <f t="shared" si="474"/>
        <v>81603.21958944283</v>
      </c>
      <c r="O473" s="107">
        <f t="shared" si="475"/>
        <v>1931276.1221114371</v>
      </c>
      <c r="P473" s="107">
        <f t="shared" si="476"/>
        <v>1924475.8538123169</v>
      </c>
      <c r="Q473" s="107">
        <f t="shared" si="438"/>
        <v>1917675.5855131967</v>
      </c>
      <c r="R473" s="107">
        <f t="shared" si="439"/>
        <v>1910875.3172140764</v>
      </c>
      <c r="S473" s="107">
        <f t="shared" si="440"/>
        <v>1904075.0489149562</v>
      </c>
      <c r="T473" s="107">
        <f t="shared" si="441"/>
        <v>1897274.7806158359</v>
      </c>
      <c r="U473" s="107">
        <f t="shared" si="442"/>
        <v>1890474.5123167157</v>
      </c>
      <c r="V473" s="107">
        <f t="shared" si="443"/>
        <v>1883674.2440175954</v>
      </c>
      <c r="W473" s="107">
        <f t="shared" si="444"/>
        <v>1876873.9757184752</v>
      </c>
      <c r="X473" s="107">
        <f t="shared" si="445"/>
        <v>1870073.7074193549</v>
      </c>
      <c r="Y473" s="107">
        <f t="shared" si="446"/>
        <v>1863273.4391202347</v>
      </c>
      <c r="Z473" s="107">
        <f t="shared" si="447"/>
        <v>1856473.1708211144</v>
      </c>
      <c r="AA473" s="107">
        <f t="shared" si="489"/>
        <v>41740.045173548388</v>
      </c>
      <c r="AB473" s="107"/>
      <c r="AC473" s="107">
        <f t="shared" si="448"/>
        <v>81603.21958944283</v>
      </c>
      <c r="AD473" s="107">
        <f t="shared" si="449"/>
        <v>1849672.9025219942</v>
      </c>
      <c r="AE473" s="107">
        <f t="shared" si="450"/>
        <v>1842872.634222874</v>
      </c>
      <c r="AF473" s="107">
        <f t="shared" si="451"/>
        <v>1836072.3659237537</v>
      </c>
      <c r="AG473" s="107">
        <f t="shared" si="452"/>
        <v>1829272.0976246335</v>
      </c>
      <c r="AH473" s="107">
        <f t="shared" si="453"/>
        <v>1822471.8293255132</v>
      </c>
      <c r="AI473" s="107">
        <f t="shared" si="454"/>
        <v>1815671.561026393</v>
      </c>
      <c r="AJ473" s="107">
        <f t="shared" si="455"/>
        <v>1808871.2927272727</v>
      </c>
      <c r="AK473" s="107">
        <f t="shared" si="456"/>
        <v>1802071.0244281525</v>
      </c>
      <c r="AL473" s="107">
        <f t="shared" si="457"/>
        <v>1795270.7561290322</v>
      </c>
      <c r="AM473" s="107">
        <f t="shared" si="458"/>
        <v>1788470.487829912</v>
      </c>
      <c r="AN473" s="107">
        <f t="shared" si="459"/>
        <v>1781670.2195307917</v>
      </c>
      <c r="AO473" s="107">
        <f t="shared" si="460"/>
        <v>1774869.9512316715</v>
      </c>
      <c r="AP473" s="107">
        <f t="shared" si="490"/>
        <v>39944.77434258064</v>
      </c>
      <c r="AQ473" s="126"/>
      <c r="AR473" s="107">
        <f t="shared" si="461"/>
        <v>81603.21958944283</v>
      </c>
      <c r="AS473" s="107">
        <f t="shared" si="477"/>
        <v>1768069.6829325513</v>
      </c>
      <c r="AT473" s="107">
        <f t="shared" si="478"/>
        <v>1761269.414633431</v>
      </c>
      <c r="AU473" s="107">
        <f t="shared" si="479"/>
        <v>1754469.1463343108</v>
      </c>
      <c r="AV473" s="107">
        <f t="shared" si="480"/>
        <v>1747668.8780351905</v>
      </c>
      <c r="AW473" s="107">
        <f t="shared" si="481"/>
        <v>1740868.6097360703</v>
      </c>
      <c r="AX473" s="107">
        <f t="shared" si="482"/>
        <v>1734068.34143695</v>
      </c>
      <c r="AY473" s="107">
        <f t="shared" si="483"/>
        <v>1727268.0731378298</v>
      </c>
      <c r="AZ473" s="107">
        <f t="shared" si="484"/>
        <v>1720467.8048387095</v>
      </c>
      <c r="BA473" s="107">
        <f t="shared" si="485"/>
        <v>1713667.5365395893</v>
      </c>
      <c r="BB473" s="107">
        <f t="shared" si="486"/>
        <v>1706867.268240469</v>
      </c>
      <c r="BC473" s="107">
        <f t="shared" si="487"/>
        <v>1700066.9999413488</v>
      </c>
      <c r="BD473" s="107">
        <f t="shared" si="488"/>
        <v>1693266.7316422286</v>
      </c>
      <c r="BE473" s="107">
        <f t="shared" si="491"/>
        <v>38149.5035116129</v>
      </c>
      <c r="BF473" s="127"/>
      <c r="BG473" s="127"/>
      <c r="BH473" s="127"/>
      <c r="BI473" s="127"/>
      <c r="BJ473" s="127"/>
      <c r="BK473" s="127"/>
      <c r="BL473" s="127"/>
      <c r="BM473" s="127"/>
      <c r="BN473" s="127"/>
      <c r="BO473" s="127"/>
      <c r="BP473" s="127"/>
      <c r="BQ473" s="127"/>
      <c r="BR473" s="127"/>
      <c r="BS473" s="127"/>
      <c r="BT473" s="127"/>
      <c r="BU473" s="127"/>
      <c r="BV473" s="127"/>
      <c r="BW473" s="127"/>
    </row>
    <row r="474" spans="1:75" ht="22.5" hidden="1" x14ac:dyDescent="0.2">
      <c r="A474" s="123" t="str">
        <f>'[2]2021 УГРЦТ'!A476</f>
        <v>Трансформаторная подстанция ТП №100/1 "Малый Качгорт"</v>
      </c>
      <c r="B474" s="124" t="str">
        <f>'[2]2021 УГРЦТ'!B476</f>
        <v>000001695</v>
      </c>
      <c r="C474" s="124" t="str">
        <f>VLOOKUP(A:A,'2023-2027'!A:L,1,+FALSE)</f>
        <v>Трансформаторная подстанция ТП №100/1 "Малый Качгорт"</v>
      </c>
      <c r="D474" s="124" t="str">
        <f>'[2]2021 УГРЦТ'!C476</f>
        <v>ПЕРЕДАЧА</v>
      </c>
      <c r="E474" s="124" t="str">
        <f>'[2]2021 УГРЦТ'!D476</f>
        <v>Сооружения</v>
      </c>
      <c r="F474" s="124" t="str">
        <f>'[2]2021 УГРЦТ'!E476</f>
        <v>09.12.2016</v>
      </c>
      <c r="G474" s="124" t="str">
        <f>'[2]2021 УГРЦТ'!F476</f>
        <v>Цех электрических сетей</v>
      </c>
      <c r="H474" s="124">
        <f>'[2]2021 УГРЦТ'!AC476</f>
        <v>240</v>
      </c>
      <c r="I474" s="107">
        <f>'[2]2021 УГРЦТ'!X476</f>
        <v>384471.91</v>
      </c>
      <c r="J474" s="107">
        <f>'[2]2021 УГРЦТ'!Y476</f>
        <v>96118.155499999993</v>
      </c>
      <c r="K474" s="107">
        <f>'[2]2021 УГРЦТ'!Z476</f>
        <v>288353.75449999998</v>
      </c>
      <c r="L474" s="125" t="e">
        <f>SUMIF([2]облаг!$B$2:$B$259,B474,[2]облаг!$D$2:$D$259)</f>
        <v>#VALUE!</v>
      </c>
      <c r="M474" s="107">
        <f t="shared" si="473"/>
        <v>1601.9662916666666</v>
      </c>
      <c r="N474" s="107">
        <f t="shared" si="474"/>
        <v>19223.595499999999</v>
      </c>
      <c r="O474" s="107">
        <f t="shared" si="475"/>
        <v>286751.78820833331</v>
      </c>
      <c r="P474" s="107">
        <f t="shared" si="476"/>
        <v>285149.82191666664</v>
      </c>
      <c r="Q474" s="107">
        <f t="shared" si="438"/>
        <v>283547.85562499997</v>
      </c>
      <c r="R474" s="107">
        <f t="shared" si="439"/>
        <v>281945.8893333333</v>
      </c>
      <c r="S474" s="107">
        <f t="shared" si="440"/>
        <v>280343.92304166663</v>
      </c>
      <c r="T474" s="107">
        <f t="shared" si="441"/>
        <v>278741.95674999995</v>
      </c>
      <c r="U474" s="107">
        <f t="shared" si="442"/>
        <v>277139.99045833328</v>
      </c>
      <c r="V474" s="107">
        <f t="shared" si="443"/>
        <v>275538.02416666661</v>
      </c>
      <c r="W474" s="107">
        <f t="shared" si="444"/>
        <v>273936.05787499994</v>
      </c>
      <c r="X474" s="107">
        <f t="shared" si="445"/>
        <v>272334.09158333327</v>
      </c>
      <c r="Y474" s="107">
        <f t="shared" si="446"/>
        <v>270732.1252916666</v>
      </c>
      <c r="Z474" s="107">
        <f t="shared" si="447"/>
        <v>269130.15899999993</v>
      </c>
      <c r="AA474" s="107">
        <f t="shared" si="489"/>
        <v>6132.3230484999985</v>
      </c>
      <c r="AB474" s="107"/>
      <c r="AC474" s="107">
        <f t="shared" si="448"/>
        <v>19223.595499999999</v>
      </c>
      <c r="AD474" s="107">
        <f t="shared" si="449"/>
        <v>267528.19270833326</v>
      </c>
      <c r="AE474" s="107">
        <f t="shared" si="450"/>
        <v>265926.22641666658</v>
      </c>
      <c r="AF474" s="107">
        <f t="shared" si="451"/>
        <v>264324.26012499991</v>
      </c>
      <c r="AG474" s="107">
        <f t="shared" si="452"/>
        <v>262722.29383333324</v>
      </c>
      <c r="AH474" s="107">
        <f t="shared" si="453"/>
        <v>261120.32754166657</v>
      </c>
      <c r="AI474" s="107">
        <f t="shared" si="454"/>
        <v>259518.3612499999</v>
      </c>
      <c r="AJ474" s="107">
        <f t="shared" si="455"/>
        <v>257916.39495833323</v>
      </c>
      <c r="AK474" s="107">
        <f t="shared" si="456"/>
        <v>256314.42866666656</v>
      </c>
      <c r="AL474" s="107">
        <f t="shared" si="457"/>
        <v>254712.46237499989</v>
      </c>
      <c r="AM474" s="107">
        <f t="shared" si="458"/>
        <v>253110.49608333322</v>
      </c>
      <c r="AN474" s="107">
        <f t="shared" si="459"/>
        <v>251508.52979166654</v>
      </c>
      <c r="AO474" s="107">
        <f t="shared" si="460"/>
        <v>249906.56349999987</v>
      </c>
      <c r="AP474" s="107">
        <f t="shared" si="490"/>
        <v>5709.4039474999972</v>
      </c>
      <c r="AQ474" s="126"/>
      <c r="AR474" s="107">
        <f t="shared" si="461"/>
        <v>19223.595499999999</v>
      </c>
      <c r="AS474" s="107">
        <f t="shared" si="477"/>
        <v>248304.5972083332</v>
      </c>
      <c r="AT474" s="107">
        <f t="shared" si="478"/>
        <v>246702.63091666653</v>
      </c>
      <c r="AU474" s="107">
        <f t="shared" si="479"/>
        <v>245100.66462499986</v>
      </c>
      <c r="AV474" s="107">
        <f t="shared" si="480"/>
        <v>243498.69833333319</v>
      </c>
      <c r="AW474" s="107">
        <f t="shared" si="481"/>
        <v>241896.73204166652</v>
      </c>
      <c r="AX474" s="107">
        <f t="shared" si="482"/>
        <v>240294.76574999985</v>
      </c>
      <c r="AY474" s="107">
        <f t="shared" si="483"/>
        <v>238692.79945833317</v>
      </c>
      <c r="AZ474" s="107">
        <f t="shared" si="484"/>
        <v>237090.8331666665</v>
      </c>
      <c r="BA474" s="107">
        <f t="shared" si="485"/>
        <v>235488.86687499983</v>
      </c>
      <c r="BB474" s="107">
        <f t="shared" si="486"/>
        <v>233886.90058333316</v>
      </c>
      <c r="BC474" s="107">
        <f t="shared" si="487"/>
        <v>232284.93429166649</v>
      </c>
      <c r="BD474" s="107">
        <f t="shared" si="488"/>
        <v>230682.96799999982</v>
      </c>
      <c r="BE474" s="107">
        <f t="shared" si="491"/>
        <v>5286.4848464999959</v>
      </c>
      <c r="BF474" s="127"/>
      <c r="BG474" s="127"/>
      <c r="BH474" s="127"/>
      <c r="BI474" s="127"/>
      <c r="BJ474" s="127"/>
      <c r="BK474" s="127"/>
      <c r="BL474" s="127"/>
      <c r="BM474" s="127"/>
      <c r="BN474" s="127"/>
      <c r="BO474" s="127"/>
      <c r="BP474" s="127"/>
      <c r="BQ474" s="127"/>
      <c r="BR474" s="127"/>
      <c r="BS474" s="127"/>
      <c r="BT474" s="127"/>
      <c r="BU474" s="127"/>
      <c r="BV474" s="127"/>
      <c r="BW474" s="127"/>
    </row>
    <row r="475" spans="1:75" ht="22.5" hidden="1" x14ac:dyDescent="0.2">
      <c r="A475" s="123" t="str">
        <f>'[2]2021 УГРЦТ'!A477</f>
        <v>Трансформаторная подстанция ТП №113 "Молодежный центр"</v>
      </c>
      <c r="B475" s="124" t="str">
        <f>'[2]2021 УГРЦТ'!B477</f>
        <v>000001694</v>
      </c>
      <c r="C475" s="124" t="str">
        <f>VLOOKUP(A:A,'2023-2027'!A:L,1,+FALSE)</f>
        <v>Трансформаторная подстанция ТП №113 "Молодежный центр"</v>
      </c>
      <c r="D475" s="124" t="str">
        <f>'[2]2021 УГРЦТ'!C477</f>
        <v>ПЕРЕДАЧА</v>
      </c>
      <c r="E475" s="124" t="str">
        <f>'[2]2021 УГРЦТ'!D477</f>
        <v>Сооружения</v>
      </c>
      <c r="F475" s="124" t="str">
        <f>'[2]2021 УГРЦТ'!E477</f>
        <v>30.11.2016</v>
      </c>
      <c r="G475" s="124" t="str">
        <f>'[2]2021 УГРЦТ'!F477</f>
        <v>Цех электрических сетей</v>
      </c>
      <c r="H475" s="124">
        <f>'[2]2021 УГРЦТ'!AC477</f>
        <v>240</v>
      </c>
      <c r="I475" s="107">
        <f>'[2]2021 УГРЦТ'!X477</f>
        <v>6269664.8799999999</v>
      </c>
      <c r="J475" s="107">
        <f>'[2]2021 УГРЦТ'!Y477</f>
        <v>1593539.6439999999</v>
      </c>
      <c r="K475" s="107">
        <f>'[2]2021 УГРЦТ'!Z477</f>
        <v>4676125.2359999996</v>
      </c>
      <c r="L475" s="125" t="e">
        <f>SUMIF([2]облаг!$B$2:$B$259,B475,[2]облаг!$D$2:$D$259)</f>
        <v>#VALUE!</v>
      </c>
      <c r="M475" s="107">
        <f t="shared" si="473"/>
        <v>26123.603666666666</v>
      </c>
      <c r="N475" s="107">
        <f t="shared" si="474"/>
        <v>313483.24400000001</v>
      </c>
      <c r="O475" s="107">
        <f t="shared" si="475"/>
        <v>4650001.6323333327</v>
      </c>
      <c r="P475" s="107">
        <f t="shared" si="476"/>
        <v>4623878.0286666658</v>
      </c>
      <c r="Q475" s="107">
        <f t="shared" si="438"/>
        <v>4597754.4249999989</v>
      </c>
      <c r="R475" s="107">
        <f t="shared" si="439"/>
        <v>4571630.821333332</v>
      </c>
      <c r="S475" s="107">
        <f t="shared" si="440"/>
        <v>4545507.2176666651</v>
      </c>
      <c r="T475" s="107">
        <f t="shared" si="441"/>
        <v>4519383.6139999982</v>
      </c>
      <c r="U475" s="107">
        <f t="shared" si="442"/>
        <v>4493260.0103333313</v>
      </c>
      <c r="V475" s="107">
        <f t="shared" si="443"/>
        <v>4467136.4066666644</v>
      </c>
      <c r="W475" s="107">
        <f t="shared" si="444"/>
        <v>4441012.8029999975</v>
      </c>
      <c r="X475" s="107">
        <f t="shared" si="445"/>
        <v>4414889.1993333306</v>
      </c>
      <c r="Y475" s="107">
        <f t="shared" si="446"/>
        <v>4388765.5956666637</v>
      </c>
      <c r="Z475" s="107">
        <f t="shared" si="447"/>
        <v>4362641.9919999968</v>
      </c>
      <c r="AA475" s="107">
        <f t="shared" si="489"/>
        <v>99426.439507999952</v>
      </c>
      <c r="AB475" s="107"/>
      <c r="AC475" s="107">
        <f t="shared" si="448"/>
        <v>313483.24400000001</v>
      </c>
      <c r="AD475" s="107">
        <f t="shared" si="449"/>
        <v>4336518.3883333299</v>
      </c>
      <c r="AE475" s="107">
        <f t="shared" si="450"/>
        <v>4310394.784666663</v>
      </c>
      <c r="AF475" s="107">
        <f t="shared" si="451"/>
        <v>4284271.1809999961</v>
      </c>
      <c r="AG475" s="107">
        <f t="shared" si="452"/>
        <v>4258147.5773333292</v>
      </c>
      <c r="AH475" s="107">
        <f t="shared" si="453"/>
        <v>4232023.9736666624</v>
      </c>
      <c r="AI475" s="107">
        <f t="shared" si="454"/>
        <v>4205900.3699999955</v>
      </c>
      <c r="AJ475" s="107">
        <f t="shared" si="455"/>
        <v>4179776.7663333286</v>
      </c>
      <c r="AK475" s="107">
        <f t="shared" si="456"/>
        <v>4153653.1626666617</v>
      </c>
      <c r="AL475" s="107">
        <f t="shared" si="457"/>
        <v>4127529.5589999948</v>
      </c>
      <c r="AM475" s="107">
        <f t="shared" si="458"/>
        <v>4101405.9553333279</v>
      </c>
      <c r="AN475" s="107">
        <f t="shared" si="459"/>
        <v>4075282.351666661</v>
      </c>
      <c r="AO475" s="107">
        <f t="shared" si="460"/>
        <v>4049158.7479999941</v>
      </c>
      <c r="AP475" s="107">
        <f t="shared" si="490"/>
        <v>92529.808139999892</v>
      </c>
      <c r="AQ475" s="126"/>
      <c r="AR475" s="107">
        <f t="shared" si="461"/>
        <v>313483.24400000001</v>
      </c>
      <c r="AS475" s="107">
        <f t="shared" si="477"/>
        <v>4023035.1443333272</v>
      </c>
      <c r="AT475" s="107">
        <f t="shared" si="478"/>
        <v>3996911.5406666603</v>
      </c>
      <c r="AU475" s="107">
        <f t="shared" si="479"/>
        <v>3970787.9369999934</v>
      </c>
      <c r="AV475" s="107">
        <f t="shared" si="480"/>
        <v>3944664.3333333265</v>
      </c>
      <c r="AW475" s="107">
        <f t="shared" si="481"/>
        <v>3918540.7296666596</v>
      </c>
      <c r="AX475" s="107">
        <f t="shared" si="482"/>
        <v>3892417.1259999927</v>
      </c>
      <c r="AY475" s="107">
        <f t="shared" si="483"/>
        <v>3866293.5223333258</v>
      </c>
      <c r="AZ475" s="107">
        <f t="shared" si="484"/>
        <v>3840169.9186666589</v>
      </c>
      <c r="BA475" s="107">
        <f t="shared" si="485"/>
        <v>3814046.314999992</v>
      </c>
      <c r="BB475" s="107">
        <f t="shared" si="486"/>
        <v>3787922.7113333251</v>
      </c>
      <c r="BC475" s="107">
        <f t="shared" si="487"/>
        <v>3761799.1076666582</v>
      </c>
      <c r="BD475" s="107">
        <f t="shared" si="488"/>
        <v>3735675.5039999913</v>
      </c>
      <c r="BE475" s="107">
        <f t="shared" si="491"/>
        <v>85633.176771999832</v>
      </c>
      <c r="BF475" s="127"/>
      <c r="BG475" s="127"/>
      <c r="BH475" s="127"/>
      <c r="BI475" s="127"/>
      <c r="BJ475" s="127"/>
      <c r="BK475" s="127"/>
      <c r="BL475" s="127"/>
      <c r="BM475" s="127"/>
      <c r="BN475" s="127"/>
      <c r="BO475" s="127"/>
      <c r="BP475" s="127"/>
      <c r="BQ475" s="127"/>
      <c r="BR475" s="127"/>
      <c r="BS475" s="127"/>
      <c r="BT475" s="127"/>
      <c r="BU475" s="127"/>
      <c r="BV475" s="127"/>
      <c r="BW475" s="127"/>
    </row>
    <row r="476" spans="1:75" ht="22.5" hidden="1" x14ac:dyDescent="0.2">
      <c r="A476" s="123" t="str">
        <f>'[2]2021 УГРЦТ'!A478</f>
        <v>Трансформаторная подстанция ТП-55 "Старый аэропорт"</v>
      </c>
      <c r="B476" s="124" t="str">
        <f>'[2]2021 УГРЦТ'!B478</f>
        <v>000001683</v>
      </c>
      <c r="C476" s="124" t="str">
        <f>VLOOKUP(A:A,'2023-2027'!A:L,1,+FALSE)</f>
        <v>Трансформаторная подстанция ТП-55 "Старый аэропорт"</v>
      </c>
      <c r="D476" s="124" t="str">
        <f>'[2]2021 УГРЦТ'!C478</f>
        <v>ПЕРЕДАЧА</v>
      </c>
      <c r="E476" s="124" t="str">
        <f>'[2]2021 УГРЦТ'!D478</f>
        <v>Сооружения</v>
      </c>
      <c r="F476" s="124" t="str">
        <f>'[2]2021 УГРЦТ'!E478</f>
        <v>29.07.2016</v>
      </c>
      <c r="G476" s="124" t="str">
        <f>'[2]2021 УГРЦТ'!F478</f>
        <v>Цех электрических сетей</v>
      </c>
      <c r="H476" s="124">
        <f>'[2]2021 УГРЦТ'!AC478</f>
        <v>240</v>
      </c>
      <c r="I476" s="107">
        <f>'[2]2021 УГРЦТ'!X478</f>
        <v>6932161.2999999998</v>
      </c>
      <c r="J476" s="107">
        <f>'[2]2021 УГРЦТ'!Y478</f>
        <v>1877460.5950000002</v>
      </c>
      <c r="K476" s="107">
        <f>'[2]2021 УГРЦТ'!Z478</f>
        <v>5054700.7050000001</v>
      </c>
      <c r="L476" s="125" t="e">
        <f>SUMIF([2]облаг!$B$2:$B$259,B476,[2]облаг!$D$2:$D$259)</f>
        <v>#VALUE!</v>
      </c>
      <c r="M476" s="107">
        <f t="shared" si="473"/>
        <v>28884.005416666667</v>
      </c>
      <c r="N476" s="107">
        <f t="shared" si="474"/>
        <v>346608.065</v>
      </c>
      <c r="O476" s="107">
        <f t="shared" si="475"/>
        <v>5025816.699583333</v>
      </c>
      <c r="P476" s="107">
        <f t="shared" si="476"/>
        <v>4996932.6941666659</v>
      </c>
      <c r="Q476" s="107">
        <f t="shared" ref="Q476:Q507" si="492">P476-M476</f>
        <v>4968048.6887499988</v>
      </c>
      <c r="R476" s="107">
        <f t="shared" ref="R476:R507" si="493">Q476-M476</f>
        <v>4939164.6833333317</v>
      </c>
      <c r="S476" s="107">
        <f t="shared" si="440"/>
        <v>4910280.6779166646</v>
      </c>
      <c r="T476" s="107">
        <f t="shared" si="441"/>
        <v>4881396.6724999975</v>
      </c>
      <c r="U476" s="107">
        <f t="shared" si="442"/>
        <v>4852512.6670833305</v>
      </c>
      <c r="V476" s="107">
        <f t="shared" si="443"/>
        <v>4823628.6616666634</v>
      </c>
      <c r="W476" s="107">
        <f t="shared" si="444"/>
        <v>4794744.6562499963</v>
      </c>
      <c r="X476" s="107">
        <f t="shared" si="445"/>
        <v>4765860.6508333292</v>
      </c>
      <c r="Y476" s="107">
        <f t="shared" si="446"/>
        <v>4736976.6454166621</v>
      </c>
      <c r="Z476" s="107">
        <f t="shared" si="447"/>
        <v>4708092.639999995</v>
      </c>
      <c r="AA476" s="107">
        <f t="shared" si="489"/>
        <v>107390.72679499994</v>
      </c>
      <c r="AB476" s="107"/>
      <c r="AC476" s="107">
        <f t="shared" si="448"/>
        <v>346608.065</v>
      </c>
      <c r="AD476" s="107">
        <f t="shared" si="449"/>
        <v>4679208.6345833279</v>
      </c>
      <c r="AE476" s="107">
        <f t="shared" si="450"/>
        <v>4650324.6291666608</v>
      </c>
      <c r="AF476" s="107">
        <f t="shared" si="451"/>
        <v>4621440.6237499937</v>
      </c>
      <c r="AG476" s="107">
        <f t="shared" si="452"/>
        <v>4592556.6183333267</v>
      </c>
      <c r="AH476" s="107">
        <f t="shared" si="453"/>
        <v>4563672.6129166596</v>
      </c>
      <c r="AI476" s="107">
        <f t="shared" si="454"/>
        <v>4534788.6074999925</v>
      </c>
      <c r="AJ476" s="107">
        <f t="shared" si="455"/>
        <v>4505904.6020833254</v>
      </c>
      <c r="AK476" s="107">
        <f t="shared" si="456"/>
        <v>4477020.5966666583</v>
      </c>
      <c r="AL476" s="107">
        <f t="shared" si="457"/>
        <v>4448136.5912499912</v>
      </c>
      <c r="AM476" s="107">
        <f t="shared" si="458"/>
        <v>4419252.5858333241</v>
      </c>
      <c r="AN476" s="107">
        <f t="shared" si="459"/>
        <v>4390368.580416657</v>
      </c>
      <c r="AO476" s="107">
        <f t="shared" si="460"/>
        <v>4361484.5749999899</v>
      </c>
      <c r="AP476" s="107">
        <f t="shared" si="490"/>
        <v>99765.349364999827</v>
      </c>
      <c r="AQ476" s="126"/>
      <c r="AR476" s="107">
        <f t="shared" si="461"/>
        <v>346608.065</v>
      </c>
      <c r="AS476" s="107">
        <f t="shared" si="477"/>
        <v>4332600.5695833229</v>
      </c>
      <c r="AT476" s="107">
        <f t="shared" si="478"/>
        <v>4303716.5641666558</v>
      </c>
      <c r="AU476" s="107">
        <f t="shared" si="479"/>
        <v>4274832.5587499887</v>
      </c>
      <c r="AV476" s="107">
        <f t="shared" si="480"/>
        <v>4245948.5533333216</v>
      </c>
      <c r="AW476" s="107">
        <f t="shared" si="481"/>
        <v>4217064.5479166545</v>
      </c>
      <c r="AX476" s="107">
        <f t="shared" si="482"/>
        <v>4188180.5424999879</v>
      </c>
      <c r="AY476" s="107">
        <f t="shared" si="483"/>
        <v>4159296.5370833213</v>
      </c>
      <c r="AZ476" s="107">
        <f t="shared" si="484"/>
        <v>4130412.5316666546</v>
      </c>
      <c r="BA476" s="107">
        <f t="shared" si="485"/>
        <v>4101528.526249988</v>
      </c>
      <c r="BB476" s="107">
        <f t="shared" si="486"/>
        <v>4072644.5208333214</v>
      </c>
      <c r="BC476" s="107">
        <f t="shared" si="487"/>
        <v>4043760.5154166548</v>
      </c>
      <c r="BD476" s="107">
        <f t="shared" si="488"/>
        <v>4014876.5099999881</v>
      </c>
      <c r="BE476" s="107">
        <f t="shared" si="491"/>
        <v>92139.971934999732</v>
      </c>
      <c r="BF476" s="127"/>
      <c r="BG476" s="127"/>
      <c r="BH476" s="127"/>
      <c r="BI476" s="127"/>
      <c r="BJ476" s="127"/>
      <c r="BK476" s="127"/>
      <c r="BL476" s="127"/>
      <c r="BM476" s="127"/>
      <c r="BN476" s="127"/>
      <c r="BO476" s="127"/>
      <c r="BP476" s="127"/>
      <c r="BQ476" s="127"/>
      <c r="BR476" s="127"/>
      <c r="BS476" s="127"/>
      <c r="BT476" s="127"/>
      <c r="BU476" s="127"/>
      <c r="BV476" s="127"/>
      <c r="BW476" s="127"/>
    </row>
    <row r="477" spans="1:75" ht="33.75" hidden="1" x14ac:dyDescent="0.2">
      <c r="A477" s="123" t="str">
        <f>'[2]2021 УГРЦТ'!A479</f>
        <v>Трансформаторная подстанция, адрес: Ненецкий АО, Нарьян-Мар г, Юбилейная ул, дом №11</v>
      </c>
      <c r="B477" s="124" t="str">
        <f>'[2]2021 УГРЦТ'!B479</f>
        <v>000001751</v>
      </c>
      <c r="C477" s="124" t="str">
        <f>VLOOKUP(A:A,'2023-2027'!A:L,1,+FALSE)</f>
        <v>Трансформаторная подстанция, адрес: Ненецкий АО, Нарьян-Мар г, Юбилейная ул, дом №11</v>
      </c>
      <c r="D477" s="124" t="str">
        <f>'[2]2021 УГРЦТ'!C479</f>
        <v>ПЕРЕДАЧА</v>
      </c>
      <c r="E477" s="124" t="str">
        <f>'[2]2021 УГРЦТ'!D479</f>
        <v>Здания</v>
      </c>
      <c r="F477" s="124" t="str">
        <f>'[2]2021 УГРЦТ'!E479</f>
        <v>07.11.2018</v>
      </c>
      <c r="G477" s="124" t="str">
        <f>'[2]2021 УГРЦТ'!F479</f>
        <v>Цех электрических сетей</v>
      </c>
      <c r="H477" s="124">
        <f>'[2]2021 УГРЦТ'!AC479</f>
        <v>181</v>
      </c>
      <c r="I477" s="107">
        <f>'[2]2021 УГРЦТ'!X479</f>
        <v>42621.63</v>
      </c>
      <c r="J477" s="107">
        <f>'[2]2021 УГРЦТ'!Y479</f>
        <v>8712.7434254143645</v>
      </c>
      <c r="K477" s="107">
        <f>'[2]2021 УГРЦТ'!Z479</f>
        <v>33908.886574585631</v>
      </c>
      <c r="L477" s="125" t="e">
        <f>SUMIF([2]облаг!$B$2:$B$259,B477,[2]облаг!$D$2:$D$259)</f>
        <v>#VALUE!</v>
      </c>
      <c r="M477" s="107">
        <f t="shared" si="473"/>
        <v>235.47861878453037</v>
      </c>
      <c r="N477" s="107">
        <f t="shared" si="474"/>
        <v>2825.7434254143645</v>
      </c>
      <c r="O477" s="107">
        <f t="shared" si="475"/>
        <v>33673.4079558011</v>
      </c>
      <c r="P477" s="107">
        <f t="shared" si="476"/>
        <v>33437.929337016569</v>
      </c>
      <c r="Q477" s="107">
        <f t="shared" si="492"/>
        <v>33202.450718232038</v>
      </c>
      <c r="R477" s="107">
        <f t="shared" si="493"/>
        <v>32966.972099447506</v>
      </c>
      <c r="S477" s="107">
        <f t="shared" ref="S477:S507" si="494">R477-M477</f>
        <v>32731.493480662975</v>
      </c>
      <c r="T477" s="107">
        <f t="shared" ref="T477:T507" si="495">S477-M477</f>
        <v>32496.014861878444</v>
      </c>
      <c r="U477" s="107">
        <f t="shared" ref="U477:U507" si="496">T477-M477</f>
        <v>32260.536243093913</v>
      </c>
      <c r="V477" s="107">
        <f t="shared" ref="V477:V507" si="497">U477-M477</f>
        <v>32025.057624309382</v>
      </c>
      <c r="W477" s="107">
        <f t="shared" ref="W477:W507" si="498">V477-M477</f>
        <v>31789.579005524851</v>
      </c>
      <c r="X477" s="107">
        <f t="shared" ref="X477:X507" si="499">W477-M477</f>
        <v>31554.10038674032</v>
      </c>
      <c r="Y477" s="107">
        <f t="shared" ref="Y477:Y507" si="500">X477-M477</f>
        <v>31318.621767955789</v>
      </c>
      <c r="Z477" s="107">
        <f t="shared" ref="Z477:Z507" si="501">Y477-M477</f>
        <v>31083.143149171257</v>
      </c>
      <c r="AA477" s="107">
        <f t="shared" si="489"/>
        <v>714.91232696132579</v>
      </c>
      <c r="AB477" s="107"/>
      <c r="AC477" s="107">
        <f t="shared" ref="AC477:AC534" si="502">M477*12</f>
        <v>2825.7434254143645</v>
      </c>
      <c r="AD477" s="107">
        <f t="shared" ref="AD477:AD534" si="503">Z477-M477</f>
        <v>30847.664530386726</v>
      </c>
      <c r="AE477" s="107">
        <f t="shared" ref="AE477:AE534" si="504">AD477-M477</f>
        <v>30612.185911602195</v>
      </c>
      <c r="AF477" s="107">
        <f t="shared" ref="AF477:AF534" si="505">AE477-M477</f>
        <v>30376.707292817664</v>
      </c>
      <c r="AG477" s="107">
        <f t="shared" ref="AG477:AG534" si="506">AF477-M477</f>
        <v>30141.228674033133</v>
      </c>
      <c r="AH477" s="107">
        <f t="shared" ref="AH477:AH534" si="507">AG477-M477</f>
        <v>29905.750055248602</v>
      </c>
      <c r="AI477" s="107">
        <f t="shared" ref="AI477:AI534" si="508">AH477-M477</f>
        <v>29670.271436464071</v>
      </c>
      <c r="AJ477" s="107">
        <f t="shared" ref="AJ477:AJ534" si="509">AI477-M477</f>
        <v>29434.792817679539</v>
      </c>
      <c r="AK477" s="107">
        <f t="shared" ref="AK477:AK534" si="510">AJ477-M477</f>
        <v>29199.314198895008</v>
      </c>
      <c r="AL477" s="107">
        <f t="shared" ref="AL477:AL534" si="511">AK477-M477</f>
        <v>28963.835580110477</v>
      </c>
      <c r="AM477" s="107">
        <f t="shared" ref="AM477:AM534" si="512">AL477-M477</f>
        <v>28728.356961325946</v>
      </c>
      <c r="AN477" s="107">
        <f t="shared" ref="AN477:AN534" si="513">AM477-M477</f>
        <v>28492.878342541415</v>
      </c>
      <c r="AO477" s="107">
        <f t="shared" ref="AO477:AO534" si="514">AN477-M477</f>
        <v>28257.399723756884</v>
      </c>
      <c r="AP477" s="107">
        <f t="shared" si="490"/>
        <v>652.74597160220958</v>
      </c>
      <c r="AQ477" s="126"/>
      <c r="AR477" s="107">
        <f t="shared" si="461"/>
        <v>2825.7434254143645</v>
      </c>
      <c r="AS477" s="107">
        <f t="shared" si="477"/>
        <v>28021.921104972353</v>
      </c>
      <c r="AT477" s="107">
        <f t="shared" si="478"/>
        <v>27786.442486187821</v>
      </c>
      <c r="AU477" s="107">
        <f t="shared" si="479"/>
        <v>27550.96386740329</v>
      </c>
      <c r="AV477" s="107">
        <f t="shared" si="480"/>
        <v>27315.485248618759</v>
      </c>
      <c r="AW477" s="107">
        <f t="shared" si="481"/>
        <v>27080.006629834228</v>
      </c>
      <c r="AX477" s="107">
        <f t="shared" si="482"/>
        <v>26844.528011049697</v>
      </c>
      <c r="AY477" s="107">
        <f t="shared" si="483"/>
        <v>26609.049392265166</v>
      </c>
      <c r="AZ477" s="107">
        <f t="shared" si="484"/>
        <v>26373.570773480635</v>
      </c>
      <c r="BA477" s="107">
        <f t="shared" si="485"/>
        <v>26138.092154696104</v>
      </c>
      <c r="BB477" s="107">
        <f t="shared" si="486"/>
        <v>25902.613535911572</v>
      </c>
      <c r="BC477" s="107">
        <f t="shared" si="487"/>
        <v>25667.134917127041</v>
      </c>
      <c r="BD477" s="107">
        <f t="shared" si="488"/>
        <v>25431.65629834251</v>
      </c>
      <c r="BE477" s="107">
        <f t="shared" si="491"/>
        <v>590.57961624309337</v>
      </c>
      <c r="BF477" s="127"/>
      <c r="BG477" s="127"/>
      <c r="BH477" s="127"/>
      <c r="BI477" s="127"/>
      <c r="BJ477" s="127"/>
      <c r="BK477" s="127"/>
      <c r="BL477" s="127"/>
      <c r="BM477" s="127"/>
      <c r="BN477" s="127"/>
      <c r="BO477" s="127"/>
      <c r="BP477" s="127"/>
      <c r="BQ477" s="127"/>
      <c r="BR477" s="127"/>
      <c r="BS477" s="127"/>
      <c r="BT477" s="127"/>
      <c r="BU477" s="127"/>
      <c r="BV477" s="127"/>
      <c r="BW477" s="127"/>
    </row>
    <row r="478" spans="1:75" ht="22.5" hidden="1" x14ac:dyDescent="0.2">
      <c r="A478" s="123" t="str">
        <f>'[2]2021 УГРЦТ'!A480</f>
        <v>ТрансформаторТМ-160 КВА 6/0,4 №16733 2007г</v>
      </c>
      <c r="B478" s="124" t="str">
        <f>'[2]2021 УГРЦТ'!B480</f>
        <v>00001041</v>
      </c>
      <c r="C478" s="124" t="str">
        <f>VLOOKUP(A:A,'2023-2027'!A:L,1,+FALSE)</f>
        <v>ТрансформаторТМ-160 КВА 6/0,4 №16733 2007г</v>
      </c>
      <c r="D478" s="124" t="str">
        <f>'[2]2021 УГРЦТ'!C480</f>
        <v>ПЕРЕДАЧА</v>
      </c>
      <c r="E478" s="124" t="str">
        <f>'[2]2021 УГРЦТ'!D480</f>
        <v>Машины и оборудование (кроме офисного)</v>
      </c>
      <c r="F478" s="124" t="str">
        <f>'[2]2021 УГРЦТ'!E480</f>
        <v>31.07.2007</v>
      </c>
      <c r="G478" s="124" t="str">
        <f>'[2]2021 УГРЦТ'!F480</f>
        <v>Цех электрических сетей</v>
      </c>
      <c r="H478" s="124">
        <f>'[2]2021 УГРЦТ'!AC480</f>
        <v>240</v>
      </c>
      <c r="I478" s="107">
        <f>'[2]2021 УГРЦТ'!X480</f>
        <v>133941.79</v>
      </c>
      <c r="J478" s="107">
        <f>'[2]2021 УГРЦТ'!Y480</f>
        <v>96549.579500000007</v>
      </c>
      <c r="K478" s="107">
        <f>'[2]2021 УГРЦТ'!Z480</f>
        <v>37392.210500000001</v>
      </c>
      <c r="L478" s="125" t="e">
        <f>SUMIF([2]облаг!$B$2:$B$259,B478,[2]облаг!$D$2:$D$259)</f>
        <v>#VALUE!</v>
      </c>
      <c r="M478" s="107">
        <f t="shared" si="473"/>
        <v>558.09079166666675</v>
      </c>
      <c r="N478" s="107">
        <f t="shared" si="474"/>
        <v>6697.089500000001</v>
      </c>
      <c r="O478" s="107">
        <f t="shared" si="475"/>
        <v>36834.119708333332</v>
      </c>
      <c r="P478" s="107">
        <f t="shared" si="476"/>
        <v>36276.028916666663</v>
      </c>
      <c r="Q478" s="107">
        <f t="shared" si="492"/>
        <v>35717.938124999993</v>
      </c>
      <c r="R478" s="107">
        <f t="shared" si="493"/>
        <v>35159.847333333324</v>
      </c>
      <c r="S478" s="107">
        <f t="shared" si="494"/>
        <v>34601.756541666655</v>
      </c>
      <c r="T478" s="107">
        <f t="shared" si="495"/>
        <v>34043.665749999986</v>
      </c>
      <c r="U478" s="107">
        <f t="shared" si="496"/>
        <v>33485.574958333316</v>
      </c>
      <c r="V478" s="107">
        <f t="shared" si="497"/>
        <v>32927.484166666647</v>
      </c>
      <c r="W478" s="107">
        <f t="shared" si="498"/>
        <v>32369.393374999981</v>
      </c>
      <c r="X478" s="107">
        <f t="shared" si="499"/>
        <v>31811.302583333316</v>
      </c>
      <c r="Y478" s="107">
        <f t="shared" si="500"/>
        <v>31253.21179166665</v>
      </c>
      <c r="Z478" s="107">
        <f t="shared" si="501"/>
        <v>30695.120999999985</v>
      </c>
      <c r="AA478" s="107"/>
      <c r="AB478" s="107"/>
      <c r="AC478" s="107">
        <f t="shared" si="502"/>
        <v>6697.089500000001</v>
      </c>
      <c r="AD478" s="107">
        <f t="shared" si="503"/>
        <v>30137.030208333319</v>
      </c>
      <c r="AE478" s="107">
        <f t="shared" si="504"/>
        <v>29578.939416666653</v>
      </c>
      <c r="AF478" s="107">
        <f t="shared" si="505"/>
        <v>29020.848624999988</v>
      </c>
      <c r="AG478" s="107">
        <f t="shared" si="506"/>
        <v>28462.757833333322</v>
      </c>
      <c r="AH478" s="107">
        <f t="shared" si="507"/>
        <v>27904.667041666657</v>
      </c>
      <c r="AI478" s="107">
        <f t="shared" si="508"/>
        <v>27346.576249999991</v>
      </c>
      <c r="AJ478" s="107">
        <f t="shared" si="509"/>
        <v>26788.485458333325</v>
      </c>
      <c r="AK478" s="107">
        <f t="shared" si="510"/>
        <v>26230.39466666666</v>
      </c>
      <c r="AL478" s="107">
        <f t="shared" si="511"/>
        <v>25672.303874999994</v>
      </c>
      <c r="AM478" s="107">
        <f t="shared" si="512"/>
        <v>25114.213083333329</v>
      </c>
      <c r="AN478" s="107">
        <f t="shared" si="513"/>
        <v>24556.122291666663</v>
      </c>
      <c r="AO478" s="107">
        <f t="shared" si="514"/>
        <v>23998.031499999997</v>
      </c>
      <c r="AP478" s="107"/>
      <c r="AQ478" s="126"/>
      <c r="AR478" s="107">
        <f t="shared" ref="AR478:AR510" si="515">M478*12</f>
        <v>6697.089500000001</v>
      </c>
      <c r="AS478" s="107">
        <f t="shared" si="477"/>
        <v>23439.940708333332</v>
      </c>
      <c r="AT478" s="107">
        <f t="shared" si="478"/>
        <v>22881.849916666666</v>
      </c>
      <c r="AU478" s="107">
        <f t="shared" si="479"/>
        <v>22323.759125</v>
      </c>
      <c r="AV478" s="107">
        <f t="shared" si="480"/>
        <v>21765.668333333335</v>
      </c>
      <c r="AW478" s="107">
        <f t="shared" si="481"/>
        <v>21207.577541666669</v>
      </c>
      <c r="AX478" s="107">
        <f t="shared" si="482"/>
        <v>20649.486750000004</v>
      </c>
      <c r="AY478" s="107">
        <f t="shared" si="483"/>
        <v>20091.395958333338</v>
      </c>
      <c r="AZ478" s="107">
        <f t="shared" si="484"/>
        <v>19533.305166666672</v>
      </c>
      <c r="BA478" s="107">
        <f t="shared" si="485"/>
        <v>18975.214375000007</v>
      </c>
      <c r="BB478" s="107">
        <f t="shared" si="486"/>
        <v>18417.123583333341</v>
      </c>
      <c r="BC478" s="107">
        <f t="shared" si="487"/>
        <v>17859.032791666676</v>
      </c>
      <c r="BD478" s="107">
        <f t="shared" si="488"/>
        <v>17300.94200000001</v>
      </c>
      <c r="BE478" s="107"/>
      <c r="BF478" s="127"/>
      <c r="BG478" s="127"/>
      <c r="BH478" s="127"/>
      <c r="BI478" s="127"/>
      <c r="BJ478" s="127"/>
      <c r="BK478" s="127"/>
      <c r="BL478" s="127"/>
      <c r="BM478" s="127"/>
      <c r="BN478" s="127"/>
      <c r="BO478" s="127"/>
      <c r="BP478" s="127"/>
      <c r="BQ478" s="127"/>
      <c r="BR478" s="127"/>
      <c r="BS478" s="127"/>
      <c r="BT478" s="127"/>
      <c r="BU478" s="127"/>
      <c r="BV478" s="127"/>
      <c r="BW478" s="127"/>
    </row>
    <row r="479" spans="1:75" ht="22.5" hidden="1" x14ac:dyDescent="0.2">
      <c r="A479" s="123" t="str">
        <f>'[2]2021 УГРЦТ'!A481</f>
        <v>ТрансформаторТМ-400 КВА 6/,04 №8386 2007г</v>
      </c>
      <c r="B479" s="124" t="str">
        <f>'[2]2021 УГРЦТ'!B481</f>
        <v>00001046</v>
      </c>
      <c r="C479" s="124" t="str">
        <f>VLOOKUP(A:A,'2023-2027'!A:L,1,+FALSE)</f>
        <v>ТрансформаторТМ-400 КВА 6/,04 №8386 2007г</v>
      </c>
      <c r="D479" s="124" t="str">
        <f>'[2]2021 УГРЦТ'!C481</f>
        <v>ПЕРЕДАЧА</v>
      </c>
      <c r="E479" s="124" t="str">
        <f>'[2]2021 УГРЦТ'!D481</f>
        <v>Машины и оборудование (кроме офисного)</v>
      </c>
      <c r="F479" s="124" t="str">
        <f>'[2]2021 УГРЦТ'!E481</f>
        <v>31.07.2007</v>
      </c>
      <c r="G479" s="124" t="str">
        <f>'[2]2021 УГРЦТ'!F481</f>
        <v>Цех электрических сетей</v>
      </c>
      <c r="H479" s="124">
        <f>'[2]2021 УГРЦТ'!AC481</f>
        <v>240</v>
      </c>
      <c r="I479" s="107">
        <f>'[2]2021 УГРЦТ'!X481</f>
        <v>182634.77</v>
      </c>
      <c r="J479" s="107">
        <f>'[2]2021 УГРЦТ'!Y481</f>
        <v>131649.51850000001</v>
      </c>
      <c r="K479" s="107">
        <f>'[2]2021 УГРЦТ'!Z481</f>
        <v>50985.251499999984</v>
      </c>
      <c r="L479" s="125" t="e">
        <f>SUMIF([2]облаг!$B$2:$B$259,B479,[2]облаг!$D$2:$D$259)</f>
        <v>#VALUE!</v>
      </c>
      <c r="M479" s="107">
        <f t="shared" si="473"/>
        <v>760.97820833333333</v>
      </c>
      <c r="N479" s="107">
        <f t="shared" si="474"/>
        <v>9131.7384999999995</v>
      </c>
      <c r="O479" s="107">
        <f t="shared" si="475"/>
        <v>50224.27329166665</v>
      </c>
      <c r="P479" s="107">
        <f t="shared" si="476"/>
        <v>49463.295083333316</v>
      </c>
      <c r="Q479" s="107">
        <f t="shared" si="492"/>
        <v>48702.316874999982</v>
      </c>
      <c r="R479" s="107">
        <f t="shared" si="493"/>
        <v>47941.338666666648</v>
      </c>
      <c r="S479" s="107">
        <f t="shared" si="494"/>
        <v>47180.360458333314</v>
      </c>
      <c r="T479" s="107">
        <f t="shared" si="495"/>
        <v>46419.382249999981</v>
      </c>
      <c r="U479" s="107">
        <f t="shared" si="496"/>
        <v>45658.404041666647</v>
      </c>
      <c r="V479" s="107">
        <f t="shared" si="497"/>
        <v>44897.425833333313</v>
      </c>
      <c r="W479" s="107">
        <f t="shared" si="498"/>
        <v>44136.447624999979</v>
      </c>
      <c r="X479" s="107">
        <f t="shared" si="499"/>
        <v>43375.469416666645</v>
      </c>
      <c r="Y479" s="107">
        <f t="shared" si="500"/>
        <v>42614.491208333311</v>
      </c>
      <c r="Z479" s="107">
        <f t="shared" si="501"/>
        <v>41853.512999999977</v>
      </c>
      <c r="AA479" s="107"/>
      <c r="AB479" s="107"/>
      <c r="AC479" s="107">
        <f t="shared" si="502"/>
        <v>9131.7384999999995</v>
      </c>
      <c r="AD479" s="107">
        <f t="shared" si="503"/>
        <v>41092.534791666643</v>
      </c>
      <c r="AE479" s="107">
        <f t="shared" si="504"/>
        <v>40331.556583333309</v>
      </c>
      <c r="AF479" s="107">
        <f t="shared" si="505"/>
        <v>39570.578374999975</v>
      </c>
      <c r="AG479" s="107">
        <f t="shared" si="506"/>
        <v>38809.600166666642</v>
      </c>
      <c r="AH479" s="107">
        <f t="shared" si="507"/>
        <v>38048.621958333308</v>
      </c>
      <c r="AI479" s="107">
        <f t="shared" si="508"/>
        <v>37287.643749999974</v>
      </c>
      <c r="AJ479" s="107">
        <f t="shared" si="509"/>
        <v>36526.66554166664</v>
      </c>
      <c r="AK479" s="107">
        <f t="shared" si="510"/>
        <v>35765.687333333306</v>
      </c>
      <c r="AL479" s="107">
        <f t="shared" si="511"/>
        <v>35004.709124999972</v>
      </c>
      <c r="AM479" s="107">
        <f t="shared" si="512"/>
        <v>34243.730916666638</v>
      </c>
      <c r="AN479" s="107">
        <f t="shared" si="513"/>
        <v>33482.752708333304</v>
      </c>
      <c r="AO479" s="107">
        <f t="shared" si="514"/>
        <v>32721.77449999997</v>
      </c>
      <c r="AP479" s="107"/>
      <c r="AQ479" s="126"/>
      <c r="AR479" s="107">
        <f t="shared" si="515"/>
        <v>9131.7384999999995</v>
      </c>
      <c r="AS479" s="107">
        <f t="shared" si="477"/>
        <v>31960.796291666637</v>
      </c>
      <c r="AT479" s="107">
        <f t="shared" si="478"/>
        <v>31199.818083333303</v>
      </c>
      <c r="AU479" s="107">
        <f t="shared" si="479"/>
        <v>30438.839874999969</v>
      </c>
      <c r="AV479" s="107">
        <f t="shared" si="480"/>
        <v>29677.861666666635</v>
      </c>
      <c r="AW479" s="107">
        <f t="shared" si="481"/>
        <v>28916.883458333301</v>
      </c>
      <c r="AX479" s="107">
        <f t="shared" si="482"/>
        <v>28155.905249999967</v>
      </c>
      <c r="AY479" s="107">
        <f t="shared" si="483"/>
        <v>27394.927041666633</v>
      </c>
      <c r="AZ479" s="107">
        <f t="shared" si="484"/>
        <v>26633.948833333299</v>
      </c>
      <c r="BA479" s="107">
        <f t="shared" si="485"/>
        <v>25872.970624999965</v>
      </c>
      <c r="BB479" s="107">
        <f t="shared" si="486"/>
        <v>25111.992416666631</v>
      </c>
      <c r="BC479" s="107">
        <f t="shared" si="487"/>
        <v>24351.014208333298</v>
      </c>
      <c r="BD479" s="107">
        <f t="shared" si="488"/>
        <v>23590.035999999964</v>
      </c>
      <c r="BE479" s="107"/>
      <c r="BF479" s="127"/>
      <c r="BG479" s="127"/>
      <c r="BH479" s="127"/>
      <c r="BI479" s="127"/>
      <c r="BJ479" s="127"/>
      <c r="BK479" s="127"/>
      <c r="BL479" s="127"/>
      <c r="BM479" s="127"/>
      <c r="BN479" s="127"/>
      <c r="BO479" s="127"/>
      <c r="BP479" s="127"/>
      <c r="BQ479" s="127"/>
      <c r="BR479" s="127"/>
      <c r="BS479" s="127"/>
      <c r="BT479" s="127"/>
      <c r="BU479" s="127"/>
      <c r="BV479" s="127"/>
      <c r="BW479" s="127"/>
    </row>
    <row r="480" spans="1:75" ht="22.5" hidden="1" x14ac:dyDescent="0.2">
      <c r="A480" s="123" t="str">
        <f>'[2]2021 УГРЦТ'!A482</f>
        <v>Трансф-р масляный ТМГ 250/6/0,4У/Ун-0 зав.№1695586</v>
      </c>
      <c r="B480" s="124" t="str">
        <f>'[2]2021 УГРЦТ'!B482</f>
        <v>00001365</v>
      </c>
      <c r="C480" s="124" t="str">
        <f>VLOOKUP(A:A,'2023-2027'!A:L,1,+FALSE)</f>
        <v>Трансф-р масляный ТМГ 250/6/0,4У/Ун-0 зав.№1695586</v>
      </c>
      <c r="D480" s="124" t="str">
        <f>'[2]2021 УГРЦТ'!C482</f>
        <v>ПЕРЕДАЧА</v>
      </c>
      <c r="E480" s="124" t="str">
        <f>'[2]2021 УГРЦТ'!D482</f>
        <v>Машины и оборудование (кроме офисного)</v>
      </c>
      <c r="F480" s="124" t="str">
        <f>'[2]2021 УГРЦТ'!E482</f>
        <v>06.09.2011</v>
      </c>
      <c r="G480" s="124" t="str">
        <f>'[2]2021 УГРЦТ'!F482</f>
        <v>Цех электрических сетей</v>
      </c>
      <c r="H480" s="124">
        <f>'[2]2021 УГРЦТ'!AC482</f>
        <v>240</v>
      </c>
      <c r="I480" s="107">
        <f>'[2]2021 УГРЦТ'!X482</f>
        <v>128403.61</v>
      </c>
      <c r="J480" s="107">
        <f>'[2]2021 УГРЦТ'!Y482</f>
        <v>65807.400500000003</v>
      </c>
      <c r="K480" s="107">
        <f>'[2]2021 УГРЦТ'!Z482</f>
        <v>62596.209499999997</v>
      </c>
      <c r="L480" s="125" t="e">
        <f>SUMIF([2]облаг!$B$2:$B$259,B480,[2]облаг!$D$2:$D$259)</f>
        <v>#VALUE!</v>
      </c>
      <c r="M480" s="107">
        <f t="shared" si="473"/>
        <v>535.01504166666666</v>
      </c>
      <c r="N480" s="107">
        <f t="shared" si="474"/>
        <v>6420.1805000000004</v>
      </c>
      <c r="O480" s="107">
        <f t="shared" si="475"/>
        <v>62061.194458333332</v>
      </c>
      <c r="P480" s="107">
        <f t="shared" si="476"/>
        <v>61526.179416666666</v>
      </c>
      <c r="Q480" s="107">
        <f t="shared" si="492"/>
        <v>60991.164375</v>
      </c>
      <c r="R480" s="107">
        <f t="shared" si="493"/>
        <v>60456.149333333335</v>
      </c>
      <c r="S480" s="107">
        <f t="shared" si="494"/>
        <v>59921.134291666669</v>
      </c>
      <c r="T480" s="107">
        <f t="shared" si="495"/>
        <v>59386.119250000003</v>
      </c>
      <c r="U480" s="107">
        <f t="shared" si="496"/>
        <v>58851.104208333338</v>
      </c>
      <c r="V480" s="107">
        <f t="shared" si="497"/>
        <v>58316.089166666672</v>
      </c>
      <c r="W480" s="107">
        <f t="shared" si="498"/>
        <v>57781.074125000006</v>
      </c>
      <c r="X480" s="107">
        <f t="shared" si="499"/>
        <v>57246.059083333341</v>
      </c>
      <c r="Y480" s="107">
        <f t="shared" si="500"/>
        <v>56711.044041666675</v>
      </c>
      <c r="Z480" s="107">
        <f t="shared" si="501"/>
        <v>56176.02900000001</v>
      </c>
      <c r="AA480" s="107"/>
      <c r="AB480" s="107"/>
      <c r="AC480" s="107">
        <f t="shared" si="502"/>
        <v>6420.1805000000004</v>
      </c>
      <c r="AD480" s="107">
        <f t="shared" si="503"/>
        <v>55641.013958333344</v>
      </c>
      <c r="AE480" s="107">
        <f t="shared" si="504"/>
        <v>55105.998916666678</v>
      </c>
      <c r="AF480" s="107">
        <f t="shared" si="505"/>
        <v>54570.983875000013</v>
      </c>
      <c r="AG480" s="107">
        <f t="shared" si="506"/>
        <v>54035.968833333347</v>
      </c>
      <c r="AH480" s="107">
        <f t="shared" si="507"/>
        <v>53500.953791666681</v>
      </c>
      <c r="AI480" s="107">
        <f t="shared" si="508"/>
        <v>52965.938750000016</v>
      </c>
      <c r="AJ480" s="107">
        <f t="shared" si="509"/>
        <v>52430.92370833335</v>
      </c>
      <c r="AK480" s="107">
        <f t="shared" si="510"/>
        <v>51895.908666666684</v>
      </c>
      <c r="AL480" s="107">
        <f t="shared" si="511"/>
        <v>51360.893625000019</v>
      </c>
      <c r="AM480" s="107">
        <f t="shared" si="512"/>
        <v>50825.878583333353</v>
      </c>
      <c r="AN480" s="107">
        <f t="shared" si="513"/>
        <v>50290.863541666688</v>
      </c>
      <c r="AO480" s="107">
        <f t="shared" si="514"/>
        <v>49755.848500000022</v>
      </c>
      <c r="AP480" s="107"/>
      <c r="AQ480" s="126"/>
      <c r="AR480" s="107">
        <f t="shared" si="515"/>
        <v>6420.1805000000004</v>
      </c>
      <c r="AS480" s="107">
        <f t="shared" si="477"/>
        <v>49220.833458333356</v>
      </c>
      <c r="AT480" s="107">
        <f t="shared" si="478"/>
        <v>48685.818416666691</v>
      </c>
      <c r="AU480" s="107">
        <f t="shared" si="479"/>
        <v>48150.803375000025</v>
      </c>
      <c r="AV480" s="107">
        <f t="shared" si="480"/>
        <v>47615.788333333359</v>
      </c>
      <c r="AW480" s="107">
        <f t="shared" si="481"/>
        <v>47080.773291666694</v>
      </c>
      <c r="AX480" s="107">
        <f t="shared" si="482"/>
        <v>46545.758250000028</v>
      </c>
      <c r="AY480" s="107">
        <f t="shared" si="483"/>
        <v>46010.743208333362</v>
      </c>
      <c r="AZ480" s="107">
        <f t="shared" si="484"/>
        <v>45475.728166666697</v>
      </c>
      <c r="BA480" s="107">
        <f t="shared" si="485"/>
        <v>44940.713125000031</v>
      </c>
      <c r="BB480" s="107">
        <f t="shared" si="486"/>
        <v>44405.698083333366</v>
      </c>
      <c r="BC480" s="107">
        <f t="shared" si="487"/>
        <v>43870.6830416667</v>
      </c>
      <c r="BD480" s="107">
        <f t="shared" si="488"/>
        <v>43335.668000000034</v>
      </c>
      <c r="BE480" s="107"/>
      <c r="BF480" s="127"/>
      <c r="BG480" s="127"/>
      <c r="BH480" s="127"/>
      <c r="BI480" s="127"/>
      <c r="BJ480" s="127"/>
      <c r="BK480" s="127"/>
      <c r="BL480" s="127"/>
      <c r="BM480" s="127"/>
      <c r="BN480" s="127"/>
      <c r="BO480" s="127"/>
      <c r="BP480" s="127"/>
      <c r="BQ480" s="127"/>
      <c r="BR480" s="127"/>
      <c r="BS480" s="127"/>
      <c r="BT480" s="127"/>
      <c r="BU480" s="127"/>
      <c r="BV480" s="127"/>
      <c r="BW480" s="127"/>
    </row>
    <row r="481" spans="1:75" ht="22.5" hidden="1" x14ac:dyDescent="0.2">
      <c r="A481" s="123" t="str">
        <f>'[2]2021 УГРЦТ'!A483</f>
        <v>Трансф-р масляный ТМГ 400/6/0,4У/Ун-0 зав.№1290</v>
      </c>
      <c r="B481" s="124" t="str">
        <f>'[2]2021 УГРЦТ'!B483</f>
        <v>00001352</v>
      </c>
      <c r="C481" s="124" t="str">
        <f>VLOOKUP(A:A,'2023-2027'!A:L,1,+FALSE)</f>
        <v>Трансф-р масляный ТМГ 400/6/0,4У/Ун-0 зав.№1290</v>
      </c>
      <c r="D481" s="124" t="str">
        <f>'[2]2021 УГРЦТ'!C483</f>
        <v>ПЕРЕДАЧА</v>
      </c>
      <c r="E481" s="124" t="str">
        <f>'[2]2021 УГРЦТ'!D483</f>
        <v>Машины и оборудование (кроме офисного)</v>
      </c>
      <c r="F481" s="124" t="str">
        <f>'[2]2021 УГРЦТ'!E483</f>
        <v>15.03.2011</v>
      </c>
      <c r="G481" s="124" t="str">
        <f>'[2]2021 УГРЦТ'!F483</f>
        <v>Цех электрических сетей</v>
      </c>
      <c r="H481" s="124">
        <f>'[2]2021 УГРЦТ'!AC483</f>
        <v>240</v>
      </c>
      <c r="I481" s="107">
        <f>'[2]2021 УГРЦТ'!X483</f>
        <v>205002.26</v>
      </c>
      <c r="J481" s="107">
        <f>'[2]2021 УГРЦТ'!Y483</f>
        <v>110189.173</v>
      </c>
      <c r="K481" s="107">
        <f>'[2]2021 УГРЦТ'!Z483</f>
        <v>94813.087000000014</v>
      </c>
      <c r="L481" s="125" t="e">
        <f>SUMIF([2]облаг!$B$2:$B$259,B481,[2]облаг!$D$2:$D$259)</f>
        <v>#VALUE!</v>
      </c>
      <c r="M481" s="107">
        <f t="shared" si="473"/>
        <v>854.17608333333339</v>
      </c>
      <c r="N481" s="107">
        <f t="shared" si="474"/>
        <v>10250.113000000001</v>
      </c>
      <c r="O481" s="107">
        <f t="shared" si="475"/>
        <v>93958.910916666675</v>
      </c>
      <c r="P481" s="107">
        <f t="shared" si="476"/>
        <v>93104.734833333336</v>
      </c>
      <c r="Q481" s="107">
        <f t="shared" si="492"/>
        <v>92250.558749999997</v>
      </c>
      <c r="R481" s="107">
        <f t="shared" si="493"/>
        <v>91396.382666666657</v>
      </c>
      <c r="S481" s="107">
        <f t="shared" si="494"/>
        <v>90542.206583333318</v>
      </c>
      <c r="T481" s="107">
        <f t="shared" si="495"/>
        <v>89688.030499999979</v>
      </c>
      <c r="U481" s="107">
        <f t="shared" si="496"/>
        <v>88833.85441666664</v>
      </c>
      <c r="V481" s="107">
        <f t="shared" si="497"/>
        <v>87979.678333333301</v>
      </c>
      <c r="W481" s="107">
        <f t="shared" si="498"/>
        <v>87125.502249999961</v>
      </c>
      <c r="X481" s="107">
        <f t="shared" si="499"/>
        <v>86271.326166666622</v>
      </c>
      <c r="Y481" s="107">
        <f t="shared" si="500"/>
        <v>85417.150083333283</v>
      </c>
      <c r="Z481" s="107">
        <f t="shared" si="501"/>
        <v>84562.973999999944</v>
      </c>
      <c r="AA481" s="107"/>
      <c r="AB481" s="107"/>
      <c r="AC481" s="107">
        <f t="shared" si="502"/>
        <v>10250.113000000001</v>
      </c>
      <c r="AD481" s="107">
        <f t="shared" si="503"/>
        <v>83708.797916666605</v>
      </c>
      <c r="AE481" s="107">
        <f t="shared" si="504"/>
        <v>82854.621833333265</v>
      </c>
      <c r="AF481" s="107">
        <f t="shared" si="505"/>
        <v>82000.445749999926</v>
      </c>
      <c r="AG481" s="107">
        <f t="shared" si="506"/>
        <v>81146.269666666587</v>
      </c>
      <c r="AH481" s="107">
        <f t="shared" si="507"/>
        <v>80292.093583333248</v>
      </c>
      <c r="AI481" s="107">
        <f t="shared" si="508"/>
        <v>79437.917499999909</v>
      </c>
      <c r="AJ481" s="107">
        <f t="shared" si="509"/>
        <v>78583.741416666569</v>
      </c>
      <c r="AK481" s="107">
        <f t="shared" si="510"/>
        <v>77729.56533333323</v>
      </c>
      <c r="AL481" s="107">
        <f t="shared" si="511"/>
        <v>76875.389249999891</v>
      </c>
      <c r="AM481" s="107">
        <f t="shared" si="512"/>
        <v>76021.213166666552</v>
      </c>
      <c r="AN481" s="107">
        <f t="shared" si="513"/>
        <v>75167.037083333213</v>
      </c>
      <c r="AO481" s="107">
        <f t="shared" si="514"/>
        <v>74312.860999999873</v>
      </c>
      <c r="AP481" s="107"/>
      <c r="AQ481" s="126"/>
      <c r="AR481" s="107">
        <f t="shared" si="515"/>
        <v>10250.113000000001</v>
      </c>
      <c r="AS481" s="107">
        <f t="shared" si="477"/>
        <v>73458.684916666534</v>
      </c>
      <c r="AT481" s="107">
        <f t="shared" si="478"/>
        <v>72604.508833333195</v>
      </c>
      <c r="AU481" s="107">
        <f t="shared" si="479"/>
        <v>71750.332749999856</v>
      </c>
      <c r="AV481" s="107">
        <f t="shared" si="480"/>
        <v>70896.156666666517</v>
      </c>
      <c r="AW481" s="107">
        <f t="shared" si="481"/>
        <v>70041.980583333177</v>
      </c>
      <c r="AX481" s="107">
        <f t="shared" si="482"/>
        <v>69187.804499999838</v>
      </c>
      <c r="AY481" s="107">
        <f t="shared" si="483"/>
        <v>68333.628416666499</v>
      </c>
      <c r="AZ481" s="107">
        <f t="shared" si="484"/>
        <v>67479.45233333316</v>
      </c>
      <c r="BA481" s="107">
        <f t="shared" si="485"/>
        <v>66625.276249999821</v>
      </c>
      <c r="BB481" s="107">
        <f t="shared" si="486"/>
        <v>65771.100166666482</v>
      </c>
      <c r="BC481" s="107">
        <f t="shared" si="487"/>
        <v>64916.92408333315</v>
      </c>
      <c r="BD481" s="107">
        <f t="shared" si="488"/>
        <v>64062.747999999818</v>
      </c>
      <c r="BE481" s="107"/>
      <c r="BF481" s="127"/>
      <c r="BG481" s="127"/>
      <c r="BH481" s="127"/>
      <c r="BI481" s="127"/>
      <c r="BJ481" s="127"/>
      <c r="BK481" s="127"/>
      <c r="BL481" s="127"/>
      <c r="BM481" s="127"/>
      <c r="BN481" s="127"/>
      <c r="BO481" s="127"/>
      <c r="BP481" s="127"/>
      <c r="BQ481" s="127"/>
      <c r="BR481" s="127"/>
      <c r="BS481" s="127"/>
      <c r="BT481" s="127"/>
      <c r="BU481" s="127"/>
      <c r="BV481" s="127"/>
      <c r="BW481" s="127"/>
    </row>
    <row r="482" spans="1:75" ht="22.5" hidden="1" x14ac:dyDescent="0.2">
      <c r="A482" s="123" t="str">
        <f>'[2]2021 УГРЦТ'!A484</f>
        <v>Трансф-р масляный ТМГ 630/6/0,4У/Ун-0 зав. №0756</v>
      </c>
      <c r="B482" s="124" t="str">
        <f>'[2]2021 УГРЦТ'!B484</f>
        <v>00001253</v>
      </c>
      <c r="C482" s="124" t="str">
        <f>VLOOKUP(A:A,'2023-2027'!A:L,1,+FALSE)</f>
        <v>Трансф-р масляный ТМГ 630/6/0,4У/Ун-0 зав. №0756</v>
      </c>
      <c r="D482" s="124" t="str">
        <f>'[2]2021 УГРЦТ'!C484</f>
        <v>ПЕРЕДАЧА</v>
      </c>
      <c r="E482" s="124" t="str">
        <f>'[2]2021 УГРЦТ'!D484</f>
        <v>Машины и оборудование (кроме офисного)</v>
      </c>
      <c r="F482" s="124" t="str">
        <f>'[2]2021 УГРЦТ'!E484</f>
        <v>31.10.2010</v>
      </c>
      <c r="G482" s="124" t="str">
        <f>'[2]2021 УГРЦТ'!F484</f>
        <v>Цех электрических сетей</v>
      </c>
      <c r="H482" s="124">
        <f>'[2]2021 УГРЦТ'!AC484</f>
        <v>240</v>
      </c>
      <c r="I482" s="107">
        <f>'[2]2021 УГРЦТ'!X484</f>
        <v>308792.01</v>
      </c>
      <c r="J482" s="107">
        <f>'[2]2021 УГРЦТ'!Y484</f>
        <v>172408.46049999999</v>
      </c>
      <c r="K482" s="107">
        <f>'[2]2021 УГРЦТ'!Z484</f>
        <v>136383.54950000002</v>
      </c>
      <c r="L482" s="125" t="e">
        <f>SUMIF([2]облаг!$B$2:$B$259,B482,[2]облаг!$D$2:$D$259)</f>
        <v>#VALUE!</v>
      </c>
      <c r="M482" s="107">
        <f t="shared" si="473"/>
        <v>1286.6333750000001</v>
      </c>
      <c r="N482" s="107">
        <f t="shared" si="474"/>
        <v>15439.6005</v>
      </c>
      <c r="O482" s="107">
        <f t="shared" si="475"/>
        <v>135096.91612500002</v>
      </c>
      <c r="P482" s="107">
        <f t="shared" si="476"/>
        <v>133810.28275000001</v>
      </c>
      <c r="Q482" s="107">
        <f t="shared" si="492"/>
        <v>132523.64937500001</v>
      </c>
      <c r="R482" s="107">
        <f t="shared" si="493"/>
        <v>131237.016</v>
      </c>
      <c r="S482" s="107">
        <f t="shared" si="494"/>
        <v>129950.382625</v>
      </c>
      <c r="T482" s="107">
        <f t="shared" si="495"/>
        <v>128663.74924999999</v>
      </c>
      <c r="U482" s="107">
        <f t="shared" si="496"/>
        <v>127377.11587499999</v>
      </c>
      <c r="V482" s="107">
        <f t="shared" si="497"/>
        <v>126090.48249999998</v>
      </c>
      <c r="W482" s="107">
        <f t="shared" si="498"/>
        <v>124803.84912499998</v>
      </c>
      <c r="X482" s="107">
        <f t="shared" si="499"/>
        <v>123517.21574999997</v>
      </c>
      <c r="Y482" s="107">
        <f t="shared" si="500"/>
        <v>122230.58237499997</v>
      </c>
      <c r="Z482" s="107">
        <f t="shared" si="501"/>
        <v>120943.94899999996</v>
      </c>
      <c r="AA482" s="107"/>
      <c r="AB482" s="107"/>
      <c r="AC482" s="107">
        <f t="shared" si="502"/>
        <v>15439.6005</v>
      </c>
      <c r="AD482" s="107">
        <f t="shared" si="503"/>
        <v>119657.31562499996</v>
      </c>
      <c r="AE482" s="107">
        <f t="shared" si="504"/>
        <v>118370.68224999995</v>
      </c>
      <c r="AF482" s="107">
        <f t="shared" si="505"/>
        <v>117084.04887499995</v>
      </c>
      <c r="AG482" s="107">
        <f t="shared" si="506"/>
        <v>115797.41549999994</v>
      </c>
      <c r="AH482" s="107">
        <f t="shared" si="507"/>
        <v>114510.78212499994</v>
      </c>
      <c r="AI482" s="107">
        <f t="shared" si="508"/>
        <v>113224.14874999993</v>
      </c>
      <c r="AJ482" s="107">
        <f t="shared" si="509"/>
        <v>111937.51537499993</v>
      </c>
      <c r="AK482" s="107">
        <f t="shared" si="510"/>
        <v>110650.88199999993</v>
      </c>
      <c r="AL482" s="107">
        <f t="shared" si="511"/>
        <v>109364.24862499992</v>
      </c>
      <c r="AM482" s="107">
        <f t="shared" si="512"/>
        <v>108077.61524999992</v>
      </c>
      <c r="AN482" s="107">
        <f t="shared" si="513"/>
        <v>106790.98187499991</v>
      </c>
      <c r="AO482" s="107">
        <f t="shared" si="514"/>
        <v>105504.34849999991</v>
      </c>
      <c r="AP482" s="107"/>
      <c r="AQ482" s="126"/>
      <c r="AR482" s="107">
        <f t="shared" si="515"/>
        <v>15439.6005</v>
      </c>
      <c r="AS482" s="107">
        <f t="shared" si="477"/>
        <v>104217.7151249999</v>
      </c>
      <c r="AT482" s="107">
        <f t="shared" si="478"/>
        <v>102931.0817499999</v>
      </c>
      <c r="AU482" s="107">
        <f t="shared" si="479"/>
        <v>101644.44837499989</v>
      </c>
      <c r="AV482" s="107">
        <f t="shared" si="480"/>
        <v>100357.81499999989</v>
      </c>
      <c r="AW482" s="107">
        <f t="shared" si="481"/>
        <v>99071.181624999881</v>
      </c>
      <c r="AX482" s="107">
        <f t="shared" si="482"/>
        <v>97784.548249999876</v>
      </c>
      <c r="AY482" s="107">
        <f t="shared" si="483"/>
        <v>96497.914874999871</v>
      </c>
      <c r="AZ482" s="107">
        <f t="shared" si="484"/>
        <v>95211.281499999866</v>
      </c>
      <c r="BA482" s="107">
        <f t="shared" si="485"/>
        <v>93924.648124999861</v>
      </c>
      <c r="BB482" s="107">
        <f t="shared" si="486"/>
        <v>92638.014749999857</v>
      </c>
      <c r="BC482" s="107">
        <f t="shared" si="487"/>
        <v>91351.381374999852</v>
      </c>
      <c r="BD482" s="107">
        <f t="shared" si="488"/>
        <v>90064.747999999847</v>
      </c>
      <c r="BE482" s="107"/>
      <c r="BF482" s="127"/>
      <c r="BG482" s="127"/>
      <c r="BH482" s="127"/>
      <c r="BI482" s="127"/>
      <c r="BJ482" s="127"/>
      <c r="BK482" s="127"/>
      <c r="BL482" s="127"/>
      <c r="BM482" s="127"/>
      <c r="BN482" s="127"/>
      <c r="BO482" s="127"/>
      <c r="BP482" s="127"/>
      <c r="BQ482" s="127"/>
      <c r="BR482" s="127"/>
      <c r="BS482" s="127"/>
      <c r="BT482" s="127"/>
      <c r="BU482" s="127"/>
      <c r="BV482" s="127"/>
      <c r="BW482" s="127"/>
    </row>
    <row r="483" spans="1:75" ht="22.5" hidden="1" x14ac:dyDescent="0.2">
      <c r="A483" s="123" t="str">
        <f>'[2]2021 УГРЦТ'!A485</f>
        <v>Трансф-р масляный ТМГ 630/6/0,4У/Ун-0 зав.№1693879</v>
      </c>
      <c r="B483" s="124" t="str">
        <f>'[2]2021 УГРЦТ'!B485</f>
        <v>00001366</v>
      </c>
      <c r="C483" s="124" t="str">
        <f>VLOOKUP(A:A,'2023-2027'!A:L,1,+FALSE)</f>
        <v>Трансф-р масляный ТМГ 630/6/0,4У/Ун-0 зав.№1693879</v>
      </c>
      <c r="D483" s="124" t="str">
        <f>'[2]2021 УГРЦТ'!C485</f>
        <v>ПЕРЕДАЧА</v>
      </c>
      <c r="E483" s="124" t="str">
        <f>'[2]2021 УГРЦТ'!D485</f>
        <v>Машины и оборудование (кроме офисного)</v>
      </c>
      <c r="F483" s="124" t="str">
        <f>'[2]2021 УГРЦТ'!E485</f>
        <v>06.09.2011</v>
      </c>
      <c r="G483" s="124" t="str">
        <f>'[2]2021 УГРЦТ'!F485</f>
        <v>Цех электрических сетей</v>
      </c>
      <c r="H483" s="124">
        <f>'[2]2021 УГРЦТ'!AC485</f>
        <v>240</v>
      </c>
      <c r="I483" s="107">
        <f>'[2]2021 УГРЦТ'!X485</f>
        <v>244269.2</v>
      </c>
      <c r="J483" s="107">
        <f>'[2]2021 УГРЦТ'!Y485</f>
        <v>125188.15000000001</v>
      </c>
      <c r="K483" s="107">
        <f>'[2]2021 УГРЦТ'!Z485</f>
        <v>119081.05</v>
      </c>
      <c r="L483" s="125" t="e">
        <f>SUMIF([2]облаг!$B$2:$B$259,B483,[2]облаг!$D$2:$D$259)</f>
        <v>#VALUE!</v>
      </c>
      <c r="M483" s="107">
        <f t="shared" si="473"/>
        <v>1017.7883333333334</v>
      </c>
      <c r="N483" s="107">
        <f t="shared" si="474"/>
        <v>12213.460000000001</v>
      </c>
      <c r="O483" s="107">
        <f t="shared" si="475"/>
        <v>118063.26166666667</v>
      </c>
      <c r="P483" s="107">
        <f t="shared" si="476"/>
        <v>117045.47333333334</v>
      </c>
      <c r="Q483" s="107">
        <f t="shared" si="492"/>
        <v>116027.68500000001</v>
      </c>
      <c r="R483" s="107">
        <f t="shared" si="493"/>
        <v>115009.89666666668</v>
      </c>
      <c r="S483" s="107">
        <f t="shared" si="494"/>
        <v>113992.10833333335</v>
      </c>
      <c r="T483" s="107">
        <f t="shared" si="495"/>
        <v>112974.32000000002</v>
      </c>
      <c r="U483" s="107">
        <f t="shared" si="496"/>
        <v>111956.53166666669</v>
      </c>
      <c r="V483" s="107">
        <f t="shared" si="497"/>
        <v>110938.74333333336</v>
      </c>
      <c r="W483" s="107">
        <f t="shared" si="498"/>
        <v>109920.95500000003</v>
      </c>
      <c r="X483" s="107">
        <f t="shared" si="499"/>
        <v>108903.1666666667</v>
      </c>
      <c r="Y483" s="107">
        <f t="shared" si="500"/>
        <v>107885.37833333337</v>
      </c>
      <c r="Z483" s="107">
        <f t="shared" si="501"/>
        <v>106867.59000000004</v>
      </c>
      <c r="AA483" s="107"/>
      <c r="AB483" s="107"/>
      <c r="AC483" s="107">
        <f t="shared" si="502"/>
        <v>12213.460000000001</v>
      </c>
      <c r="AD483" s="107">
        <f t="shared" si="503"/>
        <v>105849.80166666671</v>
      </c>
      <c r="AE483" s="107">
        <f t="shared" si="504"/>
        <v>104832.01333333338</v>
      </c>
      <c r="AF483" s="107">
        <f t="shared" si="505"/>
        <v>103814.22500000005</v>
      </c>
      <c r="AG483" s="107">
        <f t="shared" si="506"/>
        <v>102796.43666666672</v>
      </c>
      <c r="AH483" s="107">
        <f t="shared" si="507"/>
        <v>101778.64833333339</v>
      </c>
      <c r="AI483" s="107">
        <f t="shared" si="508"/>
        <v>100760.86000000006</v>
      </c>
      <c r="AJ483" s="107">
        <f t="shared" si="509"/>
        <v>99743.071666666729</v>
      </c>
      <c r="AK483" s="107">
        <f t="shared" si="510"/>
        <v>98725.283333333398</v>
      </c>
      <c r="AL483" s="107">
        <f t="shared" si="511"/>
        <v>97707.495000000068</v>
      </c>
      <c r="AM483" s="107">
        <f t="shared" si="512"/>
        <v>96689.706666666738</v>
      </c>
      <c r="AN483" s="107">
        <f t="shared" si="513"/>
        <v>95671.918333333408</v>
      </c>
      <c r="AO483" s="107">
        <f t="shared" si="514"/>
        <v>94654.130000000077</v>
      </c>
      <c r="AP483" s="107"/>
      <c r="AQ483" s="126"/>
      <c r="AR483" s="107">
        <f t="shared" si="515"/>
        <v>12213.460000000001</v>
      </c>
      <c r="AS483" s="107">
        <f t="shared" si="477"/>
        <v>93636.341666666747</v>
      </c>
      <c r="AT483" s="107">
        <f t="shared" si="478"/>
        <v>92618.553333333417</v>
      </c>
      <c r="AU483" s="107">
        <f t="shared" si="479"/>
        <v>91600.765000000087</v>
      </c>
      <c r="AV483" s="107">
        <f t="shared" si="480"/>
        <v>90582.976666666757</v>
      </c>
      <c r="AW483" s="107">
        <f t="shared" si="481"/>
        <v>89565.188333333426</v>
      </c>
      <c r="AX483" s="107">
        <f t="shared" si="482"/>
        <v>88547.400000000096</v>
      </c>
      <c r="AY483" s="107">
        <f t="shared" si="483"/>
        <v>87529.611666666766</v>
      </c>
      <c r="AZ483" s="107">
        <f t="shared" si="484"/>
        <v>86511.823333333436</v>
      </c>
      <c r="BA483" s="107">
        <f t="shared" si="485"/>
        <v>85494.035000000105</v>
      </c>
      <c r="BB483" s="107">
        <f t="shared" si="486"/>
        <v>84476.246666666775</v>
      </c>
      <c r="BC483" s="107">
        <f t="shared" si="487"/>
        <v>83458.458333333445</v>
      </c>
      <c r="BD483" s="107">
        <f t="shared" si="488"/>
        <v>82440.670000000115</v>
      </c>
      <c r="BE483" s="107"/>
      <c r="BF483" s="127"/>
      <c r="BG483" s="127"/>
      <c r="BH483" s="127"/>
      <c r="BI483" s="127"/>
      <c r="BJ483" s="127"/>
      <c r="BK483" s="127"/>
      <c r="BL483" s="127"/>
      <c r="BM483" s="127"/>
      <c r="BN483" s="127"/>
      <c r="BO483" s="127"/>
      <c r="BP483" s="127"/>
      <c r="BQ483" s="127"/>
      <c r="BR483" s="127"/>
      <c r="BS483" s="127"/>
      <c r="BT483" s="127"/>
      <c r="BU483" s="127"/>
      <c r="BV483" s="127"/>
      <c r="BW483" s="127"/>
    </row>
    <row r="484" spans="1:75" ht="33.75" hidden="1" x14ac:dyDescent="0.2">
      <c r="A484" s="123" t="str">
        <f>'[2]2021 УГРЦТ'!A486</f>
        <v>Трехфазная группа трансформаторов напряжения 3х3НОЛП-6 зав.1323217</v>
      </c>
      <c r="B484" s="124" t="str">
        <f>'[2]2021 УГРЦТ'!B486</f>
        <v>000001772</v>
      </c>
      <c r="C484" s="124" t="str">
        <f>VLOOKUP(A:A,'2023-2027'!A:L,1,+FALSE)</f>
        <v>Трехфазная группа трансформаторов напряжения 3х3НОЛП-6 зав.1323217</v>
      </c>
      <c r="D484" s="124" t="str">
        <f>'[2]2021 УГРЦТ'!C486</f>
        <v>ПЕРЕДАЧА</v>
      </c>
      <c r="E484" s="124" t="str">
        <f>'[2]2021 УГРЦТ'!D486</f>
        <v>Машины и оборудование (кроме офисного)</v>
      </c>
      <c r="F484" s="124" t="str">
        <f>'[2]2021 УГРЦТ'!E486</f>
        <v>30.07.2019</v>
      </c>
      <c r="G484" s="124" t="str">
        <f>'[2]2021 УГРЦТ'!F486</f>
        <v>Цех электрических сетей</v>
      </c>
      <c r="H484" s="124">
        <f>'[2]2021 УГРЦТ'!AC486</f>
        <v>60</v>
      </c>
      <c r="I484" s="107">
        <f>'[2]2021 УГРЦТ'!X486</f>
        <v>50891.67</v>
      </c>
      <c r="J484" s="107">
        <f>'[2]2021 УГРЦТ'!Y486</f>
        <v>24597.563999999998</v>
      </c>
      <c r="K484" s="107">
        <f>'[2]2021 УГРЦТ'!Z486</f>
        <v>26294.106</v>
      </c>
      <c r="L484" s="125" t="e">
        <f>SUMIF([2]облаг!$B$2:$B$259,B484,[2]облаг!$D$2:$D$259)</f>
        <v>#VALUE!</v>
      </c>
      <c r="M484" s="107">
        <f t="shared" si="473"/>
        <v>848.19449999999995</v>
      </c>
      <c r="N484" s="107">
        <f t="shared" si="474"/>
        <v>10178.333999999999</v>
      </c>
      <c r="O484" s="107">
        <f t="shared" si="475"/>
        <v>25445.911499999998</v>
      </c>
      <c r="P484" s="107">
        <f t="shared" si="476"/>
        <v>24597.716999999997</v>
      </c>
      <c r="Q484" s="107">
        <f t="shared" si="492"/>
        <v>23749.522499999995</v>
      </c>
      <c r="R484" s="107">
        <f t="shared" si="493"/>
        <v>22901.327999999994</v>
      </c>
      <c r="S484" s="107">
        <f t="shared" si="494"/>
        <v>22053.133499999993</v>
      </c>
      <c r="T484" s="107">
        <f t="shared" si="495"/>
        <v>21204.938999999991</v>
      </c>
      <c r="U484" s="107">
        <f t="shared" si="496"/>
        <v>20356.74449999999</v>
      </c>
      <c r="V484" s="107">
        <f t="shared" si="497"/>
        <v>19508.549999999988</v>
      </c>
      <c r="W484" s="107">
        <f t="shared" si="498"/>
        <v>18660.355499999987</v>
      </c>
      <c r="X484" s="107">
        <f t="shared" si="499"/>
        <v>17812.160999999986</v>
      </c>
      <c r="Y484" s="107">
        <f t="shared" si="500"/>
        <v>16963.966499999984</v>
      </c>
      <c r="Z484" s="107">
        <f t="shared" si="501"/>
        <v>16115.771999999984</v>
      </c>
      <c r="AA484" s="107"/>
      <c r="AB484" s="107"/>
      <c r="AC484" s="107">
        <f t="shared" si="502"/>
        <v>10178.333999999999</v>
      </c>
      <c r="AD484" s="107">
        <f t="shared" si="503"/>
        <v>15267.577499999985</v>
      </c>
      <c r="AE484" s="107">
        <f t="shared" si="504"/>
        <v>14419.382999999985</v>
      </c>
      <c r="AF484" s="107">
        <f t="shared" si="505"/>
        <v>13571.188499999986</v>
      </c>
      <c r="AG484" s="107">
        <f t="shared" si="506"/>
        <v>12722.993999999986</v>
      </c>
      <c r="AH484" s="107">
        <f t="shared" si="507"/>
        <v>11874.799499999986</v>
      </c>
      <c r="AI484" s="107">
        <f t="shared" si="508"/>
        <v>11026.604999999987</v>
      </c>
      <c r="AJ484" s="107">
        <f t="shared" si="509"/>
        <v>10178.410499999987</v>
      </c>
      <c r="AK484" s="107">
        <f t="shared" si="510"/>
        <v>9330.2159999999876</v>
      </c>
      <c r="AL484" s="107">
        <f t="shared" si="511"/>
        <v>8482.021499999988</v>
      </c>
      <c r="AM484" s="107">
        <f t="shared" si="512"/>
        <v>7633.8269999999884</v>
      </c>
      <c r="AN484" s="107">
        <f t="shared" si="513"/>
        <v>6785.6324999999888</v>
      </c>
      <c r="AO484" s="107">
        <f t="shared" si="514"/>
        <v>5937.4379999999892</v>
      </c>
      <c r="AP484" s="107"/>
      <c r="AQ484" s="126"/>
      <c r="AR484" s="107">
        <f>AS484</f>
        <v>5089.2434999999896</v>
      </c>
      <c r="AS484" s="107">
        <f t="shared" si="477"/>
        <v>5089.2434999999896</v>
      </c>
      <c r="AT484" s="107">
        <f t="shared" si="478"/>
        <v>4241.04899999999</v>
      </c>
      <c r="AU484" s="107">
        <f t="shared" si="479"/>
        <v>3392.8544999999899</v>
      </c>
      <c r="AV484" s="107">
        <f t="shared" si="480"/>
        <v>2544.6599999999899</v>
      </c>
      <c r="AW484" s="107">
        <f t="shared" si="481"/>
        <v>1696.4654999999898</v>
      </c>
      <c r="AX484" s="107">
        <f t="shared" si="482"/>
        <v>848.27099999998984</v>
      </c>
      <c r="AY484" s="107">
        <f t="shared" si="483"/>
        <v>7.6499999989891876E-2</v>
      </c>
      <c r="AZ484" s="107">
        <v>0</v>
      </c>
      <c r="BA484" s="107">
        <v>0</v>
      </c>
      <c r="BB484" s="107">
        <v>0</v>
      </c>
      <c r="BC484" s="107">
        <v>0</v>
      </c>
      <c r="BD484" s="107">
        <v>0</v>
      </c>
      <c r="BE484" s="107"/>
      <c r="BI484" s="127"/>
    </row>
    <row r="485" spans="1:75" ht="33.75" hidden="1" x14ac:dyDescent="0.2">
      <c r="A485" s="123" t="str">
        <f>'[2]2021 УГРЦТ'!A487</f>
        <v>Трехфазная группа трансформаторов напряжения 3х3НОЛП-6 зав.1323218</v>
      </c>
      <c r="B485" s="124" t="str">
        <f>'[2]2021 УГРЦТ'!B487</f>
        <v>000001773</v>
      </c>
      <c r="C485" s="124" t="str">
        <f>VLOOKUP(A:A,'2023-2027'!A:L,1,+FALSE)</f>
        <v>Трехфазная группа трансформаторов напряжения 3х3НОЛП-6 зав.1323218</v>
      </c>
      <c r="D485" s="124" t="str">
        <f>'[2]2021 УГРЦТ'!C487</f>
        <v>ПЕРЕДАЧА</v>
      </c>
      <c r="E485" s="124" t="str">
        <f>'[2]2021 УГРЦТ'!D487</f>
        <v>Машины и оборудование (кроме офисного)</v>
      </c>
      <c r="F485" s="124" t="str">
        <f>'[2]2021 УГРЦТ'!E487</f>
        <v>30.07.2019</v>
      </c>
      <c r="G485" s="124" t="str">
        <f>'[2]2021 УГРЦТ'!F487</f>
        <v>Цех электрических сетей</v>
      </c>
      <c r="H485" s="124">
        <f>'[2]2021 УГРЦТ'!AC487</f>
        <v>60</v>
      </c>
      <c r="I485" s="107">
        <f>'[2]2021 УГРЦТ'!X487</f>
        <v>50891.67</v>
      </c>
      <c r="J485" s="107">
        <f>'[2]2021 УГРЦТ'!Y487</f>
        <v>24597.563999999998</v>
      </c>
      <c r="K485" s="107">
        <f>'[2]2021 УГРЦТ'!Z487</f>
        <v>26294.106</v>
      </c>
      <c r="L485" s="125" t="e">
        <f>SUMIF([2]облаг!$B$2:$B$259,B485,[2]облаг!$D$2:$D$259)</f>
        <v>#VALUE!</v>
      </c>
      <c r="M485" s="107">
        <f t="shared" si="473"/>
        <v>848.19449999999995</v>
      </c>
      <c r="N485" s="107">
        <f t="shared" si="474"/>
        <v>10178.333999999999</v>
      </c>
      <c r="O485" s="107">
        <f t="shared" si="475"/>
        <v>25445.911499999998</v>
      </c>
      <c r="P485" s="107">
        <f t="shared" si="476"/>
        <v>24597.716999999997</v>
      </c>
      <c r="Q485" s="107">
        <f t="shared" si="492"/>
        <v>23749.522499999995</v>
      </c>
      <c r="R485" s="107">
        <f t="shared" si="493"/>
        <v>22901.327999999994</v>
      </c>
      <c r="S485" s="107">
        <f t="shared" si="494"/>
        <v>22053.133499999993</v>
      </c>
      <c r="T485" s="107">
        <f t="shared" si="495"/>
        <v>21204.938999999991</v>
      </c>
      <c r="U485" s="107">
        <f t="shared" si="496"/>
        <v>20356.74449999999</v>
      </c>
      <c r="V485" s="107">
        <f t="shared" si="497"/>
        <v>19508.549999999988</v>
      </c>
      <c r="W485" s="107">
        <f t="shared" si="498"/>
        <v>18660.355499999987</v>
      </c>
      <c r="X485" s="107">
        <f t="shared" si="499"/>
        <v>17812.160999999986</v>
      </c>
      <c r="Y485" s="107">
        <f t="shared" si="500"/>
        <v>16963.966499999984</v>
      </c>
      <c r="Z485" s="107">
        <f t="shared" si="501"/>
        <v>16115.771999999984</v>
      </c>
      <c r="AA485" s="107"/>
      <c r="AB485" s="107"/>
      <c r="AC485" s="107">
        <f t="shared" si="502"/>
        <v>10178.333999999999</v>
      </c>
      <c r="AD485" s="107">
        <f t="shared" si="503"/>
        <v>15267.577499999985</v>
      </c>
      <c r="AE485" s="107">
        <f t="shared" si="504"/>
        <v>14419.382999999985</v>
      </c>
      <c r="AF485" s="107">
        <f t="shared" si="505"/>
        <v>13571.188499999986</v>
      </c>
      <c r="AG485" s="107">
        <f t="shared" si="506"/>
        <v>12722.993999999986</v>
      </c>
      <c r="AH485" s="107">
        <f t="shared" si="507"/>
        <v>11874.799499999986</v>
      </c>
      <c r="AI485" s="107">
        <f t="shared" si="508"/>
        <v>11026.604999999987</v>
      </c>
      <c r="AJ485" s="107">
        <f t="shared" si="509"/>
        <v>10178.410499999987</v>
      </c>
      <c r="AK485" s="107">
        <f t="shared" si="510"/>
        <v>9330.2159999999876</v>
      </c>
      <c r="AL485" s="107">
        <f t="shared" si="511"/>
        <v>8482.021499999988</v>
      </c>
      <c r="AM485" s="107">
        <f t="shared" si="512"/>
        <v>7633.8269999999884</v>
      </c>
      <c r="AN485" s="107">
        <f t="shared" si="513"/>
        <v>6785.6324999999888</v>
      </c>
      <c r="AO485" s="107">
        <f t="shared" si="514"/>
        <v>5937.4379999999892</v>
      </c>
      <c r="AP485" s="107"/>
      <c r="AQ485" s="126"/>
      <c r="AR485" s="107">
        <f>AS485</f>
        <v>5089.2434999999896</v>
      </c>
      <c r="AS485" s="107">
        <f t="shared" si="477"/>
        <v>5089.2434999999896</v>
      </c>
      <c r="AT485" s="107">
        <f t="shared" si="478"/>
        <v>4241.04899999999</v>
      </c>
      <c r="AU485" s="107">
        <f t="shared" si="479"/>
        <v>3392.8544999999899</v>
      </c>
      <c r="AV485" s="107">
        <f t="shared" si="480"/>
        <v>2544.6599999999899</v>
      </c>
      <c r="AW485" s="107">
        <f t="shared" si="481"/>
        <v>1696.4654999999898</v>
      </c>
      <c r="AX485" s="107">
        <f t="shared" si="482"/>
        <v>848.27099999998984</v>
      </c>
      <c r="AY485" s="107">
        <f t="shared" si="483"/>
        <v>7.6499999989891876E-2</v>
      </c>
      <c r="AZ485" s="107">
        <v>0</v>
      </c>
      <c r="BA485" s="107">
        <v>0</v>
      </c>
      <c r="BB485" s="107">
        <v>0</v>
      </c>
      <c r="BC485" s="107">
        <v>0</v>
      </c>
      <c r="BD485" s="107">
        <v>0</v>
      </c>
      <c r="BE485" s="107"/>
      <c r="BI485" s="127"/>
    </row>
    <row r="486" spans="1:75" ht="33.75" hidden="1" x14ac:dyDescent="0.2">
      <c r="A486" s="123" t="str">
        <f>'[2]2021 УГРЦТ'!A488</f>
        <v>Трехфазная группа трансформаторов напряжения 3х3НОЛП-6 зав.1323219</v>
      </c>
      <c r="B486" s="124" t="str">
        <f>'[2]2021 УГРЦТ'!B488</f>
        <v>000001774</v>
      </c>
      <c r="C486" s="124" t="str">
        <f>VLOOKUP(A:A,'2023-2027'!A:L,1,+FALSE)</f>
        <v>Трехфазная группа трансформаторов напряжения 3х3НОЛП-6 зав.1323219</v>
      </c>
      <c r="D486" s="124" t="str">
        <f>'[2]2021 УГРЦТ'!C488</f>
        <v>ПЕРЕДАЧА</v>
      </c>
      <c r="E486" s="124" t="str">
        <f>'[2]2021 УГРЦТ'!D488</f>
        <v>Машины и оборудование (кроме офисного)</v>
      </c>
      <c r="F486" s="124" t="str">
        <f>'[2]2021 УГРЦТ'!E488</f>
        <v>30.07.2019</v>
      </c>
      <c r="G486" s="124" t="str">
        <f>'[2]2021 УГРЦТ'!F488</f>
        <v>Цех электрических сетей</v>
      </c>
      <c r="H486" s="124">
        <f>'[2]2021 УГРЦТ'!AC488</f>
        <v>60</v>
      </c>
      <c r="I486" s="107">
        <f>'[2]2021 УГРЦТ'!X488</f>
        <v>50891.66</v>
      </c>
      <c r="J486" s="107">
        <f>'[2]2021 УГРЦТ'!Y488</f>
        <v>24597.561999999998</v>
      </c>
      <c r="K486" s="107">
        <f>'[2]2021 УГРЦТ'!Z488</f>
        <v>26294.098000000005</v>
      </c>
      <c r="L486" s="125" t="e">
        <f>SUMIF([2]облаг!$B$2:$B$259,B486,[2]облаг!$D$2:$D$259)</f>
        <v>#VALUE!</v>
      </c>
      <c r="M486" s="107">
        <f t="shared" si="473"/>
        <v>848.19433333333336</v>
      </c>
      <c r="N486" s="107">
        <f t="shared" si="474"/>
        <v>10178.332</v>
      </c>
      <c r="O486" s="107">
        <f t="shared" si="475"/>
        <v>25445.903666666673</v>
      </c>
      <c r="P486" s="107">
        <f t="shared" si="476"/>
        <v>24597.70933333334</v>
      </c>
      <c r="Q486" s="107">
        <f t="shared" si="492"/>
        <v>23749.515000000007</v>
      </c>
      <c r="R486" s="107">
        <f t="shared" si="493"/>
        <v>22901.320666666674</v>
      </c>
      <c r="S486" s="107">
        <f t="shared" si="494"/>
        <v>22053.126333333341</v>
      </c>
      <c r="T486" s="107">
        <f t="shared" si="495"/>
        <v>21204.932000000008</v>
      </c>
      <c r="U486" s="107">
        <f t="shared" si="496"/>
        <v>20356.737666666675</v>
      </c>
      <c r="V486" s="107">
        <f t="shared" si="497"/>
        <v>19508.543333333342</v>
      </c>
      <c r="W486" s="107">
        <f t="shared" si="498"/>
        <v>18660.349000000009</v>
      </c>
      <c r="X486" s="107">
        <f t="shared" si="499"/>
        <v>17812.154666666676</v>
      </c>
      <c r="Y486" s="107">
        <f t="shared" si="500"/>
        <v>16963.960333333343</v>
      </c>
      <c r="Z486" s="107">
        <f t="shared" si="501"/>
        <v>16115.766000000011</v>
      </c>
      <c r="AA486" s="107"/>
      <c r="AB486" s="107"/>
      <c r="AC486" s="107">
        <f t="shared" si="502"/>
        <v>10178.332</v>
      </c>
      <c r="AD486" s="107">
        <f t="shared" si="503"/>
        <v>15267.571666666678</v>
      </c>
      <c r="AE486" s="107">
        <f t="shared" si="504"/>
        <v>14419.377333333345</v>
      </c>
      <c r="AF486" s="107">
        <f t="shared" si="505"/>
        <v>13571.183000000012</v>
      </c>
      <c r="AG486" s="107">
        <f t="shared" si="506"/>
        <v>12722.988666666679</v>
      </c>
      <c r="AH486" s="107">
        <f t="shared" si="507"/>
        <v>11874.794333333346</v>
      </c>
      <c r="AI486" s="107">
        <f t="shared" si="508"/>
        <v>11026.600000000013</v>
      </c>
      <c r="AJ486" s="107">
        <f t="shared" si="509"/>
        <v>10178.40566666668</v>
      </c>
      <c r="AK486" s="107">
        <f t="shared" si="510"/>
        <v>9330.2113333333473</v>
      </c>
      <c r="AL486" s="107">
        <f t="shared" si="511"/>
        <v>8482.0170000000144</v>
      </c>
      <c r="AM486" s="107">
        <f t="shared" si="512"/>
        <v>7633.8226666666815</v>
      </c>
      <c r="AN486" s="107">
        <f t="shared" si="513"/>
        <v>6785.6283333333486</v>
      </c>
      <c r="AO486" s="107">
        <f t="shared" si="514"/>
        <v>5937.4340000000157</v>
      </c>
      <c r="AP486" s="107"/>
      <c r="AQ486" s="126"/>
      <c r="AR486" s="107">
        <f>AS486</f>
        <v>5089.2396666666828</v>
      </c>
      <c r="AS486" s="107">
        <f t="shared" si="477"/>
        <v>5089.2396666666828</v>
      </c>
      <c r="AT486" s="107">
        <f t="shared" si="478"/>
        <v>4241.0453333333498</v>
      </c>
      <c r="AU486" s="107">
        <f t="shared" si="479"/>
        <v>3392.8510000000165</v>
      </c>
      <c r="AV486" s="107">
        <f t="shared" si="480"/>
        <v>2544.6566666666831</v>
      </c>
      <c r="AW486" s="107">
        <f t="shared" si="481"/>
        <v>1696.4623333333498</v>
      </c>
      <c r="AX486" s="107">
        <f t="shared" si="482"/>
        <v>848.2680000000164</v>
      </c>
      <c r="AY486" s="107">
        <f t="shared" si="483"/>
        <v>7.3666666683038784E-2</v>
      </c>
      <c r="AZ486" s="107">
        <v>0</v>
      </c>
      <c r="BA486" s="107">
        <v>0</v>
      </c>
      <c r="BB486" s="107">
        <v>0</v>
      </c>
      <c r="BC486" s="107">
        <v>0</v>
      </c>
      <c r="BD486" s="107">
        <v>0</v>
      </c>
      <c r="BE486" s="107"/>
      <c r="BI486" s="127"/>
    </row>
    <row r="487" spans="1:75" ht="22.5" hidden="1" x14ac:dyDescent="0.2">
      <c r="A487" s="123" t="str">
        <f>'[2]2021 УГРЦТ'!A489</f>
        <v>Участок ВЛ-0,4 кВ от ТП-66 фидер Песчаная</v>
      </c>
      <c r="B487" s="124" t="str">
        <f>'[2]2021 УГРЦТ'!B489</f>
        <v>000001802</v>
      </c>
      <c r="C487" s="124" t="str">
        <f>VLOOKUP(A:A,'2023-2027'!A:L,1,+FALSE)</f>
        <v>Участок ВЛ-0,4 кВ от ТП-66 фидер Песчаная</v>
      </c>
      <c r="D487" s="124" t="str">
        <f>'[2]2021 УГРЦТ'!C489</f>
        <v>ПЕРЕДАЧА</v>
      </c>
      <c r="E487" s="124" t="str">
        <f>'[2]2021 УГРЦТ'!D489</f>
        <v>Сооружения</v>
      </c>
      <c r="F487" s="124" t="str">
        <f>'[2]2021 УГРЦТ'!E489</f>
        <v>02.03.2020</v>
      </c>
      <c r="G487" s="124" t="str">
        <f>'[2]2021 УГРЦТ'!F489</f>
        <v>Цех электрических сетей</v>
      </c>
      <c r="H487" s="124">
        <f>'[2]2021 УГРЦТ'!AC489</f>
        <v>480</v>
      </c>
      <c r="I487" s="107">
        <f>'[2]2021 УГРЦТ'!X489</f>
        <v>3588625.91</v>
      </c>
      <c r="J487" s="107">
        <f>'[2]2021 УГРЦТ'!Y489</f>
        <v>157002.34775000002</v>
      </c>
      <c r="K487" s="107">
        <f>'[2]2021 УГРЦТ'!Z489</f>
        <v>3431623.56225</v>
      </c>
      <c r="L487" s="125" t="e">
        <f>SUMIF([2]облаг!$B$2:$B$259,B487,[2]облаг!$D$2:$D$259)</f>
        <v>#VALUE!</v>
      </c>
      <c r="M487" s="107">
        <f t="shared" si="473"/>
        <v>7476.303979166667</v>
      </c>
      <c r="N487" s="107">
        <f t="shared" si="474"/>
        <v>89715.647750000004</v>
      </c>
      <c r="O487" s="107">
        <f t="shared" si="475"/>
        <v>3424147.2582708332</v>
      </c>
      <c r="P487" s="107">
        <f t="shared" si="476"/>
        <v>3416670.9542916664</v>
      </c>
      <c r="Q487" s="107">
        <f t="shared" si="492"/>
        <v>3409194.6503124996</v>
      </c>
      <c r="R487" s="107">
        <f t="shared" si="493"/>
        <v>3401718.3463333328</v>
      </c>
      <c r="S487" s="107">
        <f t="shared" si="494"/>
        <v>3394242.042354166</v>
      </c>
      <c r="T487" s="107">
        <f t="shared" si="495"/>
        <v>3386765.7383749993</v>
      </c>
      <c r="U487" s="107">
        <f t="shared" si="496"/>
        <v>3379289.4343958325</v>
      </c>
      <c r="V487" s="107">
        <f t="shared" si="497"/>
        <v>3371813.1304166657</v>
      </c>
      <c r="W487" s="107">
        <f t="shared" si="498"/>
        <v>3364336.8264374989</v>
      </c>
      <c r="X487" s="107">
        <f t="shared" si="499"/>
        <v>3356860.5224583321</v>
      </c>
      <c r="Y487" s="107">
        <f t="shared" si="500"/>
        <v>3349384.2184791653</v>
      </c>
      <c r="Z487" s="107">
        <f t="shared" si="501"/>
        <v>3341907.9144999986</v>
      </c>
      <c r="AA487" s="107">
        <f>SUM(O487:Z487,K487)/13*$AA$2</f>
        <v>74508.846244249988</v>
      </c>
      <c r="AB487" s="107"/>
      <c r="AC487" s="107">
        <f t="shared" si="502"/>
        <v>89715.647750000004</v>
      </c>
      <c r="AD487" s="107">
        <f t="shared" si="503"/>
        <v>3334431.6105208318</v>
      </c>
      <c r="AE487" s="107">
        <f t="shared" si="504"/>
        <v>3326955.306541665</v>
      </c>
      <c r="AF487" s="107">
        <f t="shared" si="505"/>
        <v>3319479.0025624982</v>
      </c>
      <c r="AG487" s="107">
        <f t="shared" si="506"/>
        <v>3312002.6985833314</v>
      </c>
      <c r="AH487" s="107">
        <f t="shared" si="507"/>
        <v>3304526.3946041646</v>
      </c>
      <c r="AI487" s="107">
        <f t="shared" si="508"/>
        <v>3297050.0906249979</v>
      </c>
      <c r="AJ487" s="107">
        <f t="shared" si="509"/>
        <v>3289573.7866458311</v>
      </c>
      <c r="AK487" s="107">
        <f t="shared" si="510"/>
        <v>3282097.4826666643</v>
      </c>
      <c r="AL487" s="107">
        <f t="shared" si="511"/>
        <v>3274621.1786874975</v>
      </c>
      <c r="AM487" s="107">
        <f t="shared" si="512"/>
        <v>3267144.8747083307</v>
      </c>
      <c r="AN487" s="107">
        <f t="shared" si="513"/>
        <v>3259668.5707291639</v>
      </c>
      <c r="AO487" s="107">
        <f t="shared" si="514"/>
        <v>3252192.2667499972</v>
      </c>
      <c r="AP487" s="107">
        <f>SUM(AD487:AO487,Z487)/13*$AP$2</f>
        <v>72535.101993749966</v>
      </c>
      <c r="AQ487" s="126"/>
      <c r="AR487" s="107">
        <f t="shared" si="515"/>
        <v>89715.647750000004</v>
      </c>
      <c r="AS487" s="107">
        <f t="shared" si="477"/>
        <v>3244715.9627708304</v>
      </c>
      <c r="AT487" s="107">
        <f t="shared" si="478"/>
        <v>3237239.6587916636</v>
      </c>
      <c r="AU487" s="107">
        <f t="shared" si="479"/>
        <v>3229763.3548124968</v>
      </c>
      <c r="AV487" s="107">
        <f t="shared" si="480"/>
        <v>3222287.05083333</v>
      </c>
      <c r="AW487" s="107">
        <f t="shared" si="481"/>
        <v>3214810.7468541632</v>
      </c>
      <c r="AX487" s="107">
        <f t="shared" si="482"/>
        <v>3207334.4428749965</v>
      </c>
      <c r="AY487" s="107">
        <f t="shared" si="483"/>
        <v>3199858.1388958297</v>
      </c>
      <c r="AZ487" s="107">
        <f>AY487-M487</f>
        <v>3192381.8349166629</v>
      </c>
      <c r="BA487" s="107">
        <f>AZ487-M487</f>
        <v>3184905.5309374961</v>
      </c>
      <c r="BB487" s="107">
        <f>BA487-M487</f>
        <v>3177429.2269583293</v>
      </c>
      <c r="BC487" s="107">
        <f>BB487-M487</f>
        <v>3169952.9229791625</v>
      </c>
      <c r="BD487" s="107">
        <f>BC487-M487</f>
        <v>3162476.6189999958</v>
      </c>
      <c r="BE487" s="107">
        <f>SUM(AS487:BD487,AO487)/13*$BE$2</f>
        <v>70561.35774324993</v>
      </c>
      <c r="BF487" s="127"/>
      <c r="BG487" s="127"/>
      <c r="BH487" s="127"/>
      <c r="BI487" s="127"/>
      <c r="BJ487" s="127"/>
      <c r="BK487" s="127"/>
      <c r="BL487" s="127"/>
      <c r="BM487" s="127"/>
      <c r="BN487" s="127"/>
      <c r="BO487" s="127"/>
      <c r="BP487" s="127"/>
      <c r="BQ487" s="127"/>
      <c r="BR487" s="127"/>
      <c r="BS487" s="127"/>
      <c r="BT487" s="127"/>
      <c r="BU487" s="127"/>
      <c r="BV487" s="127"/>
      <c r="BW487" s="127"/>
    </row>
    <row r="488" spans="1:75" ht="22.5" hidden="1" x14ac:dyDescent="0.2">
      <c r="A488" s="123" t="str">
        <f>'[2]2021 УГРЦТ'!A490</f>
        <v>Шиногиб гидравлический ШГР2-10AL</v>
      </c>
      <c r="B488" s="124" t="str">
        <f>'[2]2021 УГРЦТ'!B490</f>
        <v>000001737</v>
      </c>
      <c r="C488" s="124" t="str">
        <f>VLOOKUP(A:A,'2023-2027'!A:L,1,+FALSE)</f>
        <v>Шиногиб гидравлический ШГР2-10AL</v>
      </c>
      <c r="D488" s="124" t="str">
        <f>'[2]2021 УГРЦТ'!C490</f>
        <v>ПЕРЕДАЧА</v>
      </c>
      <c r="E488" s="124" t="str">
        <f>'[2]2021 УГРЦТ'!D490</f>
        <v>Машины и оборудование (кроме офисного)</v>
      </c>
      <c r="F488" s="124" t="str">
        <f>'[2]2021 УГРЦТ'!E490</f>
        <v>16.07.2018</v>
      </c>
      <c r="G488" s="124" t="str">
        <f>'[2]2021 УГРЦТ'!F490</f>
        <v>Цех электрических сетей</v>
      </c>
      <c r="H488" s="124">
        <f>'[2]2021 УГРЦТ'!AC490</f>
        <v>120</v>
      </c>
      <c r="I488" s="107">
        <f>'[2]2021 УГРЦТ'!X490</f>
        <v>106181.36</v>
      </c>
      <c r="J488" s="107">
        <f>'[2]2021 УГРЦТ'!Y490</f>
        <v>36278.495999999999</v>
      </c>
      <c r="K488" s="107">
        <f>'[2]2021 УГРЦТ'!Z490</f>
        <v>69902.864000000001</v>
      </c>
      <c r="L488" s="125" t="e">
        <f>SUMIF([2]облаг!$B$2:$B$259,B488,[2]облаг!$D$2:$D$259)</f>
        <v>#VALUE!</v>
      </c>
      <c r="M488" s="107">
        <f t="shared" si="473"/>
        <v>884.84466666666663</v>
      </c>
      <c r="N488" s="107">
        <f t="shared" si="474"/>
        <v>10618.135999999999</v>
      </c>
      <c r="O488" s="107">
        <f t="shared" si="475"/>
        <v>69018.01933333333</v>
      </c>
      <c r="P488" s="107">
        <f t="shared" si="476"/>
        <v>68133.174666666659</v>
      </c>
      <c r="Q488" s="107">
        <f t="shared" si="492"/>
        <v>67248.329999999987</v>
      </c>
      <c r="R488" s="107">
        <f t="shared" si="493"/>
        <v>66363.485333333316</v>
      </c>
      <c r="S488" s="107">
        <f t="shared" si="494"/>
        <v>65478.640666666652</v>
      </c>
      <c r="T488" s="107">
        <f t="shared" si="495"/>
        <v>64593.795999999988</v>
      </c>
      <c r="U488" s="107">
        <f t="shared" si="496"/>
        <v>63708.951333333323</v>
      </c>
      <c r="V488" s="107">
        <f t="shared" si="497"/>
        <v>62824.106666666659</v>
      </c>
      <c r="W488" s="107">
        <f t="shared" si="498"/>
        <v>61939.261999999995</v>
      </c>
      <c r="X488" s="107">
        <f t="shared" si="499"/>
        <v>61054.417333333331</v>
      </c>
      <c r="Y488" s="107">
        <f t="shared" si="500"/>
        <v>60169.572666666667</v>
      </c>
      <c r="Z488" s="107">
        <f t="shared" si="501"/>
        <v>59284.728000000003</v>
      </c>
      <c r="AA488" s="107"/>
      <c r="AB488" s="107"/>
      <c r="AC488" s="107">
        <f t="shared" si="502"/>
        <v>10618.135999999999</v>
      </c>
      <c r="AD488" s="107">
        <f t="shared" si="503"/>
        <v>58399.883333333339</v>
      </c>
      <c r="AE488" s="107">
        <f t="shared" si="504"/>
        <v>57515.038666666675</v>
      </c>
      <c r="AF488" s="107">
        <f t="shared" si="505"/>
        <v>56630.19400000001</v>
      </c>
      <c r="AG488" s="107">
        <f t="shared" si="506"/>
        <v>55745.349333333346</v>
      </c>
      <c r="AH488" s="107">
        <f t="shared" si="507"/>
        <v>54860.504666666682</v>
      </c>
      <c r="AI488" s="107">
        <f t="shared" si="508"/>
        <v>53975.660000000018</v>
      </c>
      <c r="AJ488" s="107">
        <f t="shared" si="509"/>
        <v>53090.815333333354</v>
      </c>
      <c r="AK488" s="107">
        <f t="shared" si="510"/>
        <v>52205.97066666669</v>
      </c>
      <c r="AL488" s="107">
        <f t="shared" si="511"/>
        <v>51321.126000000026</v>
      </c>
      <c r="AM488" s="107">
        <f t="shared" si="512"/>
        <v>50436.281333333362</v>
      </c>
      <c r="AN488" s="107">
        <f t="shared" si="513"/>
        <v>49551.436666666697</v>
      </c>
      <c r="AO488" s="107">
        <f t="shared" si="514"/>
        <v>48666.592000000033</v>
      </c>
      <c r="AP488" s="107"/>
      <c r="AQ488" s="126"/>
      <c r="AR488" s="107">
        <f t="shared" si="515"/>
        <v>10618.135999999999</v>
      </c>
      <c r="AS488" s="107">
        <f t="shared" si="477"/>
        <v>47781.747333333369</v>
      </c>
      <c r="AT488" s="107">
        <f t="shared" si="478"/>
        <v>46896.902666666705</v>
      </c>
      <c r="AU488" s="107">
        <f t="shared" si="479"/>
        <v>46012.058000000041</v>
      </c>
      <c r="AV488" s="107">
        <f t="shared" si="480"/>
        <v>45127.213333333377</v>
      </c>
      <c r="AW488" s="107">
        <f t="shared" si="481"/>
        <v>44242.368666666713</v>
      </c>
      <c r="AX488" s="107">
        <f t="shared" si="482"/>
        <v>43357.524000000049</v>
      </c>
      <c r="AY488" s="107">
        <f t="shared" si="483"/>
        <v>42472.679333333384</v>
      </c>
      <c r="AZ488" s="107">
        <f>AY488-M488</f>
        <v>41587.83466666672</v>
      </c>
      <c r="BA488" s="107">
        <f>AZ488-M488</f>
        <v>40702.990000000056</v>
      </c>
      <c r="BB488" s="107">
        <f>BA488-M488</f>
        <v>39818.145333333392</v>
      </c>
      <c r="BC488" s="107">
        <f>BB488-M488</f>
        <v>38933.300666666728</v>
      </c>
      <c r="BD488" s="107">
        <f>BC488-M488</f>
        <v>38048.456000000064</v>
      </c>
      <c r="BE488" s="107"/>
      <c r="BF488" s="127"/>
      <c r="BG488" s="127"/>
      <c r="BH488" s="127"/>
      <c r="BI488" s="127"/>
      <c r="BJ488" s="127"/>
      <c r="BK488" s="127"/>
      <c r="BL488" s="127"/>
      <c r="BM488" s="127"/>
      <c r="BN488" s="127"/>
      <c r="BO488" s="127"/>
      <c r="BP488" s="127"/>
      <c r="BQ488" s="127"/>
      <c r="BR488" s="127"/>
      <c r="BS488" s="127"/>
      <c r="BT488" s="127"/>
      <c r="BU488" s="127"/>
      <c r="BV488" s="127"/>
      <c r="BW488" s="127"/>
    </row>
    <row r="489" spans="1:75" ht="22.5" hidden="1" x14ac:dyDescent="0.2">
      <c r="A489" s="123" t="str">
        <f>'[2]2021 УГРЦТ'!A491</f>
        <v>Шинодыр гидравлический ШД-60AL</v>
      </c>
      <c r="B489" s="124" t="str">
        <f>'[2]2021 УГРЦТ'!B491</f>
        <v>000001736</v>
      </c>
      <c r="C489" s="124" t="str">
        <f>VLOOKUP(A:A,'2023-2027'!A:L,1,+FALSE)</f>
        <v>Шинодыр гидравлический ШД-60AL</v>
      </c>
      <c r="D489" s="124" t="str">
        <f>'[2]2021 УГРЦТ'!C491</f>
        <v>ПЕРЕДАЧА</v>
      </c>
      <c r="E489" s="124" t="str">
        <f>'[2]2021 УГРЦТ'!D491</f>
        <v>Машины и оборудование (кроме офисного)</v>
      </c>
      <c r="F489" s="124" t="str">
        <f>'[2]2021 УГРЦТ'!E491</f>
        <v>16.07.2018</v>
      </c>
      <c r="G489" s="124" t="str">
        <f>'[2]2021 УГРЦТ'!F491</f>
        <v>Цех электрических сетей</v>
      </c>
      <c r="H489" s="124">
        <f>'[2]2021 УГРЦТ'!AC491</f>
        <v>120</v>
      </c>
      <c r="I489" s="107">
        <f>'[2]2021 УГРЦТ'!X491</f>
        <v>51677.97</v>
      </c>
      <c r="J489" s="107">
        <f>'[2]2021 УГРЦТ'!Y491</f>
        <v>17656.646999999997</v>
      </c>
      <c r="K489" s="107">
        <f>'[2]2021 УГРЦТ'!Z491</f>
        <v>34021.323000000004</v>
      </c>
      <c r="L489" s="125" t="e">
        <f>SUMIF([2]облаг!$B$2:$B$259,B489,[2]облаг!$D$2:$D$259)</f>
        <v>#VALUE!</v>
      </c>
      <c r="M489" s="107">
        <f t="shared" si="473"/>
        <v>430.64974999999998</v>
      </c>
      <c r="N489" s="107">
        <f t="shared" si="474"/>
        <v>5167.7969999999996</v>
      </c>
      <c r="O489" s="107">
        <f t="shared" si="475"/>
        <v>33590.673250000007</v>
      </c>
      <c r="P489" s="107">
        <f t="shared" si="476"/>
        <v>33160.02350000001</v>
      </c>
      <c r="Q489" s="107">
        <f t="shared" si="492"/>
        <v>32729.37375000001</v>
      </c>
      <c r="R489" s="107">
        <f t="shared" si="493"/>
        <v>32298.724000000009</v>
      </c>
      <c r="S489" s="107">
        <f t="shared" si="494"/>
        <v>31868.074250000009</v>
      </c>
      <c r="T489" s="107">
        <f t="shared" si="495"/>
        <v>31437.424500000008</v>
      </c>
      <c r="U489" s="107">
        <f t="shared" si="496"/>
        <v>31006.774750000008</v>
      </c>
      <c r="V489" s="107">
        <f t="shared" si="497"/>
        <v>30576.125000000007</v>
      </c>
      <c r="W489" s="107">
        <f t="shared" si="498"/>
        <v>30145.475250000007</v>
      </c>
      <c r="X489" s="107">
        <f t="shared" si="499"/>
        <v>29714.825500000006</v>
      </c>
      <c r="Y489" s="107">
        <f t="shared" si="500"/>
        <v>29284.175750000006</v>
      </c>
      <c r="Z489" s="107">
        <f t="shared" si="501"/>
        <v>28853.526000000005</v>
      </c>
      <c r="AA489" s="107"/>
      <c r="AB489" s="107"/>
      <c r="AC489" s="107">
        <f t="shared" si="502"/>
        <v>5167.7969999999996</v>
      </c>
      <c r="AD489" s="107">
        <f t="shared" si="503"/>
        <v>28422.876250000005</v>
      </c>
      <c r="AE489" s="107">
        <f t="shared" si="504"/>
        <v>27992.226500000004</v>
      </c>
      <c r="AF489" s="107">
        <f t="shared" si="505"/>
        <v>27561.576750000004</v>
      </c>
      <c r="AG489" s="107">
        <f t="shared" si="506"/>
        <v>27130.927000000003</v>
      </c>
      <c r="AH489" s="107">
        <f t="shared" si="507"/>
        <v>26700.277250000003</v>
      </c>
      <c r="AI489" s="107">
        <f t="shared" si="508"/>
        <v>26269.627500000002</v>
      </c>
      <c r="AJ489" s="107">
        <f t="shared" si="509"/>
        <v>25838.977750000002</v>
      </c>
      <c r="AK489" s="107">
        <f t="shared" si="510"/>
        <v>25408.328000000001</v>
      </c>
      <c r="AL489" s="107">
        <f t="shared" si="511"/>
        <v>24977.678250000001</v>
      </c>
      <c r="AM489" s="107">
        <f t="shared" si="512"/>
        <v>24547.0285</v>
      </c>
      <c r="AN489" s="107">
        <f t="shared" si="513"/>
        <v>24116.37875</v>
      </c>
      <c r="AO489" s="107">
        <f t="shared" si="514"/>
        <v>23685.728999999999</v>
      </c>
      <c r="AP489" s="107"/>
      <c r="AQ489" s="126"/>
      <c r="AR489" s="107">
        <f t="shared" si="515"/>
        <v>5167.7969999999996</v>
      </c>
      <c r="AS489" s="107">
        <f t="shared" si="477"/>
        <v>23255.079249999999</v>
      </c>
      <c r="AT489" s="107">
        <f t="shared" si="478"/>
        <v>22824.429499999998</v>
      </c>
      <c r="AU489" s="107">
        <f t="shared" si="479"/>
        <v>22393.779749999998</v>
      </c>
      <c r="AV489" s="107">
        <f t="shared" si="480"/>
        <v>21963.129999999997</v>
      </c>
      <c r="AW489" s="107">
        <f t="shared" si="481"/>
        <v>21532.480249999997</v>
      </c>
      <c r="AX489" s="107">
        <f t="shared" si="482"/>
        <v>21101.830499999996</v>
      </c>
      <c r="AY489" s="107">
        <f t="shared" si="483"/>
        <v>20671.180749999996</v>
      </c>
      <c r="AZ489" s="107">
        <f>AY489-M489</f>
        <v>20240.530999999995</v>
      </c>
      <c r="BA489" s="107">
        <f>AZ489-M489</f>
        <v>19809.881249999995</v>
      </c>
      <c r="BB489" s="107">
        <f>BA489-M489</f>
        <v>19379.231499999994</v>
      </c>
      <c r="BC489" s="107">
        <f>BB489-M489</f>
        <v>18948.581749999994</v>
      </c>
      <c r="BD489" s="107">
        <f>BC489-M489</f>
        <v>18517.931999999993</v>
      </c>
      <c r="BE489" s="107"/>
      <c r="BF489" s="127"/>
      <c r="BG489" s="127"/>
      <c r="BH489" s="127"/>
      <c r="BI489" s="127"/>
      <c r="BJ489" s="127"/>
      <c r="BK489" s="127"/>
      <c r="BL489" s="127"/>
      <c r="BM489" s="127"/>
      <c r="BN489" s="127"/>
      <c r="BO489" s="127"/>
      <c r="BP489" s="127"/>
      <c r="BQ489" s="127"/>
      <c r="BR489" s="127"/>
      <c r="BS489" s="127"/>
      <c r="BT489" s="127"/>
      <c r="BU489" s="127"/>
      <c r="BV489" s="127"/>
      <c r="BW489" s="127"/>
    </row>
    <row r="490" spans="1:75" hidden="1" x14ac:dyDescent="0.2">
      <c r="A490" s="123" t="str">
        <f>'[2]2021 УГРЦТ'!A492</f>
        <v>Щит ЩО-70-02  2шт 2000г.</v>
      </c>
      <c r="B490" s="124" t="str">
        <f>'[2]2021 УГРЦТ'!B492</f>
        <v>00000269</v>
      </c>
      <c r="C490" s="124" t="str">
        <f>VLOOKUP(A:A,'2023-2027'!A:L,1,+FALSE)</f>
        <v>Щит ЩО-70-02  2шт 2000г.</v>
      </c>
      <c r="D490" s="124" t="str">
        <f>'[2]2021 УГРЦТ'!C492</f>
        <v>ПЕРЕДАЧА</v>
      </c>
      <c r="E490" s="124" t="str">
        <f>'[2]2021 УГРЦТ'!D492</f>
        <v>Машины и оборудование (кроме офисного)</v>
      </c>
      <c r="F490" s="124" t="str">
        <f>'[2]2021 УГРЦТ'!E492</f>
        <v>01.09.2000</v>
      </c>
      <c r="G490" s="124" t="str">
        <f>'[2]2021 УГРЦТ'!F492</f>
        <v>Цех электрических сетей</v>
      </c>
      <c r="H490" s="124">
        <f>'[2]2021 УГРЦТ'!AC492</f>
        <v>276</v>
      </c>
      <c r="I490" s="107">
        <f>'[2]2021 УГРЦТ'!X492</f>
        <v>22847.47</v>
      </c>
      <c r="J490" s="107">
        <f>'[2]2021 УГРЦТ'!Y492</f>
        <v>20801.358260869569</v>
      </c>
      <c r="K490" s="107">
        <f>'[2]2021 УГРЦТ'!Z492</f>
        <v>2046.1117391304324</v>
      </c>
      <c r="L490" s="125" t="e">
        <f>SUMIF([2]облаг!$B$2:$B$259,B490,[2]облаг!$D$2:$D$259)</f>
        <v>#VALUE!</v>
      </c>
      <c r="M490" s="107">
        <f t="shared" si="473"/>
        <v>82.780688405797108</v>
      </c>
      <c r="N490" s="107">
        <f t="shared" si="474"/>
        <v>993.36826086956535</v>
      </c>
      <c r="O490" s="107">
        <f t="shared" si="475"/>
        <v>1963.3310507246354</v>
      </c>
      <c r="P490" s="107">
        <f t="shared" si="476"/>
        <v>1880.5503623188383</v>
      </c>
      <c r="Q490" s="107">
        <f t="shared" si="492"/>
        <v>1797.7696739130413</v>
      </c>
      <c r="R490" s="107">
        <f t="shared" si="493"/>
        <v>1714.9889855072443</v>
      </c>
      <c r="S490" s="107">
        <f t="shared" si="494"/>
        <v>1632.2082971014472</v>
      </c>
      <c r="T490" s="107">
        <f t="shared" si="495"/>
        <v>1549.4276086956502</v>
      </c>
      <c r="U490" s="107">
        <f t="shared" si="496"/>
        <v>1466.6469202898531</v>
      </c>
      <c r="V490" s="107">
        <f t="shared" si="497"/>
        <v>1383.8662318840561</v>
      </c>
      <c r="W490" s="107">
        <f t="shared" si="498"/>
        <v>1301.0855434782591</v>
      </c>
      <c r="X490" s="107">
        <f t="shared" si="499"/>
        <v>1218.304855072462</v>
      </c>
      <c r="Y490" s="107">
        <f t="shared" si="500"/>
        <v>1135.524166666665</v>
      </c>
      <c r="Z490" s="107">
        <f t="shared" si="501"/>
        <v>1052.743478260868</v>
      </c>
      <c r="AA490" s="107"/>
      <c r="AB490" s="107"/>
      <c r="AC490" s="107">
        <f>AD490</f>
        <v>969.96278985507081</v>
      </c>
      <c r="AD490" s="107">
        <f t="shared" si="503"/>
        <v>969.96278985507081</v>
      </c>
      <c r="AE490" s="107">
        <f t="shared" si="504"/>
        <v>887.18210144927366</v>
      </c>
      <c r="AF490" s="107">
        <f t="shared" si="505"/>
        <v>804.40141304347651</v>
      </c>
      <c r="AG490" s="107">
        <f t="shared" si="506"/>
        <v>721.62072463767936</v>
      </c>
      <c r="AH490" s="107">
        <f t="shared" si="507"/>
        <v>638.84003623188221</v>
      </c>
      <c r="AI490" s="107">
        <f t="shared" si="508"/>
        <v>556.05934782608506</v>
      </c>
      <c r="AJ490" s="107">
        <f t="shared" si="509"/>
        <v>473.27865942028797</v>
      </c>
      <c r="AK490" s="107">
        <f t="shared" si="510"/>
        <v>390.49797101449087</v>
      </c>
      <c r="AL490" s="107">
        <f t="shared" si="511"/>
        <v>307.71728260869378</v>
      </c>
      <c r="AM490" s="107">
        <f t="shared" si="512"/>
        <v>224.93659420289669</v>
      </c>
      <c r="AN490" s="107">
        <f t="shared" si="513"/>
        <v>142.15590579709959</v>
      </c>
      <c r="AO490" s="107">
        <f t="shared" si="514"/>
        <v>59.375217391302485</v>
      </c>
      <c r="AP490" s="107"/>
      <c r="AQ490" s="126"/>
      <c r="AR490" s="107">
        <v>0</v>
      </c>
      <c r="AS490" s="107">
        <v>0</v>
      </c>
      <c r="AT490" s="107">
        <v>0</v>
      </c>
      <c r="AU490" s="107">
        <v>0</v>
      </c>
      <c r="AV490" s="107">
        <v>0</v>
      </c>
      <c r="AW490" s="107">
        <v>0</v>
      </c>
      <c r="AX490" s="107">
        <v>0</v>
      </c>
      <c r="AY490" s="107">
        <v>0</v>
      </c>
      <c r="AZ490" s="107">
        <v>0</v>
      </c>
      <c r="BA490" s="107">
        <v>0</v>
      </c>
      <c r="BB490" s="107">
        <v>0</v>
      </c>
      <c r="BC490" s="107">
        <v>0</v>
      </c>
      <c r="BD490" s="107">
        <v>0</v>
      </c>
      <c r="BE490" s="107"/>
      <c r="BI490" s="127"/>
    </row>
    <row r="491" spans="1:75" hidden="1" x14ac:dyDescent="0.2">
      <c r="A491" s="123" t="str">
        <f>'[2]2021 УГРЦТ'!A493</f>
        <v>Щит ЩО-70-03 2000г.</v>
      </c>
      <c r="B491" s="124" t="str">
        <f>'[2]2021 УГРЦТ'!B493</f>
        <v>00000268</v>
      </c>
      <c r="C491" s="124" t="str">
        <f>VLOOKUP(A:A,'2023-2027'!A:L,1,+FALSE)</f>
        <v>Щит ЩО-70-03 2000г.</v>
      </c>
      <c r="D491" s="124" t="str">
        <f>'[2]2021 УГРЦТ'!C493</f>
        <v>ПЕРЕДАЧА</v>
      </c>
      <c r="E491" s="124" t="str">
        <f>'[2]2021 УГРЦТ'!D493</f>
        <v>Машины и оборудование (кроме офисного)</v>
      </c>
      <c r="F491" s="124" t="str">
        <f>'[2]2021 УГРЦТ'!E493</f>
        <v>01.09.2000</v>
      </c>
      <c r="G491" s="124" t="str">
        <f>'[2]2021 УГРЦТ'!F493</f>
        <v>Цех электрических сетей</v>
      </c>
      <c r="H491" s="124">
        <f>'[2]2021 УГРЦТ'!AC493</f>
        <v>276</v>
      </c>
      <c r="I491" s="107">
        <f>'[2]2021 УГРЦТ'!X493</f>
        <v>19637.47</v>
      </c>
      <c r="J491" s="107">
        <f>'[2]2021 УГРЦТ'!Y493</f>
        <v>18076.873043478259</v>
      </c>
      <c r="K491" s="107">
        <f>'[2]2021 УГРЦТ'!Z493</f>
        <v>1560.596956521742</v>
      </c>
      <c r="L491" s="125" t="e">
        <f>SUMIF([2]облаг!$B$2:$B$259,B491,[2]облаг!$D$2:$D$259)</f>
        <v>#VALUE!</v>
      </c>
      <c r="M491" s="107">
        <f t="shared" si="473"/>
        <v>71.150253623188405</v>
      </c>
      <c r="N491" s="107">
        <f t="shared" si="474"/>
        <v>853.80304347826086</v>
      </c>
      <c r="O491" s="107">
        <f t="shared" si="475"/>
        <v>1489.4467028985537</v>
      </c>
      <c r="P491" s="107">
        <f t="shared" si="476"/>
        <v>1418.2964492753654</v>
      </c>
      <c r="Q491" s="107">
        <f t="shared" si="492"/>
        <v>1347.1461956521771</v>
      </c>
      <c r="R491" s="107">
        <f t="shared" si="493"/>
        <v>1275.9959420289888</v>
      </c>
      <c r="S491" s="107">
        <f t="shared" si="494"/>
        <v>1204.8456884058005</v>
      </c>
      <c r="T491" s="107">
        <f t="shared" si="495"/>
        <v>1133.6954347826122</v>
      </c>
      <c r="U491" s="107">
        <f t="shared" si="496"/>
        <v>1062.5451811594239</v>
      </c>
      <c r="V491" s="107">
        <f t="shared" si="497"/>
        <v>991.39492753623551</v>
      </c>
      <c r="W491" s="107">
        <f t="shared" si="498"/>
        <v>920.24467391304711</v>
      </c>
      <c r="X491" s="107">
        <f t="shared" si="499"/>
        <v>849.0944202898587</v>
      </c>
      <c r="Y491" s="107">
        <f t="shared" si="500"/>
        <v>777.9441666666703</v>
      </c>
      <c r="Z491" s="107">
        <f t="shared" si="501"/>
        <v>706.79391304348189</v>
      </c>
      <c r="AA491" s="107"/>
      <c r="AB491" s="107"/>
      <c r="AC491" s="107">
        <f>AD491</f>
        <v>635.64365942029349</v>
      </c>
      <c r="AD491" s="107">
        <f t="shared" si="503"/>
        <v>635.64365942029349</v>
      </c>
      <c r="AE491" s="107">
        <f t="shared" si="504"/>
        <v>564.49340579710508</v>
      </c>
      <c r="AF491" s="107">
        <f t="shared" si="505"/>
        <v>493.34315217391668</v>
      </c>
      <c r="AG491" s="107">
        <f t="shared" si="506"/>
        <v>422.19289855072827</v>
      </c>
      <c r="AH491" s="107">
        <f t="shared" si="507"/>
        <v>351.04264492753987</v>
      </c>
      <c r="AI491" s="107">
        <f t="shared" si="508"/>
        <v>279.89239130435146</v>
      </c>
      <c r="AJ491" s="107">
        <f t="shared" si="509"/>
        <v>208.74213768116306</v>
      </c>
      <c r="AK491" s="107">
        <f t="shared" si="510"/>
        <v>137.59188405797465</v>
      </c>
      <c r="AL491" s="107">
        <f t="shared" si="511"/>
        <v>66.441630434786248</v>
      </c>
      <c r="AM491" s="107">
        <v>0</v>
      </c>
      <c r="AN491" s="107">
        <v>0</v>
      </c>
      <c r="AO491" s="107">
        <v>0</v>
      </c>
      <c r="AP491" s="107"/>
      <c r="AQ491" s="126"/>
      <c r="AR491" s="107">
        <v>0</v>
      </c>
      <c r="AS491" s="107">
        <v>0</v>
      </c>
      <c r="AT491" s="107">
        <v>0</v>
      </c>
      <c r="AU491" s="107">
        <v>0</v>
      </c>
      <c r="AV491" s="107">
        <v>0</v>
      </c>
      <c r="AW491" s="107">
        <v>0</v>
      </c>
      <c r="AX491" s="107">
        <v>0</v>
      </c>
      <c r="AY491" s="107">
        <v>0</v>
      </c>
      <c r="AZ491" s="107">
        <v>0</v>
      </c>
      <c r="BA491" s="107">
        <v>0</v>
      </c>
      <c r="BB491" s="107">
        <v>0</v>
      </c>
      <c r="BC491" s="107">
        <v>0</v>
      </c>
      <c r="BD491" s="107">
        <v>0</v>
      </c>
      <c r="BE491" s="124"/>
      <c r="BI491" s="127"/>
    </row>
    <row r="492" spans="1:75" hidden="1" x14ac:dyDescent="0.2">
      <c r="A492" s="123" t="str">
        <f>'[2]2021 УГРЦТ'!A494</f>
        <v>ЩО 70-3-02 УЗ №2</v>
      </c>
      <c r="B492" s="124" t="str">
        <f>'[2]2021 УГРЦТ'!B494</f>
        <v>00001106</v>
      </c>
      <c r="C492" s="124" t="str">
        <f>VLOOKUP(A:A,'2023-2027'!A:L,1,+FALSE)</f>
        <v>ЩО 70-3-02 УЗ №2</v>
      </c>
      <c r="D492" s="124" t="str">
        <f>'[2]2021 УГРЦТ'!C494</f>
        <v>ПЕРЕДАЧА</v>
      </c>
      <c r="E492" s="124" t="str">
        <f>'[2]2021 УГРЦТ'!D494</f>
        <v>Машины и оборудование (кроме офисного)</v>
      </c>
      <c r="F492" s="124" t="str">
        <f>'[2]2021 УГРЦТ'!E494</f>
        <v>31.12.2008</v>
      </c>
      <c r="G492" s="124" t="str">
        <f>'[2]2021 УГРЦТ'!F494</f>
        <v>Цех электрических сетей</v>
      </c>
      <c r="H492" s="124">
        <f>'[2]2021 УГРЦТ'!AC494</f>
        <v>180</v>
      </c>
      <c r="I492" s="107">
        <f>'[2]2021 УГРЦТ'!X494</f>
        <v>25570</v>
      </c>
      <c r="J492" s="107">
        <f>'[2]2021 УГРЦТ'!Y494</f>
        <v>22161.306666666667</v>
      </c>
      <c r="K492" s="107">
        <f>'[2]2021 УГРЦТ'!Z494</f>
        <v>3408.6933333333327</v>
      </c>
      <c r="L492" s="125" t="e">
        <f>SUMIF([2]облаг!$B$2:$B$259,B492,[2]облаг!$D$2:$D$259)</f>
        <v>#VALUE!</v>
      </c>
      <c r="M492" s="107">
        <f t="shared" si="473"/>
        <v>142.05555555555554</v>
      </c>
      <c r="N492" s="107">
        <f t="shared" si="474"/>
        <v>1704.6666666666665</v>
      </c>
      <c r="O492" s="107">
        <f t="shared" si="475"/>
        <v>3266.637777777777</v>
      </c>
      <c r="P492" s="107">
        <f t="shared" si="476"/>
        <v>3124.5822222222214</v>
      </c>
      <c r="Q492" s="107">
        <f t="shared" si="492"/>
        <v>2982.5266666666657</v>
      </c>
      <c r="R492" s="107">
        <f t="shared" si="493"/>
        <v>2840.4711111111101</v>
      </c>
      <c r="S492" s="107">
        <f t="shared" si="494"/>
        <v>2698.4155555555544</v>
      </c>
      <c r="T492" s="107">
        <f t="shared" si="495"/>
        <v>2556.3599999999988</v>
      </c>
      <c r="U492" s="107">
        <f t="shared" si="496"/>
        <v>2414.3044444444431</v>
      </c>
      <c r="V492" s="107">
        <f t="shared" si="497"/>
        <v>2272.2488888888874</v>
      </c>
      <c r="W492" s="107">
        <f t="shared" si="498"/>
        <v>2130.1933333333318</v>
      </c>
      <c r="X492" s="107">
        <f t="shared" si="499"/>
        <v>1988.1377777777761</v>
      </c>
      <c r="Y492" s="107">
        <f t="shared" si="500"/>
        <v>1846.0822222222205</v>
      </c>
      <c r="Z492" s="107">
        <f t="shared" si="501"/>
        <v>1704.0266666666648</v>
      </c>
      <c r="AA492" s="107"/>
      <c r="AB492" s="107"/>
      <c r="AC492" s="107">
        <f>AD492</f>
        <v>1561.9711111111092</v>
      </c>
      <c r="AD492" s="107">
        <f t="shared" si="503"/>
        <v>1561.9711111111092</v>
      </c>
      <c r="AE492" s="107">
        <f t="shared" si="504"/>
        <v>1419.9155555555535</v>
      </c>
      <c r="AF492" s="107">
        <f t="shared" si="505"/>
        <v>1277.8599999999979</v>
      </c>
      <c r="AG492" s="107">
        <f t="shared" si="506"/>
        <v>1135.8044444444422</v>
      </c>
      <c r="AH492" s="107">
        <f t="shared" si="507"/>
        <v>993.74888888888665</v>
      </c>
      <c r="AI492" s="107">
        <f t="shared" si="508"/>
        <v>851.69333333333111</v>
      </c>
      <c r="AJ492" s="107">
        <f t="shared" si="509"/>
        <v>709.63777777777557</v>
      </c>
      <c r="AK492" s="107">
        <f t="shared" si="510"/>
        <v>567.58222222222003</v>
      </c>
      <c r="AL492" s="107">
        <f t="shared" si="511"/>
        <v>425.52666666666448</v>
      </c>
      <c r="AM492" s="107">
        <f t="shared" si="512"/>
        <v>283.47111111110894</v>
      </c>
      <c r="AN492" s="107">
        <f t="shared" si="513"/>
        <v>141.4155555555534</v>
      </c>
      <c r="AO492" s="107">
        <v>0</v>
      </c>
      <c r="AP492" s="107"/>
      <c r="AQ492" s="126"/>
      <c r="AR492" s="107">
        <v>0</v>
      </c>
      <c r="AS492" s="107">
        <v>0</v>
      </c>
      <c r="AT492" s="107">
        <v>0</v>
      </c>
      <c r="AU492" s="107">
        <v>0</v>
      </c>
      <c r="AV492" s="107">
        <v>0</v>
      </c>
      <c r="AW492" s="107">
        <v>0</v>
      </c>
      <c r="AX492" s="107">
        <v>0</v>
      </c>
      <c r="AY492" s="107">
        <v>0</v>
      </c>
      <c r="AZ492" s="107">
        <v>0</v>
      </c>
      <c r="BA492" s="107">
        <v>0</v>
      </c>
      <c r="BB492" s="107">
        <v>0</v>
      </c>
      <c r="BC492" s="107">
        <v>0</v>
      </c>
      <c r="BD492" s="107">
        <v>0</v>
      </c>
      <c r="BE492" s="124"/>
      <c r="BI492" s="127"/>
    </row>
    <row r="493" spans="1:75" hidden="1" x14ac:dyDescent="0.2">
      <c r="A493" s="123" t="str">
        <f>'[2]2021 УГРЦТ'!A495</f>
        <v>ЩО 70-3-02 УЗ №3</v>
      </c>
      <c r="B493" s="124" t="str">
        <f>'[2]2021 УГРЦТ'!B495</f>
        <v>00001107</v>
      </c>
      <c r="C493" s="124" t="str">
        <f>VLOOKUP(A:A,'2023-2027'!A:L,1,+FALSE)</f>
        <v>ЩО 70-3-02 УЗ №3</v>
      </c>
      <c r="D493" s="124" t="str">
        <f>'[2]2021 УГРЦТ'!C495</f>
        <v>ПЕРЕДАЧА</v>
      </c>
      <c r="E493" s="124" t="str">
        <f>'[2]2021 УГРЦТ'!D495</f>
        <v>Машины и оборудование (кроме офисного)</v>
      </c>
      <c r="F493" s="124" t="str">
        <f>'[2]2021 УГРЦТ'!E495</f>
        <v>31.12.2008</v>
      </c>
      <c r="G493" s="124" t="str">
        <f>'[2]2021 УГРЦТ'!F495</f>
        <v>Цех электрических сетей</v>
      </c>
      <c r="H493" s="124">
        <f>'[2]2021 УГРЦТ'!AC495</f>
        <v>180</v>
      </c>
      <c r="I493" s="107">
        <f>'[2]2021 УГРЦТ'!X495</f>
        <v>25570</v>
      </c>
      <c r="J493" s="107">
        <f>'[2]2021 УГРЦТ'!Y495</f>
        <v>22161.306666666667</v>
      </c>
      <c r="K493" s="107">
        <f>'[2]2021 УГРЦТ'!Z495</f>
        <v>3408.6933333333327</v>
      </c>
      <c r="L493" s="125" t="e">
        <f>SUMIF([2]облаг!$B$2:$B$259,B493,[2]облаг!$D$2:$D$259)</f>
        <v>#VALUE!</v>
      </c>
      <c r="M493" s="107">
        <f t="shared" si="473"/>
        <v>142.05555555555554</v>
      </c>
      <c r="N493" s="107">
        <f t="shared" si="474"/>
        <v>1704.6666666666665</v>
      </c>
      <c r="O493" s="107">
        <f t="shared" si="475"/>
        <v>3266.637777777777</v>
      </c>
      <c r="P493" s="107">
        <f t="shared" si="476"/>
        <v>3124.5822222222214</v>
      </c>
      <c r="Q493" s="107">
        <f t="shared" si="492"/>
        <v>2982.5266666666657</v>
      </c>
      <c r="R493" s="107">
        <f t="shared" si="493"/>
        <v>2840.4711111111101</v>
      </c>
      <c r="S493" s="107">
        <f t="shared" si="494"/>
        <v>2698.4155555555544</v>
      </c>
      <c r="T493" s="107">
        <f t="shared" si="495"/>
        <v>2556.3599999999988</v>
      </c>
      <c r="U493" s="107">
        <f t="shared" si="496"/>
        <v>2414.3044444444431</v>
      </c>
      <c r="V493" s="107">
        <f t="shared" si="497"/>
        <v>2272.2488888888874</v>
      </c>
      <c r="W493" s="107">
        <f t="shared" si="498"/>
        <v>2130.1933333333318</v>
      </c>
      <c r="X493" s="107">
        <f t="shared" si="499"/>
        <v>1988.1377777777761</v>
      </c>
      <c r="Y493" s="107">
        <f t="shared" si="500"/>
        <v>1846.0822222222205</v>
      </c>
      <c r="Z493" s="107">
        <f t="shared" si="501"/>
        <v>1704.0266666666648</v>
      </c>
      <c r="AA493" s="107"/>
      <c r="AB493" s="107"/>
      <c r="AC493" s="107">
        <f>AD493</f>
        <v>1561.9711111111092</v>
      </c>
      <c r="AD493" s="107">
        <f t="shared" si="503"/>
        <v>1561.9711111111092</v>
      </c>
      <c r="AE493" s="107">
        <f t="shared" si="504"/>
        <v>1419.9155555555535</v>
      </c>
      <c r="AF493" s="107">
        <f t="shared" si="505"/>
        <v>1277.8599999999979</v>
      </c>
      <c r="AG493" s="107">
        <f t="shared" si="506"/>
        <v>1135.8044444444422</v>
      </c>
      <c r="AH493" s="107">
        <f t="shared" si="507"/>
        <v>993.74888888888665</v>
      </c>
      <c r="AI493" s="107">
        <f t="shared" si="508"/>
        <v>851.69333333333111</v>
      </c>
      <c r="AJ493" s="107">
        <f t="shared" si="509"/>
        <v>709.63777777777557</v>
      </c>
      <c r="AK493" s="107">
        <f t="shared" si="510"/>
        <v>567.58222222222003</v>
      </c>
      <c r="AL493" s="107">
        <f t="shared" si="511"/>
        <v>425.52666666666448</v>
      </c>
      <c r="AM493" s="107">
        <f t="shared" si="512"/>
        <v>283.47111111110894</v>
      </c>
      <c r="AN493" s="107">
        <f t="shared" si="513"/>
        <v>141.4155555555534</v>
      </c>
      <c r="AO493" s="107">
        <v>0</v>
      </c>
      <c r="AP493" s="107"/>
      <c r="AQ493" s="126"/>
      <c r="AR493" s="107">
        <v>0</v>
      </c>
      <c r="AS493" s="107">
        <v>0</v>
      </c>
      <c r="AT493" s="107">
        <v>0</v>
      </c>
      <c r="AU493" s="107">
        <v>0</v>
      </c>
      <c r="AV493" s="107">
        <v>0</v>
      </c>
      <c r="AW493" s="107">
        <v>0</v>
      </c>
      <c r="AX493" s="107">
        <v>0</v>
      </c>
      <c r="AY493" s="107">
        <v>0</v>
      </c>
      <c r="AZ493" s="107">
        <v>0</v>
      </c>
      <c r="BA493" s="107">
        <v>0</v>
      </c>
      <c r="BB493" s="107">
        <v>0</v>
      </c>
      <c r="BC493" s="107">
        <v>0</v>
      </c>
      <c r="BD493" s="107">
        <v>0</v>
      </c>
      <c r="BE493" s="124"/>
      <c r="BI493" s="127"/>
    </row>
    <row r="494" spans="1:75" hidden="1" x14ac:dyDescent="0.2">
      <c r="A494" s="123" t="str">
        <f>'[2]2021 УГРЦТ'!A496</f>
        <v>ЩО 70-3-02 УЗ №4</v>
      </c>
      <c r="B494" s="124" t="str">
        <f>'[2]2021 УГРЦТ'!B496</f>
        <v>00001108</v>
      </c>
      <c r="C494" s="124" t="str">
        <f>VLOOKUP(A:A,'2023-2027'!A:L,1,+FALSE)</f>
        <v>ЩО 70-3-02 УЗ №4</v>
      </c>
      <c r="D494" s="124" t="str">
        <f>'[2]2021 УГРЦТ'!C496</f>
        <v>ПЕРЕДАЧА</v>
      </c>
      <c r="E494" s="124" t="str">
        <f>'[2]2021 УГРЦТ'!D496</f>
        <v>Машины и оборудование (кроме офисного)</v>
      </c>
      <c r="F494" s="124" t="str">
        <f>'[2]2021 УГРЦТ'!E496</f>
        <v>31.12.2008</v>
      </c>
      <c r="G494" s="124" t="str">
        <f>'[2]2021 УГРЦТ'!F496</f>
        <v>Цех электрических сетей</v>
      </c>
      <c r="H494" s="124">
        <f>'[2]2021 УГРЦТ'!AC496</f>
        <v>180</v>
      </c>
      <c r="I494" s="107">
        <f>'[2]2021 УГРЦТ'!X496</f>
        <v>25570</v>
      </c>
      <c r="J494" s="107">
        <f>'[2]2021 УГРЦТ'!Y496</f>
        <v>22161.306666666667</v>
      </c>
      <c r="K494" s="107">
        <f>'[2]2021 УГРЦТ'!Z496</f>
        <v>3408.6933333333327</v>
      </c>
      <c r="L494" s="125" t="e">
        <f>SUMIF([2]облаг!$B$2:$B$259,B494,[2]облаг!$D$2:$D$259)</f>
        <v>#VALUE!</v>
      </c>
      <c r="M494" s="107">
        <f t="shared" si="473"/>
        <v>142.05555555555554</v>
      </c>
      <c r="N494" s="107">
        <f t="shared" si="474"/>
        <v>1704.6666666666665</v>
      </c>
      <c r="O494" s="107">
        <f t="shared" si="475"/>
        <v>3266.637777777777</v>
      </c>
      <c r="P494" s="107">
        <f t="shared" si="476"/>
        <v>3124.5822222222214</v>
      </c>
      <c r="Q494" s="107">
        <f t="shared" si="492"/>
        <v>2982.5266666666657</v>
      </c>
      <c r="R494" s="107">
        <f t="shared" si="493"/>
        <v>2840.4711111111101</v>
      </c>
      <c r="S494" s="107">
        <f t="shared" si="494"/>
        <v>2698.4155555555544</v>
      </c>
      <c r="T494" s="107">
        <f t="shared" si="495"/>
        <v>2556.3599999999988</v>
      </c>
      <c r="U494" s="107">
        <f t="shared" si="496"/>
        <v>2414.3044444444431</v>
      </c>
      <c r="V494" s="107">
        <f t="shared" si="497"/>
        <v>2272.2488888888874</v>
      </c>
      <c r="W494" s="107">
        <f t="shared" si="498"/>
        <v>2130.1933333333318</v>
      </c>
      <c r="X494" s="107">
        <f t="shared" si="499"/>
        <v>1988.1377777777761</v>
      </c>
      <c r="Y494" s="107">
        <f t="shared" si="500"/>
        <v>1846.0822222222205</v>
      </c>
      <c r="Z494" s="107">
        <f t="shared" si="501"/>
        <v>1704.0266666666648</v>
      </c>
      <c r="AA494" s="107"/>
      <c r="AB494" s="107"/>
      <c r="AC494" s="107">
        <f>AD494</f>
        <v>1561.9711111111092</v>
      </c>
      <c r="AD494" s="107">
        <f t="shared" si="503"/>
        <v>1561.9711111111092</v>
      </c>
      <c r="AE494" s="107">
        <f t="shared" si="504"/>
        <v>1419.9155555555535</v>
      </c>
      <c r="AF494" s="107">
        <f t="shared" si="505"/>
        <v>1277.8599999999979</v>
      </c>
      <c r="AG494" s="107">
        <f t="shared" si="506"/>
        <v>1135.8044444444422</v>
      </c>
      <c r="AH494" s="107">
        <f t="shared" si="507"/>
        <v>993.74888888888665</v>
      </c>
      <c r="AI494" s="107">
        <f t="shared" si="508"/>
        <v>851.69333333333111</v>
      </c>
      <c r="AJ494" s="107">
        <f t="shared" si="509"/>
        <v>709.63777777777557</v>
      </c>
      <c r="AK494" s="107">
        <f t="shared" si="510"/>
        <v>567.58222222222003</v>
      </c>
      <c r="AL494" s="107">
        <f t="shared" si="511"/>
        <v>425.52666666666448</v>
      </c>
      <c r="AM494" s="107">
        <f t="shared" si="512"/>
        <v>283.47111111110894</v>
      </c>
      <c r="AN494" s="107">
        <f t="shared" si="513"/>
        <v>141.4155555555534</v>
      </c>
      <c r="AO494" s="107">
        <v>0</v>
      </c>
      <c r="AP494" s="107"/>
      <c r="AQ494" s="126"/>
      <c r="AR494" s="107">
        <v>0</v>
      </c>
      <c r="AS494" s="107">
        <v>0</v>
      </c>
      <c r="AT494" s="107">
        <v>0</v>
      </c>
      <c r="AU494" s="107">
        <v>0</v>
      </c>
      <c r="AV494" s="107">
        <v>0</v>
      </c>
      <c r="AW494" s="107">
        <v>0</v>
      </c>
      <c r="AX494" s="107">
        <v>0</v>
      </c>
      <c r="AY494" s="107">
        <v>0</v>
      </c>
      <c r="AZ494" s="107">
        <v>0</v>
      </c>
      <c r="BA494" s="107">
        <v>0</v>
      </c>
      <c r="BB494" s="107">
        <v>0</v>
      </c>
      <c r="BC494" s="107">
        <v>0</v>
      </c>
      <c r="BD494" s="107">
        <v>0</v>
      </c>
      <c r="BE494" s="124"/>
      <c r="BI494" s="127"/>
    </row>
    <row r="495" spans="1:75" hidden="1" x14ac:dyDescent="0.2">
      <c r="A495" s="123" t="str">
        <f>'[2]2021 УГРЦТ'!A497</f>
        <v>ЩО-70-2-72</v>
      </c>
      <c r="B495" s="124" t="str">
        <f>'[2]2021 УГРЦТ'!B497</f>
        <v>000001532</v>
      </c>
      <c r="C495" s="124" t="str">
        <f>VLOOKUP(A:A,'2023-2027'!A:L,1,+FALSE)</f>
        <v>ЩО-70-2-72</v>
      </c>
      <c r="D495" s="124" t="str">
        <f>'[2]2021 УГРЦТ'!C497</f>
        <v>ПЕРЕДАЧА</v>
      </c>
      <c r="E495" s="124" t="str">
        <f>'[2]2021 УГРЦТ'!D497</f>
        <v>Другие виды основных средств</v>
      </c>
      <c r="F495" s="124" t="str">
        <f>'[2]2021 УГРЦТ'!E497</f>
        <v>30.06.2013</v>
      </c>
      <c r="G495" s="124" t="str">
        <f>'[2]2021 УГРЦТ'!F497</f>
        <v>Цех электрических сетей</v>
      </c>
      <c r="H495" s="124">
        <f>'[2]2021 УГРЦТ'!AC497</f>
        <v>180</v>
      </c>
      <c r="I495" s="107">
        <f>'[2]2021 УГРЦТ'!X497</f>
        <v>97454.31</v>
      </c>
      <c r="J495" s="107">
        <f>'[2]2021 УГРЦТ'!Y497</f>
        <v>55223.854000000007</v>
      </c>
      <c r="K495" s="107">
        <f>'[2]2021 УГРЦТ'!Z497</f>
        <v>42230.455999999991</v>
      </c>
      <c r="L495" s="125" t="e">
        <f>SUMIF([2]облаг!$B$2:$B$259,B495,[2]облаг!$D$2:$D$259)</f>
        <v>#VALUE!</v>
      </c>
      <c r="M495" s="107">
        <f t="shared" si="473"/>
        <v>541.41283333333331</v>
      </c>
      <c r="N495" s="107">
        <f t="shared" si="474"/>
        <v>6496.9539999999997</v>
      </c>
      <c r="O495" s="107">
        <f t="shared" si="475"/>
        <v>41689.043166666655</v>
      </c>
      <c r="P495" s="107">
        <f t="shared" si="476"/>
        <v>41147.63033333332</v>
      </c>
      <c r="Q495" s="107">
        <f t="shared" si="492"/>
        <v>40606.217499999984</v>
      </c>
      <c r="R495" s="107">
        <f t="shared" si="493"/>
        <v>40064.804666666649</v>
      </c>
      <c r="S495" s="107">
        <f t="shared" si="494"/>
        <v>39523.391833333313</v>
      </c>
      <c r="T495" s="107">
        <f t="shared" si="495"/>
        <v>38981.978999999978</v>
      </c>
      <c r="U495" s="107">
        <f t="shared" si="496"/>
        <v>38440.566166666642</v>
      </c>
      <c r="V495" s="107">
        <f t="shared" si="497"/>
        <v>37899.153333333306</v>
      </c>
      <c r="W495" s="107">
        <f t="shared" si="498"/>
        <v>37357.740499999971</v>
      </c>
      <c r="X495" s="107">
        <f t="shared" si="499"/>
        <v>36816.327666666635</v>
      </c>
      <c r="Y495" s="107">
        <f t="shared" si="500"/>
        <v>36274.9148333333</v>
      </c>
      <c r="Z495" s="107">
        <f t="shared" si="501"/>
        <v>35733.501999999964</v>
      </c>
      <c r="AA495" s="107"/>
      <c r="AB495" s="107"/>
      <c r="AC495" s="107">
        <f t="shared" si="502"/>
        <v>6496.9539999999997</v>
      </c>
      <c r="AD495" s="107">
        <f t="shared" si="503"/>
        <v>35192.089166666628</v>
      </c>
      <c r="AE495" s="107">
        <f t="shared" si="504"/>
        <v>34650.676333333293</v>
      </c>
      <c r="AF495" s="107">
        <f t="shared" si="505"/>
        <v>34109.263499999957</v>
      </c>
      <c r="AG495" s="107">
        <f t="shared" si="506"/>
        <v>33567.850666666622</v>
      </c>
      <c r="AH495" s="107">
        <f t="shared" si="507"/>
        <v>33026.437833333286</v>
      </c>
      <c r="AI495" s="107">
        <f t="shared" si="508"/>
        <v>32485.024999999954</v>
      </c>
      <c r="AJ495" s="107">
        <f t="shared" si="509"/>
        <v>31943.612166666622</v>
      </c>
      <c r="AK495" s="107">
        <f t="shared" si="510"/>
        <v>31402.19933333329</v>
      </c>
      <c r="AL495" s="107">
        <f t="shared" si="511"/>
        <v>30860.786499999958</v>
      </c>
      <c r="AM495" s="107">
        <f t="shared" si="512"/>
        <v>30319.373666666626</v>
      </c>
      <c r="AN495" s="107">
        <f t="shared" si="513"/>
        <v>29777.960833333294</v>
      </c>
      <c r="AO495" s="107">
        <f t="shared" si="514"/>
        <v>29236.547999999962</v>
      </c>
      <c r="AP495" s="107"/>
      <c r="AQ495" s="126"/>
      <c r="AR495" s="107">
        <f t="shared" si="515"/>
        <v>6496.9539999999997</v>
      </c>
      <c r="AS495" s="107">
        <f>AO495-M495</f>
        <v>28695.135166666631</v>
      </c>
      <c r="AT495" s="107">
        <f>AS495-M495</f>
        <v>28153.722333333299</v>
      </c>
      <c r="AU495" s="107">
        <f>AT495-M495</f>
        <v>27612.309499999967</v>
      </c>
      <c r="AV495" s="107">
        <f>AU495-M495</f>
        <v>27070.896666666635</v>
      </c>
      <c r="AW495" s="107">
        <f>AV495-M495</f>
        <v>26529.483833333303</v>
      </c>
      <c r="AX495" s="107">
        <f>AW495-M495</f>
        <v>25988.070999999971</v>
      </c>
      <c r="AY495" s="107">
        <f>AX495-M495</f>
        <v>25446.658166666639</v>
      </c>
      <c r="AZ495" s="107">
        <f>AY495-M495</f>
        <v>24905.245333333307</v>
      </c>
      <c r="BA495" s="107">
        <f>AZ495-M495</f>
        <v>24363.832499999975</v>
      </c>
      <c r="BB495" s="107">
        <f>BA495-M495</f>
        <v>23822.419666666643</v>
      </c>
      <c r="BC495" s="107">
        <f>BB495-M495</f>
        <v>23281.006833333311</v>
      </c>
      <c r="BD495" s="107">
        <f>BC495-M495</f>
        <v>22739.593999999979</v>
      </c>
      <c r="BE495" s="107"/>
      <c r="BF495" s="127"/>
      <c r="BG495" s="127"/>
      <c r="BH495" s="127"/>
      <c r="BI495" s="127"/>
      <c r="BJ495" s="127"/>
      <c r="BK495" s="127"/>
      <c r="BL495" s="127"/>
      <c r="BM495" s="127"/>
      <c r="BN495" s="127"/>
      <c r="BO495" s="127"/>
      <c r="BP495" s="127"/>
      <c r="BQ495" s="127"/>
      <c r="BR495" s="127"/>
      <c r="BS495" s="127"/>
      <c r="BT495" s="127"/>
      <c r="BU495" s="127"/>
      <c r="BV495" s="127"/>
      <c r="BW495" s="127"/>
    </row>
    <row r="496" spans="1:75" ht="22.5" hidden="1" x14ac:dyDescent="0.2">
      <c r="A496" s="123" t="str">
        <f>'[2]2021 УГРЦТ'!A498</f>
        <v>ЩО-70-3-16УЗ №1 ЛЭП-0,4кВ ТП-43 Водозабор</v>
      </c>
      <c r="B496" s="124" t="str">
        <f>'[2]2021 УГРЦТ'!B498</f>
        <v>00001097</v>
      </c>
      <c r="C496" s="124" t="str">
        <f>VLOOKUP(A:A,'2023-2027'!A:L,1,+FALSE)</f>
        <v>ЩО-70-3-16УЗ №1 ЛЭП-0,4кВ ТП-43 Водозабор</v>
      </c>
      <c r="D496" s="124" t="str">
        <f>'[2]2021 УГРЦТ'!C498</f>
        <v>ПЕРЕДАЧА</v>
      </c>
      <c r="E496" s="124" t="str">
        <f>'[2]2021 УГРЦТ'!D498</f>
        <v>Машины и оборудование (кроме офисного)</v>
      </c>
      <c r="F496" s="124" t="str">
        <f>'[2]2021 УГРЦТ'!E498</f>
        <v>30.11.2008</v>
      </c>
      <c r="G496" s="124" t="str">
        <f>'[2]2021 УГРЦТ'!F498</f>
        <v>Цех электрических сетей</v>
      </c>
      <c r="H496" s="124">
        <f>'[2]2021 УГРЦТ'!AC498</f>
        <v>180</v>
      </c>
      <c r="I496" s="107">
        <f>'[2]2021 УГРЦТ'!X498</f>
        <v>19890</v>
      </c>
      <c r="J496" s="107">
        <f>'[2]2021 УГРЦТ'!Y498</f>
        <v>17348.5</v>
      </c>
      <c r="K496" s="107">
        <f>'[2]2021 УГРЦТ'!Z498</f>
        <v>2541.5</v>
      </c>
      <c r="L496" s="125" t="e">
        <f>SUMIF([2]облаг!$B$2:$B$259,B496,[2]облаг!$D$2:$D$259)</f>
        <v>#VALUE!</v>
      </c>
      <c r="M496" s="107">
        <f t="shared" si="473"/>
        <v>110.5</v>
      </c>
      <c r="N496" s="107">
        <f t="shared" si="474"/>
        <v>1326</v>
      </c>
      <c r="O496" s="107">
        <f t="shared" si="475"/>
        <v>2431</v>
      </c>
      <c r="P496" s="107">
        <f t="shared" si="476"/>
        <v>2320.5</v>
      </c>
      <c r="Q496" s="107">
        <f t="shared" si="492"/>
        <v>2210</v>
      </c>
      <c r="R496" s="107">
        <f t="shared" si="493"/>
        <v>2099.5</v>
      </c>
      <c r="S496" s="107">
        <f t="shared" si="494"/>
        <v>1989</v>
      </c>
      <c r="T496" s="107">
        <f t="shared" si="495"/>
        <v>1878.5</v>
      </c>
      <c r="U496" s="107">
        <f t="shared" si="496"/>
        <v>1768</v>
      </c>
      <c r="V496" s="107">
        <f t="shared" si="497"/>
        <v>1657.5</v>
      </c>
      <c r="W496" s="107">
        <f t="shared" si="498"/>
        <v>1547</v>
      </c>
      <c r="X496" s="107">
        <f t="shared" si="499"/>
        <v>1436.5</v>
      </c>
      <c r="Y496" s="107">
        <f t="shared" si="500"/>
        <v>1326</v>
      </c>
      <c r="Z496" s="107">
        <f t="shared" si="501"/>
        <v>1215.5</v>
      </c>
      <c r="AA496" s="107"/>
      <c r="AB496" s="107"/>
      <c r="AC496" s="107">
        <f>AD496</f>
        <v>1105</v>
      </c>
      <c r="AD496" s="107">
        <f t="shared" si="503"/>
        <v>1105</v>
      </c>
      <c r="AE496" s="107">
        <f t="shared" si="504"/>
        <v>994.5</v>
      </c>
      <c r="AF496" s="107">
        <f t="shared" si="505"/>
        <v>884</v>
      </c>
      <c r="AG496" s="107">
        <f t="shared" si="506"/>
        <v>773.5</v>
      </c>
      <c r="AH496" s="107">
        <f t="shared" si="507"/>
        <v>663</v>
      </c>
      <c r="AI496" s="107">
        <f t="shared" si="508"/>
        <v>552.5</v>
      </c>
      <c r="AJ496" s="107">
        <f t="shared" si="509"/>
        <v>442</v>
      </c>
      <c r="AK496" s="107">
        <f t="shared" si="510"/>
        <v>331.5</v>
      </c>
      <c r="AL496" s="107">
        <f t="shared" si="511"/>
        <v>221</v>
      </c>
      <c r="AM496" s="107">
        <f t="shared" si="512"/>
        <v>110.5</v>
      </c>
      <c r="AN496" s="107">
        <f t="shared" si="513"/>
        <v>0</v>
      </c>
      <c r="AO496" s="107">
        <v>0</v>
      </c>
      <c r="AP496" s="107"/>
      <c r="AQ496" s="126"/>
      <c r="AR496" s="107">
        <v>0</v>
      </c>
      <c r="AS496" s="107">
        <v>0</v>
      </c>
      <c r="AT496" s="107">
        <v>0</v>
      </c>
      <c r="AU496" s="107">
        <v>0</v>
      </c>
      <c r="AV496" s="107">
        <v>0</v>
      </c>
      <c r="AW496" s="107">
        <v>0</v>
      </c>
      <c r="AX496" s="107">
        <v>0</v>
      </c>
      <c r="AY496" s="107">
        <v>0</v>
      </c>
      <c r="AZ496" s="107">
        <v>0</v>
      </c>
      <c r="BA496" s="107">
        <v>0</v>
      </c>
      <c r="BB496" s="107">
        <v>0</v>
      </c>
      <c r="BC496" s="107">
        <v>0</v>
      </c>
      <c r="BD496" s="107">
        <v>0</v>
      </c>
      <c r="BE496" s="124"/>
      <c r="BI496" s="127"/>
    </row>
    <row r="497" spans="1:75" ht="22.5" hidden="1" x14ac:dyDescent="0.2">
      <c r="A497" s="123" t="str">
        <f>'[2]2021 УГРЦТ'!A499</f>
        <v>ЩО-70-3-16УЗ №2 ТП-43 Водозабор</v>
      </c>
      <c r="B497" s="124" t="str">
        <f>'[2]2021 УГРЦТ'!B499</f>
        <v>00001098</v>
      </c>
      <c r="C497" s="124" t="str">
        <f>VLOOKUP(A:A,'2023-2027'!A:L,1,+FALSE)</f>
        <v>ЩО-70-3-16УЗ №2 ТП-43 Водозабор</v>
      </c>
      <c r="D497" s="124" t="str">
        <f>'[2]2021 УГРЦТ'!C499</f>
        <v>ПЕРЕДАЧА</v>
      </c>
      <c r="E497" s="124" t="str">
        <f>'[2]2021 УГРЦТ'!D499</f>
        <v>Машины и оборудование (кроме офисного)</v>
      </c>
      <c r="F497" s="124" t="str">
        <f>'[2]2021 УГРЦТ'!E499</f>
        <v>30.11.2008</v>
      </c>
      <c r="G497" s="124" t="str">
        <f>'[2]2021 УГРЦТ'!F499</f>
        <v>Цех электрических сетей</v>
      </c>
      <c r="H497" s="124">
        <f>'[2]2021 УГРЦТ'!AC499</f>
        <v>180</v>
      </c>
      <c r="I497" s="107">
        <f>'[2]2021 УГРЦТ'!X499</f>
        <v>19890</v>
      </c>
      <c r="J497" s="107">
        <f>'[2]2021 УГРЦТ'!Y499</f>
        <v>17348.5</v>
      </c>
      <c r="K497" s="107">
        <f>'[2]2021 УГРЦТ'!Z499</f>
        <v>2541.5</v>
      </c>
      <c r="L497" s="125" t="e">
        <f>SUMIF([2]облаг!$B$2:$B$259,B497,[2]облаг!$D$2:$D$259)</f>
        <v>#VALUE!</v>
      </c>
      <c r="M497" s="107">
        <f t="shared" si="473"/>
        <v>110.5</v>
      </c>
      <c r="N497" s="107">
        <f t="shared" si="474"/>
        <v>1326</v>
      </c>
      <c r="O497" s="107">
        <f t="shared" si="475"/>
        <v>2431</v>
      </c>
      <c r="P497" s="107">
        <f t="shared" si="476"/>
        <v>2320.5</v>
      </c>
      <c r="Q497" s="107">
        <f t="shared" si="492"/>
        <v>2210</v>
      </c>
      <c r="R497" s="107">
        <f t="shared" si="493"/>
        <v>2099.5</v>
      </c>
      <c r="S497" s="107">
        <f t="shared" si="494"/>
        <v>1989</v>
      </c>
      <c r="T497" s="107">
        <f t="shared" si="495"/>
        <v>1878.5</v>
      </c>
      <c r="U497" s="107">
        <f t="shared" si="496"/>
        <v>1768</v>
      </c>
      <c r="V497" s="107">
        <f t="shared" si="497"/>
        <v>1657.5</v>
      </c>
      <c r="W497" s="107">
        <f t="shared" si="498"/>
        <v>1547</v>
      </c>
      <c r="X497" s="107">
        <f t="shared" si="499"/>
        <v>1436.5</v>
      </c>
      <c r="Y497" s="107">
        <f t="shared" si="500"/>
        <v>1326</v>
      </c>
      <c r="Z497" s="107">
        <f t="shared" si="501"/>
        <v>1215.5</v>
      </c>
      <c r="AA497" s="107"/>
      <c r="AB497" s="107"/>
      <c r="AC497" s="107">
        <f>AD497</f>
        <v>1105</v>
      </c>
      <c r="AD497" s="107">
        <f t="shared" si="503"/>
        <v>1105</v>
      </c>
      <c r="AE497" s="107">
        <f t="shared" si="504"/>
        <v>994.5</v>
      </c>
      <c r="AF497" s="107">
        <f t="shared" si="505"/>
        <v>884</v>
      </c>
      <c r="AG497" s="107">
        <f t="shared" si="506"/>
        <v>773.5</v>
      </c>
      <c r="AH497" s="107">
        <f t="shared" si="507"/>
        <v>663</v>
      </c>
      <c r="AI497" s="107">
        <f t="shared" si="508"/>
        <v>552.5</v>
      </c>
      <c r="AJ497" s="107">
        <f t="shared" si="509"/>
        <v>442</v>
      </c>
      <c r="AK497" s="107">
        <f t="shared" si="510"/>
        <v>331.5</v>
      </c>
      <c r="AL497" s="107">
        <f t="shared" si="511"/>
        <v>221</v>
      </c>
      <c r="AM497" s="107">
        <f t="shared" si="512"/>
        <v>110.5</v>
      </c>
      <c r="AN497" s="107">
        <f t="shared" si="513"/>
        <v>0</v>
      </c>
      <c r="AO497" s="107">
        <v>0</v>
      </c>
      <c r="AP497" s="107"/>
      <c r="AQ497" s="126"/>
      <c r="AR497" s="107">
        <v>0</v>
      </c>
      <c r="AS497" s="107">
        <v>0</v>
      </c>
      <c r="AT497" s="107">
        <v>0</v>
      </c>
      <c r="AU497" s="107">
        <v>0</v>
      </c>
      <c r="AV497" s="107">
        <v>0</v>
      </c>
      <c r="AW497" s="107">
        <v>0</v>
      </c>
      <c r="AX497" s="107">
        <v>0</v>
      </c>
      <c r="AY497" s="107">
        <v>0</v>
      </c>
      <c r="AZ497" s="107">
        <v>0</v>
      </c>
      <c r="BA497" s="107">
        <v>0</v>
      </c>
      <c r="BB497" s="107">
        <v>0</v>
      </c>
      <c r="BC497" s="107">
        <v>0</v>
      </c>
      <c r="BD497" s="107">
        <v>0</v>
      </c>
      <c r="BE497" s="124"/>
      <c r="BI497" s="127"/>
    </row>
    <row r="498" spans="1:75" ht="22.5" hidden="1" x14ac:dyDescent="0.2">
      <c r="A498" s="123" t="str">
        <f>'[2]2021 УГРЦТ'!A500</f>
        <v>Э/освещение и силовое э/обор ТП-67 шк№5  2000г.</v>
      </c>
      <c r="B498" s="124" t="str">
        <f>'[2]2021 УГРЦТ'!B500</f>
        <v>00000261</v>
      </c>
      <c r="C498" s="124" t="str">
        <f>VLOOKUP(A:A,'2023-2027'!A:L,1,+FALSE)</f>
        <v>Э/освещение и силовое э/обор ТП-67 шк№5  2000г.</v>
      </c>
      <c r="D498" s="124" t="str">
        <f>'[2]2021 УГРЦТ'!C500</f>
        <v>ПЕРЕДАЧА</v>
      </c>
      <c r="E498" s="124" t="str">
        <f>'[2]2021 УГРЦТ'!D500</f>
        <v>Сооружения</v>
      </c>
      <c r="F498" s="124" t="str">
        <f>'[2]2021 УГРЦТ'!E500</f>
        <v>01.05.2000</v>
      </c>
      <c r="G498" s="124" t="str">
        <f>'[2]2021 УГРЦТ'!F500</f>
        <v>Цех электрических сетей</v>
      </c>
      <c r="H498" s="124">
        <f>'[2]2021 УГРЦТ'!AC500</f>
        <v>300</v>
      </c>
      <c r="I498" s="107">
        <f>'[2]2021 УГРЦТ'!X500</f>
        <v>33157</v>
      </c>
      <c r="J498" s="107">
        <f>'[2]2021 УГРЦТ'!Y500</f>
        <v>28836.14</v>
      </c>
      <c r="K498" s="107">
        <f>'[2]2021 УГРЦТ'!Z500</f>
        <v>4320.8600000000006</v>
      </c>
      <c r="L498" s="125" t="e">
        <f>SUMIF([2]облаг!$B$2:$B$259,B498,[2]облаг!$D$2:$D$259)</f>
        <v>#VALUE!</v>
      </c>
      <c r="M498" s="107">
        <f t="shared" si="473"/>
        <v>110.52333333333333</v>
      </c>
      <c r="N498" s="107">
        <f t="shared" si="474"/>
        <v>1326.28</v>
      </c>
      <c r="O498" s="107">
        <f t="shared" si="475"/>
        <v>4210.336666666667</v>
      </c>
      <c r="P498" s="107">
        <f t="shared" si="476"/>
        <v>4099.8133333333335</v>
      </c>
      <c r="Q498" s="107">
        <f t="shared" si="492"/>
        <v>3989.29</v>
      </c>
      <c r="R498" s="107">
        <f t="shared" si="493"/>
        <v>3878.7666666666664</v>
      </c>
      <c r="S498" s="107">
        <f t="shared" si="494"/>
        <v>3768.2433333333329</v>
      </c>
      <c r="T498" s="107">
        <f t="shared" si="495"/>
        <v>3657.7199999999993</v>
      </c>
      <c r="U498" s="107">
        <f t="shared" si="496"/>
        <v>3547.1966666666658</v>
      </c>
      <c r="V498" s="107">
        <f t="shared" si="497"/>
        <v>3436.6733333333323</v>
      </c>
      <c r="W498" s="107">
        <f t="shared" si="498"/>
        <v>3326.1499999999987</v>
      </c>
      <c r="X498" s="107">
        <f t="shared" si="499"/>
        <v>3215.6266666666652</v>
      </c>
      <c r="Y498" s="107">
        <f t="shared" si="500"/>
        <v>3105.1033333333316</v>
      </c>
      <c r="Z498" s="107">
        <f t="shared" si="501"/>
        <v>2994.5799999999981</v>
      </c>
      <c r="AA498" s="107">
        <f t="shared" ref="AA498:AA503" si="516">SUM(O498:Z498,K498)/13*$AA$2</f>
        <v>80.469839999999976</v>
      </c>
      <c r="AB498" s="107"/>
      <c r="AC498" s="107">
        <f t="shared" si="502"/>
        <v>1326.28</v>
      </c>
      <c r="AD498" s="107">
        <f t="shared" si="503"/>
        <v>2884.0566666666646</v>
      </c>
      <c r="AE498" s="107">
        <f t="shared" si="504"/>
        <v>2773.533333333331</v>
      </c>
      <c r="AF498" s="107">
        <f t="shared" si="505"/>
        <v>2663.0099999999975</v>
      </c>
      <c r="AG498" s="107">
        <f t="shared" si="506"/>
        <v>2552.486666666664</v>
      </c>
      <c r="AH498" s="107">
        <f t="shared" si="507"/>
        <v>2441.9633333333304</v>
      </c>
      <c r="AI498" s="107">
        <f t="shared" si="508"/>
        <v>2331.4399999999969</v>
      </c>
      <c r="AJ498" s="107">
        <f t="shared" si="509"/>
        <v>2220.9166666666633</v>
      </c>
      <c r="AK498" s="107">
        <f t="shared" si="510"/>
        <v>2110.3933333333298</v>
      </c>
      <c r="AL498" s="107">
        <f t="shared" si="511"/>
        <v>1999.8699999999965</v>
      </c>
      <c r="AM498" s="107">
        <f t="shared" si="512"/>
        <v>1889.3466666666632</v>
      </c>
      <c r="AN498" s="107">
        <f t="shared" si="513"/>
        <v>1778.8233333333299</v>
      </c>
      <c r="AO498" s="107">
        <f t="shared" si="514"/>
        <v>1668.2999999999965</v>
      </c>
      <c r="AP498" s="107">
        <f t="shared" ref="AP498:AP503" si="517">SUM(AD498:AO498,Z498)/13*$AP$2</f>
        <v>51.291679999999928</v>
      </c>
      <c r="AQ498" s="126"/>
      <c r="AR498" s="107">
        <f t="shared" si="515"/>
        <v>1326.28</v>
      </c>
      <c r="AS498" s="107">
        <f>AO498-M498</f>
        <v>1557.7766666666632</v>
      </c>
      <c r="AT498" s="107">
        <f>AS498-M498</f>
        <v>1447.2533333333299</v>
      </c>
      <c r="AU498" s="107">
        <f>AT498-M498</f>
        <v>1336.7299999999966</v>
      </c>
      <c r="AV498" s="107">
        <f>AU498-M498</f>
        <v>1226.2066666666633</v>
      </c>
      <c r="AW498" s="107">
        <f>AV498-M498</f>
        <v>1115.68333333333</v>
      </c>
      <c r="AX498" s="107">
        <f>AW498-M498</f>
        <v>1005.1599999999967</v>
      </c>
      <c r="AY498" s="107">
        <f>AX498-M498</f>
        <v>894.63666666666336</v>
      </c>
      <c r="AZ498" s="107">
        <f>AY498-M498</f>
        <v>784.11333333333005</v>
      </c>
      <c r="BA498" s="107">
        <f>AZ498-M498</f>
        <v>673.58999999999673</v>
      </c>
      <c r="BB498" s="107">
        <f>BA498-M498</f>
        <v>563.06666666666342</v>
      </c>
      <c r="BC498" s="107">
        <f>BB498-M498</f>
        <v>452.54333333333011</v>
      </c>
      <c r="BD498" s="107">
        <f>BC498-M498</f>
        <v>342.0199999999968</v>
      </c>
      <c r="BE498" s="107">
        <f t="shared" ref="BE498:BE503" si="518">SUM(AS498:BD498,AO498)/13*$BE$2</f>
        <v>22.113519999999919</v>
      </c>
      <c r="BF498" s="127"/>
      <c r="BG498" s="127"/>
      <c r="BI498" s="127"/>
      <c r="BJ498" s="127"/>
      <c r="BK498" s="127"/>
      <c r="BL498" s="127"/>
      <c r="BM498" s="127"/>
      <c r="BN498" s="127"/>
      <c r="BO498" s="127"/>
      <c r="BP498" s="127"/>
      <c r="BQ498" s="127"/>
      <c r="BR498" s="127"/>
      <c r="BS498" s="127"/>
      <c r="BT498" s="127"/>
      <c r="BU498" s="127"/>
      <c r="BV498" s="127"/>
    </row>
    <row r="499" spans="1:75" ht="22.5" hidden="1" x14ac:dyDescent="0.2">
      <c r="A499" s="123" t="str">
        <f>'[2]2021 УГРЦТ'!A501</f>
        <v>Эл линии н/в 0,4кв Явт, Авиат, Смидов  1998г.</v>
      </c>
      <c r="B499" s="124" t="str">
        <f>'[2]2021 УГРЦТ'!B501</f>
        <v>00000185</v>
      </c>
      <c r="C499" s="124" t="str">
        <f>VLOOKUP(A:A,'2023-2027'!A:L,1,+FALSE)</f>
        <v>Эл линии н/в 0,4кв Явт, Авиат, Смидов  1998г.</v>
      </c>
      <c r="D499" s="124" t="str">
        <f>'[2]2021 УГРЦТ'!C501</f>
        <v>ПЕРЕДАЧА</v>
      </c>
      <c r="E499" s="124" t="str">
        <f>'[2]2021 УГРЦТ'!D501</f>
        <v>Сооружения</v>
      </c>
      <c r="F499" s="124" t="str">
        <f>'[2]2021 УГРЦТ'!E501</f>
        <v>01.02.1998</v>
      </c>
      <c r="G499" s="124" t="str">
        <f>'[2]2021 УГРЦТ'!F501</f>
        <v>Цех электрических сетей</v>
      </c>
      <c r="H499" s="124">
        <f>'[2]2021 УГРЦТ'!AC501</f>
        <v>499</v>
      </c>
      <c r="I499" s="107">
        <f>'[2]2021 УГРЦТ'!X501</f>
        <v>917034.04</v>
      </c>
      <c r="J499" s="107">
        <f>'[2]2021 УГРЦТ'!Y501</f>
        <v>250470.62</v>
      </c>
      <c r="K499" s="107">
        <f>'[2]2021 УГРЦТ'!Z501</f>
        <v>666563.42000000004</v>
      </c>
      <c r="L499" s="125" t="e">
        <f>SUMIF([2]облаг!$B$2:$B$259,B499,[2]облаг!$D$2:$D$259)</f>
        <v>#VALUE!</v>
      </c>
      <c r="M499" s="107">
        <f t="shared" si="473"/>
        <v>1837.7435671342687</v>
      </c>
      <c r="N499" s="107">
        <f t="shared" si="474"/>
        <v>22052.922805611226</v>
      </c>
      <c r="O499" s="107">
        <f t="shared" si="475"/>
        <v>664725.67643286579</v>
      </c>
      <c r="P499" s="107">
        <f t="shared" si="476"/>
        <v>662887.93286573153</v>
      </c>
      <c r="Q499" s="107">
        <f t="shared" si="492"/>
        <v>661050.18929859728</v>
      </c>
      <c r="R499" s="107">
        <f t="shared" si="493"/>
        <v>659212.44573146303</v>
      </c>
      <c r="S499" s="107">
        <f t="shared" si="494"/>
        <v>657374.70216432877</v>
      </c>
      <c r="T499" s="107">
        <f t="shared" si="495"/>
        <v>655536.95859719452</v>
      </c>
      <c r="U499" s="107">
        <f t="shared" si="496"/>
        <v>653699.21503006027</v>
      </c>
      <c r="V499" s="107">
        <f t="shared" si="497"/>
        <v>651861.47146292601</v>
      </c>
      <c r="W499" s="107">
        <f t="shared" si="498"/>
        <v>650023.72789579176</v>
      </c>
      <c r="X499" s="107">
        <f t="shared" si="499"/>
        <v>648185.98432865751</v>
      </c>
      <c r="Y499" s="107">
        <f t="shared" si="500"/>
        <v>646348.24076152325</v>
      </c>
      <c r="Z499" s="107">
        <f t="shared" si="501"/>
        <v>644510.497194389</v>
      </c>
      <c r="AA499" s="107">
        <f t="shared" si="516"/>
        <v>14421.813089138279</v>
      </c>
      <c r="AB499" s="107"/>
      <c r="AC499" s="107">
        <f t="shared" si="502"/>
        <v>22052.922805611226</v>
      </c>
      <c r="AD499" s="107">
        <f t="shared" si="503"/>
        <v>642672.75362725474</v>
      </c>
      <c r="AE499" s="107">
        <f t="shared" si="504"/>
        <v>640835.01006012049</v>
      </c>
      <c r="AF499" s="107">
        <f t="shared" si="505"/>
        <v>638997.26649298624</v>
      </c>
      <c r="AG499" s="107">
        <f t="shared" si="506"/>
        <v>637159.52292585198</v>
      </c>
      <c r="AH499" s="107">
        <f t="shared" si="507"/>
        <v>635321.77935871773</v>
      </c>
      <c r="AI499" s="107">
        <f t="shared" si="508"/>
        <v>633484.03579158348</v>
      </c>
      <c r="AJ499" s="107">
        <f t="shared" si="509"/>
        <v>631646.29222444922</v>
      </c>
      <c r="AK499" s="107">
        <f t="shared" si="510"/>
        <v>629808.54865731497</v>
      </c>
      <c r="AL499" s="107">
        <f t="shared" si="511"/>
        <v>627970.80509018071</v>
      </c>
      <c r="AM499" s="107">
        <f t="shared" si="512"/>
        <v>626133.06152304646</v>
      </c>
      <c r="AN499" s="107">
        <f t="shared" si="513"/>
        <v>624295.31795591221</v>
      </c>
      <c r="AO499" s="107">
        <f t="shared" si="514"/>
        <v>622457.57438877795</v>
      </c>
      <c r="AP499" s="107">
        <f t="shared" si="517"/>
        <v>13936.648787414835</v>
      </c>
      <c r="AQ499" s="126"/>
      <c r="AR499" s="107">
        <f t="shared" si="515"/>
        <v>22052.922805611226</v>
      </c>
      <c r="AS499" s="107">
        <f>AO499-M499</f>
        <v>620619.8308216437</v>
      </c>
      <c r="AT499" s="107">
        <f>AS499-M499</f>
        <v>618782.08725450945</v>
      </c>
      <c r="AU499" s="107">
        <f>AT499-M499</f>
        <v>616944.34368737519</v>
      </c>
      <c r="AV499" s="107">
        <f>AU499-M499</f>
        <v>615106.60012024094</v>
      </c>
      <c r="AW499" s="107">
        <f>AV499-M499</f>
        <v>613268.85655310669</v>
      </c>
      <c r="AX499" s="107">
        <f>AW499-M499</f>
        <v>611431.11298597243</v>
      </c>
      <c r="AY499" s="107">
        <f>AX499-M499</f>
        <v>609593.36941883818</v>
      </c>
      <c r="AZ499" s="107">
        <f>AY499-M499</f>
        <v>607755.62585170392</v>
      </c>
      <c r="BA499" s="107">
        <f>AZ499-M499</f>
        <v>605917.88228456967</v>
      </c>
      <c r="BB499" s="107">
        <f>BA499-M499</f>
        <v>604080.13871743542</v>
      </c>
      <c r="BC499" s="107">
        <f>BB499-M499</f>
        <v>602242.39515030116</v>
      </c>
      <c r="BD499" s="107">
        <f>BC499-M499</f>
        <v>600404.65158316691</v>
      </c>
      <c r="BE499" s="107">
        <f t="shared" si="518"/>
        <v>13451.484485691393</v>
      </c>
      <c r="BF499" s="127"/>
      <c r="BG499" s="127"/>
      <c r="BH499" s="127"/>
      <c r="BI499" s="127"/>
      <c r="BJ499" s="127"/>
      <c r="BK499" s="127"/>
      <c r="BL499" s="127"/>
      <c r="BM499" s="127"/>
      <c r="BN499" s="127"/>
      <c r="BO499" s="127"/>
      <c r="BP499" s="127"/>
      <c r="BQ499" s="127"/>
      <c r="BR499" s="127"/>
      <c r="BS499" s="127"/>
      <c r="BT499" s="127"/>
      <c r="BU499" s="127"/>
      <c r="BV499" s="127"/>
      <c r="BW499" s="127"/>
    </row>
    <row r="500" spans="1:75" ht="22.5" hidden="1" x14ac:dyDescent="0.2">
      <c r="A500" s="123" t="str">
        <f>'[2]2021 УГРЦТ'!A502</f>
        <v>Эл линия в/в 6 кв нефтебаза  5996м 1979г</v>
      </c>
      <c r="B500" s="124" t="str">
        <f>'[2]2021 УГРЦТ'!B502</f>
        <v>00000507</v>
      </c>
      <c r="C500" s="124" t="str">
        <f>VLOOKUP(A:A,'2023-2027'!A:L,1,+FALSE)</f>
        <v>Эл линия в/в 6 кв нефтебаза  5996м 1979г</v>
      </c>
      <c r="D500" s="124" t="str">
        <f>'[2]2021 УГРЦТ'!C502</f>
        <v>ПЕРЕДАЧА</v>
      </c>
      <c r="E500" s="124" t="str">
        <f>'[2]2021 УГРЦТ'!D502</f>
        <v>Сооружения</v>
      </c>
      <c r="F500" s="124" t="str">
        <f>'[2]2021 УГРЦТ'!E502</f>
        <v>01.01.1979</v>
      </c>
      <c r="G500" s="124" t="str">
        <f>'[2]2021 УГРЦТ'!F502</f>
        <v>Цех электрических сетей</v>
      </c>
      <c r="H500" s="124">
        <f>'[2]2021 УГРЦТ'!AC502</f>
        <v>180</v>
      </c>
      <c r="I500" s="107">
        <f>'[2]2021 УГРЦТ'!X502</f>
        <v>2614006.4</v>
      </c>
      <c r="J500" s="107">
        <f>'[2]2021 УГРЦТ'!Y502</f>
        <v>1190176.74</v>
      </c>
      <c r="K500" s="107">
        <f>'[2]2021 УГРЦТ'!Z502</f>
        <v>1423829.66</v>
      </c>
      <c r="L500" s="125" t="e">
        <f>SUMIF([2]облаг!$B$2:$B$259,B500,[2]облаг!$D$2:$D$259)</f>
        <v>#VALUE!</v>
      </c>
      <c r="M500" s="107">
        <f t="shared" si="473"/>
        <v>14522.257777777777</v>
      </c>
      <c r="N500" s="107">
        <f t="shared" si="474"/>
        <v>174267.09333333332</v>
      </c>
      <c r="O500" s="107">
        <f t="shared" si="475"/>
        <v>1409307.4022222222</v>
      </c>
      <c r="P500" s="107">
        <f t="shared" si="476"/>
        <v>1394785.1444444444</v>
      </c>
      <c r="Q500" s="107">
        <f t="shared" si="492"/>
        <v>1380262.8866666667</v>
      </c>
      <c r="R500" s="107">
        <f t="shared" si="493"/>
        <v>1365740.628888889</v>
      </c>
      <c r="S500" s="107">
        <f t="shared" si="494"/>
        <v>1351218.3711111112</v>
      </c>
      <c r="T500" s="107">
        <f t="shared" si="495"/>
        <v>1336696.1133333335</v>
      </c>
      <c r="U500" s="107">
        <f t="shared" si="496"/>
        <v>1322173.8555555558</v>
      </c>
      <c r="V500" s="107">
        <f t="shared" si="497"/>
        <v>1307651.597777778</v>
      </c>
      <c r="W500" s="107">
        <f t="shared" si="498"/>
        <v>1293129.3400000003</v>
      </c>
      <c r="X500" s="107">
        <f t="shared" si="499"/>
        <v>1278607.0822222226</v>
      </c>
      <c r="Y500" s="107">
        <f t="shared" si="500"/>
        <v>1264084.8244444449</v>
      </c>
      <c r="Z500" s="107">
        <f t="shared" si="501"/>
        <v>1249562.5666666671</v>
      </c>
      <c r="AA500" s="107">
        <f t="shared" si="516"/>
        <v>29407.314493333335</v>
      </c>
      <c r="AB500" s="107"/>
      <c r="AC500" s="107">
        <f t="shared" si="502"/>
        <v>174267.09333333332</v>
      </c>
      <c r="AD500" s="107">
        <f t="shared" si="503"/>
        <v>1235040.3088888894</v>
      </c>
      <c r="AE500" s="107">
        <f t="shared" si="504"/>
        <v>1220518.0511111117</v>
      </c>
      <c r="AF500" s="107">
        <f t="shared" si="505"/>
        <v>1205995.7933333339</v>
      </c>
      <c r="AG500" s="107">
        <f t="shared" si="506"/>
        <v>1191473.5355555562</v>
      </c>
      <c r="AH500" s="107">
        <f t="shared" si="507"/>
        <v>1176951.2777777785</v>
      </c>
      <c r="AI500" s="107">
        <f t="shared" si="508"/>
        <v>1162429.0200000007</v>
      </c>
      <c r="AJ500" s="107">
        <f t="shared" si="509"/>
        <v>1147906.762222223</v>
      </c>
      <c r="AK500" s="107">
        <f t="shared" si="510"/>
        <v>1133384.5044444453</v>
      </c>
      <c r="AL500" s="107">
        <f t="shared" si="511"/>
        <v>1118862.2466666675</v>
      </c>
      <c r="AM500" s="107">
        <f t="shared" si="512"/>
        <v>1104339.9888888898</v>
      </c>
      <c r="AN500" s="107">
        <f t="shared" si="513"/>
        <v>1089817.7311111121</v>
      </c>
      <c r="AO500" s="107">
        <f t="shared" si="514"/>
        <v>1075295.4733333343</v>
      </c>
      <c r="AP500" s="107">
        <f t="shared" si="517"/>
        <v>25573.43844000002</v>
      </c>
      <c r="AQ500" s="126"/>
      <c r="AR500" s="107">
        <f t="shared" si="515"/>
        <v>174267.09333333332</v>
      </c>
      <c r="AS500" s="107">
        <f>AO500-M500</f>
        <v>1060773.2155555566</v>
      </c>
      <c r="AT500" s="107">
        <f>AS500-M500</f>
        <v>1046250.9577777789</v>
      </c>
      <c r="AU500" s="107">
        <f>AT500-M500</f>
        <v>1031728.7000000011</v>
      </c>
      <c r="AV500" s="107">
        <f>AU500-M500</f>
        <v>1017206.4422222234</v>
      </c>
      <c r="AW500" s="107">
        <f>AV500-M500</f>
        <v>1002684.1844444457</v>
      </c>
      <c r="AX500" s="107">
        <f>AW500-M500</f>
        <v>988161.92666666792</v>
      </c>
      <c r="AY500" s="107">
        <f>AX500-M500</f>
        <v>973639.66888889018</v>
      </c>
      <c r="AZ500" s="107">
        <f>AY500-M500</f>
        <v>959117.41111111245</v>
      </c>
      <c r="BA500" s="107">
        <f>AZ500-M500</f>
        <v>944595.15333333472</v>
      </c>
      <c r="BB500" s="107">
        <f>BA500-M500</f>
        <v>930072.89555555698</v>
      </c>
      <c r="BC500" s="107">
        <f>BB500-M500</f>
        <v>915550.63777777925</v>
      </c>
      <c r="BD500" s="107">
        <f>BC500-M500</f>
        <v>901028.38000000152</v>
      </c>
      <c r="BE500" s="107">
        <f t="shared" si="518"/>
        <v>21739.562386666694</v>
      </c>
      <c r="BF500" s="127"/>
      <c r="BG500" s="127"/>
      <c r="BH500" s="127"/>
      <c r="BI500" s="127"/>
      <c r="BJ500" s="127"/>
      <c r="BK500" s="127"/>
      <c r="BL500" s="127"/>
      <c r="BM500" s="127"/>
      <c r="BN500" s="127"/>
      <c r="BO500" s="127"/>
      <c r="BP500" s="127"/>
      <c r="BQ500" s="127"/>
      <c r="BR500" s="127"/>
      <c r="BS500" s="127"/>
      <c r="BT500" s="127"/>
      <c r="BU500" s="127"/>
      <c r="BV500" s="127"/>
      <c r="BW500" s="127"/>
    </row>
    <row r="501" spans="1:75" ht="22.5" hidden="1" x14ac:dyDescent="0.2">
      <c r="A501" s="123" t="str">
        <f>'[2]2021 УГРЦТ'!A503</f>
        <v>Эл линия ул 60 лет СССР 1988г.  190м</v>
      </c>
      <c r="B501" s="124" t="str">
        <f>'[2]2021 УГРЦТ'!B503</f>
        <v>00000174</v>
      </c>
      <c r="C501" s="124" t="str">
        <f>VLOOKUP(A:A,'2023-2027'!A:L,1,+FALSE)</f>
        <v>Эл линия ул 60 лет СССР 1988г.  190м</v>
      </c>
      <c r="D501" s="124" t="str">
        <f>'[2]2021 УГРЦТ'!C503</f>
        <v>ПЕРЕДАЧА</v>
      </c>
      <c r="E501" s="124" t="str">
        <f>'[2]2021 УГРЦТ'!D503</f>
        <v>Сооружения</v>
      </c>
      <c r="F501" s="124" t="str">
        <f>'[2]2021 УГРЦТ'!E503</f>
        <v>01.01.1988</v>
      </c>
      <c r="G501" s="124" t="str">
        <f>'[2]2021 УГРЦТ'!F503</f>
        <v>Цех электрических сетей</v>
      </c>
      <c r="H501" s="124">
        <f>'[2]2021 УГРЦТ'!AC503</f>
        <v>84</v>
      </c>
      <c r="I501" s="107">
        <f>'[2]2021 УГРЦТ'!X503</f>
        <v>664789.04</v>
      </c>
      <c r="J501" s="107">
        <f>'[2]2021 УГРЦТ'!Y503</f>
        <v>589098.43999999994</v>
      </c>
      <c r="K501" s="107">
        <f>'[2]2021 УГРЦТ'!Z503</f>
        <v>75690.600000000093</v>
      </c>
      <c r="L501" s="125" t="e">
        <f>SUMIF([2]облаг!$B$2:$B$259,B501,[2]облаг!$D$2:$D$259)</f>
        <v>#VALUE!</v>
      </c>
      <c r="M501" s="107">
        <f t="shared" si="473"/>
        <v>7914.1552380952389</v>
      </c>
      <c r="N501" s="107">
        <f>O501</f>
        <v>67776.444761904859</v>
      </c>
      <c r="O501" s="107">
        <f t="shared" si="475"/>
        <v>67776.444761904859</v>
      </c>
      <c r="P501" s="107">
        <f t="shared" si="476"/>
        <v>59862.289523809617</v>
      </c>
      <c r="Q501" s="107">
        <f t="shared" si="492"/>
        <v>51948.134285714375</v>
      </c>
      <c r="R501" s="107">
        <f t="shared" si="493"/>
        <v>44033.979047619134</v>
      </c>
      <c r="S501" s="107">
        <f t="shared" si="494"/>
        <v>36119.823809523892</v>
      </c>
      <c r="T501" s="107">
        <f t="shared" si="495"/>
        <v>28205.668571428654</v>
      </c>
      <c r="U501" s="107">
        <f t="shared" si="496"/>
        <v>20291.513333333416</v>
      </c>
      <c r="V501" s="107">
        <f t="shared" si="497"/>
        <v>12377.358095238178</v>
      </c>
      <c r="W501" s="107">
        <f t="shared" si="498"/>
        <v>4463.2028571429391</v>
      </c>
      <c r="X501" s="107">
        <v>0</v>
      </c>
      <c r="Y501" s="107">
        <v>0</v>
      </c>
      <c r="Z501" s="107">
        <v>0</v>
      </c>
      <c r="AA501" s="107">
        <f t="shared" si="516"/>
        <v>678.2244857142872</v>
      </c>
      <c r="AB501" s="107"/>
      <c r="AC501" s="107">
        <v>0</v>
      </c>
      <c r="AD501" s="107">
        <v>0</v>
      </c>
      <c r="AE501" s="107">
        <v>0</v>
      </c>
      <c r="AF501" s="107">
        <v>0</v>
      </c>
      <c r="AG501" s="107">
        <v>0</v>
      </c>
      <c r="AH501" s="107">
        <v>0</v>
      </c>
      <c r="AI501" s="107">
        <v>0</v>
      </c>
      <c r="AJ501" s="107">
        <v>0</v>
      </c>
      <c r="AK501" s="107">
        <v>0</v>
      </c>
      <c r="AL501" s="107">
        <v>0</v>
      </c>
      <c r="AM501" s="107">
        <v>0</v>
      </c>
      <c r="AN501" s="107">
        <v>0</v>
      </c>
      <c r="AO501" s="107">
        <v>0</v>
      </c>
      <c r="AP501" s="107">
        <f t="shared" si="517"/>
        <v>0</v>
      </c>
      <c r="AQ501" s="126"/>
      <c r="AR501" s="107">
        <v>0</v>
      </c>
      <c r="AS501" s="107">
        <v>0</v>
      </c>
      <c r="AT501" s="107">
        <v>0</v>
      </c>
      <c r="AU501" s="107">
        <v>0</v>
      </c>
      <c r="AV501" s="107">
        <v>0</v>
      </c>
      <c r="AW501" s="107">
        <v>0</v>
      </c>
      <c r="AX501" s="107">
        <v>0</v>
      </c>
      <c r="AY501" s="107">
        <v>0</v>
      </c>
      <c r="AZ501" s="107">
        <v>0</v>
      </c>
      <c r="BA501" s="107">
        <v>0</v>
      </c>
      <c r="BB501" s="107">
        <v>0</v>
      </c>
      <c r="BC501" s="107">
        <v>0</v>
      </c>
      <c r="BD501" s="107">
        <v>0</v>
      </c>
      <c r="BE501" s="107">
        <f t="shared" si="518"/>
        <v>0</v>
      </c>
      <c r="BG501" s="127"/>
      <c r="BI501" s="127"/>
      <c r="BV501" s="127"/>
    </row>
    <row r="502" spans="1:75" hidden="1" x14ac:dyDescent="0.2">
      <c r="A502" s="123" t="str">
        <f>'[2]2021 УГРЦТ'!A504</f>
        <v>Эл линия ул Смидовича 1988г.</v>
      </c>
      <c r="B502" s="124" t="str">
        <f>'[2]2021 УГРЦТ'!B504</f>
        <v>00000175</v>
      </c>
      <c r="C502" s="124" t="str">
        <f>VLOOKUP(A:A,'2023-2027'!A:L,1,+FALSE)</f>
        <v>Эл линия ул Смидовича 1988г.</v>
      </c>
      <c r="D502" s="124" t="str">
        <f>'[2]2021 УГРЦТ'!C504</f>
        <v>ПЕРЕДАЧА</v>
      </c>
      <c r="E502" s="124" t="str">
        <f>'[2]2021 УГРЦТ'!D504</f>
        <v>Сооружения</v>
      </c>
      <c r="F502" s="124" t="str">
        <f>'[2]2021 УГРЦТ'!E504</f>
        <v>01.01.1988</v>
      </c>
      <c r="G502" s="124" t="str">
        <f>'[2]2021 УГРЦТ'!F504</f>
        <v>Цех электрических сетей</v>
      </c>
      <c r="H502" s="124">
        <f>'[2]2021 УГРЦТ'!AC504</f>
        <v>360</v>
      </c>
      <c r="I502" s="107">
        <f>'[2]2021 УГРЦТ'!X504</f>
        <v>349815.3</v>
      </c>
      <c r="J502" s="107">
        <f>'[2]2021 УГРЦТ'!Y504</f>
        <v>123464.95999999999</v>
      </c>
      <c r="K502" s="107">
        <f>'[2]2021 УГРЦТ'!Z504</f>
        <v>226350.34</v>
      </c>
      <c r="L502" s="125" t="e">
        <f>SUMIF([2]облаг!$B$2:$B$259,B502,[2]облаг!$D$2:$D$259)</f>
        <v>#VALUE!</v>
      </c>
      <c r="M502" s="107">
        <f t="shared" si="473"/>
        <v>971.70916666666665</v>
      </c>
      <c r="N502" s="107">
        <f t="shared" si="474"/>
        <v>11660.51</v>
      </c>
      <c r="O502" s="107">
        <f t="shared" si="475"/>
        <v>225378.63083333333</v>
      </c>
      <c r="P502" s="107">
        <f t="shared" si="476"/>
        <v>224406.92166666666</v>
      </c>
      <c r="Q502" s="107">
        <f t="shared" si="492"/>
        <v>223435.21249999999</v>
      </c>
      <c r="R502" s="107">
        <f t="shared" si="493"/>
        <v>222463.50333333333</v>
      </c>
      <c r="S502" s="107">
        <f t="shared" si="494"/>
        <v>221491.79416666666</v>
      </c>
      <c r="T502" s="107">
        <f t="shared" si="495"/>
        <v>220520.08499999999</v>
      </c>
      <c r="U502" s="107">
        <f t="shared" si="496"/>
        <v>219548.37583333332</v>
      </c>
      <c r="V502" s="107">
        <f t="shared" si="497"/>
        <v>218576.66666666666</v>
      </c>
      <c r="W502" s="107">
        <f t="shared" si="498"/>
        <v>217604.95749999999</v>
      </c>
      <c r="X502" s="107">
        <f t="shared" si="499"/>
        <v>216633.24833333332</v>
      </c>
      <c r="Y502" s="107">
        <f t="shared" si="500"/>
        <v>215661.53916666665</v>
      </c>
      <c r="Z502" s="107">
        <f t="shared" si="501"/>
        <v>214689.83</v>
      </c>
      <c r="AA502" s="107">
        <f t="shared" si="516"/>
        <v>4851.4418699999997</v>
      </c>
      <c r="AB502" s="107"/>
      <c r="AC502" s="107">
        <f t="shared" si="502"/>
        <v>11660.51</v>
      </c>
      <c r="AD502" s="107">
        <f t="shared" si="503"/>
        <v>213718.12083333332</v>
      </c>
      <c r="AE502" s="107">
        <f t="shared" si="504"/>
        <v>212746.41166666665</v>
      </c>
      <c r="AF502" s="107">
        <f t="shared" si="505"/>
        <v>211774.70249999998</v>
      </c>
      <c r="AG502" s="107">
        <f t="shared" si="506"/>
        <v>210802.99333333332</v>
      </c>
      <c r="AH502" s="107">
        <f t="shared" si="507"/>
        <v>209831.28416666665</v>
      </c>
      <c r="AI502" s="107">
        <f t="shared" si="508"/>
        <v>208859.57499999998</v>
      </c>
      <c r="AJ502" s="107">
        <f t="shared" si="509"/>
        <v>207887.86583333332</v>
      </c>
      <c r="AK502" s="107">
        <f t="shared" si="510"/>
        <v>206916.15666666665</v>
      </c>
      <c r="AL502" s="107">
        <f t="shared" si="511"/>
        <v>205944.44749999998</v>
      </c>
      <c r="AM502" s="107">
        <f t="shared" si="512"/>
        <v>204972.73833333331</v>
      </c>
      <c r="AN502" s="107">
        <f t="shared" si="513"/>
        <v>204001.02916666665</v>
      </c>
      <c r="AO502" s="107">
        <f t="shared" si="514"/>
        <v>203029.31999999998</v>
      </c>
      <c r="AP502" s="107">
        <f t="shared" si="517"/>
        <v>4594.9106499999989</v>
      </c>
      <c r="AQ502" s="126"/>
      <c r="AR502" s="107">
        <f t="shared" si="515"/>
        <v>11660.51</v>
      </c>
      <c r="AS502" s="107">
        <f t="shared" ref="AS502:AS507" si="519">AO502-M502</f>
        <v>202057.61083333331</v>
      </c>
      <c r="AT502" s="107">
        <f t="shared" ref="AT502:AT507" si="520">AS502-M502</f>
        <v>201085.90166666664</v>
      </c>
      <c r="AU502" s="107">
        <f t="shared" ref="AU502:AU507" si="521">AT502-M502</f>
        <v>200114.19249999998</v>
      </c>
      <c r="AV502" s="107">
        <f t="shared" ref="AV502:AV507" si="522">AU502-M502</f>
        <v>199142.48333333331</v>
      </c>
      <c r="AW502" s="107">
        <f t="shared" ref="AW502:AW507" si="523">AV502-M502</f>
        <v>198170.77416666664</v>
      </c>
      <c r="AX502" s="107">
        <f t="shared" ref="AX502:AX507" si="524">AW502-M502</f>
        <v>197199.06499999997</v>
      </c>
      <c r="AY502" s="107">
        <f t="shared" ref="AY502:AY507" si="525">AX502-M502</f>
        <v>196227.35583333331</v>
      </c>
      <c r="AZ502" s="107">
        <f t="shared" ref="AZ502:AZ507" si="526">AY502-M502</f>
        <v>195255.64666666664</v>
      </c>
      <c r="BA502" s="107">
        <f t="shared" ref="BA502:BA507" si="527">AZ502-M502</f>
        <v>194283.93749999997</v>
      </c>
      <c r="BB502" s="107">
        <f t="shared" ref="BB502:BB507" si="528">BA502-M502</f>
        <v>193312.2283333333</v>
      </c>
      <c r="BC502" s="107">
        <f t="shared" ref="BC502:BC507" si="529">BB502-M502</f>
        <v>192340.51916666664</v>
      </c>
      <c r="BD502" s="107">
        <f t="shared" ref="BD502:BD507" si="530">BC502-M502</f>
        <v>191368.80999999997</v>
      </c>
      <c r="BE502" s="107">
        <f t="shared" si="518"/>
        <v>4338.379429999999</v>
      </c>
      <c r="BF502" s="127"/>
      <c r="BG502" s="127"/>
      <c r="BH502" s="127"/>
      <c r="BI502" s="127"/>
      <c r="BJ502" s="127"/>
      <c r="BK502" s="127"/>
      <c r="BL502" s="127"/>
      <c r="BM502" s="127"/>
      <c r="BN502" s="127"/>
      <c r="BO502" s="127"/>
      <c r="BP502" s="127"/>
      <c r="BQ502" s="127"/>
      <c r="BR502" s="127"/>
      <c r="BS502" s="127"/>
      <c r="BT502" s="127"/>
      <c r="BU502" s="127"/>
      <c r="BV502" s="127"/>
      <c r="BW502" s="127"/>
    </row>
    <row r="503" spans="1:75" ht="67.5" hidden="1" x14ac:dyDescent="0.2">
      <c r="A503" s="123" t="str">
        <f>'[2]2021 УГРЦТ'!A505</f>
        <v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v>
      </c>
      <c r="B503" s="124" t="str">
        <f>'[2]2021 УГРЦТ'!B505</f>
        <v>000001755</v>
      </c>
      <c r="C503" s="124" t="str">
        <f>VLOOKUP(A:A,'2023-2027'!A:L,1,+FALSE)</f>
        <v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v>
      </c>
      <c r="D503" s="124" t="str">
        <f>'[2]2021 УГРЦТ'!C505</f>
        <v>ПЕРЕДАЧА</v>
      </c>
      <c r="E503" s="124" t="str">
        <f>'[2]2021 УГРЦТ'!D505</f>
        <v>Сооружения</v>
      </c>
      <c r="F503" s="124" t="str">
        <f>'[2]2021 УГРЦТ'!E505</f>
        <v>17.01.2019</v>
      </c>
      <c r="G503" s="124" t="str">
        <f>'[2]2021 УГРЦТ'!F505</f>
        <v>Цех электрических сетей</v>
      </c>
      <c r="H503" s="124">
        <f>'[2]2021 УГРЦТ'!AC505</f>
        <v>360</v>
      </c>
      <c r="I503" s="107">
        <v>3348756.37</v>
      </c>
      <c r="J503" s="107">
        <v>325573.51233333338</v>
      </c>
      <c r="K503" s="107">
        <v>3023182.8576666666</v>
      </c>
      <c r="L503" s="125" t="e">
        <f>SUMIF([2]облаг!$B$2:$B$259,B503,[2]облаг!$D$2:$D$259)</f>
        <v>#VALUE!</v>
      </c>
      <c r="M503" s="107">
        <f t="shared" si="473"/>
        <v>9302.1010277777787</v>
      </c>
      <c r="N503" s="107">
        <f t="shared" si="474"/>
        <v>111625.21233333334</v>
      </c>
      <c r="O503" s="107">
        <f t="shared" si="475"/>
        <v>3013880.7566388887</v>
      </c>
      <c r="P503" s="107">
        <f t="shared" si="476"/>
        <v>3004578.6556111109</v>
      </c>
      <c r="Q503" s="107">
        <f t="shared" si="492"/>
        <v>2995276.554583333</v>
      </c>
      <c r="R503" s="107">
        <f t="shared" si="493"/>
        <v>2985974.4535555551</v>
      </c>
      <c r="S503" s="107">
        <f t="shared" si="494"/>
        <v>2976672.3525277772</v>
      </c>
      <c r="T503" s="107">
        <f t="shared" si="495"/>
        <v>2967370.2514999993</v>
      </c>
      <c r="U503" s="107">
        <f t="shared" si="496"/>
        <v>2958068.1504722214</v>
      </c>
      <c r="V503" s="107">
        <f t="shared" si="497"/>
        <v>2948766.0494444435</v>
      </c>
      <c r="W503" s="107">
        <f t="shared" si="498"/>
        <v>2939463.9484166657</v>
      </c>
      <c r="X503" s="107">
        <f t="shared" si="499"/>
        <v>2930161.8473888878</v>
      </c>
      <c r="Y503" s="107">
        <f t="shared" si="500"/>
        <v>2920859.7463611099</v>
      </c>
      <c r="Z503" s="107">
        <f t="shared" si="501"/>
        <v>2911557.645333332</v>
      </c>
      <c r="AA503" s="107">
        <f t="shared" si="516"/>
        <v>65282.145532999974</v>
      </c>
      <c r="AB503" s="107"/>
      <c r="AC503" s="107">
        <f t="shared" si="502"/>
        <v>111625.21233333334</v>
      </c>
      <c r="AD503" s="107">
        <f t="shared" si="503"/>
        <v>2902255.5443055541</v>
      </c>
      <c r="AE503" s="107">
        <f t="shared" si="504"/>
        <v>2892953.4432777762</v>
      </c>
      <c r="AF503" s="107">
        <f t="shared" si="505"/>
        <v>2883651.3422499984</v>
      </c>
      <c r="AG503" s="107">
        <f t="shared" si="506"/>
        <v>2874349.2412222205</v>
      </c>
      <c r="AH503" s="107">
        <f t="shared" si="507"/>
        <v>2865047.1401944426</v>
      </c>
      <c r="AI503" s="107">
        <f t="shared" si="508"/>
        <v>2855745.0391666647</v>
      </c>
      <c r="AJ503" s="107">
        <f t="shared" si="509"/>
        <v>2846442.9381388868</v>
      </c>
      <c r="AK503" s="107">
        <f t="shared" si="510"/>
        <v>2837140.8371111089</v>
      </c>
      <c r="AL503" s="107">
        <f t="shared" si="511"/>
        <v>2827838.7360833311</v>
      </c>
      <c r="AM503" s="107">
        <f t="shared" si="512"/>
        <v>2818536.6350555532</v>
      </c>
      <c r="AN503" s="107">
        <f t="shared" si="513"/>
        <v>2809234.5340277753</v>
      </c>
      <c r="AO503" s="107">
        <f t="shared" si="514"/>
        <v>2799932.4329999974</v>
      </c>
      <c r="AP503" s="107">
        <f t="shared" si="517"/>
        <v>62826.390861666623</v>
      </c>
      <c r="AQ503" s="126"/>
      <c r="AR503" s="107">
        <f t="shared" si="515"/>
        <v>111625.21233333334</v>
      </c>
      <c r="AS503" s="107">
        <f t="shared" si="519"/>
        <v>2790630.3319722195</v>
      </c>
      <c r="AT503" s="107">
        <f t="shared" si="520"/>
        <v>2781328.2309444416</v>
      </c>
      <c r="AU503" s="107">
        <f t="shared" si="521"/>
        <v>2772026.1299166637</v>
      </c>
      <c r="AV503" s="107">
        <f t="shared" si="522"/>
        <v>2762724.0288888859</v>
      </c>
      <c r="AW503" s="107">
        <f t="shared" si="523"/>
        <v>2753421.927861108</v>
      </c>
      <c r="AX503" s="107">
        <f t="shared" si="524"/>
        <v>2744119.8268333301</v>
      </c>
      <c r="AY503" s="107">
        <f t="shared" si="525"/>
        <v>2734817.7258055522</v>
      </c>
      <c r="AZ503" s="107">
        <f t="shared" si="526"/>
        <v>2725515.6247777743</v>
      </c>
      <c r="BA503" s="107">
        <f t="shared" si="527"/>
        <v>2716213.5237499964</v>
      </c>
      <c r="BB503" s="107">
        <f t="shared" si="528"/>
        <v>2706911.4227222186</v>
      </c>
      <c r="BC503" s="107">
        <f t="shared" si="529"/>
        <v>2697609.3216944407</v>
      </c>
      <c r="BD503" s="107">
        <f t="shared" si="530"/>
        <v>2688307.2206666628</v>
      </c>
      <c r="BE503" s="107">
        <f t="shared" si="518"/>
        <v>60370.636190333258</v>
      </c>
      <c r="BF503" s="127"/>
      <c r="BG503" s="127"/>
      <c r="BH503" s="127"/>
      <c r="BI503" s="127"/>
      <c r="BJ503" s="127"/>
      <c r="BK503" s="127"/>
      <c r="BL503" s="127"/>
      <c r="BM503" s="127"/>
      <c r="BN503" s="127"/>
      <c r="BO503" s="127"/>
      <c r="BP503" s="127"/>
      <c r="BQ503" s="127"/>
      <c r="BR503" s="127"/>
      <c r="BS503" s="127"/>
      <c r="BT503" s="127"/>
      <c r="BU503" s="127"/>
      <c r="BV503" s="127"/>
      <c r="BW503" s="127"/>
    </row>
    <row r="504" spans="1:75" ht="33.75" hidden="1" x14ac:dyDescent="0.2">
      <c r="A504" s="123" t="str">
        <f>'[2]2021 УГРЦТ'!A506</f>
        <v>Электродвигатель ВАО2-315М-2, У2,5, 1ExdIBT4, 250 кВт, 3000 об/мин, 380/660В, IM1001</v>
      </c>
      <c r="B504" s="124" t="str">
        <f>'[2]2021 УГРЦТ'!B506</f>
        <v>000001539</v>
      </c>
      <c r="C504" s="124" t="str">
        <f>VLOOKUP(A:A,'2023-2027'!A:L,1,+FALSE)</f>
        <v>Электродвигатель ВАО2-315М-2, У2,5, 1ExdIBT4, 250 кВт, 3000 об/мин, 380/660В, IM1001</v>
      </c>
      <c r="D504" s="124" t="str">
        <f>'[2]2021 УГРЦТ'!C506</f>
        <v>ПЕРЕДАЧА</v>
      </c>
      <c r="E504" s="124" t="str">
        <f>'[2]2021 УГРЦТ'!D506</f>
        <v>Машины и оборудование (кроме офисного)</v>
      </c>
      <c r="F504" s="124" t="str">
        <f>'[2]2021 УГРЦТ'!E506</f>
        <v>31.08.2013</v>
      </c>
      <c r="G504" s="124" t="str">
        <f>'[2]2021 УГРЦТ'!F506</f>
        <v>Газотурбинный цех</v>
      </c>
      <c r="H504" s="124">
        <f>'[2]2021 УГРЦТ'!AC506</f>
        <v>120</v>
      </c>
      <c r="I504" s="107">
        <f>'[2]2021 УГРЦТ'!X506</f>
        <v>0</v>
      </c>
      <c r="J504" s="107">
        <f>'[2]2021 УГРЦТ'!Y506</f>
        <v>304334.6115</v>
      </c>
      <c r="K504" s="107">
        <f>'[2]2021 УГРЦТ'!Z506</f>
        <v>0</v>
      </c>
      <c r="L504" s="125" t="e">
        <f>SUMIF([2]облаг!$B$2:$B$259,B504,[2]облаг!$D$2:$D$259)</f>
        <v>#VALUE!</v>
      </c>
      <c r="M504" s="107">
        <f t="shared" si="473"/>
        <v>0</v>
      </c>
      <c r="N504" s="107">
        <f t="shared" si="474"/>
        <v>0</v>
      </c>
      <c r="O504" s="107">
        <f t="shared" si="475"/>
        <v>0</v>
      </c>
      <c r="P504" s="107">
        <f t="shared" si="476"/>
        <v>0</v>
      </c>
      <c r="Q504" s="107">
        <f t="shared" si="492"/>
        <v>0</v>
      </c>
      <c r="R504" s="107">
        <f t="shared" si="493"/>
        <v>0</v>
      </c>
      <c r="S504" s="107">
        <f t="shared" si="494"/>
        <v>0</v>
      </c>
      <c r="T504" s="107">
        <f t="shared" si="495"/>
        <v>0</v>
      </c>
      <c r="U504" s="107">
        <f t="shared" si="496"/>
        <v>0</v>
      </c>
      <c r="V504" s="107">
        <f t="shared" si="497"/>
        <v>0</v>
      </c>
      <c r="W504" s="107">
        <f t="shared" si="498"/>
        <v>0</v>
      </c>
      <c r="X504" s="107">
        <f t="shared" si="499"/>
        <v>0</v>
      </c>
      <c r="Y504" s="107">
        <f t="shared" si="500"/>
        <v>0</v>
      </c>
      <c r="Z504" s="107">
        <f t="shared" si="501"/>
        <v>0</v>
      </c>
      <c r="AA504" s="107"/>
      <c r="AB504" s="107"/>
      <c r="AC504" s="107">
        <f t="shared" si="502"/>
        <v>0</v>
      </c>
      <c r="AD504" s="107">
        <f t="shared" si="503"/>
        <v>0</v>
      </c>
      <c r="AE504" s="107">
        <f t="shared" si="504"/>
        <v>0</v>
      </c>
      <c r="AF504" s="107">
        <f t="shared" si="505"/>
        <v>0</v>
      </c>
      <c r="AG504" s="107">
        <f t="shared" si="506"/>
        <v>0</v>
      </c>
      <c r="AH504" s="107">
        <f t="shared" si="507"/>
        <v>0</v>
      </c>
      <c r="AI504" s="107">
        <f t="shared" si="508"/>
        <v>0</v>
      </c>
      <c r="AJ504" s="107">
        <f t="shared" si="509"/>
        <v>0</v>
      </c>
      <c r="AK504" s="107">
        <f t="shared" si="510"/>
        <v>0</v>
      </c>
      <c r="AL504" s="107">
        <f t="shared" si="511"/>
        <v>0</v>
      </c>
      <c r="AM504" s="107">
        <f t="shared" si="512"/>
        <v>0</v>
      </c>
      <c r="AN504" s="107">
        <f t="shared" si="513"/>
        <v>0</v>
      </c>
      <c r="AO504" s="107">
        <f t="shared" si="514"/>
        <v>0</v>
      </c>
      <c r="AP504" s="107"/>
      <c r="AQ504" s="126"/>
      <c r="AR504" s="107">
        <f t="shared" si="515"/>
        <v>0</v>
      </c>
      <c r="AS504" s="107">
        <f t="shared" si="519"/>
        <v>0</v>
      </c>
      <c r="AT504" s="107">
        <f t="shared" si="520"/>
        <v>0</v>
      </c>
      <c r="AU504" s="107">
        <f t="shared" si="521"/>
        <v>0</v>
      </c>
      <c r="AV504" s="107">
        <f t="shared" si="522"/>
        <v>0</v>
      </c>
      <c r="AW504" s="107">
        <f t="shared" si="523"/>
        <v>0</v>
      </c>
      <c r="AX504" s="107">
        <f t="shared" si="524"/>
        <v>0</v>
      </c>
      <c r="AY504" s="107">
        <f t="shared" si="525"/>
        <v>0</v>
      </c>
      <c r="AZ504" s="107">
        <f t="shared" si="526"/>
        <v>0</v>
      </c>
      <c r="BA504" s="107">
        <f t="shared" si="527"/>
        <v>0</v>
      </c>
      <c r="BB504" s="107">
        <f t="shared" si="528"/>
        <v>0</v>
      </c>
      <c r="BC504" s="107">
        <f t="shared" si="529"/>
        <v>0</v>
      </c>
      <c r="BD504" s="107">
        <f t="shared" si="530"/>
        <v>0</v>
      </c>
      <c r="BE504" s="124"/>
      <c r="BI504" s="127"/>
    </row>
    <row r="505" spans="1:75" ht="67.5" hidden="1" x14ac:dyDescent="0.2">
      <c r="A505" s="123" t="str">
        <f>'[2]2021 УГРЦТ'!A507</f>
        <v>Электроснабжение земельных участков, предоставленных многодетным семьям под жилищное строительство в пос. Искателей в Ненецком автономном округе</v>
      </c>
      <c r="B505" s="124" t="str">
        <f>'[2]2021 УГРЦТ'!B507</f>
        <v>000001702</v>
      </c>
      <c r="C505" s="124" t="str">
        <f>VLOOKUP(A:A,'2023-2027'!A:L,1,+FALSE)</f>
        <v>Электроснабжение земельных участков, предоставленных многодетным семьям под жилищное строительство в пос. Искателей в Ненецком автономном округе</v>
      </c>
      <c r="D505" s="124" t="str">
        <f>'[2]2021 УГРЦТ'!C507</f>
        <v>ПЕРЕДАЧА</v>
      </c>
      <c r="E505" s="124" t="str">
        <f>'[2]2021 УГРЦТ'!D507</f>
        <v>Сооружения</v>
      </c>
      <c r="F505" s="124" t="str">
        <f>'[2]2021 УГРЦТ'!E507</f>
        <v>19.04.2017</v>
      </c>
      <c r="G505" s="124" t="str">
        <f>'[2]2021 УГРЦТ'!F507</f>
        <v>Цех электрических сетей</v>
      </c>
      <c r="H505" s="124">
        <f>'[2]2021 УГРЦТ'!AC507</f>
        <v>480</v>
      </c>
      <c r="I505" s="107">
        <v>4978729.8</v>
      </c>
      <c r="J505" s="107">
        <v>580851.64500000002</v>
      </c>
      <c r="K505" s="107">
        <v>4397878.1549999993</v>
      </c>
      <c r="L505" s="125" t="e">
        <f>SUMIF([2]облаг!$B$2:$B$259,B505,[2]облаг!$D$2:$D$259)</f>
        <v>#VALUE!</v>
      </c>
      <c r="M505" s="107">
        <f t="shared" si="473"/>
        <v>10372.35375</v>
      </c>
      <c r="N505" s="107">
        <f t="shared" si="474"/>
        <v>124468.245</v>
      </c>
      <c r="O505" s="107">
        <f t="shared" si="475"/>
        <v>4387505.8012499996</v>
      </c>
      <c r="P505" s="107">
        <f t="shared" si="476"/>
        <v>4377133.4474999998</v>
      </c>
      <c r="Q505" s="107">
        <f t="shared" si="492"/>
        <v>4366761.09375</v>
      </c>
      <c r="R505" s="107">
        <f t="shared" si="493"/>
        <v>4356388.74</v>
      </c>
      <c r="S505" s="107">
        <f t="shared" si="494"/>
        <v>4346016.3862500004</v>
      </c>
      <c r="T505" s="107">
        <f t="shared" si="495"/>
        <v>4335644.0325000007</v>
      </c>
      <c r="U505" s="107">
        <f t="shared" si="496"/>
        <v>4325271.6787500009</v>
      </c>
      <c r="V505" s="107">
        <f t="shared" si="497"/>
        <v>4314899.3250000011</v>
      </c>
      <c r="W505" s="107">
        <f t="shared" si="498"/>
        <v>4304526.9712500013</v>
      </c>
      <c r="X505" s="107">
        <f t="shared" si="499"/>
        <v>4294154.6175000016</v>
      </c>
      <c r="Y505" s="107">
        <f t="shared" si="500"/>
        <v>4283782.2637500018</v>
      </c>
      <c r="Z505" s="107">
        <f t="shared" si="501"/>
        <v>4273409.910000002</v>
      </c>
      <c r="AA505" s="107">
        <f>SUM(O505:Z505,K505)/13*$AA$2</f>
        <v>95384.168715000007</v>
      </c>
      <c r="AB505" s="107"/>
      <c r="AC505" s="107">
        <f t="shared" si="502"/>
        <v>124468.245</v>
      </c>
      <c r="AD505" s="107">
        <f t="shared" si="503"/>
        <v>4263037.5562500022</v>
      </c>
      <c r="AE505" s="107">
        <f t="shared" si="504"/>
        <v>4252665.2025000025</v>
      </c>
      <c r="AF505" s="107">
        <f t="shared" si="505"/>
        <v>4242292.8487500027</v>
      </c>
      <c r="AG505" s="107">
        <f t="shared" si="506"/>
        <v>4231920.4950000029</v>
      </c>
      <c r="AH505" s="107">
        <f t="shared" si="507"/>
        <v>4221548.1412500031</v>
      </c>
      <c r="AI505" s="107">
        <f t="shared" si="508"/>
        <v>4211175.7875000034</v>
      </c>
      <c r="AJ505" s="107">
        <f t="shared" si="509"/>
        <v>4200803.4337500036</v>
      </c>
      <c r="AK505" s="107">
        <f t="shared" si="510"/>
        <v>4190431.0800000038</v>
      </c>
      <c r="AL505" s="107">
        <f t="shared" si="511"/>
        <v>4180058.726250004</v>
      </c>
      <c r="AM505" s="107">
        <f t="shared" si="512"/>
        <v>4169686.3725000042</v>
      </c>
      <c r="AN505" s="107">
        <f t="shared" si="513"/>
        <v>4159314.0187500045</v>
      </c>
      <c r="AO505" s="107">
        <f t="shared" si="514"/>
        <v>4148941.6650000047</v>
      </c>
      <c r="AP505" s="107">
        <f t="shared" ref="AP505:AP506" si="531">SUM(AD505:AO505,Z505)/13*$AP$2</f>
        <v>92645.867325000072</v>
      </c>
      <c r="AQ505" s="126"/>
      <c r="AR505" s="107">
        <f t="shared" si="515"/>
        <v>124468.245</v>
      </c>
      <c r="AS505" s="107">
        <f t="shared" si="519"/>
        <v>4138569.3112500049</v>
      </c>
      <c r="AT505" s="107">
        <f t="shared" si="520"/>
        <v>4128196.9575000051</v>
      </c>
      <c r="AU505" s="107">
        <f t="shared" si="521"/>
        <v>4117824.6037500054</v>
      </c>
      <c r="AV505" s="107">
        <f t="shared" si="522"/>
        <v>4107452.2500000056</v>
      </c>
      <c r="AW505" s="107">
        <f t="shared" si="523"/>
        <v>4097079.8962500058</v>
      </c>
      <c r="AX505" s="107">
        <f t="shared" si="524"/>
        <v>4086707.542500006</v>
      </c>
      <c r="AY505" s="107">
        <f t="shared" si="525"/>
        <v>4076335.1887500063</v>
      </c>
      <c r="AZ505" s="107">
        <f t="shared" si="526"/>
        <v>4065962.8350000065</v>
      </c>
      <c r="BA505" s="107">
        <f t="shared" si="527"/>
        <v>4055590.4812500067</v>
      </c>
      <c r="BB505" s="107">
        <f t="shared" si="528"/>
        <v>4045218.1275000069</v>
      </c>
      <c r="BC505" s="107">
        <f t="shared" si="529"/>
        <v>4034845.7737500072</v>
      </c>
      <c r="BD505" s="107">
        <f t="shared" si="530"/>
        <v>4024473.4200000074</v>
      </c>
      <c r="BE505" s="107">
        <f>SUM(AS505:BD505,AO505)/13*$BE$2</f>
        <v>89907.565935000137</v>
      </c>
      <c r="BF505" s="127"/>
      <c r="BG505" s="127"/>
      <c r="BH505" s="127"/>
      <c r="BI505" s="127"/>
      <c r="BJ505" s="127"/>
      <c r="BK505" s="127"/>
      <c r="BL505" s="127"/>
      <c r="BM505" s="127"/>
      <c r="BN505" s="127"/>
      <c r="BO505" s="127"/>
      <c r="BP505" s="127"/>
      <c r="BQ505" s="127"/>
      <c r="BR505" s="127"/>
      <c r="BS505" s="127"/>
      <c r="BT505" s="127"/>
      <c r="BU505" s="127"/>
      <c r="BV505" s="127"/>
      <c r="BW505" s="127"/>
    </row>
    <row r="506" spans="1:75" ht="22.5" hidden="1" x14ac:dyDescent="0.2">
      <c r="A506" s="123" t="str">
        <f>'[2]2021 УГРЦТ'!A508</f>
        <v>Электроснабжение. Наружные сети (ул. Авиаторов)</v>
      </c>
      <c r="B506" s="124" t="str">
        <f>'[2]2021 УГРЦТ'!B508</f>
        <v>000001677</v>
      </c>
      <c r="C506" s="124" t="str">
        <f>VLOOKUP(A:A,'2023-2027'!A:L,1,+FALSE)</f>
        <v>Электроснабжение. Наружные сети (ул. Авиаторов)</v>
      </c>
      <c r="D506" s="124" t="str">
        <f>'[2]2021 УГРЦТ'!C508</f>
        <v>ПЕРЕДАЧА</v>
      </c>
      <c r="E506" s="124" t="str">
        <f>'[2]2021 УГРЦТ'!D508</f>
        <v>Сооружения</v>
      </c>
      <c r="F506" s="124" t="str">
        <f>'[2]2021 УГРЦТ'!E508</f>
        <v>20.01.2016</v>
      </c>
      <c r="G506" s="124" t="str">
        <f>'[2]2021 УГРЦТ'!F508</f>
        <v>Цех электрических сетей</v>
      </c>
      <c r="H506" s="124">
        <f>'[2]2021 УГРЦТ'!AC508</f>
        <v>180</v>
      </c>
      <c r="I506" s="107">
        <v>426874.44</v>
      </c>
      <c r="J506" s="107">
        <v>168377.976</v>
      </c>
      <c r="K506" s="107">
        <v>258496.46400000001</v>
      </c>
      <c r="L506" s="125" t="e">
        <f>SUMIF([2]облаг!$B$2:$B$259,B506,[2]облаг!$D$2:$D$259)</f>
        <v>#VALUE!</v>
      </c>
      <c r="M506" s="107">
        <f t="shared" si="473"/>
        <v>2371.5246666666667</v>
      </c>
      <c r="N506" s="107">
        <f t="shared" si="474"/>
        <v>28458.296000000002</v>
      </c>
      <c r="O506" s="107">
        <f t="shared" si="475"/>
        <v>256124.93933333334</v>
      </c>
      <c r="P506" s="107">
        <f t="shared" si="476"/>
        <v>253753.41466666668</v>
      </c>
      <c r="Q506" s="107">
        <f t="shared" si="492"/>
        <v>251381.89</v>
      </c>
      <c r="R506" s="107">
        <f t="shared" si="493"/>
        <v>249010.36533333335</v>
      </c>
      <c r="S506" s="107">
        <f t="shared" si="494"/>
        <v>246638.84066666669</v>
      </c>
      <c r="T506" s="107">
        <f t="shared" si="495"/>
        <v>244267.31600000002</v>
      </c>
      <c r="U506" s="107">
        <f t="shared" si="496"/>
        <v>241895.79133333336</v>
      </c>
      <c r="V506" s="107">
        <f t="shared" si="497"/>
        <v>239524.26666666669</v>
      </c>
      <c r="W506" s="107">
        <f t="shared" si="498"/>
        <v>237152.74200000003</v>
      </c>
      <c r="X506" s="107">
        <f t="shared" si="499"/>
        <v>234781.21733333336</v>
      </c>
      <c r="Y506" s="107">
        <f t="shared" si="500"/>
        <v>232409.6926666667</v>
      </c>
      <c r="Z506" s="107">
        <f t="shared" si="501"/>
        <v>230038.16800000003</v>
      </c>
      <c r="AA506" s="107">
        <f>SUM(O506:Z506,K506)/13*$AA$2</f>
        <v>5373.8809520000004</v>
      </c>
      <c r="AB506" s="107"/>
      <c r="AC506" s="107">
        <f t="shared" si="502"/>
        <v>28458.296000000002</v>
      </c>
      <c r="AD506" s="107">
        <f t="shared" si="503"/>
        <v>227666.64333333337</v>
      </c>
      <c r="AE506" s="107">
        <f t="shared" si="504"/>
        <v>225295.11866666671</v>
      </c>
      <c r="AF506" s="107">
        <f t="shared" si="505"/>
        <v>222923.59400000004</v>
      </c>
      <c r="AG506" s="107">
        <f t="shared" si="506"/>
        <v>220552.06933333338</v>
      </c>
      <c r="AH506" s="107">
        <f t="shared" si="507"/>
        <v>218180.54466666671</v>
      </c>
      <c r="AI506" s="107">
        <f t="shared" si="508"/>
        <v>215809.02000000005</v>
      </c>
      <c r="AJ506" s="107">
        <f t="shared" si="509"/>
        <v>213437.49533333338</v>
      </c>
      <c r="AK506" s="107">
        <f t="shared" si="510"/>
        <v>211065.97066666672</v>
      </c>
      <c r="AL506" s="107">
        <f t="shared" si="511"/>
        <v>208694.44600000005</v>
      </c>
      <c r="AM506" s="107">
        <f t="shared" si="512"/>
        <v>206322.92133333339</v>
      </c>
      <c r="AN506" s="107">
        <f t="shared" si="513"/>
        <v>203951.39666666673</v>
      </c>
      <c r="AO506" s="107">
        <f t="shared" si="514"/>
        <v>201579.87200000006</v>
      </c>
      <c r="AP506" s="107">
        <f t="shared" si="531"/>
        <v>4747.7984400000005</v>
      </c>
      <c r="AQ506" s="126"/>
      <c r="AR506" s="107">
        <f t="shared" si="515"/>
        <v>28458.296000000002</v>
      </c>
      <c r="AS506" s="107">
        <f t="shared" si="519"/>
        <v>199208.3473333334</v>
      </c>
      <c r="AT506" s="107">
        <f t="shared" si="520"/>
        <v>196836.82266666673</v>
      </c>
      <c r="AU506" s="107">
        <f t="shared" si="521"/>
        <v>194465.29800000007</v>
      </c>
      <c r="AV506" s="107">
        <f t="shared" si="522"/>
        <v>192093.7733333334</v>
      </c>
      <c r="AW506" s="107">
        <f t="shared" si="523"/>
        <v>189722.24866666674</v>
      </c>
      <c r="AX506" s="107">
        <f t="shared" si="524"/>
        <v>187350.72400000007</v>
      </c>
      <c r="AY506" s="107">
        <f t="shared" si="525"/>
        <v>184979.19933333341</v>
      </c>
      <c r="AZ506" s="107">
        <f t="shared" si="526"/>
        <v>182607.67466666675</v>
      </c>
      <c r="BA506" s="107">
        <f t="shared" si="527"/>
        <v>180236.15000000008</v>
      </c>
      <c r="BB506" s="107">
        <f t="shared" si="528"/>
        <v>177864.62533333342</v>
      </c>
      <c r="BC506" s="107">
        <f t="shared" si="529"/>
        <v>175493.10066666675</v>
      </c>
      <c r="BD506" s="107">
        <f t="shared" si="530"/>
        <v>173121.57600000009</v>
      </c>
      <c r="BE506" s="107">
        <f>SUM(AS506:BD506,AO506)/13*$BE$2</f>
        <v>4121.7159280000014</v>
      </c>
      <c r="BF506" s="127"/>
      <c r="BG506" s="127"/>
      <c r="BH506" s="127"/>
      <c r="BI506" s="127"/>
      <c r="BJ506" s="127"/>
      <c r="BK506" s="127"/>
      <c r="BL506" s="127"/>
      <c r="BM506" s="127"/>
      <c r="BN506" s="127"/>
      <c r="BO506" s="127"/>
      <c r="BP506" s="127"/>
      <c r="BQ506" s="127"/>
      <c r="BR506" s="127"/>
      <c r="BS506" s="127"/>
      <c r="BT506" s="127"/>
      <c r="BU506" s="127"/>
      <c r="BV506" s="127"/>
      <c r="BW506" s="127"/>
    </row>
    <row r="507" spans="1:75" hidden="1" x14ac:dyDescent="0.2">
      <c r="A507" s="123" t="str">
        <f>'[2]2021 УГРЦТ'!A509</f>
        <v>Энерготестер ПКЭ-А-А 1 К05</v>
      </c>
      <c r="B507" s="124" t="str">
        <f>'[2]2021 УГРЦТ'!B509</f>
        <v>000001817</v>
      </c>
      <c r="C507" s="124" t="str">
        <f>VLOOKUP(A:A,'2023-2027'!A:L,1,+FALSE)</f>
        <v>Энерготестер ПКЭ-А-А 1 К05</v>
      </c>
      <c r="D507" s="124" t="str">
        <f>'[2]2021 УГРЦТ'!C509</f>
        <v>ПЕРЕДАЧА</v>
      </c>
      <c r="E507" s="124" t="str">
        <f>'[2]2021 УГРЦТ'!D509</f>
        <v>Машины и оборудование (кроме офисного)</v>
      </c>
      <c r="F507" s="124" t="str">
        <f>'[2]2021 УГРЦТ'!E509</f>
        <v>26.06.2020</v>
      </c>
      <c r="G507" s="124" t="str">
        <f>'[2]2021 УГРЦТ'!F509</f>
        <v>Цех электрических сетей</v>
      </c>
      <c r="H507" s="124">
        <f>'[2]2021 УГРЦТ'!AC509</f>
        <v>120</v>
      </c>
      <c r="I507" s="107">
        <f>'[2]2021 УГРЦТ'!X509</f>
        <v>261646</v>
      </c>
      <c r="J507" s="107">
        <f>'[2]2021 УГРЦТ'!Y509</f>
        <v>39246.87999999999</v>
      </c>
      <c r="K507" s="107">
        <f>'[2]2021 УГРЦТ'!Z509</f>
        <v>222399.12</v>
      </c>
      <c r="L507" s="125" t="e">
        <f>SUMIF([2]облаг!$B$2:$B$259,B507,[2]облаг!$D$2:$D$259)</f>
        <v>#VALUE!</v>
      </c>
      <c r="M507" s="107">
        <f t="shared" si="473"/>
        <v>2180.3833333333332</v>
      </c>
      <c r="N507" s="107">
        <f t="shared" si="474"/>
        <v>26164.6</v>
      </c>
      <c r="O507" s="107">
        <f t="shared" si="475"/>
        <v>220218.73666666666</v>
      </c>
      <c r="P507" s="107">
        <f>O509-M507</f>
        <v>280052.89444444439</v>
      </c>
      <c r="Q507" s="107">
        <f t="shared" si="492"/>
        <v>277872.51111111103</v>
      </c>
      <c r="R507" s="107">
        <f t="shared" si="493"/>
        <v>275692.12777777767</v>
      </c>
      <c r="S507" s="107">
        <f t="shared" si="494"/>
        <v>273511.74444444431</v>
      </c>
      <c r="T507" s="107">
        <f t="shared" si="495"/>
        <v>271331.36111111095</v>
      </c>
      <c r="U507" s="107">
        <f t="shared" si="496"/>
        <v>269150.97777777759</v>
      </c>
      <c r="V507" s="107">
        <f t="shared" si="497"/>
        <v>266970.59444444423</v>
      </c>
      <c r="W507" s="107">
        <f t="shared" si="498"/>
        <v>264790.21111111087</v>
      </c>
      <c r="X507" s="107">
        <f t="shared" si="499"/>
        <v>262609.82777777751</v>
      </c>
      <c r="Y507" s="107">
        <f t="shared" si="500"/>
        <v>260429.44444444418</v>
      </c>
      <c r="Z507" s="107">
        <f t="shared" si="501"/>
        <v>258249.06111111084</v>
      </c>
      <c r="AA507" s="107"/>
      <c r="AB507" s="107"/>
      <c r="AC507" s="107">
        <f t="shared" si="502"/>
        <v>26164.6</v>
      </c>
      <c r="AD507" s="107">
        <f t="shared" si="503"/>
        <v>256068.67777777751</v>
      </c>
      <c r="AE507" s="107">
        <f t="shared" si="504"/>
        <v>253888.29444444418</v>
      </c>
      <c r="AF507" s="107">
        <f t="shared" si="505"/>
        <v>251707.91111111085</v>
      </c>
      <c r="AG507" s="107">
        <f t="shared" si="506"/>
        <v>249527.52777777752</v>
      </c>
      <c r="AH507" s="107">
        <f t="shared" si="507"/>
        <v>247347.14444444419</v>
      </c>
      <c r="AI507" s="107">
        <f t="shared" si="508"/>
        <v>245166.76111111086</v>
      </c>
      <c r="AJ507" s="107">
        <f t="shared" si="509"/>
        <v>242986.37777777752</v>
      </c>
      <c r="AK507" s="107">
        <f t="shared" si="510"/>
        <v>240805.99444444419</v>
      </c>
      <c r="AL507" s="107">
        <f t="shared" si="511"/>
        <v>238625.61111111086</v>
      </c>
      <c r="AM507" s="107">
        <f t="shared" si="512"/>
        <v>236445.22777777753</v>
      </c>
      <c r="AN507" s="107">
        <f t="shared" si="513"/>
        <v>234264.8444444442</v>
      </c>
      <c r="AO507" s="107">
        <f t="shared" si="514"/>
        <v>232084.46111111087</v>
      </c>
      <c r="AP507" s="107"/>
      <c r="AQ507" s="126"/>
      <c r="AR507" s="107">
        <f t="shared" si="515"/>
        <v>26164.6</v>
      </c>
      <c r="AS507" s="107">
        <f t="shared" si="519"/>
        <v>229904.07777777754</v>
      </c>
      <c r="AT507" s="107">
        <f t="shared" si="520"/>
        <v>227723.69444444421</v>
      </c>
      <c r="AU507" s="107">
        <f t="shared" si="521"/>
        <v>225543.31111111087</v>
      </c>
      <c r="AV507" s="107">
        <f t="shared" si="522"/>
        <v>223362.92777777754</v>
      </c>
      <c r="AW507" s="107">
        <f t="shared" si="523"/>
        <v>221182.54444444421</v>
      </c>
      <c r="AX507" s="107">
        <f t="shared" si="524"/>
        <v>219002.16111111088</v>
      </c>
      <c r="AY507" s="107">
        <f t="shared" si="525"/>
        <v>216821.77777777755</v>
      </c>
      <c r="AZ507" s="107">
        <f t="shared" si="526"/>
        <v>214641.39444444422</v>
      </c>
      <c r="BA507" s="107">
        <f t="shared" si="527"/>
        <v>212461.01111111089</v>
      </c>
      <c r="BB507" s="107">
        <f t="shared" si="528"/>
        <v>210280.62777777755</v>
      </c>
      <c r="BC507" s="107">
        <f t="shared" si="529"/>
        <v>208100.24444444422</v>
      </c>
      <c r="BD507" s="107">
        <f t="shared" si="530"/>
        <v>205919.86111111089</v>
      </c>
      <c r="BE507" s="107"/>
      <c r="BF507" s="127"/>
      <c r="BG507" s="127"/>
      <c r="BH507" s="127"/>
      <c r="BI507" s="127"/>
      <c r="BJ507" s="127"/>
      <c r="BK507" s="127"/>
      <c r="BL507" s="127"/>
      <c r="BM507" s="127"/>
      <c r="BN507" s="127"/>
      <c r="BO507" s="127"/>
      <c r="BP507" s="127"/>
      <c r="BQ507" s="127"/>
      <c r="BR507" s="127"/>
      <c r="BS507" s="127"/>
      <c r="BT507" s="127"/>
      <c r="BU507" s="127"/>
      <c r="BV507" s="127"/>
      <c r="BW507" s="127"/>
    </row>
    <row r="508" spans="1:75" s="121" customFormat="1" hidden="1" x14ac:dyDescent="0.2">
      <c r="A508" s="135" t="str">
        <f>'[2]2021 УГРЦТ'!A510</f>
        <v>СБЫТ</v>
      </c>
      <c r="B508" s="136">
        <f>'[2]2021 УГРЦТ'!B510</f>
        <v>0</v>
      </c>
      <c r="C508" s="124" t="str">
        <f>VLOOKUP(A:A,'2023-2027'!A:L,1,+FALSE)</f>
        <v>СБЫТ</v>
      </c>
      <c r="D508" s="136">
        <f>'[2]2021 УГРЦТ'!C510</f>
        <v>0</v>
      </c>
      <c r="E508" s="136">
        <f>'[2]2021 УГРЦТ'!D510</f>
        <v>0</v>
      </c>
      <c r="F508" s="136">
        <f>'[2]2021 УГРЦТ'!E510</f>
        <v>0</v>
      </c>
      <c r="G508" s="136">
        <f>'[2]2021 УГРЦТ'!F510</f>
        <v>0</v>
      </c>
      <c r="H508" s="136">
        <f>'[2]2021 УГРЦТ'!AC510</f>
        <v>0</v>
      </c>
      <c r="I508" s="137">
        <f t="shared" ref="I508:BE508" si="532">I509+I510+I594+I597+I645</f>
        <v>159096266.25</v>
      </c>
      <c r="J508" s="137">
        <f t="shared" si="532"/>
        <v>21666.666666666668</v>
      </c>
      <c r="K508" s="137">
        <f t="shared" si="532"/>
        <v>587143.33333333326</v>
      </c>
      <c r="L508" s="137" t="e">
        <f t="shared" si="532"/>
        <v>#VALUE!</v>
      </c>
      <c r="M508" s="137">
        <f t="shared" si="532"/>
        <v>1890363.8747460318</v>
      </c>
      <c r="N508" s="137">
        <f t="shared" si="532"/>
        <v>59847.267499999994</v>
      </c>
      <c r="O508" s="137">
        <f t="shared" si="532"/>
        <v>582858.27777777775</v>
      </c>
      <c r="P508" s="137">
        <f t="shared" si="532"/>
        <v>578573.22222222225</v>
      </c>
      <c r="Q508" s="137">
        <f t="shared" si="532"/>
        <v>574288.16666666663</v>
      </c>
      <c r="R508" s="137">
        <f t="shared" si="532"/>
        <v>570003.11111111101</v>
      </c>
      <c r="S508" s="137">
        <f t="shared" si="532"/>
        <v>565718.0555555555</v>
      </c>
      <c r="T508" s="137">
        <f t="shared" si="532"/>
        <v>561433</v>
      </c>
      <c r="U508" s="137">
        <f t="shared" si="532"/>
        <v>620549.95444444439</v>
      </c>
      <c r="V508" s="137">
        <f t="shared" si="532"/>
        <v>740202.79672222212</v>
      </c>
      <c r="W508" s="137">
        <f t="shared" si="532"/>
        <v>734338.97899999993</v>
      </c>
      <c r="X508" s="137">
        <f t="shared" si="532"/>
        <v>728475.16127777775</v>
      </c>
      <c r="Y508" s="137">
        <f t="shared" si="532"/>
        <v>722611.34355555545</v>
      </c>
      <c r="Z508" s="137">
        <f t="shared" si="532"/>
        <v>716747.52583333314</v>
      </c>
      <c r="AA508" s="137">
        <f t="shared" si="532"/>
        <v>0</v>
      </c>
      <c r="AB508" s="137">
        <f t="shared" si="532"/>
        <v>0</v>
      </c>
      <c r="AC508" s="137">
        <f t="shared" si="532"/>
        <v>5723865.9626666671</v>
      </c>
      <c r="AD508" s="137">
        <f t="shared" si="532"/>
        <v>710883.70811111096</v>
      </c>
      <c r="AE508" s="137">
        <f t="shared" si="532"/>
        <v>705019.89038888877</v>
      </c>
      <c r="AF508" s="137">
        <f t="shared" si="532"/>
        <v>699156.07266666659</v>
      </c>
      <c r="AG508" s="137">
        <f t="shared" si="532"/>
        <v>693292.2549444444</v>
      </c>
      <c r="AH508" s="137">
        <f t="shared" si="532"/>
        <v>687428.4372222221</v>
      </c>
      <c r="AI508" s="137">
        <f t="shared" si="532"/>
        <v>681564.6194999998</v>
      </c>
      <c r="AJ508" s="137">
        <f t="shared" si="532"/>
        <v>675700.80177777761</v>
      </c>
      <c r="AK508" s="137">
        <f t="shared" si="532"/>
        <v>669836.98405555543</v>
      </c>
      <c r="AL508" s="137">
        <f t="shared" si="532"/>
        <v>663973.16633333312</v>
      </c>
      <c r="AM508" s="137">
        <f t="shared" si="532"/>
        <v>157071614.08158728</v>
      </c>
      <c r="AN508" s="137">
        <f t="shared" si="532"/>
        <v>155181250.20684123</v>
      </c>
      <c r="AO508" s="137">
        <f t="shared" si="532"/>
        <v>153290886.33209518</v>
      </c>
      <c r="AP508" s="137">
        <f t="shared" si="532"/>
        <v>0</v>
      </c>
      <c r="AQ508" s="137">
        <f t="shared" si="532"/>
        <v>0</v>
      </c>
      <c r="AR508" s="137">
        <f t="shared" si="532"/>
        <v>22684366.496952381</v>
      </c>
      <c r="AS508" s="137">
        <f t="shared" si="532"/>
        <v>151400522.45734915</v>
      </c>
      <c r="AT508" s="137">
        <f t="shared" si="532"/>
        <v>149510158.5826031</v>
      </c>
      <c r="AU508" s="137">
        <f t="shared" si="532"/>
        <v>147619794.70785704</v>
      </c>
      <c r="AV508" s="137">
        <f t="shared" si="532"/>
        <v>145729430.83311102</v>
      </c>
      <c r="AW508" s="137">
        <f t="shared" si="532"/>
        <v>143839066.95836496</v>
      </c>
      <c r="AX508" s="137">
        <f t="shared" si="532"/>
        <v>141948703.08361891</v>
      </c>
      <c r="AY508" s="137">
        <f t="shared" si="532"/>
        <v>140058339.20887288</v>
      </c>
      <c r="AZ508" s="137">
        <f t="shared" si="532"/>
        <v>138167975.33412683</v>
      </c>
      <c r="BA508" s="137">
        <f t="shared" si="532"/>
        <v>136277611.45938078</v>
      </c>
      <c r="BB508" s="137">
        <f t="shared" si="532"/>
        <v>134387247.58463475</v>
      </c>
      <c r="BC508" s="137">
        <f t="shared" si="532"/>
        <v>132496883.70988871</v>
      </c>
      <c r="BD508" s="137">
        <f t="shared" si="532"/>
        <v>130606519.83514269</v>
      </c>
      <c r="BE508" s="137">
        <f t="shared" si="532"/>
        <v>0</v>
      </c>
      <c r="BF508" s="138"/>
      <c r="BG508" s="138"/>
      <c r="BH508" s="138"/>
      <c r="BI508" s="138"/>
      <c r="BJ508" s="138"/>
      <c r="BK508" s="138"/>
      <c r="BL508" s="138"/>
      <c r="BM508" s="138"/>
      <c r="BN508" s="138"/>
      <c r="BO508" s="138"/>
      <c r="BP508" s="138"/>
      <c r="BQ508" s="138"/>
      <c r="BR508" s="138"/>
      <c r="BS508" s="138"/>
      <c r="BT508" s="138"/>
      <c r="BU508" s="138"/>
      <c r="BV508" s="138"/>
      <c r="BW508" s="138"/>
    </row>
    <row r="509" spans="1:75" ht="45" hidden="1" x14ac:dyDescent="0.2">
      <c r="A509" s="123" t="str">
        <f>'[2]2021 УГРЦТ'!A511</f>
        <v>Комплект мебели для абон.отд. цвет ЛДСП Ясень анкор светлый (1 шкаф;8 стеллажей;8 столов;12 тумб)</v>
      </c>
      <c r="B509" s="124" t="str">
        <f>'[2]2021 УГРЦТ'!B511</f>
        <v>000001883</v>
      </c>
      <c r="C509" s="124" t="str">
        <f>VLOOKUP(A:A,'2023-2027'!A:L,1,+FALSE)</f>
        <v>Комплект мебели для абон.отд. цвет ЛДСП Ясень анкор светлый (1 шкаф;8 стеллажей;8 столов;12 тумб)</v>
      </c>
      <c r="D509" s="124" t="str">
        <f>'[2]2021 УГРЦТ'!C511</f>
        <v>СБЫТ</v>
      </c>
      <c r="E509" s="124" t="str">
        <f>'[2]2021 УГРЦТ'!D511</f>
        <v>Производственный и хозяйственный инвентарь</v>
      </c>
      <c r="F509" s="134">
        <f>'[2]2021 УГРЦТ'!E511</f>
        <v>44560</v>
      </c>
      <c r="G509" s="124" t="str">
        <f>'[2]2021 УГРЦТ'!F511</f>
        <v>Отдел энергосбыта</v>
      </c>
      <c r="H509" s="124">
        <f>'[2]2021 УГРЦТ'!AC511</f>
        <v>180</v>
      </c>
      <c r="I509" s="107">
        <f>'[2]2021 УГРЦТ'!X511</f>
        <v>283810</v>
      </c>
      <c r="J509" s="107">
        <f>'[2]2021 УГРЦТ'!Y511</f>
        <v>0</v>
      </c>
      <c r="K509" s="107">
        <f>'[2]2021 УГРЦТ'!Z511</f>
        <v>283810</v>
      </c>
      <c r="L509" s="125" t="e">
        <f>SUMIF([2]облаг!$B$2:$B$259,B509,[2]облаг!$D$2:$D$259)</f>
        <v>#VALUE!</v>
      </c>
      <c r="M509" s="107">
        <f>I509/H509</f>
        <v>1576.7222222222222</v>
      </c>
      <c r="N509" s="107">
        <f t="shared" si="474"/>
        <v>18920.666666666664</v>
      </c>
      <c r="O509" s="107">
        <f>K509-M509</f>
        <v>282233.27777777775</v>
      </c>
      <c r="P509" s="107">
        <f>O509-M509</f>
        <v>280656.5555555555</v>
      </c>
      <c r="Q509" s="107">
        <f>P509-M509</f>
        <v>279079.83333333326</v>
      </c>
      <c r="R509" s="107">
        <f>Q509-M509</f>
        <v>277503.11111111101</v>
      </c>
      <c r="S509" s="107">
        <f>R509-M509</f>
        <v>275926.38888888876</v>
      </c>
      <c r="T509" s="107">
        <f>S509-M509</f>
        <v>274349.66666666651</v>
      </c>
      <c r="U509" s="107">
        <f>T509-M509</f>
        <v>272772.94444444426</v>
      </c>
      <c r="V509" s="107">
        <f>U509-M509</f>
        <v>271196.22222222202</v>
      </c>
      <c r="W509" s="107">
        <f>V509-M509</f>
        <v>269619.49999999977</v>
      </c>
      <c r="X509" s="107">
        <f>W509-M509</f>
        <v>268042.77777777752</v>
      </c>
      <c r="Y509" s="107">
        <f>X509-M509</f>
        <v>266466.05555555527</v>
      </c>
      <c r="Z509" s="107">
        <f>Y509-M509</f>
        <v>264889.33333333302</v>
      </c>
      <c r="AA509" s="107"/>
      <c r="AB509" s="107"/>
      <c r="AC509" s="107">
        <f t="shared" si="502"/>
        <v>18920.666666666664</v>
      </c>
      <c r="AD509" s="107">
        <f>Z509-M509</f>
        <v>263312.61111111077</v>
      </c>
      <c r="AE509" s="107">
        <f t="shared" si="504"/>
        <v>261735.88888888856</v>
      </c>
      <c r="AF509" s="107">
        <f t="shared" si="505"/>
        <v>260159.16666666634</v>
      </c>
      <c r="AG509" s="107">
        <f t="shared" si="506"/>
        <v>258582.44444444412</v>
      </c>
      <c r="AH509" s="107">
        <f t="shared" si="507"/>
        <v>257005.7222222219</v>
      </c>
      <c r="AI509" s="107">
        <f t="shared" si="508"/>
        <v>255428.99999999968</v>
      </c>
      <c r="AJ509" s="107">
        <f t="shared" si="509"/>
        <v>253852.27777777746</v>
      </c>
      <c r="AK509" s="107">
        <f t="shared" si="510"/>
        <v>252275.55555555524</v>
      </c>
      <c r="AL509" s="107">
        <f t="shared" si="511"/>
        <v>250698.83333333302</v>
      </c>
      <c r="AM509" s="107">
        <f t="shared" si="512"/>
        <v>249122.1111111108</v>
      </c>
      <c r="AN509" s="107">
        <f t="shared" si="513"/>
        <v>247545.38888888858</v>
      </c>
      <c r="AO509" s="107">
        <f t="shared" si="514"/>
        <v>245968.66666666637</v>
      </c>
      <c r="AP509" s="107"/>
      <c r="AQ509" s="126"/>
      <c r="AR509" s="107">
        <f t="shared" si="515"/>
        <v>18920.666666666664</v>
      </c>
      <c r="AS509" s="107">
        <f>AO509-M509</f>
        <v>244391.94444444415</v>
      </c>
      <c r="AT509" s="107">
        <f>AS509-M509</f>
        <v>242815.22222222193</v>
      </c>
      <c r="AU509" s="107">
        <f>AT509-M509</f>
        <v>241238.49999999971</v>
      </c>
      <c r="AV509" s="107">
        <f>AU509-M509</f>
        <v>239661.77777777749</v>
      </c>
      <c r="AW509" s="107">
        <f>AV509-M509</f>
        <v>238085.05555555527</v>
      </c>
      <c r="AX509" s="107">
        <f>AW509-M509</f>
        <v>236508.33333333305</v>
      </c>
      <c r="AY509" s="107">
        <f>AX509-M509</f>
        <v>234931.61111111083</v>
      </c>
      <c r="AZ509" s="107">
        <f>AY509-M509</f>
        <v>233354.88888888861</v>
      </c>
      <c r="BA509" s="107">
        <f>AZ509-M509</f>
        <v>231778.1666666664</v>
      </c>
      <c r="BB509" s="107">
        <f>BA509-M509</f>
        <v>230201.44444444418</v>
      </c>
      <c r="BC509" s="107">
        <f>BB509-M509</f>
        <v>228624.72222222196</v>
      </c>
      <c r="BD509" s="107">
        <f>BC509-M509</f>
        <v>227047.99999999974</v>
      </c>
      <c r="BE509" s="107"/>
      <c r="BF509" s="127"/>
      <c r="BG509" s="127"/>
      <c r="BH509" s="127"/>
      <c r="BI509" s="127"/>
      <c r="BJ509" s="127"/>
      <c r="BK509" s="127"/>
      <c r="BL509" s="127"/>
      <c r="BM509" s="127"/>
      <c r="BN509" s="127"/>
      <c r="BO509" s="127"/>
      <c r="BP509" s="127"/>
      <c r="BQ509" s="127"/>
      <c r="BR509" s="127"/>
      <c r="BS509" s="127"/>
      <c r="BT509" s="127"/>
      <c r="BU509" s="127"/>
      <c r="BV509" s="127"/>
      <c r="BW509" s="127"/>
    </row>
    <row r="510" spans="1:75" hidden="1" x14ac:dyDescent="0.2">
      <c r="A510" s="123" t="str">
        <f>'[2]2021 УГРЦТ'!A512</f>
        <v>Энерготестер ПКЭ-А-А 1 К05</v>
      </c>
      <c r="B510" s="124" t="str">
        <f>'[2]2021 УГРЦТ'!B512</f>
        <v>00-000100</v>
      </c>
      <c r="C510" s="124" t="str">
        <f>VLOOKUP(A:A,'2023-2027'!A:L,1,+FALSE)</f>
        <v>Энерготестер ПКЭ-А-А 1 К05</v>
      </c>
      <c r="D510" s="124" t="str">
        <f>'[2]2021 УГРЦТ'!C512</f>
        <v>СБЫТ</v>
      </c>
      <c r="E510" s="124" t="str">
        <f>'[2]2021 УГРЦТ'!D512</f>
        <v>Машины и оборудование (кроме офисного)</v>
      </c>
      <c r="F510" s="124" t="str">
        <f>'[2]2021 УГРЦТ'!E512</f>
        <v>28.04.2021</v>
      </c>
      <c r="G510" s="124" t="str">
        <f>'[2]2021 УГРЦТ'!F512</f>
        <v>Отдел энергосбыта</v>
      </c>
      <c r="H510" s="124">
        <f>'[2]2021 УГРЦТ'!AC512</f>
        <v>120</v>
      </c>
      <c r="I510" s="107">
        <f>'[2]2021 УГРЦТ'!X512</f>
        <v>325000</v>
      </c>
      <c r="J510" s="107">
        <f>'[2]2021 УГРЦТ'!Y512</f>
        <v>21666.666666666668</v>
      </c>
      <c r="K510" s="107">
        <f>'[2]2021 УГРЦТ'!Z512</f>
        <v>303333.33333333331</v>
      </c>
      <c r="L510" s="125" t="e">
        <f>SUMIF([2]облаг!$B$2:$B$259,B510,[2]облаг!$D$2:$D$259)</f>
        <v>#VALUE!</v>
      </c>
      <c r="M510" s="107">
        <f t="shared" si="473"/>
        <v>2708.3333333333335</v>
      </c>
      <c r="N510" s="107">
        <f t="shared" si="474"/>
        <v>32500</v>
      </c>
      <c r="O510" s="107">
        <f>K510-M510</f>
        <v>300625</v>
      </c>
      <c r="P510" s="107">
        <f>O510-M510</f>
        <v>297916.66666666669</v>
      </c>
      <c r="Q510" s="107">
        <f>P510-M510</f>
        <v>295208.33333333337</v>
      </c>
      <c r="R510" s="107">
        <f>Q510-M510</f>
        <v>292500.00000000006</v>
      </c>
      <c r="S510" s="107">
        <f>R510-M510</f>
        <v>289791.66666666674</v>
      </c>
      <c r="T510" s="107">
        <f>S510-M510</f>
        <v>287083.33333333343</v>
      </c>
      <c r="U510" s="107">
        <f>T510-M510</f>
        <v>284375.00000000012</v>
      </c>
      <c r="V510" s="107">
        <f>U510-M510</f>
        <v>281666.6666666668</v>
      </c>
      <c r="W510" s="107">
        <f>V510-M510</f>
        <v>278958.33333333349</v>
      </c>
      <c r="X510" s="107">
        <f>W510-M510</f>
        <v>276250.00000000017</v>
      </c>
      <c r="Y510" s="107">
        <f>X510-M510</f>
        <v>273541.66666666686</v>
      </c>
      <c r="Z510" s="107">
        <f>Y510-M510</f>
        <v>270833.33333333355</v>
      </c>
      <c r="AA510" s="107"/>
      <c r="AB510" s="107"/>
      <c r="AC510" s="107">
        <f t="shared" si="502"/>
        <v>32500</v>
      </c>
      <c r="AD510" s="107">
        <f>Z510-M510</f>
        <v>268125.00000000023</v>
      </c>
      <c r="AE510" s="107">
        <f t="shared" si="504"/>
        <v>265416.66666666692</v>
      </c>
      <c r="AF510" s="107">
        <f t="shared" si="505"/>
        <v>262708.3333333336</v>
      </c>
      <c r="AG510" s="107">
        <f t="shared" si="506"/>
        <v>260000.00000000026</v>
      </c>
      <c r="AH510" s="107">
        <f t="shared" si="507"/>
        <v>257291.66666666692</v>
      </c>
      <c r="AI510" s="107">
        <f t="shared" si="508"/>
        <v>254583.33333333358</v>
      </c>
      <c r="AJ510" s="107">
        <f t="shared" si="509"/>
        <v>251875.00000000023</v>
      </c>
      <c r="AK510" s="107">
        <f t="shared" si="510"/>
        <v>249166.66666666689</v>
      </c>
      <c r="AL510" s="107">
        <f t="shared" si="511"/>
        <v>246458.33333333355</v>
      </c>
      <c r="AM510" s="107">
        <f t="shared" si="512"/>
        <v>243750.0000000002</v>
      </c>
      <c r="AN510" s="107">
        <f t="shared" si="513"/>
        <v>241041.66666666686</v>
      </c>
      <c r="AO510" s="107">
        <f t="shared" si="514"/>
        <v>238333.33333333352</v>
      </c>
      <c r="AP510" s="107"/>
      <c r="AQ510" s="126"/>
      <c r="AR510" s="107">
        <f t="shared" si="515"/>
        <v>32500</v>
      </c>
      <c r="AS510" s="107">
        <f>AO510-M510</f>
        <v>235625.00000000017</v>
      </c>
      <c r="AT510" s="107">
        <f>AS510-M510</f>
        <v>232916.66666666683</v>
      </c>
      <c r="AU510" s="107">
        <f>AT510-M510</f>
        <v>230208.33333333349</v>
      </c>
      <c r="AV510" s="107">
        <f>AU510-M510</f>
        <v>227500.00000000015</v>
      </c>
      <c r="AW510" s="107">
        <f>AV510-M510</f>
        <v>224791.6666666668</v>
      </c>
      <c r="AX510" s="107">
        <f>AW510-M510</f>
        <v>222083.33333333346</v>
      </c>
      <c r="AY510" s="107">
        <f>AX510-M510</f>
        <v>219375.00000000012</v>
      </c>
      <c r="AZ510" s="107">
        <f>AY510-M510</f>
        <v>216666.66666666677</v>
      </c>
      <c r="BA510" s="107">
        <f>AZ510-M510</f>
        <v>213958.33333333343</v>
      </c>
      <c r="BB510" s="107">
        <f>BA510-M510</f>
        <v>211250.00000000009</v>
      </c>
      <c r="BC510" s="107">
        <f>BB510-M510</f>
        <v>208541.66666666674</v>
      </c>
      <c r="BD510" s="107">
        <f>BC510-M510</f>
        <v>205833.3333333334</v>
      </c>
      <c r="BE510" s="107"/>
      <c r="BF510" s="127"/>
      <c r="BG510" s="127"/>
      <c r="BH510" s="127"/>
      <c r="BI510" s="127"/>
      <c r="BJ510" s="127"/>
      <c r="BK510" s="127"/>
      <c r="BL510" s="127"/>
      <c r="BM510" s="127"/>
      <c r="BN510" s="127"/>
      <c r="BO510" s="127"/>
      <c r="BP510" s="127"/>
      <c r="BQ510" s="127"/>
      <c r="BR510" s="127"/>
      <c r="BS510" s="127"/>
      <c r="BT510" s="127"/>
      <c r="BU510" s="127"/>
      <c r="BV510" s="127"/>
      <c r="BW510" s="127"/>
    </row>
    <row r="511" spans="1:75" s="146" customFormat="1" hidden="1" x14ac:dyDescent="0.2">
      <c r="A511" s="141" t="str">
        <f>'[2]2021 УГРЦТ'!A513</f>
        <v>ТЕПЛОЭНЕРГИЯ</v>
      </c>
      <c r="B511" s="142">
        <f>'[2]2021 УГРЦТ'!B513</f>
        <v>0</v>
      </c>
      <c r="C511" s="124" t="str">
        <f>VLOOKUP(A:A,'2023-2027'!A:L,1,+FALSE)</f>
        <v>ТЕПЛОЭНЕРГИЯ</v>
      </c>
      <c r="D511" s="142">
        <f>'[2]2021 УГРЦТ'!C513</f>
        <v>0</v>
      </c>
      <c r="E511" s="142">
        <f>'[2]2021 УГРЦТ'!D513</f>
        <v>0</v>
      </c>
      <c r="F511" s="142">
        <f>'[2]2021 УГРЦТ'!E513</f>
        <v>0</v>
      </c>
      <c r="G511" s="142">
        <f>'[2]2021 УГРЦТ'!F513</f>
        <v>0</v>
      </c>
      <c r="H511" s="142">
        <f>'[2]2021 УГРЦТ'!AC513</f>
        <v>0</v>
      </c>
      <c r="I511" s="143">
        <f>I512+I513+I514+I515+I516+I517</f>
        <v>1569604.4200000002</v>
      </c>
      <c r="J511" s="143">
        <f t="shared" ref="J511:BE511" si="533">J512+J513+J514+J515+J516+J517</f>
        <v>428967.19911581918</v>
      </c>
      <c r="K511" s="143">
        <f t="shared" si="533"/>
        <v>1140637.2208841809</v>
      </c>
      <c r="L511" s="143" t="e">
        <f t="shared" si="533"/>
        <v>#VALUE!</v>
      </c>
      <c r="M511" s="143">
        <f t="shared" si="533"/>
        <v>8947.9884679849329</v>
      </c>
      <c r="N511" s="143">
        <f t="shared" si="533"/>
        <v>106657.29630508475</v>
      </c>
      <c r="O511" s="143">
        <f t="shared" si="533"/>
        <v>1131689.2299161959</v>
      </c>
      <c r="P511" s="143">
        <f t="shared" si="533"/>
        <v>1122741.2414482108</v>
      </c>
      <c r="Q511" s="143">
        <f t="shared" si="533"/>
        <v>1113793.252980226</v>
      </c>
      <c r="R511" s="143">
        <f t="shared" si="533"/>
        <v>1104845.2645122409</v>
      </c>
      <c r="S511" s="143">
        <f t="shared" si="533"/>
        <v>1095897.2760442561</v>
      </c>
      <c r="T511" s="143">
        <f t="shared" si="533"/>
        <v>1086949.2875762712</v>
      </c>
      <c r="U511" s="143">
        <f t="shared" si="533"/>
        <v>1078001.2991082862</v>
      </c>
      <c r="V511" s="143">
        <f t="shared" si="533"/>
        <v>1069053.3106403011</v>
      </c>
      <c r="W511" s="143">
        <f t="shared" si="533"/>
        <v>1060105.3221723163</v>
      </c>
      <c r="X511" s="143">
        <f t="shared" si="533"/>
        <v>1051307.3947777778</v>
      </c>
      <c r="Y511" s="143">
        <f t="shared" si="533"/>
        <v>1042548.9077222222</v>
      </c>
      <c r="Z511" s="143">
        <f t="shared" si="533"/>
        <v>1033790.4206666666</v>
      </c>
      <c r="AA511" s="143">
        <f t="shared" si="533"/>
        <v>18378.115539298564</v>
      </c>
      <c r="AB511" s="143">
        <f t="shared" si="533"/>
        <v>0</v>
      </c>
      <c r="AC511" s="144">
        <f t="shared" si="502"/>
        <v>107375.86161581919</v>
      </c>
      <c r="AD511" s="144">
        <f t="shared" si="503"/>
        <v>1024842.4321986816</v>
      </c>
      <c r="AE511" s="144">
        <f t="shared" si="504"/>
        <v>1015894.4437306967</v>
      </c>
      <c r="AF511" s="144">
        <f t="shared" si="505"/>
        <v>1006946.4552627117</v>
      </c>
      <c r="AG511" s="144">
        <f t="shared" si="506"/>
        <v>997998.46679472679</v>
      </c>
      <c r="AH511" s="144">
        <f t="shared" si="507"/>
        <v>989050.47832674184</v>
      </c>
      <c r="AI511" s="144">
        <f t="shared" si="508"/>
        <v>980102.48985875689</v>
      </c>
      <c r="AJ511" s="144">
        <f t="shared" si="509"/>
        <v>971154.50139077194</v>
      </c>
      <c r="AK511" s="144">
        <f t="shared" si="510"/>
        <v>962206.51292278699</v>
      </c>
      <c r="AL511" s="144">
        <f t="shared" si="511"/>
        <v>953258.52445480204</v>
      </c>
      <c r="AM511" s="144">
        <f t="shared" si="512"/>
        <v>944310.53598681709</v>
      </c>
      <c r="AN511" s="144">
        <f t="shared" si="513"/>
        <v>935362.54751883214</v>
      </c>
      <c r="AO511" s="144">
        <f t="shared" si="514"/>
        <v>926414.55905084719</v>
      </c>
      <c r="AP511" s="143">
        <f t="shared" si="533"/>
        <v>16857.84624333333</v>
      </c>
      <c r="AQ511" s="143">
        <f t="shared" si="533"/>
        <v>0</v>
      </c>
      <c r="AR511" s="143">
        <f t="shared" si="533"/>
        <v>104117.0855</v>
      </c>
      <c r="AS511" s="143">
        <f t="shared" si="533"/>
        <v>919930.08894444408</v>
      </c>
      <c r="AT511" s="143">
        <f t="shared" si="533"/>
        <v>911171.60188888852</v>
      </c>
      <c r="AU511" s="143">
        <f t="shared" si="533"/>
        <v>902413.11483333295</v>
      </c>
      <c r="AV511" s="143">
        <f t="shared" si="533"/>
        <v>893654.62777777738</v>
      </c>
      <c r="AW511" s="143">
        <f t="shared" si="533"/>
        <v>884896.14072222181</v>
      </c>
      <c r="AX511" s="143">
        <f t="shared" si="533"/>
        <v>876137.65366666624</v>
      </c>
      <c r="AY511" s="143">
        <f t="shared" si="533"/>
        <v>867379.16661111068</v>
      </c>
      <c r="AZ511" s="143">
        <f t="shared" si="533"/>
        <v>858784.29288888839</v>
      </c>
      <c r="BA511" s="143">
        <f t="shared" si="533"/>
        <v>850190.03499999968</v>
      </c>
      <c r="BB511" s="143">
        <f t="shared" si="533"/>
        <v>841595.77711111074</v>
      </c>
      <c r="BC511" s="143">
        <f t="shared" si="533"/>
        <v>833001.5192222218</v>
      </c>
      <c r="BD511" s="143">
        <f t="shared" si="533"/>
        <v>824407.26133333286</v>
      </c>
      <c r="BE511" s="143">
        <f t="shared" si="533"/>
        <v>15356.839343999993</v>
      </c>
      <c r="BF511" s="145"/>
      <c r="BG511" s="145"/>
      <c r="BH511" s="145"/>
      <c r="BI511" s="145"/>
      <c r="BJ511" s="145"/>
      <c r="BK511" s="145"/>
      <c r="BL511" s="145"/>
      <c r="BM511" s="145"/>
      <c r="BN511" s="145"/>
      <c r="BO511" s="145"/>
      <c r="BP511" s="145"/>
      <c r="BQ511" s="145"/>
      <c r="BR511" s="145"/>
      <c r="BS511" s="145"/>
      <c r="BT511" s="145"/>
      <c r="BU511" s="145"/>
      <c r="BV511" s="145"/>
      <c r="BW511" s="145"/>
    </row>
    <row r="512" spans="1:75" hidden="1" x14ac:dyDescent="0.2">
      <c r="A512" s="123" t="str">
        <f>'[2]2021 УГРЦТ'!A514</f>
        <v>Газопроводные трубы 1981г.</v>
      </c>
      <c r="B512" s="124" t="str">
        <f>'[2]2021 УГРЦТ'!B514</f>
        <v>00000603</v>
      </c>
      <c r="C512" s="124" t="str">
        <f>VLOOKUP(A:A,'2023-2027'!A:L,1,+FALSE)</f>
        <v>Газопроводные трубы 1981г.</v>
      </c>
      <c r="D512" s="124" t="str">
        <f>'[2]2021 УГРЦТ'!C514</f>
        <v>ТЕПЛОЭНЕРГИЯ</v>
      </c>
      <c r="E512" s="124" t="str">
        <f>'[2]2021 УГРЦТ'!D514</f>
        <v>Сооружения</v>
      </c>
      <c r="F512" s="124" t="str">
        <f>'[2]2021 УГРЦТ'!E514</f>
        <v>01.01.1981</v>
      </c>
      <c r="G512" s="124" t="s">
        <v>19</v>
      </c>
      <c r="H512" s="124">
        <f>'[2]2021 УГРЦТ'!AC514</f>
        <v>480</v>
      </c>
      <c r="I512" s="107">
        <f>'[2]2021 УГРЦТ'!X514</f>
        <v>32481</v>
      </c>
      <c r="J512" s="107">
        <f>'[2]2021 УГРЦТ'!Y514</f>
        <v>32480.997500000001</v>
      </c>
      <c r="K512" s="107">
        <f>'[2]2021 УГРЦТ'!Z514</f>
        <v>2.4999999986903276E-3</v>
      </c>
      <c r="L512" s="125" t="e">
        <f>SUMIF([2]облаг!$B$2:$B$259,B512,[2]облаг!$D$2:$D$259)</f>
        <v>#VALUE!</v>
      </c>
      <c r="M512" s="125">
        <v>0</v>
      </c>
      <c r="N512" s="107">
        <v>0</v>
      </c>
      <c r="O512" s="107">
        <v>0</v>
      </c>
      <c r="P512" s="107">
        <v>0</v>
      </c>
      <c r="Q512" s="107">
        <v>0</v>
      </c>
      <c r="R512" s="107">
        <v>0</v>
      </c>
      <c r="S512" s="107">
        <v>0</v>
      </c>
      <c r="T512" s="107">
        <v>0</v>
      </c>
      <c r="U512" s="107">
        <v>0</v>
      </c>
      <c r="V512" s="107">
        <v>0</v>
      </c>
      <c r="W512" s="107">
        <v>0</v>
      </c>
      <c r="X512" s="107">
        <v>0</v>
      </c>
      <c r="Y512" s="107">
        <v>0</v>
      </c>
      <c r="Z512" s="107">
        <v>0</v>
      </c>
      <c r="AA512" s="107"/>
      <c r="AB512" s="107"/>
      <c r="AC512" s="107">
        <v>0</v>
      </c>
      <c r="AD512" s="107">
        <v>0</v>
      </c>
      <c r="AE512" s="107">
        <v>0</v>
      </c>
      <c r="AF512" s="107">
        <v>0</v>
      </c>
      <c r="AG512" s="107">
        <v>0</v>
      </c>
      <c r="AH512" s="107">
        <v>0</v>
      </c>
      <c r="AI512" s="107">
        <v>0</v>
      </c>
      <c r="AJ512" s="107">
        <v>0</v>
      </c>
      <c r="AK512" s="107">
        <v>0</v>
      </c>
      <c r="AL512" s="107">
        <v>0</v>
      </c>
      <c r="AM512" s="107">
        <v>0</v>
      </c>
      <c r="AN512" s="107">
        <v>0</v>
      </c>
      <c r="AO512" s="107">
        <v>0</v>
      </c>
      <c r="AP512" s="107">
        <v>0</v>
      </c>
      <c r="AQ512" s="126"/>
      <c r="AR512" s="147">
        <v>0</v>
      </c>
      <c r="AS512" s="147">
        <v>0</v>
      </c>
      <c r="AT512" s="147">
        <v>0</v>
      </c>
      <c r="AU512" s="147">
        <v>0</v>
      </c>
      <c r="AV512" s="147">
        <v>0</v>
      </c>
      <c r="AW512" s="147">
        <v>0</v>
      </c>
      <c r="AX512" s="147">
        <v>0</v>
      </c>
      <c r="AY512" s="147">
        <v>0</v>
      </c>
      <c r="AZ512" s="147">
        <v>0</v>
      </c>
      <c r="BA512" s="147">
        <v>0</v>
      </c>
      <c r="BB512" s="147">
        <v>0</v>
      </c>
      <c r="BC512" s="147">
        <v>0</v>
      </c>
      <c r="BD512" s="147">
        <v>0</v>
      </c>
      <c r="BE512" s="107">
        <f>SUM(AS512:BD512,AO512)/13*$BE$2</f>
        <v>0</v>
      </c>
      <c r="BG512" s="127"/>
      <c r="BI512" s="127"/>
      <c r="BV512" s="127"/>
    </row>
    <row r="513" spans="1:75" ht="56.25" hidden="1" x14ac:dyDescent="0.2">
      <c r="A513" s="123" t="str">
        <f>'[2]2021 УГРЦТ'!A515</f>
        <v>Горелка ГБЛ-0,7К-МГ-В-Р в комплекте с группой арматурной Ду65 на низкое присоединительное давление (4,1-5 кПа)</v>
      </c>
      <c r="B513" s="124" t="str">
        <f>'[2]2021 УГРЦТ'!B515</f>
        <v>000001767</v>
      </c>
      <c r="C513" s="124" t="str">
        <f>VLOOKUP(A:A,'2023-2027'!A:L,1,+FALSE)</f>
        <v>Горелка ГБЛ-0,7К-МГ-В-Р в комплекте с группой арматурной Ду65 на низкое присоединительное давление (4,1-5 кПа)</v>
      </c>
      <c r="D513" s="124" t="str">
        <f>'[2]2021 УГРЦТ'!C515</f>
        <v>ТЕПЛОЭНЕРГИЯ</v>
      </c>
      <c r="E513" s="124" t="str">
        <f>'[2]2021 УГРЦТ'!D515</f>
        <v>Машины и оборудование (кроме офисного)</v>
      </c>
      <c r="F513" s="124" t="str">
        <f>'[2]2021 УГРЦТ'!E515</f>
        <v>18.04.2019</v>
      </c>
      <c r="G513" s="124" t="s">
        <v>19</v>
      </c>
      <c r="H513" s="124">
        <f>'[2]2021 УГРЦТ'!AC515</f>
        <v>120</v>
      </c>
      <c r="I513" s="107">
        <f>'[2]2021 УГРЦТ'!X515</f>
        <v>308166.67</v>
      </c>
      <c r="J513" s="107">
        <f>'[2]2021 УГРЦТ'!Y515</f>
        <v>82177.866999999998</v>
      </c>
      <c r="K513" s="107">
        <f>'[2]2021 УГРЦТ'!Z515</f>
        <v>225988.80299999999</v>
      </c>
      <c r="L513" s="125" t="e">
        <f>SUMIF([2]облаг!$B$2:$B$259,B513,[2]облаг!$D$2:$D$259)</f>
        <v>#VALUE!</v>
      </c>
      <c r="M513" s="107">
        <f>I513/H513</f>
        <v>2568.0555833333333</v>
      </c>
      <c r="N513" s="107">
        <f>M513*12</f>
        <v>30816.667000000001</v>
      </c>
      <c r="O513" s="107">
        <f>K513-M513</f>
        <v>223420.74741666665</v>
      </c>
      <c r="P513" s="107">
        <f>O513-M513</f>
        <v>220852.69183333332</v>
      </c>
      <c r="Q513" s="107">
        <f>P513-M513</f>
        <v>218284.63624999998</v>
      </c>
      <c r="R513" s="107">
        <f>Q513-M513</f>
        <v>215716.58066666665</v>
      </c>
      <c r="S513" s="107">
        <f>R513-M513</f>
        <v>213148.52508333331</v>
      </c>
      <c r="T513" s="107">
        <f>S513-M513</f>
        <v>210580.46949999998</v>
      </c>
      <c r="U513" s="107">
        <f>T513-M513</f>
        <v>208012.41391666664</v>
      </c>
      <c r="V513" s="107">
        <f>U513-M513</f>
        <v>205444.35833333331</v>
      </c>
      <c r="W513" s="107">
        <f>V513-M513</f>
        <v>202876.30274999997</v>
      </c>
      <c r="X513" s="107">
        <f>W513-M513</f>
        <v>200308.24716666664</v>
      </c>
      <c r="Y513" s="107">
        <f>X513-M513</f>
        <v>197740.1915833333</v>
      </c>
      <c r="Z513" s="107">
        <f>Y513-M513</f>
        <v>195172.13599999997</v>
      </c>
      <c r="AA513" s="107"/>
      <c r="AB513" s="107"/>
      <c r="AC513" s="107">
        <f t="shared" si="502"/>
        <v>30816.667000000001</v>
      </c>
      <c r="AD513" s="107">
        <f>Z513-M513</f>
        <v>192604.08041666663</v>
      </c>
      <c r="AE513" s="107">
        <f t="shared" si="504"/>
        <v>190036.0248333333</v>
      </c>
      <c r="AF513" s="107">
        <f t="shared" si="505"/>
        <v>187467.96924999997</v>
      </c>
      <c r="AG513" s="107">
        <f t="shared" si="506"/>
        <v>184899.91366666663</v>
      </c>
      <c r="AH513" s="107">
        <f t="shared" si="507"/>
        <v>182331.8580833333</v>
      </c>
      <c r="AI513" s="107">
        <f t="shared" si="508"/>
        <v>179763.80249999996</v>
      </c>
      <c r="AJ513" s="107">
        <f t="shared" si="509"/>
        <v>177195.74691666663</v>
      </c>
      <c r="AK513" s="107">
        <f t="shared" si="510"/>
        <v>174627.69133333329</v>
      </c>
      <c r="AL513" s="107">
        <f t="shared" si="511"/>
        <v>172059.63574999996</v>
      </c>
      <c r="AM513" s="107">
        <f t="shared" si="512"/>
        <v>169491.58016666662</v>
      </c>
      <c r="AN513" s="107">
        <f t="shared" si="513"/>
        <v>166923.52458333329</v>
      </c>
      <c r="AO513" s="107">
        <f t="shared" si="514"/>
        <v>164355.46899999995</v>
      </c>
      <c r="AP513" s="107"/>
      <c r="AQ513" s="126"/>
      <c r="AR513" s="107">
        <f>AC513</f>
        <v>30816.667000000001</v>
      </c>
      <c r="AS513" s="107">
        <f>AO513-M513</f>
        <v>161787.41341666662</v>
      </c>
      <c r="AT513" s="107">
        <f>AS513-M513</f>
        <v>159219.35783333328</v>
      </c>
      <c r="AU513" s="107">
        <f>AT513-M513</f>
        <v>156651.30224999995</v>
      </c>
      <c r="AV513" s="107">
        <f>AU513-M513</f>
        <v>154083.24666666662</v>
      </c>
      <c r="AW513" s="107">
        <f>AV513-M513</f>
        <v>151515.19108333328</v>
      </c>
      <c r="AX513" s="107">
        <f>AW513-M513</f>
        <v>148947.13549999995</v>
      </c>
      <c r="AY513" s="107">
        <f>AX513-M513</f>
        <v>146379.07991666661</v>
      </c>
      <c r="AZ513" s="107">
        <f>AY513-M513</f>
        <v>143811.02433333328</v>
      </c>
      <c r="BA513" s="107">
        <f>AZ513-M513</f>
        <v>141242.96874999994</v>
      </c>
      <c r="BB513" s="107">
        <f>BA513-M513</f>
        <v>138674.91316666661</v>
      </c>
      <c r="BC513" s="107">
        <f>BB513-M513</f>
        <v>136106.85758333327</v>
      </c>
      <c r="BD513" s="107">
        <f>BC513-M513</f>
        <v>133538.80199999994</v>
      </c>
      <c r="BE513" s="107"/>
      <c r="BF513" s="127"/>
      <c r="BG513" s="127"/>
      <c r="BH513" s="127"/>
      <c r="BI513" s="127"/>
      <c r="BJ513" s="127"/>
      <c r="BK513" s="127"/>
      <c r="BL513" s="127"/>
      <c r="BM513" s="127"/>
      <c r="BN513" s="127"/>
      <c r="BO513" s="127"/>
      <c r="BP513" s="127"/>
      <c r="BQ513" s="127"/>
      <c r="BR513" s="127"/>
      <c r="BS513" s="127"/>
      <c r="BT513" s="127"/>
      <c r="BU513" s="127"/>
      <c r="BV513" s="127"/>
      <c r="BW513" s="127"/>
    </row>
    <row r="514" spans="1:75" hidden="1" x14ac:dyDescent="0.2">
      <c r="A514" s="123" t="str">
        <f>'[2]2021 УГРЦТ'!A516</f>
        <v>Котельная  1964г.</v>
      </c>
      <c r="B514" s="124" t="str">
        <f>'[2]2021 УГРЦТ'!B516</f>
        <v>00000276</v>
      </c>
      <c r="C514" s="124" t="str">
        <f>VLOOKUP(A:A,'2023-2027'!A:L,1,+FALSE)</f>
        <v>Котельная  1964г.</v>
      </c>
      <c r="D514" s="124" t="str">
        <f>'[2]2021 УГРЦТ'!C516</f>
        <v>ТЕПЛОЭНЕРГИЯ</v>
      </c>
      <c r="E514" s="124" t="str">
        <f>'[2]2021 УГРЦТ'!D516</f>
        <v>Здания</v>
      </c>
      <c r="F514" s="124" t="str">
        <f>'[2]2021 УГРЦТ'!E516</f>
        <v>01.01.1964</v>
      </c>
      <c r="G514" s="124" t="s">
        <v>19</v>
      </c>
      <c r="H514" s="124">
        <f>'[2]2021 УГРЦТ'!AC516</f>
        <v>708</v>
      </c>
      <c r="I514" s="107">
        <f>'[2]2021 УГРЦТ'!X516</f>
        <v>134167</v>
      </c>
      <c r="J514" s="107">
        <f>'[2]2021 УГРЦТ'!Y516</f>
        <v>132422.04694915254</v>
      </c>
      <c r="K514" s="107">
        <f>'[2]2021 УГРЦТ'!Z516</f>
        <v>1744.9530508474563</v>
      </c>
      <c r="L514" s="125" t="e">
        <f>SUMIF([2]облаг!$B$2:$B$259,B514,[2]облаг!$D$2:$D$259)</f>
        <v>#VALUE!</v>
      </c>
      <c r="M514" s="107">
        <f t="shared" ref="M514:M517" si="534">I514/H514</f>
        <v>189.50141242937852</v>
      </c>
      <c r="N514" s="107">
        <f>O514</f>
        <v>1555.4516384180779</v>
      </c>
      <c r="O514" s="107">
        <f t="shared" ref="O514:O517" si="535">K514-M514</f>
        <v>1555.4516384180779</v>
      </c>
      <c r="P514" s="107">
        <f t="shared" ref="P514:P517" si="536">O514-M514</f>
        <v>1365.9502259886995</v>
      </c>
      <c r="Q514" s="107">
        <f t="shared" ref="Q514:Q517" si="537">P514-M514</f>
        <v>1176.448813559321</v>
      </c>
      <c r="R514" s="107">
        <f t="shared" ref="R514:R517" si="538">Q514-M514</f>
        <v>986.94740112994248</v>
      </c>
      <c r="S514" s="107">
        <f t="shared" ref="S514:S517" si="539">R514-M514</f>
        <v>797.44598870056393</v>
      </c>
      <c r="T514" s="107">
        <f t="shared" ref="T514:T517" si="540">S514-M514</f>
        <v>607.94457627118538</v>
      </c>
      <c r="U514" s="107">
        <f t="shared" ref="U514:U517" si="541">T514-M514</f>
        <v>418.44316384180684</v>
      </c>
      <c r="V514" s="107">
        <f t="shared" ref="V514:V517" si="542">U514-M514</f>
        <v>228.94175141242832</v>
      </c>
      <c r="W514" s="107">
        <f t="shared" ref="W514:W517" si="543">V514-M514</f>
        <v>39.440338983049799</v>
      </c>
      <c r="X514" s="107">
        <v>0</v>
      </c>
      <c r="Y514" s="107">
        <v>0</v>
      </c>
      <c r="Z514" s="107">
        <v>0</v>
      </c>
      <c r="AA514" s="107">
        <f>SUM(O514:Z514,K514)/13*$AA$2</f>
        <v>15.098713298565821</v>
      </c>
      <c r="AB514" s="107"/>
      <c r="AC514" s="107">
        <v>0</v>
      </c>
      <c r="AD514" s="107">
        <v>0</v>
      </c>
      <c r="AE514" s="107">
        <v>0</v>
      </c>
      <c r="AF514" s="107">
        <v>0</v>
      </c>
      <c r="AG514" s="107">
        <v>0</v>
      </c>
      <c r="AH514" s="107">
        <v>0</v>
      </c>
      <c r="AI514" s="107">
        <v>0</v>
      </c>
      <c r="AJ514" s="107">
        <v>0</v>
      </c>
      <c r="AK514" s="107">
        <v>0</v>
      </c>
      <c r="AL514" s="107">
        <v>0</v>
      </c>
      <c r="AM514" s="107">
        <v>0</v>
      </c>
      <c r="AN514" s="107">
        <v>0</v>
      </c>
      <c r="AO514" s="107">
        <v>0</v>
      </c>
      <c r="AP514" s="107">
        <v>0</v>
      </c>
      <c r="AQ514" s="126"/>
      <c r="AR514" s="107">
        <f t="shared" ref="AR514:AR517" si="544">AC514</f>
        <v>0</v>
      </c>
      <c r="AS514" s="107">
        <v>0</v>
      </c>
      <c r="AT514" s="107">
        <v>0</v>
      </c>
      <c r="AU514" s="107">
        <v>0</v>
      </c>
      <c r="AV514" s="107">
        <v>0</v>
      </c>
      <c r="AW514" s="107">
        <v>0</v>
      </c>
      <c r="AX514" s="107">
        <v>0</v>
      </c>
      <c r="AY514" s="107">
        <v>0</v>
      </c>
      <c r="AZ514" s="107">
        <v>0</v>
      </c>
      <c r="BA514" s="107">
        <v>0</v>
      </c>
      <c r="BB514" s="107">
        <v>0</v>
      </c>
      <c r="BC514" s="107">
        <v>0</v>
      </c>
      <c r="BD514" s="107">
        <v>0</v>
      </c>
      <c r="BE514" s="107">
        <f>SUM(AS514:BD514,AO514)/13*$BE$2</f>
        <v>0</v>
      </c>
      <c r="BG514" s="127"/>
      <c r="BI514" s="127"/>
      <c r="BV514" s="127"/>
    </row>
    <row r="515" spans="1:75" hidden="1" x14ac:dyDescent="0.2">
      <c r="A515" s="123" t="str">
        <f>'[2]2021 УГРЦТ'!A517</f>
        <v>Пристройка для машинистов</v>
      </c>
      <c r="B515" s="124" t="str">
        <f>'[2]2021 УГРЦТ'!B517</f>
        <v>00000272</v>
      </c>
      <c r="C515" s="124" t="str">
        <f>VLOOKUP(A:A,'2023-2027'!A:L,1,+FALSE)</f>
        <v>Пристройка для машинистов</v>
      </c>
      <c r="D515" s="124" t="str">
        <f>'[2]2021 УГРЦТ'!C517</f>
        <v>ТЕПЛОЭНЕРГИЯ</v>
      </c>
      <c r="E515" s="124" t="str">
        <f>'[2]2021 УГРЦТ'!D517</f>
        <v>Здания</v>
      </c>
      <c r="F515" s="124" t="str">
        <f>'[2]2021 УГРЦТ'!E517</f>
        <v>01.12.1999</v>
      </c>
      <c r="G515" s="124" t="s">
        <v>19</v>
      </c>
      <c r="H515" s="124">
        <f>'[2]2021 УГРЦТ'!AC517</f>
        <v>240</v>
      </c>
      <c r="I515" s="107">
        <f>'[2]2021 УГРЦТ'!X517</f>
        <v>39415</v>
      </c>
      <c r="J515" s="107">
        <f>'[2]2021 УГРЦТ'!Y517</f>
        <v>34323.279999999999</v>
      </c>
      <c r="K515" s="107">
        <f>'[2]2021 УГРЦТ'!Z517</f>
        <v>5091.7200000000012</v>
      </c>
      <c r="L515" s="125" t="e">
        <f>SUMIF([2]облаг!$B$2:$B$259,B515,[2]облаг!$D$2:$D$259)</f>
        <v>#VALUE!</v>
      </c>
      <c r="M515" s="107">
        <f t="shared" si="534"/>
        <v>164.22916666666666</v>
      </c>
      <c r="N515" s="107">
        <f t="shared" ref="N515:N517" si="545">M515*12</f>
        <v>1970.75</v>
      </c>
      <c r="O515" s="107">
        <f t="shared" si="535"/>
        <v>4927.4908333333342</v>
      </c>
      <c r="P515" s="107">
        <f t="shared" si="536"/>
        <v>4763.2616666666672</v>
      </c>
      <c r="Q515" s="107">
        <f t="shared" si="537"/>
        <v>4599.0325000000003</v>
      </c>
      <c r="R515" s="107">
        <f t="shared" si="538"/>
        <v>4434.8033333333333</v>
      </c>
      <c r="S515" s="107">
        <f t="shared" si="539"/>
        <v>4270.5741666666663</v>
      </c>
      <c r="T515" s="107">
        <f t="shared" si="540"/>
        <v>4106.3449999999993</v>
      </c>
      <c r="U515" s="107">
        <f t="shared" si="541"/>
        <v>3942.1158333333328</v>
      </c>
      <c r="V515" s="107">
        <f t="shared" si="542"/>
        <v>3777.8866666666663</v>
      </c>
      <c r="W515" s="107">
        <f t="shared" si="543"/>
        <v>3613.6574999999998</v>
      </c>
      <c r="X515" s="107">
        <f t="shared" ref="X515:X517" si="546">W515-M515</f>
        <v>3449.4283333333333</v>
      </c>
      <c r="Y515" s="107">
        <f t="shared" ref="Y515:Y517" si="547">X515-M515</f>
        <v>3285.1991666666668</v>
      </c>
      <c r="Z515" s="107">
        <f t="shared" ref="Z515:Z517" si="548">Y515-M515</f>
        <v>3120.9700000000003</v>
      </c>
      <c r="AA515" s="107">
        <f>SUM(O515:Z515,K515)/13*$AA$2</f>
        <v>90.339590000000001</v>
      </c>
      <c r="AB515" s="107"/>
      <c r="AC515" s="107">
        <f t="shared" si="502"/>
        <v>1970.75</v>
      </c>
      <c r="AD515" s="107">
        <f t="shared" si="503"/>
        <v>2956.7408333333337</v>
      </c>
      <c r="AE515" s="107">
        <f t="shared" si="504"/>
        <v>2792.5116666666672</v>
      </c>
      <c r="AF515" s="107">
        <f t="shared" si="505"/>
        <v>2628.2825000000007</v>
      </c>
      <c r="AG515" s="107">
        <f t="shared" si="506"/>
        <v>2464.0533333333342</v>
      </c>
      <c r="AH515" s="107">
        <f t="shared" si="507"/>
        <v>2299.8241666666677</v>
      </c>
      <c r="AI515" s="107">
        <f t="shared" si="508"/>
        <v>2135.5950000000012</v>
      </c>
      <c r="AJ515" s="107">
        <f t="shared" si="509"/>
        <v>1971.3658333333344</v>
      </c>
      <c r="AK515" s="107">
        <f t="shared" si="510"/>
        <v>1807.1366666666677</v>
      </c>
      <c r="AL515" s="107">
        <f t="shared" si="511"/>
        <v>1642.9075000000009</v>
      </c>
      <c r="AM515" s="107">
        <f t="shared" si="512"/>
        <v>1478.6783333333342</v>
      </c>
      <c r="AN515" s="107">
        <f t="shared" si="513"/>
        <v>1314.4491666666675</v>
      </c>
      <c r="AO515" s="107">
        <f t="shared" si="514"/>
        <v>1150.2200000000007</v>
      </c>
      <c r="AP515" s="107">
        <f t="shared" ref="AP515:AP516" si="549">SUM(AD515:AO515,Z515)/13*$AP$2</f>
        <v>46.983090000000026</v>
      </c>
      <c r="AQ515" s="126"/>
      <c r="AR515" s="107">
        <f>AS515</f>
        <v>985.99083333333408</v>
      </c>
      <c r="AS515" s="107">
        <f>AO515-M515</f>
        <v>985.99083333333408</v>
      </c>
      <c r="AT515" s="107">
        <f>AS515-M515</f>
        <v>821.76166666666745</v>
      </c>
      <c r="AU515" s="107">
        <f>AT515-M515</f>
        <v>657.53250000000082</v>
      </c>
      <c r="AV515" s="107">
        <f>AU515-M515</f>
        <v>493.30333333333419</v>
      </c>
      <c r="AW515" s="107">
        <f>AV515-M515</f>
        <v>329.07416666666757</v>
      </c>
      <c r="AX515" s="107">
        <f>AW515-M515</f>
        <v>164.84500000000091</v>
      </c>
      <c r="AY515" s="107">
        <f>AX515-M515</f>
        <v>0.61583333333425117</v>
      </c>
      <c r="AZ515" s="107">
        <v>0</v>
      </c>
      <c r="BA515" s="107">
        <v>0</v>
      </c>
      <c r="BB515" s="107">
        <v>0</v>
      </c>
      <c r="BC515" s="107">
        <v>0</v>
      </c>
      <c r="BD515" s="107">
        <v>0</v>
      </c>
      <c r="BE515" s="107">
        <f>SUM(AS515:BD515,AO515)/13*$BE$2</f>
        <v>7.7902733333333432</v>
      </c>
      <c r="BG515" s="127"/>
      <c r="BI515" s="127"/>
      <c r="BV515" s="127"/>
    </row>
    <row r="516" spans="1:75" ht="22.5" hidden="1" x14ac:dyDescent="0.2">
      <c r="A516" s="123" t="str">
        <f>'[2]2021 УГРЦТ'!A518</f>
        <v>Тепловые сети объекта "Ангар для складских помещений"</v>
      </c>
      <c r="B516" s="124" t="str">
        <f>'[2]2021 УГРЦТ'!B518</f>
        <v>000001782</v>
      </c>
      <c r="C516" s="124" t="str">
        <f>VLOOKUP(A:A,'2023-2027'!A:L,1,+FALSE)</f>
        <v>Тепловые сети объекта "Ангар для складских помещений"</v>
      </c>
      <c r="D516" s="124" t="str">
        <f>'[2]2021 УГРЦТ'!C518</f>
        <v>ТЕПЛОЭНЕРГИЯ</v>
      </c>
      <c r="E516" s="124" t="str">
        <f>'[2]2021 УГРЦТ'!D518</f>
        <v>Сооружения</v>
      </c>
      <c r="F516" s="124" t="str">
        <f>'[2]2021 УГРЦТ'!E518</f>
        <v>16.12.2019</v>
      </c>
      <c r="G516" s="124" t="s">
        <v>19</v>
      </c>
      <c r="H516" s="124">
        <f>'[2]2021 УГРЦТ'!AC518</f>
        <v>180</v>
      </c>
      <c r="I516" s="107">
        <f>'[2]2021 УГРЦТ'!X518</f>
        <v>996691.42</v>
      </c>
      <c r="J516" s="107">
        <f>'[2]2021 УГРЦТ'!Y518</f>
        <v>132892.13466666665</v>
      </c>
      <c r="K516" s="107">
        <f>'[2]2021 УГРЦТ'!Z518</f>
        <v>863799.28533333342</v>
      </c>
      <c r="L516" s="125" t="e">
        <f>SUMIF([2]облаг!$B$2:$B$259,B516,[2]облаг!$D$2:$D$259)</f>
        <v>#VALUE!</v>
      </c>
      <c r="M516" s="107">
        <f t="shared" si="534"/>
        <v>5537.1745555555553</v>
      </c>
      <c r="N516" s="107">
        <f t="shared" si="545"/>
        <v>66446.094666666671</v>
      </c>
      <c r="O516" s="107">
        <f t="shared" si="535"/>
        <v>858262.11077777785</v>
      </c>
      <c r="P516" s="107">
        <f t="shared" si="536"/>
        <v>852724.93622222228</v>
      </c>
      <c r="Q516" s="107">
        <f t="shared" si="537"/>
        <v>847187.76166666672</v>
      </c>
      <c r="R516" s="107">
        <f t="shared" si="538"/>
        <v>841650.58711111115</v>
      </c>
      <c r="S516" s="107">
        <f t="shared" si="539"/>
        <v>836113.41255555558</v>
      </c>
      <c r="T516" s="107">
        <f t="shared" si="540"/>
        <v>830576.23800000001</v>
      </c>
      <c r="U516" s="107">
        <f t="shared" si="541"/>
        <v>825039.06344444444</v>
      </c>
      <c r="V516" s="107">
        <f t="shared" si="542"/>
        <v>819501.88888888888</v>
      </c>
      <c r="W516" s="107">
        <f t="shared" si="543"/>
        <v>813964.71433333331</v>
      </c>
      <c r="X516" s="107">
        <f t="shared" si="546"/>
        <v>808427.53977777774</v>
      </c>
      <c r="Y516" s="107">
        <f t="shared" si="547"/>
        <v>802890.36522222217</v>
      </c>
      <c r="Z516" s="107">
        <f t="shared" si="548"/>
        <v>797353.1906666666</v>
      </c>
      <c r="AA516" s="107">
        <f>SUM(O516:Z516,K516)/13*$AA$2</f>
        <v>18272.677236</v>
      </c>
      <c r="AB516" s="107"/>
      <c r="AC516" s="107">
        <f t="shared" si="502"/>
        <v>66446.094666666671</v>
      </c>
      <c r="AD516" s="107">
        <f t="shared" si="503"/>
        <v>791816.01611111104</v>
      </c>
      <c r="AE516" s="107">
        <f t="shared" si="504"/>
        <v>786278.84155555547</v>
      </c>
      <c r="AF516" s="107">
        <f t="shared" si="505"/>
        <v>780741.6669999999</v>
      </c>
      <c r="AG516" s="107">
        <f t="shared" si="506"/>
        <v>775204.49244444433</v>
      </c>
      <c r="AH516" s="107">
        <f t="shared" si="507"/>
        <v>769667.31788888876</v>
      </c>
      <c r="AI516" s="107">
        <f t="shared" si="508"/>
        <v>764130.1433333332</v>
      </c>
      <c r="AJ516" s="107">
        <f t="shared" si="509"/>
        <v>758592.96877777763</v>
      </c>
      <c r="AK516" s="107">
        <f t="shared" si="510"/>
        <v>753055.79422222206</v>
      </c>
      <c r="AL516" s="107">
        <f t="shared" si="511"/>
        <v>747518.61966666649</v>
      </c>
      <c r="AM516" s="107">
        <f t="shared" si="512"/>
        <v>741981.44511111092</v>
      </c>
      <c r="AN516" s="107">
        <f t="shared" si="513"/>
        <v>736444.27055555535</v>
      </c>
      <c r="AO516" s="107">
        <f t="shared" si="514"/>
        <v>730907.09599999979</v>
      </c>
      <c r="AP516" s="107">
        <f t="shared" si="549"/>
        <v>16810.863153333328</v>
      </c>
      <c r="AQ516" s="126"/>
      <c r="AR516" s="107">
        <f t="shared" si="544"/>
        <v>66446.094666666671</v>
      </c>
      <c r="AS516" s="107">
        <f>AO516-M516</f>
        <v>725369.92144444422</v>
      </c>
      <c r="AT516" s="107">
        <f>AS516-M516</f>
        <v>719832.74688888865</v>
      </c>
      <c r="AU516" s="107">
        <f>AT516-M516</f>
        <v>714295.57233333308</v>
      </c>
      <c r="AV516" s="107">
        <f>AU516-M516</f>
        <v>708758.39777777751</v>
      </c>
      <c r="AW516" s="107">
        <f>AV516-M516</f>
        <v>703221.22322222195</v>
      </c>
      <c r="AX516" s="107">
        <f>AW516-M516</f>
        <v>697684.04866666638</v>
      </c>
      <c r="AY516" s="107">
        <f>AX516-M516</f>
        <v>692146.87411111081</v>
      </c>
      <c r="AZ516" s="107">
        <f>AY516-M516</f>
        <v>686609.69955555524</v>
      </c>
      <c r="BA516" s="107">
        <f>AZ516-M516</f>
        <v>681072.52499999967</v>
      </c>
      <c r="BB516" s="107">
        <f>BA516-M516</f>
        <v>675535.35044444411</v>
      </c>
      <c r="BC516" s="107">
        <f>BB516-M516</f>
        <v>669998.17588888854</v>
      </c>
      <c r="BD516" s="107">
        <f>BC516-M516</f>
        <v>664461.00133333297</v>
      </c>
      <c r="BE516" s="107">
        <f>SUM(AS516:BD516,AO516)/13*$BE$2</f>
        <v>15349.049070666659</v>
      </c>
      <c r="BF516" s="127"/>
      <c r="BG516" s="127"/>
      <c r="BH516" s="127"/>
      <c r="BI516" s="127"/>
      <c r="BJ516" s="127"/>
      <c r="BK516" s="127"/>
      <c r="BL516" s="127"/>
      <c r="BM516" s="127"/>
      <c r="BN516" s="127"/>
      <c r="BO516" s="127"/>
      <c r="BP516" s="127"/>
      <c r="BQ516" s="127"/>
      <c r="BR516" s="127"/>
      <c r="BS516" s="127"/>
      <c r="BT516" s="127"/>
      <c r="BU516" s="127"/>
      <c r="BV516" s="127"/>
      <c r="BW516" s="127"/>
    </row>
    <row r="517" spans="1:75" ht="22.5" hidden="1" x14ac:dyDescent="0.2">
      <c r="A517" s="123" t="str">
        <f>'[2]2021 УГРЦТ'!A519</f>
        <v>Электронасос типа КМ 100-80-160-5 15кВт</v>
      </c>
      <c r="B517" s="124" t="str">
        <f>'[2]2021 УГРЦТ'!B519</f>
        <v>000001770</v>
      </c>
      <c r="C517" s="124" t="str">
        <f>VLOOKUP(A:A,'2023-2027'!A:L,1,+FALSE)</f>
        <v>Электронасос типа КМ 100-80-160-5 15кВт</v>
      </c>
      <c r="D517" s="124" t="str">
        <f>'[2]2021 УГРЦТ'!C519</f>
        <v>ТЕПЛОЭНЕРГИЯ</v>
      </c>
      <c r="E517" s="124" t="str">
        <f>'[2]2021 УГРЦТ'!D519</f>
        <v>Машины и оборудование (кроме офисного)</v>
      </c>
      <c r="F517" s="124" t="str">
        <f>'[2]2021 УГРЦТ'!E519</f>
        <v>11.06.2019</v>
      </c>
      <c r="G517" s="124" t="s">
        <v>19</v>
      </c>
      <c r="H517" s="124">
        <f>'[2]2021 УГРЦТ'!AC519</f>
        <v>120</v>
      </c>
      <c r="I517" s="107">
        <f>'[2]2021 УГРЦТ'!X519</f>
        <v>58683.33</v>
      </c>
      <c r="J517" s="107">
        <f>'[2]2021 УГРЦТ'!Y519</f>
        <v>14670.873000000003</v>
      </c>
      <c r="K517" s="107">
        <f>'[2]2021 УГРЦТ'!Z519</f>
        <v>44012.456999999995</v>
      </c>
      <c r="L517" s="125" t="e">
        <f>SUMIF([2]облаг!$B$2:$B$259,B517,[2]облаг!$D$2:$D$259)</f>
        <v>#VALUE!</v>
      </c>
      <c r="M517" s="107">
        <f t="shared" si="534"/>
        <v>489.02775000000003</v>
      </c>
      <c r="N517" s="107">
        <f t="shared" si="545"/>
        <v>5868.3330000000005</v>
      </c>
      <c r="O517" s="107">
        <f t="shared" si="535"/>
        <v>43523.429249999994</v>
      </c>
      <c r="P517" s="107">
        <f t="shared" si="536"/>
        <v>43034.401499999993</v>
      </c>
      <c r="Q517" s="107">
        <f t="shared" si="537"/>
        <v>42545.373749999992</v>
      </c>
      <c r="R517" s="107">
        <f t="shared" si="538"/>
        <v>42056.34599999999</v>
      </c>
      <c r="S517" s="107">
        <f t="shared" si="539"/>
        <v>41567.318249999989</v>
      </c>
      <c r="T517" s="107">
        <f t="shared" si="540"/>
        <v>41078.290499999988</v>
      </c>
      <c r="U517" s="107">
        <f t="shared" si="541"/>
        <v>40589.262749999987</v>
      </c>
      <c r="V517" s="107">
        <f t="shared" si="542"/>
        <v>40100.234999999986</v>
      </c>
      <c r="W517" s="107">
        <f t="shared" si="543"/>
        <v>39611.207249999985</v>
      </c>
      <c r="X517" s="107">
        <f t="shared" si="546"/>
        <v>39122.179499999984</v>
      </c>
      <c r="Y517" s="107">
        <f t="shared" si="547"/>
        <v>38633.151749999983</v>
      </c>
      <c r="Z517" s="107">
        <f t="shared" si="548"/>
        <v>38144.123999999982</v>
      </c>
      <c r="AA517" s="107"/>
      <c r="AB517" s="107"/>
      <c r="AC517" s="107">
        <f t="shared" si="502"/>
        <v>5868.3330000000005</v>
      </c>
      <c r="AD517" s="107">
        <f t="shared" si="503"/>
        <v>37655.096249999981</v>
      </c>
      <c r="AE517" s="107">
        <f t="shared" si="504"/>
        <v>37166.068499999979</v>
      </c>
      <c r="AF517" s="107">
        <f t="shared" si="505"/>
        <v>36677.040749999978</v>
      </c>
      <c r="AG517" s="107">
        <f t="shared" si="506"/>
        <v>36188.012999999977</v>
      </c>
      <c r="AH517" s="107">
        <f t="shared" si="507"/>
        <v>35698.985249999976</v>
      </c>
      <c r="AI517" s="107">
        <f t="shared" si="508"/>
        <v>35209.957499999975</v>
      </c>
      <c r="AJ517" s="107">
        <f t="shared" si="509"/>
        <v>34720.929749999974</v>
      </c>
      <c r="AK517" s="107">
        <f t="shared" si="510"/>
        <v>34231.901999999973</v>
      </c>
      <c r="AL517" s="107">
        <f t="shared" si="511"/>
        <v>33742.874249999972</v>
      </c>
      <c r="AM517" s="107">
        <f t="shared" si="512"/>
        <v>33253.846499999971</v>
      </c>
      <c r="AN517" s="107">
        <f t="shared" si="513"/>
        <v>32764.818749999969</v>
      </c>
      <c r="AO517" s="107">
        <f t="shared" si="514"/>
        <v>32275.790999999968</v>
      </c>
      <c r="AP517" s="107"/>
      <c r="AQ517" s="126"/>
      <c r="AR517" s="107">
        <f t="shared" si="544"/>
        <v>5868.3330000000005</v>
      </c>
      <c r="AS517" s="107">
        <f>AO517-M517</f>
        <v>31786.763249999967</v>
      </c>
      <c r="AT517" s="107">
        <f>AS517-M517</f>
        <v>31297.735499999966</v>
      </c>
      <c r="AU517" s="107">
        <f>AT517-M517</f>
        <v>30808.707749999965</v>
      </c>
      <c r="AV517" s="107">
        <f>AU517-M517</f>
        <v>30319.679999999964</v>
      </c>
      <c r="AW517" s="107">
        <f>AV517-M517</f>
        <v>29830.652249999963</v>
      </c>
      <c r="AX517" s="107">
        <f>AW517-M517</f>
        <v>29341.624499999962</v>
      </c>
      <c r="AY517" s="107">
        <f>AX517-M517</f>
        <v>28852.596749999961</v>
      </c>
      <c r="AZ517" s="107">
        <f>AY517-M517</f>
        <v>28363.568999999959</v>
      </c>
      <c r="BA517" s="107">
        <f>AZ517-M517</f>
        <v>27874.541249999958</v>
      </c>
      <c r="BB517" s="107">
        <f>BA517-M517</f>
        <v>27385.513499999957</v>
      </c>
      <c r="BC517" s="107">
        <f>BB517-M517</f>
        <v>26896.485749999956</v>
      </c>
      <c r="BD517" s="107">
        <f>BC517-M517</f>
        <v>26407.457999999955</v>
      </c>
      <c r="BE517" s="107"/>
      <c r="BF517" s="127"/>
      <c r="BG517" s="127"/>
      <c r="BH517" s="127"/>
      <c r="BI517" s="127"/>
      <c r="BJ517" s="127"/>
      <c r="BK517" s="127"/>
      <c r="BL517" s="127"/>
      <c r="BM517" s="127"/>
      <c r="BN517" s="127"/>
      <c r="BO517" s="127"/>
      <c r="BP517" s="127"/>
      <c r="BQ517" s="127"/>
      <c r="BR517" s="127"/>
      <c r="BS517" s="127"/>
      <c r="BT517" s="127"/>
      <c r="BU517" s="127"/>
      <c r="BV517" s="127"/>
      <c r="BW517" s="127"/>
    </row>
    <row r="518" spans="1:75" s="121" customFormat="1" ht="22.5" hidden="1" x14ac:dyDescent="0.2">
      <c r="A518" s="135" t="str">
        <f>'[2]2021 УГРЦТ'!A520</f>
        <v>ОБЩЕПРОИЗВОДСТВЕННЫЕ РАСХОДЫ</v>
      </c>
      <c r="B518" s="136">
        <f>'[2]2021 УГРЦТ'!B520</f>
        <v>0</v>
      </c>
      <c r="C518" s="124" t="str">
        <f>VLOOKUP(A:A,'2023-2027'!A:L,1,+FALSE)</f>
        <v>ОБЩЕПРОИЗВОДСТВЕННЫЕ РАСХОДЫ</v>
      </c>
      <c r="D518" s="136">
        <f>'[2]2021 УГРЦТ'!C520</f>
        <v>0</v>
      </c>
      <c r="E518" s="136">
        <f>'[2]2021 УГРЦТ'!D520</f>
        <v>0</v>
      </c>
      <c r="F518" s="136">
        <f>'[2]2021 УГРЦТ'!E520</f>
        <v>0</v>
      </c>
      <c r="G518" s="136">
        <f>'[2]2021 УГРЦТ'!F520</f>
        <v>0</v>
      </c>
      <c r="H518" s="136">
        <f>'[2]2021 УГРЦТ'!AC520</f>
        <v>0</v>
      </c>
      <c r="I518" s="137">
        <f>SUM(I519:I575)+I592+I593+I610+I632+I633+I634</f>
        <v>46040221.749999993</v>
      </c>
      <c r="J518" s="137">
        <f t="shared" ref="J518:BE518" si="550">SUM(J519:J575)+J592+J593+J610+J632+J633+J634</f>
        <v>9997530.4129112549</v>
      </c>
      <c r="K518" s="137">
        <f t="shared" si="550"/>
        <v>35264958.642116532</v>
      </c>
      <c r="L518" s="137" t="e">
        <f t="shared" si="550"/>
        <v>#VALUE!</v>
      </c>
      <c r="M518" s="137">
        <f t="shared" si="550"/>
        <v>263215.69763566018</v>
      </c>
      <c r="N518" s="137">
        <f t="shared" si="550"/>
        <v>2748255.2767529218</v>
      </c>
      <c r="O518" s="137">
        <f t="shared" si="550"/>
        <v>35012327.952064209</v>
      </c>
      <c r="P518" s="137">
        <f t="shared" si="550"/>
        <v>34759697.502011858</v>
      </c>
      <c r="Q518" s="137">
        <f t="shared" si="550"/>
        <v>34514654.318626195</v>
      </c>
      <c r="R518" s="137">
        <f t="shared" si="550"/>
        <v>34281735.068573885</v>
      </c>
      <c r="S518" s="137">
        <f t="shared" si="550"/>
        <v>34056530.338799335</v>
      </c>
      <c r="T518" s="137">
        <f t="shared" si="550"/>
        <v>33831325.903469212</v>
      </c>
      <c r="U518" s="137">
        <f t="shared" si="550"/>
        <v>33758822.419701621</v>
      </c>
      <c r="V518" s="137">
        <f t="shared" si="550"/>
        <v>33532010.605933994</v>
      </c>
      <c r="W518" s="137">
        <f t="shared" si="550"/>
        <v>33305198.792166408</v>
      </c>
      <c r="X518" s="137">
        <f t="shared" si="550"/>
        <v>33078386.978398807</v>
      </c>
      <c r="Y518" s="137">
        <f t="shared" si="550"/>
        <v>32851575.164631177</v>
      </c>
      <c r="Z518" s="137">
        <f t="shared" si="550"/>
        <v>33070664.245363593</v>
      </c>
      <c r="AA518" s="137">
        <f t="shared" si="550"/>
        <v>566498.9457979498</v>
      </c>
      <c r="AB518" s="137">
        <f t="shared" si="550"/>
        <v>0</v>
      </c>
      <c r="AC518" s="144">
        <f t="shared" si="502"/>
        <v>3158588.3716279222</v>
      </c>
      <c r="AD518" s="144">
        <f t="shared" si="503"/>
        <v>32807448.547727931</v>
      </c>
      <c r="AE518" s="144">
        <f t="shared" si="504"/>
        <v>32544232.850092269</v>
      </c>
      <c r="AF518" s="144">
        <f t="shared" si="505"/>
        <v>32281017.152456608</v>
      </c>
      <c r="AG518" s="144">
        <f t="shared" si="506"/>
        <v>32017801.454820946</v>
      </c>
      <c r="AH518" s="144">
        <f t="shared" si="507"/>
        <v>31754585.757185284</v>
      </c>
      <c r="AI518" s="144">
        <f t="shared" si="508"/>
        <v>31491370.059549622</v>
      </c>
      <c r="AJ518" s="144">
        <f t="shared" si="509"/>
        <v>31228154.36191396</v>
      </c>
      <c r="AK518" s="144">
        <f t="shared" si="510"/>
        <v>30964938.664278299</v>
      </c>
      <c r="AL518" s="144">
        <f t="shared" si="511"/>
        <v>30701722.966642637</v>
      </c>
      <c r="AM518" s="144">
        <f t="shared" si="512"/>
        <v>30438507.269006975</v>
      </c>
      <c r="AN518" s="144">
        <f t="shared" si="513"/>
        <v>30175291.571371313</v>
      </c>
      <c r="AO518" s="144">
        <f t="shared" si="514"/>
        <v>29912075.873735651</v>
      </c>
      <c r="AP518" s="137">
        <f t="shared" si="550"/>
        <v>545751.31166618282</v>
      </c>
      <c r="AQ518" s="137">
        <f t="shared" si="550"/>
        <v>0</v>
      </c>
      <c r="AR518" s="137">
        <f t="shared" si="550"/>
        <v>2337154.1446636361</v>
      </c>
      <c r="AS518" s="137">
        <f t="shared" si="550"/>
        <v>30548033.840246808</v>
      </c>
      <c r="AT518" s="137">
        <f t="shared" si="550"/>
        <v>30346732.988365125</v>
      </c>
      <c r="AU518" s="137">
        <f t="shared" si="550"/>
        <v>30152048.059816752</v>
      </c>
      <c r="AV518" s="137">
        <f t="shared" si="550"/>
        <v>29957363.13126839</v>
      </c>
      <c r="AW518" s="137">
        <f t="shared" si="550"/>
        <v>29762678.202720035</v>
      </c>
      <c r="AX518" s="137">
        <f t="shared" si="550"/>
        <v>29567993.27417168</v>
      </c>
      <c r="AY518" s="137">
        <f t="shared" si="550"/>
        <v>29373308.345623326</v>
      </c>
      <c r="AZ518" s="137">
        <f t="shared" si="550"/>
        <v>29178623.41707496</v>
      </c>
      <c r="BA518" s="137">
        <f t="shared" si="550"/>
        <v>28983938.488526605</v>
      </c>
      <c r="BB518" s="137">
        <f t="shared" si="550"/>
        <v>28789253.559978232</v>
      </c>
      <c r="BC518" s="137">
        <f t="shared" si="550"/>
        <v>28594568.631429877</v>
      </c>
      <c r="BD518" s="137">
        <f t="shared" si="550"/>
        <v>28399883.702881519</v>
      </c>
      <c r="BE518" s="137">
        <f t="shared" si="550"/>
        <v>525619.51683851832</v>
      </c>
      <c r="BF518" s="138"/>
      <c r="BG518" s="138"/>
      <c r="BH518" s="138"/>
      <c r="BI518" s="138"/>
      <c r="BJ518" s="138"/>
      <c r="BK518" s="138"/>
      <c r="BL518" s="138"/>
      <c r="BM518" s="138"/>
      <c r="BN518" s="138"/>
      <c r="BO518" s="138"/>
      <c r="BP518" s="138"/>
      <c r="BQ518" s="138"/>
      <c r="BR518" s="138"/>
      <c r="BS518" s="138"/>
      <c r="BT518" s="138"/>
      <c r="BU518" s="138"/>
      <c r="BV518" s="138"/>
      <c r="BW518" s="138"/>
    </row>
    <row r="519" spans="1:75" hidden="1" x14ac:dyDescent="0.2">
      <c r="A519" s="123" t="str">
        <f>'[2]2021 УГРЦТ'!A521</f>
        <v>Ангар для складских помещений</v>
      </c>
      <c r="B519" s="124" t="str">
        <f>'[2]2021 УГРЦТ'!B521</f>
        <v>000001783</v>
      </c>
      <c r="C519" s="124" t="str">
        <f>VLOOKUP(A:A,'2023-2027'!A:L,1,+FALSE)</f>
        <v>Ангар для складских помещений</v>
      </c>
      <c r="D519" s="124" t="str">
        <f>'[2]2021 УГРЦТ'!C521</f>
        <v>ОБЩЕПРОИЗВОДСТВЕННЫЕ РАСХОДЫ</v>
      </c>
      <c r="E519" s="124" t="str">
        <f>'[2]2021 УГРЦТ'!D521</f>
        <v>Здания</v>
      </c>
      <c r="F519" s="124" t="str">
        <f>'[2]2021 УГРЦТ'!E521</f>
        <v>16.12.2019</v>
      </c>
      <c r="G519" s="124" t="str">
        <f>'[2]2021 УГРЦТ'!F521</f>
        <v>общепроизводственные расходы</v>
      </c>
      <c r="H519" s="124">
        <f>'[2]2021 УГРЦТ'!AC521</f>
        <v>480</v>
      </c>
      <c r="I519" s="107">
        <f>'[2]2021 УГРЦТ'!X521</f>
        <v>24720373.289999999</v>
      </c>
      <c r="J519" s="107">
        <f>'[2]2021 УГРЦТ'!Y521</f>
        <v>1236018.6922499998</v>
      </c>
      <c r="K519" s="107">
        <f>'[2]2021 УГРЦТ'!Z521</f>
        <v>23484354.597750001</v>
      </c>
      <c r="L519" s="125" t="e">
        <f>SUMIF([2]облаг!$B$2:$B$259,B519,[2]облаг!$D$2:$D$259)</f>
        <v>#VALUE!</v>
      </c>
      <c r="M519" s="148">
        <f>I519/H519</f>
        <v>51500.777687499998</v>
      </c>
      <c r="N519" s="107">
        <f>M519*12</f>
        <v>618009.33224999998</v>
      </c>
      <c r="O519" s="107">
        <f>K519-M519</f>
        <v>23432853.820062499</v>
      </c>
      <c r="P519" s="107">
        <f>O519-M519</f>
        <v>23381353.042374998</v>
      </c>
      <c r="Q519" s="107">
        <f>P519-M519</f>
        <v>23329852.264687497</v>
      </c>
      <c r="R519" s="107">
        <f>Q519-M519</f>
        <v>23278351.486999996</v>
      </c>
      <c r="S519" s="107">
        <f>R519-M519</f>
        <v>23226850.709312495</v>
      </c>
      <c r="T519" s="107">
        <f>S519-M519</f>
        <v>23175349.931624994</v>
      </c>
      <c r="U519" s="107">
        <f>T519-M519</f>
        <v>23123849.153937493</v>
      </c>
      <c r="V519" s="107">
        <f>U519-M519</f>
        <v>23072348.376249991</v>
      </c>
      <c r="W519" s="107">
        <f>V519-M519</f>
        <v>23020847.59856249</v>
      </c>
      <c r="X519" s="107">
        <f>W519-M519</f>
        <v>22969346.820874989</v>
      </c>
      <c r="Y519" s="107">
        <f>X519-M519</f>
        <v>22917846.043187488</v>
      </c>
      <c r="Z519" s="107">
        <f>Y519-M519</f>
        <v>22866345.265499987</v>
      </c>
      <c r="AA519" s="107">
        <f>SUM(O519:Z519,K519)/13*$AA$2</f>
        <v>509857.69849574985</v>
      </c>
      <c r="AB519" s="107"/>
      <c r="AC519" s="107">
        <f t="shared" si="502"/>
        <v>618009.33224999998</v>
      </c>
      <c r="AD519" s="107">
        <f t="shared" si="503"/>
        <v>22814844.487812486</v>
      </c>
      <c r="AE519" s="107">
        <f t="shared" si="504"/>
        <v>22763343.710124984</v>
      </c>
      <c r="AF519" s="107">
        <f t="shared" si="505"/>
        <v>22711842.932437483</v>
      </c>
      <c r="AG519" s="107">
        <f t="shared" si="506"/>
        <v>22660342.154749982</v>
      </c>
      <c r="AH519" s="107">
        <f t="shared" si="507"/>
        <v>22608841.377062481</v>
      </c>
      <c r="AI519" s="107">
        <f t="shared" si="508"/>
        <v>22557340.59937498</v>
      </c>
      <c r="AJ519" s="107">
        <f t="shared" si="509"/>
        <v>22505839.821687479</v>
      </c>
      <c r="AK519" s="107">
        <f t="shared" si="510"/>
        <v>22454339.043999977</v>
      </c>
      <c r="AL519" s="107">
        <f t="shared" si="511"/>
        <v>22402838.266312476</v>
      </c>
      <c r="AM519" s="107">
        <f t="shared" si="512"/>
        <v>22351337.488624975</v>
      </c>
      <c r="AN519" s="107">
        <f t="shared" si="513"/>
        <v>22299836.710937474</v>
      </c>
      <c r="AO519" s="107">
        <f t="shared" si="514"/>
        <v>22248335.933249973</v>
      </c>
      <c r="AP519" s="107">
        <f t="shared" ref="AP519:AP520" si="551">SUM(AD519:AO519,Z519)/13*$AP$2</f>
        <v>496261.49318624963</v>
      </c>
      <c r="AQ519" s="126"/>
      <c r="AR519" s="107">
        <f>AC519</f>
        <v>618009.33224999998</v>
      </c>
      <c r="AS519" s="107">
        <f t="shared" ref="AS519:AS525" si="552">AO519-M519</f>
        <v>22196835.155562472</v>
      </c>
      <c r="AT519" s="107">
        <f t="shared" ref="AT519:AT525" si="553">AS519-M519</f>
        <v>22145334.37787497</v>
      </c>
      <c r="AU519" s="107">
        <f t="shared" ref="AU519:AU525" si="554">AT519-M519</f>
        <v>22093833.600187469</v>
      </c>
      <c r="AV519" s="107">
        <f t="shared" ref="AV519:AV525" si="555">AU519-M519</f>
        <v>22042332.822499968</v>
      </c>
      <c r="AW519" s="107">
        <f t="shared" ref="AW519:AW525" si="556">AV519-M519</f>
        <v>21990832.044812467</v>
      </c>
      <c r="AX519" s="107">
        <f t="shared" ref="AX519:AX525" si="557">AW519-M519</f>
        <v>21939331.267124966</v>
      </c>
      <c r="AY519" s="107">
        <f t="shared" ref="AY519:AY525" si="558">AX519-M519</f>
        <v>21887830.489437465</v>
      </c>
      <c r="AZ519" s="107">
        <f t="shared" ref="AZ519:AZ525" si="559">AY519-M519</f>
        <v>21836329.711749963</v>
      </c>
      <c r="BA519" s="107">
        <f t="shared" ref="BA519:BA525" si="560">AZ519-M519</f>
        <v>21784828.934062462</v>
      </c>
      <c r="BB519" s="107">
        <f t="shared" ref="BB519:BB525" si="561">BA519-M519</f>
        <v>21733328.156374961</v>
      </c>
      <c r="BC519" s="107">
        <f t="shared" ref="BC519:BC525" si="562">BB519-M519</f>
        <v>21681827.37868746</v>
      </c>
      <c r="BD519" s="107">
        <f t="shared" ref="BD519:BD525" si="563">BC519-M519</f>
        <v>21630326.600999959</v>
      </c>
      <c r="BE519" s="107">
        <f>SUM(AS519:BD519,AO519)/13*$BE$2</f>
        <v>482665.28787674924</v>
      </c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</row>
    <row r="520" spans="1:75" ht="22.5" hidden="1" x14ac:dyDescent="0.2">
      <c r="A520" s="123" t="str">
        <f>'[2]2021 УГРЦТ'!A522</f>
        <v>Дорожное покрытие на территории электростанции</v>
      </c>
      <c r="B520" s="124" t="str">
        <f>'[2]2021 УГРЦТ'!B522</f>
        <v>00001355</v>
      </c>
      <c r="C520" s="124" t="str">
        <f>VLOOKUP(A:A,'2023-2027'!A:L,1,+FALSE)</f>
        <v>Дорожное покрытие на территории электростанции</v>
      </c>
      <c r="D520" s="124" t="str">
        <f>'[2]2021 УГРЦТ'!C522</f>
        <v>ОБЩЕПРОИЗВОДСТВЕННЫЕ РАСХОДЫ</v>
      </c>
      <c r="E520" s="124" t="str">
        <f>'[2]2021 УГРЦТ'!D522</f>
        <v>Сооружения</v>
      </c>
      <c r="F520" s="124" t="str">
        <f>'[2]2021 УГРЦТ'!E522</f>
        <v>30.04.2011</v>
      </c>
      <c r="G520" s="124" t="str">
        <f>'[2]2021 УГРЦТ'!F522</f>
        <v>Тепломеханический цех</v>
      </c>
      <c r="H520" s="124">
        <f>'[2]2021 УГРЦТ'!AC522</f>
        <v>240</v>
      </c>
      <c r="I520" s="107">
        <f>'[2]2021 УГРЦТ'!X522</f>
        <v>3490808.3</v>
      </c>
      <c r="J520" s="107">
        <f>'[2]2021 УГРЦТ'!Y522</f>
        <v>1647512.56</v>
      </c>
      <c r="K520" s="107">
        <f>'[2]2021 УГРЦТ'!Z522</f>
        <v>1843295.7399999998</v>
      </c>
      <c r="L520" s="125" t="e">
        <f>SUMIF([2]облаг!$B$2:$B$259,B520,[2]облаг!$D$2:$D$259)</f>
        <v>#VALUE!</v>
      </c>
      <c r="M520" s="148">
        <f t="shared" ref="M520:M575" si="564">I520/H520</f>
        <v>14545.034583333332</v>
      </c>
      <c r="N520" s="107">
        <f t="shared" ref="N520:N575" si="565">M520*12</f>
        <v>174540.41499999998</v>
      </c>
      <c r="O520" s="107">
        <f t="shared" ref="O520:O575" si="566">K520-M520</f>
        <v>1828750.7054166663</v>
      </c>
      <c r="P520" s="107">
        <f t="shared" ref="P520:P575" si="567">O520-M520</f>
        <v>1814205.6708333329</v>
      </c>
      <c r="Q520" s="107">
        <f t="shared" ref="Q520:Q575" si="568">P520-M520</f>
        <v>1799660.6362499995</v>
      </c>
      <c r="R520" s="107">
        <f t="shared" ref="R520:R575" si="569">Q520-M520</f>
        <v>1785115.6016666661</v>
      </c>
      <c r="S520" s="107">
        <f t="shared" ref="S520:S575" si="570">R520-M520</f>
        <v>1770570.5670833327</v>
      </c>
      <c r="T520" s="107">
        <f t="shared" ref="T520:T575" si="571">S520-M520</f>
        <v>1756025.5324999993</v>
      </c>
      <c r="U520" s="107">
        <f t="shared" ref="U520:U575" si="572">T520-M520</f>
        <v>1741480.4979166659</v>
      </c>
      <c r="V520" s="107">
        <f t="shared" ref="V520:V575" si="573">U520-M520</f>
        <v>1726935.4633333324</v>
      </c>
      <c r="W520" s="107">
        <f t="shared" ref="W520:W575" si="574">V520-M520</f>
        <v>1712390.428749999</v>
      </c>
      <c r="X520" s="107">
        <f t="shared" ref="X520:X575" si="575">W520-M520</f>
        <v>1697845.3941666656</v>
      </c>
      <c r="Y520" s="107">
        <f t="shared" ref="Y520:Y575" si="576">X520-M520</f>
        <v>1683300.3595833322</v>
      </c>
      <c r="Z520" s="107">
        <f t="shared" ref="Z520:Z575" si="577">Y520-M520</f>
        <v>1668755.3249999988</v>
      </c>
      <c r="AA520" s="107">
        <f>SUM(O520:Z520,K520)/13*$AA$2</f>
        <v>38632.561714999982</v>
      </c>
      <c r="AB520" s="107"/>
      <c r="AC520" s="107">
        <f t="shared" si="502"/>
        <v>174540.41499999998</v>
      </c>
      <c r="AD520" s="107">
        <f t="shared" si="503"/>
        <v>1654210.2904166654</v>
      </c>
      <c r="AE520" s="107">
        <f t="shared" si="504"/>
        <v>1639665.255833332</v>
      </c>
      <c r="AF520" s="107">
        <f t="shared" si="505"/>
        <v>1625120.2212499985</v>
      </c>
      <c r="AG520" s="107">
        <f t="shared" si="506"/>
        <v>1610575.1866666651</v>
      </c>
      <c r="AH520" s="107">
        <f t="shared" si="507"/>
        <v>1596030.1520833317</v>
      </c>
      <c r="AI520" s="107">
        <f t="shared" si="508"/>
        <v>1581485.1174999983</v>
      </c>
      <c r="AJ520" s="107">
        <f t="shared" si="509"/>
        <v>1566940.0829166649</v>
      </c>
      <c r="AK520" s="107">
        <f t="shared" si="510"/>
        <v>1552395.0483333315</v>
      </c>
      <c r="AL520" s="107">
        <f t="shared" si="511"/>
        <v>1537850.0137499981</v>
      </c>
      <c r="AM520" s="107">
        <f t="shared" si="512"/>
        <v>1523304.9791666646</v>
      </c>
      <c r="AN520" s="107">
        <f t="shared" si="513"/>
        <v>1508759.9445833312</v>
      </c>
      <c r="AO520" s="107">
        <f t="shared" si="514"/>
        <v>1494214.9099999978</v>
      </c>
      <c r="AP520" s="107">
        <f t="shared" si="551"/>
        <v>34792.672584999964</v>
      </c>
      <c r="AQ520" s="126"/>
      <c r="AR520" s="107">
        <f t="shared" ref="AR520:AR572" si="578">AC520</f>
        <v>174540.41499999998</v>
      </c>
      <c r="AS520" s="107">
        <f t="shared" si="552"/>
        <v>1479669.8754166644</v>
      </c>
      <c r="AT520" s="107">
        <f t="shared" si="553"/>
        <v>1465124.840833331</v>
      </c>
      <c r="AU520" s="107">
        <f t="shared" si="554"/>
        <v>1450579.8062499976</v>
      </c>
      <c r="AV520" s="107">
        <f t="shared" si="555"/>
        <v>1436034.7716666642</v>
      </c>
      <c r="AW520" s="107">
        <f t="shared" si="556"/>
        <v>1421489.7370833308</v>
      </c>
      <c r="AX520" s="107">
        <f t="shared" si="557"/>
        <v>1406944.7024999973</v>
      </c>
      <c r="AY520" s="107">
        <f t="shared" si="558"/>
        <v>1392399.6679166639</v>
      </c>
      <c r="AZ520" s="107">
        <f t="shared" si="559"/>
        <v>1377854.6333333305</v>
      </c>
      <c r="BA520" s="107">
        <f t="shared" si="560"/>
        <v>1363309.5987499971</v>
      </c>
      <c r="BB520" s="107">
        <f t="shared" si="561"/>
        <v>1348764.5641666637</v>
      </c>
      <c r="BC520" s="107">
        <f t="shared" si="562"/>
        <v>1334219.5295833303</v>
      </c>
      <c r="BD520" s="107">
        <f t="shared" si="563"/>
        <v>1319674.4949999969</v>
      </c>
      <c r="BE520" s="107">
        <f>SUM(AS520:BD520,AO520)/13*$BE$2</f>
        <v>30952.783454999935</v>
      </c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</row>
    <row r="521" spans="1:75" hidden="1" x14ac:dyDescent="0.2">
      <c r="A521" s="123" t="str">
        <f>'[2]2021 УГРЦТ'!A523</f>
        <v>Здание лаборатории  1970г.</v>
      </c>
      <c r="B521" s="124" t="str">
        <f>'[2]2021 УГРЦТ'!B523</f>
        <v>00000033</v>
      </c>
      <c r="C521" s="124" t="str">
        <f>VLOOKUP(A:A,'2023-2027'!A:L,1,+FALSE)</f>
        <v>Здание лаборатории  1970г.</v>
      </c>
      <c r="D521" s="124" t="str">
        <f>'[2]2021 УГРЦТ'!C523</f>
        <v>ОБЩЕПРОИЗВОДСТВЕННЫЕ РАСХОДЫ</v>
      </c>
      <c r="E521" s="124" t="str">
        <f>'[2]2021 УГРЦТ'!D523</f>
        <v>Здания</v>
      </c>
      <c r="F521" s="124" t="str">
        <f>'[2]2021 УГРЦТ'!E523</f>
        <v>01.01.1970</v>
      </c>
      <c r="G521" s="124" t="str">
        <f>'[2]2021 УГРЦТ'!F523</f>
        <v>общепроизводственные расходы</v>
      </c>
      <c r="H521" s="124">
        <f>'[2]2021 УГРЦТ'!AC523</f>
        <v>480</v>
      </c>
      <c r="I521" s="107">
        <f>'[2]2021 УГРЦТ'!X523</f>
        <v>129495.26</v>
      </c>
      <c r="J521" s="107">
        <f>'[2]2021 УГРЦТ'!Y523</f>
        <v>22978.068111111112</v>
      </c>
      <c r="K521" s="107">
        <f>'[2]2021 УГРЦТ'!Z523</f>
        <v>106517.19188888889</v>
      </c>
      <c r="L521" s="125" t="e">
        <f>SUMIF([2]облаг!$B$2:$B$259,B521,[2]облаг!$D$2:$D$259)</f>
        <v>#VALUE!</v>
      </c>
      <c r="M521" s="148">
        <f t="shared" si="564"/>
        <v>269.78179166666666</v>
      </c>
      <c r="N521" s="107">
        <f t="shared" si="565"/>
        <v>3237.3815</v>
      </c>
      <c r="O521" s="107">
        <f t="shared" si="566"/>
        <v>106247.41009722222</v>
      </c>
      <c r="P521" s="107">
        <f t="shared" si="567"/>
        <v>105977.62830555555</v>
      </c>
      <c r="Q521" s="107">
        <f t="shared" si="568"/>
        <v>105707.84651388889</v>
      </c>
      <c r="R521" s="107">
        <f t="shared" si="569"/>
        <v>105438.06472222222</v>
      </c>
      <c r="S521" s="107">
        <f t="shared" si="570"/>
        <v>105168.28293055555</v>
      </c>
      <c r="T521" s="107">
        <f t="shared" si="571"/>
        <v>104898.50113888888</v>
      </c>
      <c r="U521" s="107">
        <f t="shared" si="572"/>
        <v>104628.71934722221</v>
      </c>
      <c r="V521" s="107">
        <f t="shared" si="573"/>
        <v>104358.93755555555</v>
      </c>
      <c r="W521" s="107">
        <f t="shared" si="574"/>
        <v>104089.15576388888</v>
      </c>
      <c r="X521" s="107">
        <f t="shared" si="575"/>
        <v>103819.37397222221</v>
      </c>
      <c r="Y521" s="107">
        <f t="shared" si="576"/>
        <v>103549.59218055554</v>
      </c>
      <c r="Z521" s="107">
        <f t="shared" si="577"/>
        <v>103279.81038888887</v>
      </c>
      <c r="AA521" s="107"/>
      <c r="AB521" s="107"/>
      <c r="AC521" s="107">
        <f t="shared" si="502"/>
        <v>3237.3815</v>
      </c>
      <c r="AD521" s="107">
        <f t="shared" si="503"/>
        <v>103010.0285972222</v>
      </c>
      <c r="AE521" s="107">
        <f t="shared" si="504"/>
        <v>102740.24680555554</v>
      </c>
      <c r="AF521" s="107">
        <f t="shared" si="505"/>
        <v>102470.46501388887</v>
      </c>
      <c r="AG521" s="107">
        <f t="shared" si="506"/>
        <v>102200.6832222222</v>
      </c>
      <c r="AH521" s="107">
        <f t="shared" si="507"/>
        <v>101930.90143055553</v>
      </c>
      <c r="AI521" s="107">
        <f t="shared" si="508"/>
        <v>101661.11963888886</v>
      </c>
      <c r="AJ521" s="107">
        <f t="shared" si="509"/>
        <v>101391.3378472222</v>
      </c>
      <c r="AK521" s="107">
        <f t="shared" si="510"/>
        <v>101121.55605555553</v>
      </c>
      <c r="AL521" s="107">
        <f t="shared" si="511"/>
        <v>100851.77426388886</v>
      </c>
      <c r="AM521" s="107">
        <f t="shared" si="512"/>
        <v>100581.99247222219</v>
      </c>
      <c r="AN521" s="107">
        <f t="shared" si="513"/>
        <v>100312.21068055552</v>
      </c>
      <c r="AO521" s="107">
        <f t="shared" si="514"/>
        <v>100042.42888888885</v>
      </c>
      <c r="AP521" s="107"/>
      <c r="AQ521" s="126"/>
      <c r="AR521" s="107">
        <f t="shared" si="578"/>
        <v>3237.3815</v>
      </c>
      <c r="AS521" s="107">
        <f t="shared" si="552"/>
        <v>99772.647097222187</v>
      </c>
      <c r="AT521" s="107">
        <f t="shared" si="553"/>
        <v>99502.865305555519</v>
      </c>
      <c r="AU521" s="107">
        <f t="shared" si="554"/>
        <v>99233.083513888851</v>
      </c>
      <c r="AV521" s="107">
        <f t="shared" si="555"/>
        <v>98963.301722222182</v>
      </c>
      <c r="AW521" s="107">
        <f t="shared" si="556"/>
        <v>98693.519930555514</v>
      </c>
      <c r="AX521" s="107">
        <f t="shared" si="557"/>
        <v>98423.738138888846</v>
      </c>
      <c r="AY521" s="107">
        <f t="shared" si="558"/>
        <v>98153.956347222178</v>
      </c>
      <c r="AZ521" s="107">
        <f t="shared" si="559"/>
        <v>97884.17455555551</v>
      </c>
      <c r="BA521" s="107">
        <f t="shared" si="560"/>
        <v>97614.392763888842</v>
      </c>
      <c r="BB521" s="107">
        <f t="shared" si="561"/>
        <v>97344.610972222174</v>
      </c>
      <c r="BC521" s="107">
        <f t="shared" si="562"/>
        <v>97074.829180555505</v>
      </c>
      <c r="BD521" s="107">
        <f t="shared" si="563"/>
        <v>96805.047388888837</v>
      </c>
      <c r="BE521" s="107"/>
      <c r="BF521" s="127"/>
      <c r="BG521" s="127"/>
      <c r="BH521" s="127"/>
      <c r="BI521" s="127"/>
      <c r="BJ521" s="127"/>
      <c r="BK521" s="127"/>
      <c r="BL521" s="127"/>
      <c r="BM521" s="127"/>
      <c r="BN521" s="127"/>
      <c r="BO521" s="127"/>
      <c r="BP521" s="127"/>
      <c r="BQ521" s="127"/>
      <c r="BR521" s="127"/>
      <c r="BS521" s="127"/>
      <c r="BT521" s="127"/>
      <c r="BU521" s="127"/>
      <c r="BV521" s="127"/>
      <c r="BW521" s="127"/>
    </row>
    <row r="522" spans="1:75" hidden="1" x14ac:dyDescent="0.2">
      <c r="A522" s="123" t="str">
        <f>'[2]2021 УГРЦТ'!A524</f>
        <v xml:space="preserve">Комплект складских стеллажей </v>
      </c>
      <c r="B522" s="124" t="str">
        <f>'[2]2021 УГРЦТ'!B524</f>
        <v>000001820</v>
      </c>
      <c r="C522" s="124" t="str">
        <f>VLOOKUP(A:A,'2023-2027'!A:L,1,+FALSE)</f>
        <v xml:space="preserve">Комплект складских стеллажей </v>
      </c>
      <c r="D522" s="124" t="str">
        <f>'[2]2021 УГРЦТ'!C524</f>
        <v>ОБЩЕПРОИЗВОДСТВЕННЫЕ РАСХОДЫ</v>
      </c>
      <c r="E522" s="124" t="str">
        <f>'[2]2021 УГРЦТ'!D524</f>
        <v>Производственный и хозяйственный инвентарь</v>
      </c>
      <c r="F522" s="124" t="str">
        <f>'[2]2021 УГРЦТ'!E524</f>
        <v>31.08.2020</v>
      </c>
      <c r="G522" s="124" t="str">
        <f>'[2]2021 УГРЦТ'!F524</f>
        <v>общепроизводственные расходы</v>
      </c>
      <c r="H522" s="124">
        <f>'[2]2021 УГРЦТ'!AC524</f>
        <v>180</v>
      </c>
      <c r="I522" s="107">
        <f>'[2]2021 УГРЦТ'!X524</f>
        <v>213239.76</v>
      </c>
      <c r="J522" s="107">
        <f>'[2]2021 УГРЦТ'!Y524</f>
        <v>18954.664000000004</v>
      </c>
      <c r="K522" s="107">
        <f>'[2]2021 УГРЦТ'!Z524</f>
        <v>194285.09600000002</v>
      </c>
      <c r="L522" s="125" t="e">
        <f>SUMIF([2]облаг!$B$2:$B$259,B522,[2]облаг!$D$2:$D$259)</f>
        <v>#VALUE!</v>
      </c>
      <c r="M522" s="148">
        <f t="shared" si="564"/>
        <v>1184.6653333333334</v>
      </c>
      <c r="N522" s="107">
        <f t="shared" si="565"/>
        <v>14215.984</v>
      </c>
      <c r="O522" s="107">
        <f t="shared" si="566"/>
        <v>193100.43066666668</v>
      </c>
      <c r="P522" s="107">
        <f t="shared" si="567"/>
        <v>191915.76533333334</v>
      </c>
      <c r="Q522" s="107">
        <f t="shared" si="568"/>
        <v>190731.1</v>
      </c>
      <c r="R522" s="107">
        <f t="shared" si="569"/>
        <v>189546.43466666667</v>
      </c>
      <c r="S522" s="107">
        <f t="shared" si="570"/>
        <v>188361.76933333333</v>
      </c>
      <c r="T522" s="107">
        <f t="shared" si="571"/>
        <v>187177.10399999999</v>
      </c>
      <c r="U522" s="107">
        <f t="shared" si="572"/>
        <v>185992.43866666665</v>
      </c>
      <c r="V522" s="107">
        <f t="shared" si="573"/>
        <v>184807.77333333332</v>
      </c>
      <c r="W522" s="107">
        <f t="shared" si="574"/>
        <v>183623.10799999998</v>
      </c>
      <c r="X522" s="107">
        <f t="shared" si="575"/>
        <v>182438.44266666664</v>
      </c>
      <c r="Y522" s="107">
        <f t="shared" si="576"/>
        <v>181253.7773333333</v>
      </c>
      <c r="Z522" s="107">
        <f t="shared" si="577"/>
        <v>180069.11199999996</v>
      </c>
      <c r="AA522" s="107"/>
      <c r="AB522" s="107"/>
      <c r="AC522" s="107">
        <f t="shared" si="502"/>
        <v>14215.984</v>
      </c>
      <c r="AD522" s="107">
        <f t="shared" si="503"/>
        <v>178884.44666666663</v>
      </c>
      <c r="AE522" s="107">
        <f t="shared" si="504"/>
        <v>177699.78133333329</v>
      </c>
      <c r="AF522" s="107">
        <f t="shared" si="505"/>
        <v>176515.11599999995</v>
      </c>
      <c r="AG522" s="107">
        <f t="shared" si="506"/>
        <v>175330.45066666661</v>
      </c>
      <c r="AH522" s="107">
        <f t="shared" si="507"/>
        <v>174145.78533333328</v>
      </c>
      <c r="AI522" s="107">
        <f t="shared" si="508"/>
        <v>172961.11999999994</v>
      </c>
      <c r="AJ522" s="107">
        <f t="shared" si="509"/>
        <v>171776.4546666666</v>
      </c>
      <c r="AK522" s="107">
        <f t="shared" si="510"/>
        <v>170591.78933333326</v>
      </c>
      <c r="AL522" s="107">
        <f t="shared" si="511"/>
        <v>169407.12399999992</v>
      </c>
      <c r="AM522" s="107">
        <f t="shared" si="512"/>
        <v>168222.45866666659</v>
      </c>
      <c r="AN522" s="107">
        <f t="shared" si="513"/>
        <v>167037.79333333325</v>
      </c>
      <c r="AO522" s="107">
        <f t="shared" si="514"/>
        <v>165853.12799999991</v>
      </c>
      <c r="AP522" s="107"/>
      <c r="AQ522" s="126"/>
      <c r="AR522" s="107">
        <f t="shared" si="578"/>
        <v>14215.984</v>
      </c>
      <c r="AS522" s="107">
        <f t="shared" si="552"/>
        <v>164668.46266666657</v>
      </c>
      <c r="AT522" s="107">
        <f t="shared" si="553"/>
        <v>163483.79733333323</v>
      </c>
      <c r="AU522" s="107">
        <f t="shared" si="554"/>
        <v>162299.1319999999</v>
      </c>
      <c r="AV522" s="107">
        <f t="shared" si="555"/>
        <v>161114.46666666656</v>
      </c>
      <c r="AW522" s="107">
        <f t="shared" si="556"/>
        <v>159929.80133333322</v>
      </c>
      <c r="AX522" s="107">
        <f t="shared" si="557"/>
        <v>158745.13599999988</v>
      </c>
      <c r="AY522" s="107">
        <f t="shared" si="558"/>
        <v>157560.47066666654</v>
      </c>
      <c r="AZ522" s="107">
        <f t="shared" si="559"/>
        <v>156375.80533333321</v>
      </c>
      <c r="BA522" s="107">
        <f t="shared" si="560"/>
        <v>155191.13999999987</v>
      </c>
      <c r="BB522" s="107">
        <f t="shared" si="561"/>
        <v>154006.47466666653</v>
      </c>
      <c r="BC522" s="107">
        <f t="shared" si="562"/>
        <v>152821.80933333319</v>
      </c>
      <c r="BD522" s="107">
        <f t="shared" si="563"/>
        <v>151637.14399999985</v>
      </c>
      <c r="BE522" s="107"/>
      <c r="BF522" s="127"/>
      <c r="BG522" s="127"/>
      <c r="BH522" s="127"/>
      <c r="BI522" s="127"/>
      <c r="BJ522" s="127"/>
      <c r="BK522" s="127"/>
      <c r="BL522" s="127"/>
      <c r="BM522" s="127"/>
      <c r="BN522" s="127"/>
      <c r="BO522" s="127"/>
      <c r="BP522" s="127"/>
      <c r="BQ522" s="127"/>
      <c r="BR522" s="127"/>
      <c r="BS522" s="127"/>
      <c r="BT522" s="127"/>
      <c r="BU522" s="127"/>
      <c r="BV522" s="127"/>
      <c r="BW522" s="127"/>
    </row>
    <row r="523" spans="1:75" ht="22.5" hidden="1" x14ac:dyDescent="0.2">
      <c r="A523" s="123" t="str">
        <f>'[2]2021 УГРЦТ'!A525</f>
        <v>Комплект среднегрузовых стеллажей</v>
      </c>
      <c r="B523" s="124" t="str">
        <f>'[2]2021 УГРЦТ'!B525</f>
        <v>000001808</v>
      </c>
      <c r="C523" s="124" t="str">
        <f>VLOOKUP(A:A,'2023-2027'!A:L,1,+FALSE)</f>
        <v>Комплект среднегрузовых стеллажей</v>
      </c>
      <c r="D523" s="124" t="str">
        <f>'[2]2021 УГРЦТ'!C525</f>
        <v>ОБЩЕПРОИЗВОДСТВЕННЫЕ РАСХОДЫ</v>
      </c>
      <c r="E523" s="124" t="str">
        <f>'[2]2021 УГРЦТ'!D525</f>
        <v>Производственный и хозяйственный инвентарь</v>
      </c>
      <c r="F523" s="124" t="str">
        <f>'[2]2021 УГРЦТ'!E525</f>
        <v>21.04.2020</v>
      </c>
      <c r="G523" s="124" t="str">
        <f>'[2]2021 УГРЦТ'!F525</f>
        <v>общепроизводственные расходы</v>
      </c>
      <c r="H523" s="124">
        <f>'[2]2021 УГРЦТ'!AC525</f>
        <v>180</v>
      </c>
      <c r="I523" s="107">
        <f>'[2]2021 УГРЦТ'!X525</f>
        <v>394092.87</v>
      </c>
      <c r="J523" s="107">
        <f>'[2]2021 УГРЦТ'!Y525</f>
        <v>43788.058000000005</v>
      </c>
      <c r="K523" s="107">
        <f>'[2]2021 УГРЦТ'!Z525</f>
        <v>350304.81199999998</v>
      </c>
      <c r="L523" s="125" t="e">
        <f>SUMIF([2]облаг!$B$2:$B$259,B523,[2]облаг!$D$2:$D$259)</f>
        <v>#VALUE!</v>
      </c>
      <c r="M523" s="148">
        <f t="shared" si="564"/>
        <v>2189.4048333333335</v>
      </c>
      <c r="N523" s="107">
        <f t="shared" si="565"/>
        <v>26272.858</v>
      </c>
      <c r="O523" s="107">
        <f t="shared" si="566"/>
        <v>348115.40716666664</v>
      </c>
      <c r="P523" s="107">
        <f t="shared" si="567"/>
        <v>345926.00233333331</v>
      </c>
      <c r="Q523" s="107">
        <f t="shared" si="568"/>
        <v>343736.59749999997</v>
      </c>
      <c r="R523" s="107">
        <f t="shared" si="569"/>
        <v>341547.19266666664</v>
      </c>
      <c r="S523" s="107">
        <f t="shared" si="570"/>
        <v>339357.78783333331</v>
      </c>
      <c r="T523" s="107">
        <f t="shared" si="571"/>
        <v>337168.38299999997</v>
      </c>
      <c r="U523" s="107">
        <f t="shared" si="572"/>
        <v>334978.97816666664</v>
      </c>
      <c r="V523" s="107">
        <f t="shared" si="573"/>
        <v>332789.5733333333</v>
      </c>
      <c r="W523" s="107">
        <f t="shared" si="574"/>
        <v>330600.16849999997</v>
      </c>
      <c r="X523" s="107">
        <f t="shared" si="575"/>
        <v>328410.76366666664</v>
      </c>
      <c r="Y523" s="107">
        <f t="shared" si="576"/>
        <v>326221.3588333333</v>
      </c>
      <c r="Z523" s="107">
        <f t="shared" si="577"/>
        <v>324031.95399999997</v>
      </c>
      <c r="AA523" s="107"/>
      <c r="AB523" s="107"/>
      <c r="AC523" s="107">
        <f t="shared" si="502"/>
        <v>26272.858</v>
      </c>
      <c r="AD523" s="107">
        <f t="shared" si="503"/>
        <v>321842.54916666663</v>
      </c>
      <c r="AE523" s="107">
        <f t="shared" si="504"/>
        <v>319653.1443333333</v>
      </c>
      <c r="AF523" s="107">
        <f t="shared" si="505"/>
        <v>317463.73949999997</v>
      </c>
      <c r="AG523" s="107">
        <f t="shared" si="506"/>
        <v>315274.33466666663</v>
      </c>
      <c r="AH523" s="107">
        <f t="shared" si="507"/>
        <v>313084.9298333333</v>
      </c>
      <c r="AI523" s="107">
        <f t="shared" si="508"/>
        <v>310895.52499999997</v>
      </c>
      <c r="AJ523" s="107">
        <f t="shared" si="509"/>
        <v>308706.12016666663</v>
      </c>
      <c r="AK523" s="107">
        <f t="shared" si="510"/>
        <v>306516.7153333333</v>
      </c>
      <c r="AL523" s="107">
        <f t="shared" si="511"/>
        <v>304327.31049999996</v>
      </c>
      <c r="AM523" s="107">
        <f t="shared" si="512"/>
        <v>302137.90566666663</v>
      </c>
      <c r="AN523" s="107">
        <f t="shared" si="513"/>
        <v>299948.5008333333</v>
      </c>
      <c r="AO523" s="107">
        <f t="shared" si="514"/>
        <v>297759.09599999996</v>
      </c>
      <c r="AP523" s="107"/>
      <c r="AQ523" s="126"/>
      <c r="AR523" s="107">
        <f t="shared" si="578"/>
        <v>26272.858</v>
      </c>
      <c r="AS523" s="107">
        <f t="shared" si="552"/>
        <v>295569.69116666663</v>
      </c>
      <c r="AT523" s="107">
        <f t="shared" si="553"/>
        <v>293380.28633333329</v>
      </c>
      <c r="AU523" s="107">
        <f t="shared" si="554"/>
        <v>291190.88149999996</v>
      </c>
      <c r="AV523" s="107">
        <f t="shared" si="555"/>
        <v>289001.47666666663</v>
      </c>
      <c r="AW523" s="107">
        <f t="shared" si="556"/>
        <v>286812.07183333329</v>
      </c>
      <c r="AX523" s="107">
        <f t="shared" si="557"/>
        <v>284622.66699999996</v>
      </c>
      <c r="AY523" s="107">
        <f t="shared" si="558"/>
        <v>282433.26216666662</v>
      </c>
      <c r="AZ523" s="107">
        <f t="shared" si="559"/>
        <v>280243.85733333329</v>
      </c>
      <c r="BA523" s="107">
        <f t="shared" si="560"/>
        <v>278054.45249999996</v>
      </c>
      <c r="BB523" s="107">
        <f t="shared" si="561"/>
        <v>275865.04766666662</v>
      </c>
      <c r="BC523" s="107">
        <f t="shared" si="562"/>
        <v>273675.64283333329</v>
      </c>
      <c r="BD523" s="107">
        <f t="shared" si="563"/>
        <v>271486.23799999995</v>
      </c>
      <c r="BE523" s="107"/>
      <c r="BF523" s="127"/>
      <c r="BG523" s="127"/>
      <c r="BH523" s="127"/>
      <c r="BI523" s="127"/>
      <c r="BJ523" s="127"/>
      <c r="BK523" s="127"/>
      <c r="BL523" s="127"/>
      <c r="BM523" s="127"/>
      <c r="BN523" s="127"/>
      <c r="BO523" s="127"/>
      <c r="BP523" s="127"/>
      <c r="BQ523" s="127"/>
      <c r="BR523" s="127"/>
      <c r="BS523" s="127"/>
      <c r="BT523" s="127"/>
      <c r="BU523" s="127"/>
      <c r="BV523" s="127"/>
      <c r="BW523" s="127"/>
    </row>
    <row r="524" spans="1:75" hidden="1" x14ac:dyDescent="0.2">
      <c r="A524" s="123" t="str">
        <f>'[2]2021 УГРЦТ'!A526</f>
        <v xml:space="preserve">Комплект стеллажей </v>
      </c>
      <c r="B524" s="124" t="str">
        <f>'[2]2021 УГРЦТ'!B526</f>
        <v>000001810</v>
      </c>
      <c r="C524" s="124" t="str">
        <f>VLOOKUP(A:A,'2023-2027'!A:L,1,+FALSE)</f>
        <v xml:space="preserve">Комплект стеллажей </v>
      </c>
      <c r="D524" s="124" t="str">
        <f>'[2]2021 УГРЦТ'!C526</f>
        <v>ОБЩЕПРОИЗВОДСТВЕННЫЕ РАСХОДЫ</v>
      </c>
      <c r="E524" s="124" t="str">
        <f>'[2]2021 УГРЦТ'!D526</f>
        <v>Производственный и хозяйственный инвентарь</v>
      </c>
      <c r="F524" s="124" t="str">
        <f>'[2]2021 УГРЦТ'!E526</f>
        <v>04.06.2020</v>
      </c>
      <c r="G524" s="124" t="str">
        <f>'[2]2021 УГРЦТ'!F526</f>
        <v>общепроизводственные расходы</v>
      </c>
      <c r="H524" s="124">
        <f>'[2]2021 УГРЦТ'!AC526</f>
        <v>180</v>
      </c>
      <c r="I524" s="107">
        <f>'[2]2021 УГРЦТ'!X526</f>
        <v>347993.63</v>
      </c>
      <c r="J524" s="107">
        <f>'[2]2021 УГРЦТ'!Y526</f>
        <v>34799.37533333333</v>
      </c>
      <c r="K524" s="107">
        <f>'[2]2021 УГРЦТ'!Z526</f>
        <v>313194.25466666667</v>
      </c>
      <c r="L524" s="125" t="e">
        <f>SUMIF([2]облаг!$B$2:$B$259,B524,[2]облаг!$D$2:$D$259)</f>
        <v>#VALUE!</v>
      </c>
      <c r="M524" s="148">
        <f t="shared" si="564"/>
        <v>1933.2979444444445</v>
      </c>
      <c r="N524" s="107">
        <f t="shared" si="565"/>
        <v>23199.575333333334</v>
      </c>
      <c r="O524" s="107">
        <f t="shared" si="566"/>
        <v>311260.95672222221</v>
      </c>
      <c r="P524" s="107">
        <f t="shared" si="567"/>
        <v>309327.65877777775</v>
      </c>
      <c r="Q524" s="107">
        <f t="shared" si="568"/>
        <v>307394.36083333328</v>
      </c>
      <c r="R524" s="107">
        <f t="shared" si="569"/>
        <v>305461.06288888882</v>
      </c>
      <c r="S524" s="107">
        <f t="shared" si="570"/>
        <v>303527.76494444435</v>
      </c>
      <c r="T524" s="107">
        <f t="shared" si="571"/>
        <v>301594.46699999989</v>
      </c>
      <c r="U524" s="107">
        <f t="shared" si="572"/>
        <v>299661.16905555542</v>
      </c>
      <c r="V524" s="107">
        <f t="shared" si="573"/>
        <v>297727.87111111096</v>
      </c>
      <c r="W524" s="107">
        <f t="shared" si="574"/>
        <v>295794.57316666649</v>
      </c>
      <c r="X524" s="107">
        <f t="shared" si="575"/>
        <v>293861.27522222203</v>
      </c>
      <c r="Y524" s="107">
        <f t="shared" si="576"/>
        <v>291927.97727777757</v>
      </c>
      <c r="Z524" s="107">
        <f t="shared" si="577"/>
        <v>289994.6793333331</v>
      </c>
      <c r="AA524" s="107"/>
      <c r="AB524" s="107"/>
      <c r="AC524" s="107">
        <f t="shared" si="502"/>
        <v>23199.575333333334</v>
      </c>
      <c r="AD524" s="107">
        <f t="shared" si="503"/>
        <v>288061.38138888864</v>
      </c>
      <c r="AE524" s="107">
        <f t="shared" si="504"/>
        <v>286128.08344444417</v>
      </c>
      <c r="AF524" s="107">
        <f t="shared" si="505"/>
        <v>284194.78549999971</v>
      </c>
      <c r="AG524" s="107">
        <f t="shared" si="506"/>
        <v>282261.48755555524</v>
      </c>
      <c r="AH524" s="107">
        <f t="shared" si="507"/>
        <v>280328.18961111078</v>
      </c>
      <c r="AI524" s="107">
        <f t="shared" si="508"/>
        <v>278394.89166666631</v>
      </c>
      <c r="AJ524" s="107">
        <f t="shared" si="509"/>
        <v>276461.59372222185</v>
      </c>
      <c r="AK524" s="107">
        <f t="shared" si="510"/>
        <v>274528.29577777738</v>
      </c>
      <c r="AL524" s="107">
        <f t="shared" si="511"/>
        <v>272594.99783333292</v>
      </c>
      <c r="AM524" s="107">
        <f t="shared" si="512"/>
        <v>270661.69988888846</v>
      </c>
      <c r="AN524" s="107">
        <f t="shared" si="513"/>
        <v>268728.40194444399</v>
      </c>
      <c r="AO524" s="107">
        <f t="shared" si="514"/>
        <v>266795.10399999953</v>
      </c>
      <c r="AP524" s="107"/>
      <c r="AQ524" s="126"/>
      <c r="AR524" s="107">
        <f t="shared" si="578"/>
        <v>23199.575333333334</v>
      </c>
      <c r="AS524" s="107">
        <f t="shared" si="552"/>
        <v>264861.80605555506</v>
      </c>
      <c r="AT524" s="107">
        <f t="shared" si="553"/>
        <v>262928.5081111106</v>
      </c>
      <c r="AU524" s="107">
        <f t="shared" si="554"/>
        <v>260995.21016666616</v>
      </c>
      <c r="AV524" s="107">
        <f t="shared" si="555"/>
        <v>259061.91222222173</v>
      </c>
      <c r="AW524" s="107">
        <f t="shared" si="556"/>
        <v>257128.61427777729</v>
      </c>
      <c r="AX524" s="107">
        <f t="shared" si="557"/>
        <v>255195.31633333286</v>
      </c>
      <c r="AY524" s="107">
        <f t="shared" si="558"/>
        <v>253262.01838888842</v>
      </c>
      <c r="AZ524" s="107">
        <f t="shared" si="559"/>
        <v>251328.72044444398</v>
      </c>
      <c r="BA524" s="107">
        <f t="shared" si="560"/>
        <v>249395.42249999955</v>
      </c>
      <c r="BB524" s="107">
        <f t="shared" si="561"/>
        <v>247462.12455555511</v>
      </c>
      <c r="BC524" s="107">
        <f t="shared" si="562"/>
        <v>245528.82661111068</v>
      </c>
      <c r="BD524" s="107">
        <f t="shared" si="563"/>
        <v>243595.52866666624</v>
      </c>
      <c r="BE524" s="107"/>
      <c r="BF524" s="127"/>
      <c r="BG524" s="127"/>
      <c r="BH524" s="127"/>
      <c r="BI524" s="127"/>
      <c r="BJ524" s="127"/>
      <c r="BK524" s="127"/>
      <c r="BL524" s="127"/>
      <c r="BM524" s="127"/>
      <c r="BN524" s="127"/>
      <c r="BO524" s="127"/>
      <c r="BP524" s="127"/>
      <c r="BQ524" s="127"/>
      <c r="BR524" s="127"/>
      <c r="BS524" s="127"/>
      <c r="BT524" s="127"/>
      <c r="BU524" s="127"/>
      <c r="BV524" s="127"/>
      <c r="BW524" s="127"/>
    </row>
    <row r="525" spans="1:75" ht="22.5" hidden="1" x14ac:dyDescent="0.2">
      <c r="A525" s="123" t="str">
        <f>'[2]2021 УГРЦТ'!A527</f>
        <v>Эстакада для хранения барабанов с кабелем</v>
      </c>
      <c r="B525" s="124" t="str">
        <f>'[2]2021 УГРЦТ'!B527</f>
        <v>000001874</v>
      </c>
      <c r="C525" s="124" t="str">
        <f>VLOOKUP(A:A,'2023-2027'!A:L,1,+FALSE)</f>
        <v>Эстакада для хранения барабанов с кабелем</v>
      </c>
      <c r="D525" s="124" t="str">
        <f>'[2]2021 УГРЦТ'!C527</f>
        <v>ОБЩЕПРОИЗВОДСТВЕННЫЕ РАСХОДЫ</v>
      </c>
      <c r="E525" s="124" t="str">
        <f>'[2]2021 УГРЦТ'!D527</f>
        <v>Машины и оборудование (кроме офисного)</v>
      </c>
      <c r="F525" s="134">
        <f>'[2]2021 УГРЦТ'!E527</f>
        <v>44543</v>
      </c>
      <c r="G525" s="124" t="str">
        <f>'[2]2021 УГРЦТ'!F527</f>
        <v>общепроизводственные расходы</v>
      </c>
      <c r="H525" s="124">
        <f>'[2]2021 УГРЦТ'!AC527</f>
        <v>240</v>
      </c>
      <c r="I525" s="107">
        <f>'[2]2021 УГРЦТ'!X527</f>
        <v>461518.72</v>
      </c>
      <c r="J525" s="107">
        <f>'[2]2021 УГРЦТ'!Y527</f>
        <v>0</v>
      </c>
      <c r="K525" s="107">
        <f>'[2]2021 УГРЦТ'!Z527</f>
        <v>461518.72</v>
      </c>
      <c r="L525" s="125" t="e">
        <f>SUMIF([2]облаг!$B$2:$B$259,B525,[2]облаг!$D$2:$D$259)</f>
        <v>#VALUE!</v>
      </c>
      <c r="M525" s="148">
        <f t="shared" si="564"/>
        <v>1922.9946666666665</v>
      </c>
      <c r="N525" s="107">
        <f t="shared" si="565"/>
        <v>23075.935999999998</v>
      </c>
      <c r="O525" s="107">
        <f t="shared" si="566"/>
        <v>459595.72533333331</v>
      </c>
      <c r="P525" s="107">
        <f t="shared" si="567"/>
        <v>457672.73066666664</v>
      </c>
      <c r="Q525" s="107">
        <f t="shared" si="568"/>
        <v>455749.73599999998</v>
      </c>
      <c r="R525" s="107">
        <f t="shared" si="569"/>
        <v>453826.74133333331</v>
      </c>
      <c r="S525" s="107">
        <f t="shared" si="570"/>
        <v>451903.74666666664</v>
      </c>
      <c r="T525" s="107">
        <f t="shared" si="571"/>
        <v>449980.75199999998</v>
      </c>
      <c r="U525" s="107">
        <f t="shared" si="572"/>
        <v>448057.75733333331</v>
      </c>
      <c r="V525" s="107">
        <f t="shared" si="573"/>
        <v>446134.76266666665</v>
      </c>
      <c r="W525" s="107">
        <f t="shared" si="574"/>
        <v>444211.76799999998</v>
      </c>
      <c r="X525" s="107">
        <f t="shared" si="575"/>
        <v>442288.77333333332</v>
      </c>
      <c r="Y525" s="107">
        <f t="shared" si="576"/>
        <v>440365.77866666665</v>
      </c>
      <c r="Z525" s="107">
        <f t="shared" si="577"/>
        <v>438442.78399999999</v>
      </c>
      <c r="AA525" s="107"/>
      <c r="AB525" s="107"/>
      <c r="AC525" s="107">
        <f t="shared" si="502"/>
        <v>23075.935999999998</v>
      </c>
      <c r="AD525" s="107">
        <f t="shared" si="503"/>
        <v>436519.78933333332</v>
      </c>
      <c r="AE525" s="107">
        <f t="shared" si="504"/>
        <v>434596.79466666665</v>
      </c>
      <c r="AF525" s="107">
        <f t="shared" si="505"/>
        <v>432673.8</v>
      </c>
      <c r="AG525" s="107">
        <f t="shared" si="506"/>
        <v>430750.80533333332</v>
      </c>
      <c r="AH525" s="107">
        <f t="shared" si="507"/>
        <v>428827.81066666666</v>
      </c>
      <c r="AI525" s="107">
        <f t="shared" si="508"/>
        <v>426904.81599999999</v>
      </c>
      <c r="AJ525" s="107">
        <f t="shared" si="509"/>
        <v>424981.82133333333</v>
      </c>
      <c r="AK525" s="107">
        <f t="shared" si="510"/>
        <v>423058.82666666666</v>
      </c>
      <c r="AL525" s="107">
        <f t="shared" si="511"/>
        <v>421135.83199999999</v>
      </c>
      <c r="AM525" s="107">
        <f t="shared" si="512"/>
        <v>419212.83733333333</v>
      </c>
      <c r="AN525" s="107">
        <f t="shared" si="513"/>
        <v>417289.84266666666</v>
      </c>
      <c r="AO525" s="107">
        <f t="shared" si="514"/>
        <v>415366.848</v>
      </c>
      <c r="AP525" s="107"/>
      <c r="AQ525" s="126"/>
      <c r="AR525" s="107">
        <f t="shared" si="578"/>
        <v>23075.935999999998</v>
      </c>
      <c r="AS525" s="107">
        <f t="shared" si="552"/>
        <v>413443.85333333333</v>
      </c>
      <c r="AT525" s="107">
        <f t="shared" si="553"/>
        <v>411520.85866666667</v>
      </c>
      <c r="AU525" s="107">
        <f t="shared" si="554"/>
        <v>409597.864</v>
      </c>
      <c r="AV525" s="107">
        <f t="shared" si="555"/>
        <v>407674.86933333334</v>
      </c>
      <c r="AW525" s="107">
        <f t="shared" si="556"/>
        <v>405751.87466666667</v>
      </c>
      <c r="AX525" s="107">
        <f t="shared" si="557"/>
        <v>403828.88</v>
      </c>
      <c r="AY525" s="107">
        <f t="shared" si="558"/>
        <v>401905.88533333334</v>
      </c>
      <c r="AZ525" s="107">
        <f t="shared" si="559"/>
        <v>399982.89066666667</v>
      </c>
      <c r="BA525" s="107">
        <f t="shared" si="560"/>
        <v>398059.89600000001</v>
      </c>
      <c r="BB525" s="107">
        <f t="shared" si="561"/>
        <v>396136.90133333334</v>
      </c>
      <c r="BC525" s="107">
        <f t="shared" si="562"/>
        <v>394213.90666666668</v>
      </c>
      <c r="BD525" s="107">
        <f t="shared" si="563"/>
        <v>392290.91200000001</v>
      </c>
      <c r="BE525" s="10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27"/>
    </row>
    <row r="526" spans="1:75" ht="45" hidden="1" x14ac:dyDescent="0.2">
      <c r="A526" s="123" t="str">
        <f>'[2]2021 УГРЦТ'!A528</f>
        <v>Компьютер в сборе: Intel Core i5 7400 (Soc-1151-v.2v Gigabyte Soc-1151H31M S2V/ DEEPCOOL THETA 21PWM)</v>
      </c>
      <c r="B526" s="124" t="str">
        <f>'[2]2021 УГРЦТ'!B528</f>
        <v>000001761</v>
      </c>
      <c r="C526" s="124" t="str">
        <f>VLOOKUP(A:A,'2023-2027'!A:L,1,+FALSE)</f>
        <v>Компьютер в сборе: Intel Core i5 7400 (Soc-1151-v.2v Gigabyte Soc-1151H31M S2V/ DEEPCOOL THETA 21PWM)</v>
      </c>
      <c r="D526" s="124" t="str">
        <f>'[2]2021 УГРЦТ'!C528</f>
        <v>ОБЩЕПРОИЗВОДСТВЕННЫЕ РАСХОДЫ</v>
      </c>
      <c r="E526" s="124" t="str">
        <f>'[2]2021 УГРЦТ'!D528</f>
        <v>Офисное оборудование</v>
      </c>
      <c r="F526" s="124" t="str">
        <f>'[2]2021 УГРЦТ'!E528</f>
        <v>03.04.2019</v>
      </c>
      <c r="G526" s="124" t="str">
        <f>'[2]2021 УГРЦТ'!F528</f>
        <v>общепроизводственные расходы</v>
      </c>
      <c r="H526" s="124">
        <f>'[2]2021 УГРЦТ'!AC528</f>
        <v>36</v>
      </c>
      <c r="I526" s="107">
        <f>'[2]2021 УГРЦТ'!X528</f>
        <v>69433.33</v>
      </c>
      <c r="J526" s="107">
        <f>'[2]2021 УГРЦТ'!Y528</f>
        <v>61718.443333333344</v>
      </c>
      <c r="K526" s="107">
        <f>'[2]2021 УГРЦТ'!Z528</f>
        <v>7714.8866666666581</v>
      </c>
      <c r="L526" s="125" t="e">
        <f>SUMIF([2]облаг!$B$2:$B$259,B526,[2]облаг!$D$2:$D$259)</f>
        <v>#VALUE!</v>
      </c>
      <c r="M526" s="148">
        <f t="shared" si="564"/>
        <v>1928.7036111111111</v>
      </c>
      <c r="N526" s="107">
        <f>O526</f>
        <v>5786.1830555555471</v>
      </c>
      <c r="O526" s="107">
        <f t="shared" si="566"/>
        <v>5786.1830555555471</v>
      </c>
      <c r="P526" s="107">
        <f t="shared" si="567"/>
        <v>3857.479444444436</v>
      </c>
      <c r="Q526" s="107">
        <f t="shared" si="568"/>
        <v>1928.775833333325</v>
      </c>
      <c r="R526" s="107">
        <f t="shared" si="569"/>
        <v>7.2222222213895293E-2</v>
      </c>
      <c r="S526" s="107">
        <v>0</v>
      </c>
      <c r="T526" s="107">
        <v>0</v>
      </c>
      <c r="U526" s="107">
        <v>0</v>
      </c>
      <c r="V526" s="107">
        <v>0</v>
      </c>
      <c r="W526" s="107">
        <v>0</v>
      </c>
      <c r="X526" s="107">
        <v>0</v>
      </c>
      <c r="Y526" s="107">
        <v>0</v>
      </c>
      <c r="Z526" s="107">
        <v>0</v>
      </c>
      <c r="AA526" s="107"/>
      <c r="AB526" s="107"/>
      <c r="AC526" s="107">
        <v>0</v>
      </c>
      <c r="AD526" s="107">
        <v>0</v>
      </c>
      <c r="AE526" s="107">
        <v>0</v>
      </c>
      <c r="AF526" s="107">
        <v>0</v>
      </c>
      <c r="AG526" s="107">
        <v>0</v>
      </c>
      <c r="AH526" s="107">
        <v>0</v>
      </c>
      <c r="AI526" s="107">
        <v>0</v>
      </c>
      <c r="AJ526" s="107">
        <v>0</v>
      </c>
      <c r="AK526" s="107">
        <v>0</v>
      </c>
      <c r="AL526" s="107">
        <v>0</v>
      </c>
      <c r="AM526" s="107">
        <v>0</v>
      </c>
      <c r="AN526" s="107">
        <v>0</v>
      </c>
      <c r="AO526" s="107">
        <v>0</v>
      </c>
      <c r="AP526" s="107"/>
      <c r="AQ526" s="126"/>
      <c r="AR526" s="107">
        <f t="shared" si="578"/>
        <v>0</v>
      </c>
      <c r="AS526" s="107">
        <v>0</v>
      </c>
      <c r="AT526" s="107">
        <v>0</v>
      </c>
      <c r="AU526" s="107">
        <v>0</v>
      </c>
      <c r="AV526" s="107">
        <v>0</v>
      </c>
      <c r="AW526" s="107">
        <v>0</v>
      </c>
      <c r="AX526" s="107">
        <v>0</v>
      </c>
      <c r="AY526" s="107">
        <v>0</v>
      </c>
      <c r="AZ526" s="107">
        <v>0</v>
      </c>
      <c r="BA526" s="107">
        <v>0</v>
      </c>
      <c r="BB526" s="107">
        <v>0</v>
      </c>
      <c r="BC526" s="107">
        <v>0</v>
      </c>
      <c r="BD526" s="107">
        <v>0</v>
      </c>
      <c r="BE526" s="124"/>
      <c r="BI526" s="127"/>
    </row>
    <row r="527" spans="1:75" ht="45" hidden="1" x14ac:dyDescent="0.2">
      <c r="A527" s="123" t="str">
        <f>'[2]2021 УГРЦТ'!A529</f>
        <v>Компьютер в сборе: Intel Core i5 7400 (Soc-1151-v.2v Gigabyte Soc-1151H31M S2V/ DEEPCOOL THETA 21PWM)</v>
      </c>
      <c r="B527" s="124" t="str">
        <f>'[2]2021 УГРЦТ'!B529</f>
        <v>000001762</v>
      </c>
      <c r="C527" s="124" t="str">
        <f>VLOOKUP(A:A,'2023-2027'!A:L,1,+FALSE)</f>
        <v>Компьютер в сборе: Intel Core i5 7400 (Soc-1151-v.2v Gigabyte Soc-1151H31M S2V/ DEEPCOOL THETA 21PWM)</v>
      </c>
      <c r="D527" s="124" t="str">
        <f>'[2]2021 УГРЦТ'!C529</f>
        <v>ОБЩЕПРОИЗВОДСТВЕННЫЕ РАСХОДЫ</v>
      </c>
      <c r="E527" s="124" t="str">
        <f>'[2]2021 УГРЦТ'!D529</f>
        <v>Офисное оборудование</v>
      </c>
      <c r="F527" s="124" t="str">
        <f>'[2]2021 УГРЦТ'!E529</f>
        <v>03.04.2019</v>
      </c>
      <c r="G527" s="124" t="str">
        <f>'[2]2021 УГРЦТ'!F529</f>
        <v>общепроизводственные расходы</v>
      </c>
      <c r="H527" s="124">
        <f>'[2]2021 УГРЦТ'!AC529</f>
        <v>36</v>
      </c>
      <c r="I527" s="107">
        <f>'[2]2021 УГРЦТ'!X529</f>
        <v>69433.33</v>
      </c>
      <c r="J527" s="107">
        <f>'[2]2021 УГРЦТ'!Y529</f>
        <v>61718.443333333344</v>
      </c>
      <c r="K527" s="107">
        <f>'[2]2021 УГРЦТ'!Z529</f>
        <v>7714.8866666666581</v>
      </c>
      <c r="L527" s="125" t="e">
        <f>SUMIF([2]облаг!$B$2:$B$259,B527,[2]облаг!$D$2:$D$259)</f>
        <v>#VALUE!</v>
      </c>
      <c r="M527" s="148">
        <f t="shared" si="564"/>
        <v>1928.7036111111111</v>
      </c>
      <c r="N527" s="107">
        <f>O527</f>
        <v>5786.1830555555471</v>
      </c>
      <c r="O527" s="107">
        <f t="shared" si="566"/>
        <v>5786.1830555555471</v>
      </c>
      <c r="P527" s="107">
        <f t="shared" si="567"/>
        <v>3857.479444444436</v>
      </c>
      <c r="Q527" s="107">
        <f t="shared" si="568"/>
        <v>1928.775833333325</v>
      </c>
      <c r="R527" s="107">
        <f t="shared" si="569"/>
        <v>7.2222222213895293E-2</v>
      </c>
      <c r="S527" s="107">
        <v>0</v>
      </c>
      <c r="T527" s="107">
        <v>0</v>
      </c>
      <c r="U527" s="107">
        <v>0</v>
      </c>
      <c r="V527" s="107">
        <v>0</v>
      </c>
      <c r="W527" s="107">
        <v>0</v>
      </c>
      <c r="X527" s="107">
        <v>0</v>
      </c>
      <c r="Y527" s="107">
        <v>0</v>
      </c>
      <c r="Z527" s="107">
        <v>0</v>
      </c>
      <c r="AA527" s="107"/>
      <c r="AB527" s="107"/>
      <c r="AC527" s="107">
        <v>0</v>
      </c>
      <c r="AD527" s="107">
        <v>0</v>
      </c>
      <c r="AE527" s="107">
        <v>0</v>
      </c>
      <c r="AF527" s="107">
        <v>0</v>
      </c>
      <c r="AG527" s="107">
        <v>0</v>
      </c>
      <c r="AH527" s="107">
        <v>0</v>
      </c>
      <c r="AI527" s="107">
        <v>0</v>
      </c>
      <c r="AJ527" s="107">
        <v>0</v>
      </c>
      <c r="AK527" s="107">
        <v>0</v>
      </c>
      <c r="AL527" s="107">
        <v>0</v>
      </c>
      <c r="AM527" s="107">
        <v>0</v>
      </c>
      <c r="AN527" s="107">
        <v>0</v>
      </c>
      <c r="AO527" s="107">
        <v>0</v>
      </c>
      <c r="AP527" s="107"/>
      <c r="AQ527" s="126"/>
      <c r="AR527" s="107">
        <f t="shared" si="578"/>
        <v>0</v>
      </c>
      <c r="AS527" s="107">
        <v>0</v>
      </c>
      <c r="AT527" s="107">
        <v>0</v>
      </c>
      <c r="AU527" s="107">
        <v>0</v>
      </c>
      <c r="AV527" s="107">
        <v>0</v>
      </c>
      <c r="AW527" s="107">
        <v>0</v>
      </c>
      <c r="AX527" s="107">
        <v>0</v>
      </c>
      <c r="AY527" s="107">
        <v>0</v>
      </c>
      <c r="AZ527" s="107">
        <v>0</v>
      </c>
      <c r="BA527" s="107">
        <v>0</v>
      </c>
      <c r="BB527" s="107">
        <v>0</v>
      </c>
      <c r="BC527" s="107">
        <v>0</v>
      </c>
      <c r="BD527" s="107">
        <v>0</v>
      </c>
      <c r="BE527" s="124"/>
      <c r="BI527" s="127"/>
    </row>
    <row r="528" spans="1:75" ht="45" hidden="1" x14ac:dyDescent="0.2">
      <c r="A528" s="123" t="str">
        <f>'[2]2021 УГРЦТ'!A530</f>
        <v>Компьютер в сборе: Intel Core i5 7400 (Soc-1151-v.2v Gigabyte Soc-1151H31M S2V/ DEEPCOOL THETA 21PWM)</v>
      </c>
      <c r="B528" s="124" t="str">
        <f>'[2]2021 УГРЦТ'!B530</f>
        <v>000001763</v>
      </c>
      <c r="C528" s="124" t="str">
        <f>VLOOKUP(A:A,'2023-2027'!A:L,1,+FALSE)</f>
        <v>Компьютер в сборе: Intel Core i5 7400 (Soc-1151-v.2v Gigabyte Soc-1151H31M S2V/ DEEPCOOL THETA 21PWM)</v>
      </c>
      <c r="D528" s="124" t="str">
        <f>'[2]2021 УГРЦТ'!C530</f>
        <v>ОБЩЕПРОИЗВОДСТВЕННЫЕ РАСХОДЫ</v>
      </c>
      <c r="E528" s="124" t="str">
        <f>'[2]2021 УГРЦТ'!D530</f>
        <v>Офисное оборудование</v>
      </c>
      <c r="F528" s="124" t="str">
        <f>'[2]2021 УГРЦТ'!E530</f>
        <v>03.04.2019</v>
      </c>
      <c r="G528" s="124" t="str">
        <f>'[2]2021 УГРЦТ'!F530</f>
        <v>общепроизводственные расходы</v>
      </c>
      <c r="H528" s="124">
        <f>'[2]2021 УГРЦТ'!AC530</f>
        <v>36</v>
      </c>
      <c r="I528" s="107">
        <f>'[2]2021 УГРЦТ'!X530</f>
        <v>69433.33</v>
      </c>
      <c r="J528" s="107">
        <f>'[2]2021 УГРЦТ'!Y530</f>
        <v>61718.443333333344</v>
      </c>
      <c r="K528" s="107">
        <f>'[2]2021 УГРЦТ'!Z530</f>
        <v>7714.8866666666581</v>
      </c>
      <c r="L528" s="125" t="e">
        <f>SUMIF([2]облаг!$B$2:$B$259,B528,[2]облаг!$D$2:$D$259)</f>
        <v>#VALUE!</v>
      </c>
      <c r="M528" s="148">
        <f t="shared" si="564"/>
        <v>1928.7036111111111</v>
      </c>
      <c r="N528" s="107">
        <f>O528</f>
        <v>5786.1830555555471</v>
      </c>
      <c r="O528" s="107">
        <f t="shared" si="566"/>
        <v>5786.1830555555471</v>
      </c>
      <c r="P528" s="107">
        <f t="shared" si="567"/>
        <v>3857.479444444436</v>
      </c>
      <c r="Q528" s="107">
        <f t="shared" si="568"/>
        <v>1928.775833333325</v>
      </c>
      <c r="R528" s="107">
        <f t="shared" si="569"/>
        <v>7.2222222213895293E-2</v>
      </c>
      <c r="S528" s="107">
        <v>0</v>
      </c>
      <c r="T528" s="107">
        <v>0</v>
      </c>
      <c r="U528" s="107">
        <v>0</v>
      </c>
      <c r="V528" s="107">
        <v>0</v>
      </c>
      <c r="W528" s="107">
        <v>0</v>
      </c>
      <c r="X528" s="107">
        <v>0</v>
      </c>
      <c r="Y528" s="107">
        <v>0</v>
      </c>
      <c r="Z528" s="107">
        <v>0</v>
      </c>
      <c r="AA528" s="107"/>
      <c r="AB528" s="107"/>
      <c r="AC528" s="107">
        <v>0</v>
      </c>
      <c r="AD528" s="107">
        <v>0</v>
      </c>
      <c r="AE528" s="107">
        <v>0</v>
      </c>
      <c r="AF528" s="107">
        <v>0</v>
      </c>
      <c r="AG528" s="107">
        <v>0</v>
      </c>
      <c r="AH528" s="107">
        <v>0</v>
      </c>
      <c r="AI528" s="107">
        <v>0</v>
      </c>
      <c r="AJ528" s="107">
        <v>0</v>
      </c>
      <c r="AK528" s="107">
        <v>0</v>
      </c>
      <c r="AL528" s="107">
        <v>0</v>
      </c>
      <c r="AM528" s="107">
        <v>0</v>
      </c>
      <c r="AN528" s="107">
        <v>0</v>
      </c>
      <c r="AO528" s="107">
        <v>0</v>
      </c>
      <c r="AP528" s="107"/>
      <c r="AQ528" s="126"/>
      <c r="AR528" s="107">
        <f t="shared" si="578"/>
        <v>0</v>
      </c>
      <c r="AS528" s="107">
        <v>0</v>
      </c>
      <c r="AT528" s="107">
        <v>0</v>
      </c>
      <c r="AU528" s="107">
        <v>0</v>
      </c>
      <c r="AV528" s="107">
        <v>0</v>
      </c>
      <c r="AW528" s="107">
        <v>0</v>
      </c>
      <c r="AX528" s="107">
        <v>0</v>
      </c>
      <c r="AY528" s="107">
        <v>0</v>
      </c>
      <c r="AZ528" s="107">
        <v>0</v>
      </c>
      <c r="BA528" s="107">
        <v>0</v>
      </c>
      <c r="BB528" s="107">
        <v>0</v>
      </c>
      <c r="BC528" s="107">
        <v>0</v>
      </c>
      <c r="BD528" s="107">
        <v>0</v>
      </c>
      <c r="BE528" s="124"/>
      <c r="BI528" s="127"/>
    </row>
    <row r="529" spans="1:75" ht="45" hidden="1" x14ac:dyDescent="0.2">
      <c r="A529" s="123" t="str">
        <f>'[2]2021 УГРЦТ'!A531</f>
        <v>Компьютер в сборе: Intel Core i5 7400 (Soc-1151-v.2v Gigabyte Soc-1151H31M S2V/ DEEPCOOL THETA 21PWM)</v>
      </c>
      <c r="B529" s="124" t="str">
        <f>'[2]2021 УГРЦТ'!B531</f>
        <v>000001764</v>
      </c>
      <c r="C529" s="124" t="str">
        <f>VLOOKUP(A:A,'2023-2027'!A:L,1,+FALSE)</f>
        <v>Компьютер в сборе: Intel Core i5 7400 (Soc-1151-v.2v Gigabyte Soc-1151H31M S2V/ DEEPCOOL THETA 21PWM)</v>
      </c>
      <c r="D529" s="124" t="str">
        <f>'[2]2021 УГРЦТ'!C531</f>
        <v>ОБЩЕПРОИЗВОДСТВЕННЫЕ РАСХОДЫ</v>
      </c>
      <c r="E529" s="124" t="str">
        <f>'[2]2021 УГРЦТ'!D531</f>
        <v>Офисное оборудование</v>
      </c>
      <c r="F529" s="124" t="str">
        <f>'[2]2021 УГРЦТ'!E531</f>
        <v>03.04.2019</v>
      </c>
      <c r="G529" s="124" t="str">
        <f>'[2]2021 УГРЦТ'!F531</f>
        <v>общепроизводственные расходы</v>
      </c>
      <c r="H529" s="124">
        <f>'[2]2021 УГРЦТ'!AC531</f>
        <v>36</v>
      </c>
      <c r="I529" s="107">
        <f>'[2]2021 УГРЦТ'!X531</f>
        <v>69433.34</v>
      </c>
      <c r="J529" s="107">
        <f>'[2]2021 УГРЦТ'!Y531</f>
        <v>61718.44666666667</v>
      </c>
      <c r="K529" s="107">
        <f>'[2]2021 УГРЦТ'!Z531</f>
        <v>7714.8933333333262</v>
      </c>
      <c r="L529" s="125" t="e">
        <f>SUMIF([2]облаг!$B$2:$B$259,B529,[2]облаг!$D$2:$D$259)</f>
        <v>#VALUE!</v>
      </c>
      <c r="M529" s="148">
        <f t="shared" si="564"/>
        <v>1928.7038888888887</v>
      </c>
      <c r="N529" s="107">
        <f>O529</f>
        <v>5786.189444444437</v>
      </c>
      <c r="O529" s="107">
        <f t="shared" si="566"/>
        <v>5786.189444444437</v>
      </c>
      <c r="P529" s="107">
        <f t="shared" si="567"/>
        <v>3857.4855555555482</v>
      </c>
      <c r="Q529" s="107">
        <f t="shared" si="568"/>
        <v>1928.7816666666595</v>
      </c>
      <c r="R529" s="107">
        <f t="shared" si="569"/>
        <v>7.7777777770734247E-2</v>
      </c>
      <c r="S529" s="107">
        <v>0</v>
      </c>
      <c r="T529" s="107">
        <v>0</v>
      </c>
      <c r="U529" s="107">
        <v>0</v>
      </c>
      <c r="V529" s="107">
        <v>0</v>
      </c>
      <c r="W529" s="107">
        <v>0</v>
      </c>
      <c r="X529" s="107">
        <v>0</v>
      </c>
      <c r="Y529" s="107">
        <v>0</v>
      </c>
      <c r="Z529" s="107">
        <v>0</v>
      </c>
      <c r="AA529" s="107"/>
      <c r="AB529" s="107"/>
      <c r="AC529" s="107">
        <v>0</v>
      </c>
      <c r="AD529" s="107">
        <v>0</v>
      </c>
      <c r="AE529" s="107">
        <v>0</v>
      </c>
      <c r="AF529" s="107">
        <v>0</v>
      </c>
      <c r="AG529" s="107">
        <v>0</v>
      </c>
      <c r="AH529" s="107">
        <v>0</v>
      </c>
      <c r="AI529" s="107">
        <v>0</v>
      </c>
      <c r="AJ529" s="107">
        <v>0</v>
      </c>
      <c r="AK529" s="107">
        <v>0</v>
      </c>
      <c r="AL529" s="107">
        <v>0</v>
      </c>
      <c r="AM529" s="107">
        <v>0</v>
      </c>
      <c r="AN529" s="107">
        <v>0</v>
      </c>
      <c r="AO529" s="107">
        <v>0</v>
      </c>
      <c r="AP529" s="107"/>
      <c r="AQ529" s="126"/>
      <c r="AR529" s="107">
        <f t="shared" si="578"/>
        <v>0</v>
      </c>
      <c r="AS529" s="107">
        <v>0</v>
      </c>
      <c r="AT529" s="107">
        <v>0</v>
      </c>
      <c r="AU529" s="107">
        <v>0</v>
      </c>
      <c r="AV529" s="107">
        <v>0</v>
      </c>
      <c r="AW529" s="107">
        <v>0</v>
      </c>
      <c r="AX529" s="107">
        <v>0</v>
      </c>
      <c r="AY529" s="107">
        <v>0</v>
      </c>
      <c r="AZ529" s="107">
        <v>0</v>
      </c>
      <c r="BA529" s="107">
        <v>0</v>
      </c>
      <c r="BB529" s="107">
        <v>0</v>
      </c>
      <c r="BC529" s="107">
        <v>0</v>
      </c>
      <c r="BD529" s="107">
        <v>0</v>
      </c>
      <c r="BE529" s="124"/>
      <c r="BI529" s="127"/>
    </row>
    <row r="530" spans="1:75" hidden="1" x14ac:dyDescent="0.2">
      <c r="A530" s="123" t="str">
        <f>'[2]2021 УГРЦТ'!A532</f>
        <v>Контейнер 20 ф №1</v>
      </c>
      <c r="B530" s="124" t="str">
        <f>'[2]2021 УГРЦТ'!B532</f>
        <v>000001521</v>
      </c>
      <c r="C530" s="124" t="str">
        <f>'2023-2027'!A528</f>
        <v>Контейнер 20 ф №1</v>
      </c>
      <c r="D530" s="124" t="str">
        <f>'[2]2021 УГРЦТ'!C532</f>
        <v>ОБЩЕПРОИЗВОДСТВЕННЫЕ РАСХОДЫ</v>
      </c>
      <c r="E530" s="124" t="str">
        <f>'[2]2021 УГРЦТ'!D532</f>
        <v>Другие виды основных средств</v>
      </c>
      <c r="F530" s="124" t="str">
        <f>'[2]2021 УГРЦТ'!E532</f>
        <v>10.04.2013</v>
      </c>
      <c r="G530" s="124" t="str">
        <f>'[2]2021 УГРЦТ'!F532</f>
        <v>Тепломеханический цех</v>
      </c>
      <c r="H530" s="124">
        <f>'[2]2021 УГРЦТ'!AC532</f>
        <v>180</v>
      </c>
      <c r="I530" s="107">
        <f>'[2]2021 УГРЦТ'!X532</f>
        <v>50847.46</v>
      </c>
      <c r="J530" s="107">
        <f>'[2]2021 УГРЦТ'!Y532</f>
        <v>564.97177777777779</v>
      </c>
      <c r="K530" s="107">
        <f>'[2]2021 УГРЦТ'!Z532</f>
        <v>21468.549333333332</v>
      </c>
      <c r="L530" s="125" t="e">
        <f>SUMIF([2]облаг!$B$2:$B$259,B530,[2]облаг!$D$2:$D$259)</f>
        <v>#VALUE!</v>
      </c>
      <c r="M530" s="148">
        <f t="shared" si="564"/>
        <v>282.48588888888889</v>
      </c>
      <c r="N530" s="107">
        <f t="shared" si="565"/>
        <v>3389.8306666666667</v>
      </c>
      <c r="O530" s="107">
        <f t="shared" si="566"/>
        <v>21186.063444444444</v>
      </c>
      <c r="P530" s="107">
        <f t="shared" si="567"/>
        <v>20903.577555555556</v>
      </c>
      <c r="Q530" s="107">
        <f t="shared" si="568"/>
        <v>20621.091666666667</v>
      </c>
      <c r="R530" s="107">
        <f t="shared" si="569"/>
        <v>20338.605777777779</v>
      </c>
      <c r="S530" s="107">
        <f t="shared" si="570"/>
        <v>20056.11988888889</v>
      </c>
      <c r="T530" s="107">
        <f t="shared" si="571"/>
        <v>19773.634000000002</v>
      </c>
      <c r="U530" s="107">
        <f t="shared" si="572"/>
        <v>19491.148111111113</v>
      </c>
      <c r="V530" s="107">
        <f t="shared" si="573"/>
        <v>19208.662222222225</v>
      </c>
      <c r="W530" s="107">
        <f t="shared" si="574"/>
        <v>18926.176333333337</v>
      </c>
      <c r="X530" s="107">
        <f t="shared" si="575"/>
        <v>18643.690444444448</v>
      </c>
      <c r="Y530" s="107">
        <f t="shared" si="576"/>
        <v>18361.20455555556</v>
      </c>
      <c r="Z530" s="107">
        <f t="shared" si="577"/>
        <v>18078.718666666671</v>
      </c>
      <c r="AA530" s="107"/>
      <c r="AB530" s="107"/>
      <c r="AC530" s="107">
        <f t="shared" si="502"/>
        <v>3389.8306666666667</v>
      </c>
      <c r="AD530" s="107">
        <f t="shared" si="503"/>
        <v>17796.232777777783</v>
      </c>
      <c r="AE530" s="107">
        <f t="shared" si="504"/>
        <v>17513.746888888894</v>
      </c>
      <c r="AF530" s="107">
        <f t="shared" si="505"/>
        <v>17231.261000000006</v>
      </c>
      <c r="AG530" s="107">
        <f t="shared" si="506"/>
        <v>16948.775111111117</v>
      </c>
      <c r="AH530" s="107">
        <f t="shared" si="507"/>
        <v>16666.289222222229</v>
      </c>
      <c r="AI530" s="107">
        <f t="shared" si="508"/>
        <v>16383.803333333341</v>
      </c>
      <c r="AJ530" s="107">
        <f t="shared" si="509"/>
        <v>16101.317444444452</v>
      </c>
      <c r="AK530" s="107">
        <f t="shared" si="510"/>
        <v>15818.831555555564</v>
      </c>
      <c r="AL530" s="107">
        <f t="shared" si="511"/>
        <v>15536.345666666675</v>
      </c>
      <c r="AM530" s="107">
        <f t="shared" si="512"/>
        <v>15253.859777777787</v>
      </c>
      <c r="AN530" s="107">
        <f t="shared" si="513"/>
        <v>14971.373888888898</v>
      </c>
      <c r="AO530" s="107">
        <f t="shared" si="514"/>
        <v>14688.88800000001</v>
      </c>
      <c r="AP530" s="107"/>
      <c r="AQ530" s="126"/>
      <c r="AR530" s="107">
        <f t="shared" si="578"/>
        <v>3389.8306666666667</v>
      </c>
      <c r="AS530" s="107">
        <f>AO530-M530</f>
        <v>14406.402111111121</v>
      </c>
      <c r="AT530" s="107">
        <f>AS530-M530</f>
        <v>14123.916222222233</v>
      </c>
      <c r="AU530" s="107">
        <f>AT530-M530</f>
        <v>13841.430333333345</v>
      </c>
      <c r="AV530" s="107">
        <f>AU530-M530</f>
        <v>13558.944444444456</v>
      </c>
      <c r="AW530" s="107">
        <f>AV530-M530</f>
        <v>13276.458555555568</v>
      </c>
      <c r="AX530" s="107">
        <f>AW530-M530</f>
        <v>12993.972666666679</v>
      </c>
      <c r="AY530" s="107">
        <f>AX530-M530</f>
        <v>12711.486777777791</v>
      </c>
      <c r="AZ530" s="107">
        <f>AY530-M530</f>
        <v>12429.000888888902</v>
      </c>
      <c r="BA530" s="107">
        <f>AZ530-M530</f>
        <v>12146.515000000014</v>
      </c>
      <c r="BB530" s="107">
        <f>BA530-M530</f>
        <v>11864.029111111126</v>
      </c>
      <c r="BC530" s="107">
        <f>BB530-M530</f>
        <v>11581.543222222237</v>
      </c>
      <c r="BD530" s="107">
        <f>BC530-M530</f>
        <v>11299.057333333349</v>
      </c>
      <c r="BE530" s="107"/>
      <c r="BF530" s="127"/>
      <c r="BG530" s="127"/>
      <c r="BH530" s="127"/>
      <c r="BI530" s="127"/>
      <c r="BJ530" s="127"/>
      <c r="BK530" s="127"/>
      <c r="BL530" s="127"/>
      <c r="BM530" s="127"/>
      <c r="BN530" s="127"/>
      <c r="BO530" s="127"/>
      <c r="BP530" s="127"/>
      <c r="BQ530" s="127"/>
      <c r="BR530" s="127"/>
      <c r="BS530" s="127"/>
      <c r="BT530" s="127"/>
      <c r="BU530" s="127"/>
      <c r="BV530" s="127"/>
      <c r="BW530" s="127"/>
    </row>
    <row r="531" spans="1:75" hidden="1" x14ac:dyDescent="0.2">
      <c r="A531" s="123" t="str">
        <f>'[2]2021 УГРЦТ'!A533</f>
        <v>Мезонин на основе колонн №1</v>
      </c>
      <c r="B531" s="124" t="str">
        <f>'[2]2021 УГРЦТ'!B533</f>
        <v>000001856</v>
      </c>
      <c r="C531" s="124" t="str">
        <f>VLOOKUP(A:A,'2023-2027'!A:L,1,+FALSE)</f>
        <v>Мезонин на основе колонн №1</v>
      </c>
      <c r="D531" s="124" t="str">
        <f>'[2]2021 УГРЦТ'!C533</f>
        <v>ОБЩЕПРОИЗВОДСТВЕННЫЕ РАСХОДЫ</v>
      </c>
      <c r="E531" s="124" t="str">
        <f>'[2]2021 УГРЦТ'!D533</f>
        <v>Машины и оборудование (кроме офисного)</v>
      </c>
      <c r="F531" s="124" t="str">
        <f>'[2]2021 УГРЦТ'!E533</f>
        <v>30.06.2021</v>
      </c>
      <c r="G531" s="124" t="str">
        <f>'[2]2021 УГРЦТ'!F533</f>
        <v>общепроизводственные расходы</v>
      </c>
      <c r="H531" s="124">
        <f>'[2]2021 УГРЦТ'!AC533</f>
        <v>180</v>
      </c>
      <c r="I531" s="107">
        <f>'[2]2021 УГРЦТ'!X533</f>
        <v>717369.78</v>
      </c>
      <c r="J531" s="107">
        <f>'[2]2021 УГРЦТ'!Y533</f>
        <v>23912.326000000001</v>
      </c>
      <c r="K531" s="107">
        <f>'[2]2021 УГРЦТ'!Z533</f>
        <v>693457.45400000003</v>
      </c>
      <c r="L531" s="125" t="e">
        <f>SUMIF([2]облаг!$B$2:$B$259,B531,[2]облаг!$D$2:$D$259)</f>
        <v>#VALUE!</v>
      </c>
      <c r="M531" s="148">
        <f t="shared" si="564"/>
        <v>3985.387666666667</v>
      </c>
      <c r="N531" s="107">
        <f t="shared" si="565"/>
        <v>47824.652000000002</v>
      </c>
      <c r="O531" s="107">
        <f t="shared" si="566"/>
        <v>689472.06633333338</v>
      </c>
      <c r="P531" s="107">
        <f t="shared" si="567"/>
        <v>685486.67866666673</v>
      </c>
      <c r="Q531" s="107">
        <f t="shared" si="568"/>
        <v>681501.29100000008</v>
      </c>
      <c r="R531" s="107">
        <f t="shared" si="569"/>
        <v>677515.90333333344</v>
      </c>
      <c r="S531" s="107">
        <f t="shared" si="570"/>
        <v>673530.51566666679</v>
      </c>
      <c r="T531" s="107">
        <f t="shared" si="571"/>
        <v>669545.12800000014</v>
      </c>
      <c r="U531" s="107">
        <f t="shared" si="572"/>
        <v>665559.7403333335</v>
      </c>
      <c r="V531" s="107">
        <f t="shared" si="573"/>
        <v>661574.35266666685</v>
      </c>
      <c r="W531" s="107">
        <f t="shared" si="574"/>
        <v>657588.9650000002</v>
      </c>
      <c r="X531" s="107">
        <f t="shared" si="575"/>
        <v>653603.57733333355</v>
      </c>
      <c r="Y531" s="107">
        <f t="shared" si="576"/>
        <v>649618.18966666691</v>
      </c>
      <c r="Z531" s="107">
        <f t="shared" si="577"/>
        <v>645632.80200000026</v>
      </c>
      <c r="AA531" s="107"/>
      <c r="AB531" s="107"/>
      <c r="AC531" s="107">
        <f t="shared" si="502"/>
        <v>47824.652000000002</v>
      </c>
      <c r="AD531" s="107">
        <f t="shared" si="503"/>
        <v>641647.41433333361</v>
      </c>
      <c r="AE531" s="107">
        <f t="shared" si="504"/>
        <v>637662.02666666696</v>
      </c>
      <c r="AF531" s="107">
        <f t="shared" si="505"/>
        <v>633676.63900000032</v>
      </c>
      <c r="AG531" s="107">
        <f t="shared" si="506"/>
        <v>629691.25133333367</v>
      </c>
      <c r="AH531" s="107">
        <f t="shared" si="507"/>
        <v>625705.86366666702</v>
      </c>
      <c r="AI531" s="107">
        <f t="shared" si="508"/>
        <v>621720.47600000037</v>
      </c>
      <c r="AJ531" s="107">
        <f t="shared" si="509"/>
        <v>617735.08833333373</v>
      </c>
      <c r="AK531" s="107">
        <f t="shared" si="510"/>
        <v>613749.70066666708</v>
      </c>
      <c r="AL531" s="107">
        <f t="shared" si="511"/>
        <v>609764.31300000043</v>
      </c>
      <c r="AM531" s="107">
        <f t="shared" si="512"/>
        <v>605778.92533333378</v>
      </c>
      <c r="AN531" s="107">
        <f t="shared" si="513"/>
        <v>601793.53766666714</v>
      </c>
      <c r="AO531" s="107">
        <f t="shared" si="514"/>
        <v>597808.15000000049</v>
      </c>
      <c r="AP531" s="107"/>
      <c r="AQ531" s="126"/>
      <c r="AR531" s="107">
        <f t="shared" si="578"/>
        <v>47824.652000000002</v>
      </c>
      <c r="AS531" s="107">
        <f>AO531-M531</f>
        <v>593822.76233333384</v>
      </c>
      <c r="AT531" s="107">
        <f>AS531-M531</f>
        <v>589837.37466666719</v>
      </c>
      <c r="AU531" s="107">
        <f>AT531-M531</f>
        <v>585851.98700000055</v>
      </c>
      <c r="AV531" s="107">
        <f>AU531-M531</f>
        <v>581866.5993333339</v>
      </c>
      <c r="AW531" s="107">
        <f>AV531-M531</f>
        <v>577881.21166666725</v>
      </c>
      <c r="AX531" s="107">
        <f>AW531-M531</f>
        <v>573895.8240000006</v>
      </c>
      <c r="AY531" s="107">
        <f>AX531-M531</f>
        <v>569910.43633333396</v>
      </c>
      <c r="AZ531" s="107">
        <f>AY531-M531</f>
        <v>565925.04866666731</v>
      </c>
      <c r="BA531" s="107">
        <f>AZ531-M531</f>
        <v>561939.66100000066</v>
      </c>
      <c r="BB531" s="107">
        <f>BA531-M531</f>
        <v>557954.27333333401</v>
      </c>
      <c r="BC531" s="107">
        <f>BB531-M531</f>
        <v>553968.88566666737</v>
      </c>
      <c r="BD531" s="107">
        <f>BC531-M531</f>
        <v>549983.49800000072</v>
      </c>
      <c r="BE531" s="107"/>
      <c r="BF531" s="127"/>
      <c r="BG531" s="127"/>
      <c r="BH531" s="127"/>
      <c r="BI531" s="127"/>
      <c r="BJ531" s="127"/>
      <c r="BK531" s="127"/>
      <c r="BL531" s="127"/>
      <c r="BM531" s="127"/>
      <c r="BN531" s="127"/>
      <c r="BO531" s="127"/>
      <c r="BP531" s="127"/>
      <c r="BQ531" s="127"/>
      <c r="BR531" s="127"/>
      <c r="BS531" s="127"/>
      <c r="BT531" s="127"/>
      <c r="BU531" s="127"/>
      <c r="BV531" s="127"/>
      <c r="BW531" s="127"/>
    </row>
    <row r="532" spans="1:75" hidden="1" x14ac:dyDescent="0.2">
      <c r="A532" s="123" t="str">
        <f>'[2]2021 УГРЦТ'!A534</f>
        <v>Мезонин на основе колонн №2</v>
      </c>
      <c r="B532" s="124" t="str">
        <f>'[2]2021 УГРЦТ'!B534</f>
        <v>000001857</v>
      </c>
      <c r="C532" s="124" t="str">
        <f>VLOOKUP(A:A,'2023-2027'!A:L,1,+FALSE)</f>
        <v>Мезонин на основе колонн №2</v>
      </c>
      <c r="D532" s="124" t="str">
        <f>'[2]2021 УГРЦТ'!C534</f>
        <v>ОБЩЕПРОИЗВОДСТВЕННЫЕ РАСХОДЫ</v>
      </c>
      <c r="E532" s="124" t="str">
        <f>'[2]2021 УГРЦТ'!D534</f>
        <v>Машины и оборудование (кроме офисного)</v>
      </c>
      <c r="F532" s="124" t="str">
        <f>'[2]2021 УГРЦТ'!E534</f>
        <v>30.06.2021</v>
      </c>
      <c r="G532" s="124" t="str">
        <f>'[2]2021 УГРЦТ'!F534</f>
        <v>общепроизводственные расходы</v>
      </c>
      <c r="H532" s="124">
        <f>'[2]2021 УГРЦТ'!AC534</f>
        <v>180</v>
      </c>
      <c r="I532" s="107">
        <f>'[2]2021 УГРЦТ'!X534</f>
        <v>727902.42</v>
      </c>
      <c r="J532" s="107">
        <f>'[2]2021 УГРЦТ'!Y534</f>
        <v>24263.413999999997</v>
      </c>
      <c r="K532" s="107">
        <f>'[2]2021 УГРЦТ'!Z534</f>
        <v>703639.00600000005</v>
      </c>
      <c r="L532" s="125" t="e">
        <f>SUMIF([2]облаг!$B$2:$B$259,B532,[2]облаг!$D$2:$D$259)</f>
        <v>#VALUE!</v>
      </c>
      <c r="M532" s="148">
        <f t="shared" si="564"/>
        <v>4043.9023333333334</v>
      </c>
      <c r="N532" s="107">
        <f t="shared" si="565"/>
        <v>48526.828000000001</v>
      </c>
      <c r="O532" s="107">
        <f t="shared" si="566"/>
        <v>699595.10366666666</v>
      </c>
      <c r="P532" s="107">
        <f t="shared" si="567"/>
        <v>695551.20133333327</v>
      </c>
      <c r="Q532" s="107">
        <f t="shared" si="568"/>
        <v>691507.29899999988</v>
      </c>
      <c r="R532" s="107">
        <f t="shared" si="569"/>
        <v>687463.39666666649</v>
      </c>
      <c r="S532" s="107">
        <f t="shared" si="570"/>
        <v>683419.4943333331</v>
      </c>
      <c r="T532" s="107">
        <f t="shared" si="571"/>
        <v>679375.59199999971</v>
      </c>
      <c r="U532" s="107">
        <f t="shared" si="572"/>
        <v>675331.68966666632</v>
      </c>
      <c r="V532" s="107">
        <f t="shared" si="573"/>
        <v>671287.78733333293</v>
      </c>
      <c r="W532" s="107">
        <f t="shared" si="574"/>
        <v>667243.88499999954</v>
      </c>
      <c r="X532" s="107">
        <f t="shared" si="575"/>
        <v>663199.98266666615</v>
      </c>
      <c r="Y532" s="107">
        <f t="shared" si="576"/>
        <v>659156.08033333276</v>
      </c>
      <c r="Z532" s="107">
        <f t="shared" si="577"/>
        <v>655112.17799999937</v>
      </c>
      <c r="AA532" s="107"/>
      <c r="AB532" s="107"/>
      <c r="AC532" s="107">
        <f t="shared" si="502"/>
        <v>48526.828000000001</v>
      </c>
      <c r="AD532" s="107">
        <f t="shared" si="503"/>
        <v>651068.27566666598</v>
      </c>
      <c r="AE532" s="107">
        <f t="shared" si="504"/>
        <v>647024.37333333259</v>
      </c>
      <c r="AF532" s="107">
        <f t="shared" si="505"/>
        <v>642980.4709999992</v>
      </c>
      <c r="AG532" s="107">
        <f t="shared" si="506"/>
        <v>638936.56866666581</v>
      </c>
      <c r="AH532" s="107">
        <f t="shared" si="507"/>
        <v>634892.66633333242</v>
      </c>
      <c r="AI532" s="107">
        <f t="shared" si="508"/>
        <v>630848.76399999904</v>
      </c>
      <c r="AJ532" s="107">
        <f t="shared" si="509"/>
        <v>626804.86166666565</v>
      </c>
      <c r="AK532" s="107">
        <f t="shared" si="510"/>
        <v>622760.95933333226</v>
      </c>
      <c r="AL532" s="107">
        <f t="shared" si="511"/>
        <v>618717.05699999887</v>
      </c>
      <c r="AM532" s="107">
        <f t="shared" si="512"/>
        <v>614673.15466666548</v>
      </c>
      <c r="AN532" s="107">
        <f t="shared" si="513"/>
        <v>610629.25233333209</v>
      </c>
      <c r="AO532" s="107">
        <f t="shared" si="514"/>
        <v>606585.3499999987</v>
      </c>
      <c r="AP532" s="107"/>
      <c r="AQ532" s="126"/>
      <c r="AR532" s="107">
        <f t="shared" si="578"/>
        <v>48526.828000000001</v>
      </c>
      <c r="AS532" s="107">
        <f>AO532-M532</f>
        <v>602541.44766666531</v>
      </c>
      <c r="AT532" s="107">
        <f>AS532-M532</f>
        <v>598497.54533333192</v>
      </c>
      <c r="AU532" s="107">
        <f>AT532-M532</f>
        <v>594453.64299999853</v>
      </c>
      <c r="AV532" s="107">
        <f>AU532-M532</f>
        <v>590409.74066666514</v>
      </c>
      <c r="AW532" s="107">
        <f>AV532-M532</f>
        <v>586365.83833333175</v>
      </c>
      <c r="AX532" s="107">
        <f>AW532-M532</f>
        <v>582321.93599999836</v>
      </c>
      <c r="AY532" s="107">
        <f>AX532-M532</f>
        <v>578278.03366666497</v>
      </c>
      <c r="AZ532" s="107">
        <f>AY532-M532</f>
        <v>574234.13133333158</v>
      </c>
      <c r="BA532" s="107">
        <f>AZ532-M532</f>
        <v>570190.22899999819</v>
      </c>
      <c r="BB532" s="107">
        <f>BA532-M532</f>
        <v>566146.3266666648</v>
      </c>
      <c r="BC532" s="107">
        <f>BB532-M532</f>
        <v>562102.42433333141</v>
      </c>
      <c r="BD532" s="107">
        <f>BC532-M532</f>
        <v>558058.52199999802</v>
      </c>
      <c r="BE532" s="107"/>
      <c r="BF532" s="127"/>
      <c r="BG532" s="127"/>
      <c r="BH532" s="127"/>
      <c r="BI532" s="127"/>
      <c r="BJ532" s="127"/>
      <c r="BK532" s="127"/>
      <c r="BL532" s="127"/>
      <c r="BM532" s="127"/>
      <c r="BN532" s="127"/>
      <c r="BO532" s="127"/>
      <c r="BP532" s="127"/>
      <c r="BQ532" s="127"/>
      <c r="BR532" s="127"/>
      <c r="BS532" s="127"/>
      <c r="BT532" s="127"/>
      <c r="BU532" s="127"/>
      <c r="BV532" s="127"/>
      <c r="BW532" s="127"/>
    </row>
    <row r="533" spans="1:75" ht="22.5" hidden="1" x14ac:dyDescent="0.2">
      <c r="A533" s="123" t="str">
        <f>'[2]2021 УГРЦТ'!A535</f>
        <v>Металлический стеллаж (складской мезонин)</v>
      </c>
      <c r="B533" s="124" t="str">
        <f>'[2]2021 УГРЦТ'!B535</f>
        <v>000001803</v>
      </c>
      <c r="C533" s="124" t="str">
        <f>VLOOKUP(A:A,'2023-2027'!A:L,1,+FALSE)</f>
        <v>Металлический стеллаж (складской мезонин)</v>
      </c>
      <c r="D533" s="124" t="str">
        <f>'[2]2021 УГРЦТ'!C535</f>
        <v>ОБЩЕПРОИЗВОДСТВЕННЫЕ РАСХОДЫ</v>
      </c>
      <c r="E533" s="124" t="str">
        <f>'[2]2021 УГРЦТ'!D535</f>
        <v>Машины и оборудование (кроме офисного)</v>
      </c>
      <c r="F533" s="124" t="str">
        <f>'[2]2021 УГРЦТ'!E535</f>
        <v>17.03.2020</v>
      </c>
      <c r="G533" s="124" t="str">
        <f>'[2]2021 УГРЦТ'!F535</f>
        <v>общепроизводственные расходы</v>
      </c>
      <c r="H533" s="124">
        <f>'[2]2021 УГРЦТ'!AC535</f>
        <v>180</v>
      </c>
      <c r="I533" s="107">
        <f>'[2]2021 УГРЦТ'!X535</f>
        <v>525332.43000000005</v>
      </c>
      <c r="J533" s="107">
        <f>'[2]2021 УГРЦТ'!Y535</f>
        <v>61288.752000000008</v>
      </c>
      <c r="K533" s="107">
        <f>'[2]2021 УГРЦТ'!Z535</f>
        <v>464043.67800000007</v>
      </c>
      <c r="L533" s="125" t="e">
        <f>SUMIF([2]облаг!$B$2:$B$259,B533,[2]облаг!$D$2:$D$259)</f>
        <v>#VALUE!</v>
      </c>
      <c r="M533" s="148">
        <f t="shared" si="564"/>
        <v>2918.5135000000005</v>
      </c>
      <c r="N533" s="107">
        <f t="shared" si="565"/>
        <v>35022.162000000004</v>
      </c>
      <c r="O533" s="107">
        <f t="shared" si="566"/>
        <v>461125.16450000007</v>
      </c>
      <c r="P533" s="107">
        <f t="shared" si="567"/>
        <v>458206.65100000007</v>
      </c>
      <c r="Q533" s="107">
        <f t="shared" si="568"/>
        <v>455288.13750000007</v>
      </c>
      <c r="R533" s="107">
        <f t="shared" si="569"/>
        <v>452369.62400000007</v>
      </c>
      <c r="S533" s="107">
        <f t="shared" si="570"/>
        <v>449451.11050000007</v>
      </c>
      <c r="T533" s="107">
        <f t="shared" si="571"/>
        <v>446532.59700000007</v>
      </c>
      <c r="U533" s="107">
        <f t="shared" si="572"/>
        <v>443614.08350000007</v>
      </c>
      <c r="V533" s="107">
        <f t="shared" si="573"/>
        <v>440695.57000000007</v>
      </c>
      <c r="W533" s="107">
        <f t="shared" si="574"/>
        <v>437777.05650000006</v>
      </c>
      <c r="X533" s="107">
        <f t="shared" si="575"/>
        <v>434858.54300000006</v>
      </c>
      <c r="Y533" s="107">
        <f t="shared" si="576"/>
        <v>431940.02950000006</v>
      </c>
      <c r="Z533" s="107">
        <f t="shared" si="577"/>
        <v>429021.51600000006</v>
      </c>
      <c r="AA533" s="107"/>
      <c r="AB533" s="107"/>
      <c r="AC533" s="107">
        <f t="shared" si="502"/>
        <v>35022.162000000004</v>
      </c>
      <c r="AD533" s="107">
        <f t="shared" si="503"/>
        <v>426103.00250000006</v>
      </c>
      <c r="AE533" s="107">
        <f t="shared" si="504"/>
        <v>423184.48900000006</v>
      </c>
      <c r="AF533" s="107">
        <f t="shared" si="505"/>
        <v>420265.97550000006</v>
      </c>
      <c r="AG533" s="107">
        <f t="shared" si="506"/>
        <v>417347.46200000006</v>
      </c>
      <c r="AH533" s="107">
        <f t="shared" si="507"/>
        <v>414428.94850000006</v>
      </c>
      <c r="AI533" s="107">
        <f t="shared" si="508"/>
        <v>411510.43500000006</v>
      </c>
      <c r="AJ533" s="107">
        <f t="shared" si="509"/>
        <v>408591.92150000005</v>
      </c>
      <c r="AK533" s="107">
        <f t="shared" si="510"/>
        <v>405673.40800000005</v>
      </c>
      <c r="AL533" s="107">
        <f t="shared" si="511"/>
        <v>402754.89450000005</v>
      </c>
      <c r="AM533" s="107">
        <f t="shared" si="512"/>
        <v>399836.38100000005</v>
      </c>
      <c r="AN533" s="107">
        <f t="shared" si="513"/>
        <v>396917.86750000005</v>
      </c>
      <c r="AO533" s="107">
        <f t="shared" si="514"/>
        <v>393999.35400000005</v>
      </c>
      <c r="AP533" s="107"/>
      <c r="AQ533" s="126"/>
      <c r="AR533" s="107">
        <f t="shared" si="578"/>
        <v>35022.162000000004</v>
      </c>
      <c r="AS533" s="107">
        <f>AO533-M533</f>
        <v>391080.84050000005</v>
      </c>
      <c r="AT533" s="107">
        <f>AS533-M533</f>
        <v>388162.32700000005</v>
      </c>
      <c r="AU533" s="107">
        <f>AT533-M533</f>
        <v>385243.81350000005</v>
      </c>
      <c r="AV533" s="107">
        <f>AU533-M533</f>
        <v>382325.30000000005</v>
      </c>
      <c r="AW533" s="107">
        <f>AV533-M533</f>
        <v>379406.78650000005</v>
      </c>
      <c r="AX533" s="107">
        <f>AW533-M533</f>
        <v>376488.27300000004</v>
      </c>
      <c r="AY533" s="107">
        <f>AX533-M533</f>
        <v>373569.75950000004</v>
      </c>
      <c r="AZ533" s="107">
        <f>AY533-M533</f>
        <v>370651.24600000004</v>
      </c>
      <c r="BA533" s="107">
        <f>AZ533-M533</f>
        <v>367732.73250000004</v>
      </c>
      <c r="BB533" s="107">
        <f>BA533-M533</f>
        <v>364814.21900000004</v>
      </c>
      <c r="BC533" s="107">
        <f>BB533-M533</f>
        <v>361895.70550000004</v>
      </c>
      <c r="BD533" s="107">
        <f>BC533-M533</f>
        <v>358977.19200000004</v>
      </c>
      <c r="BE533" s="107"/>
      <c r="BF533" s="127"/>
      <c r="BG533" s="127"/>
      <c r="BH533" s="127"/>
      <c r="BI533" s="127"/>
      <c r="BJ533" s="127"/>
      <c r="BK533" s="127"/>
      <c r="BL533" s="127"/>
      <c r="BM533" s="127"/>
      <c r="BN533" s="127"/>
      <c r="BO533" s="127"/>
      <c r="BP533" s="127"/>
      <c r="BQ533" s="127"/>
      <c r="BR533" s="127"/>
      <c r="BS533" s="127"/>
      <c r="BT533" s="127"/>
      <c r="BU533" s="127"/>
      <c r="BV533" s="127"/>
      <c r="BW533" s="127"/>
    </row>
    <row r="534" spans="1:75" hidden="1" x14ac:dyDescent="0.2">
      <c r="A534" s="123" t="str">
        <f>'[2]2021 УГРЦТ'!A536</f>
        <v>Ограждение (сайдинг) 69м 2010г</v>
      </c>
      <c r="B534" s="124" t="str">
        <f>'[2]2021 УГРЦТ'!B536</f>
        <v>00000311</v>
      </c>
      <c r="C534" s="124" t="str">
        <f>VLOOKUP(A:A,'2023-2027'!A:L,1,+FALSE)</f>
        <v>Ограждение (сайдинг) 69м 2010г</v>
      </c>
      <c r="D534" s="124" t="str">
        <f>'[2]2021 УГРЦТ'!C536</f>
        <v>ОБЩЕПРОИЗВОДСТВЕННЫЕ РАСХОДЫ</v>
      </c>
      <c r="E534" s="124" t="str">
        <f>'[2]2021 УГРЦТ'!D536</f>
        <v>Сооружения</v>
      </c>
      <c r="F534" s="124" t="str">
        <f>'[2]2021 УГРЦТ'!E536</f>
        <v>30.11.2010</v>
      </c>
      <c r="G534" s="124" t="str">
        <f>'[2]2021 УГРЦТ'!F536</f>
        <v>общепроизводственные расходы</v>
      </c>
      <c r="H534" s="124">
        <f>'[2]2021 УГРЦТ'!AC536</f>
        <v>180</v>
      </c>
      <c r="I534" s="107">
        <f>'[2]2021 УГРЦТ'!X536</f>
        <v>459881.8</v>
      </c>
      <c r="J534" s="107">
        <f>'[2]2021 УГРЦТ'!Y536</f>
        <v>339801.6866666667</v>
      </c>
      <c r="K534" s="107">
        <f>'[2]2021 УГРЦТ'!Z536</f>
        <v>120080.11333333328</v>
      </c>
      <c r="L534" s="125" t="e">
        <f>SUMIF([2]облаг!$B$2:$B$259,B534,[2]облаг!$D$2:$D$259)</f>
        <v>#VALUE!</v>
      </c>
      <c r="M534" s="148">
        <f t="shared" si="564"/>
        <v>2554.8988888888889</v>
      </c>
      <c r="N534" s="107">
        <f t="shared" si="565"/>
        <v>30658.786666666667</v>
      </c>
      <c r="O534" s="107">
        <f t="shared" si="566"/>
        <v>117525.2144444444</v>
      </c>
      <c r="P534" s="107">
        <f t="shared" si="567"/>
        <v>114970.31555555551</v>
      </c>
      <c r="Q534" s="107">
        <f t="shared" si="568"/>
        <v>112415.41666666663</v>
      </c>
      <c r="R534" s="107">
        <f t="shared" si="569"/>
        <v>109860.51777777774</v>
      </c>
      <c r="S534" s="107">
        <f t="shared" si="570"/>
        <v>107305.61888888886</v>
      </c>
      <c r="T534" s="107">
        <f t="shared" si="571"/>
        <v>104750.71999999997</v>
      </c>
      <c r="U534" s="107">
        <f t="shared" si="572"/>
        <v>102195.82111111109</v>
      </c>
      <c r="V534" s="107">
        <f t="shared" si="573"/>
        <v>99640.922222222202</v>
      </c>
      <c r="W534" s="107">
        <f t="shared" si="574"/>
        <v>97086.023333333316</v>
      </c>
      <c r="X534" s="107">
        <f t="shared" si="575"/>
        <v>94531.124444444431</v>
      </c>
      <c r="Y534" s="107">
        <f t="shared" si="576"/>
        <v>91976.225555555546</v>
      </c>
      <c r="Z534" s="107">
        <f t="shared" si="577"/>
        <v>89421.32666666666</v>
      </c>
      <c r="AA534" s="107">
        <f>SUM(O534:Z534,K534)/13*$AA$2</f>
        <v>2304.5158399999991</v>
      </c>
      <c r="AB534" s="107"/>
      <c r="AC534" s="107">
        <f t="shared" si="502"/>
        <v>30658.786666666667</v>
      </c>
      <c r="AD534" s="107">
        <f t="shared" si="503"/>
        <v>86866.427777777775</v>
      </c>
      <c r="AE534" s="107">
        <f t="shared" si="504"/>
        <v>84311.52888888889</v>
      </c>
      <c r="AF534" s="107">
        <f t="shared" si="505"/>
        <v>81756.63</v>
      </c>
      <c r="AG534" s="107">
        <f t="shared" si="506"/>
        <v>79201.731111111119</v>
      </c>
      <c r="AH534" s="107">
        <f t="shared" si="507"/>
        <v>76646.832222222234</v>
      </c>
      <c r="AI534" s="107">
        <f t="shared" si="508"/>
        <v>74091.933333333349</v>
      </c>
      <c r="AJ534" s="107">
        <f t="shared" si="509"/>
        <v>71537.034444444464</v>
      </c>
      <c r="AK534" s="107">
        <f t="shared" si="510"/>
        <v>68982.135555555578</v>
      </c>
      <c r="AL534" s="107">
        <f t="shared" si="511"/>
        <v>66427.236666666693</v>
      </c>
      <c r="AM534" s="107">
        <f t="shared" si="512"/>
        <v>63872.337777777808</v>
      </c>
      <c r="AN534" s="107">
        <f t="shared" si="513"/>
        <v>61317.438888888923</v>
      </c>
      <c r="AO534" s="107">
        <f t="shared" si="514"/>
        <v>58762.540000000037</v>
      </c>
      <c r="AP534" s="107">
        <f>SUM(AD534:AO534,Z534)/13*$AP$2</f>
        <v>1630.0225333333335</v>
      </c>
      <c r="AQ534" s="126"/>
      <c r="AR534" s="107">
        <f t="shared" si="578"/>
        <v>30658.786666666667</v>
      </c>
      <c r="AS534" s="107">
        <f>AO534-M534</f>
        <v>56207.641111111152</v>
      </c>
      <c r="AT534" s="107">
        <f>AS534-M534</f>
        <v>53652.742222222267</v>
      </c>
      <c r="AU534" s="107">
        <f>AT534-M534</f>
        <v>51097.843333333381</v>
      </c>
      <c r="AV534" s="107">
        <f>AU534-M534</f>
        <v>48542.944444444496</v>
      </c>
      <c r="AW534" s="107">
        <f>AV534-M534</f>
        <v>45988.045555555611</v>
      </c>
      <c r="AX534" s="107">
        <f>AW534-M534</f>
        <v>43433.146666666726</v>
      </c>
      <c r="AY534" s="107">
        <f>AX534-M534</f>
        <v>40878.24777777784</v>
      </c>
      <c r="AZ534" s="107">
        <f>AY534-M534</f>
        <v>38323.348888888955</v>
      </c>
      <c r="BA534" s="107">
        <f>AZ534-M534</f>
        <v>35768.45000000007</v>
      </c>
      <c r="BB534" s="107">
        <f>BA534-M534</f>
        <v>33213.551111111185</v>
      </c>
      <c r="BC534" s="107">
        <f>BB534-M534</f>
        <v>30658.652222222296</v>
      </c>
      <c r="BD534" s="107">
        <f>BC534-M534</f>
        <v>28103.753333333407</v>
      </c>
      <c r="BE534" s="107">
        <f>SUM(AS534:BD534,AO534)/13*$BE$2</f>
        <v>955.52922666666791</v>
      </c>
      <c r="BF534" s="127"/>
      <c r="BG534" s="127"/>
      <c r="BI534" s="127"/>
      <c r="BJ534" s="127"/>
      <c r="BK534" s="127"/>
      <c r="BL534" s="127"/>
      <c r="BM534" s="127"/>
      <c r="BN534" s="127"/>
      <c r="BO534" s="127"/>
      <c r="BP534" s="127"/>
      <c r="BQ534" s="127"/>
      <c r="BR534" s="127"/>
      <c r="BS534" s="127"/>
      <c r="BT534" s="127"/>
      <c r="BU534" s="127"/>
      <c r="BV534" s="127"/>
    </row>
    <row r="535" spans="1:75" ht="22.5" hidden="1" x14ac:dyDescent="0.2">
      <c r="A535" s="123" t="str">
        <f>'[2]2021 УГРЦТ'!A537</f>
        <v>Персональный компьютер (ExeGate special)</v>
      </c>
      <c r="B535" s="124" t="str">
        <f>'[2]2021 УГРЦТ'!B537</f>
        <v>000001796</v>
      </c>
      <c r="C535" s="124" t="str">
        <f>VLOOKUP(A:A,'2023-2027'!A:L,1,+FALSE)</f>
        <v>Персональный компьютер (ExeGate special)</v>
      </c>
      <c r="D535" s="124" t="str">
        <f>'[2]2021 УГРЦТ'!C537</f>
        <v>ОБЩЕПРОИЗВОДСТВЕННЫЕ РАСХОДЫ</v>
      </c>
      <c r="E535" s="124" t="str">
        <f>'[2]2021 УГРЦТ'!D537</f>
        <v>Машины и оборудование (кроме офисного)</v>
      </c>
      <c r="F535" s="124" t="str">
        <f>'[2]2021 УГРЦТ'!E537</f>
        <v>31.12.2019</v>
      </c>
      <c r="G535" s="124" t="str">
        <f>'[2]2021 УГРЦТ'!F537</f>
        <v>общепроизводственные расходы</v>
      </c>
      <c r="H535" s="124">
        <f>'[2]2021 УГРЦТ'!AC537</f>
        <v>36</v>
      </c>
      <c r="I535" s="107">
        <f>'[2]2021 УГРЦТ'!X537</f>
        <v>51958.33</v>
      </c>
      <c r="J535" s="107">
        <f>'[2]2021 УГРЦТ'!Y537</f>
        <v>34638.923333333332</v>
      </c>
      <c r="K535" s="107">
        <f>'[2]2021 УГРЦТ'!Z537</f>
        <v>17319.406666666669</v>
      </c>
      <c r="L535" s="125" t="e">
        <f>SUMIF([2]облаг!$B$2:$B$259,B535,[2]облаг!$D$2:$D$259)</f>
        <v>#VALUE!</v>
      </c>
      <c r="M535" s="148">
        <f t="shared" si="564"/>
        <v>1443.2869444444445</v>
      </c>
      <c r="N535" s="107">
        <f t="shared" ref="N535:N550" si="579">O535</f>
        <v>15876.119722222225</v>
      </c>
      <c r="O535" s="107">
        <f t="shared" si="566"/>
        <v>15876.119722222225</v>
      </c>
      <c r="P535" s="107">
        <f t="shared" si="567"/>
        <v>14432.832777777781</v>
      </c>
      <c r="Q535" s="107">
        <f t="shared" si="568"/>
        <v>12989.545833333337</v>
      </c>
      <c r="R535" s="107">
        <f t="shared" si="569"/>
        <v>11546.258888888893</v>
      </c>
      <c r="S535" s="107">
        <f t="shared" si="570"/>
        <v>10102.971944444449</v>
      </c>
      <c r="T535" s="107">
        <f t="shared" si="571"/>
        <v>8659.6850000000049</v>
      </c>
      <c r="U535" s="107">
        <f t="shared" si="572"/>
        <v>7216.3980555555609</v>
      </c>
      <c r="V535" s="107">
        <f t="shared" si="573"/>
        <v>5773.1111111111168</v>
      </c>
      <c r="W535" s="107">
        <f t="shared" si="574"/>
        <v>4329.8241666666727</v>
      </c>
      <c r="X535" s="107">
        <f t="shared" si="575"/>
        <v>2886.5372222222281</v>
      </c>
      <c r="Y535" s="107">
        <f t="shared" si="576"/>
        <v>1443.2502777777836</v>
      </c>
      <c r="Z535" s="107">
        <v>0</v>
      </c>
      <c r="AA535" s="107"/>
      <c r="AB535" s="107"/>
      <c r="AC535" s="107">
        <v>0</v>
      </c>
      <c r="AD535" s="107">
        <v>0</v>
      </c>
      <c r="AE535" s="107">
        <v>0</v>
      </c>
      <c r="AF535" s="107">
        <v>0</v>
      </c>
      <c r="AG535" s="107">
        <v>0</v>
      </c>
      <c r="AH535" s="107">
        <v>0</v>
      </c>
      <c r="AI535" s="107">
        <v>0</v>
      </c>
      <c r="AJ535" s="107">
        <v>0</v>
      </c>
      <c r="AK535" s="107">
        <v>0</v>
      </c>
      <c r="AL535" s="107">
        <v>0</v>
      </c>
      <c r="AM535" s="107">
        <v>0</v>
      </c>
      <c r="AN535" s="107">
        <v>0</v>
      </c>
      <c r="AO535" s="107">
        <v>0</v>
      </c>
      <c r="AP535" s="107"/>
      <c r="AQ535" s="126"/>
      <c r="AR535" s="107">
        <f t="shared" si="578"/>
        <v>0</v>
      </c>
      <c r="AS535" s="107">
        <v>0</v>
      </c>
      <c r="AT535" s="107">
        <v>0</v>
      </c>
      <c r="AU535" s="107">
        <v>0</v>
      </c>
      <c r="AV535" s="107">
        <v>0</v>
      </c>
      <c r="AW535" s="107">
        <v>0</v>
      </c>
      <c r="AX535" s="107">
        <v>0</v>
      </c>
      <c r="AY535" s="107">
        <v>0</v>
      </c>
      <c r="AZ535" s="107">
        <v>0</v>
      </c>
      <c r="BA535" s="107">
        <v>0</v>
      </c>
      <c r="BB535" s="107">
        <v>0</v>
      </c>
      <c r="BC535" s="107">
        <v>0</v>
      </c>
      <c r="BD535" s="107">
        <v>0</v>
      </c>
      <c r="BE535" s="124"/>
      <c r="BI535" s="127"/>
    </row>
    <row r="536" spans="1:75" ht="22.5" hidden="1" x14ac:dyDescent="0.2">
      <c r="A536" s="123" t="str">
        <f>'[2]2021 УГРЦТ'!A538</f>
        <v>Персональный компьютер (ExeGate special)</v>
      </c>
      <c r="B536" s="124" t="str">
        <f>'[2]2021 УГРЦТ'!B538</f>
        <v>000001797</v>
      </c>
      <c r="C536" s="124" t="str">
        <f>VLOOKUP(A:A,'2023-2027'!A:L,1,+FALSE)</f>
        <v>Персональный компьютер (ExeGate special)</v>
      </c>
      <c r="D536" s="124" t="str">
        <f>'[2]2021 УГРЦТ'!C538</f>
        <v>ОБЩЕПРОИЗВОДСТВЕННЫЕ РАСХОДЫ</v>
      </c>
      <c r="E536" s="124" t="str">
        <f>'[2]2021 УГРЦТ'!D538</f>
        <v>Машины и оборудование (кроме офисного)</v>
      </c>
      <c r="F536" s="124" t="str">
        <f>'[2]2021 УГРЦТ'!E538</f>
        <v>31.12.2019</v>
      </c>
      <c r="G536" s="124" t="str">
        <f>'[2]2021 УГРЦТ'!F538</f>
        <v>общепроизводственные расходы</v>
      </c>
      <c r="H536" s="124">
        <f>'[2]2021 УГРЦТ'!AC538</f>
        <v>36</v>
      </c>
      <c r="I536" s="107">
        <f>'[2]2021 УГРЦТ'!X538</f>
        <v>51958.34</v>
      </c>
      <c r="J536" s="107">
        <f>'[2]2021 УГРЦТ'!Y538</f>
        <v>34638.926666666666</v>
      </c>
      <c r="K536" s="107">
        <f>'[2]2021 УГРЦТ'!Z538</f>
        <v>17319.41333333333</v>
      </c>
      <c r="L536" s="125" t="e">
        <f>SUMIF([2]облаг!$B$2:$B$259,B536,[2]облаг!$D$2:$D$259)</f>
        <v>#VALUE!</v>
      </c>
      <c r="M536" s="148">
        <f t="shared" si="564"/>
        <v>1443.2872222222222</v>
      </c>
      <c r="N536" s="107">
        <f t="shared" si="579"/>
        <v>15876.126111111109</v>
      </c>
      <c r="O536" s="107">
        <f t="shared" si="566"/>
        <v>15876.126111111109</v>
      </c>
      <c r="P536" s="107">
        <f t="shared" si="567"/>
        <v>14432.838888888888</v>
      </c>
      <c r="Q536" s="107">
        <f t="shared" si="568"/>
        <v>12989.551666666666</v>
      </c>
      <c r="R536" s="107">
        <f t="shared" si="569"/>
        <v>11546.264444444445</v>
      </c>
      <c r="S536" s="107">
        <f t="shared" si="570"/>
        <v>10102.977222222224</v>
      </c>
      <c r="T536" s="107">
        <f t="shared" si="571"/>
        <v>8659.6900000000023</v>
      </c>
      <c r="U536" s="107">
        <f t="shared" si="572"/>
        <v>7216.4027777777801</v>
      </c>
      <c r="V536" s="107">
        <f t="shared" si="573"/>
        <v>5773.1155555555579</v>
      </c>
      <c r="W536" s="107">
        <f t="shared" si="574"/>
        <v>4329.8283333333356</v>
      </c>
      <c r="X536" s="107">
        <f t="shared" si="575"/>
        <v>2886.5411111111134</v>
      </c>
      <c r="Y536" s="107">
        <f t="shared" si="576"/>
        <v>1443.2538888888912</v>
      </c>
      <c r="Z536" s="107">
        <v>0</v>
      </c>
      <c r="AA536" s="107"/>
      <c r="AB536" s="107"/>
      <c r="AC536" s="107">
        <v>0</v>
      </c>
      <c r="AD536" s="107">
        <v>0</v>
      </c>
      <c r="AE536" s="107">
        <v>0</v>
      </c>
      <c r="AF536" s="107">
        <v>0</v>
      </c>
      <c r="AG536" s="107">
        <v>0</v>
      </c>
      <c r="AH536" s="107">
        <v>0</v>
      </c>
      <c r="AI536" s="107">
        <v>0</v>
      </c>
      <c r="AJ536" s="107">
        <v>0</v>
      </c>
      <c r="AK536" s="107">
        <v>0</v>
      </c>
      <c r="AL536" s="107">
        <v>0</v>
      </c>
      <c r="AM536" s="107">
        <v>0</v>
      </c>
      <c r="AN536" s="107">
        <v>0</v>
      </c>
      <c r="AO536" s="107">
        <v>0</v>
      </c>
      <c r="AP536" s="107"/>
      <c r="AQ536" s="126"/>
      <c r="AR536" s="107">
        <v>0</v>
      </c>
      <c r="AS536" s="107">
        <v>0</v>
      </c>
      <c r="AT536" s="107">
        <v>0</v>
      </c>
      <c r="AU536" s="107">
        <v>0</v>
      </c>
      <c r="AV536" s="107">
        <v>0</v>
      </c>
      <c r="AW536" s="107">
        <v>0</v>
      </c>
      <c r="AX536" s="107">
        <v>0</v>
      </c>
      <c r="AY536" s="107">
        <v>0</v>
      </c>
      <c r="AZ536" s="107">
        <v>0</v>
      </c>
      <c r="BA536" s="107">
        <v>0</v>
      </c>
      <c r="BB536" s="107">
        <v>0</v>
      </c>
      <c r="BC536" s="107">
        <v>0</v>
      </c>
      <c r="BD536" s="107">
        <v>0</v>
      </c>
      <c r="BE536" s="124"/>
      <c r="BI536" s="127"/>
    </row>
    <row r="537" spans="1:75" ht="22.5" hidden="1" x14ac:dyDescent="0.2">
      <c r="A537" s="123" t="str">
        <f>'[2]2021 УГРЦТ'!A539</f>
        <v>Персональный компьютер (ExeGate special)</v>
      </c>
      <c r="B537" s="124" t="str">
        <f>'[2]2021 УГРЦТ'!B539</f>
        <v>000001798</v>
      </c>
      <c r="C537" s="124" t="str">
        <f>VLOOKUP(A:A,'2023-2027'!A:L,1,+FALSE)</f>
        <v>Персональный компьютер (ExeGate special)</v>
      </c>
      <c r="D537" s="124" t="str">
        <f>'[2]2021 УГРЦТ'!C539</f>
        <v>ОБЩЕПРОИЗВОДСТВЕННЫЕ РАСХОДЫ</v>
      </c>
      <c r="E537" s="124" t="str">
        <f>'[2]2021 УГРЦТ'!D539</f>
        <v>Машины и оборудование (кроме офисного)</v>
      </c>
      <c r="F537" s="124" t="str">
        <f>'[2]2021 УГРЦТ'!E539</f>
        <v>31.12.2019</v>
      </c>
      <c r="G537" s="124" t="str">
        <f>'[2]2021 УГРЦТ'!F539</f>
        <v>общепроизводственные расходы</v>
      </c>
      <c r="H537" s="124">
        <f>'[2]2021 УГРЦТ'!AC539</f>
        <v>36</v>
      </c>
      <c r="I537" s="107">
        <f>'[2]2021 УГРЦТ'!X539</f>
        <v>51958.34</v>
      </c>
      <c r="J537" s="107">
        <f>'[2]2021 УГРЦТ'!Y539</f>
        <v>34638.926666666666</v>
      </c>
      <c r="K537" s="107">
        <f>'[2]2021 УГРЦТ'!Z539</f>
        <v>17319.41333333333</v>
      </c>
      <c r="L537" s="125" t="e">
        <f>SUMIF([2]облаг!$B$2:$B$259,B537,[2]облаг!$D$2:$D$259)</f>
        <v>#VALUE!</v>
      </c>
      <c r="M537" s="148">
        <f t="shared" si="564"/>
        <v>1443.2872222222222</v>
      </c>
      <c r="N537" s="107">
        <f t="shared" si="579"/>
        <v>15876.126111111109</v>
      </c>
      <c r="O537" s="107">
        <f t="shared" si="566"/>
        <v>15876.126111111109</v>
      </c>
      <c r="P537" s="107">
        <f t="shared" si="567"/>
        <v>14432.838888888888</v>
      </c>
      <c r="Q537" s="107">
        <f t="shared" si="568"/>
        <v>12989.551666666666</v>
      </c>
      <c r="R537" s="107">
        <f t="shared" si="569"/>
        <v>11546.264444444445</v>
      </c>
      <c r="S537" s="107">
        <f t="shared" si="570"/>
        <v>10102.977222222224</v>
      </c>
      <c r="T537" s="107">
        <f t="shared" si="571"/>
        <v>8659.6900000000023</v>
      </c>
      <c r="U537" s="107">
        <f t="shared" si="572"/>
        <v>7216.4027777777801</v>
      </c>
      <c r="V537" s="107">
        <f t="shared" si="573"/>
        <v>5773.1155555555579</v>
      </c>
      <c r="W537" s="107">
        <f t="shared" si="574"/>
        <v>4329.8283333333356</v>
      </c>
      <c r="X537" s="107">
        <f t="shared" si="575"/>
        <v>2886.5411111111134</v>
      </c>
      <c r="Y537" s="107">
        <f t="shared" si="576"/>
        <v>1443.2538888888912</v>
      </c>
      <c r="Z537" s="107">
        <v>0</v>
      </c>
      <c r="AA537" s="107"/>
      <c r="AB537" s="107"/>
      <c r="AC537" s="107">
        <v>0</v>
      </c>
      <c r="AD537" s="107">
        <v>0</v>
      </c>
      <c r="AE537" s="107">
        <v>0</v>
      </c>
      <c r="AF537" s="107">
        <v>0</v>
      </c>
      <c r="AG537" s="107">
        <v>0</v>
      </c>
      <c r="AH537" s="107">
        <v>0</v>
      </c>
      <c r="AI537" s="107">
        <v>0</v>
      </c>
      <c r="AJ537" s="107">
        <v>0</v>
      </c>
      <c r="AK537" s="107">
        <v>0</v>
      </c>
      <c r="AL537" s="107">
        <v>0</v>
      </c>
      <c r="AM537" s="107">
        <v>0</v>
      </c>
      <c r="AN537" s="107">
        <v>0</v>
      </c>
      <c r="AO537" s="107">
        <v>0</v>
      </c>
      <c r="AP537" s="107"/>
      <c r="AQ537" s="126"/>
      <c r="AR537" s="107">
        <f t="shared" si="578"/>
        <v>0</v>
      </c>
      <c r="AS537" s="107">
        <v>0</v>
      </c>
      <c r="AT537" s="107">
        <v>0</v>
      </c>
      <c r="AU537" s="107">
        <v>0</v>
      </c>
      <c r="AV537" s="107">
        <v>0</v>
      </c>
      <c r="AW537" s="107">
        <v>0</v>
      </c>
      <c r="AX537" s="107">
        <v>0</v>
      </c>
      <c r="AY537" s="107">
        <v>0</v>
      </c>
      <c r="AZ537" s="107">
        <v>0</v>
      </c>
      <c r="BA537" s="107">
        <v>0</v>
      </c>
      <c r="BB537" s="107">
        <v>0</v>
      </c>
      <c r="BC537" s="107">
        <v>0</v>
      </c>
      <c r="BD537" s="107">
        <v>0</v>
      </c>
      <c r="BE537" s="124"/>
      <c r="BI537" s="127"/>
    </row>
    <row r="538" spans="1:75" ht="22.5" hidden="1" x14ac:dyDescent="0.2">
      <c r="A538" s="123" t="str">
        <f>'[2]2021 УГРЦТ'!A540</f>
        <v>Персональный компьютер (ExeGate special)</v>
      </c>
      <c r="B538" s="124" t="str">
        <f>'[2]2021 УГРЦТ'!B540</f>
        <v>000001799</v>
      </c>
      <c r="C538" s="124" t="str">
        <f>VLOOKUP(A:A,'2023-2027'!A:L,1,+FALSE)</f>
        <v>Персональный компьютер (ExeGate special)</v>
      </c>
      <c r="D538" s="124" t="str">
        <f>'[2]2021 УГРЦТ'!C540</f>
        <v>ОБЩЕПРОИЗВОДСТВЕННЫЕ РАСХОДЫ</v>
      </c>
      <c r="E538" s="124" t="str">
        <f>'[2]2021 УГРЦТ'!D540</f>
        <v>Машины и оборудование (кроме офисного)</v>
      </c>
      <c r="F538" s="124" t="str">
        <f>'[2]2021 УГРЦТ'!E540</f>
        <v>31.12.2019</v>
      </c>
      <c r="G538" s="124" t="str">
        <f>'[2]2021 УГРЦТ'!F540</f>
        <v>общепроизводственные расходы</v>
      </c>
      <c r="H538" s="124">
        <f>'[2]2021 УГРЦТ'!AC540</f>
        <v>36</v>
      </c>
      <c r="I538" s="107">
        <f>'[2]2021 УГРЦТ'!X540</f>
        <v>51958.34</v>
      </c>
      <c r="J538" s="107">
        <f>'[2]2021 УГРЦТ'!Y540</f>
        <v>34638.926666666666</v>
      </c>
      <c r="K538" s="107">
        <f>'[2]2021 УГРЦТ'!Z540</f>
        <v>17319.41333333333</v>
      </c>
      <c r="L538" s="125" t="e">
        <f>SUMIF([2]облаг!$B$2:$B$259,B538,[2]облаг!$D$2:$D$259)</f>
        <v>#VALUE!</v>
      </c>
      <c r="M538" s="148">
        <f t="shared" si="564"/>
        <v>1443.2872222222222</v>
      </c>
      <c r="N538" s="107">
        <f t="shared" si="579"/>
        <v>15876.126111111109</v>
      </c>
      <c r="O538" s="107">
        <f t="shared" si="566"/>
        <v>15876.126111111109</v>
      </c>
      <c r="P538" s="107">
        <f t="shared" si="567"/>
        <v>14432.838888888888</v>
      </c>
      <c r="Q538" s="107">
        <f t="shared" si="568"/>
        <v>12989.551666666666</v>
      </c>
      <c r="R538" s="107">
        <f t="shared" si="569"/>
        <v>11546.264444444445</v>
      </c>
      <c r="S538" s="107">
        <f t="shared" si="570"/>
        <v>10102.977222222224</v>
      </c>
      <c r="T538" s="107">
        <f t="shared" si="571"/>
        <v>8659.6900000000023</v>
      </c>
      <c r="U538" s="107">
        <f t="shared" si="572"/>
        <v>7216.4027777777801</v>
      </c>
      <c r="V538" s="107">
        <f t="shared" si="573"/>
        <v>5773.1155555555579</v>
      </c>
      <c r="W538" s="107">
        <f t="shared" si="574"/>
        <v>4329.8283333333356</v>
      </c>
      <c r="X538" s="107">
        <f t="shared" si="575"/>
        <v>2886.5411111111134</v>
      </c>
      <c r="Y538" s="107">
        <f t="shared" si="576"/>
        <v>1443.2538888888912</v>
      </c>
      <c r="Z538" s="107">
        <v>0</v>
      </c>
      <c r="AA538" s="107"/>
      <c r="AB538" s="107"/>
      <c r="AC538" s="107">
        <v>0</v>
      </c>
      <c r="AD538" s="107">
        <v>0</v>
      </c>
      <c r="AE538" s="107">
        <v>0</v>
      </c>
      <c r="AF538" s="107">
        <v>0</v>
      </c>
      <c r="AG538" s="107">
        <v>0</v>
      </c>
      <c r="AH538" s="107">
        <v>0</v>
      </c>
      <c r="AI538" s="107">
        <v>0</v>
      </c>
      <c r="AJ538" s="107">
        <v>0</v>
      </c>
      <c r="AK538" s="107">
        <v>0</v>
      </c>
      <c r="AL538" s="107">
        <v>0</v>
      </c>
      <c r="AM538" s="107">
        <v>0</v>
      </c>
      <c r="AN538" s="107">
        <v>0</v>
      </c>
      <c r="AO538" s="107">
        <v>0</v>
      </c>
      <c r="AP538" s="107"/>
      <c r="AQ538" s="126"/>
      <c r="AR538" s="107">
        <f t="shared" si="578"/>
        <v>0</v>
      </c>
      <c r="AS538" s="107">
        <v>0</v>
      </c>
      <c r="AT538" s="107">
        <v>0</v>
      </c>
      <c r="AU538" s="107">
        <v>0</v>
      </c>
      <c r="AV538" s="107">
        <v>0</v>
      </c>
      <c r="AW538" s="107">
        <v>0</v>
      </c>
      <c r="AX538" s="107">
        <v>0</v>
      </c>
      <c r="AY538" s="107">
        <v>0</v>
      </c>
      <c r="AZ538" s="107">
        <v>0</v>
      </c>
      <c r="BA538" s="107">
        <v>0</v>
      </c>
      <c r="BB538" s="107">
        <v>0</v>
      </c>
      <c r="BC538" s="107">
        <v>0</v>
      </c>
      <c r="BD538" s="107">
        <v>0</v>
      </c>
      <c r="BE538" s="124"/>
      <c r="BI538" s="127"/>
    </row>
    <row r="539" spans="1:75" ht="22.5" hidden="1" x14ac:dyDescent="0.2">
      <c r="A539" s="123" t="str">
        <f>'[2]2021 УГРЦТ'!A541</f>
        <v>Персональный компьютер (ExeGate special)</v>
      </c>
      <c r="B539" s="124" t="str">
        <f>'[2]2021 УГРЦТ'!B541</f>
        <v>000001800</v>
      </c>
      <c r="C539" s="124" t="str">
        <f>VLOOKUP(A:A,'2023-2027'!A:L,1,+FALSE)</f>
        <v>Персональный компьютер (ExeGate special)</v>
      </c>
      <c r="D539" s="124" t="str">
        <f>'[2]2021 УГРЦТ'!C541</f>
        <v>ОБЩЕПРОИЗВОДСТВЕННЫЕ РАСХОДЫ</v>
      </c>
      <c r="E539" s="124" t="str">
        <f>'[2]2021 УГРЦТ'!D541</f>
        <v>Машины и оборудование (кроме офисного)</v>
      </c>
      <c r="F539" s="124" t="str">
        <f>'[2]2021 УГРЦТ'!E541</f>
        <v>31.12.2019</v>
      </c>
      <c r="G539" s="124" t="str">
        <f>'[2]2021 УГРЦТ'!F541</f>
        <v>общепроизводственные расходы</v>
      </c>
      <c r="H539" s="124">
        <f>'[2]2021 УГРЦТ'!AC541</f>
        <v>36</v>
      </c>
      <c r="I539" s="107">
        <f>'[2]2021 УГРЦТ'!X541</f>
        <v>51958.34</v>
      </c>
      <c r="J539" s="107">
        <f>'[2]2021 УГРЦТ'!Y541</f>
        <v>34638.926666666666</v>
      </c>
      <c r="K539" s="107">
        <f>'[2]2021 УГРЦТ'!Z541</f>
        <v>17319.41333333333</v>
      </c>
      <c r="L539" s="125" t="e">
        <f>SUMIF([2]облаг!$B$2:$B$259,B539,[2]облаг!$D$2:$D$259)</f>
        <v>#VALUE!</v>
      </c>
      <c r="M539" s="148">
        <f t="shared" si="564"/>
        <v>1443.2872222222222</v>
      </c>
      <c r="N539" s="107">
        <f t="shared" si="579"/>
        <v>15876.126111111109</v>
      </c>
      <c r="O539" s="107">
        <f t="shared" si="566"/>
        <v>15876.126111111109</v>
      </c>
      <c r="P539" s="107">
        <f t="shared" si="567"/>
        <v>14432.838888888888</v>
      </c>
      <c r="Q539" s="107">
        <f t="shared" si="568"/>
        <v>12989.551666666666</v>
      </c>
      <c r="R539" s="107">
        <f t="shared" si="569"/>
        <v>11546.264444444445</v>
      </c>
      <c r="S539" s="107">
        <f t="shared" si="570"/>
        <v>10102.977222222224</v>
      </c>
      <c r="T539" s="107">
        <f t="shared" si="571"/>
        <v>8659.6900000000023</v>
      </c>
      <c r="U539" s="107">
        <f t="shared" si="572"/>
        <v>7216.4027777777801</v>
      </c>
      <c r="V539" s="107">
        <f t="shared" si="573"/>
        <v>5773.1155555555579</v>
      </c>
      <c r="W539" s="107">
        <f t="shared" si="574"/>
        <v>4329.8283333333356</v>
      </c>
      <c r="X539" s="107">
        <f t="shared" si="575"/>
        <v>2886.5411111111134</v>
      </c>
      <c r="Y539" s="107">
        <f t="shared" si="576"/>
        <v>1443.2538888888912</v>
      </c>
      <c r="Z539" s="107">
        <v>0</v>
      </c>
      <c r="AA539" s="107"/>
      <c r="AB539" s="107"/>
      <c r="AC539" s="107">
        <v>0</v>
      </c>
      <c r="AD539" s="107">
        <v>0</v>
      </c>
      <c r="AE539" s="107">
        <v>0</v>
      </c>
      <c r="AF539" s="107">
        <v>0</v>
      </c>
      <c r="AG539" s="107">
        <v>0</v>
      </c>
      <c r="AH539" s="107">
        <v>0</v>
      </c>
      <c r="AI539" s="107">
        <v>0</v>
      </c>
      <c r="AJ539" s="107">
        <v>0</v>
      </c>
      <c r="AK539" s="107">
        <v>0</v>
      </c>
      <c r="AL539" s="107">
        <v>0</v>
      </c>
      <c r="AM539" s="107">
        <v>0</v>
      </c>
      <c r="AN539" s="107">
        <v>0</v>
      </c>
      <c r="AO539" s="107">
        <v>0</v>
      </c>
      <c r="AP539" s="107"/>
      <c r="AQ539" s="126"/>
      <c r="AR539" s="107">
        <f t="shared" si="578"/>
        <v>0</v>
      </c>
      <c r="AS539" s="107">
        <v>0</v>
      </c>
      <c r="AT539" s="107">
        <v>0</v>
      </c>
      <c r="AU539" s="107">
        <v>0</v>
      </c>
      <c r="AV539" s="107">
        <v>0</v>
      </c>
      <c r="AW539" s="107">
        <v>0</v>
      </c>
      <c r="AX539" s="107">
        <v>0</v>
      </c>
      <c r="AY539" s="107">
        <v>0</v>
      </c>
      <c r="AZ539" s="107">
        <v>0</v>
      </c>
      <c r="BA539" s="107">
        <v>0</v>
      </c>
      <c r="BB539" s="107">
        <v>0</v>
      </c>
      <c r="BC539" s="107">
        <v>0</v>
      </c>
      <c r="BD539" s="107">
        <v>0</v>
      </c>
      <c r="BE539" s="124"/>
      <c r="BI539" s="127"/>
    </row>
    <row r="540" spans="1:75" ht="22.5" hidden="1" x14ac:dyDescent="0.2">
      <c r="A540" s="123" t="str">
        <f>'[2]2021 УГРЦТ'!A542</f>
        <v>Персональный компьютер (ExeGate special)</v>
      </c>
      <c r="B540" s="124" t="str">
        <f>'[2]2021 УГРЦТ'!B542</f>
        <v>000001801</v>
      </c>
      <c r="C540" s="124" t="str">
        <f>VLOOKUP(A:A,'2023-2027'!A:L,1,+FALSE)</f>
        <v>Персональный компьютер (ExeGate special)</v>
      </c>
      <c r="D540" s="124" t="str">
        <f>'[2]2021 УГРЦТ'!C542</f>
        <v>ОБЩЕПРОИЗВОДСТВЕННЫЕ РАСХОДЫ</v>
      </c>
      <c r="E540" s="124" t="str">
        <f>'[2]2021 УГРЦТ'!D542</f>
        <v>Машины и оборудование (кроме офисного)</v>
      </c>
      <c r="F540" s="124" t="str">
        <f>'[2]2021 УГРЦТ'!E542</f>
        <v>31.12.2019</v>
      </c>
      <c r="G540" s="124" t="str">
        <f>'[2]2021 УГРЦТ'!F542</f>
        <v>общепроизводственные расходы</v>
      </c>
      <c r="H540" s="124">
        <f>'[2]2021 УГРЦТ'!AC542</f>
        <v>36</v>
      </c>
      <c r="I540" s="107">
        <f>'[2]2021 УГРЦТ'!X542</f>
        <v>51958.34</v>
      </c>
      <c r="J540" s="107">
        <f>'[2]2021 УГРЦТ'!Y542</f>
        <v>34638.926666666666</v>
      </c>
      <c r="K540" s="107">
        <f>'[2]2021 УГРЦТ'!Z542</f>
        <v>17319.41333333333</v>
      </c>
      <c r="L540" s="125" t="e">
        <f>SUMIF([2]облаг!$B$2:$B$259,B540,[2]облаг!$D$2:$D$259)</f>
        <v>#VALUE!</v>
      </c>
      <c r="M540" s="148">
        <f t="shared" si="564"/>
        <v>1443.2872222222222</v>
      </c>
      <c r="N540" s="107">
        <f t="shared" si="579"/>
        <v>15876.126111111109</v>
      </c>
      <c r="O540" s="107">
        <f t="shared" si="566"/>
        <v>15876.126111111109</v>
      </c>
      <c r="P540" s="107">
        <f t="shared" si="567"/>
        <v>14432.838888888888</v>
      </c>
      <c r="Q540" s="107">
        <f t="shared" si="568"/>
        <v>12989.551666666666</v>
      </c>
      <c r="R540" s="107">
        <f t="shared" si="569"/>
        <v>11546.264444444445</v>
      </c>
      <c r="S540" s="107">
        <f t="shared" si="570"/>
        <v>10102.977222222224</v>
      </c>
      <c r="T540" s="107">
        <f t="shared" si="571"/>
        <v>8659.6900000000023</v>
      </c>
      <c r="U540" s="107">
        <f t="shared" si="572"/>
        <v>7216.4027777777801</v>
      </c>
      <c r="V540" s="107">
        <f t="shared" si="573"/>
        <v>5773.1155555555579</v>
      </c>
      <c r="W540" s="107">
        <f t="shared" si="574"/>
        <v>4329.8283333333356</v>
      </c>
      <c r="X540" s="107">
        <f t="shared" si="575"/>
        <v>2886.5411111111134</v>
      </c>
      <c r="Y540" s="107">
        <f t="shared" si="576"/>
        <v>1443.2538888888912</v>
      </c>
      <c r="Z540" s="107">
        <v>0</v>
      </c>
      <c r="AA540" s="107"/>
      <c r="AB540" s="107"/>
      <c r="AC540" s="107">
        <v>0</v>
      </c>
      <c r="AD540" s="107">
        <v>0</v>
      </c>
      <c r="AE540" s="107">
        <v>0</v>
      </c>
      <c r="AF540" s="107">
        <v>0</v>
      </c>
      <c r="AG540" s="107">
        <v>0</v>
      </c>
      <c r="AH540" s="107">
        <v>0</v>
      </c>
      <c r="AI540" s="107">
        <v>0</v>
      </c>
      <c r="AJ540" s="107">
        <v>0</v>
      </c>
      <c r="AK540" s="107">
        <v>0</v>
      </c>
      <c r="AL540" s="107">
        <v>0</v>
      </c>
      <c r="AM540" s="107">
        <v>0</v>
      </c>
      <c r="AN540" s="107">
        <v>0</v>
      </c>
      <c r="AO540" s="107">
        <v>0</v>
      </c>
      <c r="AP540" s="107"/>
      <c r="AQ540" s="126"/>
      <c r="AR540" s="107">
        <v>0</v>
      </c>
      <c r="AS540" s="107">
        <v>0</v>
      </c>
      <c r="AT540" s="107">
        <v>0</v>
      </c>
      <c r="AU540" s="107">
        <v>0</v>
      </c>
      <c r="AV540" s="107">
        <v>0</v>
      </c>
      <c r="AW540" s="107">
        <v>0</v>
      </c>
      <c r="AX540" s="107">
        <v>0</v>
      </c>
      <c r="AY540" s="107">
        <v>0</v>
      </c>
      <c r="AZ540" s="107">
        <v>0</v>
      </c>
      <c r="BA540" s="107">
        <v>0</v>
      </c>
      <c r="BB540" s="107">
        <v>0</v>
      </c>
      <c r="BC540" s="107">
        <v>0</v>
      </c>
      <c r="BD540" s="107">
        <v>0</v>
      </c>
      <c r="BE540" s="124"/>
      <c r="BI540" s="127"/>
    </row>
    <row r="541" spans="1:75" ht="22.5" hidden="1" x14ac:dyDescent="0.2">
      <c r="A541" s="123" t="str">
        <f>'[2]2021 УГРЦТ'!A543</f>
        <v>Персональный компьютер (ExeGate special, AOS 27")</v>
      </c>
      <c r="B541" s="124" t="str">
        <f>'[2]2021 УГРЦТ'!B543</f>
        <v>000001786</v>
      </c>
      <c r="C541" s="124" t="str">
        <f>VLOOKUP(A:A,'2023-2027'!A:L,1,+FALSE)</f>
        <v>Персональный компьютер (ExeGate special, AOS 27")</v>
      </c>
      <c r="D541" s="124" t="str">
        <f>'[2]2021 УГРЦТ'!C543</f>
        <v>ОБЩЕПРОИЗВОДСТВЕННЫЕ РАСХОДЫ</v>
      </c>
      <c r="E541" s="124" t="str">
        <f>'[2]2021 УГРЦТ'!D543</f>
        <v>Машины и оборудование (кроме офисного)</v>
      </c>
      <c r="F541" s="124" t="str">
        <f>'[2]2021 УГРЦТ'!E543</f>
        <v>31.12.2019</v>
      </c>
      <c r="G541" s="124" t="str">
        <f>'[2]2021 УГРЦТ'!F543</f>
        <v>общепроизводственные расходы</v>
      </c>
      <c r="H541" s="124">
        <f>'[2]2021 УГРЦТ'!AC543</f>
        <v>36</v>
      </c>
      <c r="I541" s="107">
        <f>'[2]2021 УГРЦТ'!X543</f>
        <v>63791.67</v>
      </c>
      <c r="J541" s="107">
        <f>'[2]2021 УГРЦТ'!Y543</f>
        <v>42527.770000000004</v>
      </c>
      <c r="K541" s="107">
        <f>'[2]2021 УГРЦТ'!Z543</f>
        <v>21263.899999999994</v>
      </c>
      <c r="L541" s="125" t="e">
        <f>SUMIF([2]облаг!$B$2:$B$259,B541,[2]облаг!$D$2:$D$259)</f>
        <v>#VALUE!</v>
      </c>
      <c r="M541" s="148">
        <f t="shared" si="564"/>
        <v>1771.9908333333333</v>
      </c>
      <c r="N541" s="107">
        <f t="shared" si="579"/>
        <v>19491.909166666661</v>
      </c>
      <c r="O541" s="107">
        <f t="shared" si="566"/>
        <v>19491.909166666661</v>
      </c>
      <c r="P541" s="107">
        <f t="shared" si="567"/>
        <v>17719.918333333328</v>
      </c>
      <c r="Q541" s="107">
        <f t="shared" si="568"/>
        <v>15947.927499999994</v>
      </c>
      <c r="R541" s="107">
        <f t="shared" si="569"/>
        <v>14175.936666666661</v>
      </c>
      <c r="S541" s="107">
        <f t="shared" si="570"/>
        <v>12403.945833333328</v>
      </c>
      <c r="T541" s="107">
        <f t="shared" si="571"/>
        <v>10631.954999999994</v>
      </c>
      <c r="U541" s="107">
        <f t="shared" si="572"/>
        <v>8859.9641666666612</v>
      </c>
      <c r="V541" s="107">
        <f t="shared" si="573"/>
        <v>7087.9733333333279</v>
      </c>
      <c r="W541" s="107">
        <f t="shared" si="574"/>
        <v>5315.9824999999946</v>
      </c>
      <c r="X541" s="107">
        <f t="shared" si="575"/>
        <v>3543.9916666666613</v>
      </c>
      <c r="Y541" s="107">
        <f t="shared" si="576"/>
        <v>1772.000833333328</v>
      </c>
      <c r="Z541" s="107">
        <f t="shared" si="577"/>
        <v>9.9999999947613105E-3</v>
      </c>
      <c r="AA541" s="107"/>
      <c r="AB541" s="107"/>
      <c r="AC541" s="107">
        <v>0</v>
      </c>
      <c r="AD541" s="107">
        <v>0</v>
      </c>
      <c r="AE541" s="107">
        <v>0</v>
      </c>
      <c r="AF541" s="107">
        <v>0</v>
      </c>
      <c r="AG541" s="107">
        <v>0</v>
      </c>
      <c r="AH541" s="107">
        <v>0</v>
      </c>
      <c r="AI541" s="107">
        <v>0</v>
      </c>
      <c r="AJ541" s="107">
        <v>0</v>
      </c>
      <c r="AK541" s="107">
        <v>0</v>
      </c>
      <c r="AL541" s="107">
        <v>0</v>
      </c>
      <c r="AM541" s="107">
        <v>0</v>
      </c>
      <c r="AN541" s="107">
        <v>0</v>
      </c>
      <c r="AO541" s="107">
        <v>0</v>
      </c>
      <c r="AP541" s="107"/>
      <c r="AQ541" s="126"/>
      <c r="AR541" s="107">
        <f t="shared" si="578"/>
        <v>0</v>
      </c>
      <c r="AS541" s="107">
        <v>0</v>
      </c>
      <c r="AT541" s="107">
        <v>0</v>
      </c>
      <c r="AU541" s="107">
        <v>0</v>
      </c>
      <c r="AV541" s="107">
        <v>0</v>
      </c>
      <c r="AW541" s="107">
        <v>0</v>
      </c>
      <c r="AX541" s="107">
        <v>0</v>
      </c>
      <c r="AY541" s="107">
        <v>0</v>
      </c>
      <c r="AZ541" s="107">
        <v>0</v>
      </c>
      <c r="BA541" s="107">
        <v>0</v>
      </c>
      <c r="BB541" s="107">
        <v>0</v>
      </c>
      <c r="BC541" s="107">
        <v>0</v>
      </c>
      <c r="BD541" s="107">
        <v>0</v>
      </c>
      <c r="BE541" s="124"/>
      <c r="BI541" s="127"/>
    </row>
    <row r="542" spans="1:75" ht="22.5" hidden="1" x14ac:dyDescent="0.2">
      <c r="A542" s="123" t="str">
        <f>'[2]2021 УГРЦТ'!A544</f>
        <v>Персональный компьютер (ExeGate special, AOS 27")</v>
      </c>
      <c r="B542" s="124" t="str">
        <f>'[2]2021 УГРЦТ'!B544</f>
        <v>000001787</v>
      </c>
      <c r="C542" s="124" t="str">
        <f>VLOOKUP(A:A,'2023-2027'!A:L,1,+FALSE)</f>
        <v>Персональный компьютер (ExeGate special, AOS 27")</v>
      </c>
      <c r="D542" s="124" t="str">
        <f>'[2]2021 УГРЦТ'!C544</f>
        <v>ОБЩЕПРОИЗВОДСТВЕННЫЕ РАСХОДЫ</v>
      </c>
      <c r="E542" s="124" t="str">
        <f>'[2]2021 УГРЦТ'!D544</f>
        <v>Машины и оборудование (кроме офисного)</v>
      </c>
      <c r="F542" s="124" t="str">
        <f>'[2]2021 УГРЦТ'!E544</f>
        <v>31.12.2019</v>
      </c>
      <c r="G542" s="124" t="str">
        <f>'[2]2021 УГРЦТ'!F544</f>
        <v>общепроизводственные расходы</v>
      </c>
      <c r="H542" s="124">
        <f>'[2]2021 УГРЦТ'!AC544</f>
        <v>36</v>
      </c>
      <c r="I542" s="107">
        <f>'[2]2021 УГРЦТ'!X544</f>
        <v>63791.67</v>
      </c>
      <c r="J542" s="107">
        <f>'[2]2021 УГРЦТ'!Y544</f>
        <v>42527.770000000004</v>
      </c>
      <c r="K542" s="107">
        <f>'[2]2021 УГРЦТ'!Z544</f>
        <v>21263.899999999994</v>
      </c>
      <c r="L542" s="125" t="e">
        <f>SUMIF([2]облаг!$B$2:$B$259,B542,[2]облаг!$D$2:$D$259)</f>
        <v>#VALUE!</v>
      </c>
      <c r="M542" s="148">
        <f t="shared" si="564"/>
        <v>1771.9908333333333</v>
      </c>
      <c r="N542" s="107">
        <f t="shared" si="579"/>
        <v>19491.909166666661</v>
      </c>
      <c r="O542" s="107">
        <f t="shared" si="566"/>
        <v>19491.909166666661</v>
      </c>
      <c r="P542" s="107">
        <f t="shared" si="567"/>
        <v>17719.918333333328</v>
      </c>
      <c r="Q542" s="107">
        <f t="shared" si="568"/>
        <v>15947.927499999994</v>
      </c>
      <c r="R542" s="107">
        <f t="shared" si="569"/>
        <v>14175.936666666661</v>
      </c>
      <c r="S542" s="107">
        <f t="shared" si="570"/>
        <v>12403.945833333328</v>
      </c>
      <c r="T542" s="107">
        <f t="shared" si="571"/>
        <v>10631.954999999994</v>
      </c>
      <c r="U542" s="107">
        <f t="shared" si="572"/>
        <v>8859.9641666666612</v>
      </c>
      <c r="V542" s="107">
        <f t="shared" si="573"/>
        <v>7087.9733333333279</v>
      </c>
      <c r="W542" s="107">
        <f t="shared" si="574"/>
        <v>5315.9824999999946</v>
      </c>
      <c r="X542" s="107">
        <f t="shared" si="575"/>
        <v>3543.9916666666613</v>
      </c>
      <c r="Y542" s="107">
        <f t="shared" si="576"/>
        <v>1772.000833333328</v>
      </c>
      <c r="Z542" s="107">
        <f t="shared" si="577"/>
        <v>9.9999999947613105E-3</v>
      </c>
      <c r="AA542" s="107"/>
      <c r="AB542" s="107"/>
      <c r="AC542" s="107">
        <v>0</v>
      </c>
      <c r="AD542" s="107">
        <v>0</v>
      </c>
      <c r="AE542" s="107">
        <v>0</v>
      </c>
      <c r="AF542" s="107">
        <v>0</v>
      </c>
      <c r="AG542" s="107">
        <v>0</v>
      </c>
      <c r="AH542" s="107">
        <v>0</v>
      </c>
      <c r="AI542" s="107">
        <v>0</v>
      </c>
      <c r="AJ542" s="107">
        <v>0</v>
      </c>
      <c r="AK542" s="107">
        <v>0</v>
      </c>
      <c r="AL542" s="107">
        <v>0</v>
      </c>
      <c r="AM542" s="107">
        <v>0</v>
      </c>
      <c r="AN542" s="107">
        <v>0</v>
      </c>
      <c r="AO542" s="107">
        <v>0</v>
      </c>
      <c r="AP542" s="107"/>
      <c r="AQ542" s="126"/>
      <c r="AR542" s="107">
        <v>0</v>
      </c>
      <c r="AS542" s="107">
        <v>0</v>
      </c>
      <c r="AT542" s="107">
        <v>0</v>
      </c>
      <c r="AU542" s="107">
        <v>0</v>
      </c>
      <c r="AV542" s="107">
        <v>0</v>
      </c>
      <c r="AW542" s="107">
        <v>0</v>
      </c>
      <c r="AX542" s="107">
        <v>0</v>
      </c>
      <c r="AY542" s="107">
        <v>0</v>
      </c>
      <c r="AZ542" s="107">
        <v>0</v>
      </c>
      <c r="BA542" s="107">
        <v>0</v>
      </c>
      <c r="BB542" s="107">
        <v>0</v>
      </c>
      <c r="BC542" s="107">
        <v>0</v>
      </c>
      <c r="BD542" s="107">
        <v>0</v>
      </c>
      <c r="BE542" s="124"/>
      <c r="BI542" s="127"/>
    </row>
    <row r="543" spans="1:75" ht="22.5" hidden="1" x14ac:dyDescent="0.2">
      <c r="A543" s="123" t="str">
        <f>'[2]2021 УГРЦТ'!A545</f>
        <v>Персональный компьютер (ExeGate special, AOS 27")</v>
      </c>
      <c r="B543" s="124" t="str">
        <f>'[2]2021 УГРЦТ'!B545</f>
        <v>000001788</v>
      </c>
      <c r="C543" s="124" t="str">
        <f>VLOOKUP(A:A,'2023-2027'!A:L,1,+FALSE)</f>
        <v>Персональный компьютер (ExeGate special, AOS 27")</v>
      </c>
      <c r="D543" s="124" t="str">
        <f>'[2]2021 УГРЦТ'!C545</f>
        <v>ОБЩЕПРОИЗВОДСТВЕННЫЕ РАСХОДЫ</v>
      </c>
      <c r="E543" s="124" t="str">
        <f>'[2]2021 УГРЦТ'!D545</f>
        <v>Машины и оборудование (кроме офисного)</v>
      </c>
      <c r="F543" s="124" t="str">
        <f>'[2]2021 УГРЦТ'!E545</f>
        <v>31.12.2019</v>
      </c>
      <c r="G543" s="124" t="str">
        <f>'[2]2021 УГРЦТ'!F545</f>
        <v>общепроизводственные расходы</v>
      </c>
      <c r="H543" s="124">
        <f>'[2]2021 УГРЦТ'!AC545</f>
        <v>36</v>
      </c>
      <c r="I543" s="107">
        <f>'[2]2021 УГРЦТ'!X545</f>
        <v>63791.67</v>
      </c>
      <c r="J543" s="107">
        <f>'[2]2021 УГРЦТ'!Y545</f>
        <v>42527.770000000004</v>
      </c>
      <c r="K543" s="107">
        <f>'[2]2021 УГРЦТ'!Z545</f>
        <v>21263.899999999994</v>
      </c>
      <c r="L543" s="125" t="e">
        <f>SUMIF([2]облаг!$B$2:$B$259,B543,[2]облаг!$D$2:$D$259)</f>
        <v>#VALUE!</v>
      </c>
      <c r="M543" s="148">
        <f t="shared" si="564"/>
        <v>1771.9908333333333</v>
      </c>
      <c r="N543" s="107">
        <f t="shared" si="579"/>
        <v>19491.909166666661</v>
      </c>
      <c r="O543" s="107">
        <f t="shared" si="566"/>
        <v>19491.909166666661</v>
      </c>
      <c r="P543" s="107">
        <f t="shared" si="567"/>
        <v>17719.918333333328</v>
      </c>
      <c r="Q543" s="107">
        <f t="shared" si="568"/>
        <v>15947.927499999994</v>
      </c>
      <c r="R543" s="107">
        <f t="shared" si="569"/>
        <v>14175.936666666661</v>
      </c>
      <c r="S543" s="107">
        <f t="shared" si="570"/>
        <v>12403.945833333328</v>
      </c>
      <c r="T543" s="107">
        <f t="shared" si="571"/>
        <v>10631.954999999994</v>
      </c>
      <c r="U543" s="107">
        <f t="shared" si="572"/>
        <v>8859.9641666666612</v>
      </c>
      <c r="V543" s="107">
        <f t="shared" si="573"/>
        <v>7087.9733333333279</v>
      </c>
      <c r="W543" s="107">
        <f t="shared" si="574"/>
        <v>5315.9824999999946</v>
      </c>
      <c r="X543" s="107">
        <f t="shared" si="575"/>
        <v>3543.9916666666613</v>
      </c>
      <c r="Y543" s="107">
        <f t="shared" si="576"/>
        <v>1772.000833333328</v>
      </c>
      <c r="Z543" s="107">
        <f t="shared" si="577"/>
        <v>9.9999999947613105E-3</v>
      </c>
      <c r="AA543" s="107"/>
      <c r="AB543" s="107"/>
      <c r="AC543" s="107">
        <v>0</v>
      </c>
      <c r="AD543" s="107">
        <v>0</v>
      </c>
      <c r="AE543" s="107">
        <v>0</v>
      </c>
      <c r="AF543" s="107">
        <v>0</v>
      </c>
      <c r="AG543" s="107">
        <v>0</v>
      </c>
      <c r="AH543" s="107">
        <v>0</v>
      </c>
      <c r="AI543" s="107">
        <v>0</v>
      </c>
      <c r="AJ543" s="107">
        <v>0</v>
      </c>
      <c r="AK543" s="107">
        <v>0</v>
      </c>
      <c r="AL543" s="107">
        <v>0</v>
      </c>
      <c r="AM543" s="107">
        <v>0</v>
      </c>
      <c r="AN543" s="107">
        <v>0</v>
      </c>
      <c r="AO543" s="107">
        <v>0</v>
      </c>
      <c r="AP543" s="107"/>
      <c r="AQ543" s="126"/>
      <c r="AR543" s="107">
        <f t="shared" si="578"/>
        <v>0</v>
      </c>
      <c r="AS543" s="107">
        <v>0</v>
      </c>
      <c r="AT543" s="107">
        <v>0</v>
      </c>
      <c r="AU543" s="107">
        <v>0</v>
      </c>
      <c r="AV543" s="107">
        <v>0</v>
      </c>
      <c r="AW543" s="107">
        <v>0</v>
      </c>
      <c r="AX543" s="107">
        <v>0</v>
      </c>
      <c r="AY543" s="107">
        <v>0</v>
      </c>
      <c r="AZ543" s="107">
        <v>0</v>
      </c>
      <c r="BA543" s="107">
        <v>0</v>
      </c>
      <c r="BB543" s="107">
        <v>0</v>
      </c>
      <c r="BC543" s="107">
        <v>0</v>
      </c>
      <c r="BD543" s="107">
        <v>0</v>
      </c>
      <c r="BE543" s="124"/>
      <c r="BI543" s="127"/>
    </row>
    <row r="544" spans="1:75" ht="22.5" hidden="1" x14ac:dyDescent="0.2">
      <c r="A544" s="123" t="str">
        <f>'[2]2021 УГРЦТ'!A546</f>
        <v>Персональный компьютер (ExeGate special, AOS 27")</v>
      </c>
      <c r="B544" s="124" t="str">
        <f>'[2]2021 УГРЦТ'!B546</f>
        <v>000001789</v>
      </c>
      <c r="C544" s="124" t="str">
        <f>VLOOKUP(A:A,'2023-2027'!A:L,1,+FALSE)</f>
        <v>Персональный компьютер (ExeGate special, AOS 27")</v>
      </c>
      <c r="D544" s="124" t="str">
        <f>'[2]2021 УГРЦТ'!C546</f>
        <v>ОБЩЕПРОИЗВОДСТВЕННЫЕ РАСХОДЫ</v>
      </c>
      <c r="E544" s="124" t="str">
        <f>'[2]2021 УГРЦТ'!D546</f>
        <v>Машины и оборудование (кроме офисного)</v>
      </c>
      <c r="F544" s="124" t="str">
        <f>'[2]2021 УГРЦТ'!E546</f>
        <v>31.12.2019</v>
      </c>
      <c r="G544" s="124" t="str">
        <f>'[2]2021 УГРЦТ'!F546</f>
        <v>общепроизводственные расходы</v>
      </c>
      <c r="H544" s="124">
        <f>'[2]2021 УГРЦТ'!AC546</f>
        <v>36</v>
      </c>
      <c r="I544" s="107">
        <f>'[2]2021 УГРЦТ'!X546</f>
        <v>63791.67</v>
      </c>
      <c r="J544" s="107">
        <f>'[2]2021 УГРЦТ'!Y546</f>
        <v>42527.770000000004</v>
      </c>
      <c r="K544" s="107">
        <f>'[2]2021 УГРЦТ'!Z546</f>
        <v>21263.899999999994</v>
      </c>
      <c r="L544" s="125" t="e">
        <f>SUMIF([2]облаг!$B$2:$B$259,B544,[2]облаг!$D$2:$D$259)</f>
        <v>#VALUE!</v>
      </c>
      <c r="M544" s="148">
        <f t="shared" si="564"/>
        <v>1771.9908333333333</v>
      </c>
      <c r="N544" s="107">
        <f t="shared" si="579"/>
        <v>19491.909166666661</v>
      </c>
      <c r="O544" s="107">
        <f t="shared" si="566"/>
        <v>19491.909166666661</v>
      </c>
      <c r="P544" s="107">
        <f t="shared" si="567"/>
        <v>17719.918333333328</v>
      </c>
      <c r="Q544" s="107">
        <f t="shared" si="568"/>
        <v>15947.927499999994</v>
      </c>
      <c r="R544" s="107">
        <f t="shared" si="569"/>
        <v>14175.936666666661</v>
      </c>
      <c r="S544" s="107">
        <f t="shared" si="570"/>
        <v>12403.945833333328</v>
      </c>
      <c r="T544" s="107">
        <f t="shared" si="571"/>
        <v>10631.954999999994</v>
      </c>
      <c r="U544" s="107">
        <f t="shared" si="572"/>
        <v>8859.9641666666612</v>
      </c>
      <c r="V544" s="107">
        <f t="shared" si="573"/>
        <v>7087.9733333333279</v>
      </c>
      <c r="W544" s="107">
        <f t="shared" si="574"/>
        <v>5315.9824999999946</v>
      </c>
      <c r="X544" s="107">
        <f t="shared" si="575"/>
        <v>3543.9916666666613</v>
      </c>
      <c r="Y544" s="107">
        <f t="shared" si="576"/>
        <v>1772.000833333328</v>
      </c>
      <c r="Z544" s="107">
        <f t="shared" si="577"/>
        <v>9.9999999947613105E-3</v>
      </c>
      <c r="AA544" s="107"/>
      <c r="AB544" s="107"/>
      <c r="AC544" s="107">
        <v>0</v>
      </c>
      <c r="AD544" s="107">
        <v>0</v>
      </c>
      <c r="AE544" s="107">
        <v>0</v>
      </c>
      <c r="AF544" s="107">
        <v>0</v>
      </c>
      <c r="AG544" s="107">
        <v>0</v>
      </c>
      <c r="AH544" s="107">
        <v>0</v>
      </c>
      <c r="AI544" s="107">
        <v>0</v>
      </c>
      <c r="AJ544" s="107">
        <v>0</v>
      </c>
      <c r="AK544" s="107">
        <v>0</v>
      </c>
      <c r="AL544" s="107">
        <v>0</v>
      </c>
      <c r="AM544" s="107">
        <v>0</v>
      </c>
      <c r="AN544" s="107">
        <v>0</v>
      </c>
      <c r="AO544" s="107">
        <v>0</v>
      </c>
      <c r="AP544" s="107"/>
      <c r="AQ544" s="126"/>
      <c r="AR544" s="107">
        <f t="shared" si="578"/>
        <v>0</v>
      </c>
      <c r="AS544" s="107">
        <v>0</v>
      </c>
      <c r="AT544" s="107">
        <v>0</v>
      </c>
      <c r="AU544" s="107">
        <v>0</v>
      </c>
      <c r="AV544" s="107">
        <v>0</v>
      </c>
      <c r="AW544" s="107">
        <v>0</v>
      </c>
      <c r="AX544" s="107">
        <v>0</v>
      </c>
      <c r="AY544" s="107">
        <v>0</v>
      </c>
      <c r="AZ544" s="107">
        <v>0</v>
      </c>
      <c r="BA544" s="107">
        <v>0</v>
      </c>
      <c r="BB544" s="107">
        <v>0</v>
      </c>
      <c r="BC544" s="107">
        <v>0</v>
      </c>
      <c r="BD544" s="107">
        <v>0</v>
      </c>
      <c r="BE544" s="124"/>
      <c r="BI544" s="127"/>
    </row>
    <row r="545" spans="1:61" ht="22.5" hidden="1" x14ac:dyDescent="0.2">
      <c r="A545" s="123" t="str">
        <f>'[2]2021 УГРЦТ'!A547</f>
        <v>Персональный компьютер (ExeGate special, AOS 27")</v>
      </c>
      <c r="B545" s="124" t="str">
        <f>'[2]2021 УГРЦТ'!B547</f>
        <v>000001790</v>
      </c>
      <c r="C545" s="124" t="str">
        <f>VLOOKUP(A:A,'2023-2027'!A:L,1,+FALSE)</f>
        <v>Персональный компьютер (ExeGate special, AOS 27")</v>
      </c>
      <c r="D545" s="124" t="str">
        <f>'[2]2021 УГРЦТ'!C547</f>
        <v>ОБЩЕПРОИЗВОДСТВЕННЫЕ РАСХОДЫ</v>
      </c>
      <c r="E545" s="124" t="str">
        <f>'[2]2021 УГРЦТ'!D547</f>
        <v>Машины и оборудование (кроме офисного)</v>
      </c>
      <c r="F545" s="124" t="str">
        <f>'[2]2021 УГРЦТ'!E547</f>
        <v>31.12.2019</v>
      </c>
      <c r="G545" s="124" t="str">
        <f>'[2]2021 УГРЦТ'!F547</f>
        <v>общепроизводственные расходы</v>
      </c>
      <c r="H545" s="124">
        <f>'[2]2021 УГРЦТ'!AC547</f>
        <v>36</v>
      </c>
      <c r="I545" s="107">
        <f>'[2]2021 УГРЦТ'!X547</f>
        <v>63791.67</v>
      </c>
      <c r="J545" s="107">
        <f>'[2]2021 УГРЦТ'!Y547</f>
        <v>42527.770000000004</v>
      </c>
      <c r="K545" s="107">
        <f>'[2]2021 УГРЦТ'!Z547</f>
        <v>21263.899999999994</v>
      </c>
      <c r="L545" s="125" t="e">
        <f>SUMIF([2]облаг!$B$2:$B$259,B545,[2]облаг!$D$2:$D$259)</f>
        <v>#VALUE!</v>
      </c>
      <c r="M545" s="148">
        <f t="shared" si="564"/>
        <v>1771.9908333333333</v>
      </c>
      <c r="N545" s="107">
        <f t="shared" si="579"/>
        <v>19491.909166666661</v>
      </c>
      <c r="O545" s="107">
        <f t="shared" si="566"/>
        <v>19491.909166666661</v>
      </c>
      <c r="P545" s="107">
        <f t="shared" si="567"/>
        <v>17719.918333333328</v>
      </c>
      <c r="Q545" s="107">
        <f t="shared" si="568"/>
        <v>15947.927499999994</v>
      </c>
      <c r="R545" s="107">
        <f t="shared" si="569"/>
        <v>14175.936666666661</v>
      </c>
      <c r="S545" s="107">
        <f t="shared" si="570"/>
        <v>12403.945833333328</v>
      </c>
      <c r="T545" s="107">
        <f t="shared" si="571"/>
        <v>10631.954999999994</v>
      </c>
      <c r="U545" s="107">
        <f t="shared" si="572"/>
        <v>8859.9641666666612</v>
      </c>
      <c r="V545" s="107">
        <f t="shared" si="573"/>
        <v>7087.9733333333279</v>
      </c>
      <c r="W545" s="107">
        <f t="shared" si="574"/>
        <v>5315.9824999999946</v>
      </c>
      <c r="X545" s="107">
        <f t="shared" si="575"/>
        <v>3543.9916666666613</v>
      </c>
      <c r="Y545" s="107">
        <f t="shared" si="576"/>
        <v>1772.000833333328</v>
      </c>
      <c r="Z545" s="107">
        <f t="shared" si="577"/>
        <v>9.9999999947613105E-3</v>
      </c>
      <c r="AA545" s="107"/>
      <c r="AB545" s="107"/>
      <c r="AC545" s="107">
        <v>0</v>
      </c>
      <c r="AD545" s="107">
        <v>0</v>
      </c>
      <c r="AE545" s="107">
        <v>0</v>
      </c>
      <c r="AF545" s="107">
        <v>0</v>
      </c>
      <c r="AG545" s="107">
        <v>0</v>
      </c>
      <c r="AH545" s="107">
        <v>0</v>
      </c>
      <c r="AI545" s="107">
        <v>0</v>
      </c>
      <c r="AJ545" s="107">
        <v>0</v>
      </c>
      <c r="AK545" s="107">
        <v>0</v>
      </c>
      <c r="AL545" s="107">
        <v>0</v>
      </c>
      <c r="AM545" s="107">
        <v>0</v>
      </c>
      <c r="AN545" s="107">
        <v>0</v>
      </c>
      <c r="AO545" s="107">
        <v>0</v>
      </c>
      <c r="AP545" s="107"/>
      <c r="AQ545" s="126"/>
      <c r="AR545" s="107">
        <f t="shared" si="578"/>
        <v>0</v>
      </c>
      <c r="AS545" s="107">
        <v>0</v>
      </c>
      <c r="AT545" s="107">
        <v>0</v>
      </c>
      <c r="AU545" s="107">
        <v>0</v>
      </c>
      <c r="AV545" s="107">
        <v>0</v>
      </c>
      <c r="AW545" s="107">
        <v>0</v>
      </c>
      <c r="AX545" s="107">
        <v>0</v>
      </c>
      <c r="AY545" s="107">
        <v>0</v>
      </c>
      <c r="AZ545" s="107">
        <v>0</v>
      </c>
      <c r="BA545" s="107">
        <v>0</v>
      </c>
      <c r="BB545" s="107">
        <v>0</v>
      </c>
      <c r="BC545" s="107">
        <v>0</v>
      </c>
      <c r="BD545" s="107">
        <v>0</v>
      </c>
      <c r="BE545" s="124"/>
      <c r="BI545" s="127"/>
    </row>
    <row r="546" spans="1:61" ht="22.5" hidden="1" x14ac:dyDescent="0.2">
      <c r="A546" s="123" t="str">
        <f>'[2]2021 УГРЦТ'!A548</f>
        <v>Персональный компьютер (ExeGate special, AOS 27")</v>
      </c>
      <c r="B546" s="124" t="str">
        <f>'[2]2021 УГРЦТ'!B548</f>
        <v>000001791</v>
      </c>
      <c r="C546" s="124" t="str">
        <f>VLOOKUP(A:A,'2023-2027'!A:L,1,+FALSE)</f>
        <v>Персональный компьютер (ExeGate special, AOS 27")</v>
      </c>
      <c r="D546" s="124" t="str">
        <f>'[2]2021 УГРЦТ'!C548</f>
        <v>ОБЩЕПРОИЗВОДСТВЕННЫЕ РАСХОДЫ</v>
      </c>
      <c r="E546" s="124" t="str">
        <f>'[2]2021 УГРЦТ'!D548</f>
        <v>Машины и оборудование (кроме офисного)</v>
      </c>
      <c r="F546" s="124" t="str">
        <f>'[2]2021 УГРЦТ'!E548</f>
        <v>31.12.2019</v>
      </c>
      <c r="G546" s="124" t="str">
        <f>'[2]2021 УГРЦТ'!F548</f>
        <v>общепроизводственные расходы</v>
      </c>
      <c r="H546" s="124">
        <f>'[2]2021 УГРЦТ'!AC548</f>
        <v>36</v>
      </c>
      <c r="I546" s="107">
        <f>'[2]2021 УГРЦТ'!X548</f>
        <v>63791.67</v>
      </c>
      <c r="J546" s="107">
        <f>'[2]2021 УГРЦТ'!Y548</f>
        <v>42527.770000000004</v>
      </c>
      <c r="K546" s="107">
        <f>'[2]2021 УГРЦТ'!Z548</f>
        <v>21263.899999999994</v>
      </c>
      <c r="L546" s="125" t="e">
        <f>SUMIF([2]облаг!$B$2:$B$259,B546,[2]облаг!$D$2:$D$259)</f>
        <v>#VALUE!</v>
      </c>
      <c r="M546" s="148">
        <f t="shared" si="564"/>
        <v>1771.9908333333333</v>
      </c>
      <c r="N546" s="107">
        <f t="shared" si="579"/>
        <v>19491.909166666661</v>
      </c>
      <c r="O546" s="107">
        <f t="shared" si="566"/>
        <v>19491.909166666661</v>
      </c>
      <c r="P546" s="107">
        <f t="shared" si="567"/>
        <v>17719.918333333328</v>
      </c>
      <c r="Q546" s="107">
        <f t="shared" si="568"/>
        <v>15947.927499999994</v>
      </c>
      <c r="R546" s="107">
        <f t="shared" si="569"/>
        <v>14175.936666666661</v>
      </c>
      <c r="S546" s="107">
        <f t="shared" si="570"/>
        <v>12403.945833333328</v>
      </c>
      <c r="T546" s="107">
        <f t="shared" si="571"/>
        <v>10631.954999999994</v>
      </c>
      <c r="U546" s="107">
        <f t="shared" si="572"/>
        <v>8859.9641666666612</v>
      </c>
      <c r="V546" s="107">
        <f t="shared" si="573"/>
        <v>7087.9733333333279</v>
      </c>
      <c r="W546" s="107">
        <f t="shared" si="574"/>
        <v>5315.9824999999946</v>
      </c>
      <c r="X546" s="107">
        <f t="shared" si="575"/>
        <v>3543.9916666666613</v>
      </c>
      <c r="Y546" s="107">
        <f t="shared" si="576"/>
        <v>1772.000833333328</v>
      </c>
      <c r="Z546" s="107">
        <f t="shared" si="577"/>
        <v>9.9999999947613105E-3</v>
      </c>
      <c r="AA546" s="107"/>
      <c r="AB546" s="107"/>
      <c r="AC546" s="107">
        <v>0</v>
      </c>
      <c r="AD546" s="107">
        <v>0</v>
      </c>
      <c r="AE546" s="107">
        <v>0</v>
      </c>
      <c r="AF546" s="107">
        <v>0</v>
      </c>
      <c r="AG546" s="107">
        <v>0</v>
      </c>
      <c r="AH546" s="107">
        <v>0</v>
      </c>
      <c r="AI546" s="107">
        <v>0</v>
      </c>
      <c r="AJ546" s="107">
        <v>0</v>
      </c>
      <c r="AK546" s="107">
        <v>0</v>
      </c>
      <c r="AL546" s="107">
        <v>0</v>
      </c>
      <c r="AM546" s="107">
        <v>0</v>
      </c>
      <c r="AN546" s="107">
        <v>0</v>
      </c>
      <c r="AO546" s="107">
        <v>0</v>
      </c>
      <c r="AP546" s="107"/>
      <c r="AQ546" s="126"/>
      <c r="AR546" s="107">
        <v>0</v>
      </c>
      <c r="AS546" s="107">
        <v>0</v>
      </c>
      <c r="AT546" s="107">
        <v>0</v>
      </c>
      <c r="AU546" s="107">
        <v>0</v>
      </c>
      <c r="AV546" s="107">
        <v>0</v>
      </c>
      <c r="AW546" s="107">
        <v>0</v>
      </c>
      <c r="AX546" s="107">
        <v>0</v>
      </c>
      <c r="AY546" s="107">
        <v>0</v>
      </c>
      <c r="AZ546" s="107">
        <v>0</v>
      </c>
      <c r="BA546" s="107">
        <v>0</v>
      </c>
      <c r="BB546" s="107">
        <v>0</v>
      </c>
      <c r="BC546" s="107">
        <v>0</v>
      </c>
      <c r="BD546" s="107">
        <v>0</v>
      </c>
      <c r="BE546" s="124"/>
      <c r="BI546" s="127"/>
    </row>
    <row r="547" spans="1:61" ht="22.5" hidden="1" x14ac:dyDescent="0.2">
      <c r="A547" s="123" t="str">
        <f>'[2]2021 УГРЦТ'!A549</f>
        <v>Персональный компьютер (ExeGate special, AOS 27")</v>
      </c>
      <c r="B547" s="124" t="str">
        <f>'[2]2021 УГРЦТ'!B549</f>
        <v>000001792</v>
      </c>
      <c r="C547" s="124" t="str">
        <f>VLOOKUP(A:A,'2023-2027'!A:L,1,+FALSE)</f>
        <v>Персональный компьютер (ExeGate special, AOS 27")</v>
      </c>
      <c r="D547" s="124" t="str">
        <f>'[2]2021 УГРЦТ'!C549</f>
        <v>ОБЩЕПРОИЗВОДСТВЕННЫЕ РАСХОДЫ</v>
      </c>
      <c r="E547" s="124" t="str">
        <f>'[2]2021 УГРЦТ'!D549</f>
        <v>Машины и оборудование (кроме офисного)</v>
      </c>
      <c r="F547" s="124" t="str">
        <f>'[2]2021 УГРЦТ'!E549</f>
        <v>31.12.2019</v>
      </c>
      <c r="G547" s="124" t="str">
        <f>'[2]2021 УГРЦТ'!F549</f>
        <v>общепроизводственные расходы</v>
      </c>
      <c r="H547" s="124">
        <f>'[2]2021 УГРЦТ'!AC549</f>
        <v>36</v>
      </c>
      <c r="I547" s="107">
        <f>'[2]2021 УГРЦТ'!X549</f>
        <v>63791.67</v>
      </c>
      <c r="J547" s="107">
        <f>'[2]2021 УГРЦТ'!Y549</f>
        <v>42527.770000000004</v>
      </c>
      <c r="K547" s="107">
        <f>'[2]2021 УГРЦТ'!Z549</f>
        <v>21263.899999999994</v>
      </c>
      <c r="L547" s="125" t="e">
        <f>SUMIF([2]облаг!$B$2:$B$259,B547,[2]облаг!$D$2:$D$259)</f>
        <v>#VALUE!</v>
      </c>
      <c r="M547" s="148">
        <f t="shared" si="564"/>
        <v>1771.9908333333333</v>
      </c>
      <c r="N547" s="107">
        <f t="shared" si="579"/>
        <v>19491.909166666661</v>
      </c>
      <c r="O547" s="107">
        <f t="shared" si="566"/>
        <v>19491.909166666661</v>
      </c>
      <c r="P547" s="107">
        <f t="shared" si="567"/>
        <v>17719.918333333328</v>
      </c>
      <c r="Q547" s="107">
        <f t="shared" si="568"/>
        <v>15947.927499999994</v>
      </c>
      <c r="R547" s="107">
        <f t="shared" si="569"/>
        <v>14175.936666666661</v>
      </c>
      <c r="S547" s="107">
        <f t="shared" si="570"/>
        <v>12403.945833333328</v>
      </c>
      <c r="T547" s="107">
        <f t="shared" si="571"/>
        <v>10631.954999999994</v>
      </c>
      <c r="U547" s="107">
        <f t="shared" si="572"/>
        <v>8859.9641666666612</v>
      </c>
      <c r="V547" s="107">
        <f t="shared" si="573"/>
        <v>7087.9733333333279</v>
      </c>
      <c r="W547" s="107">
        <f t="shared" si="574"/>
        <v>5315.9824999999946</v>
      </c>
      <c r="X547" s="107">
        <f t="shared" si="575"/>
        <v>3543.9916666666613</v>
      </c>
      <c r="Y547" s="107">
        <f t="shared" si="576"/>
        <v>1772.000833333328</v>
      </c>
      <c r="Z547" s="107">
        <f t="shared" si="577"/>
        <v>9.9999999947613105E-3</v>
      </c>
      <c r="AA547" s="107"/>
      <c r="AB547" s="107"/>
      <c r="AC547" s="107">
        <v>0</v>
      </c>
      <c r="AD547" s="107">
        <v>0</v>
      </c>
      <c r="AE547" s="107">
        <v>0</v>
      </c>
      <c r="AF547" s="107">
        <v>0</v>
      </c>
      <c r="AG547" s="107">
        <v>0</v>
      </c>
      <c r="AH547" s="107">
        <v>0</v>
      </c>
      <c r="AI547" s="107">
        <v>0</v>
      </c>
      <c r="AJ547" s="107">
        <v>0</v>
      </c>
      <c r="AK547" s="107">
        <v>0</v>
      </c>
      <c r="AL547" s="107">
        <v>0</v>
      </c>
      <c r="AM547" s="107">
        <v>0</v>
      </c>
      <c r="AN547" s="107">
        <v>0</v>
      </c>
      <c r="AO547" s="107">
        <v>0</v>
      </c>
      <c r="AP547" s="107"/>
      <c r="AQ547" s="126"/>
      <c r="AR547" s="107">
        <f t="shared" si="578"/>
        <v>0</v>
      </c>
      <c r="AS547" s="107">
        <v>0</v>
      </c>
      <c r="AT547" s="107">
        <v>0</v>
      </c>
      <c r="AU547" s="107">
        <v>0</v>
      </c>
      <c r="AV547" s="107">
        <v>0</v>
      </c>
      <c r="AW547" s="107">
        <v>0</v>
      </c>
      <c r="AX547" s="107">
        <v>0</v>
      </c>
      <c r="AY547" s="107">
        <v>0</v>
      </c>
      <c r="AZ547" s="107">
        <v>0</v>
      </c>
      <c r="BA547" s="107">
        <v>0</v>
      </c>
      <c r="BB547" s="107">
        <v>0</v>
      </c>
      <c r="BC547" s="107">
        <v>0</v>
      </c>
      <c r="BD547" s="107">
        <v>0</v>
      </c>
      <c r="BE547" s="124"/>
      <c r="BI547" s="127"/>
    </row>
    <row r="548" spans="1:61" ht="22.5" hidden="1" x14ac:dyDescent="0.2">
      <c r="A548" s="123" t="str">
        <f>'[2]2021 УГРЦТ'!A550</f>
        <v>Персональный компьютер (ExeGate special, AOS 27")</v>
      </c>
      <c r="B548" s="124" t="str">
        <f>'[2]2021 УГРЦТ'!B550</f>
        <v>000001793</v>
      </c>
      <c r="C548" s="124" t="str">
        <f>VLOOKUP(A:A,'2023-2027'!A:L,1,+FALSE)</f>
        <v>Персональный компьютер (ExeGate special, AOS 27")</v>
      </c>
      <c r="D548" s="124" t="str">
        <f>'[2]2021 УГРЦТ'!C550</f>
        <v>ОБЩЕПРОИЗВОДСТВЕННЫЕ РАСХОДЫ</v>
      </c>
      <c r="E548" s="124" t="str">
        <f>'[2]2021 УГРЦТ'!D550</f>
        <v>Машины и оборудование (кроме офисного)</v>
      </c>
      <c r="F548" s="124" t="str">
        <f>'[2]2021 УГРЦТ'!E550</f>
        <v>31.12.2019</v>
      </c>
      <c r="G548" s="124" t="str">
        <f>'[2]2021 УГРЦТ'!F550</f>
        <v>общепроизводственные расходы</v>
      </c>
      <c r="H548" s="124">
        <f>'[2]2021 УГРЦТ'!AC550</f>
        <v>36</v>
      </c>
      <c r="I548" s="107">
        <f>'[2]2021 УГРЦТ'!X550</f>
        <v>63791.67</v>
      </c>
      <c r="J548" s="107">
        <f>'[2]2021 УГРЦТ'!Y550</f>
        <v>42527.770000000004</v>
      </c>
      <c r="K548" s="107">
        <f>'[2]2021 УГРЦТ'!Z550</f>
        <v>21263.899999999994</v>
      </c>
      <c r="L548" s="125" t="e">
        <f>SUMIF([2]облаг!$B$2:$B$259,B548,[2]облаг!$D$2:$D$259)</f>
        <v>#VALUE!</v>
      </c>
      <c r="M548" s="148">
        <f t="shared" si="564"/>
        <v>1771.9908333333333</v>
      </c>
      <c r="N548" s="107">
        <f t="shared" si="579"/>
        <v>19491.909166666661</v>
      </c>
      <c r="O548" s="107">
        <f t="shared" si="566"/>
        <v>19491.909166666661</v>
      </c>
      <c r="P548" s="107">
        <f t="shared" si="567"/>
        <v>17719.918333333328</v>
      </c>
      <c r="Q548" s="107">
        <f t="shared" si="568"/>
        <v>15947.927499999994</v>
      </c>
      <c r="R548" s="107">
        <f t="shared" si="569"/>
        <v>14175.936666666661</v>
      </c>
      <c r="S548" s="107">
        <f t="shared" si="570"/>
        <v>12403.945833333328</v>
      </c>
      <c r="T548" s="107">
        <f t="shared" si="571"/>
        <v>10631.954999999994</v>
      </c>
      <c r="U548" s="107">
        <f t="shared" si="572"/>
        <v>8859.9641666666612</v>
      </c>
      <c r="V548" s="107">
        <f t="shared" si="573"/>
        <v>7087.9733333333279</v>
      </c>
      <c r="W548" s="107">
        <f t="shared" si="574"/>
        <v>5315.9824999999946</v>
      </c>
      <c r="X548" s="107">
        <f t="shared" si="575"/>
        <v>3543.9916666666613</v>
      </c>
      <c r="Y548" s="107">
        <f t="shared" si="576"/>
        <v>1772.000833333328</v>
      </c>
      <c r="Z548" s="107">
        <f t="shared" si="577"/>
        <v>9.9999999947613105E-3</v>
      </c>
      <c r="AA548" s="107"/>
      <c r="AB548" s="107"/>
      <c r="AC548" s="107">
        <v>0</v>
      </c>
      <c r="AD548" s="107">
        <v>0</v>
      </c>
      <c r="AE548" s="107">
        <v>0</v>
      </c>
      <c r="AF548" s="107">
        <v>0</v>
      </c>
      <c r="AG548" s="107">
        <v>0</v>
      </c>
      <c r="AH548" s="107">
        <v>0</v>
      </c>
      <c r="AI548" s="107">
        <v>0</v>
      </c>
      <c r="AJ548" s="107">
        <v>0</v>
      </c>
      <c r="AK548" s="107">
        <v>0</v>
      </c>
      <c r="AL548" s="107">
        <v>0</v>
      </c>
      <c r="AM548" s="107">
        <v>0</v>
      </c>
      <c r="AN548" s="107">
        <v>0</v>
      </c>
      <c r="AO548" s="107">
        <v>0</v>
      </c>
      <c r="AP548" s="107"/>
      <c r="AQ548" s="126"/>
      <c r="AR548" s="107">
        <f t="shared" si="578"/>
        <v>0</v>
      </c>
      <c r="AS548" s="107">
        <v>0</v>
      </c>
      <c r="AT548" s="107">
        <v>0</v>
      </c>
      <c r="AU548" s="107">
        <v>0</v>
      </c>
      <c r="AV548" s="107">
        <v>0</v>
      </c>
      <c r="AW548" s="107">
        <v>0</v>
      </c>
      <c r="AX548" s="107">
        <v>0</v>
      </c>
      <c r="AY548" s="107">
        <v>0</v>
      </c>
      <c r="AZ548" s="107">
        <v>0</v>
      </c>
      <c r="BA548" s="107">
        <v>0</v>
      </c>
      <c r="BB548" s="107">
        <v>0</v>
      </c>
      <c r="BC548" s="107">
        <v>0</v>
      </c>
      <c r="BD548" s="107">
        <v>0</v>
      </c>
      <c r="BE548" s="124"/>
      <c r="BI548" s="127"/>
    </row>
    <row r="549" spans="1:61" ht="22.5" hidden="1" x14ac:dyDescent="0.2">
      <c r="A549" s="123" t="str">
        <f>'[2]2021 УГРЦТ'!A551</f>
        <v>Персональный компьютер (ExeGate special, AOS 27")</v>
      </c>
      <c r="B549" s="124" t="str">
        <f>'[2]2021 УГРЦТ'!B551</f>
        <v>000001794</v>
      </c>
      <c r="C549" s="124" t="str">
        <f>VLOOKUP(A:A,'2023-2027'!A:L,1,+FALSE)</f>
        <v>Персональный компьютер (ExeGate special, AOS 27")</v>
      </c>
      <c r="D549" s="124" t="str">
        <f>'[2]2021 УГРЦТ'!C551</f>
        <v>ОБЩЕПРОИЗВОДСТВЕННЫЕ РАСХОДЫ</v>
      </c>
      <c r="E549" s="124" t="str">
        <f>'[2]2021 УГРЦТ'!D551</f>
        <v>Машины и оборудование (кроме офисного)</v>
      </c>
      <c r="F549" s="124" t="str">
        <f>'[2]2021 УГРЦТ'!E551</f>
        <v>31.12.2019</v>
      </c>
      <c r="G549" s="124" t="str">
        <f>'[2]2021 УГРЦТ'!F551</f>
        <v>общепроизводственные расходы</v>
      </c>
      <c r="H549" s="124">
        <f>'[2]2021 УГРЦТ'!AC551</f>
        <v>36</v>
      </c>
      <c r="I549" s="107">
        <f>'[2]2021 УГРЦТ'!X551</f>
        <v>63791.68</v>
      </c>
      <c r="J549" s="107">
        <f>'[2]2021 УГРЦТ'!Y551</f>
        <v>42527.773333333331</v>
      </c>
      <c r="K549" s="107">
        <f>'[2]2021 УГРЦТ'!Z551</f>
        <v>21263.906666666669</v>
      </c>
      <c r="L549" s="125" t="e">
        <f>SUMIF([2]облаг!$B$2:$B$259,B549,[2]облаг!$D$2:$D$259)</f>
        <v>#VALUE!</v>
      </c>
      <c r="M549" s="148">
        <f t="shared" si="564"/>
        <v>1771.9911111111112</v>
      </c>
      <c r="N549" s="107">
        <f t="shared" si="579"/>
        <v>19491.915555555559</v>
      </c>
      <c r="O549" s="107">
        <f t="shared" si="566"/>
        <v>19491.915555555559</v>
      </c>
      <c r="P549" s="107">
        <f t="shared" si="567"/>
        <v>17719.924444444448</v>
      </c>
      <c r="Q549" s="107">
        <f t="shared" si="568"/>
        <v>15947.933333333338</v>
      </c>
      <c r="R549" s="107">
        <f t="shared" si="569"/>
        <v>14175.942222222227</v>
      </c>
      <c r="S549" s="107">
        <f t="shared" si="570"/>
        <v>12403.951111111117</v>
      </c>
      <c r="T549" s="107">
        <f t="shared" si="571"/>
        <v>10631.960000000006</v>
      </c>
      <c r="U549" s="107">
        <f t="shared" si="572"/>
        <v>8859.9688888888959</v>
      </c>
      <c r="V549" s="107">
        <f t="shared" si="573"/>
        <v>7087.9777777777845</v>
      </c>
      <c r="W549" s="107">
        <f t="shared" si="574"/>
        <v>5315.986666666673</v>
      </c>
      <c r="X549" s="107">
        <f t="shared" si="575"/>
        <v>3543.9955555555616</v>
      </c>
      <c r="Y549" s="107">
        <f t="shared" si="576"/>
        <v>1772.0044444444504</v>
      </c>
      <c r="Z549" s="107">
        <f t="shared" si="577"/>
        <v>1.3333333339232922E-2</v>
      </c>
      <c r="AA549" s="107"/>
      <c r="AB549" s="107"/>
      <c r="AC549" s="107">
        <v>0</v>
      </c>
      <c r="AD549" s="107">
        <v>0</v>
      </c>
      <c r="AE549" s="107">
        <v>0</v>
      </c>
      <c r="AF549" s="107">
        <v>0</v>
      </c>
      <c r="AG549" s="107">
        <v>0</v>
      </c>
      <c r="AH549" s="107">
        <v>0</v>
      </c>
      <c r="AI549" s="107">
        <v>0</v>
      </c>
      <c r="AJ549" s="107">
        <v>0</v>
      </c>
      <c r="AK549" s="107">
        <v>0</v>
      </c>
      <c r="AL549" s="107">
        <v>0</v>
      </c>
      <c r="AM549" s="107">
        <v>0</v>
      </c>
      <c r="AN549" s="107">
        <v>0</v>
      </c>
      <c r="AO549" s="107">
        <v>0</v>
      </c>
      <c r="AP549" s="107"/>
      <c r="AQ549" s="126"/>
      <c r="AR549" s="107">
        <f t="shared" si="578"/>
        <v>0</v>
      </c>
      <c r="AS549" s="107">
        <v>0</v>
      </c>
      <c r="AT549" s="107">
        <v>0</v>
      </c>
      <c r="AU549" s="107">
        <v>0</v>
      </c>
      <c r="AV549" s="107">
        <v>0</v>
      </c>
      <c r="AW549" s="107">
        <v>0</v>
      </c>
      <c r="AX549" s="107">
        <v>0</v>
      </c>
      <c r="AY549" s="107">
        <v>0</v>
      </c>
      <c r="AZ549" s="107">
        <v>0</v>
      </c>
      <c r="BA549" s="107">
        <v>0</v>
      </c>
      <c r="BB549" s="107">
        <v>0</v>
      </c>
      <c r="BC549" s="107">
        <v>0</v>
      </c>
      <c r="BD549" s="107">
        <v>0</v>
      </c>
      <c r="BE549" s="124"/>
      <c r="BI549" s="127"/>
    </row>
    <row r="550" spans="1:61" ht="22.5" hidden="1" x14ac:dyDescent="0.2">
      <c r="A550" s="123" t="str">
        <f>'[2]2021 УГРЦТ'!A552</f>
        <v>Персональный компьютер (ExeGate special, AOS 27")</v>
      </c>
      <c r="B550" s="124" t="str">
        <f>'[2]2021 УГРЦТ'!B552</f>
        <v>000001795</v>
      </c>
      <c r="C550" s="124" t="str">
        <f>VLOOKUP(A:A,'2023-2027'!A:L,1,+FALSE)</f>
        <v>Персональный компьютер (ExeGate special, AOS 27")</v>
      </c>
      <c r="D550" s="124" t="str">
        <f>'[2]2021 УГРЦТ'!C552</f>
        <v>ОБЩЕПРОИЗВОДСТВЕННЫЕ РАСХОДЫ</v>
      </c>
      <c r="E550" s="124" t="str">
        <f>'[2]2021 УГРЦТ'!D552</f>
        <v>Машины и оборудование (кроме офисного)</v>
      </c>
      <c r="F550" s="124" t="str">
        <f>'[2]2021 УГРЦТ'!E552</f>
        <v>31.12.2019</v>
      </c>
      <c r="G550" s="124" t="str">
        <f>'[2]2021 УГРЦТ'!F552</f>
        <v>общепроизводственные расходы</v>
      </c>
      <c r="H550" s="124">
        <f>'[2]2021 УГРЦТ'!AC552</f>
        <v>36</v>
      </c>
      <c r="I550" s="107">
        <f>'[2]2021 УГРЦТ'!X552</f>
        <v>63791.68</v>
      </c>
      <c r="J550" s="107">
        <f>'[2]2021 УГРЦТ'!Y552</f>
        <v>42527.773333333331</v>
      </c>
      <c r="K550" s="107">
        <f>'[2]2021 УГРЦТ'!Z552</f>
        <v>21263.906666666669</v>
      </c>
      <c r="L550" s="125" t="e">
        <f>SUMIF([2]облаг!$B$2:$B$259,B550,[2]облаг!$D$2:$D$259)</f>
        <v>#VALUE!</v>
      </c>
      <c r="M550" s="148">
        <f t="shared" si="564"/>
        <v>1771.9911111111112</v>
      </c>
      <c r="N550" s="107">
        <f t="shared" si="579"/>
        <v>19491.915555555559</v>
      </c>
      <c r="O550" s="107">
        <f t="shared" si="566"/>
        <v>19491.915555555559</v>
      </c>
      <c r="P550" s="107">
        <f t="shared" si="567"/>
        <v>17719.924444444448</v>
      </c>
      <c r="Q550" s="107">
        <f t="shared" si="568"/>
        <v>15947.933333333338</v>
      </c>
      <c r="R550" s="107">
        <f t="shared" si="569"/>
        <v>14175.942222222227</v>
      </c>
      <c r="S550" s="107">
        <f t="shared" si="570"/>
        <v>12403.951111111117</v>
      </c>
      <c r="T550" s="107">
        <f t="shared" si="571"/>
        <v>10631.960000000006</v>
      </c>
      <c r="U550" s="107">
        <f t="shared" si="572"/>
        <v>8859.9688888888959</v>
      </c>
      <c r="V550" s="107">
        <f t="shared" si="573"/>
        <v>7087.9777777777845</v>
      </c>
      <c r="W550" s="107">
        <f t="shared" si="574"/>
        <v>5315.986666666673</v>
      </c>
      <c r="X550" s="107">
        <f t="shared" si="575"/>
        <v>3543.9955555555616</v>
      </c>
      <c r="Y550" s="107">
        <f t="shared" si="576"/>
        <v>1772.0044444444504</v>
      </c>
      <c r="Z550" s="107">
        <f t="shared" si="577"/>
        <v>1.3333333339232922E-2</v>
      </c>
      <c r="AA550" s="107"/>
      <c r="AB550" s="107"/>
      <c r="AC550" s="107">
        <v>0</v>
      </c>
      <c r="AD550" s="107">
        <v>0</v>
      </c>
      <c r="AE550" s="107">
        <v>0</v>
      </c>
      <c r="AF550" s="107">
        <v>0</v>
      </c>
      <c r="AG550" s="107">
        <v>0</v>
      </c>
      <c r="AH550" s="107">
        <v>0</v>
      </c>
      <c r="AI550" s="107">
        <v>0</v>
      </c>
      <c r="AJ550" s="107">
        <v>0</v>
      </c>
      <c r="AK550" s="107">
        <v>0</v>
      </c>
      <c r="AL550" s="107">
        <v>0</v>
      </c>
      <c r="AM550" s="107">
        <v>0</v>
      </c>
      <c r="AN550" s="107">
        <v>0</v>
      </c>
      <c r="AO550" s="107">
        <v>0</v>
      </c>
      <c r="AP550" s="107"/>
      <c r="AQ550" s="126"/>
      <c r="AR550" s="107">
        <v>0</v>
      </c>
      <c r="AS550" s="107">
        <v>0</v>
      </c>
      <c r="AT550" s="107">
        <v>0</v>
      </c>
      <c r="AU550" s="107">
        <v>0</v>
      </c>
      <c r="AV550" s="107">
        <v>0</v>
      </c>
      <c r="AW550" s="107">
        <v>0</v>
      </c>
      <c r="AX550" s="107">
        <v>0</v>
      </c>
      <c r="AY550" s="107">
        <v>0</v>
      </c>
      <c r="AZ550" s="107">
        <v>0</v>
      </c>
      <c r="BA550" s="107">
        <v>0</v>
      </c>
      <c r="BB550" s="107">
        <v>0</v>
      </c>
      <c r="BC550" s="107">
        <v>0</v>
      </c>
      <c r="BD550" s="107">
        <v>0</v>
      </c>
      <c r="BE550" s="124"/>
      <c r="BI550" s="127"/>
    </row>
    <row r="551" spans="1:61" ht="22.5" hidden="1" x14ac:dyDescent="0.2">
      <c r="A551" s="123" t="str">
        <f>'[2]2021 УГРЦТ'!A553</f>
        <v>Персональный компьютер (ExeGate, PHILIPS 27")</v>
      </c>
      <c r="B551" s="124" t="str">
        <f>'[2]2021 УГРЦТ'!B553</f>
        <v>000001815</v>
      </c>
      <c r="C551" s="124" t="str">
        <f>VLOOKUP(A:A,'2023-2027'!A:L,1,+FALSE)</f>
        <v>Персональный компьютер (ExeGate, PHILIPS 27")</v>
      </c>
      <c r="D551" s="124" t="str">
        <f>'[2]2021 УГРЦТ'!C553</f>
        <v>ОБЩЕПРОИЗВОДСТВЕННЫЕ РАСХОДЫ</v>
      </c>
      <c r="E551" s="124" t="str">
        <f>'[2]2021 УГРЦТ'!D553</f>
        <v>Машины и оборудование (кроме офисного)</v>
      </c>
      <c r="F551" s="124" t="str">
        <f>'[2]2021 УГРЦТ'!E553</f>
        <v>18.06.2020</v>
      </c>
      <c r="G551" s="124" t="str">
        <f>'[2]2021 УГРЦТ'!F553</f>
        <v>общепроизводственные расходы</v>
      </c>
      <c r="H551" s="124">
        <f>'[2]2021 УГРЦТ'!AC553</f>
        <v>36</v>
      </c>
      <c r="I551" s="107">
        <f>'[2]2021 УГРЦТ'!X553</f>
        <v>80975</v>
      </c>
      <c r="J551" s="107">
        <f>'[2]2021 УГРЦТ'!Y553</f>
        <v>40487.526666666658</v>
      </c>
      <c r="K551" s="107">
        <f>'[2]2021 УГРЦТ'!Z553</f>
        <v>40487.473333333342</v>
      </c>
      <c r="L551" s="125" t="e">
        <f>SUMIF([2]облаг!$B$2:$B$259,B551,[2]облаг!$D$2:$D$259)</f>
        <v>#VALUE!</v>
      </c>
      <c r="M551" s="148">
        <f t="shared" si="564"/>
        <v>2249.3055555555557</v>
      </c>
      <c r="N551" s="107">
        <f t="shared" si="565"/>
        <v>26991.666666666668</v>
      </c>
      <c r="O551" s="107">
        <f t="shared" si="566"/>
        <v>38238.167777777788</v>
      </c>
      <c r="P551" s="107">
        <f t="shared" si="567"/>
        <v>35988.862222222233</v>
      </c>
      <c r="Q551" s="107">
        <f t="shared" si="568"/>
        <v>33739.556666666678</v>
      </c>
      <c r="R551" s="107">
        <f t="shared" si="569"/>
        <v>31490.251111111123</v>
      </c>
      <c r="S551" s="107">
        <f t="shared" si="570"/>
        <v>29240.945555555569</v>
      </c>
      <c r="T551" s="107">
        <f t="shared" si="571"/>
        <v>26991.640000000014</v>
      </c>
      <c r="U551" s="107">
        <f t="shared" si="572"/>
        <v>24742.334444444459</v>
      </c>
      <c r="V551" s="107">
        <f t="shared" si="573"/>
        <v>22493.028888888904</v>
      </c>
      <c r="W551" s="107">
        <f t="shared" si="574"/>
        <v>20243.72333333335</v>
      </c>
      <c r="X551" s="107">
        <f t="shared" si="575"/>
        <v>17994.417777777795</v>
      </c>
      <c r="Y551" s="107">
        <f t="shared" si="576"/>
        <v>15745.11222222224</v>
      </c>
      <c r="Z551" s="107">
        <f t="shared" si="577"/>
        <v>13495.806666666685</v>
      </c>
      <c r="AA551" s="107"/>
      <c r="AB551" s="107"/>
      <c r="AC551" s="107">
        <f>AD551</f>
        <v>11246.501111111131</v>
      </c>
      <c r="AD551" s="107">
        <f t="shared" ref="AD551:AD575" si="580">Z551-M551</f>
        <v>11246.501111111131</v>
      </c>
      <c r="AE551" s="107">
        <f t="shared" ref="AE551:AE575" si="581">AD551-M551</f>
        <v>8997.195555555576</v>
      </c>
      <c r="AF551" s="107">
        <f t="shared" ref="AF551:AF575" si="582">AE551-M551</f>
        <v>6747.8900000000203</v>
      </c>
      <c r="AG551" s="107">
        <f t="shared" ref="AG551:AG575" si="583">AF551-M551</f>
        <v>4498.5844444444647</v>
      </c>
      <c r="AH551" s="107">
        <f t="shared" ref="AH551:AH575" si="584">AG551-M551</f>
        <v>2249.278888888909</v>
      </c>
      <c r="AI551" s="107">
        <v>0</v>
      </c>
      <c r="AJ551" s="107">
        <v>0</v>
      </c>
      <c r="AK551" s="107">
        <v>0</v>
      </c>
      <c r="AL551" s="107">
        <v>0</v>
      </c>
      <c r="AM551" s="107">
        <v>0</v>
      </c>
      <c r="AN551" s="107">
        <v>0</v>
      </c>
      <c r="AO551" s="107">
        <v>0</v>
      </c>
      <c r="AP551" s="107"/>
      <c r="AQ551" s="126"/>
      <c r="AR551" s="107">
        <v>0</v>
      </c>
      <c r="AS551" s="107">
        <v>0</v>
      </c>
      <c r="AT551" s="107">
        <v>0</v>
      </c>
      <c r="AU551" s="107">
        <v>0</v>
      </c>
      <c r="AV551" s="107">
        <v>0</v>
      </c>
      <c r="AW551" s="107">
        <v>0</v>
      </c>
      <c r="AX551" s="107">
        <v>0</v>
      </c>
      <c r="AY551" s="107">
        <v>0</v>
      </c>
      <c r="AZ551" s="107">
        <v>0</v>
      </c>
      <c r="BA551" s="107">
        <v>0</v>
      </c>
      <c r="BB551" s="107">
        <v>0</v>
      </c>
      <c r="BC551" s="107">
        <v>0</v>
      </c>
      <c r="BD551" s="107">
        <v>0</v>
      </c>
      <c r="BE551" s="124"/>
      <c r="BI551" s="127"/>
    </row>
    <row r="552" spans="1:61" ht="22.5" hidden="1" x14ac:dyDescent="0.2">
      <c r="A552" s="123" t="str">
        <f>'[2]2021 УГРЦТ'!A554</f>
        <v>Персональный компьютер (ExeGate, PHILIPS 27")</v>
      </c>
      <c r="B552" s="124" t="str">
        <f>'[2]2021 УГРЦТ'!B554</f>
        <v>000001816</v>
      </c>
      <c r="C552" s="124" t="str">
        <f>VLOOKUP(A:A,'2023-2027'!A:L,1,+FALSE)</f>
        <v>Персональный компьютер (ExeGate, PHILIPS 27")</v>
      </c>
      <c r="D552" s="124" t="str">
        <f>'[2]2021 УГРЦТ'!C554</f>
        <v>ОБЩЕПРОИЗВОДСТВЕННЫЕ РАСХОДЫ</v>
      </c>
      <c r="E552" s="124" t="str">
        <f>'[2]2021 УГРЦТ'!D554</f>
        <v>Машины и оборудование (кроме офисного)</v>
      </c>
      <c r="F552" s="124" t="str">
        <f>'[2]2021 УГРЦТ'!E554</f>
        <v>18.06.2020</v>
      </c>
      <c r="G552" s="124" t="str">
        <f>'[2]2021 УГРЦТ'!F554</f>
        <v>общепроизводственные расходы</v>
      </c>
      <c r="H552" s="124">
        <f>'[2]2021 УГРЦТ'!AC554</f>
        <v>36</v>
      </c>
      <c r="I552" s="107">
        <f>'[2]2021 УГРЦТ'!X554</f>
        <v>80975</v>
      </c>
      <c r="J552" s="107">
        <f>'[2]2021 УГРЦТ'!Y554</f>
        <v>40487.526666666658</v>
      </c>
      <c r="K552" s="107">
        <f>'[2]2021 УГРЦТ'!Z554</f>
        <v>40487.473333333342</v>
      </c>
      <c r="L552" s="125" t="e">
        <f>SUMIF([2]облаг!$B$2:$B$259,B552,[2]облаг!$D$2:$D$259)</f>
        <v>#VALUE!</v>
      </c>
      <c r="M552" s="148">
        <f t="shared" si="564"/>
        <v>2249.3055555555557</v>
      </c>
      <c r="N552" s="107">
        <f t="shared" si="565"/>
        <v>26991.666666666668</v>
      </c>
      <c r="O552" s="107">
        <f t="shared" si="566"/>
        <v>38238.167777777788</v>
      </c>
      <c r="P552" s="107">
        <f t="shared" si="567"/>
        <v>35988.862222222233</v>
      </c>
      <c r="Q552" s="107">
        <f t="shared" si="568"/>
        <v>33739.556666666678</v>
      </c>
      <c r="R552" s="107">
        <f t="shared" si="569"/>
        <v>31490.251111111123</v>
      </c>
      <c r="S552" s="107">
        <f t="shared" si="570"/>
        <v>29240.945555555569</v>
      </c>
      <c r="T552" s="107">
        <f t="shared" si="571"/>
        <v>26991.640000000014</v>
      </c>
      <c r="U552" s="107">
        <f t="shared" si="572"/>
        <v>24742.334444444459</v>
      </c>
      <c r="V552" s="107">
        <f t="shared" si="573"/>
        <v>22493.028888888904</v>
      </c>
      <c r="W552" s="107">
        <f t="shared" si="574"/>
        <v>20243.72333333335</v>
      </c>
      <c r="X552" s="107">
        <f t="shared" si="575"/>
        <v>17994.417777777795</v>
      </c>
      <c r="Y552" s="107">
        <f t="shared" si="576"/>
        <v>15745.11222222224</v>
      </c>
      <c r="Z552" s="107">
        <f t="shared" si="577"/>
        <v>13495.806666666685</v>
      </c>
      <c r="AA552" s="107"/>
      <c r="AB552" s="107"/>
      <c r="AC552" s="107">
        <f>AD552</f>
        <v>11246.501111111131</v>
      </c>
      <c r="AD552" s="107">
        <f t="shared" si="580"/>
        <v>11246.501111111131</v>
      </c>
      <c r="AE552" s="107">
        <f t="shared" si="581"/>
        <v>8997.195555555576</v>
      </c>
      <c r="AF552" s="107">
        <f t="shared" si="582"/>
        <v>6747.8900000000203</v>
      </c>
      <c r="AG552" s="107">
        <f t="shared" si="583"/>
        <v>4498.5844444444647</v>
      </c>
      <c r="AH552" s="107">
        <f t="shared" si="584"/>
        <v>2249.278888888909</v>
      </c>
      <c r="AI552" s="107">
        <v>0</v>
      </c>
      <c r="AJ552" s="107">
        <v>0</v>
      </c>
      <c r="AK552" s="107">
        <v>0</v>
      </c>
      <c r="AL552" s="107">
        <v>0</v>
      </c>
      <c r="AM552" s="107">
        <v>0</v>
      </c>
      <c r="AN552" s="107">
        <v>0</v>
      </c>
      <c r="AO552" s="107">
        <v>0</v>
      </c>
      <c r="AP552" s="107"/>
      <c r="AQ552" s="126"/>
      <c r="AR552" s="107">
        <v>0</v>
      </c>
      <c r="AS552" s="107">
        <v>0</v>
      </c>
      <c r="AT552" s="107">
        <v>0</v>
      </c>
      <c r="AU552" s="107">
        <v>0</v>
      </c>
      <c r="AV552" s="107">
        <v>0</v>
      </c>
      <c r="AW552" s="107">
        <v>0</v>
      </c>
      <c r="AX552" s="107">
        <v>0</v>
      </c>
      <c r="AY552" s="107">
        <v>0</v>
      </c>
      <c r="AZ552" s="107">
        <v>0</v>
      </c>
      <c r="BA552" s="107">
        <v>0</v>
      </c>
      <c r="BB552" s="107">
        <v>0</v>
      </c>
      <c r="BC552" s="107">
        <v>0</v>
      </c>
      <c r="BD552" s="107">
        <v>0</v>
      </c>
      <c r="BE552" s="124"/>
      <c r="BI552" s="127"/>
    </row>
    <row r="553" spans="1:61" ht="22.5" hidden="1" x14ac:dyDescent="0.2">
      <c r="A553" s="123" t="str">
        <f>'[2]2021 УГРЦТ'!A555</f>
        <v>Персональный компьютер (ExeGate, VIEWSONIK 32")</v>
      </c>
      <c r="B553" s="124" t="str">
        <f>'[2]2021 УГРЦТ'!B555</f>
        <v>000001814</v>
      </c>
      <c r="C553" s="124" t="str">
        <f>VLOOKUP(A:A,'2023-2027'!A:L,1,+FALSE)</f>
        <v>Персональный компьютер (ExeGate, VIEWSONIK 32")</v>
      </c>
      <c r="D553" s="124" t="str">
        <f>'[2]2021 УГРЦТ'!C555</f>
        <v>ОБЩЕПРОИЗВОДСТВЕННЫЕ РАСХОДЫ</v>
      </c>
      <c r="E553" s="124" t="str">
        <f>'[2]2021 УГРЦТ'!D555</f>
        <v>Машины и оборудование (кроме офисного)</v>
      </c>
      <c r="F553" s="124" t="str">
        <f>'[2]2021 УГРЦТ'!E555</f>
        <v>18.06.2020</v>
      </c>
      <c r="G553" s="124" t="str">
        <f>'[2]2021 УГРЦТ'!F555</f>
        <v>общепроизводственные расходы</v>
      </c>
      <c r="H553" s="124">
        <f>'[2]2021 УГРЦТ'!AC555</f>
        <v>36</v>
      </c>
      <c r="I553" s="107">
        <f>'[2]2021 УГРЦТ'!X555</f>
        <v>93033.34</v>
      </c>
      <c r="J553" s="107">
        <f>'[2]2021 УГРЦТ'!Y555</f>
        <v>46516.673333333332</v>
      </c>
      <c r="K553" s="107">
        <f>'[2]2021 УГРЦТ'!Z555</f>
        <v>46516.666666666664</v>
      </c>
      <c r="L553" s="125" t="e">
        <f>SUMIF([2]облаг!$B$2:$B$259,B553,[2]облаг!$D$2:$D$259)</f>
        <v>#VALUE!</v>
      </c>
      <c r="M553" s="148">
        <f t="shared" si="564"/>
        <v>2584.2594444444444</v>
      </c>
      <c r="N553" s="107">
        <f t="shared" si="565"/>
        <v>31011.113333333335</v>
      </c>
      <c r="O553" s="107">
        <f t="shared" si="566"/>
        <v>43932.407222222217</v>
      </c>
      <c r="P553" s="107">
        <f t="shared" si="567"/>
        <v>41348.147777777769</v>
      </c>
      <c r="Q553" s="107">
        <f t="shared" si="568"/>
        <v>38763.888333333321</v>
      </c>
      <c r="R553" s="107">
        <f t="shared" si="569"/>
        <v>36179.628888888874</v>
      </c>
      <c r="S553" s="107">
        <f t="shared" si="570"/>
        <v>33595.369444444426</v>
      </c>
      <c r="T553" s="107">
        <f t="shared" si="571"/>
        <v>31011.109999999982</v>
      </c>
      <c r="U553" s="107">
        <f t="shared" si="572"/>
        <v>28426.850555555538</v>
      </c>
      <c r="V553" s="107">
        <f t="shared" si="573"/>
        <v>25842.591111111095</v>
      </c>
      <c r="W553" s="107">
        <f t="shared" si="574"/>
        <v>23258.331666666651</v>
      </c>
      <c r="X553" s="107">
        <f t="shared" si="575"/>
        <v>20674.072222222207</v>
      </c>
      <c r="Y553" s="107">
        <f t="shared" si="576"/>
        <v>18089.812777777763</v>
      </c>
      <c r="Z553" s="107">
        <f t="shared" si="577"/>
        <v>15505.553333333319</v>
      </c>
      <c r="AA553" s="107"/>
      <c r="AB553" s="107"/>
      <c r="AC553" s="107">
        <f>AD553</f>
        <v>12921.293888888875</v>
      </c>
      <c r="AD553" s="107">
        <f t="shared" si="580"/>
        <v>12921.293888888875</v>
      </c>
      <c r="AE553" s="107">
        <f t="shared" si="581"/>
        <v>10337.034444444431</v>
      </c>
      <c r="AF553" s="107">
        <f t="shared" si="582"/>
        <v>7752.7749999999869</v>
      </c>
      <c r="AG553" s="107">
        <f t="shared" si="583"/>
        <v>5168.515555555543</v>
      </c>
      <c r="AH553" s="107">
        <f t="shared" si="584"/>
        <v>2584.2561111110986</v>
      </c>
      <c r="AI553" s="107">
        <f t="shared" ref="AI553:AI575" si="585">AH553-M553</f>
        <v>-3.3333333458358538E-3</v>
      </c>
      <c r="AJ553" s="107">
        <v>0</v>
      </c>
      <c r="AK553" s="107">
        <v>0</v>
      </c>
      <c r="AL553" s="107">
        <v>0</v>
      </c>
      <c r="AM553" s="107">
        <v>0</v>
      </c>
      <c r="AN553" s="107">
        <v>0</v>
      </c>
      <c r="AO553" s="107">
        <v>0</v>
      </c>
      <c r="AP553" s="107"/>
      <c r="AQ553" s="126"/>
      <c r="AR553" s="107">
        <v>0</v>
      </c>
      <c r="AS553" s="107">
        <v>0</v>
      </c>
      <c r="AT553" s="107">
        <v>0</v>
      </c>
      <c r="AU553" s="107">
        <v>0</v>
      </c>
      <c r="AV553" s="107">
        <v>0</v>
      </c>
      <c r="AW553" s="107">
        <v>0</v>
      </c>
      <c r="AX553" s="107">
        <v>0</v>
      </c>
      <c r="AY553" s="107">
        <v>0</v>
      </c>
      <c r="AZ553" s="107">
        <v>0</v>
      </c>
      <c r="BA553" s="107">
        <v>0</v>
      </c>
      <c r="BB553" s="107">
        <v>0</v>
      </c>
      <c r="BC553" s="107">
        <v>0</v>
      </c>
      <c r="BD553" s="107">
        <v>0</v>
      </c>
      <c r="BE553" s="124"/>
      <c r="BI553" s="127"/>
    </row>
    <row r="554" spans="1:61" ht="22.5" hidden="1" x14ac:dyDescent="0.2">
      <c r="A554" s="123" t="str">
        <f>'[2]2021 УГРЦТ'!A556</f>
        <v>Персональный компьютер (ПК) с высокой производительностью</v>
      </c>
      <c r="B554" s="124" t="str">
        <f>'[2]2021 УГРЦТ'!B556</f>
        <v>000001745</v>
      </c>
      <c r="C554" s="124" t="str">
        <f>VLOOKUP(A:A,'2023-2027'!A:L,1,+FALSE)</f>
        <v>Персональный компьютер (ПК) с высокой производительностью</v>
      </c>
      <c r="D554" s="124" t="str">
        <f>'[2]2021 УГРЦТ'!C556</f>
        <v>ОБЩЕПРОИЗВОДСТВЕННЫЕ РАСХОДЫ</v>
      </c>
      <c r="E554" s="124" t="str">
        <f>'[2]2021 УГРЦТ'!D556</f>
        <v>Машины и оборудование (кроме офисного)</v>
      </c>
      <c r="F554" s="124" t="str">
        <f>'[2]2021 УГРЦТ'!E556</f>
        <v>29.10.2018</v>
      </c>
      <c r="G554" s="124" t="str">
        <f>'[2]2021 УГРЦТ'!F556</f>
        <v>общепроизводственные расходы</v>
      </c>
      <c r="H554" s="124">
        <f>'[2]2021 УГРЦТ'!AC556</f>
        <v>36</v>
      </c>
      <c r="I554" s="107">
        <f>'[2]2021 УГРЦТ'!X556</f>
        <v>68983.05</v>
      </c>
      <c r="J554" s="107">
        <f>'[2]2021 УГРЦТ'!Y556</f>
        <v>68983.012499999997</v>
      </c>
      <c r="K554" s="107">
        <f>'[2]2021 УГРЦТ'!Z556</f>
        <v>3.7500000005820766E-2</v>
      </c>
      <c r="L554" s="125" t="e">
        <f>SUMIF([2]облаг!$B$2:$B$259,B554,[2]облаг!$D$2:$D$259)</f>
        <v>#VALUE!</v>
      </c>
      <c r="M554" s="148">
        <v>0</v>
      </c>
      <c r="N554" s="107">
        <f t="shared" si="565"/>
        <v>0</v>
      </c>
      <c r="O554" s="107">
        <v>0</v>
      </c>
      <c r="P554" s="107">
        <v>0</v>
      </c>
      <c r="Q554" s="107">
        <f t="shared" si="568"/>
        <v>0</v>
      </c>
      <c r="R554" s="107">
        <f t="shared" si="569"/>
        <v>0</v>
      </c>
      <c r="S554" s="107">
        <f t="shared" si="570"/>
        <v>0</v>
      </c>
      <c r="T554" s="107">
        <f t="shared" si="571"/>
        <v>0</v>
      </c>
      <c r="U554" s="107">
        <f t="shared" si="572"/>
        <v>0</v>
      </c>
      <c r="V554" s="107">
        <f t="shared" si="573"/>
        <v>0</v>
      </c>
      <c r="W554" s="107">
        <f t="shared" si="574"/>
        <v>0</v>
      </c>
      <c r="X554" s="107">
        <f t="shared" si="575"/>
        <v>0</v>
      </c>
      <c r="Y554" s="107">
        <f t="shared" si="576"/>
        <v>0</v>
      </c>
      <c r="Z554" s="107">
        <f t="shared" si="577"/>
        <v>0</v>
      </c>
      <c r="AA554" s="107"/>
      <c r="AB554" s="107"/>
      <c r="AC554" s="107">
        <f t="shared" ref="AC554:AC574" si="586">M554*12</f>
        <v>0</v>
      </c>
      <c r="AD554" s="107">
        <f t="shared" si="580"/>
        <v>0</v>
      </c>
      <c r="AE554" s="107">
        <f t="shared" si="581"/>
        <v>0</v>
      </c>
      <c r="AF554" s="107">
        <f t="shared" si="582"/>
        <v>0</v>
      </c>
      <c r="AG554" s="107">
        <f t="shared" si="583"/>
        <v>0</v>
      </c>
      <c r="AH554" s="107">
        <f t="shared" si="584"/>
        <v>0</v>
      </c>
      <c r="AI554" s="107">
        <f t="shared" si="585"/>
        <v>0</v>
      </c>
      <c r="AJ554" s="107">
        <f t="shared" ref="AJ554:AJ575" si="587">AI554-M554</f>
        <v>0</v>
      </c>
      <c r="AK554" s="107">
        <f t="shared" ref="AK554:AK575" si="588">AJ554-M554</f>
        <v>0</v>
      </c>
      <c r="AL554" s="107">
        <f t="shared" ref="AL554:AL575" si="589">AK554-M554</f>
        <v>0</v>
      </c>
      <c r="AM554" s="107">
        <f t="shared" ref="AM554:AM575" si="590">AL554-M554</f>
        <v>0</v>
      </c>
      <c r="AN554" s="107">
        <f t="shared" ref="AN554:AN575" si="591">AM554-M554</f>
        <v>0</v>
      </c>
      <c r="AO554" s="107">
        <f t="shared" ref="AO554:AO574" si="592">AN554-M554</f>
        <v>0</v>
      </c>
      <c r="AP554" s="107"/>
      <c r="AQ554" s="126"/>
      <c r="AR554" s="107">
        <f t="shared" si="578"/>
        <v>0</v>
      </c>
      <c r="AS554" s="107">
        <f t="shared" ref="AS554:AS565" si="593">AO554-M554</f>
        <v>0</v>
      </c>
      <c r="AT554" s="107">
        <f t="shared" ref="AT554:AT565" si="594">AS554-M554</f>
        <v>0</v>
      </c>
      <c r="AU554" s="107">
        <f t="shared" ref="AU554:AU565" si="595">AT554-M554</f>
        <v>0</v>
      </c>
      <c r="AV554" s="107">
        <f t="shared" ref="AV554:AV565" si="596">AU554-M554</f>
        <v>0</v>
      </c>
      <c r="AW554" s="107">
        <f t="shared" ref="AW554:AW565" si="597">AV554-M554</f>
        <v>0</v>
      </c>
      <c r="AX554" s="107">
        <f t="shared" ref="AX554:AX565" si="598">AW554-M554</f>
        <v>0</v>
      </c>
      <c r="AY554" s="107">
        <f t="shared" ref="AY554:AY565" si="599">AX554-M554</f>
        <v>0</v>
      </c>
      <c r="AZ554" s="107">
        <f t="shared" ref="AZ554:AZ565" si="600">AY554-M554</f>
        <v>0</v>
      </c>
      <c r="BA554" s="107">
        <f t="shared" ref="BA554:BA565" si="601">AZ554-M554</f>
        <v>0</v>
      </c>
      <c r="BB554" s="107">
        <f t="shared" ref="BB554:BB565" si="602">BA554-M554</f>
        <v>0</v>
      </c>
      <c r="BC554" s="107">
        <f t="shared" ref="BC554:BC565" si="603">BB554-M554</f>
        <v>0</v>
      </c>
      <c r="BD554" s="107">
        <f t="shared" ref="BD554:BD565" si="604">BC554-M554</f>
        <v>0</v>
      </c>
      <c r="BE554" s="124"/>
      <c r="BI554" s="127"/>
    </row>
    <row r="555" spans="1:61" ht="22.5" hidden="1" x14ac:dyDescent="0.2">
      <c r="A555" s="123" t="str">
        <f>'[2]2021 УГРЦТ'!A557</f>
        <v>Персональный компьютер (ПК) с высокой производительностью</v>
      </c>
      <c r="B555" s="124" t="str">
        <f>'[2]2021 УГРЦТ'!B557</f>
        <v>000001746</v>
      </c>
      <c r="C555" s="124" t="str">
        <f>VLOOKUP(A:A,'2023-2027'!A:L,1,+FALSE)</f>
        <v>Персональный компьютер (ПК) с высокой производительностью</v>
      </c>
      <c r="D555" s="124" t="str">
        <f>'[2]2021 УГРЦТ'!C557</f>
        <v>ОБЩЕПРОИЗВОДСТВЕННЫЕ РАСХОДЫ</v>
      </c>
      <c r="E555" s="124" t="str">
        <f>'[2]2021 УГРЦТ'!D557</f>
        <v>Машины и оборудование (кроме офисного)</v>
      </c>
      <c r="F555" s="124" t="str">
        <f>'[2]2021 УГРЦТ'!E557</f>
        <v>29.10.2018</v>
      </c>
      <c r="G555" s="124" t="str">
        <f>'[2]2021 УГРЦТ'!F557</f>
        <v>общепроизводственные расходы</v>
      </c>
      <c r="H555" s="124">
        <f>'[2]2021 УГРЦТ'!AC557</f>
        <v>36</v>
      </c>
      <c r="I555" s="107">
        <f>'[2]2021 УГРЦТ'!X557</f>
        <v>68983.05</v>
      </c>
      <c r="J555" s="107">
        <f>'[2]2021 УГРЦТ'!Y557</f>
        <v>68983.012499999997</v>
      </c>
      <c r="K555" s="107">
        <f>'[2]2021 УГРЦТ'!Z557</f>
        <v>3.7500000005820766E-2</v>
      </c>
      <c r="L555" s="125" t="e">
        <f>SUMIF([2]облаг!$B$2:$B$259,B555,[2]облаг!$D$2:$D$259)</f>
        <v>#VALUE!</v>
      </c>
      <c r="M555" s="148">
        <v>0</v>
      </c>
      <c r="N555" s="107">
        <f t="shared" si="565"/>
        <v>0</v>
      </c>
      <c r="O555" s="107">
        <v>0</v>
      </c>
      <c r="P555" s="107">
        <f t="shared" si="567"/>
        <v>0</v>
      </c>
      <c r="Q555" s="107">
        <f t="shared" si="568"/>
        <v>0</v>
      </c>
      <c r="R555" s="107">
        <f t="shared" si="569"/>
        <v>0</v>
      </c>
      <c r="S555" s="107">
        <f t="shared" si="570"/>
        <v>0</v>
      </c>
      <c r="T555" s="107">
        <f t="shared" si="571"/>
        <v>0</v>
      </c>
      <c r="U555" s="107">
        <f t="shared" si="572"/>
        <v>0</v>
      </c>
      <c r="V555" s="107">
        <f t="shared" si="573"/>
        <v>0</v>
      </c>
      <c r="W555" s="107">
        <f t="shared" si="574"/>
        <v>0</v>
      </c>
      <c r="X555" s="107">
        <f t="shared" si="575"/>
        <v>0</v>
      </c>
      <c r="Y555" s="107">
        <f t="shared" si="576"/>
        <v>0</v>
      </c>
      <c r="Z555" s="107">
        <f t="shared" si="577"/>
        <v>0</v>
      </c>
      <c r="AA555" s="107"/>
      <c r="AB555" s="107"/>
      <c r="AC555" s="107">
        <f t="shared" si="586"/>
        <v>0</v>
      </c>
      <c r="AD555" s="107">
        <f t="shared" si="580"/>
        <v>0</v>
      </c>
      <c r="AE555" s="107">
        <f t="shared" si="581"/>
        <v>0</v>
      </c>
      <c r="AF555" s="107">
        <f t="shared" si="582"/>
        <v>0</v>
      </c>
      <c r="AG555" s="107">
        <f t="shared" si="583"/>
        <v>0</v>
      </c>
      <c r="AH555" s="107">
        <f t="shared" si="584"/>
        <v>0</v>
      </c>
      <c r="AI555" s="107">
        <f t="shared" si="585"/>
        <v>0</v>
      </c>
      <c r="AJ555" s="107">
        <f t="shared" si="587"/>
        <v>0</v>
      </c>
      <c r="AK555" s="107">
        <f t="shared" si="588"/>
        <v>0</v>
      </c>
      <c r="AL555" s="107">
        <f t="shared" si="589"/>
        <v>0</v>
      </c>
      <c r="AM555" s="107">
        <f t="shared" si="590"/>
        <v>0</v>
      </c>
      <c r="AN555" s="107">
        <f t="shared" si="591"/>
        <v>0</v>
      </c>
      <c r="AO555" s="107">
        <f t="shared" si="592"/>
        <v>0</v>
      </c>
      <c r="AP555" s="107"/>
      <c r="AQ555" s="126"/>
      <c r="AR555" s="107">
        <f t="shared" si="578"/>
        <v>0</v>
      </c>
      <c r="AS555" s="107">
        <f t="shared" si="593"/>
        <v>0</v>
      </c>
      <c r="AT555" s="107">
        <f t="shared" si="594"/>
        <v>0</v>
      </c>
      <c r="AU555" s="107">
        <f t="shared" si="595"/>
        <v>0</v>
      </c>
      <c r="AV555" s="107">
        <f t="shared" si="596"/>
        <v>0</v>
      </c>
      <c r="AW555" s="107">
        <f t="shared" si="597"/>
        <v>0</v>
      </c>
      <c r="AX555" s="107">
        <f t="shared" si="598"/>
        <v>0</v>
      </c>
      <c r="AY555" s="107">
        <f t="shared" si="599"/>
        <v>0</v>
      </c>
      <c r="AZ555" s="107">
        <f t="shared" si="600"/>
        <v>0</v>
      </c>
      <c r="BA555" s="107">
        <f t="shared" si="601"/>
        <v>0</v>
      </c>
      <c r="BB555" s="107">
        <f t="shared" si="602"/>
        <v>0</v>
      </c>
      <c r="BC555" s="107">
        <f t="shared" si="603"/>
        <v>0</v>
      </c>
      <c r="BD555" s="107">
        <f t="shared" si="604"/>
        <v>0</v>
      </c>
      <c r="BE555" s="124"/>
      <c r="BI555" s="127"/>
    </row>
    <row r="556" spans="1:61" ht="22.5" hidden="1" x14ac:dyDescent="0.2">
      <c r="A556" s="123" t="str">
        <f>'[2]2021 УГРЦТ'!A558</f>
        <v>Персональный компьютер (ПК) с высокой производительностью</v>
      </c>
      <c r="B556" s="124" t="str">
        <f>'[2]2021 УГРЦТ'!B558</f>
        <v>000001747</v>
      </c>
      <c r="C556" s="124" t="str">
        <f>VLOOKUP(A:A,'2023-2027'!A:L,1,+FALSE)</f>
        <v>Персональный компьютер (ПК) с высокой производительностью</v>
      </c>
      <c r="D556" s="124" t="str">
        <f>'[2]2021 УГРЦТ'!C558</f>
        <v>ОБЩЕПРОИЗВОДСТВЕННЫЕ РАСХОДЫ</v>
      </c>
      <c r="E556" s="124" t="str">
        <f>'[2]2021 УГРЦТ'!D558</f>
        <v>Машины и оборудование (кроме офисного)</v>
      </c>
      <c r="F556" s="124" t="str">
        <f>'[2]2021 УГРЦТ'!E558</f>
        <v>29.10.2018</v>
      </c>
      <c r="G556" s="124" t="str">
        <f>'[2]2021 УГРЦТ'!F558</f>
        <v>общепроизводственные расходы</v>
      </c>
      <c r="H556" s="124">
        <f>'[2]2021 УГРЦТ'!AC558</f>
        <v>36</v>
      </c>
      <c r="I556" s="107">
        <f>'[2]2021 УГРЦТ'!X558</f>
        <v>68983.05</v>
      </c>
      <c r="J556" s="107">
        <f>'[2]2021 УГРЦТ'!Y558</f>
        <v>68983.012499999997</v>
      </c>
      <c r="K556" s="107">
        <f>'[2]2021 УГРЦТ'!Z558</f>
        <v>3.7500000005820766E-2</v>
      </c>
      <c r="L556" s="125" t="e">
        <f>SUMIF([2]облаг!$B$2:$B$259,B556,[2]облаг!$D$2:$D$259)</f>
        <v>#VALUE!</v>
      </c>
      <c r="M556" s="148">
        <v>0</v>
      </c>
      <c r="N556" s="107">
        <f t="shared" si="565"/>
        <v>0</v>
      </c>
      <c r="O556" s="107">
        <v>0</v>
      </c>
      <c r="P556" s="107">
        <f t="shared" si="567"/>
        <v>0</v>
      </c>
      <c r="Q556" s="107">
        <f t="shared" si="568"/>
        <v>0</v>
      </c>
      <c r="R556" s="107">
        <f t="shared" si="569"/>
        <v>0</v>
      </c>
      <c r="S556" s="107">
        <f t="shared" si="570"/>
        <v>0</v>
      </c>
      <c r="T556" s="107">
        <f t="shared" si="571"/>
        <v>0</v>
      </c>
      <c r="U556" s="107">
        <f t="shared" si="572"/>
        <v>0</v>
      </c>
      <c r="V556" s="107">
        <f t="shared" si="573"/>
        <v>0</v>
      </c>
      <c r="W556" s="107">
        <f t="shared" si="574"/>
        <v>0</v>
      </c>
      <c r="X556" s="107">
        <f t="shared" si="575"/>
        <v>0</v>
      </c>
      <c r="Y556" s="107">
        <f t="shared" si="576"/>
        <v>0</v>
      </c>
      <c r="Z556" s="107">
        <f t="shared" si="577"/>
        <v>0</v>
      </c>
      <c r="AA556" s="107"/>
      <c r="AB556" s="107"/>
      <c r="AC556" s="107">
        <f t="shared" si="586"/>
        <v>0</v>
      </c>
      <c r="AD556" s="107">
        <f t="shared" si="580"/>
        <v>0</v>
      </c>
      <c r="AE556" s="107">
        <f t="shared" si="581"/>
        <v>0</v>
      </c>
      <c r="AF556" s="107">
        <f t="shared" si="582"/>
        <v>0</v>
      </c>
      <c r="AG556" s="107">
        <f t="shared" si="583"/>
        <v>0</v>
      </c>
      <c r="AH556" s="107">
        <f t="shared" si="584"/>
        <v>0</v>
      </c>
      <c r="AI556" s="107">
        <f t="shared" si="585"/>
        <v>0</v>
      </c>
      <c r="AJ556" s="107">
        <f t="shared" si="587"/>
        <v>0</v>
      </c>
      <c r="AK556" s="107">
        <f t="shared" si="588"/>
        <v>0</v>
      </c>
      <c r="AL556" s="107">
        <f t="shared" si="589"/>
        <v>0</v>
      </c>
      <c r="AM556" s="107">
        <f t="shared" si="590"/>
        <v>0</v>
      </c>
      <c r="AN556" s="107">
        <f t="shared" si="591"/>
        <v>0</v>
      </c>
      <c r="AO556" s="107">
        <f t="shared" si="592"/>
        <v>0</v>
      </c>
      <c r="AP556" s="107"/>
      <c r="AQ556" s="126"/>
      <c r="AR556" s="107">
        <f t="shared" si="578"/>
        <v>0</v>
      </c>
      <c r="AS556" s="107">
        <f t="shared" si="593"/>
        <v>0</v>
      </c>
      <c r="AT556" s="107">
        <f t="shared" si="594"/>
        <v>0</v>
      </c>
      <c r="AU556" s="107">
        <f t="shared" si="595"/>
        <v>0</v>
      </c>
      <c r="AV556" s="107">
        <f t="shared" si="596"/>
        <v>0</v>
      </c>
      <c r="AW556" s="107">
        <f t="shared" si="597"/>
        <v>0</v>
      </c>
      <c r="AX556" s="107">
        <f t="shared" si="598"/>
        <v>0</v>
      </c>
      <c r="AY556" s="107">
        <f t="shared" si="599"/>
        <v>0</v>
      </c>
      <c r="AZ556" s="107">
        <f t="shared" si="600"/>
        <v>0</v>
      </c>
      <c r="BA556" s="107">
        <f t="shared" si="601"/>
        <v>0</v>
      </c>
      <c r="BB556" s="107">
        <f t="shared" si="602"/>
        <v>0</v>
      </c>
      <c r="BC556" s="107">
        <f t="shared" si="603"/>
        <v>0</v>
      </c>
      <c r="BD556" s="107">
        <f t="shared" si="604"/>
        <v>0</v>
      </c>
      <c r="BE556" s="124"/>
      <c r="BI556" s="127"/>
    </row>
    <row r="557" spans="1:61" ht="22.5" hidden="1" x14ac:dyDescent="0.2">
      <c r="A557" s="123" t="str">
        <f>'[2]2021 УГРЦТ'!A559</f>
        <v>Персональный компьютер (ПК) с высокой производительностью</v>
      </c>
      <c r="B557" s="124" t="str">
        <f>'[2]2021 УГРЦТ'!B559</f>
        <v>000001748</v>
      </c>
      <c r="C557" s="124" t="str">
        <f>VLOOKUP(A:A,'2023-2027'!A:L,1,+FALSE)</f>
        <v>Персональный компьютер (ПК) с высокой производительностью</v>
      </c>
      <c r="D557" s="124" t="str">
        <f>'[2]2021 УГРЦТ'!C559</f>
        <v>ОБЩЕПРОИЗВОДСТВЕННЫЕ РАСХОДЫ</v>
      </c>
      <c r="E557" s="124" t="str">
        <f>'[2]2021 УГРЦТ'!D559</f>
        <v>Машины и оборудование (кроме офисного)</v>
      </c>
      <c r="F557" s="124" t="str">
        <f>'[2]2021 УГРЦТ'!E559</f>
        <v>29.10.2018</v>
      </c>
      <c r="G557" s="124" t="str">
        <f>'[2]2021 УГРЦТ'!F559</f>
        <v>общепроизводственные расходы</v>
      </c>
      <c r="H557" s="124">
        <f>'[2]2021 УГРЦТ'!AC559</f>
        <v>36</v>
      </c>
      <c r="I557" s="107">
        <f>'[2]2021 УГРЦТ'!X559</f>
        <v>68983.05</v>
      </c>
      <c r="J557" s="107">
        <f>'[2]2021 УГРЦТ'!Y559</f>
        <v>68983.012499999997</v>
      </c>
      <c r="K557" s="107">
        <f>'[2]2021 УГРЦТ'!Z559</f>
        <v>3.7500000005820766E-2</v>
      </c>
      <c r="L557" s="125" t="e">
        <f>SUMIF([2]облаг!$B$2:$B$259,B557,[2]облаг!$D$2:$D$259)</f>
        <v>#VALUE!</v>
      </c>
      <c r="M557" s="148">
        <v>0</v>
      </c>
      <c r="N557" s="107">
        <v>0</v>
      </c>
      <c r="O557" s="107">
        <v>0</v>
      </c>
      <c r="P557" s="107">
        <f t="shared" si="567"/>
        <v>0</v>
      </c>
      <c r="Q557" s="107">
        <f t="shared" si="568"/>
        <v>0</v>
      </c>
      <c r="R557" s="107">
        <f t="shared" si="569"/>
        <v>0</v>
      </c>
      <c r="S557" s="107">
        <f t="shared" si="570"/>
        <v>0</v>
      </c>
      <c r="T557" s="107">
        <f t="shared" si="571"/>
        <v>0</v>
      </c>
      <c r="U557" s="107">
        <f t="shared" si="572"/>
        <v>0</v>
      </c>
      <c r="V557" s="107">
        <f t="shared" si="573"/>
        <v>0</v>
      </c>
      <c r="W557" s="107">
        <f t="shared" si="574"/>
        <v>0</v>
      </c>
      <c r="X557" s="107">
        <f t="shared" si="575"/>
        <v>0</v>
      </c>
      <c r="Y557" s="107">
        <f t="shared" si="576"/>
        <v>0</v>
      </c>
      <c r="Z557" s="107">
        <f t="shared" si="577"/>
        <v>0</v>
      </c>
      <c r="AA557" s="107"/>
      <c r="AB557" s="107"/>
      <c r="AC557" s="107">
        <f t="shared" si="586"/>
        <v>0</v>
      </c>
      <c r="AD557" s="107">
        <f t="shared" si="580"/>
        <v>0</v>
      </c>
      <c r="AE557" s="107">
        <f t="shared" si="581"/>
        <v>0</v>
      </c>
      <c r="AF557" s="107">
        <f t="shared" si="582"/>
        <v>0</v>
      </c>
      <c r="AG557" s="107">
        <f t="shared" si="583"/>
        <v>0</v>
      </c>
      <c r="AH557" s="107">
        <f t="shared" si="584"/>
        <v>0</v>
      </c>
      <c r="AI557" s="107">
        <f t="shared" si="585"/>
        <v>0</v>
      </c>
      <c r="AJ557" s="107">
        <f t="shared" si="587"/>
        <v>0</v>
      </c>
      <c r="AK557" s="107">
        <f t="shared" si="588"/>
        <v>0</v>
      </c>
      <c r="AL557" s="107">
        <f t="shared" si="589"/>
        <v>0</v>
      </c>
      <c r="AM557" s="107">
        <f t="shared" si="590"/>
        <v>0</v>
      </c>
      <c r="AN557" s="107">
        <f t="shared" si="591"/>
        <v>0</v>
      </c>
      <c r="AO557" s="107">
        <f t="shared" si="592"/>
        <v>0</v>
      </c>
      <c r="AP557" s="107"/>
      <c r="AQ557" s="126"/>
      <c r="AR557" s="107">
        <f t="shared" si="578"/>
        <v>0</v>
      </c>
      <c r="AS557" s="107">
        <f t="shared" si="593"/>
        <v>0</v>
      </c>
      <c r="AT557" s="107">
        <f t="shared" si="594"/>
        <v>0</v>
      </c>
      <c r="AU557" s="107">
        <f t="shared" si="595"/>
        <v>0</v>
      </c>
      <c r="AV557" s="107">
        <f t="shared" si="596"/>
        <v>0</v>
      </c>
      <c r="AW557" s="107">
        <f t="shared" si="597"/>
        <v>0</v>
      </c>
      <c r="AX557" s="107">
        <f t="shared" si="598"/>
        <v>0</v>
      </c>
      <c r="AY557" s="107">
        <f t="shared" si="599"/>
        <v>0</v>
      </c>
      <c r="AZ557" s="107">
        <f t="shared" si="600"/>
        <v>0</v>
      </c>
      <c r="BA557" s="107">
        <f t="shared" si="601"/>
        <v>0</v>
      </c>
      <c r="BB557" s="107">
        <f t="shared" si="602"/>
        <v>0</v>
      </c>
      <c r="BC557" s="107">
        <f t="shared" si="603"/>
        <v>0</v>
      </c>
      <c r="BD557" s="107">
        <f t="shared" si="604"/>
        <v>0</v>
      </c>
      <c r="BE557" s="124"/>
      <c r="BI557" s="127"/>
    </row>
    <row r="558" spans="1:61" ht="22.5" hidden="1" x14ac:dyDescent="0.2">
      <c r="A558" s="123" t="str">
        <f>'[2]2021 УГРЦТ'!A560</f>
        <v>Персональный компьютер (ПК) с высокой производительностью</v>
      </c>
      <c r="B558" s="124" t="str">
        <f>'[2]2021 УГРЦТ'!B560</f>
        <v>000001749</v>
      </c>
      <c r="C558" s="124" t="str">
        <f>VLOOKUP(A:A,'2023-2027'!A:L,1,+FALSE)</f>
        <v>Персональный компьютер (ПК) с высокой производительностью</v>
      </c>
      <c r="D558" s="124" t="str">
        <f>'[2]2021 УГРЦТ'!C560</f>
        <v>ОБЩЕПРОИЗВОДСТВЕННЫЕ РАСХОДЫ</v>
      </c>
      <c r="E558" s="124" t="str">
        <f>'[2]2021 УГРЦТ'!D560</f>
        <v>Машины и оборудование (кроме офисного)</v>
      </c>
      <c r="F558" s="124" t="str">
        <f>'[2]2021 УГРЦТ'!E560</f>
        <v>29.10.2018</v>
      </c>
      <c r="G558" s="124" t="str">
        <f>'[2]2021 УГРЦТ'!F560</f>
        <v>общепроизводственные расходы</v>
      </c>
      <c r="H558" s="124">
        <f>'[2]2021 УГРЦТ'!AC560</f>
        <v>36</v>
      </c>
      <c r="I558" s="107">
        <f>'[2]2021 УГРЦТ'!X560</f>
        <v>68983.06</v>
      </c>
      <c r="J558" s="107">
        <f>'[2]2021 УГРЦТ'!Y560</f>
        <v>68983.014999999999</v>
      </c>
      <c r="K558" s="107">
        <f>'[2]2021 УГРЦТ'!Z560</f>
        <v>4.499999999825377E-2</v>
      </c>
      <c r="L558" s="125" t="e">
        <f>SUMIF([2]облаг!$B$2:$B$259,B558,[2]облаг!$D$2:$D$259)</f>
        <v>#VALUE!</v>
      </c>
      <c r="M558" s="148">
        <v>0</v>
      </c>
      <c r="N558" s="107">
        <f t="shared" si="565"/>
        <v>0</v>
      </c>
      <c r="O558" s="107">
        <v>0</v>
      </c>
      <c r="P558" s="107">
        <f t="shared" si="567"/>
        <v>0</v>
      </c>
      <c r="Q558" s="107">
        <f t="shared" si="568"/>
        <v>0</v>
      </c>
      <c r="R558" s="107">
        <f t="shared" si="569"/>
        <v>0</v>
      </c>
      <c r="S558" s="107">
        <f t="shared" si="570"/>
        <v>0</v>
      </c>
      <c r="T558" s="107">
        <f t="shared" si="571"/>
        <v>0</v>
      </c>
      <c r="U558" s="107">
        <f t="shared" si="572"/>
        <v>0</v>
      </c>
      <c r="V558" s="107">
        <f t="shared" si="573"/>
        <v>0</v>
      </c>
      <c r="W558" s="107">
        <f t="shared" si="574"/>
        <v>0</v>
      </c>
      <c r="X558" s="107">
        <f t="shared" si="575"/>
        <v>0</v>
      </c>
      <c r="Y558" s="107">
        <f t="shared" si="576"/>
        <v>0</v>
      </c>
      <c r="Z558" s="107">
        <f t="shared" si="577"/>
        <v>0</v>
      </c>
      <c r="AA558" s="107"/>
      <c r="AB558" s="107"/>
      <c r="AC558" s="107">
        <f t="shared" si="586"/>
        <v>0</v>
      </c>
      <c r="AD558" s="107">
        <f t="shared" si="580"/>
        <v>0</v>
      </c>
      <c r="AE558" s="107">
        <f t="shared" si="581"/>
        <v>0</v>
      </c>
      <c r="AF558" s="107">
        <f t="shared" si="582"/>
        <v>0</v>
      </c>
      <c r="AG558" s="107">
        <f t="shared" si="583"/>
        <v>0</v>
      </c>
      <c r="AH558" s="107">
        <f t="shared" si="584"/>
        <v>0</v>
      </c>
      <c r="AI558" s="107">
        <f t="shared" si="585"/>
        <v>0</v>
      </c>
      <c r="AJ558" s="107">
        <f t="shared" si="587"/>
        <v>0</v>
      </c>
      <c r="AK558" s="107">
        <f t="shared" si="588"/>
        <v>0</v>
      </c>
      <c r="AL558" s="107">
        <f t="shared" si="589"/>
        <v>0</v>
      </c>
      <c r="AM558" s="107">
        <f t="shared" si="590"/>
        <v>0</v>
      </c>
      <c r="AN558" s="107">
        <f t="shared" si="591"/>
        <v>0</v>
      </c>
      <c r="AO558" s="107">
        <f t="shared" si="592"/>
        <v>0</v>
      </c>
      <c r="AP558" s="107"/>
      <c r="AQ558" s="126"/>
      <c r="AR558" s="107">
        <f t="shared" si="578"/>
        <v>0</v>
      </c>
      <c r="AS558" s="107">
        <f t="shared" si="593"/>
        <v>0</v>
      </c>
      <c r="AT558" s="107">
        <f t="shared" si="594"/>
        <v>0</v>
      </c>
      <c r="AU558" s="107">
        <f t="shared" si="595"/>
        <v>0</v>
      </c>
      <c r="AV558" s="107">
        <f t="shared" si="596"/>
        <v>0</v>
      </c>
      <c r="AW558" s="107">
        <f t="shared" si="597"/>
        <v>0</v>
      </c>
      <c r="AX558" s="107">
        <f t="shared" si="598"/>
        <v>0</v>
      </c>
      <c r="AY558" s="107">
        <f t="shared" si="599"/>
        <v>0</v>
      </c>
      <c r="AZ558" s="107">
        <f t="shared" si="600"/>
        <v>0</v>
      </c>
      <c r="BA558" s="107">
        <f t="shared" si="601"/>
        <v>0</v>
      </c>
      <c r="BB558" s="107">
        <f t="shared" si="602"/>
        <v>0</v>
      </c>
      <c r="BC558" s="107">
        <f t="shared" si="603"/>
        <v>0</v>
      </c>
      <c r="BD558" s="107">
        <f t="shared" si="604"/>
        <v>0</v>
      </c>
      <c r="BE558" s="124"/>
      <c r="BI558" s="127"/>
    </row>
    <row r="559" spans="1:61" ht="22.5" hidden="1" x14ac:dyDescent="0.2">
      <c r="A559" s="123" t="str">
        <f>'[2]2021 УГРЦТ'!A561</f>
        <v>Персональный компьютер (ПК) с высокой производительностью</v>
      </c>
      <c r="B559" s="124" t="str">
        <f>'[2]2021 УГРЦТ'!B561</f>
        <v>000001750</v>
      </c>
      <c r="C559" s="124" t="str">
        <f>VLOOKUP(A:A,'2023-2027'!A:L,1,+FALSE)</f>
        <v>Персональный компьютер (ПК) с высокой производительностью</v>
      </c>
      <c r="D559" s="124" t="str">
        <f>'[2]2021 УГРЦТ'!C561</f>
        <v>ОБЩЕПРОИЗВОДСТВЕННЫЕ РАСХОДЫ</v>
      </c>
      <c r="E559" s="124" t="str">
        <f>'[2]2021 УГРЦТ'!D561</f>
        <v>Машины и оборудование (кроме офисного)</v>
      </c>
      <c r="F559" s="124" t="str">
        <f>'[2]2021 УГРЦТ'!E561</f>
        <v>29.10.2018</v>
      </c>
      <c r="G559" s="124" t="str">
        <f>'[2]2021 УГРЦТ'!F561</f>
        <v>общепроизводственные расходы</v>
      </c>
      <c r="H559" s="124">
        <f>'[2]2021 УГРЦТ'!AC561</f>
        <v>36</v>
      </c>
      <c r="I559" s="107">
        <f>'[2]2021 УГРЦТ'!X561</f>
        <v>68983.06</v>
      </c>
      <c r="J559" s="107">
        <f>'[2]2021 УГРЦТ'!Y561</f>
        <v>68983.014999999999</v>
      </c>
      <c r="K559" s="107">
        <f>'[2]2021 УГРЦТ'!Z561</f>
        <v>4.499999999825377E-2</v>
      </c>
      <c r="L559" s="125" t="e">
        <f>SUMIF([2]облаг!$B$2:$B$259,B559,[2]облаг!$D$2:$D$259)</f>
        <v>#VALUE!</v>
      </c>
      <c r="M559" s="148">
        <v>0</v>
      </c>
      <c r="N559" s="107">
        <f t="shared" si="565"/>
        <v>0</v>
      </c>
      <c r="O559" s="107">
        <v>0</v>
      </c>
      <c r="P559" s="107">
        <f t="shared" si="567"/>
        <v>0</v>
      </c>
      <c r="Q559" s="107">
        <f t="shared" si="568"/>
        <v>0</v>
      </c>
      <c r="R559" s="107">
        <f t="shared" si="569"/>
        <v>0</v>
      </c>
      <c r="S559" s="107">
        <f t="shared" si="570"/>
        <v>0</v>
      </c>
      <c r="T559" s="107">
        <f t="shared" si="571"/>
        <v>0</v>
      </c>
      <c r="U559" s="107">
        <f t="shared" si="572"/>
        <v>0</v>
      </c>
      <c r="V559" s="107">
        <f t="shared" si="573"/>
        <v>0</v>
      </c>
      <c r="W559" s="107">
        <f t="shared" si="574"/>
        <v>0</v>
      </c>
      <c r="X559" s="107">
        <f t="shared" si="575"/>
        <v>0</v>
      </c>
      <c r="Y559" s="107">
        <f t="shared" si="576"/>
        <v>0</v>
      </c>
      <c r="Z559" s="107">
        <f t="shared" si="577"/>
        <v>0</v>
      </c>
      <c r="AA559" s="107"/>
      <c r="AB559" s="107"/>
      <c r="AC559" s="107">
        <f t="shared" si="586"/>
        <v>0</v>
      </c>
      <c r="AD559" s="107">
        <f t="shared" si="580"/>
        <v>0</v>
      </c>
      <c r="AE559" s="107">
        <f t="shared" si="581"/>
        <v>0</v>
      </c>
      <c r="AF559" s="107">
        <f t="shared" si="582"/>
        <v>0</v>
      </c>
      <c r="AG559" s="107">
        <f t="shared" si="583"/>
        <v>0</v>
      </c>
      <c r="AH559" s="107">
        <f t="shared" si="584"/>
        <v>0</v>
      </c>
      <c r="AI559" s="107">
        <f t="shared" si="585"/>
        <v>0</v>
      </c>
      <c r="AJ559" s="107">
        <f t="shared" si="587"/>
        <v>0</v>
      </c>
      <c r="AK559" s="107">
        <f t="shared" si="588"/>
        <v>0</v>
      </c>
      <c r="AL559" s="107">
        <f t="shared" si="589"/>
        <v>0</v>
      </c>
      <c r="AM559" s="107">
        <f t="shared" si="590"/>
        <v>0</v>
      </c>
      <c r="AN559" s="107">
        <f t="shared" si="591"/>
        <v>0</v>
      </c>
      <c r="AO559" s="107">
        <f t="shared" si="592"/>
        <v>0</v>
      </c>
      <c r="AP559" s="107"/>
      <c r="AQ559" s="126"/>
      <c r="AR559" s="107">
        <f t="shared" si="578"/>
        <v>0</v>
      </c>
      <c r="AS559" s="107">
        <f t="shared" si="593"/>
        <v>0</v>
      </c>
      <c r="AT559" s="107">
        <f t="shared" si="594"/>
        <v>0</v>
      </c>
      <c r="AU559" s="107">
        <f t="shared" si="595"/>
        <v>0</v>
      </c>
      <c r="AV559" s="107">
        <f t="shared" si="596"/>
        <v>0</v>
      </c>
      <c r="AW559" s="107">
        <f t="shared" si="597"/>
        <v>0</v>
      </c>
      <c r="AX559" s="107">
        <f t="shared" si="598"/>
        <v>0</v>
      </c>
      <c r="AY559" s="107">
        <f t="shared" si="599"/>
        <v>0</v>
      </c>
      <c r="AZ559" s="107">
        <f t="shared" si="600"/>
        <v>0</v>
      </c>
      <c r="BA559" s="107">
        <f t="shared" si="601"/>
        <v>0</v>
      </c>
      <c r="BB559" s="107">
        <f t="shared" si="602"/>
        <v>0</v>
      </c>
      <c r="BC559" s="107">
        <f t="shared" si="603"/>
        <v>0</v>
      </c>
      <c r="BD559" s="107">
        <f t="shared" si="604"/>
        <v>0</v>
      </c>
      <c r="BE559" s="124"/>
      <c r="BI559" s="127"/>
    </row>
    <row r="560" spans="1:61" ht="22.5" hidden="1" x14ac:dyDescent="0.2">
      <c r="A560" s="123" t="str">
        <f>'[2]2021 УГРЦТ'!A562</f>
        <v>Персональный компьютер высокой производительности</v>
      </c>
      <c r="B560" s="124" t="str">
        <f>'[2]2021 УГРЦТ'!B562</f>
        <v>000001851</v>
      </c>
      <c r="C560" s="124" t="str">
        <f>VLOOKUP(A:A,'2023-2027'!A:L,1,+FALSE)</f>
        <v>Персональный компьютер высокой производительности</v>
      </c>
      <c r="D560" s="124" t="str">
        <f>'[2]2021 УГРЦТ'!C562</f>
        <v>ОБЩЕПРОИЗВОДСТВЕННЫЕ РАСХОДЫ</v>
      </c>
      <c r="E560" s="124" t="str">
        <f>'[2]2021 УГРЦТ'!D562</f>
        <v>Машины и оборудование (кроме офисного)</v>
      </c>
      <c r="F560" s="124" t="str">
        <f>'[2]2021 УГРЦТ'!E562</f>
        <v>22.06.2021</v>
      </c>
      <c r="G560" s="124" t="str">
        <f>'[2]2021 УГРЦТ'!F562</f>
        <v>общепроизводственные расходы</v>
      </c>
      <c r="H560" s="124">
        <f>'[2]2021 УГРЦТ'!AC562</f>
        <v>36</v>
      </c>
      <c r="I560" s="107">
        <f>'[2]2021 УГРЦТ'!X562</f>
        <v>84400</v>
      </c>
      <c r="J560" s="107">
        <f>'[2]2021 УГРЦТ'!Y562</f>
        <v>14066.666666666668</v>
      </c>
      <c r="K560" s="107">
        <f>'[2]2021 УГРЦТ'!Z562</f>
        <v>70333.333333333328</v>
      </c>
      <c r="L560" s="125" t="e">
        <f>SUMIF([2]облаг!$B$2:$B$259,B560,[2]облаг!$D$2:$D$259)</f>
        <v>#VALUE!</v>
      </c>
      <c r="M560" s="148">
        <f t="shared" si="564"/>
        <v>2344.4444444444443</v>
      </c>
      <c r="N560" s="107">
        <f t="shared" si="565"/>
        <v>28133.333333333332</v>
      </c>
      <c r="O560" s="107">
        <f t="shared" si="566"/>
        <v>67988.888888888891</v>
      </c>
      <c r="P560" s="107">
        <f t="shared" si="567"/>
        <v>65644.444444444453</v>
      </c>
      <c r="Q560" s="107">
        <f t="shared" si="568"/>
        <v>63300.000000000007</v>
      </c>
      <c r="R560" s="107">
        <f t="shared" si="569"/>
        <v>60955.555555555562</v>
      </c>
      <c r="S560" s="107">
        <f t="shared" si="570"/>
        <v>58611.111111111117</v>
      </c>
      <c r="T560" s="107">
        <f t="shared" si="571"/>
        <v>56266.666666666672</v>
      </c>
      <c r="U560" s="107">
        <f t="shared" si="572"/>
        <v>53922.222222222226</v>
      </c>
      <c r="V560" s="107">
        <f t="shared" si="573"/>
        <v>51577.777777777781</v>
      </c>
      <c r="W560" s="107">
        <f t="shared" si="574"/>
        <v>49233.333333333336</v>
      </c>
      <c r="X560" s="107">
        <f t="shared" si="575"/>
        <v>46888.888888888891</v>
      </c>
      <c r="Y560" s="107">
        <f t="shared" si="576"/>
        <v>44544.444444444445</v>
      </c>
      <c r="Z560" s="107">
        <f t="shared" si="577"/>
        <v>42200</v>
      </c>
      <c r="AA560" s="107"/>
      <c r="AB560" s="107"/>
      <c r="AC560" s="107">
        <f t="shared" si="586"/>
        <v>28133.333333333332</v>
      </c>
      <c r="AD560" s="107">
        <f t="shared" si="580"/>
        <v>39855.555555555555</v>
      </c>
      <c r="AE560" s="107">
        <f t="shared" si="581"/>
        <v>37511.111111111109</v>
      </c>
      <c r="AF560" s="107">
        <f t="shared" si="582"/>
        <v>35166.666666666664</v>
      </c>
      <c r="AG560" s="107">
        <f t="shared" si="583"/>
        <v>32822.222222222219</v>
      </c>
      <c r="AH560" s="107">
        <f t="shared" si="584"/>
        <v>30477.777777777774</v>
      </c>
      <c r="AI560" s="107">
        <f t="shared" si="585"/>
        <v>28133.333333333328</v>
      </c>
      <c r="AJ560" s="107">
        <f t="shared" si="587"/>
        <v>25788.888888888883</v>
      </c>
      <c r="AK560" s="107">
        <f t="shared" si="588"/>
        <v>23444.444444444438</v>
      </c>
      <c r="AL560" s="107">
        <f t="shared" si="589"/>
        <v>21099.999999999993</v>
      </c>
      <c r="AM560" s="107">
        <f t="shared" si="590"/>
        <v>18755.555555555547</v>
      </c>
      <c r="AN560" s="107">
        <f t="shared" si="591"/>
        <v>16411.111111111102</v>
      </c>
      <c r="AO560" s="107">
        <f t="shared" si="592"/>
        <v>14066.666666666657</v>
      </c>
      <c r="AP560" s="107"/>
      <c r="AQ560" s="126"/>
      <c r="AR560" s="107">
        <f t="shared" si="578"/>
        <v>28133.333333333332</v>
      </c>
      <c r="AS560" s="107">
        <f t="shared" si="593"/>
        <v>11722.222222222212</v>
      </c>
      <c r="AT560" s="107">
        <f t="shared" si="594"/>
        <v>9377.7777777777665</v>
      </c>
      <c r="AU560" s="107">
        <f t="shared" si="595"/>
        <v>7033.3333333333221</v>
      </c>
      <c r="AV560" s="107">
        <f t="shared" si="596"/>
        <v>4688.8888888888778</v>
      </c>
      <c r="AW560" s="107">
        <f t="shared" si="597"/>
        <v>2344.4444444444334</v>
      </c>
      <c r="AX560" s="107">
        <f t="shared" si="598"/>
        <v>-1.0913936421275139E-11</v>
      </c>
      <c r="AY560" s="107">
        <f t="shared" si="599"/>
        <v>-2344.4444444444553</v>
      </c>
      <c r="AZ560" s="107">
        <f t="shared" si="600"/>
        <v>-4688.8888888888996</v>
      </c>
      <c r="BA560" s="107">
        <f t="shared" si="601"/>
        <v>-7033.3333333333439</v>
      </c>
      <c r="BB560" s="107">
        <f t="shared" si="602"/>
        <v>-9377.7777777777883</v>
      </c>
      <c r="BC560" s="107">
        <f t="shared" si="603"/>
        <v>-11722.222222222234</v>
      </c>
      <c r="BD560" s="107">
        <f t="shared" si="604"/>
        <v>-14066.666666666679</v>
      </c>
      <c r="BE560" s="107"/>
      <c r="BI560" s="127"/>
    </row>
    <row r="561" spans="1:75" ht="22.5" hidden="1" x14ac:dyDescent="0.2">
      <c r="A561" s="123" t="str">
        <f>'[2]2021 УГРЦТ'!A563</f>
        <v>Персональный компьютер высокой производительности</v>
      </c>
      <c r="B561" s="124" t="str">
        <f>'[2]2021 УГРЦТ'!B563</f>
        <v>000001859</v>
      </c>
      <c r="C561" s="124" t="str">
        <f>VLOOKUP(A:A,'2023-2027'!A:L,1,+FALSE)</f>
        <v>Персональный компьютер высокой производительности</v>
      </c>
      <c r="D561" s="124" t="str">
        <f>'[2]2021 УГРЦТ'!C563</f>
        <v>ОБЩЕПРОИЗВОДСТВЕННЫЕ РАСХОДЫ</v>
      </c>
      <c r="E561" s="124" t="str">
        <f>'[2]2021 УГРЦТ'!D563</f>
        <v>Машины и оборудование (кроме офисного)</v>
      </c>
      <c r="F561" s="124" t="str">
        <f>'[2]2021 УГРЦТ'!E563</f>
        <v>31.08.2021</v>
      </c>
      <c r="G561" s="124" t="str">
        <f>'[2]2021 УГРЦТ'!F563</f>
        <v>общепроизводственные расходы</v>
      </c>
      <c r="H561" s="124">
        <f>'[2]2021 УГРЦТ'!AC563</f>
        <v>36</v>
      </c>
      <c r="I561" s="107">
        <f>'[2]2021 УГРЦТ'!X563</f>
        <v>84400</v>
      </c>
      <c r="J561" s="107">
        <f>'[2]2021 УГРЦТ'!Y563</f>
        <v>9377.7777777777774</v>
      </c>
      <c r="K561" s="107">
        <f>'[2]2021 УГРЦТ'!Z563</f>
        <v>75022.222222222219</v>
      </c>
      <c r="L561" s="125" t="e">
        <f>SUMIF([2]облаг!$B$2:$B$259,B561,[2]облаг!$D$2:$D$259)</f>
        <v>#VALUE!</v>
      </c>
      <c r="M561" s="148">
        <f t="shared" si="564"/>
        <v>2344.4444444444443</v>
      </c>
      <c r="N561" s="107">
        <f t="shared" si="565"/>
        <v>28133.333333333332</v>
      </c>
      <c r="O561" s="107">
        <f t="shared" si="566"/>
        <v>72677.777777777781</v>
      </c>
      <c r="P561" s="107">
        <f t="shared" si="567"/>
        <v>70333.333333333343</v>
      </c>
      <c r="Q561" s="107">
        <f t="shared" si="568"/>
        <v>67988.888888888905</v>
      </c>
      <c r="R561" s="107">
        <f t="shared" si="569"/>
        <v>65644.444444444467</v>
      </c>
      <c r="S561" s="107">
        <f t="shared" si="570"/>
        <v>63300.000000000022</v>
      </c>
      <c r="T561" s="107">
        <f t="shared" si="571"/>
        <v>60955.555555555577</v>
      </c>
      <c r="U561" s="107">
        <f t="shared" si="572"/>
        <v>58611.111111111131</v>
      </c>
      <c r="V561" s="107">
        <f t="shared" si="573"/>
        <v>56266.666666666686</v>
      </c>
      <c r="W561" s="107">
        <f t="shared" si="574"/>
        <v>53922.222222222241</v>
      </c>
      <c r="X561" s="107">
        <f t="shared" si="575"/>
        <v>51577.777777777796</v>
      </c>
      <c r="Y561" s="107">
        <f t="shared" si="576"/>
        <v>49233.33333333335</v>
      </c>
      <c r="Z561" s="107">
        <f t="shared" si="577"/>
        <v>46888.888888888905</v>
      </c>
      <c r="AA561" s="107"/>
      <c r="AB561" s="107"/>
      <c r="AC561" s="107">
        <f t="shared" si="586"/>
        <v>28133.333333333332</v>
      </c>
      <c r="AD561" s="107">
        <f t="shared" si="580"/>
        <v>44544.44444444446</v>
      </c>
      <c r="AE561" s="107">
        <f t="shared" si="581"/>
        <v>42200.000000000015</v>
      </c>
      <c r="AF561" s="107">
        <f t="shared" si="582"/>
        <v>39855.555555555569</v>
      </c>
      <c r="AG561" s="107">
        <f t="shared" si="583"/>
        <v>37511.111111111124</v>
      </c>
      <c r="AH561" s="107">
        <f t="shared" si="584"/>
        <v>35166.666666666679</v>
      </c>
      <c r="AI561" s="107">
        <f t="shared" si="585"/>
        <v>32822.222222222234</v>
      </c>
      <c r="AJ561" s="107">
        <f t="shared" si="587"/>
        <v>30477.777777777788</v>
      </c>
      <c r="AK561" s="107">
        <f t="shared" si="588"/>
        <v>28133.333333333343</v>
      </c>
      <c r="AL561" s="107">
        <f t="shared" si="589"/>
        <v>25788.888888888898</v>
      </c>
      <c r="AM561" s="107">
        <f t="shared" si="590"/>
        <v>23444.444444444453</v>
      </c>
      <c r="AN561" s="107">
        <f t="shared" si="591"/>
        <v>21100.000000000007</v>
      </c>
      <c r="AO561" s="107">
        <f t="shared" si="592"/>
        <v>18755.555555555562</v>
      </c>
      <c r="AP561" s="107"/>
      <c r="AQ561" s="126"/>
      <c r="AR561" s="107">
        <f t="shared" si="578"/>
        <v>28133.333333333332</v>
      </c>
      <c r="AS561" s="107">
        <f t="shared" si="593"/>
        <v>16411.111111111117</v>
      </c>
      <c r="AT561" s="107">
        <f t="shared" si="594"/>
        <v>14066.666666666672</v>
      </c>
      <c r="AU561" s="107">
        <f t="shared" si="595"/>
        <v>11722.222222222226</v>
      </c>
      <c r="AV561" s="107">
        <f t="shared" si="596"/>
        <v>9377.777777777781</v>
      </c>
      <c r="AW561" s="107">
        <f t="shared" si="597"/>
        <v>7033.3333333333367</v>
      </c>
      <c r="AX561" s="107">
        <f t="shared" si="598"/>
        <v>4688.8888888888923</v>
      </c>
      <c r="AY561" s="107">
        <f t="shared" si="599"/>
        <v>2344.444444444448</v>
      </c>
      <c r="AZ561" s="107">
        <f t="shared" si="600"/>
        <v>3.637978807091713E-12</v>
      </c>
      <c r="BA561" s="107">
        <f t="shared" si="601"/>
        <v>-2344.4444444444407</v>
      </c>
      <c r="BB561" s="107">
        <f t="shared" si="602"/>
        <v>-4688.888888888885</v>
      </c>
      <c r="BC561" s="107">
        <f t="shared" si="603"/>
        <v>-7033.3333333333294</v>
      </c>
      <c r="BD561" s="107">
        <f t="shared" si="604"/>
        <v>-9377.7777777777737</v>
      </c>
      <c r="BE561" s="107"/>
      <c r="BI561" s="127"/>
    </row>
    <row r="562" spans="1:75" ht="33.75" hidden="1" x14ac:dyDescent="0.2">
      <c r="A562" s="123" t="str">
        <f>'[2]2021 УГРЦТ'!A564</f>
        <v>Персональный компьютер высокой производительности c 2-мя мониторами</v>
      </c>
      <c r="B562" s="124" t="str">
        <f>'[2]2021 УГРЦТ'!B564</f>
        <v>000001850</v>
      </c>
      <c r="C562" s="124" t="str">
        <f>VLOOKUP(A:A,'2023-2027'!A:L,1,+FALSE)</f>
        <v>Персональный компьютер высокой производительности c 2-мя мониторами</v>
      </c>
      <c r="D562" s="124" t="str">
        <f>'[2]2021 УГРЦТ'!C564</f>
        <v>ОБЩЕПРОИЗВОДСТВЕННЫЕ РАСХОДЫ</v>
      </c>
      <c r="E562" s="124" t="str">
        <f>'[2]2021 УГРЦТ'!D564</f>
        <v>Машины и оборудование (кроме офисного)</v>
      </c>
      <c r="F562" s="124" t="str">
        <f>'[2]2021 УГРЦТ'!E564</f>
        <v>26.05.2021</v>
      </c>
      <c r="G562" s="124" t="str">
        <f>'[2]2021 УГРЦТ'!F564</f>
        <v>общепроизводственные расходы</v>
      </c>
      <c r="H562" s="124">
        <f>'[2]2021 УГРЦТ'!AC564</f>
        <v>36</v>
      </c>
      <c r="I562" s="107">
        <f>'[2]2021 УГРЦТ'!X564</f>
        <v>99990</v>
      </c>
      <c r="J562" s="107">
        <f>'[2]2021 УГРЦТ'!Y564</f>
        <v>19442.5</v>
      </c>
      <c r="K562" s="107">
        <f>'[2]2021 УГРЦТ'!Z564</f>
        <v>80547.5</v>
      </c>
      <c r="L562" s="125" t="e">
        <f>SUMIF([2]облаг!$B$2:$B$259,B562,[2]облаг!$D$2:$D$259)</f>
        <v>#VALUE!</v>
      </c>
      <c r="M562" s="148">
        <f t="shared" si="564"/>
        <v>2777.5</v>
      </c>
      <c r="N562" s="107">
        <f t="shared" si="565"/>
        <v>33330</v>
      </c>
      <c r="O562" s="107">
        <f t="shared" si="566"/>
        <v>77770</v>
      </c>
      <c r="P562" s="107">
        <f t="shared" si="567"/>
        <v>74992.5</v>
      </c>
      <c r="Q562" s="107">
        <f t="shared" si="568"/>
        <v>72215</v>
      </c>
      <c r="R562" s="107">
        <f t="shared" si="569"/>
        <v>69437.5</v>
      </c>
      <c r="S562" s="107">
        <f t="shared" si="570"/>
        <v>66660</v>
      </c>
      <c r="T562" s="107">
        <f t="shared" si="571"/>
        <v>63882.5</v>
      </c>
      <c r="U562" s="107">
        <f t="shared" si="572"/>
        <v>61105</v>
      </c>
      <c r="V562" s="107">
        <f t="shared" si="573"/>
        <v>58327.5</v>
      </c>
      <c r="W562" s="107">
        <f t="shared" si="574"/>
        <v>55550</v>
      </c>
      <c r="X562" s="107">
        <f t="shared" si="575"/>
        <v>52772.5</v>
      </c>
      <c r="Y562" s="107">
        <f t="shared" si="576"/>
        <v>49995</v>
      </c>
      <c r="Z562" s="107">
        <f t="shared" si="577"/>
        <v>47217.5</v>
      </c>
      <c r="AA562" s="107"/>
      <c r="AB562" s="107"/>
      <c r="AC562" s="107">
        <f t="shared" si="586"/>
        <v>33330</v>
      </c>
      <c r="AD562" s="107">
        <f t="shared" si="580"/>
        <v>44440</v>
      </c>
      <c r="AE562" s="107">
        <f t="shared" si="581"/>
        <v>41662.5</v>
      </c>
      <c r="AF562" s="107">
        <f t="shared" si="582"/>
        <v>38885</v>
      </c>
      <c r="AG562" s="107">
        <f t="shared" si="583"/>
        <v>36107.5</v>
      </c>
      <c r="AH562" s="107">
        <f t="shared" si="584"/>
        <v>33330</v>
      </c>
      <c r="AI562" s="107">
        <f t="shared" si="585"/>
        <v>30552.5</v>
      </c>
      <c r="AJ562" s="107">
        <f t="shared" si="587"/>
        <v>27775</v>
      </c>
      <c r="AK562" s="107">
        <f t="shared" si="588"/>
        <v>24997.5</v>
      </c>
      <c r="AL562" s="107">
        <f t="shared" si="589"/>
        <v>22220</v>
      </c>
      <c r="AM562" s="107">
        <f t="shared" si="590"/>
        <v>19442.5</v>
      </c>
      <c r="AN562" s="107">
        <f t="shared" si="591"/>
        <v>16665</v>
      </c>
      <c r="AO562" s="107">
        <f t="shared" si="592"/>
        <v>13887.5</v>
      </c>
      <c r="AP562" s="107"/>
      <c r="AQ562" s="126"/>
      <c r="AR562" s="107">
        <f t="shared" si="578"/>
        <v>33330</v>
      </c>
      <c r="AS562" s="107">
        <f t="shared" si="593"/>
        <v>11110</v>
      </c>
      <c r="AT562" s="107">
        <f t="shared" si="594"/>
        <v>8332.5</v>
      </c>
      <c r="AU562" s="107">
        <f t="shared" si="595"/>
        <v>5555</v>
      </c>
      <c r="AV562" s="107">
        <f t="shared" si="596"/>
        <v>2777.5</v>
      </c>
      <c r="AW562" s="107">
        <f t="shared" si="597"/>
        <v>0</v>
      </c>
      <c r="AX562" s="107">
        <f t="shared" si="598"/>
        <v>-2777.5</v>
      </c>
      <c r="AY562" s="107">
        <f t="shared" si="599"/>
        <v>-5555</v>
      </c>
      <c r="AZ562" s="107">
        <f t="shared" si="600"/>
        <v>-8332.5</v>
      </c>
      <c r="BA562" s="107">
        <f t="shared" si="601"/>
        <v>-11110</v>
      </c>
      <c r="BB562" s="107">
        <f t="shared" si="602"/>
        <v>-13887.5</v>
      </c>
      <c r="BC562" s="107">
        <f t="shared" si="603"/>
        <v>-16665</v>
      </c>
      <c r="BD562" s="107">
        <f t="shared" si="604"/>
        <v>-19442.5</v>
      </c>
      <c r="BE562" s="107"/>
      <c r="BI562" s="127"/>
    </row>
    <row r="563" spans="1:75" hidden="1" x14ac:dyDescent="0.2">
      <c r="A563" s="123" t="str">
        <f>'[2]2021 УГРЦТ'!A565</f>
        <v>Перфоратор Makita HR5202C</v>
      </c>
      <c r="B563" s="124" t="str">
        <f>'[2]2021 УГРЦТ'!B565</f>
        <v>000001807</v>
      </c>
      <c r="C563" s="124" t="str">
        <f>VLOOKUP(A:A,'2023-2027'!A:L,1,+FALSE)</f>
        <v>Перфоратор Makita HR5202C</v>
      </c>
      <c r="D563" s="124" t="str">
        <f>'[2]2021 УГРЦТ'!C565</f>
        <v>ОБЩЕПРОИЗВОДСТВЕННЫЕ РАСХОДЫ</v>
      </c>
      <c r="E563" s="124" t="str">
        <f>'[2]2021 УГРЦТ'!D565</f>
        <v>Машины и оборудование (кроме офисного)</v>
      </c>
      <c r="F563" s="124" t="str">
        <f>'[2]2021 УГРЦТ'!E565</f>
        <v>16.04.2020</v>
      </c>
      <c r="G563" s="124" t="str">
        <f>'[2]2021 УГРЦТ'!F565</f>
        <v>общепроизводственные расходы</v>
      </c>
      <c r="H563" s="124">
        <f>'[2]2021 УГРЦТ'!AC565</f>
        <v>24</v>
      </c>
      <c r="I563" s="107">
        <f>'[2]2021 УГРЦТ'!X565</f>
        <v>0</v>
      </c>
      <c r="J563" s="107">
        <f>'[2]2021 УГРЦТ'!Y565</f>
        <v>34519.964583333327</v>
      </c>
      <c r="K563" s="107">
        <f>'[2]2021 УГРЦТ'!Z565</f>
        <v>0</v>
      </c>
      <c r="L563" s="125" t="e">
        <f>SUMIF([2]облаг!$B$2:$B$259,B563,[2]облаг!$D$2:$D$259)</f>
        <v>#VALUE!</v>
      </c>
      <c r="M563" s="148">
        <f t="shared" si="564"/>
        <v>0</v>
      </c>
      <c r="N563" s="107">
        <f t="shared" si="565"/>
        <v>0</v>
      </c>
      <c r="O563" s="107">
        <f t="shared" si="566"/>
        <v>0</v>
      </c>
      <c r="P563" s="107">
        <f t="shared" si="567"/>
        <v>0</v>
      </c>
      <c r="Q563" s="107">
        <f t="shared" si="568"/>
        <v>0</v>
      </c>
      <c r="R563" s="107">
        <f t="shared" si="569"/>
        <v>0</v>
      </c>
      <c r="S563" s="107">
        <f t="shared" si="570"/>
        <v>0</v>
      </c>
      <c r="T563" s="107">
        <f t="shared" si="571"/>
        <v>0</v>
      </c>
      <c r="U563" s="107">
        <f t="shared" si="572"/>
        <v>0</v>
      </c>
      <c r="V563" s="107">
        <f t="shared" si="573"/>
        <v>0</v>
      </c>
      <c r="W563" s="107">
        <f t="shared" si="574"/>
        <v>0</v>
      </c>
      <c r="X563" s="107">
        <f t="shared" si="575"/>
        <v>0</v>
      </c>
      <c r="Y563" s="107">
        <f t="shared" si="576"/>
        <v>0</v>
      </c>
      <c r="Z563" s="107">
        <f t="shared" si="577"/>
        <v>0</v>
      </c>
      <c r="AA563" s="107"/>
      <c r="AB563" s="107"/>
      <c r="AC563" s="107">
        <f t="shared" si="586"/>
        <v>0</v>
      </c>
      <c r="AD563" s="107">
        <f t="shared" si="580"/>
        <v>0</v>
      </c>
      <c r="AE563" s="107">
        <f t="shared" si="581"/>
        <v>0</v>
      </c>
      <c r="AF563" s="107">
        <f t="shared" si="582"/>
        <v>0</v>
      </c>
      <c r="AG563" s="107">
        <f t="shared" si="583"/>
        <v>0</v>
      </c>
      <c r="AH563" s="107">
        <f t="shared" si="584"/>
        <v>0</v>
      </c>
      <c r="AI563" s="107">
        <f t="shared" si="585"/>
        <v>0</v>
      </c>
      <c r="AJ563" s="107">
        <f t="shared" si="587"/>
        <v>0</v>
      </c>
      <c r="AK563" s="107">
        <f t="shared" si="588"/>
        <v>0</v>
      </c>
      <c r="AL563" s="107">
        <f t="shared" si="589"/>
        <v>0</v>
      </c>
      <c r="AM563" s="107">
        <f t="shared" si="590"/>
        <v>0</v>
      </c>
      <c r="AN563" s="107">
        <f t="shared" si="591"/>
        <v>0</v>
      </c>
      <c r="AO563" s="107">
        <f t="shared" si="592"/>
        <v>0</v>
      </c>
      <c r="AP563" s="107"/>
      <c r="AQ563" s="126"/>
      <c r="AR563" s="107">
        <f t="shared" si="578"/>
        <v>0</v>
      </c>
      <c r="AS563" s="107">
        <f t="shared" si="593"/>
        <v>0</v>
      </c>
      <c r="AT563" s="107">
        <f t="shared" si="594"/>
        <v>0</v>
      </c>
      <c r="AU563" s="107">
        <f t="shared" si="595"/>
        <v>0</v>
      </c>
      <c r="AV563" s="107">
        <f t="shared" si="596"/>
        <v>0</v>
      </c>
      <c r="AW563" s="107">
        <f t="shared" si="597"/>
        <v>0</v>
      </c>
      <c r="AX563" s="107">
        <f t="shared" si="598"/>
        <v>0</v>
      </c>
      <c r="AY563" s="107">
        <f t="shared" si="599"/>
        <v>0</v>
      </c>
      <c r="AZ563" s="107">
        <f t="shared" si="600"/>
        <v>0</v>
      </c>
      <c r="BA563" s="107">
        <f t="shared" si="601"/>
        <v>0</v>
      </c>
      <c r="BB563" s="107">
        <f t="shared" si="602"/>
        <v>0</v>
      </c>
      <c r="BC563" s="107">
        <f t="shared" si="603"/>
        <v>0</v>
      </c>
      <c r="BD563" s="107">
        <f t="shared" si="604"/>
        <v>0</v>
      </c>
      <c r="BE563" s="124"/>
      <c r="BI563" s="127"/>
    </row>
    <row r="564" spans="1:75" ht="22.5" hidden="1" x14ac:dyDescent="0.2">
      <c r="A564" s="123" t="str">
        <f>'[2]2021 УГРЦТ'!A566</f>
        <v>Пристройка архива к существующему зданию</v>
      </c>
      <c r="B564" s="124" t="str">
        <f>'[2]2021 УГРЦТ'!B566</f>
        <v>00001048</v>
      </c>
      <c r="C564" s="124" t="str">
        <f>VLOOKUP(A:A,'2023-2027'!A:L,1,+FALSE)</f>
        <v>Пристройка архива к существующему зданию</v>
      </c>
      <c r="D564" s="124" t="str">
        <f>'[2]2021 УГРЦТ'!C566</f>
        <v>ОБЩЕПРОИЗВОДСТВЕННЫЕ РАСХОДЫ</v>
      </c>
      <c r="E564" s="124" t="str">
        <f>'[2]2021 УГРЦТ'!D566</f>
        <v>Здания</v>
      </c>
      <c r="F564" s="124" t="str">
        <f>'[2]2021 УГРЦТ'!E566</f>
        <v>31.10.2007</v>
      </c>
      <c r="G564" s="124" t="str">
        <f>'[2]2021 УГРЦТ'!F566</f>
        <v>Общехозяйственные расходы</v>
      </c>
      <c r="H564" s="124">
        <f>'[2]2021 УГРЦТ'!AC566</f>
        <v>300</v>
      </c>
      <c r="I564" s="107">
        <f>'[2]2021 УГРЦТ'!X566</f>
        <v>1011733.62</v>
      </c>
      <c r="J564" s="107">
        <f>'[2]2021 УГРЦТ'!Y566</f>
        <v>409999.94</v>
      </c>
      <c r="K564" s="107">
        <f>'[2]2021 УГРЦТ'!Z566</f>
        <v>601733.67999999993</v>
      </c>
      <c r="L564" s="125" t="e">
        <f>SUMIF([2]облаг!$B$2:$B$259,B564,[2]облаг!$D$2:$D$259)</f>
        <v>#VALUE!</v>
      </c>
      <c r="M564" s="148">
        <f t="shared" si="564"/>
        <v>3372.4454000000001</v>
      </c>
      <c r="N564" s="107">
        <f t="shared" si="565"/>
        <v>40469.344799999999</v>
      </c>
      <c r="O564" s="107">
        <f t="shared" si="566"/>
        <v>598361.23459999997</v>
      </c>
      <c r="P564" s="107">
        <f t="shared" si="567"/>
        <v>594988.7892</v>
      </c>
      <c r="Q564" s="107">
        <f t="shared" si="568"/>
        <v>591616.34380000003</v>
      </c>
      <c r="R564" s="107">
        <f t="shared" si="569"/>
        <v>588243.89840000006</v>
      </c>
      <c r="S564" s="107">
        <f t="shared" si="570"/>
        <v>584871.4530000001</v>
      </c>
      <c r="T564" s="107">
        <f t="shared" si="571"/>
        <v>581499.00760000013</v>
      </c>
      <c r="U564" s="107">
        <f t="shared" si="572"/>
        <v>578126.56220000016</v>
      </c>
      <c r="V564" s="107">
        <f t="shared" si="573"/>
        <v>574754.11680000019</v>
      </c>
      <c r="W564" s="107">
        <f t="shared" si="574"/>
        <v>571381.67140000022</v>
      </c>
      <c r="X564" s="107">
        <f t="shared" si="575"/>
        <v>568009.22600000026</v>
      </c>
      <c r="Y564" s="107">
        <f t="shared" si="576"/>
        <v>564636.78060000029</v>
      </c>
      <c r="Z564" s="107">
        <f t="shared" si="577"/>
        <v>561264.33520000032</v>
      </c>
      <c r="AA564" s="107">
        <f>SUM(O564:Z564,K564)/13*$AA$2</f>
        <v>12792.978167200003</v>
      </c>
      <c r="AB564" s="107"/>
      <c r="AC564" s="107">
        <f t="shared" si="586"/>
        <v>40469.344799999999</v>
      </c>
      <c r="AD564" s="107">
        <f t="shared" si="580"/>
        <v>557891.88980000035</v>
      </c>
      <c r="AE564" s="107">
        <f t="shared" si="581"/>
        <v>554519.44440000039</v>
      </c>
      <c r="AF564" s="107">
        <f t="shared" si="582"/>
        <v>551146.99900000042</v>
      </c>
      <c r="AG564" s="107">
        <f t="shared" si="583"/>
        <v>547774.55360000045</v>
      </c>
      <c r="AH564" s="107">
        <f t="shared" si="584"/>
        <v>544402.10820000048</v>
      </c>
      <c r="AI564" s="107">
        <f t="shared" si="585"/>
        <v>541029.66280000051</v>
      </c>
      <c r="AJ564" s="107">
        <f t="shared" si="587"/>
        <v>537657.21740000055</v>
      </c>
      <c r="AK564" s="107">
        <f t="shared" si="588"/>
        <v>534284.77200000058</v>
      </c>
      <c r="AL564" s="107">
        <f t="shared" si="589"/>
        <v>530912.32660000061</v>
      </c>
      <c r="AM564" s="107">
        <f t="shared" si="590"/>
        <v>527539.88120000064</v>
      </c>
      <c r="AN564" s="107">
        <f t="shared" si="591"/>
        <v>524167.43580000062</v>
      </c>
      <c r="AO564" s="107">
        <f t="shared" si="592"/>
        <v>520794.99040000059</v>
      </c>
      <c r="AP564" s="107">
        <f>SUM(AD564:AO564,Z564)/13*$AP$2</f>
        <v>11902.65258160001</v>
      </c>
      <c r="AQ564" s="126"/>
      <c r="AR564" s="107">
        <f t="shared" si="578"/>
        <v>40469.344799999999</v>
      </c>
      <c r="AS564" s="107">
        <f t="shared" si="593"/>
        <v>517422.54500000057</v>
      </c>
      <c r="AT564" s="107">
        <f t="shared" si="594"/>
        <v>514050.09960000054</v>
      </c>
      <c r="AU564" s="107">
        <f t="shared" si="595"/>
        <v>510677.65420000051</v>
      </c>
      <c r="AV564" s="107">
        <f t="shared" si="596"/>
        <v>507305.20880000049</v>
      </c>
      <c r="AW564" s="107">
        <f t="shared" si="597"/>
        <v>503932.76340000046</v>
      </c>
      <c r="AX564" s="107">
        <f t="shared" si="598"/>
        <v>500560.31800000044</v>
      </c>
      <c r="AY564" s="107">
        <f t="shared" si="599"/>
        <v>497187.87260000041</v>
      </c>
      <c r="AZ564" s="107">
        <f t="shared" si="600"/>
        <v>493815.42720000038</v>
      </c>
      <c r="BA564" s="107">
        <f t="shared" si="601"/>
        <v>490442.98180000036</v>
      </c>
      <c r="BB564" s="107">
        <f t="shared" si="602"/>
        <v>487070.53640000033</v>
      </c>
      <c r="BC564" s="107">
        <f t="shared" si="603"/>
        <v>483698.09100000031</v>
      </c>
      <c r="BD564" s="107">
        <f t="shared" si="604"/>
        <v>480325.64560000028</v>
      </c>
      <c r="BE564" s="107">
        <f>SUM(AS564:BD564,AO564)/13*$BE$2</f>
        <v>11012.326996000007</v>
      </c>
      <c r="BF564" s="127"/>
      <c r="BG564" s="127"/>
      <c r="BH564" s="127"/>
      <c r="BI564" s="127"/>
      <c r="BJ564" s="127"/>
      <c r="BK564" s="127"/>
      <c r="BL564" s="127"/>
      <c r="BM564" s="127"/>
      <c r="BN564" s="127"/>
      <c r="BO564" s="127"/>
      <c r="BP564" s="127"/>
      <c r="BQ564" s="127"/>
      <c r="BR564" s="127"/>
      <c r="BS564" s="127"/>
      <c r="BT564" s="127"/>
      <c r="BU564" s="127"/>
      <c r="BV564" s="127"/>
      <c r="BW564" s="127"/>
    </row>
    <row r="565" spans="1:75" ht="33.75" hidden="1" x14ac:dyDescent="0.2">
      <c r="A565" s="123" t="str">
        <f>'[2]2021 УГРЦТ'!A567</f>
        <v>Противотаранное устройство при въезде на территорию предприятия</v>
      </c>
      <c r="B565" s="124" t="str">
        <f>'[2]2021 УГРЦТ'!B567</f>
        <v>000001860</v>
      </c>
      <c r="C565" s="124" t="str">
        <f>VLOOKUP(A:A,'2023-2027'!A:L,1,+FALSE)</f>
        <v>Противотаранное устройство при въезде на территорию предприятия</v>
      </c>
      <c r="D565" s="124" t="str">
        <f>'[2]2021 УГРЦТ'!C567</f>
        <v>ОБЩЕПРОИЗВОДСТВЕННЫЕ РАСХОДЫ</v>
      </c>
      <c r="E565" s="124" t="str">
        <f>'[2]2021 УГРЦТ'!D567</f>
        <v>Машины и оборудование (кроме офисного)</v>
      </c>
      <c r="F565" s="124" t="str">
        <f>'[2]2021 УГРЦТ'!E567</f>
        <v>13.09.2021</v>
      </c>
      <c r="G565" s="124" t="str">
        <f>'[2]2021 УГРЦТ'!F567</f>
        <v>Общехозяйственные расходы</v>
      </c>
      <c r="H565" s="124">
        <f>'[2]2021 УГРЦТ'!AC567</f>
        <v>120</v>
      </c>
      <c r="I565" s="107">
        <f>'[2]2021 УГРЦТ'!X567</f>
        <v>2359797.04</v>
      </c>
      <c r="J565" s="107">
        <f>'[2]2021 УГРЦТ'!Y567</f>
        <v>19664.975333333332</v>
      </c>
      <c r="K565" s="107">
        <f>'[2]2021 УГРЦТ'!Z567</f>
        <v>2300802.1140000001</v>
      </c>
      <c r="L565" s="125" t="e">
        <f>SUMIF([2]облаг!$B$2:$B$259,B565,[2]облаг!$D$2:$D$259)</f>
        <v>#VALUE!</v>
      </c>
      <c r="M565" s="148">
        <f t="shared" si="564"/>
        <v>19664.975333333332</v>
      </c>
      <c r="N565" s="107">
        <f t="shared" si="565"/>
        <v>235979.70399999997</v>
      </c>
      <c r="O565" s="107">
        <f t="shared" si="566"/>
        <v>2281137.1386666666</v>
      </c>
      <c r="P565" s="107">
        <f t="shared" si="567"/>
        <v>2261472.1633333331</v>
      </c>
      <c r="Q565" s="107">
        <f t="shared" si="568"/>
        <v>2241807.1879999996</v>
      </c>
      <c r="R565" s="107">
        <f t="shared" si="569"/>
        <v>2222142.2126666661</v>
      </c>
      <c r="S565" s="107">
        <f t="shared" si="570"/>
        <v>2202477.2373333327</v>
      </c>
      <c r="T565" s="107">
        <f t="shared" si="571"/>
        <v>2182812.2619999992</v>
      </c>
      <c r="U565" s="107">
        <f t="shared" si="572"/>
        <v>2163147.2866666657</v>
      </c>
      <c r="V565" s="107">
        <f t="shared" si="573"/>
        <v>2143482.3113333322</v>
      </c>
      <c r="W565" s="107">
        <f t="shared" si="574"/>
        <v>2123817.3359999987</v>
      </c>
      <c r="X565" s="107">
        <f t="shared" si="575"/>
        <v>2104152.3606666652</v>
      </c>
      <c r="Y565" s="107">
        <f t="shared" si="576"/>
        <v>2084487.385333332</v>
      </c>
      <c r="Z565" s="107">
        <f t="shared" si="577"/>
        <v>2064822.4099999988</v>
      </c>
      <c r="AA565" s="107"/>
      <c r="AB565" s="107"/>
      <c r="AC565" s="107">
        <f t="shared" si="586"/>
        <v>235979.70399999997</v>
      </c>
      <c r="AD565" s="107">
        <f t="shared" si="580"/>
        <v>2045157.4346666655</v>
      </c>
      <c r="AE565" s="107">
        <f t="shared" si="581"/>
        <v>2025492.4593333323</v>
      </c>
      <c r="AF565" s="107">
        <f t="shared" si="582"/>
        <v>2005827.483999999</v>
      </c>
      <c r="AG565" s="107">
        <f t="shared" si="583"/>
        <v>1986162.5086666658</v>
      </c>
      <c r="AH565" s="107">
        <f t="shared" si="584"/>
        <v>1966497.5333333325</v>
      </c>
      <c r="AI565" s="107">
        <f t="shared" si="585"/>
        <v>1946832.5579999993</v>
      </c>
      <c r="AJ565" s="107">
        <f t="shared" si="587"/>
        <v>1927167.582666666</v>
      </c>
      <c r="AK565" s="107">
        <f t="shared" si="588"/>
        <v>1907502.6073333328</v>
      </c>
      <c r="AL565" s="107">
        <f t="shared" si="589"/>
        <v>1887837.6319999995</v>
      </c>
      <c r="AM565" s="107">
        <f t="shared" si="590"/>
        <v>1868172.6566666663</v>
      </c>
      <c r="AN565" s="107">
        <f t="shared" si="591"/>
        <v>1848507.681333333</v>
      </c>
      <c r="AO565" s="107">
        <f t="shared" si="592"/>
        <v>1828842.7059999998</v>
      </c>
      <c r="AP565" s="107"/>
      <c r="AQ565" s="126"/>
      <c r="AR565" s="107">
        <f t="shared" si="578"/>
        <v>235979.70399999997</v>
      </c>
      <c r="AS565" s="107">
        <f t="shared" si="593"/>
        <v>1809177.7306666665</v>
      </c>
      <c r="AT565" s="107">
        <f t="shared" si="594"/>
        <v>1789512.7553333333</v>
      </c>
      <c r="AU565" s="107">
        <f t="shared" si="595"/>
        <v>1769847.78</v>
      </c>
      <c r="AV565" s="107">
        <f t="shared" si="596"/>
        <v>1750182.8046666668</v>
      </c>
      <c r="AW565" s="107">
        <f t="shared" si="597"/>
        <v>1730517.8293333335</v>
      </c>
      <c r="AX565" s="107">
        <f t="shared" si="598"/>
        <v>1710852.8540000003</v>
      </c>
      <c r="AY565" s="107">
        <f t="shared" si="599"/>
        <v>1691187.878666667</v>
      </c>
      <c r="AZ565" s="107">
        <f t="shared" si="600"/>
        <v>1671522.9033333338</v>
      </c>
      <c r="BA565" s="107">
        <f t="shared" si="601"/>
        <v>1651857.9280000005</v>
      </c>
      <c r="BB565" s="107">
        <f t="shared" si="602"/>
        <v>1632192.9526666673</v>
      </c>
      <c r="BC565" s="107">
        <f t="shared" si="603"/>
        <v>1612527.977333334</v>
      </c>
      <c r="BD565" s="107">
        <f t="shared" si="604"/>
        <v>1592863.0020000008</v>
      </c>
      <c r="BE565" s="107"/>
      <c r="BF565" s="127"/>
      <c r="BG565" s="127"/>
      <c r="BH565" s="127"/>
      <c r="BI565" s="127"/>
      <c r="BJ565" s="127"/>
      <c r="BK565" s="127"/>
      <c r="BL565" s="127"/>
      <c r="BM565" s="127"/>
      <c r="BN565" s="127"/>
      <c r="BO565" s="127"/>
      <c r="BP565" s="127"/>
      <c r="BQ565" s="127"/>
      <c r="BR565" s="127"/>
      <c r="BS565" s="127"/>
      <c r="BT565" s="127"/>
      <c r="BU565" s="127"/>
      <c r="BV565" s="127"/>
      <c r="BW565" s="127"/>
    </row>
    <row r="566" spans="1:75" ht="22.5" hidden="1" x14ac:dyDescent="0.2">
      <c r="A566" s="123" t="str">
        <f>'[2]2021 УГРЦТ'!A568</f>
        <v>Сетевой сервер DEPO Storm 3300K</v>
      </c>
      <c r="B566" s="124" t="str">
        <f>'[2]2021 УГРЦТ'!B568</f>
        <v>00001161</v>
      </c>
      <c r="C566" s="124" t="str">
        <f>VLOOKUP(A:A,'2023-2027'!A:L,1,+FALSE)</f>
        <v>Сетевой сервер DEPO Storm 3300K</v>
      </c>
      <c r="D566" s="124" t="str">
        <f>'[2]2021 УГРЦТ'!C568</f>
        <v>ОБЩЕПРОИЗВОДСТВЕННЫЕ РАСХОДЫ</v>
      </c>
      <c r="E566" s="124" t="str">
        <f>'[2]2021 УГРЦТ'!D568</f>
        <v>Машины и оборудование (кроме офисного)</v>
      </c>
      <c r="F566" s="124" t="str">
        <f>'[2]2021 УГРЦТ'!E568</f>
        <v>30.06.2010</v>
      </c>
      <c r="G566" s="124" t="str">
        <f>'[2]2021 УГРЦТ'!F568</f>
        <v>общепроизводственные расходы</v>
      </c>
      <c r="H566" s="124">
        <f>'[2]2021 УГРЦТ'!AC568</f>
        <v>12</v>
      </c>
      <c r="I566" s="107">
        <f>'[2]2021 УГРЦТ'!X568</f>
        <v>236534.39999999999</v>
      </c>
      <c r="J566" s="107">
        <f>'[2]2021 УГРЦТ'!Y568</f>
        <v>184988.06666666665</v>
      </c>
      <c r="K566" s="107">
        <f>'[2]2021 УГРЦТ'!Z568</f>
        <v>51546.333333333343</v>
      </c>
      <c r="L566" s="125" t="e">
        <f>SUMIF([2]облаг!$B$2:$B$259,B566,[2]облаг!$D$2:$D$259)</f>
        <v>#VALUE!</v>
      </c>
      <c r="M566" s="148">
        <f t="shared" si="564"/>
        <v>19711.2</v>
      </c>
      <c r="N566" s="107">
        <f>O566</f>
        <v>31835.133333333342</v>
      </c>
      <c r="O566" s="107">
        <f t="shared" si="566"/>
        <v>31835.133333333342</v>
      </c>
      <c r="P566" s="107">
        <f t="shared" si="567"/>
        <v>12123.933333333342</v>
      </c>
      <c r="Q566" s="107">
        <v>0</v>
      </c>
      <c r="R566" s="107">
        <v>0</v>
      </c>
      <c r="S566" s="107">
        <v>0</v>
      </c>
      <c r="T566" s="107">
        <v>0</v>
      </c>
      <c r="U566" s="107">
        <v>0</v>
      </c>
      <c r="V566" s="107">
        <v>0</v>
      </c>
      <c r="W566" s="107">
        <v>0</v>
      </c>
      <c r="X566" s="107">
        <v>0</v>
      </c>
      <c r="Y566" s="107">
        <v>0</v>
      </c>
      <c r="Z566" s="107">
        <v>0</v>
      </c>
      <c r="AA566" s="107"/>
      <c r="AB566" s="107"/>
      <c r="AC566" s="107">
        <v>0</v>
      </c>
      <c r="AD566" s="107">
        <v>0</v>
      </c>
      <c r="AE566" s="107">
        <v>0</v>
      </c>
      <c r="AF566" s="107">
        <v>0</v>
      </c>
      <c r="AG566" s="107">
        <v>0</v>
      </c>
      <c r="AH566" s="107">
        <v>0</v>
      </c>
      <c r="AI566" s="107">
        <v>0</v>
      </c>
      <c r="AJ566" s="107">
        <v>0</v>
      </c>
      <c r="AK566" s="107">
        <v>0</v>
      </c>
      <c r="AL566" s="107">
        <v>0</v>
      </c>
      <c r="AM566" s="107">
        <v>0</v>
      </c>
      <c r="AN566" s="107">
        <v>0</v>
      </c>
      <c r="AO566" s="107">
        <v>0</v>
      </c>
      <c r="AP566" s="107"/>
      <c r="AQ566" s="126"/>
      <c r="AR566" s="107">
        <f t="shared" si="578"/>
        <v>0</v>
      </c>
      <c r="AS566" s="107">
        <v>0</v>
      </c>
      <c r="AT566" s="107">
        <v>0</v>
      </c>
      <c r="AU566" s="107">
        <v>0</v>
      </c>
      <c r="AV566" s="107">
        <v>0</v>
      </c>
      <c r="AW566" s="107">
        <v>0</v>
      </c>
      <c r="AX566" s="107">
        <v>0</v>
      </c>
      <c r="AY566" s="107">
        <v>0</v>
      </c>
      <c r="AZ566" s="107">
        <v>0</v>
      </c>
      <c r="BA566" s="107">
        <v>0</v>
      </c>
      <c r="BB566" s="107">
        <v>0</v>
      </c>
      <c r="BC566" s="107">
        <v>0</v>
      </c>
      <c r="BD566" s="107">
        <v>0</v>
      </c>
      <c r="BE566" s="107"/>
      <c r="BF566" s="127"/>
      <c r="BG566" s="127"/>
      <c r="BH566" s="127"/>
      <c r="BI566" s="127"/>
      <c r="BJ566" s="127"/>
      <c r="BK566" s="127"/>
      <c r="BL566" s="127"/>
      <c r="BM566" s="127"/>
      <c r="BN566" s="127"/>
      <c r="BO566" s="127"/>
      <c r="BP566" s="127"/>
      <c r="BQ566" s="127"/>
      <c r="BR566" s="127"/>
      <c r="BS566" s="127"/>
      <c r="BT566" s="127"/>
      <c r="BU566" s="127"/>
      <c r="BV566" s="127"/>
    </row>
    <row r="567" spans="1:75" ht="33.75" hidden="1" x14ac:dyDescent="0.2">
      <c r="A567" s="123" t="str">
        <f>'[2]2021 УГРЦТ'!A569</f>
        <v>Система контроля и управления доступом на 4 точки прохода (двери)</v>
      </c>
      <c r="B567" s="124" t="str">
        <f>'[2]2021 УГРЦТ'!B569</f>
        <v>000001716</v>
      </c>
      <c r="C567" s="124" t="str">
        <f>VLOOKUP(A:A,'2023-2027'!A:L,1,+FALSE)</f>
        <v>Система контроля и управления доступом на 4 точки прохода (двери)</v>
      </c>
      <c r="D567" s="124" t="str">
        <f>'[2]2021 УГРЦТ'!C569</f>
        <v>ОБЩЕПРОИЗВОДСТВЕННЫЕ РАСХОДЫ</v>
      </c>
      <c r="E567" s="124" t="str">
        <f>'[2]2021 УГРЦТ'!D569</f>
        <v>Машины и оборудование (кроме офисного)</v>
      </c>
      <c r="F567" s="124" t="str">
        <f>'[2]2021 УГРЦТ'!E569</f>
        <v>28.02.2018</v>
      </c>
      <c r="G567" s="124" t="str">
        <f>'[2]2021 УГРЦТ'!F569</f>
        <v>общепроизводственные расходы</v>
      </c>
      <c r="H567" s="124">
        <f>'[2]2021 УГРЦТ'!AC569</f>
        <v>132</v>
      </c>
      <c r="I567" s="107">
        <f>'[2]2021 УГРЦТ'!X569</f>
        <v>98908</v>
      </c>
      <c r="J567" s="107">
        <f>'[2]2021 УГРЦТ'!Y569</f>
        <v>34467.836363636365</v>
      </c>
      <c r="K567" s="107">
        <f>'[2]2021 УГРЦТ'!Z569</f>
        <v>64440.163636363635</v>
      </c>
      <c r="L567" s="125" t="e">
        <f>SUMIF([2]облаг!$B$2:$B$259,B567,[2]облаг!$D$2:$D$259)</f>
        <v>#VALUE!</v>
      </c>
      <c r="M567" s="148">
        <f t="shared" si="564"/>
        <v>749.30303030303025</v>
      </c>
      <c r="N567" s="107">
        <f t="shared" si="565"/>
        <v>8991.636363636364</v>
      </c>
      <c r="O567" s="107">
        <f t="shared" si="566"/>
        <v>63690.860606060603</v>
      </c>
      <c r="P567" s="107">
        <f t="shared" si="567"/>
        <v>62941.557575757572</v>
      </c>
      <c r="Q567" s="107">
        <f t="shared" si="568"/>
        <v>62192.25454545454</v>
      </c>
      <c r="R567" s="107">
        <f t="shared" si="569"/>
        <v>61442.951515151508</v>
      </c>
      <c r="S567" s="107">
        <f t="shared" si="570"/>
        <v>60693.648484848476</v>
      </c>
      <c r="T567" s="107">
        <f t="shared" si="571"/>
        <v>59944.345454545444</v>
      </c>
      <c r="U567" s="107">
        <f t="shared" si="572"/>
        <v>59195.042424242412</v>
      </c>
      <c r="V567" s="107">
        <f t="shared" si="573"/>
        <v>58445.739393939381</v>
      </c>
      <c r="W567" s="107">
        <f t="shared" si="574"/>
        <v>57696.436363636349</v>
      </c>
      <c r="X567" s="107">
        <f t="shared" si="575"/>
        <v>56947.133333333317</v>
      </c>
      <c r="Y567" s="107">
        <f t="shared" si="576"/>
        <v>56197.830303030285</v>
      </c>
      <c r="Z567" s="107">
        <f t="shared" si="577"/>
        <v>55448.527272727253</v>
      </c>
      <c r="AA567" s="107"/>
      <c r="AB567" s="107"/>
      <c r="AC567" s="107">
        <f t="shared" si="586"/>
        <v>8991.636363636364</v>
      </c>
      <c r="AD567" s="107">
        <f t="shared" si="580"/>
        <v>54699.224242424221</v>
      </c>
      <c r="AE567" s="107">
        <f t="shared" si="581"/>
        <v>53949.921212121189</v>
      </c>
      <c r="AF567" s="107">
        <f t="shared" si="582"/>
        <v>53200.618181818158</v>
      </c>
      <c r="AG567" s="107">
        <f t="shared" si="583"/>
        <v>52451.315151515126</v>
      </c>
      <c r="AH567" s="107">
        <f t="shared" si="584"/>
        <v>51702.012121212094</v>
      </c>
      <c r="AI567" s="107">
        <f t="shared" si="585"/>
        <v>50952.709090909062</v>
      </c>
      <c r="AJ567" s="107">
        <f t="shared" si="587"/>
        <v>50203.40606060603</v>
      </c>
      <c r="AK567" s="107">
        <f t="shared" si="588"/>
        <v>49454.103030302998</v>
      </c>
      <c r="AL567" s="107">
        <f t="shared" si="589"/>
        <v>48704.799999999967</v>
      </c>
      <c r="AM567" s="107">
        <f t="shared" si="590"/>
        <v>47955.496969696935</v>
      </c>
      <c r="AN567" s="107">
        <f t="shared" si="591"/>
        <v>47206.193939393903</v>
      </c>
      <c r="AO567" s="107">
        <f t="shared" si="592"/>
        <v>46456.890909090871</v>
      </c>
      <c r="AP567" s="107"/>
      <c r="AQ567" s="126"/>
      <c r="AR567" s="107">
        <f t="shared" si="578"/>
        <v>8991.636363636364</v>
      </c>
      <c r="AS567" s="107">
        <f t="shared" ref="AS567:AS572" si="605">AO567-M567</f>
        <v>45707.587878787839</v>
      </c>
      <c r="AT567" s="107">
        <f t="shared" ref="AT567:AT572" si="606">AS567-M567</f>
        <v>44958.284848484807</v>
      </c>
      <c r="AU567" s="107">
        <f t="shared" ref="AU567:AU572" si="607">AT567-M567</f>
        <v>44208.981818181775</v>
      </c>
      <c r="AV567" s="107">
        <f t="shared" ref="AV567:AV572" si="608">AU567-M567</f>
        <v>43459.678787878744</v>
      </c>
      <c r="AW567" s="107">
        <f t="shared" ref="AW567:AW572" si="609">AV567-M567</f>
        <v>42710.375757575712</v>
      </c>
      <c r="AX567" s="107">
        <f t="shared" ref="AX567:AX572" si="610">AW567-M567</f>
        <v>41961.07272727268</v>
      </c>
      <c r="AY567" s="107">
        <f t="shared" ref="AY567:AY572" si="611">AX567-M567</f>
        <v>41211.769696969648</v>
      </c>
      <c r="AZ567" s="107">
        <f t="shared" ref="AZ567:AZ572" si="612">AY567-M567</f>
        <v>40462.466666666616</v>
      </c>
      <c r="BA567" s="107">
        <f t="shared" ref="BA567:BA572" si="613">AZ567-M567</f>
        <v>39713.163636363584</v>
      </c>
      <c r="BB567" s="107">
        <f t="shared" ref="BB567:BB572" si="614">BA567-M567</f>
        <v>38963.860606060553</v>
      </c>
      <c r="BC567" s="107">
        <f t="shared" ref="BC567:BC572" si="615">BB567-M567</f>
        <v>38214.557575757521</v>
      </c>
      <c r="BD567" s="107">
        <f t="shared" ref="BD567:BD572" si="616">BC567-M567</f>
        <v>37465.254545454489</v>
      </c>
      <c r="BE567" s="107"/>
      <c r="BF567" s="127"/>
      <c r="BG567" s="127"/>
      <c r="BH567" s="127"/>
      <c r="BI567" s="127"/>
      <c r="BJ567" s="127"/>
      <c r="BK567" s="127"/>
      <c r="BL567" s="127"/>
      <c r="BM567" s="127"/>
      <c r="BN567" s="127"/>
      <c r="BO567" s="127"/>
      <c r="BP567" s="127"/>
      <c r="BQ567" s="127"/>
      <c r="BR567" s="127"/>
      <c r="BS567" s="127"/>
      <c r="BT567" s="127"/>
      <c r="BU567" s="127"/>
      <c r="BV567" s="127"/>
      <c r="BW567" s="127"/>
    </row>
    <row r="568" spans="1:75" ht="22.5" hidden="1" x14ac:dyDescent="0.2">
      <c r="A568" s="123" t="str">
        <f>'[2]2021 УГРЦТ'!A570</f>
        <v>Система охраны периметра и охранного телевидения</v>
      </c>
      <c r="B568" s="124" t="str">
        <f>'[2]2021 УГРЦТ'!B570</f>
        <v>000001712</v>
      </c>
      <c r="C568" s="124" t="str">
        <f>VLOOKUP(A:A,'2023-2027'!A:L,1,+FALSE)</f>
        <v>Система охраны периметра и охранного телевидения</v>
      </c>
      <c r="D568" s="124" t="str">
        <f>'[2]2021 УГРЦТ'!C570</f>
        <v>ОБЩЕПРОИЗВОДСТВЕННЫЕ РАСХОДЫ</v>
      </c>
      <c r="E568" s="124" t="str">
        <f>'[2]2021 УГРЦТ'!D570</f>
        <v>Машины и оборудование (кроме офисного)</v>
      </c>
      <c r="F568" s="124" t="str">
        <f>'[2]2021 УГРЦТ'!E570</f>
        <v>21.08.2017</v>
      </c>
      <c r="G568" s="124" t="str">
        <f>'[2]2021 УГРЦТ'!F570</f>
        <v>общепроизводственные расходы</v>
      </c>
      <c r="H568" s="124">
        <f>'[2]2021 УГРЦТ'!AC570</f>
        <v>84</v>
      </c>
      <c r="I568" s="107">
        <f>'[2]2021 УГРЦТ'!X570</f>
        <v>4836509.93</v>
      </c>
      <c r="J568" s="107">
        <f>'[2]2021 УГРЦТ'!Y570</f>
        <v>2994029.9899999998</v>
      </c>
      <c r="K568" s="107">
        <f>'[2]2021 УГРЦТ'!Z570</f>
        <v>1842479.94</v>
      </c>
      <c r="L568" s="125" t="e">
        <f>SUMIF([2]облаг!$B$2:$B$259,B568,[2]облаг!$D$2:$D$259)</f>
        <v>#VALUE!</v>
      </c>
      <c r="M568" s="148">
        <f t="shared" si="564"/>
        <v>57577.499166666661</v>
      </c>
      <c r="N568" s="107">
        <f t="shared" si="565"/>
        <v>690929.99</v>
      </c>
      <c r="O568" s="107">
        <f t="shared" si="566"/>
        <v>1784902.4408333332</v>
      </c>
      <c r="P568" s="107">
        <f t="shared" si="567"/>
        <v>1727324.9416666664</v>
      </c>
      <c r="Q568" s="107">
        <f t="shared" si="568"/>
        <v>1669747.4424999997</v>
      </c>
      <c r="R568" s="107">
        <f t="shared" si="569"/>
        <v>1612169.9433333329</v>
      </c>
      <c r="S568" s="107">
        <f t="shared" si="570"/>
        <v>1554592.4441666661</v>
      </c>
      <c r="T568" s="107">
        <f t="shared" si="571"/>
        <v>1497014.9449999994</v>
      </c>
      <c r="U568" s="107">
        <f t="shared" si="572"/>
        <v>1439437.4458333326</v>
      </c>
      <c r="V568" s="107">
        <f t="shared" si="573"/>
        <v>1381859.9466666658</v>
      </c>
      <c r="W568" s="107">
        <f t="shared" si="574"/>
        <v>1324282.4474999991</v>
      </c>
      <c r="X568" s="107">
        <f t="shared" si="575"/>
        <v>1266704.9483333323</v>
      </c>
      <c r="Y568" s="107">
        <f t="shared" si="576"/>
        <v>1209127.4491666656</v>
      </c>
      <c r="Z568" s="107">
        <f t="shared" si="577"/>
        <v>1151549.9499999988</v>
      </c>
      <c r="AA568" s="107"/>
      <c r="AB568" s="107"/>
      <c r="AC568" s="107">
        <f t="shared" si="586"/>
        <v>690929.99</v>
      </c>
      <c r="AD568" s="107">
        <f t="shared" si="580"/>
        <v>1093972.450833332</v>
      </c>
      <c r="AE568" s="107">
        <f t="shared" si="581"/>
        <v>1036394.9516666654</v>
      </c>
      <c r="AF568" s="107">
        <f t="shared" si="582"/>
        <v>978817.45249999873</v>
      </c>
      <c r="AG568" s="107">
        <f t="shared" si="583"/>
        <v>921239.95333333209</v>
      </c>
      <c r="AH568" s="107">
        <f t="shared" si="584"/>
        <v>863662.45416666544</v>
      </c>
      <c r="AI568" s="107">
        <f t="shared" si="585"/>
        <v>806084.95499999879</v>
      </c>
      <c r="AJ568" s="107">
        <f t="shared" si="587"/>
        <v>748507.45583333215</v>
      </c>
      <c r="AK568" s="107">
        <f t="shared" si="588"/>
        <v>690929.9566666655</v>
      </c>
      <c r="AL568" s="107">
        <f t="shared" si="589"/>
        <v>633352.45749999885</v>
      </c>
      <c r="AM568" s="107">
        <f t="shared" si="590"/>
        <v>575774.95833333221</v>
      </c>
      <c r="AN568" s="107">
        <f t="shared" si="591"/>
        <v>518197.45916666556</v>
      </c>
      <c r="AO568" s="107">
        <f t="shared" si="592"/>
        <v>460619.95999999892</v>
      </c>
      <c r="AP568" s="107"/>
      <c r="AQ568" s="126"/>
      <c r="AR568" s="107">
        <f t="shared" si="578"/>
        <v>690929.99</v>
      </c>
      <c r="AS568" s="107">
        <f t="shared" si="605"/>
        <v>403042.46083333227</v>
      </c>
      <c r="AT568" s="107">
        <f t="shared" si="606"/>
        <v>345464.96166666562</v>
      </c>
      <c r="AU568" s="107">
        <f t="shared" si="607"/>
        <v>287887.46249999898</v>
      </c>
      <c r="AV568" s="107">
        <f t="shared" si="608"/>
        <v>230309.96333333233</v>
      </c>
      <c r="AW568" s="107">
        <f t="shared" si="609"/>
        <v>172732.46416666568</v>
      </c>
      <c r="AX568" s="107">
        <f t="shared" si="610"/>
        <v>115154.96499999902</v>
      </c>
      <c r="AY568" s="107">
        <f t="shared" si="611"/>
        <v>57577.46583333236</v>
      </c>
      <c r="AZ568" s="107">
        <f t="shared" si="612"/>
        <v>-3.3333334300550632E-2</v>
      </c>
      <c r="BA568" s="107">
        <f t="shared" si="613"/>
        <v>-57577.532500000962</v>
      </c>
      <c r="BB568" s="107">
        <f t="shared" si="614"/>
        <v>-115155.03166666762</v>
      </c>
      <c r="BC568" s="107">
        <f t="shared" si="615"/>
        <v>-172732.53083333428</v>
      </c>
      <c r="BD568" s="107">
        <f t="shared" si="616"/>
        <v>-230310.03000000096</v>
      </c>
      <c r="BE568" s="107"/>
      <c r="BI568" s="127"/>
    </row>
    <row r="569" spans="1:75" ht="22.5" hidden="1" x14ac:dyDescent="0.2">
      <c r="A569" s="123" t="str">
        <f>'[2]2021 УГРЦТ'!A571</f>
        <v>Спутниковое геодезическое оборудование</v>
      </c>
      <c r="B569" s="124" t="str">
        <f>'[2]2021 УГРЦТ'!B571</f>
        <v>000001718</v>
      </c>
      <c r="C569" s="124" t="str">
        <f>VLOOKUP(A:A,'2023-2027'!A:L,1,+FALSE)</f>
        <v>Спутниковое геодезическое оборудование</v>
      </c>
      <c r="D569" s="124" t="str">
        <f>'[2]2021 УГРЦТ'!C571</f>
        <v>ОБЩЕПРОИЗВОДСТВЕННЫЕ РАСХОДЫ</v>
      </c>
      <c r="E569" s="124" t="str">
        <f>'[2]2021 УГРЦТ'!D571</f>
        <v>Машины и оборудование (кроме офисного)</v>
      </c>
      <c r="F569" s="124" t="str">
        <f>'[2]2021 УГРЦТ'!E571</f>
        <v>03.04.2018</v>
      </c>
      <c r="G569" s="124" t="str">
        <f>'[2]2021 УГРЦТ'!F571</f>
        <v>общепроизводственные расходы</v>
      </c>
      <c r="H569" s="124">
        <f>'[2]2021 УГРЦТ'!AC571</f>
        <v>120</v>
      </c>
      <c r="I569" s="107">
        <f>'[2]2021 УГРЦТ'!X571</f>
        <v>741762.97</v>
      </c>
      <c r="J569" s="107">
        <f>'[2]2021 УГРЦТ'!Y571</f>
        <v>271979.81699999998</v>
      </c>
      <c r="K569" s="107">
        <f>'[2]2021 УГРЦТ'!Z571</f>
        <v>469783.15299999999</v>
      </c>
      <c r="L569" s="125" t="e">
        <f>SUMIF([2]облаг!$B$2:$B$259,B569,[2]облаг!$D$2:$D$259)</f>
        <v>#VALUE!</v>
      </c>
      <c r="M569" s="148">
        <f t="shared" si="564"/>
        <v>6181.3580833333335</v>
      </c>
      <c r="N569" s="107">
        <f t="shared" si="565"/>
        <v>74176.297000000006</v>
      </c>
      <c r="O569" s="107">
        <f t="shared" si="566"/>
        <v>463601.79491666664</v>
      </c>
      <c r="P569" s="107">
        <f t="shared" si="567"/>
        <v>457420.43683333328</v>
      </c>
      <c r="Q569" s="107">
        <f t="shared" si="568"/>
        <v>451239.07874999993</v>
      </c>
      <c r="R569" s="107">
        <f t="shared" si="569"/>
        <v>445057.72066666657</v>
      </c>
      <c r="S569" s="107">
        <f t="shared" si="570"/>
        <v>438876.36258333322</v>
      </c>
      <c r="T569" s="107">
        <f t="shared" si="571"/>
        <v>432695.00449999986</v>
      </c>
      <c r="U569" s="107">
        <f t="shared" si="572"/>
        <v>426513.64641666651</v>
      </c>
      <c r="V569" s="107">
        <f t="shared" si="573"/>
        <v>420332.28833333316</v>
      </c>
      <c r="W569" s="107">
        <f t="shared" si="574"/>
        <v>414150.9302499998</v>
      </c>
      <c r="X569" s="107">
        <f t="shared" si="575"/>
        <v>407969.57216666645</v>
      </c>
      <c r="Y569" s="107">
        <f t="shared" si="576"/>
        <v>401788.21408333309</v>
      </c>
      <c r="Z569" s="107">
        <f t="shared" si="577"/>
        <v>395606.85599999974</v>
      </c>
      <c r="AA569" s="107"/>
      <c r="AB569" s="107"/>
      <c r="AC569" s="107">
        <f t="shared" si="586"/>
        <v>74176.297000000006</v>
      </c>
      <c r="AD569" s="107">
        <f t="shared" si="580"/>
        <v>389425.49791666638</v>
      </c>
      <c r="AE569" s="107">
        <f t="shared" si="581"/>
        <v>383244.13983333303</v>
      </c>
      <c r="AF569" s="107">
        <f t="shared" si="582"/>
        <v>377062.78174999967</v>
      </c>
      <c r="AG569" s="107">
        <f t="shared" si="583"/>
        <v>370881.42366666632</v>
      </c>
      <c r="AH569" s="107">
        <f t="shared" si="584"/>
        <v>364700.06558333297</v>
      </c>
      <c r="AI569" s="107">
        <f t="shared" si="585"/>
        <v>358518.70749999961</v>
      </c>
      <c r="AJ569" s="107">
        <f t="shared" si="587"/>
        <v>352337.34941666626</v>
      </c>
      <c r="AK569" s="107">
        <f t="shared" si="588"/>
        <v>346155.9913333329</v>
      </c>
      <c r="AL569" s="107">
        <f t="shared" si="589"/>
        <v>339974.63324999955</v>
      </c>
      <c r="AM569" s="107">
        <f t="shared" si="590"/>
        <v>333793.27516666619</v>
      </c>
      <c r="AN569" s="107">
        <f t="shared" si="591"/>
        <v>327611.91708333284</v>
      </c>
      <c r="AO569" s="107">
        <f t="shared" si="592"/>
        <v>321430.55899999948</v>
      </c>
      <c r="AP569" s="107"/>
      <c r="AQ569" s="126"/>
      <c r="AR569" s="107">
        <f t="shared" si="578"/>
        <v>74176.297000000006</v>
      </c>
      <c r="AS569" s="107">
        <f t="shared" si="605"/>
        <v>315249.20091666613</v>
      </c>
      <c r="AT569" s="107">
        <f t="shared" si="606"/>
        <v>309067.84283333278</v>
      </c>
      <c r="AU569" s="107">
        <f t="shared" si="607"/>
        <v>302886.48474999942</v>
      </c>
      <c r="AV569" s="107">
        <f t="shared" si="608"/>
        <v>296705.12666666607</v>
      </c>
      <c r="AW569" s="107">
        <f t="shared" si="609"/>
        <v>290523.76858333271</v>
      </c>
      <c r="AX569" s="107">
        <f t="shared" si="610"/>
        <v>284342.41049999936</v>
      </c>
      <c r="AY569" s="107">
        <f t="shared" si="611"/>
        <v>278161.052416666</v>
      </c>
      <c r="AZ569" s="107">
        <f t="shared" si="612"/>
        <v>271979.69433333265</v>
      </c>
      <c r="BA569" s="107">
        <f t="shared" si="613"/>
        <v>265798.33624999929</v>
      </c>
      <c r="BB569" s="107">
        <f t="shared" si="614"/>
        <v>259616.97816666597</v>
      </c>
      <c r="BC569" s="107">
        <f t="shared" si="615"/>
        <v>253435.62008333264</v>
      </c>
      <c r="BD569" s="107">
        <f t="shared" si="616"/>
        <v>247254.26199999932</v>
      </c>
      <c r="BE569" s="107"/>
      <c r="BF569" s="127"/>
      <c r="BG569" s="127"/>
      <c r="BH569" s="127"/>
      <c r="BI569" s="127"/>
      <c r="BJ569" s="127"/>
      <c r="BK569" s="127"/>
      <c r="BL569" s="127"/>
      <c r="BM569" s="127"/>
      <c r="BN569" s="127"/>
      <c r="BO569" s="127"/>
      <c r="BP569" s="127"/>
      <c r="BQ569" s="127"/>
      <c r="BR569" s="127"/>
      <c r="BS569" s="127"/>
      <c r="BT569" s="127"/>
      <c r="BU569" s="127"/>
      <c r="BV569" s="127"/>
      <c r="BW569" s="127"/>
    </row>
    <row r="570" spans="1:75" ht="22.5" hidden="1" x14ac:dyDescent="0.2">
      <c r="A570" s="123" t="str">
        <f>'[2]2021 УГРЦТ'!A572</f>
        <v>Стеллаж металлический 5 пролетов</v>
      </c>
      <c r="B570" s="124" t="str">
        <f>'[2]2021 УГРЦТ'!B572</f>
        <v>000001821</v>
      </c>
      <c r="C570" s="124" t="str">
        <f>VLOOKUP(A:A,'2023-2027'!A:L,1,+FALSE)</f>
        <v>Стеллаж металлический 5 пролетов</v>
      </c>
      <c r="D570" s="124" t="str">
        <f>'[2]2021 УГРЦТ'!C572</f>
        <v>ОБЩЕПРОИЗВОДСТВЕННЫЕ РАСХОДЫ</v>
      </c>
      <c r="E570" s="124" t="str">
        <f>'[2]2021 УГРЦТ'!D572</f>
        <v>Производственный и хозяйственный инвентарь</v>
      </c>
      <c r="F570" s="124" t="str">
        <f>'[2]2021 УГРЦТ'!E572</f>
        <v>31.08.2020</v>
      </c>
      <c r="G570" s="124" t="str">
        <f>'[2]2021 УГРЦТ'!F572</f>
        <v>общепроизводственные расходы</v>
      </c>
      <c r="H570" s="124">
        <f>'[2]2021 УГРЦТ'!AC572</f>
        <v>180</v>
      </c>
      <c r="I570" s="107">
        <f>'[2]2021 УГРЦТ'!X572</f>
        <v>115494.34</v>
      </c>
      <c r="J570" s="107">
        <f>'[2]2021 УГРЦТ'!Y572</f>
        <v>10266.182666666666</v>
      </c>
      <c r="K570" s="107">
        <f>'[2]2021 УГРЦТ'!Z572</f>
        <v>105228.15733333334</v>
      </c>
      <c r="L570" s="125" t="e">
        <f>SUMIF([2]облаг!$B$2:$B$259,B570,[2]облаг!$D$2:$D$259)</f>
        <v>#VALUE!</v>
      </c>
      <c r="M570" s="148">
        <f t="shared" si="564"/>
        <v>641.63522222222218</v>
      </c>
      <c r="N570" s="107">
        <f t="shared" si="565"/>
        <v>7699.6226666666662</v>
      </c>
      <c r="O570" s="107">
        <f t="shared" si="566"/>
        <v>104586.52211111112</v>
      </c>
      <c r="P570" s="107">
        <f t="shared" si="567"/>
        <v>103944.8868888889</v>
      </c>
      <c r="Q570" s="107">
        <f t="shared" si="568"/>
        <v>103303.25166666668</v>
      </c>
      <c r="R570" s="107">
        <f t="shared" si="569"/>
        <v>102661.61644444446</v>
      </c>
      <c r="S570" s="107">
        <f t="shared" si="570"/>
        <v>102019.98122222224</v>
      </c>
      <c r="T570" s="107">
        <f t="shared" si="571"/>
        <v>101378.34600000002</v>
      </c>
      <c r="U570" s="107">
        <f t="shared" si="572"/>
        <v>100736.7107777778</v>
      </c>
      <c r="V570" s="107">
        <f t="shared" si="573"/>
        <v>100095.07555555558</v>
      </c>
      <c r="W570" s="107">
        <f t="shared" si="574"/>
        <v>99453.440333333361</v>
      </c>
      <c r="X570" s="107">
        <f t="shared" si="575"/>
        <v>98811.805111111142</v>
      </c>
      <c r="Y570" s="107">
        <f t="shared" si="576"/>
        <v>98170.169888888922</v>
      </c>
      <c r="Z570" s="107">
        <f t="shared" si="577"/>
        <v>97528.534666666703</v>
      </c>
      <c r="AA570" s="107"/>
      <c r="AB570" s="107"/>
      <c r="AC570" s="107">
        <f t="shared" si="586"/>
        <v>7699.6226666666662</v>
      </c>
      <c r="AD570" s="107">
        <f t="shared" si="580"/>
        <v>96886.899444444483</v>
      </c>
      <c r="AE570" s="107">
        <f t="shared" si="581"/>
        <v>96245.264222222264</v>
      </c>
      <c r="AF570" s="107">
        <f t="shared" si="582"/>
        <v>95603.629000000044</v>
      </c>
      <c r="AG570" s="107">
        <f t="shared" si="583"/>
        <v>94961.993777777825</v>
      </c>
      <c r="AH570" s="107">
        <f t="shared" si="584"/>
        <v>94320.358555555606</v>
      </c>
      <c r="AI570" s="107">
        <f t="shared" si="585"/>
        <v>93678.723333333386</v>
      </c>
      <c r="AJ570" s="107">
        <f t="shared" si="587"/>
        <v>93037.088111111167</v>
      </c>
      <c r="AK570" s="107">
        <f t="shared" si="588"/>
        <v>92395.452888888947</v>
      </c>
      <c r="AL570" s="107">
        <f t="shared" si="589"/>
        <v>91753.817666666728</v>
      </c>
      <c r="AM570" s="107">
        <f t="shared" si="590"/>
        <v>91112.182444444508</v>
      </c>
      <c r="AN570" s="107">
        <f t="shared" si="591"/>
        <v>90470.547222222289</v>
      </c>
      <c r="AO570" s="107">
        <f t="shared" si="592"/>
        <v>89828.912000000069</v>
      </c>
      <c r="AP570" s="107"/>
      <c r="AQ570" s="126"/>
      <c r="AR570" s="107">
        <f t="shared" si="578"/>
        <v>7699.6226666666662</v>
      </c>
      <c r="AS570" s="107">
        <f t="shared" si="605"/>
        <v>89187.27677777785</v>
      </c>
      <c r="AT570" s="107">
        <f t="shared" si="606"/>
        <v>88545.64155555563</v>
      </c>
      <c r="AU570" s="107">
        <f t="shared" si="607"/>
        <v>87904.006333333411</v>
      </c>
      <c r="AV570" s="107">
        <f t="shared" si="608"/>
        <v>87262.371111111192</v>
      </c>
      <c r="AW570" s="107">
        <f t="shared" si="609"/>
        <v>86620.735888888972</v>
      </c>
      <c r="AX570" s="107">
        <f t="shared" si="610"/>
        <v>85979.100666666753</v>
      </c>
      <c r="AY570" s="107">
        <f t="shared" si="611"/>
        <v>85337.465444444533</v>
      </c>
      <c r="AZ570" s="107">
        <f t="shared" si="612"/>
        <v>84695.830222222314</v>
      </c>
      <c r="BA570" s="107">
        <f t="shared" si="613"/>
        <v>84054.195000000094</v>
      </c>
      <c r="BB570" s="107">
        <f t="shared" si="614"/>
        <v>83412.559777777875</v>
      </c>
      <c r="BC570" s="107">
        <f t="shared" si="615"/>
        <v>82770.924555555655</v>
      </c>
      <c r="BD570" s="107">
        <f t="shared" si="616"/>
        <v>82129.289333333436</v>
      </c>
      <c r="BE570" s="107"/>
      <c r="BF570" s="127"/>
      <c r="BG570" s="127"/>
      <c r="BH570" s="127"/>
      <c r="BI570" s="127"/>
      <c r="BJ570" s="127"/>
      <c r="BK570" s="127"/>
      <c r="BL570" s="127"/>
      <c r="BM570" s="127"/>
      <c r="BN570" s="127"/>
      <c r="BO570" s="127"/>
      <c r="BP570" s="127"/>
      <c r="BQ570" s="127"/>
      <c r="BR570" s="127"/>
      <c r="BS570" s="127"/>
      <c r="BT570" s="127"/>
      <c r="BU570" s="127"/>
      <c r="BV570" s="127"/>
      <c r="BW570" s="127"/>
    </row>
    <row r="571" spans="1:75" ht="22.5" hidden="1" x14ac:dyDescent="0.2">
      <c r="A571" s="123" t="str">
        <f>'[2]2021 УГРЦТ'!A573</f>
        <v>Стеллаж металлический 9 пролетов</v>
      </c>
      <c r="B571" s="124" t="str">
        <f>'[2]2021 УГРЦТ'!B573</f>
        <v>000001822</v>
      </c>
      <c r="C571" s="124" t="str">
        <f>VLOOKUP(A:A,'2023-2027'!A:L,1,+FALSE)</f>
        <v>Стеллаж металлический 9 пролетов</v>
      </c>
      <c r="D571" s="124" t="str">
        <f>'[2]2021 УГРЦТ'!C573</f>
        <v>ОБЩЕПРОИЗВОДСТВЕННЫЕ РАСХОДЫ</v>
      </c>
      <c r="E571" s="124" t="str">
        <f>'[2]2021 УГРЦТ'!D573</f>
        <v>Производственный и хозяйственный инвентарь</v>
      </c>
      <c r="F571" s="124" t="str">
        <f>'[2]2021 УГРЦТ'!E573</f>
        <v>31.08.2020</v>
      </c>
      <c r="G571" s="124" t="str">
        <f>'[2]2021 УГРЦТ'!F573</f>
        <v>общепроизводственные расходы</v>
      </c>
      <c r="H571" s="124">
        <f>'[2]2021 УГРЦТ'!AC573</f>
        <v>180</v>
      </c>
      <c r="I571" s="107">
        <f>'[2]2021 УГРЦТ'!X573</f>
        <v>160390.26</v>
      </c>
      <c r="J571" s="107">
        <f>'[2]2021 УГРЦТ'!Y573</f>
        <v>14256.924000000001</v>
      </c>
      <c r="K571" s="107">
        <f>'[2]2021 УГРЦТ'!Z573</f>
        <v>146133.33600000001</v>
      </c>
      <c r="L571" s="125" t="e">
        <f>SUMIF([2]облаг!$B$2:$B$259,B571,[2]облаг!$D$2:$D$259)</f>
        <v>#VALUE!</v>
      </c>
      <c r="M571" s="148">
        <f t="shared" si="564"/>
        <v>891.05700000000002</v>
      </c>
      <c r="N571" s="107">
        <f t="shared" si="565"/>
        <v>10692.684000000001</v>
      </c>
      <c r="O571" s="107">
        <f t="shared" si="566"/>
        <v>145242.27900000001</v>
      </c>
      <c r="P571" s="107">
        <f t="shared" si="567"/>
        <v>144351.22200000001</v>
      </c>
      <c r="Q571" s="107">
        <f t="shared" si="568"/>
        <v>143460.16500000001</v>
      </c>
      <c r="R571" s="107">
        <f t="shared" si="569"/>
        <v>142569.10800000001</v>
      </c>
      <c r="S571" s="107">
        <f t="shared" si="570"/>
        <v>141678.05100000001</v>
      </c>
      <c r="T571" s="107">
        <f t="shared" si="571"/>
        <v>140786.99400000001</v>
      </c>
      <c r="U571" s="107">
        <f t="shared" si="572"/>
        <v>139895.93700000001</v>
      </c>
      <c r="V571" s="107">
        <f t="shared" si="573"/>
        <v>139004.88</v>
      </c>
      <c r="W571" s="107">
        <f t="shared" si="574"/>
        <v>138113.823</v>
      </c>
      <c r="X571" s="107">
        <f t="shared" si="575"/>
        <v>137222.766</v>
      </c>
      <c r="Y571" s="107">
        <f t="shared" si="576"/>
        <v>136331.709</v>
      </c>
      <c r="Z571" s="107">
        <f t="shared" si="577"/>
        <v>135440.652</v>
      </c>
      <c r="AA571" s="107"/>
      <c r="AB571" s="107"/>
      <c r="AC571" s="107">
        <f t="shared" si="586"/>
        <v>10692.684000000001</v>
      </c>
      <c r="AD571" s="107">
        <f t="shared" si="580"/>
        <v>134549.595</v>
      </c>
      <c r="AE571" s="107">
        <f t="shared" si="581"/>
        <v>133658.538</v>
      </c>
      <c r="AF571" s="107">
        <f t="shared" si="582"/>
        <v>132767.481</v>
      </c>
      <c r="AG571" s="107">
        <f t="shared" si="583"/>
        <v>131876.424</v>
      </c>
      <c r="AH571" s="107">
        <f t="shared" si="584"/>
        <v>130985.367</v>
      </c>
      <c r="AI571" s="107">
        <f t="shared" si="585"/>
        <v>130094.31</v>
      </c>
      <c r="AJ571" s="107">
        <f t="shared" si="587"/>
        <v>129203.253</v>
      </c>
      <c r="AK571" s="107">
        <f t="shared" si="588"/>
        <v>128312.196</v>
      </c>
      <c r="AL571" s="107">
        <f t="shared" si="589"/>
        <v>127421.139</v>
      </c>
      <c r="AM571" s="107">
        <f t="shared" si="590"/>
        <v>126530.08199999999</v>
      </c>
      <c r="AN571" s="107">
        <f t="shared" si="591"/>
        <v>125639.02499999999</v>
      </c>
      <c r="AO571" s="107">
        <f t="shared" si="592"/>
        <v>124747.96799999999</v>
      </c>
      <c r="AP571" s="107"/>
      <c r="AQ571" s="126"/>
      <c r="AR571" s="107">
        <f t="shared" si="578"/>
        <v>10692.684000000001</v>
      </c>
      <c r="AS571" s="107">
        <f t="shared" si="605"/>
        <v>123856.91099999999</v>
      </c>
      <c r="AT571" s="107">
        <f t="shared" si="606"/>
        <v>122965.85399999999</v>
      </c>
      <c r="AU571" s="107">
        <f t="shared" si="607"/>
        <v>122074.79699999999</v>
      </c>
      <c r="AV571" s="107">
        <f t="shared" si="608"/>
        <v>121183.73999999999</v>
      </c>
      <c r="AW571" s="107">
        <f t="shared" si="609"/>
        <v>120292.68299999999</v>
      </c>
      <c r="AX571" s="107">
        <f t="shared" si="610"/>
        <v>119401.62599999999</v>
      </c>
      <c r="AY571" s="107">
        <f t="shared" si="611"/>
        <v>118510.56899999999</v>
      </c>
      <c r="AZ571" s="107">
        <f t="shared" si="612"/>
        <v>117619.51199999999</v>
      </c>
      <c r="BA571" s="107">
        <f t="shared" si="613"/>
        <v>116728.45499999999</v>
      </c>
      <c r="BB571" s="107">
        <f t="shared" si="614"/>
        <v>115837.39799999999</v>
      </c>
      <c r="BC571" s="107">
        <f t="shared" si="615"/>
        <v>114946.34099999999</v>
      </c>
      <c r="BD571" s="107">
        <f t="shared" si="616"/>
        <v>114055.28399999999</v>
      </c>
      <c r="BE571" s="107"/>
      <c r="BF571" s="127"/>
      <c r="BG571" s="127"/>
      <c r="BH571" s="127"/>
      <c r="BI571" s="127"/>
      <c r="BJ571" s="127"/>
      <c r="BK571" s="127"/>
      <c r="BL571" s="127"/>
      <c r="BM571" s="127"/>
      <c r="BN571" s="127"/>
      <c r="BO571" s="127"/>
      <c r="BP571" s="127"/>
      <c r="BQ571" s="127"/>
      <c r="BR571" s="127"/>
      <c r="BS571" s="127"/>
      <c r="BT571" s="127"/>
      <c r="BU571" s="127"/>
      <c r="BV571" s="127"/>
      <c r="BW571" s="127"/>
    </row>
    <row r="572" spans="1:75" hidden="1" x14ac:dyDescent="0.2">
      <c r="A572" s="123" t="str">
        <f>'[2]2021 УГРЦТ'!A574</f>
        <v>Стойка напольная с лотками</v>
      </c>
      <c r="B572" s="124" t="str">
        <f>'[2]2021 УГРЦТ'!B574</f>
        <v>000001811</v>
      </c>
      <c r="C572" s="124" t="str">
        <f>VLOOKUP(A:A,'2023-2027'!A:L,1,+FALSE)</f>
        <v>Стойка напольная с лотками</v>
      </c>
      <c r="D572" s="124" t="str">
        <f>'[2]2021 УГРЦТ'!C574</f>
        <v>ОБЩЕПРОИЗВОДСТВЕННЫЕ РАСХОДЫ</v>
      </c>
      <c r="E572" s="124" t="str">
        <f>'[2]2021 УГРЦТ'!D574</f>
        <v>Производственный и хозяйственный инвентарь</v>
      </c>
      <c r="F572" s="124" t="str">
        <f>'[2]2021 УГРЦТ'!E574</f>
        <v>05.06.2020</v>
      </c>
      <c r="G572" s="124" t="str">
        <f>'[2]2021 УГРЦТ'!F574</f>
        <v>общепроизводственные расходы</v>
      </c>
      <c r="H572" s="124">
        <f>'[2]2021 УГРЦТ'!AC574</f>
        <v>180</v>
      </c>
      <c r="I572" s="107">
        <f>'[2]2021 УГРЦТ'!X574</f>
        <v>40297.269999999997</v>
      </c>
      <c r="J572" s="107">
        <f>'[2]2021 УГРЦТ'!Y574</f>
        <v>4029.7046666666656</v>
      </c>
      <c r="K572" s="107">
        <f>'[2]2021 УГРЦТ'!Z574</f>
        <v>36267.565333333332</v>
      </c>
      <c r="L572" s="125" t="e">
        <f>SUMIF([2]облаг!$B$2:$B$259,B572,[2]облаг!$D$2:$D$259)</f>
        <v>#VALUE!</v>
      </c>
      <c r="M572" s="148">
        <f t="shared" si="564"/>
        <v>223.8737222222222</v>
      </c>
      <c r="N572" s="107">
        <f t="shared" si="565"/>
        <v>2686.4846666666663</v>
      </c>
      <c r="O572" s="107">
        <f t="shared" si="566"/>
        <v>36043.691611111113</v>
      </c>
      <c r="P572" s="107">
        <f t="shared" si="567"/>
        <v>35819.817888888894</v>
      </c>
      <c r="Q572" s="107">
        <f t="shared" si="568"/>
        <v>35595.944166666675</v>
      </c>
      <c r="R572" s="107">
        <f t="shared" si="569"/>
        <v>35372.070444444456</v>
      </c>
      <c r="S572" s="107">
        <f t="shared" si="570"/>
        <v>35148.196722222237</v>
      </c>
      <c r="T572" s="107">
        <f t="shared" si="571"/>
        <v>34924.323000000019</v>
      </c>
      <c r="U572" s="107">
        <f t="shared" si="572"/>
        <v>34700.4492777778</v>
      </c>
      <c r="V572" s="107">
        <f t="shared" si="573"/>
        <v>34476.575555555581</v>
      </c>
      <c r="W572" s="107">
        <f t="shared" si="574"/>
        <v>34252.701833333362</v>
      </c>
      <c r="X572" s="107">
        <f t="shared" si="575"/>
        <v>34028.828111111143</v>
      </c>
      <c r="Y572" s="107">
        <f t="shared" si="576"/>
        <v>33804.954388888924</v>
      </c>
      <c r="Z572" s="107">
        <f t="shared" si="577"/>
        <v>33581.080666666705</v>
      </c>
      <c r="AA572" s="107"/>
      <c r="AB572" s="107"/>
      <c r="AC572" s="107">
        <f t="shared" si="586"/>
        <v>2686.4846666666663</v>
      </c>
      <c r="AD572" s="107">
        <f t="shared" si="580"/>
        <v>33357.206944444486</v>
      </c>
      <c r="AE572" s="107">
        <f t="shared" si="581"/>
        <v>33133.333222222267</v>
      </c>
      <c r="AF572" s="107">
        <f t="shared" si="582"/>
        <v>32909.459500000048</v>
      </c>
      <c r="AG572" s="107">
        <f t="shared" si="583"/>
        <v>32685.585777777826</v>
      </c>
      <c r="AH572" s="107">
        <f t="shared" si="584"/>
        <v>32461.712055555603</v>
      </c>
      <c r="AI572" s="107">
        <f t="shared" si="585"/>
        <v>32237.83833333338</v>
      </c>
      <c r="AJ572" s="107">
        <f t="shared" si="587"/>
        <v>32013.964611111158</v>
      </c>
      <c r="AK572" s="107">
        <f t="shared" si="588"/>
        <v>31790.090888888935</v>
      </c>
      <c r="AL572" s="107">
        <f t="shared" si="589"/>
        <v>31566.217166666713</v>
      </c>
      <c r="AM572" s="107">
        <f t="shared" si="590"/>
        <v>31342.34344444449</v>
      </c>
      <c r="AN572" s="107">
        <f t="shared" si="591"/>
        <v>31118.469722222268</v>
      </c>
      <c r="AO572" s="107">
        <f t="shared" si="592"/>
        <v>30894.596000000045</v>
      </c>
      <c r="AP572" s="107"/>
      <c r="AQ572" s="126"/>
      <c r="AR572" s="107">
        <f t="shared" si="578"/>
        <v>2686.4846666666663</v>
      </c>
      <c r="AS572" s="107">
        <f t="shared" si="605"/>
        <v>30670.722277777822</v>
      </c>
      <c r="AT572" s="107">
        <f t="shared" si="606"/>
        <v>30446.8485555556</v>
      </c>
      <c r="AU572" s="107">
        <f t="shared" si="607"/>
        <v>30222.974833333377</v>
      </c>
      <c r="AV572" s="107">
        <f t="shared" si="608"/>
        <v>29999.101111111155</v>
      </c>
      <c r="AW572" s="107">
        <f t="shared" si="609"/>
        <v>29775.227388888932</v>
      </c>
      <c r="AX572" s="107">
        <f t="shared" si="610"/>
        <v>29551.35366666671</v>
      </c>
      <c r="AY572" s="107">
        <f t="shared" si="611"/>
        <v>29327.479944444487</v>
      </c>
      <c r="AZ572" s="107">
        <f t="shared" si="612"/>
        <v>29103.606222222264</v>
      </c>
      <c r="BA572" s="107">
        <f t="shared" si="613"/>
        <v>28879.732500000042</v>
      </c>
      <c r="BB572" s="107">
        <f t="shared" si="614"/>
        <v>28655.858777777819</v>
      </c>
      <c r="BC572" s="107">
        <f t="shared" si="615"/>
        <v>28431.985055555597</v>
      </c>
      <c r="BD572" s="107">
        <f t="shared" si="616"/>
        <v>28208.111333333374</v>
      </c>
      <c r="BE572" s="107"/>
      <c r="BF572" s="127"/>
      <c r="BG572" s="127"/>
      <c r="BH572" s="127"/>
      <c r="BI572" s="127"/>
      <c r="BJ572" s="127"/>
      <c r="BK572" s="127"/>
      <c r="BL572" s="127"/>
      <c r="BM572" s="127"/>
      <c r="BN572" s="127"/>
      <c r="BO572" s="127"/>
      <c r="BP572" s="127"/>
      <c r="BQ572" s="127"/>
      <c r="BR572" s="127"/>
      <c r="BS572" s="127"/>
      <c r="BT572" s="127"/>
      <c r="BU572" s="127"/>
      <c r="BV572" s="127"/>
      <c r="BW572" s="127"/>
    </row>
    <row r="573" spans="1:75" ht="22.5" hidden="1" x14ac:dyDescent="0.2">
      <c r="A573" s="123" t="str">
        <f>'[2]2021 УГРЦТ'!A575</f>
        <v>Теодолит электронный ADA DigiTeo 2 в комплекте</v>
      </c>
      <c r="B573" s="124" t="str">
        <f>'[2]2021 УГРЦТ'!B575</f>
        <v>000001681</v>
      </c>
      <c r="C573" s="124" t="str">
        <f>VLOOKUP(A:A,'2023-2027'!A:L,1,+FALSE)</f>
        <v>Теодолит электронный ADA DigiTeo 2 в комплекте</v>
      </c>
      <c r="D573" s="124" t="str">
        <f>'[2]2021 УГРЦТ'!C575</f>
        <v>ОБЩЕПРОИЗВОДСТВЕННЫЕ РАСХОДЫ</v>
      </c>
      <c r="E573" s="124" t="str">
        <f>'[2]2021 УГРЦТ'!D575</f>
        <v>Машины и оборудование (кроме офисного)</v>
      </c>
      <c r="F573" s="124" t="str">
        <f>'[2]2021 УГРЦТ'!E575</f>
        <v>29.04.2016</v>
      </c>
      <c r="G573" s="124" t="str">
        <f>'[2]2021 УГРЦТ'!F575</f>
        <v>общепроизводственные расходы</v>
      </c>
      <c r="H573" s="124">
        <f>'[2]2021 УГРЦТ'!AC575</f>
        <v>84</v>
      </c>
      <c r="I573" s="107">
        <f>'[2]2021 УГРЦТ'!X575</f>
        <v>74241.69</v>
      </c>
      <c r="J573" s="107">
        <f>'[2]2021 УГРЦТ'!Y575</f>
        <v>60100.435714285719</v>
      </c>
      <c r="K573" s="107">
        <f>'[2]2021 УГРЦТ'!Z575</f>
        <v>14141.254285714283</v>
      </c>
      <c r="L573" s="125" t="e">
        <f>SUMIF([2]облаг!$B$2:$B$259,B573,[2]облаг!$D$2:$D$259)</f>
        <v>#VALUE!</v>
      </c>
      <c r="M573" s="148">
        <f t="shared" si="564"/>
        <v>883.82964285714286</v>
      </c>
      <c r="N573" s="107">
        <f t="shared" si="565"/>
        <v>10605.955714285714</v>
      </c>
      <c r="O573" s="107">
        <f t="shared" si="566"/>
        <v>13257.42464285714</v>
      </c>
      <c r="P573" s="107">
        <f t="shared" si="567"/>
        <v>12373.594999999998</v>
      </c>
      <c r="Q573" s="107">
        <f t="shared" si="568"/>
        <v>11489.765357142855</v>
      </c>
      <c r="R573" s="107">
        <f t="shared" si="569"/>
        <v>10605.935714285712</v>
      </c>
      <c r="S573" s="107">
        <f t="shared" si="570"/>
        <v>9722.1060714285686</v>
      </c>
      <c r="T573" s="107">
        <f t="shared" si="571"/>
        <v>8838.2764285714256</v>
      </c>
      <c r="U573" s="107">
        <f t="shared" si="572"/>
        <v>7954.4467857142827</v>
      </c>
      <c r="V573" s="107">
        <f t="shared" si="573"/>
        <v>7070.6171428571397</v>
      </c>
      <c r="W573" s="107">
        <f t="shared" si="574"/>
        <v>6186.7874999999967</v>
      </c>
      <c r="X573" s="107">
        <f t="shared" si="575"/>
        <v>5302.9578571428538</v>
      </c>
      <c r="Y573" s="107">
        <f t="shared" si="576"/>
        <v>4419.1282142857108</v>
      </c>
      <c r="Z573" s="107">
        <f t="shared" si="577"/>
        <v>3535.2985714285678</v>
      </c>
      <c r="AA573" s="107"/>
      <c r="AB573" s="107"/>
      <c r="AC573" s="107">
        <f>AD573</f>
        <v>2651.4689285714248</v>
      </c>
      <c r="AD573" s="107">
        <f t="shared" si="580"/>
        <v>2651.4689285714248</v>
      </c>
      <c r="AE573" s="107">
        <f t="shared" si="581"/>
        <v>1767.6392857142819</v>
      </c>
      <c r="AF573" s="107">
        <f t="shared" si="582"/>
        <v>883.80964285713901</v>
      </c>
      <c r="AG573" s="107">
        <v>0</v>
      </c>
      <c r="AH573" s="107">
        <v>0</v>
      </c>
      <c r="AI573" s="107">
        <v>0</v>
      </c>
      <c r="AJ573" s="107">
        <v>0</v>
      </c>
      <c r="AK573" s="107">
        <v>0</v>
      </c>
      <c r="AL573" s="107">
        <v>0</v>
      </c>
      <c r="AM573" s="107">
        <v>0</v>
      </c>
      <c r="AN573" s="107">
        <v>0</v>
      </c>
      <c r="AO573" s="107">
        <v>0</v>
      </c>
      <c r="AP573" s="107"/>
      <c r="AQ573" s="126"/>
      <c r="AR573" s="107">
        <v>0</v>
      </c>
      <c r="AS573" s="107">
        <v>0</v>
      </c>
      <c r="AT573" s="107">
        <v>0</v>
      </c>
      <c r="AU573" s="107">
        <v>0</v>
      </c>
      <c r="AV573" s="107">
        <v>0</v>
      </c>
      <c r="AW573" s="107">
        <v>0</v>
      </c>
      <c r="AX573" s="107">
        <v>0</v>
      </c>
      <c r="AY573" s="107">
        <v>0</v>
      </c>
      <c r="AZ573" s="107">
        <v>0</v>
      </c>
      <c r="BA573" s="107">
        <v>0</v>
      </c>
      <c r="BB573" s="107">
        <v>0</v>
      </c>
      <c r="BC573" s="107">
        <v>0</v>
      </c>
      <c r="BD573" s="107">
        <v>0</v>
      </c>
      <c r="BE573" s="124"/>
      <c r="BI573" s="127"/>
    </row>
    <row r="574" spans="1:75" ht="22.5" hidden="1" x14ac:dyDescent="0.2">
      <c r="A574" s="123" t="str">
        <f>'[2]2021 УГРЦТ'!A576</f>
        <v>Устройство ограждения 2009г 149,5 п.м.</v>
      </c>
      <c r="B574" s="124" t="str">
        <f>'[2]2021 УГРЦТ'!B576</f>
        <v>00001151</v>
      </c>
      <c r="C574" s="124" t="str">
        <f>VLOOKUP(A:A,'2023-2027'!A:L,1,+FALSE)</f>
        <v>Устройство ограждения 2009г 149,5 п.м.</v>
      </c>
      <c r="D574" s="124" t="str">
        <f>'[2]2021 УГРЦТ'!C576</f>
        <v>ОБЩЕПРОИЗВОДСТВЕННЫЕ РАСХОДЫ</v>
      </c>
      <c r="E574" s="124" t="str">
        <f>'[2]2021 УГРЦТ'!D576</f>
        <v>Сооружения</v>
      </c>
      <c r="F574" s="124" t="str">
        <f>'[2]2021 УГРЦТ'!E576</f>
        <v>30.11.2009</v>
      </c>
      <c r="G574" s="124" t="str">
        <f>'[2]2021 УГРЦТ'!F576</f>
        <v>общепроизводственные расходы</v>
      </c>
      <c r="H574" s="124">
        <f>'[2]2021 УГРЦТ'!AC576</f>
        <v>180</v>
      </c>
      <c r="I574" s="107">
        <f>'[2]2021 УГРЦТ'!X576</f>
        <v>1190946</v>
      </c>
      <c r="J574" s="107">
        <f>'[2]2021 УГРЦТ'!Y576</f>
        <v>1018920.91</v>
      </c>
      <c r="K574" s="107">
        <f>'[2]2021 УГРЦТ'!Z576</f>
        <v>172025.08999999997</v>
      </c>
      <c r="L574" s="125" t="e">
        <f>SUMIF([2]облаг!$B$2:$B$259,B574,[2]облаг!$D$2:$D$259)</f>
        <v>#VALUE!</v>
      </c>
      <c r="M574" s="148">
        <f t="shared" si="564"/>
        <v>6616.3666666666668</v>
      </c>
      <c r="N574" s="107">
        <f t="shared" si="565"/>
        <v>79396.399999999994</v>
      </c>
      <c r="O574" s="107">
        <f t="shared" si="566"/>
        <v>165408.7233333333</v>
      </c>
      <c r="P574" s="107">
        <f t="shared" si="567"/>
        <v>158792.35666666663</v>
      </c>
      <c r="Q574" s="107">
        <f t="shared" si="568"/>
        <v>152175.98999999996</v>
      </c>
      <c r="R574" s="107">
        <f t="shared" si="569"/>
        <v>145559.62333333329</v>
      </c>
      <c r="S574" s="107">
        <f t="shared" si="570"/>
        <v>138943.25666666662</v>
      </c>
      <c r="T574" s="107">
        <f t="shared" si="571"/>
        <v>132326.88999999996</v>
      </c>
      <c r="U574" s="107">
        <f t="shared" si="572"/>
        <v>125710.52333333329</v>
      </c>
      <c r="V574" s="107">
        <f t="shared" si="573"/>
        <v>119094.15666666662</v>
      </c>
      <c r="W574" s="107">
        <f t="shared" si="574"/>
        <v>112477.78999999995</v>
      </c>
      <c r="X574" s="107">
        <f t="shared" si="575"/>
        <v>105861.42333333328</v>
      </c>
      <c r="Y574" s="107">
        <f t="shared" si="576"/>
        <v>99245.056666666613</v>
      </c>
      <c r="Z574" s="107">
        <f t="shared" si="577"/>
        <v>92628.689999999944</v>
      </c>
      <c r="AA574" s="107">
        <f>SUM(O574:Z574,K574)/13*$AA$2</f>
        <v>2911.1915799999997</v>
      </c>
      <c r="AB574" s="107"/>
      <c r="AC574" s="107">
        <f t="shared" si="586"/>
        <v>79396.399999999994</v>
      </c>
      <c r="AD574" s="107">
        <f t="shared" si="580"/>
        <v>86012.323333333276</v>
      </c>
      <c r="AE574" s="107">
        <f t="shared" si="581"/>
        <v>79395.956666666607</v>
      </c>
      <c r="AF574" s="107">
        <f t="shared" si="582"/>
        <v>72779.589999999938</v>
      </c>
      <c r="AG574" s="107">
        <f t="shared" si="583"/>
        <v>66163.22333333327</v>
      </c>
      <c r="AH574" s="107">
        <f t="shared" si="584"/>
        <v>59546.856666666601</v>
      </c>
      <c r="AI574" s="107">
        <f t="shared" si="585"/>
        <v>52930.489999999932</v>
      </c>
      <c r="AJ574" s="107">
        <f t="shared" si="587"/>
        <v>46314.123333333264</v>
      </c>
      <c r="AK574" s="107">
        <f t="shared" si="588"/>
        <v>39697.756666666595</v>
      </c>
      <c r="AL574" s="107">
        <f t="shared" si="589"/>
        <v>33081.389999999927</v>
      </c>
      <c r="AM574" s="107">
        <f t="shared" si="590"/>
        <v>26465.023333333258</v>
      </c>
      <c r="AN574" s="107">
        <f t="shared" si="591"/>
        <v>19848.656666666589</v>
      </c>
      <c r="AO574" s="107">
        <f t="shared" si="592"/>
        <v>13232.289999999923</v>
      </c>
      <c r="AP574" s="107">
        <f>SUM(AD574:AO574,Z574)/13*$AP$2</f>
        <v>1164.4707799999985</v>
      </c>
      <c r="AQ574" s="126"/>
      <c r="AR574" s="107">
        <f>AS574</f>
        <v>6615.9233333332559</v>
      </c>
      <c r="AS574" s="107">
        <f>AO574-M574</f>
        <v>6615.9233333332559</v>
      </c>
      <c r="AT574" s="107">
        <v>0</v>
      </c>
      <c r="AU574" s="107">
        <v>0</v>
      </c>
      <c r="AV574" s="107">
        <v>0</v>
      </c>
      <c r="AW574" s="107">
        <v>0</v>
      </c>
      <c r="AX574" s="107">
        <v>0</v>
      </c>
      <c r="AY574" s="107">
        <v>0</v>
      </c>
      <c r="AZ574" s="107">
        <v>0</v>
      </c>
      <c r="BA574" s="107">
        <v>0</v>
      </c>
      <c r="BB574" s="107">
        <v>0</v>
      </c>
      <c r="BC574" s="107">
        <v>0</v>
      </c>
      <c r="BD574" s="107">
        <v>0</v>
      </c>
      <c r="BE574" s="107">
        <f>SUM(AS574:BD574,AO574)/13*$BE$2</f>
        <v>33.589284102563845</v>
      </c>
      <c r="BG574" s="127"/>
      <c r="BI574" s="127"/>
      <c r="BV574" s="127"/>
    </row>
    <row r="575" spans="1:75" ht="22.5" hidden="1" x14ac:dyDescent="0.2">
      <c r="A575" s="123" t="str">
        <f>'[2]2021 УГРЦТ'!A577</f>
        <v>ЩО 70-3-02 УЗ №1 ТП в районе школы №2</v>
      </c>
      <c r="B575" s="124" t="str">
        <f>'[2]2021 УГРЦТ'!B577</f>
        <v>00001105</v>
      </c>
      <c r="C575" s="124" t="str">
        <f>VLOOKUP(A:A,'2023-2027'!A:L,1,+FALSE)</f>
        <v>ЩО 70-3-02 УЗ №1 ТП в районе школы №2</v>
      </c>
      <c r="D575" s="124" t="str">
        <f>'[2]2021 УГРЦТ'!C577</f>
        <v>ОБЩЕПРОИЗВОДСТВЕННЫЕ РАСХОДЫ</v>
      </c>
      <c r="E575" s="124" t="str">
        <f>'[2]2021 УГРЦТ'!D577</f>
        <v>Машины и оборудование (кроме офисного)</v>
      </c>
      <c r="F575" s="124" t="str">
        <f>'[2]2021 УГРЦТ'!E577</f>
        <v>31.12.2008</v>
      </c>
      <c r="G575" s="124" t="str">
        <f>'[2]2021 УГРЦТ'!F577</f>
        <v>Цех электрических сетей</v>
      </c>
      <c r="H575" s="124">
        <f>'[2]2021 УГРЦТ'!AC577</f>
        <v>180</v>
      </c>
      <c r="I575" s="107">
        <f>'[2]2021 УГРЦТ'!X577</f>
        <v>25570</v>
      </c>
      <c r="J575" s="107">
        <f>'[2]2021 УГРЦТ'!Y577</f>
        <v>22161.306666666667</v>
      </c>
      <c r="K575" s="107">
        <f>'[2]2021 УГРЦТ'!Z577</f>
        <v>3408.6933333333327</v>
      </c>
      <c r="L575" s="125" t="e">
        <f>SUMIF([2]облаг!$B$2:$B$259,B575,[2]облаг!$D$2:$D$259)</f>
        <v>#VALUE!</v>
      </c>
      <c r="M575" s="148">
        <f t="shared" si="564"/>
        <v>142.05555555555554</v>
      </c>
      <c r="N575" s="107">
        <f t="shared" si="565"/>
        <v>1704.6666666666665</v>
      </c>
      <c r="O575" s="107">
        <f t="shared" si="566"/>
        <v>3266.637777777777</v>
      </c>
      <c r="P575" s="107">
        <f t="shared" si="567"/>
        <v>3124.5822222222214</v>
      </c>
      <c r="Q575" s="107">
        <f t="shared" si="568"/>
        <v>2982.5266666666657</v>
      </c>
      <c r="R575" s="107">
        <f t="shared" si="569"/>
        <v>2840.4711111111101</v>
      </c>
      <c r="S575" s="107">
        <f t="shared" si="570"/>
        <v>2698.4155555555544</v>
      </c>
      <c r="T575" s="107">
        <f t="shared" si="571"/>
        <v>2556.3599999999988</v>
      </c>
      <c r="U575" s="107">
        <f t="shared" si="572"/>
        <v>2414.3044444444431</v>
      </c>
      <c r="V575" s="107">
        <f t="shared" si="573"/>
        <v>2272.2488888888874</v>
      </c>
      <c r="W575" s="107">
        <f t="shared" si="574"/>
        <v>2130.1933333333318</v>
      </c>
      <c r="X575" s="107">
        <f t="shared" si="575"/>
        <v>1988.1377777777761</v>
      </c>
      <c r="Y575" s="107">
        <f t="shared" si="576"/>
        <v>1846.0822222222205</v>
      </c>
      <c r="Z575" s="107">
        <f t="shared" si="577"/>
        <v>1704.0266666666648</v>
      </c>
      <c r="AA575" s="107"/>
      <c r="AB575" s="107"/>
      <c r="AC575" s="107">
        <f>AD575</f>
        <v>1561.9711111111092</v>
      </c>
      <c r="AD575" s="107">
        <f t="shared" si="580"/>
        <v>1561.9711111111092</v>
      </c>
      <c r="AE575" s="107">
        <f t="shared" si="581"/>
        <v>1419.9155555555535</v>
      </c>
      <c r="AF575" s="107">
        <f t="shared" si="582"/>
        <v>1277.8599999999979</v>
      </c>
      <c r="AG575" s="107">
        <f t="shared" si="583"/>
        <v>1135.8044444444422</v>
      </c>
      <c r="AH575" s="107">
        <f t="shared" si="584"/>
        <v>993.74888888888665</v>
      </c>
      <c r="AI575" s="107">
        <f t="shared" si="585"/>
        <v>851.69333333333111</v>
      </c>
      <c r="AJ575" s="107">
        <f t="shared" si="587"/>
        <v>709.63777777777557</v>
      </c>
      <c r="AK575" s="107">
        <f t="shared" si="588"/>
        <v>567.58222222222003</v>
      </c>
      <c r="AL575" s="107">
        <f t="shared" si="589"/>
        <v>425.52666666666448</v>
      </c>
      <c r="AM575" s="107">
        <f t="shared" si="590"/>
        <v>283.47111111110894</v>
      </c>
      <c r="AN575" s="107">
        <f t="shared" si="591"/>
        <v>141.4155555555534</v>
      </c>
      <c r="AO575" s="107">
        <v>0</v>
      </c>
      <c r="AP575" s="107"/>
      <c r="AQ575" s="126"/>
      <c r="AR575" s="107">
        <v>0</v>
      </c>
      <c r="AS575" s="107">
        <v>0</v>
      </c>
      <c r="AT575" s="107">
        <v>0</v>
      </c>
      <c r="AU575" s="107">
        <v>0</v>
      </c>
      <c r="AV575" s="107">
        <v>0</v>
      </c>
      <c r="AW575" s="107">
        <v>0</v>
      </c>
      <c r="AX575" s="107">
        <v>0</v>
      </c>
      <c r="AY575" s="107">
        <v>0</v>
      </c>
      <c r="AZ575" s="107">
        <v>0</v>
      </c>
      <c r="BA575" s="107">
        <v>0</v>
      </c>
      <c r="BB575" s="107">
        <v>0</v>
      </c>
      <c r="BC575" s="107">
        <v>0</v>
      </c>
      <c r="BD575" s="107">
        <v>0</v>
      </c>
      <c r="BE575" s="124"/>
      <c r="BI575" s="127"/>
    </row>
    <row r="576" spans="1:75" s="121" customFormat="1" ht="22.5" hidden="1" x14ac:dyDescent="0.2">
      <c r="A576" s="135" t="str">
        <f>'[2]2021 УГРЦТ'!A578</f>
        <v>ОБЩЕХОЗЯЙСТВЕННЫЕ РАСХОДЫ</v>
      </c>
      <c r="B576" s="136">
        <f>'[2]2021 УГРЦТ'!B578</f>
        <v>0</v>
      </c>
      <c r="C576" s="124" t="str">
        <f>VLOOKUP(A:A,'2023-2027'!A:L,1,+FALSE)</f>
        <v>ОБЩЕХОЗЯЙСТВЕННЫЕ РАСХОДЫ</v>
      </c>
      <c r="D576" s="136">
        <f>'[2]2021 УГРЦТ'!C578</f>
        <v>0</v>
      </c>
      <c r="E576" s="136">
        <f>'[2]2021 УГРЦТ'!D578</f>
        <v>0</v>
      </c>
      <c r="F576" s="136">
        <f>'[2]2021 УГРЦТ'!E578</f>
        <v>0</v>
      </c>
      <c r="G576" s="136">
        <f>'[2]2021 УГРЦТ'!F578</f>
        <v>0</v>
      </c>
      <c r="H576" s="136">
        <f>'[2]2021 УГРЦТ'!AC578</f>
        <v>0</v>
      </c>
      <c r="I576" s="137">
        <f>SUM(I577:I587)</f>
        <v>7264295.2306666663</v>
      </c>
      <c r="J576" s="137">
        <f t="shared" ref="J576:BE576" si="617">SUM(J577:J587)</f>
        <v>1761521.7648571427</v>
      </c>
      <c r="K576" s="137">
        <f t="shared" si="617"/>
        <v>5502773.4658095231</v>
      </c>
      <c r="L576" s="137" t="e">
        <f t="shared" si="617"/>
        <v>#VALUE!</v>
      </c>
      <c r="M576" s="137">
        <f t="shared" si="617"/>
        <v>23825.30271309524</v>
      </c>
      <c r="N576" s="137">
        <f t="shared" si="617"/>
        <v>275105.89700158732</v>
      </c>
      <c r="O576" s="137">
        <f t="shared" si="617"/>
        <v>5478948.1630964279</v>
      </c>
      <c r="P576" s="137">
        <f t="shared" si="617"/>
        <v>5455122.8603833336</v>
      </c>
      <c r="Q576" s="137">
        <f t="shared" si="617"/>
        <v>5431297.5576702375</v>
      </c>
      <c r="R576" s="137">
        <f t="shared" si="617"/>
        <v>5407472.2549571414</v>
      </c>
      <c r="S576" s="137">
        <f t="shared" si="617"/>
        <v>5383646.9522440461</v>
      </c>
      <c r="T576" s="137">
        <f t="shared" si="617"/>
        <v>5361171.3295309506</v>
      </c>
      <c r="U576" s="137">
        <f t="shared" si="617"/>
        <v>5338695.7490400784</v>
      </c>
      <c r="V576" s="137">
        <f t="shared" si="617"/>
        <v>5316220.1685492042</v>
      </c>
      <c r="W576" s="137">
        <f t="shared" si="617"/>
        <v>5293744.5880583301</v>
      </c>
      <c r="X576" s="137">
        <f t="shared" si="617"/>
        <v>5271269.0075674579</v>
      </c>
      <c r="Y576" s="137">
        <f t="shared" si="617"/>
        <v>5248793.4270765856</v>
      </c>
      <c r="Z576" s="137">
        <f t="shared" si="617"/>
        <v>5226317.8465857105</v>
      </c>
      <c r="AA576" s="137">
        <f t="shared" si="617"/>
        <v>114041.87672129995</v>
      </c>
      <c r="AB576" s="137">
        <f t="shared" si="617"/>
        <v>0</v>
      </c>
      <c r="AC576" s="137">
        <f t="shared" si="617"/>
        <v>269706.96589047619</v>
      </c>
      <c r="AD576" s="137">
        <f t="shared" si="617"/>
        <v>5203842.2660948383</v>
      </c>
      <c r="AE576" s="137">
        <f t="shared" si="617"/>
        <v>5181366.6856039651</v>
      </c>
      <c r="AF576" s="137">
        <f t="shared" si="617"/>
        <v>5158891.1051130919</v>
      </c>
      <c r="AG576" s="137">
        <f t="shared" si="617"/>
        <v>5136415.5246222187</v>
      </c>
      <c r="AH576" s="137">
        <f t="shared" si="617"/>
        <v>5113939.9441313446</v>
      </c>
      <c r="AI576" s="137">
        <f t="shared" si="617"/>
        <v>5091464.3636404714</v>
      </c>
      <c r="AJ576" s="137">
        <f t="shared" si="617"/>
        <v>5068988.7831495982</v>
      </c>
      <c r="AK576" s="137">
        <f t="shared" si="617"/>
        <v>5046513.2026587259</v>
      </c>
      <c r="AL576" s="137">
        <f t="shared" si="617"/>
        <v>5024037.6221678508</v>
      </c>
      <c r="AM576" s="137">
        <f t="shared" si="617"/>
        <v>5001562.0416769786</v>
      </c>
      <c r="AN576" s="137">
        <f t="shared" si="617"/>
        <v>4979086.4611861063</v>
      </c>
      <c r="AO576" s="137">
        <f t="shared" si="617"/>
        <v>4956610.8806952322</v>
      </c>
      <c r="AP576" s="137">
        <f t="shared" si="617"/>
        <v>108510.92488389989</v>
      </c>
      <c r="AQ576" s="137">
        <f t="shared" si="617"/>
        <v>0</v>
      </c>
      <c r="AR576" s="137">
        <f t="shared" si="617"/>
        <v>269706.96589047619</v>
      </c>
      <c r="AS576" s="137">
        <f t="shared" si="617"/>
        <v>4934135.3002043581</v>
      </c>
      <c r="AT576" s="137">
        <f t="shared" si="617"/>
        <v>4911659.7197134858</v>
      </c>
      <c r="AU576" s="137">
        <f t="shared" si="617"/>
        <v>4889184.1392226126</v>
      </c>
      <c r="AV576" s="137">
        <f t="shared" si="617"/>
        <v>4866708.5587317394</v>
      </c>
      <c r="AW576" s="137">
        <f t="shared" si="617"/>
        <v>4844232.9782408662</v>
      </c>
      <c r="AX576" s="137">
        <f t="shared" si="617"/>
        <v>4821757.3977499921</v>
      </c>
      <c r="AY576" s="137">
        <f t="shared" si="617"/>
        <v>4799281.8172591198</v>
      </c>
      <c r="AZ576" s="137">
        <f t="shared" si="617"/>
        <v>4776806.2367682466</v>
      </c>
      <c r="BA576" s="137">
        <f t="shared" si="617"/>
        <v>4754330.6562773725</v>
      </c>
      <c r="BB576" s="137">
        <f t="shared" si="617"/>
        <v>4731855.0757865002</v>
      </c>
      <c r="BC576" s="137">
        <f t="shared" si="617"/>
        <v>4709379.4952956261</v>
      </c>
      <c r="BD576" s="137">
        <f t="shared" si="617"/>
        <v>4686903.9148047538</v>
      </c>
      <c r="BE576" s="137">
        <f t="shared" si="617"/>
        <v>102979.97304649984</v>
      </c>
      <c r="BF576" s="138"/>
      <c r="BG576" s="138"/>
      <c r="BH576" s="138"/>
      <c r="BI576" s="138"/>
      <c r="BJ576" s="138"/>
      <c r="BK576" s="138"/>
      <c r="BL576" s="138"/>
      <c r="BM576" s="138"/>
      <c r="BN576" s="138"/>
      <c r="BO576" s="138"/>
      <c r="BP576" s="138"/>
      <c r="BQ576" s="138"/>
      <c r="BR576" s="138"/>
      <c r="BS576" s="138"/>
      <c r="BT576" s="138"/>
      <c r="BU576" s="138"/>
      <c r="BV576" s="138"/>
      <c r="BW576" s="138"/>
    </row>
    <row r="577" spans="1:75" hidden="1" x14ac:dyDescent="0.2">
      <c r="A577" s="123" t="str">
        <f>'[2]2021 УГРЦТ'!A579</f>
        <v>Балок 2004г</v>
      </c>
      <c r="B577" s="124" t="str">
        <f>'[2]2021 УГРЦТ'!B579</f>
        <v>00000702</v>
      </c>
      <c r="C577" s="124" t="str">
        <f>VLOOKUP(A:A,'2023-2027'!A:L,1,+FALSE)</f>
        <v>Балок 2004г</v>
      </c>
      <c r="D577" s="124" t="str">
        <f>'[2]2021 УГРЦТ'!C579</f>
        <v>ОБЩЕХОЗЯЙСТВЕННЫЕ РАСХОДЫ</v>
      </c>
      <c r="E577" s="124" t="str">
        <f>'[2]2021 УГРЦТ'!D579</f>
        <v>Здания</v>
      </c>
      <c r="F577" s="124" t="str">
        <f>'[2]2021 УГРЦТ'!E579</f>
        <v>30.06.2004</v>
      </c>
      <c r="G577" s="124" t="str">
        <f>'[2]2021 УГРЦТ'!F579</f>
        <v>Общехозяйственные расходы</v>
      </c>
      <c r="H577" s="124">
        <f>'[2]2021 УГРЦТ'!AC579</f>
        <v>120</v>
      </c>
      <c r="I577" s="107">
        <f>'[2]2021 УГРЦТ'!X579</f>
        <v>147586.91</v>
      </c>
      <c r="J577" s="107">
        <f>'[2]2021 УГРЦТ'!Y579</f>
        <v>71696.42</v>
      </c>
      <c r="K577" s="107">
        <f>'[2]2021 УГРЦТ'!Z579</f>
        <v>75890.490000000005</v>
      </c>
      <c r="L577" s="125" t="e">
        <f>SUMIF([2]облаг!$B$2:$B$259,B577,[2]облаг!$D$2:$D$259)</f>
        <v>#VALUE!</v>
      </c>
      <c r="M577" s="148">
        <f>I577/H577</f>
        <v>1229.8909166666667</v>
      </c>
      <c r="N577" s="107">
        <f>M577*12</f>
        <v>14758.691000000001</v>
      </c>
      <c r="O577" s="107">
        <f>K577-M577</f>
        <v>74660.599083333334</v>
      </c>
      <c r="P577" s="107">
        <f>O577-M577</f>
        <v>73430.708166666664</v>
      </c>
      <c r="Q577" s="107">
        <f>P577-M577</f>
        <v>72200.817249999993</v>
      </c>
      <c r="R577" s="107">
        <f>Q577-M577</f>
        <v>70970.926333333322</v>
      </c>
      <c r="S577" s="107">
        <f>R577-M577</f>
        <v>69741.035416666651</v>
      </c>
      <c r="T577" s="107">
        <f>S577-M577</f>
        <v>68511.14449999998</v>
      </c>
      <c r="U577" s="107">
        <f>T577-M577</f>
        <v>67281.25358333331</v>
      </c>
      <c r="V577" s="107">
        <f>U577-M577</f>
        <v>66051.362666666639</v>
      </c>
      <c r="W577" s="107">
        <f>V577-M577</f>
        <v>64821.471749999975</v>
      </c>
      <c r="X577" s="107">
        <f>W577-M577</f>
        <v>63591.580833333312</v>
      </c>
      <c r="Y577" s="107">
        <f>X577-M577</f>
        <v>62361.689916666648</v>
      </c>
      <c r="Z577" s="107">
        <f>Y577-M577</f>
        <v>61131.798999999985</v>
      </c>
      <c r="AA577" s="107">
        <f t="shared" ref="AA577:AA582" si="618">SUM(O577:Z577,K577)/13*$AA$2</f>
        <v>1507.2451789999998</v>
      </c>
      <c r="AB577" s="107"/>
      <c r="AC577" s="107">
        <f>N577</f>
        <v>14758.691000000001</v>
      </c>
      <c r="AD577" s="107">
        <f>Z577-M577</f>
        <v>59901.908083333321</v>
      </c>
      <c r="AE577" s="107">
        <f>AD577-M577</f>
        <v>58672.017166666657</v>
      </c>
      <c r="AF577" s="107">
        <f>AE577-M577</f>
        <v>57442.126249999994</v>
      </c>
      <c r="AG577" s="107">
        <f>AF577-M577</f>
        <v>56212.23533333333</v>
      </c>
      <c r="AH577" s="107">
        <f>AG577-M577</f>
        <v>54982.344416666667</v>
      </c>
      <c r="AI577" s="107">
        <f>AH577-M577</f>
        <v>53752.453500000003</v>
      </c>
      <c r="AJ577" s="107">
        <f>AI577-M577</f>
        <v>52522.56258333334</v>
      </c>
      <c r="AK577" s="107">
        <f>AJ577-M577</f>
        <v>51292.671666666676</v>
      </c>
      <c r="AL577" s="107">
        <f>AK577-M577</f>
        <v>50062.780750000013</v>
      </c>
      <c r="AM577" s="107">
        <f>AL577-M577</f>
        <v>48832.889833333349</v>
      </c>
      <c r="AN577" s="107">
        <f>AM577-M577</f>
        <v>47602.998916666686</v>
      </c>
      <c r="AO577" s="107">
        <f>AN577-M577</f>
        <v>46373.108000000022</v>
      </c>
      <c r="AP577" s="107">
        <f t="shared" ref="AP577:AP582" si="619">SUM(AD577:AO577,Z577)/13*$AP$2</f>
        <v>1182.5539770000003</v>
      </c>
      <c r="AQ577" s="126"/>
      <c r="AR577" s="107">
        <f>AC577</f>
        <v>14758.691000000001</v>
      </c>
      <c r="AS577" s="107">
        <f t="shared" ref="AS577:AS585" si="620">AO577-M577</f>
        <v>45143.217083333358</v>
      </c>
      <c r="AT577" s="107">
        <f t="shared" ref="AT577:AT585" si="621">AS577-M577</f>
        <v>43913.326166666695</v>
      </c>
      <c r="AU577" s="107">
        <f t="shared" ref="AU577:AU585" si="622">AT577-M577</f>
        <v>42683.435250000031</v>
      </c>
      <c r="AV577" s="107">
        <f t="shared" ref="AV577:AV585" si="623">AU577-M577</f>
        <v>41453.544333333368</v>
      </c>
      <c r="AW577" s="107">
        <f t="shared" ref="AW577:AW585" si="624">AV577-M577</f>
        <v>40223.653416666704</v>
      </c>
      <c r="AX577" s="107">
        <f t="shared" ref="AX577:AX585" si="625">AW577-M577</f>
        <v>38993.762500000041</v>
      </c>
      <c r="AY577" s="107">
        <f t="shared" ref="AY577:AY585" si="626">AX577-M577</f>
        <v>37763.871583333377</v>
      </c>
      <c r="AZ577" s="107">
        <f t="shared" ref="AZ577:AZ585" si="627">AY577-M577</f>
        <v>36533.980666666714</v>
      </c>
      <c r="BA577" s="107">
        <f t="shared" ref="BA577:BA585" si="628">AZ577-M577</f>
        <v>35304.08975000005</v>
      </c>
      <c r="BB577" s="107">
        <f t="shared" ref="BB577:BB585" si="629">BA577-M577</f>
        <v>34074.198833333387</v>
      </c>
      <c r="BC577" s="107">
        <f t="shared" ref="BC577:BC585" si="630">BB577-M577</f>
        <v>32844.307916666723</v>
      </c>
      <c r="BD577" s="107">
        <f t="shared" ref="BD577:BD585" si="631">BC577-M577</f>
        <v>31614.417000000056</v>
      </c>
      <c r="BE577" s="107">
        <f t="shared" ref="BE577:BE582" si="632">SUM(AS577:BD577,AO577)/13*$BE$2</f>
        <v>857.86277500000085</v>
      </c>
      <c r="BF577" s="127"/>
      <c r="BG577" s="127"/>
      <c r="BH577" s="127"/>
      <c r="BI577" s="127"/>
      <c r="BJ577" s="127"/>
      <c r="BK577" s="127"/>
      <c r="BL577" s="127"/>
      <c r="BM577" s="127"/>
      <c r="BN577" s="127"/>
      <c r="BO577" s="127"/>
      <c r="BP577" s="127"/>
      <c r="BQ577" s="127"/>
      <c r="BR577" s="127"/>
      <c r="BS577" s="127"/>
      <c r="BT577" s="127"/>
      <c r="BU577" s="127"/>
      <c r="BV577" s="127"/>
      <c r="BW577" s="127"/>
    </row>
    <row r="578" spans="1:75" hidden="1" x14ac:dyDescent="0.2">
      <c r="A578" s="123" t="str">
        <f>'[2]2021 УГРЦТ'!A580</f>
        <v>Балок Геолог деревянный 1991г</v>
      </c>
      <c r="B578" s="124" t="str">
        <f>'[2]2021 УГРЦТ'!B580</f>
        <v>00000052</v>
      </c>
      <c r="C578" s="124" t="str">
        <f>VLOOKUP(A:A,'2023-2027'!A:L,1,+FALSE)</f>
        <v>Балок Геолог деревянный 1991г</v>
      </c>
      <c r="D578" s="124" t="str">
        <f>'[2]2021 УГРЦТ'!C580</f>
        <v>ОБЩЕХОЗЯЙСТВЕННЫЕ РАСХОДЫ</v>
      </c>
      <c r="E578" s="124" t="str">
        <f>'[2]2021 УГРЦТ'!D580</f>
        <v>Здания</v>
      </c>
      <c r="F578" s="124" t="str">
        <f>'[2]2021 УГРЦТ'!E580</f>
        <v>01.01.1991</v>
      </c>
      <c r="G578" s="124" t="str">
        <f>'[2]2021 УГРЦТ'!F580</f>
        <v>Общехозяйственные расходы</v>
      </c>
      <c r="H578" s="124">
        <f>'[2]2021 УГРЦТ'!AC580</f>
        <v>120</v>
      </c>
      <c r="I578" s="107">
        <f>'[2]2021 УГРЦТ'!X580</f>
        <v>135023.92000000001</v>
      </c>
      <c r="J578" s="107">
        <f>'[2]2021 УГРЦТ'!Y580</f>
        <v>59133.440000000002</v>
      </c>
      <c r="K578" s="107">
        <f>'[2]2021 УГРЦТ'!Z580</f>
        <v>75890.48000000001</v>
      </c>
      <c r="L578" s="125" t="e">
        <f>SUMIF([2]облаг!$B$2:$B$259,B578,[2]облаг!$D$2:$D$259)</f>
        <v>#VALUE!</v>
      </c>
      <c r="M578" s="148">
        <f t="shared" ref="M578:M645" si="633">I578/H578</f>
        <v>1125.1993333333335</v>
      </c>
      <c r="N578" s="107">
        <f t="shared" ref="N578:N587" si="634">M578*12</f>
        <v>13502.392000000002</v>
      </c>
      <c r="O578" s="107">
        <f t="shared" ref="O578:O587" si="635">K578-M578</f>
        <v>74765.280666666673</v>
      </c>
      <c r="P578" s="107">
        <f t="shared" ref="P578:P587" si="636">O578-M578</f>
        <v>73640.081333333335</v>
      </c>
      <c r="Q578" s="107">
        <f t="shared" ref="Q578:Q587" si="637">P578-M578</f>
        <v>72514.881999999998</v>
      </c>
      <c r="R578" s="107">
        <f t="shared" ref="R578:R588" si="638">Q578-M578</f>
        <v>71389.68266666666</v>
      </c>
      <c r="S578" s="107">
        <f t="shared" ref="S578:S589" si="639">R578-M578</f>
        <v>70264.483333333323</v>
      </c>
      <c r="T578" s="107">
        <f t="shared" ref="T578:T590" si="640">S578-M578</f>
        <v>69139.283999999985</v>
      </c>
      <c r="U578" s="107">
        <f t="shared" ref="U578:U591" si="641">T578-M578</f>
        <v>68014.084666666648</v>
      </c>
      <c r="V578" s="107">
        <f t="shared" ref="V578:V595" si="642">U578-M578</f>
        <v>66888.88533333331</v>
      </c>
      <c r="W578" s="107">
        <f t="shared" ref="W578:W600" si="643">V578-M578</f>
        <v>65763.685999999972</v>
      </c>
      <c r="X578" s="107">
        <f t="shared" ref="X578:X604" si="644">W578-M578</f>
        <v>64638.486666666642</v>
      </c>
      <c r="Y578" s="107">
        <f t="shared" ref="Y578:Y604" si="645">X578-M578</f>
        <v>63513.287333333312</v>
      </c>
      <c r="Z578" s="107">
        <f t="shared" ref="Z578:Z607" si="646">Y578-M578</f>
        <v>62388.087999999982</v>
      </c>
      <c r="AA578" s="107">
        <f t="shared" si="618"/>
        <v>1521.0642479999997</v>
      </c>
      <c r="AB578" s="107"/>
      <c r="AC578" s="107">
        <f t="shared" ref="AC578:AC587" si="647">N578</f>
        <v>13502.392000000002</v>
      </c>
      <c r="AD578" s="107">
        <f t="shared" ref="AD578:AD613" si="648">Z578-M578</f>
        <v>61262.888666666651</v>
      </c>
      <c r="AE578" s="107">
        <f t="shared" ref="AE578:AE621" si="649">AD578-M578</f>
        <v>60137.689333333321</v>
      </c>
      <c r="AF578" s="107">
        <f t="shared" ref="AF578:AF622" si="650">AE578-M578</f>
        <v>59012.489999999991</v>
      </c>
      <c r="AG578" s="107">
        <f t="shared" ref="AG578:AG626" si="651">AF578-M578</f>
        <v>57887.29066666666</v>
      </c>
      <c r="AH578" s="107">
        <f t="shared" ref="AH578:AH630" si="652">AG578-M578</f>
        <v>56762.09133333333</v>
      </c>
      <c r="AI578" s="107">
        <f t="shared" ref="AI578:AI637" si="653">AH578-M578</f>
        <v>55636.892</v>
      </c>
      <c r="AJ578" s="107">
        <f t="shared" ref="AJ578:AJ639" si="654">AI578-M578</f>
        <v>54511.69266666667</v>
      </c>
      <c r="AK578" s="107">
        <f t="shared" ref="AK578:AK641" si="655">AJ578-M578</f>
        <v>53386.493333333339</v>
      </c>
      <c r="AL578" s="107">
        <f t="shared" ref="AL578:AL641" si="656">AK578-M578</f>
        <v>52261.294000000009</v>
      </c>
      <c r="AM578" s="107">
        <f t="shared" ref="AM578:AM641" si="657">AL578-M578</f>
        <v>51136.094666666679</v>
      </c>
      <c r="AN578" s="107">
        <f t="shared" ref="AN578:AN645" si="658">AM578-M578</f>
        <v>50010.895333333348</v>
      </c>
      <c r="AO578" s="107">
        <f t="shared" ref="AO578:AO645" si="659">AN578-M578</f>
        <v>48885.696000000018</v>
      </c>
      <c r="AP578" s="107">
        <f t="shared" si="619"/>
        <v>1224.0116239999998</v>
      </c>
      <c r="AQ578" s="126"/>
      <c r="AR578" s="107">
        <f t="shared" ref="AR578:AR587" si="660">AC578</f>
        <v>13502.392000000002</v>
      </c>
      <c r="AS578" s="107">
        <f t="shared" si="620"/>
        <v>47760.496666666688</v>
      </c>
      <c r="AT578" s="107">
        <f t="shared" si="621"/>
        <v>46635.297333333358</v>
      </c>
      <c r="AU578" s="107">
        <f t="shared" si="622"/>
        <v>45510.098000000027</v>
      </c>
      <c r="AV578" s="107">
        <f t="shared" si="623"/>
        <v>44384.898666666697</v>
      </c>
      <c r="AW578" s="107">
        <f t="shared" si="624"/>
        <v>43259.699333333367</v>
      </c>
      <c r="AX578" s="107">
        <f t="shared" si="625"/>
        <v>42134.500000000036</v>
      </c>
      <c r="AY578" s="107">
        <f t="shared" si="626"/>
        <v>41009.300666666706</v>
      </c>
      <c r="AZ578" s="107">
        <f t="shared" si="627"/>
        <v>39884.101333333376</v>
      </c>
      <c r="BA578" s="107">
        <f t="shared" si="628"/>
        <v>38758.902000000046</v>
      </c>
      <c r="BB578" s="107">
        <f t="shared" si="629"/>
        <v>37633.702666666715</v>
      </c>
      <c r="BC578" s="107">
        <f t="shared" si="630"/>
        <v>36508.503333333385</v>
      </c>
      <c r="BD578" s="107">
        <f t="shared" si="631"/>
        <v>35383.304000000055</v>
      </c>
      <c r="BE578" s="107">
        <f t="shared" si="632"/>
        <v>926.95900000000086</v>
      </c>
      <c r="BF578" s="127"/>
      <c r="BG578" s="127"/>
      <c r="BH578" s="127"/>
      <c r="BI578" s="127"/>
      <c r="BJ578" s="127"/>
      <c r="BK578" s="127"/>
      <c r="BL578" s="127"/>
      <c r="BM578" s="127"/>
      <c r="BN578" s="127"/>
      <c r="BO578" s="127"/>
      <c r="BP578" s="127"/>
      <c r="BQ578" s="127"/>
      <c r="BR578" s="127"/>
      <c r="BS578" s="127"/>
      <c r="BT578" s="127"/>
      <c r="BU578" s="127"/>
      <c r="BV578" s="127"/>
      <c r="BW578" s="127"/>
    </row>
    <row r="579" spans="1:75" hidden="1" x14ac:dyDescent="0.2">
      <c r="A579" s="123" t="str">
        <f>'[2]2021 УГРЦТ'!A581</f>
        <v>Балок Геолог деревянный 1994г.</v>
      </c>
      <c r="B579" s="124" t="str">
        <f>'[2]2021 УГРЦТ'!B581</f>
        <v>00000051</v>
      </c>
      <c r="C579" s="124" t="str">
        <f>VLOOKUP(A:A,'2023-2027'!A:L,1,+FALSE)</f>
        <v>Балок Геолог деревянный 1994г.</v>
      </c>
      <c r="D579" s="124" t="str">
        <f>'[2]2021 УГРЦТ'!C581</f>
        <v>ОБЩЕХОЗЯЙСТВЕННЫЕ РАСХОДЫ</v>
      </c>
      <c r="E579" s="124" t="str">
        <f>'[2]2021 УГРЦТ'!D581</f>
        <v>Здания</v>
      </c>
      <c r="F579" s="124" t="str">
        <f>'[2]2021 УГРЦТ'!E581</f>
        <v>01.01.1994</v>
      </c>
      <c r="G579" s="124" t="str">
        <f>'[2]2021 УГРЦТ'!F581</f>
        <v>Общехозяйственные расходы</v>
      </c>
      <c r="H579" s="124">
        <f>'[2]2021 УГРЦТ'!AC581</f>
        <v>120</v>
      </c>
      <c r="I579" s="107">
        <f>'[2]2021 УГРЦТ'!X581</f>
        <v>164373.92000000001</v>
      </c>
      <c r="J579" s="107">
        <f>'[2]2021 УГРЦТ'!Y581</f>
        <v>88483.44</v>
      </c>
      <c r="K579" s="107">
        <f>'[2]2021 УГРЦТ'!Z581</f>
        <v>75890.48000000001</v>
      </c>
      <c r="L579" s="125" t="e">
        <f>SUMIF([2]облаг!$B$2:$B$259,B579,[2]облаг!$D$2:$D$259)</f>
        <v>#VALUE!</v>
      </c>
      <c r="M579" s="148">
        <f t="shared" si="633"/>
        <v>1369.7826666666667</v>
      </c>
      <c r="N579" s="107">
        <f t="shared" si="634"/>
        <v>16437.392</v>
      </c>
      <c r="O579" s="107">
        <f t="shared" si="635"/>
        <v>74520.697333333344</v>
      </c>
      <c r="P579" s="107">
        <f t="shared" si="636"/>
        <v>73150.914666666678</v>
      </c>
      <c r="Q579" s="107">
        <f t="shared" si="637"/>
        <v>71781.132000000012</v>
      </c>
      <c r="R579" s="107">
        <f t="shared" si="638"/>
        <v>70411.349333333346</v>
      </c>
      <c r="S579" s="107">
        <f t="shared" si="639"/>
        <v>69041.56666666668</v>
      </c>
      <c r="T579" s="107">
        <f t="shared" si="640"/>
        <v>67671.784000000014</v>
      </c>
      <c r="U579" s="107">
        <f t="shared" si="641"/>
        <v>66302.001333333348</v>
      </c>
      <c r="V579" s="107">
        <f t="shared" si="642"/>
        <v>64932.218666666682</v>
      </c>
      <c r="W579" s="107">
        <f t="shared" si="643"/>
        <v>63562.436000000016</v>
      </c>
      <c r="X579" s="107">
        <f t="shared" si="644"/>
        <v>62192.65333333335</v>
      </c>
      <c r="Y579" s="107">
        <f t="shared" si="645"/>
        <v>60822.870666666684</v>
      </c>
      <c r="Z579" s="107">
        <f t="shared" si="646"/>
        <v>59453.088000000018</v>
      </c>
      <c r="AA579" s="107">
        <f t="shared" si="618"/>
        <v>1488.7792479999998</v>
      </c>
      <c r="AB579" s="107"/>
      <c r="AC579" s="107">
        <f t="shared" si="647"/>
        <v>16437.392</v>
      </c>
      <c r="AD579" s="107">
        <f t="shared" si="648"/>
        <v>58083.305333333352</v>
      </c>
      <c r="AE579" s="107">
        <f t="shared" si="649"/>
        <v>56713.522666666686</v>
      </c>
      <c r="AF579" s="107">
        <f t="shared" si="650"/>
        <v>55343.74000000002</v>
      </c>
      <c r="AG579" s="107">
        <f t="shared" si="651"/>
        <v>53973.957333333354</v>
      </c>
      <c r="AH579" s="107">
        <f t="shared" si="652"/>
        <v>52604.174666666688</v>
      </c>
      <c r="AI579" s="107">
        <f t="shared" si="653"/>
        <v>51234.392000000022</v>
      </c>
      <c r="AJ579" s="107">
        <f t="shared" si="654"/>
        <v>49864.609333333356</v>
      </c>
      <c r="AK579" s="107">
        <f t="shared" si="655"/>
        <v>48494.82666666669</v>
      </c>
      <c r="AL579" s="107">
        <f t="shared" si="656"/>
        <v>47125.044000000024</v>
      </c>
      <c r="AM579" s="107">
        <f t="shared" si="657"/>
        <v>45755.261333333357</v>
      </c>
      <c r="AN579" s="107">
        <f t="shared" si="658"/>
        <v>44385.478666666691</v>
      </c>
      <c r="AO579" s="107">
        <f t="shared" si="659"/>
        <v>43015.696000000025</v>
      </c>
      <c r="AP579" s="107">
        <f t="shared" si="619"/>
        <v>1127.156624</v>
      </c>
      <c r="AQ579" s="126"/>
      <c r="AR579" s="107">
        <f t="shared" si="660"/>
        <v>16437.392</v>
      </c>
      <c r="AS579" s="107">
        <f t="shared" si="620"/>
        <v>41645.913333333359</v>
      </c>
      <c r="AT579" s="107">
        <f t="shared" si="621"/>
        <v>40276.130666666693</v>
      </c>
      <c r="AU579" s="107">
        <f t="shared" si="622"/>
        <v>38906.348000000027</v>
      </c>
      <c r="AV579" s="107">
        <f t="shared" si="623"/>
        <v>37536.565333333361</v>
      </c>
      <c r="AW579" s="107">
        <f t="shared" si="624"/>
        <v>36166.782666666695</v>
      </c>
      <c r="AX579" s="107">
        <f t="shared" si="625"/>
        <v>34797.000000000029</v>
      </c>
      <c r="AY579" s="107">
        <f t="shared" si="626"/>
        <v>33427.217333333363</v>
      </c>
      <c r="AZ579" s="107">
        <f t="shared" si="627"/>
        <v>32057.434666666697</v>
      </c>
      <c r="BA579" s="107">
        <f t="shared" si="628"/>
        <v>30687.652000000031</v>
      </c>
      <c r="BB579" s="107">
        <f t="shared" si="629"/>
        <v>29317.869333333365</v>
      </c>
      <c r="BC579" s="107">
        <f t="shared" si="630"/>
        <v>27948.086666666699</v>
      </c>
      <c r="BD579" s="107">
        <f t="shared" si="631"/>
        <v>26578.304000000033</v>
      </c>
      <c r="BE579" s="107">
        <f t="shared" si="632"/>
        <v>765.53400000000022</v>
      </c>
      <c r="BF579" s="127"/>
      <c r="BG579" s="127"/>
      <c r="BH579" s="127"/>
      <c r="BI579" s="127"/>
      <c r="BJ579" s="127"/>
      <c r="BK579" s="127"/>
      <c r="BL579" s="127"/>
      <c r="BM579" s="127"/>
      <c r="BN579" s="127"/>
      <c r="BO579" s="127"/>
      <c r="BP579" s="127"/>
      <c r="BQ579" s="127"/>
      <c r="BR579" s="127"/>
      <c r="BS579" s="127"/>
      <c r="BT579" s="127"/>
      <c r="BU579" s="127"/>
      <c r="BV579" s="127"/>
      <c r="BW579" s="127"/>
    </row>
    <row r="580" spans="1:75" x14ac:dyDescent="0.2">
      <c r="A580" s="123" t="str">
        <f>'[2]2021 УГРЦТ'!A582</f>
        <v>Здание  конторы  1976г.</v>
      </c>
      <c r="B580" s="124" t="str">
        <f>'[2]2021 УГРЦТ'!B582</f>
        <v>00000049</v>
      </c>
      <c r="C580" s="124" t="str">
        <f>VLOOKUP(A:A,'2023-2027'!A:L,1,+FALSE)</f>
        <v>Здание  конторы  1976г.</v>
      </c>
      <c r="D580" s="124" t="str">
        <f>'[2]2021 УГРЦТ'!C582</f>
        <v>ОБЩЕХОЗЯЙСТВЕННЫЕ РАСХОДЫ</v>
      </c>
      <c r="E580" s="124" t="str">
        <f>'[2]2021 УГРЦТ'!D582</f>
        <v>Здания</v>
      </c>
      <c r="F580" s="124" t="str">
        <f>'[2]2021 УГРЦТ'!E582</f>
        <v>01.01.1995</v>
      </c>
      <c r="G580" s="124" t="str">
        <f>'[2]2021 УГРЦТ'!F582</f>
        <v>Общехозяйственные расходы</v>
      </c>
      <c r="H580" s="124">
        <f>'[2]2021 УГРЦТ'!AC582</f>
        <v>480</v>
      </c>
      <c r="I580" s="107">
        <f>'[2]2021 УГРЦТ'!X582</f>
        <v>2090658.5</v>
      </c>
      <c r="J580" s="107">
        <f>'[2]2021 УГРЦТ'!Y582</f>
        <v>426997.6</v>
      </c>
      <c r="K580" s="107">
        <f>'[2]2021 УГРЦТ'!Z582</f>
        <v>1663660.9</v>
      </c>
      <c r="L580" s="125" t="e">
        <f>SUMIF([2]облаг!$B$2:$B$259,B580,[2]облаг!$D$2:$D$259)</f>
        <v>#VALUE!</v>
      </c>
      <c r="M580" s="148">
        <f t="shared" si="633"/>
        <v>4355.5385416666668</v>
      </c>
      <c r="N580" s="107">
        <f t="shared" si="634"/>
        <v>52266.462500000001</v>
      </c>
      <c r="O580" s="107">
        <f t="shared" si="635"/>
        <v>1659305.3614583332</v>
      </c>
      <c r="P580" s="107">
        <f t="shared" si="636"/>
        <v>1654949.8229166665</v>
      </c>
      <c r="Q580" s="107">
        <f t="shared" si="637"/>
        <v>1650594.2843749998</v>
      </c>
      <c r="R580" s="107">
        <f t="shared" si="638"/>
        <v>1646238.7458333331</v>
      </c>
      <c r="S580" s="107">
        <f t="shared" si="639"/>
        <v>1641883.2072916664</v>
      </c>
      <c r="T580" s="107">
        <f t="shared" si="640"/>
        <v>1637527.6687499997</v>
      </c>
      <c r="U580" s="107">
        <f t="shared" si="641"/>
        <v>1633172.130208333</v>
      </c>
      <c r="V580" s="107">
        <f t="shared" si="642"/>
        <v>1628816.5916666663</v>
      </c>
      <c r="W580" s="107">
        <f t="shared" si="643"/>
        <v>1624461.0531249996</v>
      </c>
      <c r="X580" s="107">
        <f t="shared" si="644"/>
        <v>1620105.5145833329</v>
      </c>
      <c r="Y580" s="107">
        <f t="shared" si="645"/>
        <v>1615749.9760416662</v>
      </c>
      <c r="Z580" s="107">
        <f t="shared" si="646"/>
        <v>1611394.4374999995</v>
      </c>
      <c r="AA580" s="107">
        <f t="shared" si="618"/>
        <v>36025.608712499983</v>
      </c>
      <c r="AB580" s="107"/>
      <c r="AC580" s="107">
        <f t="shared" si="647"/>
        <v>52266.462500000001</v>
      </c>
      <c r="AD580" s="107">
        <f t="shared" si="648"/>
        <v>1607038.8989583328</v>
      </c>
      <c r="AE580" s="107">
        <f t="shared" si="649"/>
        <v>1602683.3604166661</v>
      </c>
      <c r="AF580" s="107">
        <f t="shared" si="650"/>
        <v>1598327.8218749994</v>
      </c>
      <c r="AG580" s="107">
        <f t="shared" si="651"/>
        <v>1593972.2833333327</v>
      </c>
      <c r="AH580" s="107">
        <f t="shared" si="652"/>
        <v>1589616.744791666</v>
      </c>
      <c r="AI580" s="107">
        <f t="shared" si="653"/>
        <v>1585261.2062499993</v>
      </c>
      <c r="AJ580" s="107">
        <f t="shared" si="654"/>
        <v>1580905.6677083327</v>
      </c>
      <c r="AK580" s="107">
        <f t="shared" si="655"/>
        <v>1576550.129166666</v>
      </c>
      <c r="AL580" s="107">
        <f t="shared" si="656"/>
        <v>1572194.5906249993</v>
      </c>
      <c r="AM580" s="107">
        <f t="shared" si="657"/>
        <v>1567839.0520833326</v>
      </c>
      <c r="AN580" s="107">
        <f t="shared" si="658"/>
        <v>1563483.5135416659</v>
      </c>
      <c r="AO580" s="107">
        <f t="shared" si="659"/>
        <v>1559127.9749999992</v>
      </c>
      <c r="AP580" s="107">
        <f t="shared" si="619"/>
        <v>34875.746537499981</v>
      </c>
      <c r="AQ580" s="126"/>
      <c r="AR580" s="107">
        <f t="shared" si="660"/>
        <v>52266.462500000001</v>
      </c>
      <c r="AS580" s="107">
        <f t="shared" si="620"/>
        <v>1554772.4364583325</v>
      </c>
      <c r="AT580" s="107">
        <f t="shared" si="621"/>
        <v>1550416.8979166658</v>
      </c>
      <c r="AU580" s="107">
        <f t="shared" si="622"/>
        <v>1546061.3593749991</v>
      </c>
      <c r="AV580" s="107">
        <f t="shared" si="623"/>
        <v>1541705.8208333324</v>
      </c>
      <c r="AW580" s="107">
        <f t="shared" si="624"/>
        <v>1537350.2822916657</v>
      </c>
      <c r="AX580" s="107">
        <f t="shared" si="625"/>
        <v>1532994.743749999</v>
      </c>
      <c r="AY580" s="107">
        <f t="shared" si="626"/>
        <v>1528639.2052083323</v>
      </c>
      <c r="AZ580" s="107">
        <f t="shared" si="627"/>
        <v>1524283.6666666656</v>
      </c>
      <c r="BA580" s="107">
        <f t="shared" si="628"/>
        <v>1519928.1281249989</v>
      </c>
      <c r="BB580" s="107">
        <f t="shared" si="629"/>
        <v>1515572.5895833322</v>
      </c>
      <c r="BC580" s="107">
        <f t="shared" si="630"/>
        <v>1511217.0510416655</v>
      </c>
      <c r="BD580" s="107">
        <f t="shared" si="631"/>
        <v>1506861.5124999988</v>
      </c>
      <c r="BE580" s="107">
        <f t="shared" si="632"/>
        <v>33725.884362499972</v>
      </c>
      <c r="BF580" s="127"/>
      <c r="BG580" s="127"/>
      <c r="BH580" s="127"/>
      <c r="BI580" s="127"/>
      <c r="BJ580" s="127"/>
      <c r="BK580" s="127"/>
      <c r="BL580" s="127"/>
      <c r="BM580" s="127"/>
      <c r="BN580" s="127"/>
      <c r="BO580" s="127"/>
      <c r="BP580" s="127"/>
      <c r="BQ580" s="127"/>
      <c r="BR580" s="127"/>
      <c r="BS580" s="127"/>
      <c r="BT580" s="127"/>
      <c r="BU580" s="127"/>
      <c r="BV580" s="127"/>
      <c r="BW580" s="127"/>
    </row>
    <row r="581" spans="1:75" hidden="1" x14ac:dyDescent="0.2">
      <c r="A581" s="123" t="str">
        <f>'[2]2021 УГРЦТ'!A583</f>
        <v>Здание конторы  1996г.</v>
      </c>
      <c r="B581" s="124" t="str">
        <f>'[2]2021 УГРЦТ'!B583</f>
        <v>00000048</v>
      </c>
      <c r="C581" s="124" t="str">
        <f>VLOOKUP(A:A,'2023-2027'!A:L,1,+FALSE)</f>
        <v>Здание конторы  1996г.</v>
      </c>
      <c r="D581" s="124" t="str">
        <f>'[2]2021 УГРЦТ'!C583</f>
        <v>ОБЩЕХОЗЯЙСТВЕННЫЕ РАСХОДЫ</v>
      </c>
      <c r="E581" s="124" t="str">
        <f>'[2]2021 УГРЦТ'!D583</f>
        <v>Здания</v>
      </c>
      <c r="F581" s="124" t="str">
        <f>'[2]2021 УГРЦТ'!E583</f>
        <v>01.01.1965</v>
      </c>
      <c r="G581" s="124" t="str">
        <f>'[2]2021 УГРЦТ'!F583</f>
        <v>Общехозяйственные расходы</v>
      </c>
      <c r="H581" s="124">
        <f>'[2]2021 УГРЦТ'!AC583</f>
        <v>120</v>
      </c>
      <c r="I581" s="107">
        <f>'[2]2021 УГРЦТ'!X583</f>
        <v>826047.9</v>
      </c>
      <c r="J581" s="107">
        <f>'[2]2021 УГРЦТ'!Y583</f>
        <v>138288.44</v>
      </c>
      <c r="K581" s="107">
        <f>'[2]2021 УГРЦТ'!Z583</f>
        <v>687759.46</v>
      </c>
      <c r="L581" s="125" t="e">
        <f>SUMIF([2]облаг!$B$2:$B$259,B581,[2]облаг!$D$2:$D$259)</f>
        <v>#VALUE!</v>
      </c>
      <c r="M581" s="148">
        <f t="shared" si="633"/>
        <v>6883.7325000000001</v>
      </c>
      <c r="N581" s="107">
        <f t="shared" si="634"/>
        <v>82604.790000000008</v>
      </c>
      <c r="O581" s="107">
        <f t="shared" si="635"/>
        <v>680875.72749999992</v>
      </c>
      <c r="P581" s="107">
        <f t="shared" si="636"/>
        <v>673991.99499999988</v>
      </c>
      <c r="Q581" s="107">
        <f t="shared" si="637"/>
        <v>667108.26249999984</v>
      </c>
      <c r="R581" s="107">
        <f t="shared" si="638"/>
        <v>660224.5299999998</v>
      </c>
      <c r="S581" s="107">
        <f t="shared" si="639"/>
        <v>653340.79749999975</v>
      </c>
      <c r="T581" s="107">
        <f t="shared" si="640"/>
        <v>646457.06499999971</v>
      </c>
      <c r="U581" s="107">
        <f t="shared" si="641"/>
        <v>639573.33249999967</v>
      </c>
      <c r="V581" s="107">
        <f t="shared" si="642"/>
        <v>632689.59999999963</v>
      </c>
      <c r="W581" s="107">
        <f t="shared" si="643"/>
        <v>625805.86749999959</v>
      </c>
      <c r="X581" s="107">
        <f t="shared" si="644"/>
        <v>618922.13499999954</v>
      </c>
      <c r="Y581" s="107">
        <f t="shared" si="645"/>
        <v>612038.4024999995</v>
      </c>
      <c r="Z581" s="107">
        <f t="shared" si="646"/>
        <v>605154.66999999946</v>
      </c>
      <c r="AA581" s="107">
        <f t="shared" si="618"/>
        <v>14222.055429999989</v>
      </c>
      <c r="AB581" s="107"/>
      <c r="AC581" s="107">
        <f t="shared" si="647"/>
        <v>82604.790000000008</v>
      </c>
      <c r="AD581" s="107">
        <f t="shared" si="648"/>
        <v>598270.93749999942</v>
      </c>
      <c r="AE581" s="107">
        <f t="shared" si="649"/>
        <v>591387.20499999938</v>
      </c>
      <c r="AF581" s="107">
        <f t="shared" si="650"/>
        <v>584503.47249999933</v>
      </c>
      <c r="AG581" s="107">
        <f t="shared" si="651"/>
        <v>577619.73999999929</v>
      </c>
      <c r="AH581" s="107">
        <f t="shared" si="652"/>
        <v>570736.00749999925</v>
      </c>
      <c r="AI581" s="107">
        <f t="shared" si="653"/>
        <v>563852.27499999921</v>
      </c>
      <c r="AJ581" s="107">
        <f t="shared" si="654"/>
        <v>556968.54249999917</v>
      </c>
      <c r="AK581" s="107">
        <f t="shared" si="655"/>
        <v>550084.80999999912</v>
      </c>
      <c r="AL581" s="107">
        <f t="shared" si="656"/>
        <v>543201.07749999908</v>
      </c>
      <c r="AM581" s="107">
        <f t="shared" si="657"/>
        <v>536317.34499999904</v>
      </c>
      <c r="AN581" s="107">
        <f t="shared" si="658"/>
        <v>529433.612499999</v>
      </c>
      <c r="AO581" s="107">
        <f t="shared" si="659"/>
        <v>522549.87999999902</v>
      </c>
      <c r="AP581" s="107">
        <f t="shared" si="619"/>
        <v>12404.750049999979</v>
      </c>
      <c r="AQ581" s="126"/>
      <c r="AR581" s="107">
        <f t="shared" si="660"/>
        <v>82604.790000000008</v>
      </c>
      <c r="AS581" s="107">
        <f t="shared" si="620"/>
        <v>515666.14749999903</v>
      </c>
      <c r="AT581" s="107">
        <f t="shared" si="621"/>
        <v>508782.41499999905</v>
      </c>
      <c r="AU581" s="107">
        <f t="shared" si="622"/>
        <v>501898.68249999906</v>
      </c>
      <c r="AV581" s="107">
        <f t="shared" si="623"/>
        <v>495014.94999999908</v>
      </c>
      <c r="AW581" s="107">
        <f t="shared" si="624"/>
        <v>488131.2174999991</v>
      </c>
      <c r="AX581" s="107">
        <f t="shared" si="625"/>
        <v>481247.48499999911</v>
      </c>
      <c r="AY581" s="107">
        <f t="shared" si="626"/>
        <v>474363.75249999913</v>
      </c>
      <c r="AZ581" s="107">
        <f t="shared" si="627"/>
        <v>467480.01999999915</v>
      </c>
      <c r="BA581" s="107">
        <f t="shared" si="628"/>
        <v>460596.28749999916</v>
      </c>
      <c r="BB581" s="107">
        <f t="shared" si="629"/>
        <v>453712.55499999918</v>
      </c>
      <c r="BC581" s="107">
        <f t="shared" si="630"/>
        <v>446828.82249999919</v>
      </c>
      <c r="BD581" s="107">
        <f t="shared" si="631"/>
        <v>439945.08999999921</v>
      </c>
      <c r="BE581" s="107">
        <f t="shared" si="632"/>
        <v>10587.444669999979</v>
      </c>
      <c r="BF581" s="127"/>
      <c r="BG581" s="127"/>
      <c r="BH581" s="127"/>
      <c r="BI581" s="127"/>
      <c r="BJ581" s="127"/>
      <c r="BK581" s="127"/>
      <c r="BL581" s="127"/>
      <c r="BM581" s="127"/>
      <c r="BN581" s="127"/>
      <c r="BO581" s="127"/>
      <c r="BP581" s="127"/>
      <c r="BQ581" s="127"/>
      <c r="BR581" s="127"/>
      <c r="BS581" s="127"/>
      <c r="BT581" s="127"/>
      <c r="BU581" s="127"/>
      <c r="BV581" s="127"/>
      <c r="BW581" s="127"/>
    </row>
    <row r="582" spans="1:75" hidden="1" x14ac:dyDescent="0.2">
      <c r="A582" s="123" t="str">
        <f>'[2]2021 УГРЦТ'!A584</f>
        <v>Здание операц зала 2006г</v>
      </c>
      <c r="B582" s="124" t="str">
        <f>'[2]2021 УГРЦТ'!B584</f>
        <v>00000978</v>
      </c>
      <c r="C582" s="124" t="str">
        <f>VLOOKUP(A:A,'2023-2027'!A:L,1,+FALSE)</f>
        <v>Здание операц зала 2006г</v>
      </c>
      <c r="D582" s="124" t="str">
        <f>'[2]2021 УГРЦТ'!C584</f>
        <v>ОБЩЕХОЗЯЙСТВЕННЫЕ РАСХОДЫ</v>
      </c>
      <c r="E582" s="124" t="str">
        <f>'[2]2021 УГРЦТ'!D584</f>
        <v>Здания</v>
      </c>
      <c r="F582" s="124" t="str">
        <f>'[2]2021 УГРЦТ'!E584</f>
        <v>30.04.2006</v>
      </c>
      <c r="G582" s="124" t="str">
        <f>'[2]2021 УГРЦТ'!F584</f>
        <v>Общехозяйственные расходы</v>
      </c>
      <c r="H582" s="124">
        <f>'[2]2021 УГРЦТ'!AC584</f>
        <v>600</v>
      </c>
      <c r="I582" s="107">
        <f>'[2]2021 УГРЦТ'!X584</f>
        <v>3591858.71</v>
      </c>
      <c r="J582" s="107">
        <f>'[2]2021 УГРЦТ'!Y584</f>
        <v>861525.4</v>
      </c>
      <c r="K582" s="107">
        <f>'[2]2021 УГРЦТ'!Z584</f>
        <v>2730333.31</v>
      </c>
      <c r="L582" s="125" t="e">
        <f>SUMIF([2]облаг!$B$2:$B$259,B582,[2]облаг!$D$2:$D$259)</f>
        <v>#VALUE!</v>
      </c>
      <c r="M582" s="148">
        <f t="shared" si="633"/>
        <v>5986.4311833333331</v>
      </c>
      <c r="N582" s="107">
        <f t="shared" si="634"/>
        <v>71837.174199999994</v>
      </c>
      <c r="O582" s="107">
        <f t="shared" si="635"/>
        <v>2724346.8788166665</v>
      </c>
      <c r="P582" s="107">
        <f t="shared" si="636"/>
        <v>2718360.447633333</v>
      </c>
      <c r="Q582" s="107">
        <f t="shared" si="637"/>
        <v>2712374.0164499995</v>
      </c>
      <c r="R582" s="107">
        <f t="shared" si="638"/>
        <v>2706387.585266666</v>
      </c>
      <c r="S582" s="107">
        <f t="shared" si="639"/>
        <v>2700401.1540833325</v>
      </c>
      <c r="T582" s="107">
        <f t="shared" si="640"/>
        <v>2694414.722899999</v>
      </c>
      <c r="U582" s="107">
        <f t="shared" si="641"/>
        <v>2688428.2917166655</v>
      </c>
      <c r="V582" s="107">
        <f t="shared" si="642"/>
        <v>2682441.860533332</v>
      </c>
      <c r="W582" s="107">
        <f t="shared" si="643"/>
        <v>2676455.4293499985</v>
      </c>
      <c r="X582" s="107">
        <f t="shared" si="644"/>
        <v>2670468.998166665</v>
      </c>
      <c r="Y582" s="107">
        <f t="shared" si="645"/>
        <v>2664482.5669833315</v>
      </c>
      <c r="Z582" s="107">
        <f t="shared" si="646"/>
        <v>2658496.135799998</v>
      </c>
      <c r="AA582" s="107">
        <f t="shared" si="618"/>
        <v>59277.123903799977</v>
      </c>
      <c r="AB582" s="107"/>
      <c r="AC582" s="107">
        <f t="shared" si="647"/>
        <v>71837.174199999994</v>
      </c>
      <c r="AD582" s="107">
        <f t="shared" si="648"/>
        <v>2652509.7046166644</v>
      </c>
      <c r="AE582" s="107">
        <f t="shared" si="649"/>
        <v>2646523.2734333309</v>
      </c>
      <c r="AF582" s="107">
        <f t="shared" si="650"/>
        <v>2640536.8422499974</v>
      </c>
      <c r="AG582" s="107">
        <f t="shared" si="651"/>
        <v>2634550.4110666639</v>
      </c>
      <c r="AH582" s="107">
        <f t="shared" si="652"/>
        <v>2628563.9798833304</v>
      </c>
      <c r="AI582" s="107">
        <f t="shared" si="653"/>
        <v>2622577.5486999969</v>
      </c>
      <c r="AJ582" s="107">
        <f t="shared" si="654"/>
        <v>2616591.1175166634</v>
      </c>
      <c r="AK582" s="107">
        <f t="shared" si="655"/>
        <v>2610604.6863333299</v>
      </c>
      <c r="AL582" s="107">
        <f t="shared" si="656"/>
        <v>2604618.2551499964</v>
      </c>
      <c r="AM582" s="107">
        <f t="shared" si="657"/>
        <v>2598631.8239666629</v>
      </c>
      <c r="AN582" s="107">
        <f t="shared" si="658"/>
        <v>2592645.3927833294</v>
      </c>
      <c r="AO582" s="107">
        <f t="shared" si="659"/>
        <v>2586658.9615999958</v>
      </c>
      <c r="AP582" s="107">
        <f t="shared" si="619"/>
        <v>57696.706071399931</v>
      </c>
      <c r="AQ582" s="126"/>
      <c r="AR582" s="107">
        <f t="shared" si="660"/>
        <v>71837.174199999994</v>
      </c>
      <c r="AS582" s="107">
        <f t="shared" si="620"/>
        <v>2580672.5304166623</v>
      </c>
      <c r="AT582" s="107">
        <f t="shared" si="621"/>
        <v>2574686.0992333288</v>
      </c>
      <c r="AU582" s="107">
        <f t="shared" si="622"/>
        <v>2568699.6680499953</v>
      </c>
      <c r="AV582" s="107">
        <f t="shared" si="623"/>
        <v>2562713.2368666618</v>
      </c>
      <c r="AW582" s="107">
        <f t="shared" si="624"/>
        <v>2556726.8056833283</v>
      </c>
      <c r="AX582" s="107">
        <f t="shared" si="625"/>
        <v>2550740.3744999948</v>
      </c>
      <c r="AY582" s="107">
        <f t="shared" si="626"/>
        <v>2544753.9433166613</v>
      </c>
      <c r="AZ582" s="107">
        <f t="shared" si="627"/>
        <v>2538767.5121333278</v>
      </c>
      <c r="BA582" s="107">
        <f t="shared" si="628"/>
        <v>2532781.0809499943</v>
      </c>
      <c r="BB582" s="107">
        <f t="shared" si="629"/>
        <v>2526794.6497666608</v>
      </c>
      <c r="BC582" s="107">
        <f t="shared" si="630"/>
        <v>2520808.2185833273</v>
      </c>
      <c r="BD582" s="107">
        <f t="shared" si="631"/>
        <v>2514821.7873999937</v>
      </c>
      <c r="BE582" s="107">
        <f t="shared" si="632"/>
        <v>56116.288238999885</v>
      </c>
      <c r="BF582" s="127"/>
      <c r="BG582" s="127"/>
      <c r="BH582" s="127"/>
      <c r="BI582" s="127"/>
      <c r="BJ582" s="127"/>
      <c r="BK582" s="127"/>
      <c r="BL582" s="127"/>
      <c r="BM582" s="127"/>
      <c r="BN582" s="127"/>
      <c r="BO582" s="127"/>
      <c r="BP582" s="127"/>
      <c r="BQ582" s="127"/>
      <c r="BR582" s="127"/>
      <c r="BS582" s="127"/>
      <c r="BT582" s="127"/>
      <c r="BU582" s="127"/>
      <c r="BV582" s="127"/>
      <c r="BW582" s="127"/>
    </row>
    <row r="583" spans="1:75" ht="45" hidden="1" x14ac:dyDescent="0.2">
      <c r="A583" s="123" t="str">
        <f>'[2]2021 УГРЦТ'!A585</f>
        <v>Комплект мебели для бухгалтерии цвет ЛДСП Ясень анкор светлый (1 шкаф;4 стеллажа;5 столов;4 тумбы)</v>
      </c>
      <c r="B583" s="124" t="str">
        <f>'[2]2021 УГРЦТ'!B585</f>
        <v>000001882</v>
      </c>
      <c r="C583" s="124" t="str">
        <f>VLOOKUP(A:A,'2023-2027'!A:L,1,+FALSE)</f>
        <v>Комплект мебели для бухгалтерии цвет ЛДСП Ясень анкор светлый (1 шкаф;4 стеллажа;5 столов;4 тумбы)</v>
      </c>
      <c r="D583" s="124" t="str">
        <f>'[2]2021 УГРЦТ'!C585</f>
        <v>ОБЩЕХОЗЯЙСТВЕННЫЕ РАСХОДЫ</v>
      </c>
      <c r="E583" s="124" t="str">
        <f>'[2]2021 УГРЦТ'!D585</f>
        <v>Производственный и хозяйственный инвентарь</v>
      </c>
      <c r="F583" s="134">
        <f>'[2]2021 УГРЦТ'!E585</f>
        <v>44560</v>
      </c>
      <c r="G583" s="124" t="str">
        <f>'[2]2021 УГРЦТ'!F585</f>
        <v>Общехозяйственные расходы</v>
      </c>
      <c r="H583" s="124">
        <f>'[2]2021 УГРЦТ'!AC585</f>
        <v>180</v>
      </c>
      <c r="I583" s="107">
        <f>'[2]2021 УГРЦТ'!X585</f>
        <v>128890</v>
      </c>
      <c r="J583" s="107">
        <f>'[2]2021 УГРЦТ'!Y585</f>
        <v>0</v>
      </c>
      <c r="K583" s="107">
        <f>'[2]2021 УГРЦТ'!Z585</f>
        <v>128890</v>
      </c>
      <c r="L583" s="125" t="e">
        <f>SUMIF([2]облаг!$B$2:$B$259,B583,[2]облаг!$D$2:$D$259)</f>
        <v>#VALUE!</v>
      </c>
      <c r="M583" s="148">
        <f t="shared" si="633"/>
        <v>716.05555555555554</v>
      </c>
      <c r="N583" s="107">
        <f t="shared" si="634"/>
        <v>8592.6666666666661</v>
      </c>
      <c r="O583" s="107">
        <f t="shared" si="635"/>
        <v>128173.94444444444</v>
      </c>
      <c r="P583" s="107">
        <f t="shared" si="636"/>
        <v>127457.88888888888</v>
      </c>
      <c r="Q583" s="107">
        <f t="shared" si="637"/>
        <v>126741.83333333331</v>
      </c>
      <c r="R583" s="107">
        <f t="shared" si="638"/>
        <v>126025.77777777775</v>
      </c>
      <c r="S583" s="107">
        <f t="shared" si="639"/>
        <v>125309.72222222219</v>
      </c>
      <c r="T583" s="107">
        <f t="shared" si="640"/>
        <v>124593.66666666663</v>
      </c>
      <c r="U583" s="107">
        <f t="shared" si="641"/>
        <v>123877.61111111107</v>
      </c>
      <c r="V583" s="107">
        <f t="shared" si="642"/>
        <v>123161.5555555555</v>
      </c>
      <c r="W583" s="107">
        <f t="shared" si="643"/>
        <v>122445.49999999994</v>
      </c>
      <c r="X583" s="107">
        <f t="shared" si="644"/>
        <v>121729.44444444438</v>
      </c>
      <c r="Y583" s="107">
        <f t="shared" si="645"/>
        <v>121013.38888888882</v>
      </c>
      <c r="Z583" s="107">
        <f t="shared" si="646"/>
        <v>120297.33333333326</v>
      </c>
      <c r="AA583" s="107"/>
      <c r="AB583" s="107"/>
      <c r="AC583" s="107">
        <f t="shared" si="647"/>
        <v>8592.6666666666661</v>
      </c>
      <c r="AD583" s="107">
        <f t="shared" si="648"/>
        <v>119581.27777777769</v>
      </c>
      <c r="AE583" s="107">
        <f t="shared" si="649"/>
        <v>118865.22222222213</v>
      </c>
      <c r="AF583" s="107">
        <f t="shared" si="650"/>
        <v>118149.16666666657</v>
      </c>
      <c r="AG583" s="107">
        <f t="shared" si="651"/>
        <v>117433.11111111101</v>
      </c>
      <c r="AH583" s="107">
        <f t="shared" si="652"/>
        <v>116717.05555555545</v>
      </c>
      <c r="AI583" s="107">
        <f t="shared" si="653"/>
        <v>116000.99999999988</v>
      </c>
      <c r="AJ583" s="107">
        <f t="shared" si="654"/>
        <v>115284.94444444432</v>
      </c>
      <c r="AK583" s="107">
        <f t="shared" si="655"/>
        <v>114568.88888888876</v>
      </c>
      <c r="AL583" s="107">
        <f t="shared" si="656"/>
        <v>113852.8333333332</v>
      </c>
      <c r="AM583" s="107">
        <f t="shared" si="657"/>
        <v>113136.77777777764</v>
      </c>
      <c r="AN583" s="107">
        <f t="shared" si="658"/>
        <v>112420.72222222207</v>
      </c>
      <c r="AO583" s="107">
        <f t="shared" si="659"/>
        <v>111704.66666666651</v>
      </c>
      <c r="AP583" s="107"/>
      <c r="AQ583" s="126"/>
      <c r="AR583" s="107">
        <f t="shared" si="660"/>
        <v>8592.6666666666661</v>
      </c>
      <c r="AS583" s="107">
        <f t="shared" si="620"/>
        <v>110988.61111111095</v>
      </c>
      <c r="AT583" s="107">
        <f t="shared" si="621"/>
        <v>110272.55555555539</v>
      </c>
      <c r="AU583" s="107">
        <f t="shared" si="622"/>
        <v>109556.49999999983</v>
      </c>
      <c r="AV583" s="107">
        <f t="shared" si="623"/>
        <v>108840.44444444426</v>
      </c>
      <c r="AW583" s="107">
        <f t="shared" si="624"/>
        <v>108124.3888888887</v>
      </c>
      <c r="AX583" s="107">
        <f t="shared" si="625"/>
        <v>107408.33333333314</v>
      </c>
      <c r="AY583" s="107">
        <f t="shared" si="626"/>
        <v>106692.27777777758</v>
      </c>
      <c r="AZ583" s="107">
        <f t="shared" si="627"/>
        <v>105976.22222222202</v>
      </c>
      <c r="BA583" s="107">
        <f t="shared" si="628"/>
        <v>105260.16666666645</v>
      </c>
      <c r="BB583" s="107">
        <f t="shared" si="629"/>
        <v>104544.11111111089</v>
      </c>
      <c r="BC583" s="107">
        <f t="shared" si="630"/>
        <v>103828.05555555533</v>
      </c>
      <c r="BD583" s="107">
        <f t="shared" si="631"/>
        <v>103111.99999999977</v>
      </c>
      <c r="BE583" s="107"/>
      <c r="BF583" s="127"/>
      <c r="BG583" s="127"/>
      <c r="BH583" s="127"/>
      <c r="BI583" s="127"/>
      <c r="BJ583" s="127"/>
      <c r="BK583" s="127"/>
      <c r="BL583" s="127"/>
      <c r="BM583" s="127"/>
      <c r="BN583" s="127"/>
      <c r="BO583" s="127"/>
      <c r="BP583" s="127"/>
      <c r="BQ583" s="127"/>
      <c r="BR583" s="127"/>
      <c r="BS583" s="127"/>
      <c r="BT583" s="127"/>
      <c r="BU583" s="127"/>
      <c r="BV583" s="127"/>
      <c r="BW583" s="127"/>
    </row>
    <row r="584" spans="1:75" ht="22.5" hidden="1" x14ac:dyDescent="0.2">
      <c r="A584" s="123" t="str">
        <f>'[2]2021 УГРЦТ'!A586</f>
        <v>Шредер Rexel Auto 300X (секр.P-4)</v>
      </c>
      <c r="B584" s="124" t="str">
        <f>'[2]2021 УГРЦТ'!B586</f>
        <v>000001726</v>
      </c>
      <c r="C584" s="124" t="str">
        <f>VLOOKUP(A:A,'2023-2027'!A:L,1,+FALSE)</f>
        <v>Шредер Rexel Auto 300X (секр.P-4)</v>
      </c>
      <c r="D584" s="124" t="str">
        <f>'[2]2021 УГРЦТ'!C586</f>
        <v>ОБЩЕХОЗЯЙСТВЕННЫЕ РАСХОДЫ</v>
      </c>
      <c r="E584" s="124" t="str">
        <f>'[2]2021 УГРЦТ'!D586</f>
        <v>Офисное оборудование</v>
      </c>
      <c r="F584" s="124" t="str">
        <f>'[2]2021 УГРЦТ'!E586</f>
        <v>07.06.2018</v>
      </c>
      <c r="G584" s="124" t="str">
        <f>'[2]2021 УГРЦТ'!F586</f>
        <v>Общехозяйственные расходы</v>
      </c>
      <c r="H584" s="124">
        <f>'[2]2021 УГРЦТ'!AC586</f>
        <v>84</v>
      </c>
      <c r="I584" s="107">
        <f>'[2]2021 УГРЦТ'!X586</f>
        <v>46966.1</v>
      </c>
      <c r="J584" s="107">
        <f>'[2]2021 УГРЦТ'!Y586</f>
        <v>23483.042857142857</v>
      </c>
      <c r="K584" s="107">
        <f>'[2]2021 УГРЦТ'!Z586</f>
        <v>23483.057142857142</v>
      </c>
      <c r="L584" s="125" t="e">
        <f>SUMIF([2]облаг!$B$2:$B$259,B584,[2]облаг!$D$2:$D$259)</f>
        <v>#VALUE!</v>
      </c>
      <c r="M584" s="148">
        <f t="shared" si="633"/>
        <v>559.12023809523805</v>
      </c>
      <c r="N584" s="107">
        <f t="shared" si="634"/>
        <v>6709.4428571428562</v>
      </c>
      <c r="O584" s="107">
        <f t="shared" si="635"/>
        <v>22923.936904761904</v>
      </c>
      <c r="P584" s="107">
        <f t="shared" si="636"/>
        <v>22364.816666666666</v>
      </c>
      <c r="Q584" s="107">
        <f t="shared" si="637"/>
        <v>21805.696428571428</v>
      </c>
      <c r="R584" s="107">
        <f t="shared" si="638"/>
        <v>21246.576190476189</v>
      </c>
      <c r="S584" s="107">
        <f t="shared" si="639"/>
        <v>20687.455952380951</v>
      </c>
      <c r="T584" s="107">
        <f t="shared" si="640"/>
        <v>20128.335714285713</v>
      </c>
      <c r="U584" s="107">
        <f t="shared" si="641"/>
        <v>19569.215476190475</v>
      </c>
      <c r="V584" s="107">
        <f t="shared" si="642"/>
        <v>19010.095238095237</v>
      </c>
      <c r="W584" s="107">
        <f t="shared" si="643"/>
        <v>18450.974999999999</v>
      </c>
      <c r="X584" s="107">
        <f t="shared" si="644"/>
        <v>17891.85476190476</v>
      </c>
      <c r="Y584" s="107">
        <f t="shared" si="645"/>
        <v>17332.734523809522</v>
      </c>
      <c r="Z584" s="107">
        <f t="shared" si="646"/>
        <v>16773.614285714284</v>
      </c>
      <c r="AA584" s="107"/>
      <c r="AB584" s="107"/>
      <c r="AC584" s="107">
        <f t="shared" si="647"/>
        <v>6709.4428571428562</v>
      </c>
      <c r="AD584" s="107">
        <f t="shared" si="648"/>
        <v>16214.494047619046</v>
      </c>
      <c r="AE584" s="107">
        <f t="shared" si="649"/>
        <v>15655.373809523808</v>
      </c>
      <c r="AF584" s="107">
        <f t="shared" si="650"/>
        <v>15096.25357142857</v>
      </c>
      <c r="AG584" s="107">
        <f t="shared" si="651"/>
        <v>14537.133333333331</v>
      </c>
      <c r="AH584" s="107">
        <f t="shared" si="652"/>
        <v>13978.013095238093</v>
      </c>
      <c r="AI584" s="107">
        <f t="shared" si="653"/>
        <v>13418.892857142855</v>
      </c>
      <c r="AJ584" s="107">
        <f t="shared" si="654"/>
        <v>12859.772619047617</v>
      </c>
      <c r="AK584" s="107">
        <f t="shared" si="655"/>
        <v>12300.652380952379</v>
      </c>
      <c r="AL584" s="107">
        <f t="shared" si="656"/>
        <v>11741.532142857141</v>
      </c>
      <c r="AM584" s="107">
        <f t="shared" si="657"/>
        <v>11182.411904761902</v>
      </c>
      <c r="AN584" s="107">
        <f t="shared" si="658"/>
        <v>10623.291666666664</v>
      </c>
      <c r="AO584" s="107">
        <f t="shared" si="659"/>
        <v>10064.171428571426</v>
      </c>
      <c r="AP584" s="107"/>
      <c r="AQ584" s="126"/>
      <c r="AR584" s="107">
        <f t="shared" si="660"/>
        <v>6709.4428571428562</v>
      </c>
      <c r="AS584" s="107">
        <f t="shared" si="620"/>
        <v>9505.0511904761879</v>
      </c>
      <c r="AT584" s="107">
        <f t="shared" si="621"/>
        <v>8945.9309523809497</v>
      </c>
      <c r="AU584" s="107">
        <f t="shared" si="622"/>
        <v>8386.8107142857116</v>
      </c>
      <c r="AV584" s="107">
        <f t="shared" si="623"/>
        <v>7827.6904761904734</v>
      </c>
      <c r="AW584" s="107">
        <f t="shared" si="624"/>
        <v>7268.5702380952353</v>
      </c>
      <c r="AX584" s="107">
        <f t="shared" si="625"/>
        <v>6709.4499999999971</v>
      </c>
      <c r="AY584" s="107">
        <f t="shared" si="626"/>
        <v>6150.3297619047589</v>
      </c>
      <c r="AZ584" s="107">
        <f t="shared" si="627"/>
        <v>5591.2095238095208</v>
      </c>
      <c r="BA584" s="107">
        <f t="shared" si="628"/>
        <v>5032.0892857142826</v>
      </c>
      <c r="BB584" s="107">
        <f t="shared" si="629"/>
        <v>4472.9690476190444</v>
      </c>
      <c r="BC584" s="107">
        <f t="shared" si="630"/>
        <v>3913.8488095238063</v>
      </c>
      <c r="BD584" s="107">
        <f t="shared" si="631"/>
        <v>3354.7285714285681</v>
      </c>
      <c r="BE584" s="107"/>
      <c r="BF584" s="127"/>
      <c r="BG584" s="127"/>
      <c r="BI584" s="127"/>
      <c r="BJ584" s="127"/>
      <c r="BK584" s="127"/>
      <c r="BL584" s="127"/>
      <c r="BM584" s="127"/>
      <c r="BN584" s="127"/>
      <c r="BO584" s="127"/>
      <c r="BP584" s="127"/>
      <c r="BQ584" s="127"/>
      <c r="BR584" s="127"/>
      <c r="BS584" s="127"/>
      <c r="BT584" s="127"/>
      <c r="BU584" s="127"/>
      <c r="BV584" s="127"/>
    </row>
    <row r="585" spans="1:75" ht="67.5" hidden="1" x14ac:dyDescent="0.2">
      <c r="A585" s="123" t="str">
        <f>'[2]2021 УГРЦТ'!A587</f>
        <v>Система охранно-пожарной сигнализации в помещениях здания бухгалтерии и абонентского отдела ГУП НАО "Нарьян-Марская электростанция"</v>
      </c>
      <c r="B585" s="124" t="str">
        <f>'[2]2021 УГРЦТ'!B587</f>
        <v>000001730</v>
      </c>
      <c r="C585" s="124" t="str">
        <f>VLOOKUP(A:A,'2023-2027'!A:L,1,+FALSE)</f>
        <v>Система охранно-пожарной сигнализации в помещениях здания бухгалтерии и абонентского отдела ГУП НАО "Нарьян-Марская электростанция"</v>
      </c>
      <c r="D585" s="124" t="str">
        <f>'[2]2021 УГРЦТ'!C587</f>
        <v>ОБЩЕХОЗЯЙСТВЕННЫЕ РАСХОДЫ</v>
      </c>
      <c r="E585" s="124" t="str">
        <f>'[2]2021 УГРЦТ'!D587</f>
        <v>Машины и оборудование (кроме офисного)</v>
      </c>
      <c r="F585" s="124" t="str">
        <f>'[2]2021 УГРЦТ'!E587</f>
        <v>31.05.2018</v>
      </c>
      <c r="G585" s="124" t="str">
        <f>'[2]2021 УГРЦТ'!F587</f>
        <v>Общехозяйственные расходы</v>
      </c>
      <c r="H585" s="124">
        <f>'[2]2021 УГРЦТ'!AC587</f>
        <v>180</v>
      </c>
      <c r="I585" s="107">
        <f>'[2]2021 УГРЦТ'!X587</f>
        <v>44969.32</v>
      </c>
      <c r="J585" s="107">
        <f>'[2]2021 УГРЦТ'!Y587</f>
        <v>10742.684666666666</v>
      </c>
      <c r="K585" s="107">
        <f>'[2]2021 УГРЦТ'!Z587</f>
        <v>34226.635333333332</v>
      </c>
      <c r="L585" s="125" t="e">
        <f>SUMIF([2]облаг!$B$2:$B$259,B585,[2]облаг!$D$2:$D$259)</f>
        <v>#VALUE!</v>
      </c>
      <c r="M585" s="148">
        <f t="shared" si="633"/>
        <v>249.82955555555554</v>
      </c>
      <c r="N585" s="107">
        <f t="shared" si="634"/>
        <v>2997.9546666666665</v>
      </c>
      <c r="O585" s="107">
        <f t="shared" si="635"/>
        <v>33976.805777777779</v>
      </c>
      <c r="P585" s="107">
        <f t="shared" si="636"/>
        <v>33726.976222222227</v>
      </c>
      <c r="Q585" s="107">
        <f t="shared" si="637"/>
        <v>33477.146666666675</v>
      </c>
      <c r="R585" s="107">
        <f t="shared" si="638"/>
        <v>33227.317111111122</v>
      </c>
      <c r="S585" s="107">
        <f t="shared" si="639"/>
        <v>32977.48755555557</v>
      </c>
      <c r="T585" s="107">
        <f t="shared" si="640"/>
        <v>32727.658000000014</v>
      </c>
      <c r="U585" s="107">
        <f t="shared" si="641"/>
        <v>32477.828444444458</v>
      </c>
      <c r="V585" s="107">
        <f t="shared" si="642"/>
        <v>32227.998888888902</v>
      </c>
      <c r="W585" s="107">
        <f t="shared" si="643"/>
        <v>31978.169333333346</v>
      </c>
      <c r="X585" s="107">
        <f t="shared" si="644"/>
        <v>31728.33977777779</v>
      </c>
      <c r="Y585" s="107">
        <f t="shared" si="645"/>
        <v>31478.510222222234</v>
      </c>
      <c r="Z585" s="107">
        <f t="shared" si="646"/>
        <v>31228.680666666678</v>
      </c>
      <c r="AA585" s="107"/>
      <c r="AB585" s="107"/>
      <c r="AC585" s="107">
        <f t="shared" si="647"/>
        <v>2997.9546666666665</v>
      </c>
      <c r="AD585" s="107">
        <f t="shared" si="648"/>
        <v>30978.851111111122</v>
      </c>
      <c r="AE585" s="107">
        <f t="shared" si="649"/>
        <v>30729.021555555566</v>
      </c>
      <c r="AF585" s="107">
        <f t="shared" si="650"/>
        <v>30479.19200000001</v>
      </c>
      <c r="AG585" s="107">
        <f t="shared" si="651"/>
        <v>30229.362444444454</v>
      </c>
      <c r="AH585" s="107">
        <f t="shared" si="652"/>
        <v>29979.532888888898</v>
      </c>
      <c r="AI585" s="107">
        <f t="shared" si="653"/>
        <v>29729.703333333342</v>
      </c>
      <c r="AJ585" s="107">
        <f t="shared" si="654"/>
        <v>29479.873777777786</v>
      </c>
      <c r="AK585" s="107">
        <f t="shared" si="655"/>
        <v>29230.04422222223</v>
      </c>
      <c r="AL585" s="107">
        <f t="shared" si="656"/>
        <v>28980.214666666674</v>
      </c>
      <c r="AM585" s="107">
        <f t="shared" si="657"/>
        <v>28730.385111111118</v>
      </c>
      <c r="AN585" s="107">
        <f t="shared" si="658"/>
        <v>28480.555555555562</v>
      </c>
      <c r="AO585" s="107">
        <f t="shared" si="659"/>
        <v>28230.726000000006</v>
      </c>
      <c r="AP585" s="107"/>
      <c r="AQ585" s="126"/>
      <c r="AR585" s="107">
        <f t="shared" si="660"/>
        <v>2997.9546666666665</v>
      </c>
      <c r="AS585" s="107">
        <f t="shared" si="620"/>
        <v>27980.89644444445</v>
      </c>
      <c r="AT585" s="107">
        <f t="shared" si="621"/>
        <v>27731.066888888894</v>
      </c>
      <c r="AU585" s="107">
        <f t="shared" si="622"/>
        <v>27481.237333333338</v>
      </c>
      <c r="AV585" s="107">
        <f t="shared" si="623"/>
        <v>27231.407777777782</v>
      </c>
      <c r="AW585" s="107">
        <f t="shared" si="624"/>
        <v>26981.578222222226</v>
      </c>
      <c r="AX585" s="107">
        <f t="shared" si="625"/>
        <v>26731.74866666667</v>
      </c>
      <c r="AY585" s="107">
        <f t="shared" si="626"/>
        <v>26481.919111111114</v>
      </c>
      <c r="AZ585" s="107">
        <f t="shared" si="627"/>
        <v>26232.089555555558</v>
      </c>
      <c r="BA585" s="107">
        <f t="shared" si="628"/>
        <v>25982.260000000002</v>
      </c>
      <c r="BB585" s="107">
        <f t="shared" si="629"/>
        <v>25732.430444444446</v>
      </c>
      <c r="BC585" s="107">
        <f t="shared" si="630"/>
        <v>25482.60088888889</v>
      </c>
      <c r="BD585" s="107">
        <f t="shared" si="631"/>
        <v>25232.771333333334</v>
      </c>
      <c r="BE585" s="107"/>
      <c r="BF585" s="127"/>
      <c r="BG585" s="127"/>
      <c r="BH585" s="127"/>
      <c r="BI585" s="127"/>
      <c r="BJ585" s="127"/>
      <c r="BK585" s="127"/>
      <c r="BL585" s="127"/>
      <c r="BM585" s="127"/>
      <c r="BN585" s="127"/>
      <c r="BO585" s="127"/>
      <c r="BP585" s="127"/>
      <c r="BQ585" s="127"/>
      <c r="BR585" s="127"/>
      <c r="BS585" s="127"/>
      <c r="BT585" s="127"/>
      <c r="BU585" s="127"/>
      <c r="BV585" s="127"/>
      <c r="BW585" s="127"/>
    </row>
    <row r="586" spans="1:75" ht="22.5" hidden="1" x14ac:dyDescent="0.2">
      <c r="A586" s="123" t="str">
        <f>'[2]2021 УГРЦТ'!A588</f>
        <v>Кофемашина Krups EA810770 1450Вт</v>
      </c>
      <c r="B586" s="124" t="str">
        <f>'[2]2021 УГРЦТ'!B588</f>
        <v>000001768</v>
      </c>
      <c r="C586" s="124" t="str">
        <f>VLOOKUP(A:A,'2023-2027'!A:L,1,+FALSE)</f>
        <v>Кофемашина Krups EA810770 1450Вт</v>
      </c>
      <c r="D586" s="124" t="str">
        <f>'[2]2021 УГРЦТ'!C588</f>
        <v>ОБЩЕХОЗЯЙСТВЕННЫЕ РАСХОДЫ</v>
      </c>
      <c r="E586" s="124" t="str">
        <f>'[2]2021 УГРЦТ'!D588</f>
        <v>Машины и оборудование (кроме офисного)</v>
      </c>
      <c r="F586" s="124" t="str">
        <f>'[2]2021 УГРЦТ'!E588</f>
        <v>27.05.2019</v>
      </c>
      <c r="G586" s="124" t="str">
        <f>'[2]2021 УГРЦТ'!F588</f>
        <v>Общехозяйственные расходы</v>
      </c>
      <c r="H586" s="124">
        <f>'[2]2021 УГРЦТ'!AC588</f>
        <v>36</v>
      </c>
      <c r="I586" s="107">
        <f>'[2]2021 УГРЦТ'!X588</f>
        <v>48590</v>
      </c>
      <c r="J586" s="107">
        <f>'[2]2021 УГРЦТ'!Y588</f>
        <v>41841.346666666672</v>
      </c>
      <c r="K586" s="107">
        <f>'[2]2021 УГРЦТ'!Z588</f>
        <v>6748.6533333333282</v>
      </c>
      <c r="L586" s="125" t="e">
        <f>SUMIF([2]облаг!$B$2:$B$259,B586,[2]облаг!$D$2:$D$259)</f>
        <v>#VALUE!</v>
      </c>
      <c r="M586" s="148">
        <f t="shared" si="633"/>
        <v>1349.7222222222222</v>
      </c>
      <c r="N586" s="107">
        <f>O586</f>
        <v>5398.9311111111056</v>
      </c>
      <c r="O586" s="107">
        <f t="shared" si="635"/>
        <v>5398.9311111111056</v>
      </c>
      <c r="P586" s="107">
        <f t="shared" si="636"/>
        <v>4049.2088888888834</v>
      </c>
      <c r="Q586" s="107">
        <f t="shared" si="637"/>
        <v>2699.4866666666612</v>
      </c>
      <c r="R586" s="107">
        <f t="shared" si="638"/>
        <v>1349.7644444444391</v>
      </c>
      <c r="S586" s="107">
        <f t="shared" si="639"/>
        <v>4.2222222216878436E-2</v>
      </c>
      <c r="T586" s="107">
        <v>0</v>
      </c>
      <c r="U586" s="107">
        <v>0</v>
      </c>
      <c r="V586" s="107">
        <v>0</v>
      </c>
      <c r="W586" s="107">
        <v>0</v>
      </c>
      <c r="X586" s="107">
        <v>0</v>
      </c>
      <c r="Y586" s="107">
        <v>0</v>
      </c>
      <c r="Z586" s="107">
        <v>0</v>
      </c>
      <c r="AA586" s="107"/>
      <c r="AB586" s="107"/>
      <c r="AC586" s="107">
        <v>0</v>
      </c>
      <c r="AD586" s="107">
        <v>0</v>
      </c>
      <c r="AE586" s="107">
        <v>0</v>
      </c>
      <c r="AF586" s="107">
        <v>0</v>
      </c>
      <c r="AG586" s="107">
        <v>0</v>
      </c>
      <c r="AH586" s="107">
        <v>0</v>
      </c>
      <c r="AI586" s="107">
        <v>0</v>
      </c>
      <c r="AJ586" s="107">
        <v>0</v>
      </c>
      <c r="AK586" s="107">
        <v>0</v>
      </c>
      <c r="AL586" s="107">
        <v>0</v>
      </c>
      <c r="AM586" s="107">
        <v>0</v>
      </c>
      <c r="AN586" s="107">
        <v>0</v>
      </c>
      <c r="AO586" s="107">
        <v>0</v>
      </c>
      <c r="AP586" s="107"/>
      <c r="AQ586" s="126"/>
      <c r="AR586" s="107">
        <f t="shared" si="660"/>
        <v>0</v>
      </c>
      <c r="AS586" s="107">
        <v>0</v>
      </c>
      <c r="AT586" s="107">
        <v>0</v>
      </c>
      <c r="AU586" s="107">
        <v>0</v>
      </c>
      <c r="AV586" s="107">
        <v>0</v>
      </c>
      <c r="AW586" s="107">
        <v>0</v>
      </c>
      <c r="AX586" s="107">
        <v>0</v>
      </c>
      <c r="AY586" s="107">
        <v>0</v>
      </c>
      <c r="AZ586" s="107">
        <v>0</v>
      </c>
      <c r="BA586" s="107">
        <v>0</v>
      </c>
      <c r="BB586" s="107">
        <v>0</v>
      </c>
      <c r="BC586" s="107">
        <v>0</v>
      </c>
      <c r="BD586" s="107">
        <v>0</v>
      </c>
      <c r="BE586" s="124"/>
      <c r="BI586" s="127"/>
    </row>
    <row r="587" spans="1:75" ht="33.75" hidden="1" x14ac:dyDescent="0.2">
      <c r="A587" s="123" t="str">
        <f>'[2]2021 УГРЦТ'!A589</f>
        <v>Противотаранное устройство при въезде на территорию предприятия</v>
      </c>
      <c r="B587" s="124" t="str">
        <f>'[2]2021 УГРЦТ'!B589</f>
        <v>000001860</v>
      </c>
      <c r="C587" s="124" t="str">
        <f>VLOOKUP(A:A,'2023-2027'!A:L,1,+FALSE)</f>
        <v>Противотаранное устройство при въезде на территорию предприятия</v>
      </c>
      <c r="D587" s="124" t="str">
        <f>'[2]2021 УГРЦТ'!C589</f>
        <v>ОБЩЕХОЗЯЙСТВЕННЫЕ РАСХОДЫ</v>
      </c>
      <c r="E587" s="124" t="str">
        <f>'[2]2021 УГРЦТ'!D589</f>
        <v>Машины и оборудование (кроме офисного)</v>
      </c>
      <c r="F587" s="124" t="str">
        <f>'[2]2021 УГРЦТ'!E589</f>
        <v>13.09.2021</v>
      </c>
      <c r="G587" s="124" t="str">
        <f>'[2]2021 УГРЦТ'!F589</f>
        <v>Общехозяйственные расходы</v>
      </c>
      <c r="H587" s="124">
        <f>'[2]2021 УГРЦТ'!AC589</f>
        <v>120</v>
      </c>
      <c r="I587" s="107">
        <f>J587</f>
        <v>39329.950666666664</v>
      </c>
      <c r="J587" s="107">
        <f>'[2]2021 УГРЦТ'!Y589</f>
        <v>39329.950666666664</v>
      </c>
      <c r="K587" s="107">
        <f>'[2]2021 УГРЦТ'!Z589</f>
        <v>0</v>
      </c>
      <c r="L587" s="125" t="e">
        <f>SUMIF([2]облаг!$B$2:$B$259,B587,[2]облаг!$D$2:$D$259)</f>
        <v>#VALUE!</v>
      </c>
      <c r="M587" s="148"/>
      <c r="N587" s="107">
        <f t="shared" si="634"/>
        <v>0</v>
      </c>
      <c r="O587" s="107">
        <f t="shared" si="635"/>
        <v>0</v>
      </c>
      <c r="P587" s="107">
        <f t="shared" si="636"/>
        <v>0</v>
      </c>
      <c r="Q587" s="107">
        <f t="shared" si="637"/>
        <v>0</v>
      </c>
      <c r="R587" s="107">
        <f t="shared" si="638"/>
        <v>0</v>
      </c>
      <c r="S587" s="107">
        <f t="shared" si="639"/>
        <v>0</v>
      </c>
      <c r="T587" s="107">
        <f t="shared" si="640"/>
        <v>0</v>
      </c>
      <c r="U587" s="107">
        <f t="shared" si="641"/>
        <v>0</v>
      </c>
      <c r="V587" s="107">
        <f t="shared" si="642"/>
        <v>0</v>
      </c>
      <c r="W587" s="107">
        <f t="shared" si="643"/>
        <v>0</v>
      </c>
      <c r="X587" s="107">
        <f t="shared" si="644"/>
        <v>0</v>
      </c>
      <c r="Y587" s="107">
        <f t="shared" si="645"/>
        <v>0</v>
      </c>
      <c r="Z587" s="107">
        <f t="shared" si="646"/>
        <v>0</v>
      </c>
      <c r="AA587" s="107"/>
      <c r="AB587" s="107"/>
      <c r="AC587" s="107">
        <f t="shared" si="647"/>
        <v>0</v>
      </c>
      <c r="AD587" s="107">
        <f t="shared" si="648"/>
        <v>0</v>
      </c>
      <c r="AE587" s="107">
        <f t="shared" si="649"/>
        <v>0</v>
      </c>
      <c r="AF587" s="107">
        <f t="shared" si="650"/>
        <v>0</v>
      </c>
      <c r="AG587" s="107">
        <f t="shared" si="651"/>
        <v>0</v>
      </c>
      <c r="AH587" s="107">
        <f t="shared" si="652"/>
        <v>0</v>
      </c>
      <c r="AI587" s="107">
        <f t="shared" si="653"/>
        <v>0</v>
      </c>
      <c r="AJ587" s="107">
        <f t="shared" si="654"/>
        <v>0</v>
      </c>
      <c r="AK587" s="107">
        <f t="shared" si="655"/>
        <v>0</v>
      </c>
      <c r="AL587" s="107">
        <f t="shared" si="656"/>
        <v>0</v>
      </c>
      <c r="AM587" s="107">
        <f t="shared" si="657"/>
        <v>0</v>
      </c>
      <c r="AN587" s="107">
        <f t="shared" si="658"/>
        <v>0</v>
      </c>
      <c r="AO587" s="107">
        <f t="shared" si="659"/>
        <v>0</v>
      </c>
      <c r="AP587" s="107"/>
      <c r="AQ587" s="126"/>
      <c r="AR587" s="107">
        <f t="shared" si="660"/>
        <v>0</v>
      </c>
      <c r="AS587" s="107">
        <f t="shared" ref="AS587:AS645" si="661">AO587-M587</f>
        <v>0</v>
      </c>
      <c r="AT587" s="107">
        <f t="shared" ref="AT587:AT650" si="662">AS587-M587</f>
        <v>0</v>
      </c>
      <c r="AU587" s="107">
        <f t="shared" ref="AU587:AU650" si="663">AT587-M587</f>
        <v>0</v>
      </c>
      <c r="AV587" s="107">
        <f t="shared" ref="AV587:AV650" si="664">AU587-M587</f>
        <v>0</v>
      </c>
      <c r="AW587" s="107">
        <f t="shared" ref="AW587:AW650" si="665">AV587-M587</f>
        <v>0</v>
      </c>
      <c r="AX587" s="107">
        <f t="shared" ref="AX587:AX650" si="666">AW587-M587</f>
        <v>0</v>
      </c>
      <c r="AY587" s="107">
        <f t="shared" ref="AY587:AY650" si="667">AX587-M587</f>
        <v>0</v>
      </c>
      <c r="AZ587" s="107">
        <f t="shared" ref="AZ587:AZ650" si="668">AY587-M587</f>
        <v>0</v>
      </c>
      <c r="BA587" s="107">
        <f t="shared" ref="BA587:BA650" si="669">AZ587-M587</f>
        <v>0</v>
      </c>
      <c r="BB587" s="107">
        <f t="shared" ref="BB587:BB650" si="670">BA587-M587</f>
        <v>0</v>
      </c>
      <c r="BC587" s="107">
        <f t="shared" ref="BC587:BC650" si="671">BB587-M587</f>
        <v>0</v>
      </c>
      <c r="BD587" s="107">
        <f t="shared" ref="BD587:BD650" si="672">BC587-M587</f>
        <v>0</v>
      </c>
      <c r="BE587" s="124"/>
      <c r="BI587" s="127"/>
    </row>
    <row r="588" spans="1:75" ht="45" hidden="1" x14ac:dyDescent="0.2">
      <c r="A588" s="149" t="s">
        <v>65</v>
      </c>
      <c r="B588" s="124" t="s">
        <v>66</v>
      </c>
      <c r="C588" s="124" t="str">
        <f>VLOOKUP(A:A,'2023-2027'!A:L,1,+FALSE)</f>
        <v xml:space="preserve">Разрядное устройство аккумуляторных батарей 12В 20А «CONBAT», BSL-12/20 с поверкой </v>
      </c>
      <c r="D588" s="124" t="s">
        <v>67</v>
      </c>
      <c r="E588" s="124" t="s">
        <v>23</v>
      </c>
      <c r="F588" s="124" t="s">
        <v>68</v>
      </c>
      <c r="G588" s="124" t="s">
        <v>69</v>
      </c>
      <c r="H588" s="139">
        <v>60</v>
      </c>
      <c r="I588" s="107">
        <v>46500</v>
      </c>
      <c r="J588" s="107"/>
      <c r="K588" s="107"/>
      <c r="L588" s="125">
        <v>0</v>
      </c>
      <c r="M588" s="148">
        <f t="shared" si="633"/>
        <v>775</v>
      </c>
      <c r="N588" s="107">
        <f>M588*10</f>
        <v>7750</v>
      </c>
      <c r="O588" s="107">
        <v>0</v>
      </c>
      <c r="P588" s="107">
        <v>0</v>
      </c>
      <c r="Q588" s="107">
        <f>I588-M588</f>
        <v>45725</v>
      </c>
      <c r="R588" s="107">
        <f t="shared" si="638"/>
        <v>44950</v>
      </c>
      <c r="S588" s="107">
        <f t="shared" si="639"/>
        <v>44175</v>
      </c>
      <c r="T588" s="107">
        <f t="shared" si="640"/>
        <v>43400</v>
      </c>
      <c r="U588" s="107">
        <f t="shared" si="641"/>
        <v>42625</v>
      </c>
      <c r="V588" s="107">
        <f t="shared" si="642"/>
        <v>41850</v>
      </c>
      <c r="W588" s="107">
        <f t="shared" si="643"/>
        <v>41075</v>
      </c>
      <c r="X588" s="107">
        <f t="shared" si="644"/>
        <v>40300</v>
      </c>
      <c r="Y588" s="107">
        <f t="shared" si="645"/>
        <v>39525</v>
      </c>
      <c r="Z588" s="107">
        <f t="shared" si="646"/>
        <v>38750</v>
      </c>
      <c r="AA588" s="150"/>
      <c r="AB588" s="107"/>
      <c r="AC588" s="107">
        <f>M588*12</f>
        <v>9300</v>
      </c>
      <c r="AD588" s="107">
        <f t="shared" si="648"/>
        <v>37975</v>
      </c>
      <c r="AE588" s="107">
        <f t="shared" si="649"/>
        <v>37200</v>
      </c>
      <c r="AF588" s="107">
        <f t="shared" si="650"/>
        <v>36425</v>
      </c>
      <c r="AG588" s="107">
        <f t="shared" si="651"/>
        <v>35650</v>
      </c>
      <c r="AH588" s="107">
        <f t="shared" si="652"/>
        <v>34875</v>
      </c>
      <c r="AI588" s="107">
        <f t="shared" si="653"/>
        <v>34100</v>
      </c>
      <c r="AJ588" s="107">
        <f t="shared" si="654"/>
        <v>33325</v>
      </c>
      <c r="AK588" s="107">
        <f t="shared" si="655"/>
        <v>32550</v>
      </c>
      <c r="AL588" s="107">
        <f t="shared" si="656"/>
        <v>31775</v>
      </c>
      <c r="AM588" s="107">
        <f t="shared" si="657"/>
        <v>31000</v>
      </c>
      <c r="AN588" s="107">
        <f t="shared" si="658"/>
        <v>30225</v>
      </c>
      <c r="AO588" s="107">
        <f t="shared" si="659"/>
        <v>29450</v>
      </c>
      <c r="AP588" s="150"/>
      <c r="AQ588" s="107"/>
      <c r="AR588" s="107">
        <f t="shared" ref="AR588:AR611" si="673">M588*12</f>
        <v>9300</v>
      </c>
      <c r="AS588" s="107">
        <f t="shared" si="661"/>
        <v>28675</v>
      </c>
      <c r="AT588" s="107">
        <f t="shared" si="662"/>
        <v>27900</v>
      </c>
      <c r="AU588" s="107">
        <f t="shared" si="663"/>
        <v>27125</v>
      </c>
      <c r="AV588" s="107">
        <f t="shared" si="664"/>
        <v>26350</v>
      </c>
      <c r="AW588" s="107">
        <f t="shared" si="665"/>
        <v>25575</v>
      </c>
      <c r="AX588" s="107">
        <f t="shared" si="666"/>
        <v>24800</v>
      </c>
      <c r="AY588" s="107">
        <f t="shared" si="667"/>
        <v>24025</v>
      </c>
      <c r="AZ588" s="107">
        <f t="shared" si="668"/>
        <v>23250</v>
      </c>
      <c r="BA588" s="107">
        <f t="shared" si="669"/>
        <v>22475</v>
      </c>
      <c r="BB588" s="107">
        <f t="shared" si="670"/>
        <v>21700</v>
      </c>
      <c r="BC588" s="107">
        <f t="shared" si="671"/>
        <v>20925</v>
      </c>
      <c r="BD588" s="107">
        <f t="shared" si="672"/>
        <v>20150</v>
      </c>
      <c r="BE588" s="139"/>
      <c r="BG588" s="127"/>
      <c r="BI588" s="127"/>
      <c r="BV588" s="127"/>
    </row>
    <row r="589" spans="1:75" ht="33.75" hidden="1" x14ac:dyDescent="0.2">
      <c r="A589" s="149" t="s">
        <v>70</v>
      </c>
      <c r="B589" s="124" t="s">
        <v>71</v>
      </c>
      <c r="C589" s="124" t="str">
        <f>VLOOKUP(A:A,'2023-2027'!A:L,1,+FALSE)</f>
        <v>Осциллограф цифровой портативный UTD1102C 2 канала *100МГц/Uni Trend</v>
      </c>
      <c r="D589" s="124" t="s">
        <v>67</v>
      </c>
      <c r="E589" s="124" t="s">
        <v>23</v>
      </c>
      <c r="F589" s="124" t="s">
        <v>72</v>
      </c>
      <c r="G589" s="124" t="s">
        <v>69</v>
      </c>
      <c r="H589" s="151">
        <v>60</v>
      </c>
      <c r="I589" s="107">
        <v>61000</v>
      </c>
      <c r="J589" s="107"/>
      <c r="K589" s="107"/>
      <c r="L589" s="125">
        <v>0</v>
      </c>
      <c r="M589" s="148">
        <f t="shared" si="633"/>
        <v>1016.6666666666666</v>
      </c>
      <c r="N589" s="107">
        <f>M589*9</f>
        <v>9150</v>
      </c>
      <c r="O589" s="107">
        <v>0</v>
      </c>
      <c r="P589" s="107">
        <v>0</v>
      </c>
      <c r="Q589" s="107">
        <v>0</v>
      </c>
      <c r="R589" s="107">
        <f>I589-M589</f>
        <v>59983.333333333336</v>
      </c>
      <c r="S589" s="107">
        <f t="shared" si="639"/>
        <v>58966.666666666672</v>
      </c>
      <c r="T589" s="107">
        <f t="shared" si="640"/>
        <v>57950.000000000007</v>
      </c>
      <c r="U589" s="107">
        <f t="shared" si="641"/>
        <v>56933.333333333343</v>
      </c>
      <c r="V589" s="107">
        <f t="shared" si="642"/>
        <v>55916.666666666679</v>
      </c>
      <c r="W589" s="107">
        <f t="shared" si="643"/>
        <v>54900.000000000015</v>
      </c>
      <c r="X589" s="107">
        <f t="shared" si="644"/>
        <v>53883.33333333335</v>
      </c>
      <c r="Y589" s="107">
        <f t="shared" si="645"/>
        <v>52866.666666666686</v>
      </c>
      <c r="Z589" s="107">
        <f t="shared" si="646"/>
        <v>51850.000000000022</v>
      </c>
      <c r="AA589" s="150"/>
      <c r="AB589" s="107"/>
      <c r="AC589" s="107">
        <f t="shared" ref="AC589:AC621" si="674">M589*12</f>
        <v>12200</v>
      </c>
      <c r="AD589" s="107">
        <f t="shared" si="648"/>
        <v>50833.333333333358</v>
      </c>
      <c r="AE589" s="107">
        <f t="shared" si="649"/>
        <v>49816.666666666693</v>
      </c>
      <c r="AF589" s="107">
        <f t="shared" si="650"/>
        <v>48800.000000000029</v>
      </c>
      <c r="AG589" s="107">
        <f t="shared" si="651"/>
        <v>47783.333333333365</v>
      </c>
      <c r="AH589" s="107">
        <f t="shared" si="652"/>
        <v>46766.666666666701</v>
      </c>
      <c r="AI589" s="107">
        <f t="shared" si="653"/>
        <v>45750.000000000036</v>
      </c>
      <c r="AJ589" s="107">
        <f t="shared" si="654"/>
        <v>44733.333333333372</v>
      </c>
      <c r="AK589" s="107">
        <f t="shared" si="655"/>
        <v>43716.666666666708</v>
      </c>
      <c r="AL589" s="107">
        <f t="shared" si="656"/>
        <v>42700.000000000044</v>
      </c>
      <c r="AM589" s="107">
        <f t="shared" si="657"/>
        <v>41683.333333333379</v>
      </c>
      <c r="AN589" s="107">
        <f t="shared" si="658"/>
        <v>40666.666666666715</v>
      </c>
      <c r="AO589" s="107">
        <f t="shared" si="659"/>
        <v>39650.000000000051</v>
      </c>
      <c r="AP589" s="150"/>
      <c r="AQ589" s="107"/>
      <c r="AR589" s="107">
        <f t="shared" si="673"/>
        <v>12200</v>
      </c>
      <c r="AS589" s="107">
        <f t="shared" si="661"/>
        <v>38633.333333333387</v>
      </c>
      <c r="AT589" s="107">
        <f t="shared" si="662"/>
        <v>37616.666666666722</v>
      </c>
      <c r="AU589" s="107">
        <f t="shared" si="663"/>
        <v>36600.000000000058</v>
      </c>
      <c r="AV589" s="107">
        <f t="shared" si="664"/>
        <v>35583.333333333394</v>
      </c>
      <c r="AW589" s="107">
        <f t="shared" si="665"/>
        <v>34566.66666666673</v>
      </c>
      <c r="AX589" s="107">
        <f t="shared" si="666"/>
        <v>33550.000000000065</v>
      </c>
      <c r="AY589" s="107">
        <f t="shared" si="667"/>
        <v>32533.333333333398</v>
      </c>
      <c r="AZ589" s="107">
        <f t="shared" si="668"/>
        <v>31516.66666666673</v>
      </c>
      <c r="BA589" s="107">
        <f t="shared" si="669"/>
        <v>30500.000000000062</v>
      </c>
      <c r="BB589" s="107">
        <f t="shared" si="670"/>
        <v>29483.333333333394</v>
      </c>
      <c r="BC589" s="107">
        <f t="shared" si="671"/>
        <v>28466.666666666726</v>
      </c>
      <c r="BD589" s="107">
        <f t="shared" si="672"/>
        <v>27450.000000000058</v>
      </c>
      <c r="BE589" s="139"/>
      <c r="BG589" s="152"/>
      <c r="BI589" s="152"/>
      <c r="BV589" s="152"/>
    </row>
    <row r="590" spans="1:75" ht="33.75" hidden="1" x14ac:dyDescent="0.2">
      <c r="A590" s="149" t="s">
        <v>35</v>
      </c>
      <c r="B590" s="124" t="s">
        <v>36</v>
      </c>
      <c r="C590" s="124" t="str">
        <f>VLOOKUP(A:A,'2023-2027'!A:L,1,+FALSE)</f>
        <v>Насос КМ 80-65-160Е-ТМ-ХЛ2 (50 куб.м/ч; 32 м; 7,5 кВт) стальная проточная часть россия</v>
      </c>
      <c r="D590" s="124" t="s">
        <v>67</v>
      </c>
      <c r="E590" s="124" t="s">
        <v>23</v>
      </c>
      <c r="F590" s="124" t="s">
        <v>37</v>
      </c>
      <c r="G590" s="124" t="s">
        <v>38</v>
      </c>
      <c r="H590" s="151">
        <v>120</v>
      </c>
      <c r="I590" s="107">
        <v>184791.67</v>
      </c>
      <c r="J590" s="107"/>
      <c r="K590" s="107"/>
      <c r="L590" s="125">
        <v>0</v>
      </c>
      <c r="M590" s="148">
        <f t="shared" si="633"/>
        <v>1539.9305833333335</v>
      </c>
      <c r="N590" s="107">
        <f>M590*8</f>
        <v>12319.444666666668</v>
      </c>
      <c r="O590" s="107">
        <v>0</v>
      </c>
      <c r="P590" s="107">
        <v>0</v>
      </c>
      <c r="Q590" s="107">
        <v>0</v>
      </c>
      <c r="R590" s="107">
        <v>0</v>
      </c>
      <c r="S590" s="107">
        <f>I590-M590</f>
        <v>183251.73941666668</v>
      </c>
      <c r="T590" s="107">
        <f t="shared" si="640"/>
        <v>181711.80883333334</v>
      </c>
      <c r="U590" s="107">
        <f t="shared" si="641"/>
        <v>180171.87825000001</v>
      </c>
      <c r="V590" s="107">
        <f t="shared" si="642"/>
        <v>178631.94766666667</v>
      </c>
      <c r="W590" s="107">
        <f t="shared" si="643"/>
        <v>177092.01708333334</v>
      </c>
      <c r="X590" s="107">
        <f t="shared" si="644"/>
        <v>175552.0865</v>
      </c>
      <c r="Y590" s="107">
        <f t="shared" si="645"/>
        <v>174012.15591666667</v>
      </c>
      <c r="Z590" s="107">
        <f t="shared" si="646"/>
        <v>172472.22533333334</v>
      </c>
      <c r="AA590" s="150"/>
      <c r="AB590" s="107"/>
      <c r="AC590" s="107">
        <f t="shared" si="674"/>
        <v>18479.167000000001</v>
      </c>
      <c r="AD590" s="107">
        <f t="shared" si="648"/>
        <v>170932.29475</v>
      </c>
      <c r="AE590" s="107">
        <f t="shared" si="649"/>
        <v>169392.36416666667</v>
      </c>
      <c r="AF590" s="107">
        <f t="shared" si="650"/>
        <v>167852.43358333333</v>
      </c>
      <c r="AG590" s="107">
        <f t="shared" si="651"/>
        <v>166312.503</v>
      </c>
      <c r="AH590" s="107">
        <f t="shared" si="652"/>
        <v>164772.57241666666</v>
      </c>
      <c r="AI590" s="107">
        <f t="shared" si="653"/>
        <v>163232.64183333333</v>
      </c>
      <c r="AJ590" s="107">
        <f t="shared" si="654"/>
        <v>161692.71124999999</v>
      </c>
      <c r="AK590" s="107">
        <f t="shared" si="655"/>
        <v>160152.78066666666</v>
      </c>
      <c r="AL590" s="107">
        <f t="shared" si="656"/>
        <v>158612.85008333332</v>
      </c>
      <c r="AM590" s="107">
        <f t="shared" si="657"/>
        <v>157072.91949999999</v>
      </c>
      <c r="AN590" s="107">
        <f t="shared" si="658"/>
        <v>155532.98891666665</v>
      </c>
      <c r="AO590" s="107">
        <f t="shared" si="659"/>
        <v>153993.05833333332</v>
      </c>
      <c r="AP590" s="150"/>
      <c r="AQ590" s="107"/>
      <c r="AR590" s="107">
        <f t="shared" si="673"/>
        <v>18479.167000000001</v>
      </c>
      <c r="AS590" s="107">
        <f t="shared" si="661"/>
        <v>152453.12774999999</v>
      </c>
      <c r="AT590" s="107">
        <f t="shared" si="662"/>
        <v>150913.19716666665</v>
      </c>
      <c r="AU590" s="107">
        <f t="shared" si="663"/>
        <v>149373.26658333332</v>
      </c>
      <c r="AV590" s="107">
        <f t="shared" si="664"/>
        <v>147833.33599999998</v>
      </c>
      <c r="AW590" s="107">
        <f t="shared" si="665"/>
        <v>146293.40541666665</v>
      </c>
      <c r="AX590" s="107">
        <f t="shared" si="666"/>
        <v>144753.47483333331</v>
      </c>
      <c r="AY590" s="107">
        <f t="shared" si="667"/>
        <v>143213.54424999998</v>
      </c>
      <c r="AZ590" s="107">
        <f t="shared" si="668"/>
        <v>141673.61366666664</v>
      </c>
      <c r="BA590" s="107">
        <f t="shared" si="669"/>
        <v>140133.68308333331</v>
      </c>
      <c r="BB590" s="107">
        <f t="shared" si="670"/>
        <v>138593.75249999997</v>
      </c>
      <c r="BC590" s="107">
        <f t="shared" si="671"/>
        <v>137053.82191666664</v>
      </c>
      <c r="BD590" s="107">
        <f t="shared" si="672"/>
        <v>135513.8913333333</v>
      </c>
      <c r="BE590" s="150"/>
    </row>
    <row r="591" spans="1:75" s="116" customFormat="1" ht="45" hidden="1" x14ac:dyDescent="0.2">
      <c r="A591" s="149" t="s">
        <v>59</v>
      </c>
      <c r="B591" s="124" t="s">
        <v>60</v>
      </c>
      <c r="C591" s="124" t="str">
        <f>VLOOKUP(A:A,'2023-2027'!A:L,1,+FALSE)</f>
        <v>Воздушная линия 0,4кВ (ДТП №279 Ф от 29.12.2021г, Производственное здание. п.Искателей, пр.Песчаный)</v>
      </c>
      <c r="D591" s="124" t="s">
        <v>41</v>
      </c>
      <c r="E591" s="124" t="s">
        <v>42</v>
      </c>
      <c r="F591" s="124" t="s">
        <v>61</v>
      </c>
      <c r="G591" s="124" t="s">
        <v>44</v>
      </c>
      <c r="H591" s="151">
        <v>480</v>
      </c>
      <c r="I591" s="107">
        <v>137331.09</v>
      </c>
      <c r="J591" s="107"/>
      <c r="K591" s="107"/>
      <c r="L591" s="125">
        <v>1</v>
      </c>
      <c r="M591" s="148">
        <f t="shared" si="633"/>
        <v>286.10643749999997</v>
      </c>
      <c r="N591" s="107">
        <f>M591*7</f>
        <v>2002.7450624999997</v>
      </c>
      <c r="O591" s="107">
        <v>0</v>
      </c>
      <c r="P591" s="107">
        <v>0</v>
      </c>
      <c r="Q591" s="107">
        <v>0</v>
      </c>
      <c r="R591" s="107">
        <v>0</v>
      </c>
      <c r="S591" s="107">
        <v>0</v>
      </c>
      <c r="T591" s="107">
        <f>I591-M591</f>
        <v>137044.98356249998</v>
      </c>
      <c r="U591" s="107">
        <f t="shared" si="641"/>
        <v>136758.87712499997</v>
      </c>
      <c r="V591" s="107">
        <f t="shared" si="642"/>
        <v>136472.77068749996</v>
      </c>
      <c r="W591" s="107">
        <f t="shared" si="643"/>
        <v>136186.66424999994</v>
      </c>
      <c r="X591" s="107">
        <f t="shared" si="644"/>
        <v>135900.55781249993</v>
      </c>
      <c r="Y591" s="107">
        <f t="shared" si="645"/>
        <v>135614.45137499992</v>
      </c>
      <c r="Z591" s="107">
        <f t="shared" si="646"/>
        <v>135328.3449374999</v>
      </c>
      <c r="AA591" s="150">
        <f>83895.2*2.2%</f>
        <v>1845.6944000000001</v>
      </c>
      <c r="AB591" s="107"/>
      <c r="AC591" s="107">
        <f t="shared" si="674"/>
        <v>3433.2772499999996</v>
      </c>
      <c r="AD591" s="107">
        <f t="shared" si="648"/>
        <v>135042.23849999989</v>
      </c>
      <c r="AE591" s="107">
        <f t="shared" si="649"/>
        <v>134756.13206249988</v>
      </c>
      <c r="AF591" s="107">
        <f t="shared" si="650"/>
        <v>134470.02562499986</v>
      </c>
      <c r="AG591" s="107">
        <f t="shared" si="651"/>
        <v>134183.91918749985</v>
      </c>
      <c r="AH591" s="107">
        <f t="shared" si="652"/>
        <v>133897.81274999984</v>
      </c>
      <c r="AI591" s="107">
        <f t="shared" si="653"/>
        <v>133611.70631249982</v>
      </c>
      <c r="AJ591" s="107">
        <f t="shared" si="654"/>
        <v>133325.59987499981</v>
      </c>
      <c r="AK591" s="107">
        <f t="shared" si="655"/>
        <v>133039.4934374998</v>
      </c>
      <c r="AL591" s="107">
        <f t="shared" si="656"/>
        <v>132753.38699999978</v>
      </c>
      <c r="AM591" s="107">
        <f t="shared" si="657"/>
        <v>132467.28056249977</v>
      </c>
      <c r="AN591" s="107">
        <f t="shared" si="658"/>
        <v>132181.17412499976</v>
      </c>
      <c r="AO591" s="107">
        <f t="shared" si="659"/>
        <v>131895.06768749974</v>
      </c>
      <c r="AP591" s="150">
        <f>135328.32*2.2%</f>
        <v>2977.2230400000003</v>
      </c>
      <c r="AQ591" s="107"/>
      <c r="AR591" s="107">
        <f t="shared" si="673"/>
        <v>3433.2772499999996</v>
      </c>
      <c r="AS591" s="107">
        <f t="shared" si="661"/>
        <v>131608.96124999973</v>
      </c>
      <c r="AT591" s="107">
        <f t="shared" si="662"/>
        <v>131322.85481249972</v>
      </c>
      <c r="AU591" s="107">
        <f t="shared" si="663"/>
        <v>131036.74837499972</v>
      </c>
      <c r="AV591" s="107">
        <f t="shared" si="664"/>
        <v>130750.64193749972</v>
      </c>
      <c r="AW591" s="107">
        <f t="shared" si="665"/>
        <v>130464.53549999972</v>
      </c>
      <c r="AX591" s="107">
        <f t="shared" si="666"/>
        <v>130178.42906249972</v>
      </c>
      <c r="AY591" s="107">
        <f t="shared" si="667"/>
        <v>129892.32262499972</v>
      </c>
      <c r="AZ591" s="107">
        <f t="shared" si="668"/>
        <v>129606.21618749973</v>
      </c>
      <c r="BA591" s="107">
        <f t="shared" si="669"/>
        <v>129320.10974999973</v>
      </c>
      <c r="BB591" s="107">
        <f t="shared" si="670"/>
        <v>129034.00331249973</v>
      </c>
      <c r="BC591" s="107">
        <f t="shared" si="671"/>
        <v>128747.89687499973</v>
      </c>
      <c r="BD591" s="107">
        <f t="shared" si="672"/>
        <v>128461.79043749973</v>
      </c>
      <c r="BE591" s="153">
        <f>135328.32*2.2%</f>
        <v>2977.2230400000003</v>
      </c>
      <c r="BG591" s="152"/>
      <c r="BI591" s="152"/>
      <c r="BJ591" s="106"/>
      <c r="BK591" s="106"/>
      <c r="BL591" s="106"/>
      <c r="BM591" s="106"/>
      <c r="BN591" s="106"/>
      <c r="BO591" s="106"/>
      <c r="BP591" s="106"/>
      <c r="BQ591" s="106"/>
      <c r="BR591" s="106"/>
      <c r="BS591" s="106"/>
      <c r="BT591" s="106"/>
      <c r="BV591" s="152"/>
    </row>
    <row r="592" spans="1:75" ht="45" hidden="1" x14ac:dyDescent="0.2">
      <c r="A592" s="149" t="s">
        <v>20</v>
      </c>
      <c r="B592" s="124" t="s">
        <v>21</v>
      </c>
      <c r="C592" s="124" t="str">
        <f>VLOOKUP(A:A,'2023-2027'!A:L,1,+FALSE)</f>
        <v>Персональный компьютер (ПК) высокой производительности с клавиатурой и мышью + 2 монитора (`27)</v>
      </c>
      <c r="D592" s="124" t="s">
        <v>22</v>
      </c>
      <c r="E592" s="124" t="s">
        <v>23</v>
      </c>
      <c r="F592" s="124" t="s">
        <v>24</v>
      </c>
      <c r="G592" s="124" t="s">
        <v>25</v>
      </c>
      <c r="H592" s="151">
        <v>96</v>
      </c>
      <c r="I592" s="107">
        <v>89916.67</v>
      </c>
      <c r="J592" s="107"/>
      <c r="K592" s="107"/>
      <c r="L592" s="125">
        <v>0</v>
      </c>
      <c r="M592" s="148">
        <f t="shared" si="633"/>
        <v>936.63197916666661</v>
      </c>
      <c r="N592" s="107">
        <f>M592*6</f>
        <v>5619.7918749999999</v>
      </c>
      <c r="O592" s="107">
        <v>0</v>
      </c>
      <c r="P592" s="107">
        <v>0</v>
      </c>
      <c r="Q592" s="107">
        <v>0</v>
      </c>
      <c r="R592" s="107">
        <v>0</v>
      </c>
      <c r="S592" s="107">
        <v>0</v>
      </c>
      <c r="T592" s="107">
        <v>0</v>
      </c>
      <c r="U592" s="107">
        <f>I592-M592</f>
        <v>88980.038020833337</v>
      </c>
      <c r="V592" s="107">
        <f t="shared" si="642"/>
        <v>88043.406041666676</v>
      </c>
      <c r="W592" s="107">
        <f t="shared" si="643"/>
        <v>87106.774062500015</v>
      </c>
      <c r="X592" s="107">
        <f t="shared" si="644"/>
        <v>86170.142083333354</v>
      </c>
      <c r="Y592" s="107">
        <f t="shared" si="645"/>
        <v>85233.510104166693</v>
      </c>
      <c r="Z592" s="107">
        <f t="shared" si="646"/>
        <v>84296.878125000032</v>
      </c>
      <c r="AA592" s="150"/>
      <c r="AB592" s="107"/>
      <c r="AC592" s="107">
        <f t="shared" si="674"/>
        <v>11239.58375</v>
      </c>
      <c r="AD592" s="107">
        <f t="shared" si="648"/>
        <v>83360.246145833371</v>
      </c>
      <c r="AE592" s="107">
        <f t="shared" si="649"/>
        <v>82423.61416666671</v>
      </c>
      <c r="AF592" s="107">
        <f t="shared" si="650"/>
        <v>81486.982187500049</v>
      </c>
      <c r="AG592" s="107">
        <f t="shared" si="651"/>
        <v>80550.350208333388</v>
      </c>
      <c r="AH592" s="107">
        <f t="shared" si="652"/>
        <v>79613.718229166727</v>
      </c>
      <c r="AI592" s="107">
        <f t="shared" si="653"/>
        <v>78677.086250000066</v>
      </c>
      <c r="AJ592" s="107">
        <f t="shared" si="654"/>
        <v>77740.454270833405</v>
      </c>
      <c r="AK592" s="107">
        <f t="shared" si="655"/>
        <v>76803.822291666744</v>
      </c>
      <c r="AL592" s="107">
        <f t="shared" si="656"/>
        <v>75867.190312500083</v>
      </c>
      <c r="AM592" s="107">
        <f t="shared" si="657"/>
        <v>74930.558333333422</v>
      </c>
      <c r="AN592" s="107">
        <f t="shared" si="658"/>
        <v>73993.926354166761</v>
      </c>
      <c r="AO592" s="107">
        <f t="shared" si="659"/>
        <v>73057.2943750001</v>
      </c>
      <c r="AP592" s="150"/>
      <c r="AQ592" s="107"/>
      <c r="AR592" s="107">
        <f t="shared" si="673"/>
        <v>11239.58375</v>
      </c>
      <c r="AS592" s="107">
        <f t="shared" si="661"/>
        <v>72120.662395833438</v>
      </c>
      <c r="AT592" s="107">
        <f t="shared" si="662"/>
        <v>71184.030416666777</v>
      </c>
      <c r="AU592" s="107">
        <f t="shared" si="663"/>
        <v>70247.398437500116</v>
      </c>
      <c r="AV592" s="107">
        <f t="shared" si="664"/>
        <v>69310.766458333455</v>
      </c>
      <c r="AW592" s="107">
        <f t="shared" si="665"/>
        <v>68374.134479166794</v>
      </c>
      <c r="AX592" s="107">
        <f t="shared" si="666"/>
        <v>67437.502500000133</v>
      </c>
      <c r="AY592" s="107">
        <f t="shared" si="667"/>
        <v>66500.870520833472</v>
      </c>
      <c r="AZ592" s="107">
        <f t="shared" si="668"/>
        <v>65564.238541666811</v>
      </c>
      <c r="BA592" s="107">
        <f t="shared" si="669"/>
        <v>64627.606562500143</v>
      </c>
      <c r="BB592" s="107">
        <f t="shared" si="670"/>
        <v>63690.974583333475</v>
      </c>
      <c r="BC592" s="107">
        <f t="shared" si="671"/>
        <v>62754.342604166806</v>
      </c>
      <c r="BD592" s="107">
        <f t="shared" si="672"/>
        <v>61817.710625000138</v>
      </c>
      <c r="BE592" s="150"/>
    </row>
    <row r="593" spans="1:75" ht="33.75" hidden="1" x14ac:dyDescent="0.2">
      <c r="A593" s="149" t="s">
        <v>26</v>
      </c>
      <c r="B593" s="124" t="s">
        <v>27</v>
      </c>
      <c r="C593" s="124" t="str">
        <f>VLOOKUP(A:A,'2023-2027'!A:L,1,+FALSE)</f>
        <v>Персональный компьютер (ПК) с клавиатурой и мышью + 2 монитора (`27)</v>
      </c>
      <c r="D593" s="124" t="s">
        <v>22</v>
      </c>
      <c r="E593" s="124" t="s">
        <v>23</v>
      </c>
      <c r="F593" s="124" t="s">
        <v>24</v>
      </c>
      <c r="G593" s="124" t="s">
        <v>25</v>
      </c>
      <c r="H593" s="151">
        <v>96</v>
      </c>
      <c r="I593" s="107">
        <v>64391.66</v>
      </c>
      <c r="J593" s="107"/>
      <c r="K593" s="107"/>
      <c r="L593" s="125">
        <v>0</v>
      </c>
      <c r="M593" s="148">
        <f t="shared" si="633"/>
        <v>670.74645833333341</v>
      </c>
      <c r="N593" s="107">
        <f>M593*6</f>
        <v>4024.4787500000002</v>
      </c>
      <c r="O593" s="107">
        <v>0</v>
      </c>
      <c r="P593" s="107">
        <v>0</v>
      </c>
      <c r="Q593" s="107">
        <v>0</v>
      </c>
      <c r="R593" s="107">
        <v>0</v>
      </c>
      <c r="S593" s="107">
        <v>0</v>
      </c>
      <c r="T593" s="107">
        <v>0</v>
      </c>
      <c r="U593" s="107">
        <f>I593-M593</f>
        <v>63720.913541666669</v>
      </c>
      <c r="V593" s="107">
        <f t="shared" si="642"/>
        <v>63050.167083333334</v>
      </c>
      <c r="W593" s="107">
        <f t="shared" si="643"/>
        <v>62379.420624999999</v>
      </c>
      <c r="X593" s="107">
        <f t="shared" si="644"/>
        <v>61708.674166666664</v>
      </c>
      <c r="Y593" s="107">
        <f t="shared" si="645"/>
        <v>61037.927708333329</v>
      </c>
      <c r="Z593" s="107">
        <f t="shared" si="646"/>
        <v>60367.181249999994</v>
      </c>
      <c r="AA593" s="150"/>
      <c r="AB593" s="107"/>
      <c r="AC593" s="107">
        <f t="shared" si="674"/>
        <v>8048.9575000000004</v>
      </c>
      <c r="AD593" s="107">
        <f t="shared" si="648"/>
        <v>59696.434791666659</v>
      </c>
      <c r="AE593" s="107">
        <f t="shared" si="649"/>
        <v>59025.688333333324</v>
      </c>
      <c r="AF593" s="107">
        <f t="shared" si="650"/>
        <v>58354.94187499999</v>
      </c>
      <c r="AG593" s="107">
        <f t="shared" si="651"/>
        <v>57684.195416666655</v>
      </c>
      <c r="AH593" s="107">
        <f t="shared" si="652"/>
        <v>57013.44895833332</v>
      </c>
      <c r="AI593" s="107">
        <f t="shared" si="653"/>
        <v>56342.702499999985</v>
      </c>
      <c r="AJ593" s="107">
        <f t="shared" si="654"/>
        <v>55671.95604166665</v>
      </c>
      <c r="AK593" s="107">
        <f t="shared" si="655"/>
        <v>55001.209583333315</v>
      </c>
      <c r="AL593" s="107">
        <f t="shared" si="656"/>
        <v>54330.46312499998</v>
      </c>
      <c r="AM593" s="107">
        <f t="shared" si="657"/>
        <v>53659.716666666645</v>
      </c>
      <c r="AN593" s="107">
        <f t="shared" si="658"/>
        <v>52988.97020833331</v>
      </c>
      <c r="AO593" s="107">
        <f t="shared" si="659"/>
        <v>52318.223749999976</v>
      </c>
      <c r="AP593" s="150"/>
      <c r="AQ593" s="107"/>
      <c r="AR593" s="107">
        <f t="shared" si="673"/>
        <v>8048.9575000000004</v>
      </c>
      <c r="AS593" s="107">
        <f t="shared" si="661"/>
        <v>51647.477291666641</v>
      </c>
      <c r="AT593" s="107">
        <f t="shared" si="662"/>
        <v>50976.730833333306</v>
      </c>
      <c r="AU593" s="107">
        <f t="shared" si="663"/>
        <v>50305.984374999971</v>
      </c>
      <c r="AV593" s="107">
        <f t="shared" si="664"/>
        <v>49635.237916666636</v>
      </c>
      <c r="AW593" s="107">
        <f t="shared" si="665"/>
        <v>48964.491458333301</v>
      </c>
      <c r="AX593" s="107">
        <f t="shared" si="666"/>
        <v>48293.744999999966</v>
      </c>
      <c r="AY593" s="107">
        <f t="shared" si="667"/>
        <v>47622.998541666631</v>
      </c>
      <c r="AZ593" s="107">
        <f t="shared" si="668"/>
        <v>46952.252083333296</v>
      </c>
      <c r="BA593" s="107">
        <f t="shared" si="669"/>
        <v>46281.505624999962</v>
      </c>
      <c r="BB593" s="107">
        <f t="shared" si="670"/>
        <v>45610.759166666627</v>
      </c>
      <c r="BC593" s="107">
        <f t="shared" si="671"/>
        <v>44940.012708333292</v>
      </c>
      <c r="BD593" s="107">
        <f t="shared" si="672"/>
        <v>44269.266249999957</v>
      </c>
      <c r="BE593" s="150"/>
    </row>
    <row r="594" spans="1:75" ht="33.75" hidden="1" x14ac:dyDescent="0.2">
      <c r="A594" s="149" t="s">
        <v>28</v>
      </c>
      <c r="B594" s="124" t="s">
        <v>29</v>
      </c>
      <c r="C594" s="124" t="str">
        <f>VLOOKUP(A:A,'2023-2027'!A:L,1,+FALSE)</f>
        <v>Узел учета ТУ № 643 от 05.10.2021 г.: МЖД г.Нарьян-Мар, ул.Авиаторов</v>
      </c>
      <c r="D594" s="124" t="s">
        <v>30</v>
      </c>
      <c r="E594" s="124" t="s">
        <v>23</v>
      </c>
      <c r="F594" s="124" t="s">
        <v>24</v>
      </c>
      <c r="G594" s="124" t="s">
        <v>31</v>
      </c>
      <c r="H594" s="139">
        <v>120</v>
      </c>
      <c r="I594" s="107">
        <v>63934.8</v>
      </c>
      <c r="J594" s="107"/>
      <c r="K594" s="107"/>
      <c r="L594" s="125">
        <v>0</v>
      </c>
      <c r="M594" s="148">
        <f t="shared" si="633"/>
        <v>532.79000000000008</v>
      </c>
      <c r="N594" s="107">
        <f>M594*6</f>
        <v>3196.7400000000007</v>
      </c>
      <c r="O594" s="107">
        <v>0</v>
      </c>
      <c r="P594" s="107">
        <v>0</v>
      </c>
      <c r="Q594" s="107">
        <v>0</v>
      </c>
      <c r="R594" s="107">
        <v>0</v>
      </c>
      <c r="S594" s="107">
        <v>0</v>
      </c>
      <c r="T594" s="107">
        <v>0</v>
      </c>
      <c r="U594" s="107">
        <f>I594-M594</f>
        <v>63402.01</v>
      </c>
      <c r="V594" s="107">
        <f t="shared" si="642"/>
        <v>62869.22</v>
      </c>
      <c r="W594" s="107">
        <f t="shared" si="643"/>
        <v>62336.43</v>
      </c>
      <c r="X594" s="107">
        <f t="shared" si="644"/>
        <v>61803.64</v>
      </c>
      <c r="Y594" s="107">
        <f t="shared" si="645"/>
        <v>61270.85</v>
      </c>
      <c r="Z594" s="107">
        <f t="shared" si="646"/>
        <v>60738.06</v>
      </c>
      <c r="AA594" s="150"/>
      <c r="AB594" s="107"/>
      <c r="AC594" s="107">
        <f t="shared" si="674"/>
        <v>6393.4800000000014</v>
      </c>
      <c r="AD594" s="107">
        <f t="shared" si="648"/>
        <v>60205.27</v>
      </c>
      <c r="AE594" s="107">
        <f t="shared" si="649"/>
        <v>59672.479999999996</v>
      </c>
      <c r="AF594" s="107">
        <f t="shared" si="650"/>
        <v>59139.689999999995</v>
      </c>
      <c r="AG594" s="107">
        <f t="shared" si="651"/>
        <v>58606.899999999994</v>
      </c>
      <c r="AH594" s="107">
        <f t="shared" si="652"/>
        <v>58074.109999999993</v>
      </c>
      <c r="AI594" s="107">
        <f t="shared" si="653"/>
        <v>57541.319999999992</v>
      </c>
      <c r="AJ594" s="107">
        <f t="shared" si="654"/>
        <v>57008.529999999992</v>
      </c>
      <c r="AK594" s="107">
        <f t="shared" si="655"/>
        <v>56475.739999999991</v>
      </c>
      <c r="AL594" s="107">
        <f t="shared" si="656"/>
        <v>55942.94999999999</v>
      </c>
      <c r="AM594" s="107">
        <f t="shared" si="657"/>
        <v>55410.159999999989</v>
      </c>
      <c r="AN594" s="107">
        <f t="shared" si="658"/>
        <v>54877.369999999988</v>
      </c>
      <c r="AO594" s="107">
        <f t="shared" si="659"/>
        <v>54344.579999999987</v>
      </c>
      <c r="AP594" s="150"/>
      <c r="AQ594" s="107"/>
      <c r="AR594" s="107">
        <f t="shared" si="673"/>
        <v>6393.4800000000014</v>
      </c>
      <c r="AS594" s="107">
        <f t="shared" si="661"/>
        <v>53811.789999999986</v>
      </c>
      <c r="AT594" s="107">
        <f t="shared" si="662"/>
        <v>53278.999999999985</v>
      </c>
      <c r="AU594" s="107">
        <f t="shared" si="663"/>
        <v>52746.209999999985</v>
      </c>
      <c r="AV594" s="107">
        <f t="shared" si="664"/>
        <v>52213.419999999984</v>
      </c>
      <c r="AW594" s="107">
        <f t="shared" si="665"/>
        <v>51680.629999999983</v>
      </c>
      <c r="AX594" s="107">
        <f t="shared" si="666"/>
        <v>51147.839999999982</v>
      </c>
      <c r="AY594" s="107">
        <f t="shared" si="667"/>
        <v>50615.049999999981</v>
      </c>
      <c r="AZ594" s="107">
        <f t="shared" si="668"/>
        <v>50082.25999999998</v>
      </c>
      <c r="BA594" s="107">
        <f t="shared" si="669"/>
        <v>49549.469999999979</v>
      </c>
      <c r="BB594" s="107">
        <f t="shared" si="670"/>
        <v>49016.679999999978</v>
      </c>
      <c r="BC594" s="107">
        <f t="shared" si="671"/>
        <v>48483.889999999978</v>
      </c>
      <c r="BD594" s="107">
        <f t="shared" si="672"/>
        <v>47951.099999999977</v>
      </c>
      <c r="BE594" s="150"/>
    </row>
    <row r="595" spans="1:75" ht="33.75" hidden="1" x14ac:dyDescent="0.2">
      <c r="A595" s="149" t="s">
        <v>73</v>
      </c>
      <c r="B595" s="124" t="s">
        <v>74</v>
      </c>
      <c r="C595" s="124" t="str">
        <f>VLOOKUP(A:A,'2023-2027'!A:L,1,+FALSE)</f>
        <v>Мойка высокого давления АВД 5 (моноблок) HART 250 Бар пистолет+шланг+фильтр</v>
      </c>
      <c r="D595" s="124" t="s">
        <v>41</v>
      </c>
      <c r="E595" s="124" t="s">
        <v>23</v>
      </c>
      <c r="F595" s="124" t="s">
        <v>75</v>
      </c>
      <c r="G595" s="124" t="s">
        <v>76</v>
      </c>
      <c r="H595" s="139">
        <v>84</v>
      </c>
      <c r="I595" s="107">
        <v>83250</v>
      </c>
      <c r="J595" s="107"/>
      <c r="K595" s="107"/>
      <c r="L595" s="125">
        <v>0</v>
      </c>
      <c r="M595" s="148">
        <f t="shared" si="633"/>
        <v>991.07142857142856</v>
      </c>
      <c r="N595" s="107">
        <f>M595*6</f>
        <v>5946.4285714285716</v>
      </c>
      <c r="O595" s="107">
        <v>0</v>
      </c>
      <c r="P595" s="107">
        <v>0</v>
      </c>
      <c r="Q595" s="107">
        <v>0</v>
      </c>
      <c r="R595" s="107">
        <v>0</v>
      </c>
      <c r="S595" s="107">
        <v>0</v>
      </c>
      <c r="T595" s="107">
        <v>0</v>
      </c>
      <c r="U595" s="107">
        <f>I595-M595</f>
        <v>82258.928571428565</v>
      </c>
      <c r="V595" s="107">
        <f t="shared" si="642"/>
        <v>81267.85714285713</v>
      </c>
      <c r="W595" s="107">
        <f t="shared" si="643"/>
        <v>80276.785714285696</v>
      </c>
      <c r="X595" s="107">
        <f t="shared" si="644"/>
        <v>79285.714285714261</v>
      </c>
      <c r="Y595" s="107">
        <f t="shared" si="645"/>
        <v>78294.642857142826</v>
      </c>
      <c r="Z595" s="107">
        <f t="shared" si="646"/>
        <v>77303.571428571391</v>
      </c>
      <c r="AA595" s="150"/>
      <c r="AB595" s="107"/>
      <c r="AC595" s="107">
        <f t="shared" si="674"/>
        <v>11892.857142857143</v>
      </c>
      <c r="AD595" s="107">
        <f t="shared" si="648"/>
        <v>76312.499999999956</v>
      </c>
      <c r="AE595" s="107">
        <f t="shared" si="649"/>
        <v>75321.428571428522</v>
      </c>
      <c r="AF595" s="107">
        <f t="shared" si="650"/>
        <v>74330.357142857087</v>
      </c>
      <c r="AG595" s="107">
        <f t="shared" si="651"/>
        <v>73339.285714285652</v>
      </c>
      <c r="AH595" s="107">
        <f t="shared" si="652"/>
        <v>72348.214285714217</v>
      </c>
      <c r="AI595" s="107">
        <f t="shared" si="653"/>
        <v>71357.142857142782</v>
      </c>
      <c r="AJ595" s="107">
        <f t="shared" si="654"/>
        <v>70366.071428571347</v>
      </c>
      <c r="AK595" s="107">
        <f t="shared" si="655"/>
        <v>69374.999999999913</v>
      </c>
      <c r="AL595" s="107">
        <f t="shared" si="656"/>
        <v>68383.928571428478</v>
      </c>
      <c r="AM595" s="107">
        <f t="shared" si="657"/>
        <v>67392.857142857043</v>
      </c>
      <c r="AN595" s="107">
        <f t="shared" si="658"/>
        <v>66401.785714285608</v>
      </c>
      <c r="AO595" s="107">
        <f t="shared" si="659"/>
        <v>65410.714285714181</v>
      </c>
      <c r="AP595" s="150"/>
      <c r="AQ595" s="107"/>
      <c r="AR595" s="107">
        <f t="shared" si="673"/>
        <v>11892.857142857143</v>
      </c>
      <c r="AS595" s="107">
        <f t="shared" si="661"/>
        <v>64419.642857142753</v>
      </c>
      <c r="AT595" s="107">
        <f t="shared" si="662"/>
        <v>63428.571428571326</v>
      </c>
      <c r="AU595" s="107">
        <f t="shared" si="663"/>
        <v>62437.499999999898</v>
      </c>
      <c r="AV595" s="107">
        <f t="shared" si="664"/>
        <v>61446.428571428471</v>
      </c>
      <c r="AW595" s="107">
        <f t="shared" si="665"/>
        <v>60455.357142857043</v>
      </c>
      <c r="AX595" s="107">
        <f t="shared" si="666"/>
        <v>59464.285714285616</v>
      </c>
      <c r="AY595" s="107">
        <f t="shared" si="667"/>
        <v>58473.214285714188</v>
      </c>
      <c r="AZ595" s="107">
        <f t="shared" si="668"/>
        <v>57482.14285714276</v>
      </c>
      <c r="BA595" s="107">
        <f t="shared" si="669"/>
        <v>56491.071428571333</v>
      </c>
      <c r="BB595" s="107">
        <f t="shared" si="670"/>
        <v>55499.999999999905</v>
      </c>
      <c r="BC595" s="107">
        <f t="shared" si="671"/>
        <v>54508.928571428478</v>
      </c>
      <c r="BD595" s="107">
        <f t="shared" si="672"/>
        <v>53517.85714285705</v>
      </c>
      <c r="BE595" s="139"/>
    </row>
    <row r="596" spans="1:75" ht="33.75" hidden="1" x14ac:dyDescent="0.2">
      <c r="A596" s="149" t="s">
        <v>49</v>
      </c>
      <c r="B596" s="124" t="s">
        <v>50</v>
      </c>
      <c r="C596" s="124" t="str">
        <f>VLOOKUP(A:A,'2023-2027'!A:L,1,+FALSE)</f>
        <v>Воздушная линия 0,4кВ (ДТП №257 Ф от 03.12.2021г, Гаражный бокс.пер.Газовиков)</v>
      </c>
      <c r="D596" s="124" t="s">
        <v>41</v>
      </c>
      <c r="E596" s="124" t="s">
        <v>42</v>
      </c>
      <c r="F596" s="124" t="s">
        <v>51</v>
      </c>
      <c r="G596" s="124" t="s">
        <v>44</v>
      </c>
      <c r="H596" s="151">
        <v>480</v>
      </c>
      <c r="I596" s="107">
        <v>216209.26</v>
      </c>
      <c r="J596" s="107"/>
      <c r="K596" s="107"/>
      <c r="L596" s="125">
        <v>1</v>
      </c>
      <c r="M596" s="148">
        <f t="shared" si="633"/>
        <v>450.43595833333336</v>
      </c>
      <c r="N596" s="107">
        <f>M596*5</f>
        <v>2252.1797916666669</v>
      </c>
      <c r="O596" s="107">
        <v>0</v>
      </c>
      <c r="P596" s="107">
        <v>0</v>
      </c>
      <c r="Q596" s="107">
        <v>0</v>
      </c>
      <c r="R596" s="107">
        <v>0</v>
      </c>
      <c r="S596" s="107">
        <v>0</v>
      </c>
      <c r="T596" s="107">
        <v>0</v>
      </c>
      <c r="U596" s="107">
        <v>0</v>
      </c>
      <c r="V596" s="107">
        <f>I596-M596</f>
        <v>215758.82404166667</v>
      </c>
      <c r="W596" s="107">
        <f t="shared" si="643"/>
        <v>215308.38808333332</v>
      </c>
      <c r="X596" s="107">
        <f t="shared" si="644"/>
        <v>214857.95212499998</v>
      </c>
      <c r="Y596" s="107">
        <f t="shared" si="645"/>
        <v>214407.51616666664</v>
      </c>
      <c r="Z596" s="107">
        <f t="shared" si="646"/>
        <v>213957.0802083333</v>
      </c>
      <c r="AA596" s="150">
        <f>99269.15*2.2%</f>
        <v>2183.9213</v>
      </c>
      <c r="AB596" s="107"/>
      <c r="AC596" s="107">
        <f t="shared" si="674"/>
        <v>5405.2314999999999</v>
      </c>
      <c r="AD596" s="107">
        <f t="shared" si="648"/>
        <v>213506.64424999995</v>
      </c>
      <c r="AE596" s="107">
        <f t="shared" si="649"/>
        <v>213056.20829166661</v>
      </c>
      <c r="AF596" s="107">
        <f t="shared" si="650"/>
        <v>212605.77233333327</v>
      </c>
      <c r="AG596" s="107">
        <f t="shared" si="651"/>
        <v>212155.33637499993</v>
      </c>
      <c r="AH596" s="107">
        <f t="shared" si="652"/>
        <v>211704.90041666658</v>
      </c>
      <c r="AI596" s="107">
        <f t="shared" si="653"/>
        <v>211254.46445833324</v>
      </c>
      <c r="AJ596" s="107">
        <f t="shared" si="654"/>
        <v>210804.0284999999</v>
      </c>
      <c r="AK596" s="107">
        <f t="shared" si="655"/>
        <v>210353.59254166656</v>
      </c>
      <c r="AL596" s="107">
        <f t="shared" si="656"/>
        <v>209903.15658333321</v>
      </c>
      <c r="AM596" s="107">
        <f t="shared" si="657"/>
        <v>209452.72062499987</v>
      </c>
      <c r="AN596" s="107">
        <f t="shared" si="658"/>
        <v>209002.28466666653</v>
      </c>
      <c r="AO596" s="107">
        <f t="shared" si="659"/>
        <v>208551.84870833319</v>
      </c>
      <c r="AP596" s="150">
        <f>213957.06*2.2%</f>
        <v>4707.0553200000004</v>
      </c>
      <c r="AQ596" s="107"/>
      <c r="AR596" s="107">
        <f t="shared" si="673"/>
        <v>5405.2314999999999</v>
      </c>
      <c r="AS596" s="107">
        <f t="shared" si="661"/>
        <v>208101.41274999984</v>
      </c>
      <c r="AT596" s="107">
        <f t="shared" si="662"/>
        <v>207650.9767916665</v>
      </c>
      <c r="AU596" s="107">
        <f t="shared" si="663"/>
        <v>207200.54083333316</v>
      </c>
      <c r="AV596" s="107">
        <f t="shared" si="664"/>
        <v>206750.10487499982</v>
      </c>
      <c r="AW596" s="107">
        <f t="shared" si="665"/>
        <v>206299.66891666647</v>
      </c>
      <c r="AX596" s="107">
        <f t="shared" si="666"/>
        <v>205849.23295833313</v>
      </c>
      <c r="AY596" s="107">
        <f t="shared" si="667"/>
        <v>205398.79699999979</v>
      </c>
      <c r="AZ596" s="107">
        <f t="shared" si="668"/>
        <v>204948.36104166645</v>
      </c>
      <c r="BA596" s="107">
        <f t="shared" si="669"/>
        <v>204497.9250833331</v>
      </c>
      <c r="BB596" s="107">
        <f t="shared" si="670"/>
        <v>204047.48912499976</v>
      </c>
      <c r="BC596" s="107">
        <f t="shared" si="671"/>
        <v>203597.05316666642</v>
      </c>
      <c r="BD596" s="107">
        <f t="shared" si="672"/>
        <v>203146.61720833307</v>
      </c>
      <c r="BE596" s="150">
        <f>213957.06*2.2%</f>
        <v>4707.0553200000004</v>
      </c>
      <c r="BG596" s="127"/>
      <c r="BI596" s="127"/>
      <c r="BV596" s="127"/>
    </row>
    <row r="597" spans="1:75" ht="48" hidden="1" customHeight="1" x14ac:dyDescent="0.2">
      <c r="A597" s="149" t="s">
        <v>32</v>
      </c>
      <c r="B597" s="124" t="s">
        <v>2504</v>
      </c>
      <c r="C597" s="124" t="str">
        <f>VLOOKUP(A:A,'2023-2027'!A:L,1,+FALSE)</f>
        <v>Система аудио и видеонаблюдения административного здания</v>
      </c>
      <c r="D597" s="124" t="s">
        <v>30</v>
      </c>
      <c r="E597" s="124" t="s">
        <v>23</v>
      </c>
      <c r="F597" s="134">
        <v>44761</v>
      </c>
      <c r="G597" s="124" t="s">
        <v>31</v>
      </c>
      <c r="H597" s="139">
        <v>120</v>
      </c>
      <c r="I597" s="107">
        <v>125516.66</v>
      </c>
      <c r="J597" s="107"/>
      <c r="K597" s="107"/>
      <c r="L597" s="125">
        <v>0</v>
      </c>
      <c r="M597" s="148">
        <f t="shared" si="633"/>
        <v>1045.9721666666667</v>
      </c>
      <c r="N597" s="107">
        <f>M597*5</f>
        <v>5229.8608333333332</v>
      </c>
      <c r="O597" s="107">
        <v>0</v>
      </c>
      <c r="P597" s="107">
        <v>0</v>
      </c>
      <c r="Q597" s="107">
        <v>0</v>
      </c>
      <c r="R597" s="107">
        <v>0</v>
      </c>
      <c r="S597" s="107">
        <v>0</v>
      </c>
      <c r="T597" s="107">
        <v>0</v>
      </c>
      <c r="U597" s="107">
        <v>0</v>
      </c>
      <c r="V597" s="107">
        <f>I597-M597</f>
        <v>124470.68783333333</v>
      </c>
      <c r="W597" s="107">
        <f t="shared" si="643"/>
        <v>123424.71566666666</v>
      </c>
      <c r="X597" s="107">
        <f t="shared" si="644"/>
        <v>122378.74349999998</v>
      </c>
      <c r="Y597" s="107">
        <f t="shared" si="645"/>
        <v>121332.77133333331</v>
      </c>
      <c r="Z597" s="107">
        <f t="shared" si="646"/>
        <v>120286.79916666663</v>
      </c>
      <c r="AA597" s="150"/>
      <c r="AB597" s="107"/>
      <c r="AC597" s="107">
        <f t="shared" si="674"/>
        <v>12551.666000000001</v>
      </c>
      <c r="AD597" s="107">
        <f t="shared" si="648"/>
        <v>119240.82699999996</v>
      </c>
      <c r="AE597" s="107">
        <f t="shared" si="649"/>
        <v>118194.85483333329</v>
      </c>
      <c r="AF597" s="107">
        <f t="shared" si="650"/>
        <v>117148.88266666661</v>
      </c>
      <c r="AG597" s="107">
        <f t="shared" si="651"/>
        <v>116102.91049999994</v>
      </c>
      <c r="AH597" s="107">
        <f t="shared" si="652"/>
        <v>115056.93833333327</v>
      </c>
      <c r="AI597" s="107">
        <f t="shared" si="653"/>
        <v>114010.96616666659</v>
      </c>
      <c r="AJ597" s="107">
        <f t="shared" si="654"/>
        <v>112964.99399999992</v>
      </c>
      <c r="AK597" s="107">
        <f t="shared" si="655"/>
        <v>111919.02183333325</v>
      </c>
      <c r="AL597" s="107">
        <f t="shared" si="656"/>
        <v>110873.04966666657</v>
      </c>
      <c r="AM597" s="107">
        <f t="shared" si="657"/>
        <v>109827.0774999999</v>
      </c>
      <c r="AN597" s="107">
        <f t="shared" si="658"/>
        <v>108781.10533333322</v>
      </c>
      <c r="AO597" s="107">
        <f t="shared" si="659"/>
        <v>107735.13316666655</v>
      </c>
      <c r="AP597" s="150"/>
      <c r="AQ597" s="107"/>
      <c r="AR597" s="107">
        <f t="shared" si="673"/>
        <v>12551.666000000001</v>
      </c>
      <c r="AS597" s="107">
        <f t="shared" si="661"/>
        <v>106689.16099999988</v>
      </c>
      <c r="AT597" s="107">
        <f t="shared" si="662"/>
        <v>105643.1888333332</v>
      </c>
      <c r="AU597" s="107">
        <f t="shared" si="663"/>
        <v>104597.21666666653</v>
      </c>
      <c r="AV597" s="107">
        <f t="shared" si="664"/>
        <v>103551.24449999986</v>
      </c>
      <c r="AW597" s="107">
        <f t="shared" si="665"/>
        <v>102505.27233333318</v>
      </c>
      <c r="AX597" s="107">
        <f t="shared" si="666"/>
        <v>101459.30016666651</v>
      </c>
      <c r="AY597" s="107">
        <f t="shared" si="667"/>
        <v>100413.32799999983</v>
      </c>
      <c r="AZ597" s="107">
        <f t="shared" si="668"/>
        <v>99367.35583333316</v>
      </c>
      <c r="BA597" s="107">
        <f t="shared" si="669"/>
        <v>98321.383666666487</v>
      </c>
      <c r="BB597" s="107">
        <f t="shared" si="670"/>
        <v>97275.411499999813</v>
      </c>
      <c r="BC597" s="107">
        <f t="shared" si="671"/>
        <v>96229.439333333139</v>
      </c>
      <c r="BD597" s="107">
        <f t="shared" si="672"/>
        <v>95183.467166666465</v>
      </c>
      <c r="BE597" s="150"/>
      <c r="BF597" s="127"/>
      <c r="BG597" s="127"/>
      <c r="BH597" s="127"/>
      <c r="BI597" s="127"/>
      <c r="BJ597" s="127"/>
      <c r="BK597" s="127"/>
      <c r="BL597" s="127"/>
      <c r="BM597" s="127"/>
      <c r="BN597" s="127"/>
      <c r="BO597" s="127"/>
      <c r="BP597" s="127"/>
      <c r="BQ597" s="127"/>
      <c r="BR597" s="127"/>
      <c r="BS597" s="127"/>
      <c r="BT597" s="127"/>
      <c r="BU597" s="127"/>
      <c r="BV597" s="127"/>
      <c r="BW597" s="127"/>
    </row>
    <row r="598" spans="1:75" ht="45" hidden="1" x14ac:dyDescent="0.2">
      <c r="A598" s="149" t="s">
        <v>39</v>
      </c>
      <c r="B598" s="124" t="s">
        <v>40</v>
      </c>
      <c r="C598" s="124" t="str">
        <f>VLOOKUP(A:A,'2023-2027'!A:L,1,+FALSE)</f>
        <v>Воздушная линия 0,4кВ (ДТП №230 Ф от 26.10.2021г, гаражный бокс кадастровый номер 83:00:050003:485 в</v>
      </c>
      <c r="D598" s="124" t="s">
        <v>41</v>
      </c>
      <c r="E598" s="124" t="s">
        <v>42</v>
      </c>
      <c r="F598" s="124" t="s">
        <v>43</v>
      </c>
      <c r="G598" s="124" t="s">
        <v>44</v>
      </c>
      <c r="H598" s="151">
        <v>480</v>
      </c>
      <c r="I598" s="107">
        <v>128661.61</v>
      </c>
      <c r="J598" s="107"/>
      <c r="K598" s="107"/>
      <c r="L598" s="125">
        <v>1</v>
      </c>
      <c r="M598" s="148">
        <f t="shared" si="633"/>
        <v>268.04502083333335</v>
      </c>
      <c r="N598" s="107">
        <f>M598*5</f>
        <v>1340.2251041666668</v>
      </c>
      <c r="O598" s="107">
        <v>0</v>
      </c>
      <c r="P598" s="107">
        <v>0</v>
      </c>
      <c r="Q598" s="107">
        <v>0</v>
      </c>
      <c r="R598" s="107">
        <v>0</v>
      </c>
      <c r="S598" s="107">
        <v>0</v>
      </c>
      <c r="T598" s="107">
        <v>0</v>
      </c>
      <c r="U598" s="107">
        <v>0</v>
      </c>
      <c r="V598" s="107">
        <f>I598-M598</f>
        <v>128393.56497916667</v>
      </c>
      <c r="W598" s="107">
        <f t="shared" si="643"/>
        <v>128125.51995833333</v>
      </c>
      <c r="X598" s="107">
        <f t="shared" si="644"/>
        <v>127857.4749375</v>
      </c>
      <c r="Y598" s="107">
        <f t="shared" si="645"/>
        <v>127589.42991666666</v>
      </c>
      <c r="Z598" s="107">
        <f t="shared" si="646"/>
        <v>127321.38489583333</v>
      </c>
      <c r="AA598" s="150">
        <f>59072.99*2.2%</f>
        <v>1299.6057800000001</v>
      </c>
      <c r="AB598" s="107"/>
      <c r="AC598" s="107">
        <f t="shared" si="674"/>
        <v>3216.54025</v>
      </c>
      <c r="AD598" s="107">
        <f t="shared" si="648"/>
        <v>127053.33987499999</v>
      </c>
      <c r="AE598" s="107">
        <f t="shared" si="649"/>
        <v>126785.29485416666</v>
      </c>
      <c r="AF598" s="107">
        <f t="shared" si="650"/>
        <v>126517.24983333332</v>
      </c>
      <c r="AG598" s="107">
        <f t="shared" si="651"/>
        <v>126249.20481249999</v>
      </c>
      <c r="AH598" s="107">
        <f t="shared" si="652"/>
        <v>125981.15979166665</v>
      </c>
      <c r="AI598" s="107">
        <f t="shared" si="653"/>
        <v>125713.11477083332</v>
      </c>
      <c r="AJ598" s="107">
        <f t="shared" si="654"/>
        <v>125445.06974999998</v>
      </c>
      <c r="AK598" s="107">
        <f t="shared" si="655"/>
        <v>125177.02472916665</v>
      </c>
      <c r="AL598" s="107">
        <f t="shared" si="656"/>
        <v>124908.97970833331</v>
      </c>
      <c r="AM598" s="107">
        <f t="shared" si="657"/>
        <v>124640.93468749998</v>
      </c>
      <c r="AN598" s="107">
        <f t="shared" si="658"/>
        <v>124372.88966666664</v>
      </c>
      <c r="AO598" s="107">
        <f t="shared" si="659"/>
        <v>124104.84464583331</v>
      </c>
      <c r="AP598" s="150">
        <f>127321.37*2.2%</f>
        <v>2801.0701400000003</v>
      </c>
      <c r="AQ598" s="107"/>
      <c r="AR598" s="107">
        <f t="shared" si="673"/>
        <v>3216.54025</v>
      </c>
      <c r="AS598" s="107">
        <f t="shared" si="661"/>
        <v>123836.79962499997</v>
      </c>
      <c r="AT598" s="107">
        <f t="shared" si="662"/>
        <v>123568.75460416664</v>
      </c>
      <c r="AU598" s="107">
        <f t="shared" si="663"/>
        <v>123300.7095833333</v>
      </c>
      <c r="AV598" s="107">
        <f t="shared" si="664"/>
        <v>123032.66456249997</v>
      </c>
      <c r="AW598" s="107">
        <f t="shared" si="665"/>
        <v>122764.61954166663</v>
      </c>
      <c r="AX598" s="107">
        <f t="shared" si="666"/>
        <v>122496.5745208333</v>
      </c>
      <c r="AY598" s="107">
        <f t="shared" si="667"/>
        <v>122228.52949999996</v>
      </c>
      <c r="AZ598" s="107">
        <f t="shared" si="668"/>
        <v>121960.48447916663</v>
      </c>
      <c r="BA598" s="107">
        <f t="shared" si="669"/>
        <v>121692.43945833329</v>
      </c>
      <c r="BB598" s="107">
        <f t="shared" si="670"/>
        <v>121424.39443749996</v>
      </c>
      <c r="BC598" s="107">
        <f t="shared" si="671"/>
        <v>121156.34941666662</v>
      </c>
      <c r="BD598" s="107">
        <f t="shared" si="672"/>
        <v>120888.30439583329</v>
      </c>
      <c r="BE598" s="150">
        <f>127321.37*2.2%</f>
        <v>2801.0701400000003</v>
      </c>
      <c r="BG598" s="127"/>
      <c r="BI598" s="127"/>
      <c r="BV598" s="127"/>
    </row>
    <row r="599" spans="1:75" ht="33.75" hidden="1" x14ac:dyDescent="0.2">
      <c r="A599" s="149" t="s">
        <v>45</v>
      </c>
      <c r="B599" s="124" t="s">
        <v>46</v>
      </c>
      <c r="C599" s="124" t="str">
        <f>VLOOKUP(A:A,'2023-2027'!A:L,1,+FALSE)</f>
        <v>Воздушная линия 0,4кВ (ДТП №343 от 11.10.2021г, здание ул.Ленина д.41 В)</v>
      </c>
      <c r="D599" s="124" t="s">
        <v>41</v>
      </c>
      <c r="E599" s="124" t="s">
        <v>42</v>
      </c>
      <c r="F599" s="124" t="s">
        <v>43</v>
      </c>
      <c r="G599" s="124" t="s">
        <v>44</v>
      </c>
      <c r="H599" s="151">
        <v>480</v>
      </c>
      <c r="I599" s="107">
        <v>115404.79</v>
      </c>
      <c r="J599" s="107"/>
      <c r="K599" s="107"/>
      <c r="L599" s="125">
        <v>1</v>
      </c>
      <c r="M599" s="148">
        <f t="shared" si="633"/>
        <v>240.42664583333331</v>
      </c>
      <c r="N599" s="107">
        <f>M599*5</f>
        <v>1202.1332291666665</v>
      </c>
      <c r="O599" s="107">
        <v>0</v>
      </c>
      <c r="P599" s="107">
        <v>0</v>
      </c>
      <c r="Q599" s="107">
        <v>0</v>
      </c>
      <c r="R599" s="107">
        <v>0</v>
      </c>
      <c r="S599" s="107">
        <v>0</v>
      </c>
      <c r="T599" s="107">
        <v>0</v>
      </c>
      <c r="U599" s="107">
        <v>0</v>
      </c>
      <c r="V599" s="107">
        <f>I599-M599</f>
        <v>115164.36335416666</v>
      </c>
      <c r="W599" s="107">
        <f t="shared" si="643"/>
        <v>114923.93670833333</v>
      </c>
      <c r="X599" s="107">
        <f t="shared" si="644"/>
        <v>114683.51006250001</v>
      </c>
      <c r="Y599" s="107">
        <f t="shared" si="645"/>
        <v>114443.08341666668</v>
      </c>
      <c r="Z599" s="107">
        <f t="shared" si="646"/>
        <v>114202.65677083335</v>
      </c>
      <c r="AA599" s="150">
        <f>52986.33*2.2%</f>
        <v>1165.6992600000001</v>
      </c>
      <c r="AB599" s="107"/>
      <c r="AC599" s="107">
        <f t="shared" si="674"/>
        <v>2885.1197499999998</v>
      </c>
      <c r="AD599" s="107">
        <f t="shared" si="648"/>
        <v>113962.23012500002</v>
      </c>
      <c r="AE599" s="107">
        <f t="shared" si="649"/>
        <v>113721.80347916669</v>
      </c>
      <c r="AF599" s="107">
        <f t="shared" si="650"/>
        <v>113481.37683333336</v>
      </c>
      <c r="AG599" s="107">
        <f t="shared" si="651"/>
        <v>113240.95018750003</v>
      </c>
      <c r="AH599" s="107">
        <f t="shared" si="652"/>
        <v>113000.5235416667</v>
      </c>
      <c r="AI599" s="107">
        <f t="shared" si="653"/>
        <v>112760.09689583337</v>
      </c>
      <c r="AJ599" s="107">
        <f t="shared" si="654"/>
        <v>112519.67025000004</v>
      </c>
      <c r="AK599" s="107">
        <f t="shared" si="655"/>
        <v>112279.24360416671</v>
      </c>
      <c r="AL599" s="107">
        <f t="shared" si="656"/>
        <v>112038.81695833338</v>
      </c>
      <c r="AM599" s="107">
        <f t="shared" si="657"/>
        <v>111798.39031250005</v>
      </c>
      <c r="AN599" s="107">
        <f t="shared" si="658"/>
        <v>111557.96366666672</v>
      </c>
      <c r="AO599" s="107">
        <f t="shared" si="659"/>
        <v>111317.53702083339</v>
      </c>
      <c r="AP599" s="150">
        <f>114202.64*2.2%</f>
        <v>2512.4580800000003</v>
      </c>
      <c r="AQ599" s="107"/>
      <c r="AR599" s="107">
        <f t="shared" si="673"/>
        <v>2885.1197499999998</v>
      </c>
      <c r="AS599" s="107">
        <f t="shared" si="661"/>
        <v>111077.11037500006</v>
      </c>
      <c r="AT599" s="107">
        <f t="shared" si="662"/>
        <v>110836.68372916673</v>
      </c>
      <c r="AU599" s="107">
        <f t="shared" si="663"/>
        <v>110596.2570833334</v>
      </c>
      <c r="AV599" s="107">
        <f t="shared" si="664"/>
        <v>110355.83043750007</v>
      </c>
      <c r="AW599" s="107">
        <f t="shared" si="665"/>
        <v>110115.40379166674</v>
      </c>
      <c r="AX599" s="107">
        <f t="shared" si="666"/>
        <v>109874.97714583341</v>
      </c>
      <c r="AY599" s="107">
        <f t="shared" si="667"/>
        <v>109634.55050000008</v>
      </c>
      <c r="AZ599" s="107">
        <f t="shared" si="668"/>
        <v>109394.12385416676</v>
      </c>
      <c r="BA599" s="107">
        <f t="shared" si="669"/>
        <v>109153.69720833343</v>
      </c>
      <c r="BB599" s="107">
        <f t="shared" si="670"/>
        <v>108913.2705625001</v>
      </c>
      <c r="BC599" s="107">
        <f t="shared" si="671"/>
        <v>108672.84391666677</v>
      </c>
      <c r="BD599" s="107">
        <f t="shared" si="672"/>
        <v>108432.41727083344</v>
      </c>
      <c r="BE599" s="150">
        <f>114202.64*2.2%</f>
        <v>2512.4580800000003</v>
      </c>
      <c r="BG599" s="127"/>
      <c r="BI599" s="127"/>
      <c r="BV599" s="127"/>
    </row>
    <row r="600" spans="1:75" ht="45" hidden="1" x14ac:dyDescent="0.2">
      <c r="A600" s="149" t="s">
        <v>47</v>
      </c>
      <c r="B600" s="124" t="s">
        <v>48</v>
      </c>
      <c r="C600" s="124" t="str">
        <f>VLOOKUP(A:A,'2023-2027'!A:L,1,+FALSE)</f>
        <v>Линии электропередачи 0,4кВ (ДТП №143 Ф от 19.07.2021г, гаражный бокс кадастровый номер 83:00:050305</v>
      </c>
      <c r="D600" s="124" t="s">
        <v>41</v>
      </c>
      <c r="E600" s="124" t="s">
        <v>42</v>
      </c>
      <c r="F600" s="124" t="s">
        <v>43</v>
      </c>
      <c r="G600" s="124" t="s">
        <v>44</v>
      </c>
      <c r="H600" s="151">
        <v>300</v>
      </c>
      <c r="I600" s="107">
        <v>213105.53</v>
      </c>
      <c r="J600" s="107"/>
      <c r="K600" s="107"/>
      <c r="L600" s="125">
        <v>1</v>
      </c>
      <c r="M600" s="148">
        <f t="shared" si="633"/>
        <v>710.35176666666666</v>
      </c>
      <c r="N600" s="107">
        <f>M600*5</f>
        <v>3551.7588333333333</v>
      </c>
      <c r="O600" s="107">
        <v>0</v>
      </c>
      <c r="P600" s="107">
        <v>0</v>
      </c>
      <c r="Q600" s="107">
        <v>0</v>
      </c>
      <c r="R600" s="107">
        <v>0</v>
      </c>
      <c r="S600" s="107">
        <v>0</v>
      </c>
      <c r="T600" s="107">
        <v>0</v>
      </c>
      <c r="U600" s="107">
        <v>0</v>
      </c>
      <c r="V600" s="107">
        <f>I600-M600</f>
        <v>212395.17823333334</v>
      </c>
      <c r="W600" s="107">
        <f t="shared" si="643"/>
        <v>211684.82646666668</v>
      </c>
      <c r="X600" s="107">
        <f t="shared" si="644"/>
        <v>210974.47470000002</v>
      </c>
      <c r="Y600" s="107">
        <f t="shared" si="645"/>
        <v>210264.12293333336</v>
      </c>
      <c r="Z600" s="107">
        <f t="shared" si="646"/>
        <v>209553.7711666667</v>
      </c>
      <c r="AA600" s="150">
        <f>'[3]СВОД 2022-2024 год'!$Q$740</f>
        <v>2145.80872</v>
      </c>
      <c r="AB600" s="107"/>
      <c r="AC600" s="107">
        <f t="shared" si="674"/>
        <v>8524.2212</v>
      </c>
      <c r="AD600" s="107">
        <f t="shared" si="648"/>
        <v>208843.41940000004</v>
      </c>
      <c r="AE600" s="107">
        <f t="shared" si="649"/>
        <v>208133.06763333338</v>
      </c>
      <c r="AF600" s="107">
        <f t="shared" si="650"/>
        <v>207422.71586666672</v>
      </c>
      <c r="AG600" s="107">
        <f t="shared" si="651"/>
        <v>206712.36410000006</v>
      </c>
      <c r="AH600" s="107">
        <f t="shared" si="652"/>
        <v>206002.0123333334</v>
      </c>
      <c r="AI600" s="107">
        <f t="shared" si="653"/>
        <v>205291.66056666675</v>
      </c>
      <c r="AJ600" s="107">
        <f t="shared" si="654"/>
        <v>204581.30880000009</v>
      </c>
      <c r="AK600" s="107">
        <f t="shared" si="655"/>
        <v>203870.95703333343</v>
      </c>
      <c r="AL600" s="107">
        <f t="shared" si="656"/>
        <v>203160.60526666677</v>
      </c>
      <c r="AM600" s="107">
        <f t="shared" si="657"/>
        <v>202450.25350000011</v>
      </c>
      <c r="AN600" s="107">
        <f t="shared" si="658"/>
        <v>201739.90173333345</v>
      </c>
      <c r="AO600" s="107">
        <f t="shared" si="659"/>
        <v>201029.54996666679</v>
      </c>
      <c r="AP600" s="150">
        <f>'[3]СВОД 2022-2024 год'!$AJ$740</f>
        <v>4610.1831599999996</v>
      </c>
      <c r="AQ600" s="107"/>
      <c r="AR600" s="107">
        <f t="shared" si="673"/>
        <v>8524.2212</v>
      </c>
      <c r="AS600" s="107">
        <f t="shared" si="661"/>
        <v>200319.19820000013</v>
      </c>
      <c r="AT600" s="107">
        <f t="shared" si="662"/>
        <v>199608.84643333347</v>
      </c>
      <c r="AU600" s="107">
        <f t="shared" si="663"/>
        <v>198898.49466666681</v>
      </c>
      <c r="AV600" s="107">
        <f t="shared" si="664"/>
        <v>198188.14290000015</v>
      </c>
      <c r="AW600" s="107">
        <f t="shared" si="665"/>
        <v>197477.79113333349</v>
      </c>
      <c r="AX600" s="107">
        <f t="shared" si="666"/>
        <v>196767.43936666683</v>
      </c>
      <c r="AY600" s="107">
        <f t="shared" si="667"/>
        <v>196057.08760000017</v>
      </c>
      <c r="AZ600" s="107">
        <f t="shared" si="668"/>
        <v>195346.73583333351</v>
      </c>
      <c r="BA600" s="107">
        <f t="shared" si="669"/>
        <v>194636.38406666685</v>
      </c>
      <c r="BB600" s="107">
        <f t="shared" si="670"/>
        <v>193926.0323000002</v>
      </c>
      <c r="BC600" s="107">
        <f t="shared" si="671"/>
        <v>193215.68053333354</v>
      </c>
      <c r="BD600" s="107">
        <f t="shared" si="672"/>
        <v>192505.32876666688</v>
      </c>
      <c r="BE600" s="150">
        <f>'[3]СВОД 2022-2024 год'!$BD$740</f>
        <v>4610.1831599999996</v>
      </c>
      <c r="BG600" s="127"/>
      <c r="BI600" s="127"/>
      <c r="BV600" s="127"/>
    </row>
    <row r="601" spans="1:75" ht="22.5" hidden="1" x14ac:dyDescent="0.2">
      <c r="A601" s="149" t="s">
        <v>62</v>
      </c>
      <c r="B601" s="124" t="s">
        <v>63</v>
      </c>
      <c r="C601" s="124" t="str">
        <f>VLOOKUP(A:A,'2023-2027'!A:L,1,+FALSE)</f>
        <v>Воздушная линия 0,4кВ (ТУ №49 от 06.05.2021г)</v>
      </c>
      <c r="D601" s="124" t="s">
        <v>41</v>
      </c>
      <c r="E601" s="124" t="s">
        <v>42</v>
      </c>
      <c r="F601" s="124" t="s">
        <v>64</v>
      </c>
      <c r="G601" s="124" t="s">
        <v>44</v>
      </c>
      <c r="H601" s="151">
        <v>480</v>
      </c>
      <c r="I601" s="107">
        <v>286878.40999999997</v>
      </c>
      <c r="J601" s="107"/>
      <c r="K601" s="107"/>
      <c r="L601" s="125">
        <v>1</v>
      </c>
      <c r="M601" s="148">
        <f t="shared" si="633"/>
        <v>597.66335416666664</v>
      </c>
      <c r="N601" s="107">
        <f>M601*4</f>
        <v>2390.6534166666665</v>
      </c>
      <c r="O601" s="107">
        <v>0</v>
      </c>
      <c r="P601" s="107">
        <v>0</v>
      </c>
      <c r="Q601" s="107">
        <v>0</v>
      </c>
      <c r="R601" s="107">
        <v>0</v>
      </c>
      <c r="S601" s="107">
        <v>0</v>
      </c>
      <c r="T601" s="107">
        <v>0</v>
      </c>
      <c r="U601" s="107">
        <v>0</v>
      </c>
      <c r="V601" s="107">
        <v>0</v>
      </c>
      <c r="W601" s="107">
        <f>I601-M601</f>
        <v>286280.74664583331</v>
      </c>
      <c r="X601" s="107">
        <f t="shared" si="644"/>
        <v>285683.08329166664</v>
      </c>
      <c r="Y601" s="107">
        <f t="shared" si="645"/>
        <v>285085.41993749997</v>
      </c>
      <c r="Z601" s="107">
        <f t="shared" si="646"/>
        <v>284487.75658333331</v>
      </c>
      <c r="AA601" s="150">
        <f>'[3]СВОД 2022-2024 год'!$Q$619</f>
        <v>2417.3184200000001</v>
      </c>
      <c r="AB601" s="107"/>
      <c r="AC601" s="107">
        <f t="shared" si="674"/>
        <v>7171.9602500000001</v>
      </c>
      <c r="AD601" s="107">
        <f t="shared" si="648"/>
        <v>283890.09322916664</v>
      </c>
      <c r="AE601" s="107">
        <f t="shared" si="649"/>
        <v>283292.42987499997</v>
      </c>
      <c r="AF601" s="107">
        <f t="shared" si="650"/>
        <v>282694.76652083331</v>
      </c>
      <c r="AG601" s="107">
        <f t="shared" si="651"/>
        <v>282097.10316666664</v>
      </c>
      <c r="AH601" s="107">
        <f t="shared" si="652"/>
        <v>281499.43981249997</v>
      </c>
      <c r="AI601" s="107">
        <f t="shared" si="653"/>
        <v>280901.7764583333</v>
      </c>
      <c r="AJ601" s="107">
        <f t="shared" si="654"/>
        <v>280304.11310416664</v>
      </c>
      <c r="AK601" s="107">
        <f t="shared" si="655"/>
        <v>279706.44974999997</v>
      </c>
      <c r="AL601" s="107">
        <f t="shared" si="656"/>
        <v>279108.7863958333</v>
      </c>
      <c r="AM601" s="107">
        <f t="shared" si="657"/>
        <v>278511.12304166664</v>
      </c>
      <c r="AN601" s="107">
        <f t="shared" si="658"/>
        <v>277913.45968749997</v>
      </c>
      <c r="AO601" s="107">
        <f t="shared" si="659"/>
        <v>277315.7963333333</v>
      </c>
      <c r="AP601" s="150">
        <f>'[3]СВОД 2022-2024 год'!$AJ$619</f>
        <v>6258.7309400000013</v>
      </c>
      <c r="AQ601" s="107"/>
      <c r="AR601" s="107">
        <f t="shared" si="673"/>
        <v>7171.9602500000001</v>
      </c>
      <c r="AS601" s="107">
        <f t="shared" si="661"/>
        <v>276718.13297916664</v>
      </c>
      <c r="AT601" s="107">
        <f t="shared" si="662"/>
        <v>276120.46962499997</v>
      </c>
      <c r="AU601" s="107">
        <f t="shared" si="663"/>
        <v>275522.8062708333</v>
      </c>
      <c r="AV601" s="107">
        <f t="shared" si="664"/>
        <v>274925.14291666663</v>
      </c>
      <c r="AW601" s="107">
        <f t="shared" si="665"/>
        <v>274327.47956249997</v>
      </c>
      <c r="AX601" s="107">
        <f t="shared" si="666"/>
        <v>273729.8162083333</v>
      </c>
      <c r="AY601" s="107">
        <f t="shared" si="667"/>
        <v>273132.15285416663</v>
      </c>
      <c r="AZ601" s="107">
        <f t="shared" si="668"/>
        <v>272534.48949999997</v>
      </c>
      <c r="BA601" s="107">
        <f t="shared" si="669"/>
        <v>271936.8261458333</v>
      </c>
      <c r="BB601" s="107">
        <f t="shared" si="670"/>
        <v>271339.16279166663</v>
      </c>
      <c r="BC601" s="107">
        <f t="shared" si="671"/>
        <v>270741.49943749997</v>
      </c>
      <c r="BD601" s="107">
        <f t="shared" si="672"/>
        <v>270143.8360833333</v>
      </c>
      <c r="BE601" s="139">
        <f>'[3]СВОД 2022-2024 год'!$BD$619</f>
        <v>6258.7309400000013</v>
      </c>
      <c r="BG601" s="127"/>
      <c r="BI601" s="127"/>
      <c r="BV601" s="127"/>
    </row>
    <row r="602" spans="1:75" ht="22.5" hidden="1" x14ac:dyDescent="0.2">
      <c r="A602" s="149" t="s">
        <v>52</v>
      </c>
      <c r="B602" s="124" t="s">
        <v>53</v>
      </c>
      <c r="C602" s="124" t="str">
        <f>VLOOKUP(A:A,'2023-2027'!A:L,1,+FALSE)</f>
        <v>Воздушная линия 0,4 кВ (ТУ №96 от 21.06.2021 г.)</v>
      </c>
      <c r="D602" s="124" t="s">
        <v>41</v>
      </c>
      <c r="E602" s="124" t="s">
        <v>42</v>
      </c>
      <c r="F602" s="124" t="s">
        <v>54</v>
      </c>
      <c r="G602" s="124" t="s">
        <v>44</v>
      </c>
      <c r="H602" s="151">
        <v>480</v>
      </c>
      <c r="I602" s="107">
        <v>811385.66</v>
      </c>
      <c r="J602" s="107"/>
      <c r="K602" s="107"/>
      <c r="L602" s="125">
        <v>1</v>
      </c>
      <c r="M602" s="148">
        <f t="shared" si="633"/>
        <v>1690.3867916666668</v>
      </c>
      <c r="N602" s="107">
        <f>M602*4</f>
        <v>6761.5471666666672</v>
      </c>
      <c r="O602" s="107">
        <v>0</v>
      </c>
      <c r="P602" s="107">
        <v>0</v>
      </c>
      <c r="Q602" s="107">
        <v>0</v>
      </c>
      <c r="R602" s="107">
        <v>0</v>
      </c>
      <c r="S602" s="107">
        <v>0</v>
      </c>
      <c r="T602" s="107">
        <v>0</v>
      </c>
      <c r="U602" s="107">
        <v>0</v>
      </c>
      <c r="V602" s="107">
        <v>0</v>
      </c>
      <c r="W602" s="107">
        <f>I602-M602</f>
        <v>809695.27320833341</v>
      </c>
      <c r="X602" s="107">
        <f t="shared" si="644"/>
        <v>808004.88641666679</v>
      </c>
      <c r="Y602" s="107">
        <f t="shared" si="645"/>
        <v>806314.49962500017</v>
      </c>
      <c r="Z602" s="107">
        <f t="shared" si="646"/>
        <v>804624.11283333355</v>
      </c>
      <c r="AA602" s="150">
        <f>'[3]СВОД 2022-2024 год'!$Q$612</f>
        <v>6836.9644200000002</v>
      </c>
      <c r="AB602" s="107"/>
      <c r="AC602" s="107">
        <f t="shared" si="674"/>
        <v>20284.641500000002</v>
      </c>
      <c r="AD602" s="107">
        <f t="shared" si="648"/>
        <v>802933.72604166693</v>
      </c>
      <c r="AE602" s="107">
        <f t="shared" si="649"/>
        <v>801243.33925000031</v>
      </c>
      <c r="AF602" s="107">
        <f t="shared" si="650"/>
        <v>799552.95245833369</v>
      </c>
      <c r="AG602" s="107">
        <f t="shared" si="651"/>
        <v>797862.56566666707</v>
      </c>
      <c r="AH602" s="107">
        <f t="shared" si="652"/>
        <v>796172.17887500045</v>
      </c>
      <c r="AI602" s="107">
        <f t="shared" si="653"/>
        <v>794481.79208333383</v>
      </c>
      <c r="AJ602" s="107">
        <f t="shared" si="654"/>
        <v>792791.40529166721</v>
      </c>
      <c r="AK602" s="107">
        <f t="shared" si="655"/>
        <v>791101.01850000059</v>
      </c>
      <c r="AL602" s="107">
        <f t="shared" si="656"/>
        <v>789410.63170833397</v>
      </c>
      <c r="AM602" s="107">
        <f t="shared" si="657"/>
        <v>787720.24491666735</v>
      </c>
      <c r="AN602" s="107">
        <f t="shared" si="658"/>
        <v>786029.85812500073</v>
      </c>
      <c r="AO602" s="107">
        <f t="shared" si="659"/>
        <v>784339.47133333411</v>
      </c>
      <c r="AP602" s="150">
        <f>'[3]СВОД 2022-2024 год'!$AJ$612</f>
        <v>17701.730199999995</v>
      </c>
      <c r="AQ602" s="107"/>
      <c r="AR602" s="107">
        <f t="shared" si="673"/>
        <v>20284.641500000002</v>
      </c>
      <c r="AS602" s="107">
        <f t="shared" si="661"/>
        <v>782649.08454166749</v>
      </c>
      <c r="AT602" s="107">
        <f t="shared" si="662"/>
        <v>780958.69775000087</v>
      </c>
      <c r="AU602" s="107">
        <f t="shared" si="663"/>
        <v>779268.31095833424</v>
      </c>
      <c r="AV602" s="107">
        <f t="shared" si="664"/>
        <v>777577.92416666762</v>
      </c>
      <c r="AW602" s="107">
        <f t="shared" si="665"/>
        <v>775887.537375001</v>
      </c>
      <c r="AX602" s="107">
        <f t="shared" si="666"/>
        <v>774197.15058333438</v>
      </c>
      <c r="AY602" s="107">
        <f t="shared" si="667"/>
        <v>772506.76379166776</v>
      </c>
      <c r="AZ602" s="107">
        <f t="shared" si="668"/>
        <v>770816.37700000114</v>
      </c>
      <c r="BA602" s="107">
        <f t="shared" si="669"/>
        <v>769125.99020833452</v>
      </c>
      <c r="BB602" s="107">
        <f t="shared" si="670"/>
        <v>767435.6034166679</v>
      </c>
      <c r="BC602" s="107">
        <f t="shared" si="671"/>
        <v>765745.21662500128</v>
      </c>
      <c r="BD602" s="107">
        <f t="shared" si="672"/>
        <v>764054.82983333466</v>
      </c>
      <c r="BE602" s="150">
        <f>'[3]СВОД 2022-2024 год'!$BD$612</f>
        <v>17701.730199999995</v>
      </c>
      <c r="BG602" s="127"/>
      <c r="BI602" s="127"/>
      <c r="BV602" s="127"/>
    </row>
    <row r="603" spans="1:75" ht="45" hidden="1" x14ac:dyDescent="0.2">
      <c r="A603" s="149" t="s">
        <v>55</v>
      </c>
      <c r="B603" s="124" t="s">
        <v>56</v>
      </c>
      <c r="C603" s="124" t="str">
        <f>VLOOKUP(A:A,'2023-2027'!A:L,1,+FALSE)</f>
        <v xml:space="preserve">Воздушная линия 0,4 кВ (ДТП №90Ф от 17.06.2021 г., гаражный бокс кадастровый номер 83:00:050305:491 </v>
      </c>
      <c r="D603" s="124" t="s">
        <v>41</v>
      </c>
      <c r="E603" s="124" t="s">
        <v>42</v>
      </c>
      <c r="F603" s="124" t="s">
        <v>54</v>
      </c>
      <c r="G603" s="124" t="s">
        <v>44</v>
      </c>
      <c r="H603" s="151">
        <v>480</v>
      </c>
      <c r="I603" s="107">
        <v>104411.66</v>
      </c>
      <c r="J603" s="107"/>
      <c r="K603" s="107"/>
      <c r="L603" s="125">
        <v>1</v>
      </c>
      <c r="M603" s="148">
        <f t="shared" si="633"/>
        <v>217.52429166666667</v>
      </c>
      <c r="N603" s="107">
        <f>M603*4</f>
        <v>870.09716666666668</v>
      </c>
      <c r="O603" s="107">
        <v>0</v>
      </c>
      <c r="P603" s="107">
        <v>0</v>
      </c>
      <c r="Q603" s="107">
        <v>0</v>
      </c>
      <c r="R603" s="107">
        <v>0</v>
      </c>
      <c r="S603" s="107">
        <v>0</v>
      </c>
      <c r="T603" s="107">
        <v>0</v>
      </c>
      <c r="U603" s="107">
        <v>0</v>
      </c>
      <c r="V603" s="107">
        <v>0</v>
      </c>
      <c r="W603" s="107">
        <f>I603-M603</f>
        <v>104194.13570833334</v>
      </c>
      <c r="X603" s="107">
        <f t="shared" si="644"/>
        <v>103976.61141666668</v>
      </c>
      <c r="Y603" s="107">
        <f t="shared" si="645"/>
        <v>103759.08712500002</v>
      </c>
      <c r="Z603" s="107">
        <f t="shared" si="646"/>
        <v>103541.56283333336</v>
      </c>
      <c r="AA603" s="150">
        <f>'[3]СВОД 2022-2024 год'!$Q$605</f>
        <v>879.80222000000015</v>
      </c>
      <c r="AB603" s="107"/>
      <c r="AC603" s="107">
        <f t="shared" si="674"/>
        <v>2610.2915000000003</v>
      </c>
      <c r="AD603" s="107">
        <f t="shared" si="648"/>
        <v>103324.0385416667</v>
      </c>
      <c r="AE603" s="107">
        <f t="shared" si="649"/>
        <v>103106.51425000004</v>
      </c>
      <c r="AF603" s="107">
        <f t="shared" si="650"/>
        <v>102888.98995833338</v>
      </c>
      <c r="AG603" s="107">
        <f t="shared" si="651"/>
        <v>102671.46566666671</v>
      </c>
      <c r="AH603" s="107">
        <f t="shared" si="652"/>
        <v>102453.94137500005</v>
      </c>
      <c r="AI603" s="107">
        <f t="shared" si="653"/>
        <v>102236.41708333339</v>
      </c>
      <c r="AJ603" s="107">
        <f t="shared" si="654"/>
        <v>102018.89279166673</v>
      </c>
      <c r="AK603" s="107">
        <f t="shared" si="655"/>
        <v>101801.36850000007</v>
      </c>
      <c r="AL603" s="107">
        <f t="shared" si="656"/>
        <v>101583.84420833341</v>
      </c>
      <c r="AM603" s="107">
        <f t="shared" si="657"/>
        <v>101366.31991666675</v>
      </c>
      <c r="AN603" s="107">
        <f t="shared" si="658"/>
        <v>101148.79562500009</v>
      </c>
      <c r="AO603" s="107">
        <f t="shared" si="659"/>
        <v>100931.27133333342</v>
      </c>
      <c r="AP603" s="150">
        <f>'[3]СВОД 2022-2024 год'!$AJ$605</f>
        <v>2277.9147600000001</v>
      </c>
      <c r="AQ603" s="107"/>
      <c r="AR603" s="107">
        <f t="shared" si="673"/>
        <v>2610.2915000000003</v>
      </c>
      <c r="AS603" s="107">
        <f t="shared" si="661"/>
        <v>100713.74704166676</v>
      </c>
      <c r="AT603" s="107">
        <f t="shared" si="662"/>
        <v>100496.2227500001</v>
      </c>
      <c r="AU603" s="107">
        <f t="shared" si="663"/>
        <v>100278.69845833344</v>
      </c>
      <c r="AV603" s="107">
        <f t="shared" si="664"/>
        <v>100061.17416666678</v>
      </c>
      <c r="AW603" s="107">
        <f t="shared" si="665"/>
        <v>99843.649875000119</v>
      </c>
      <c r="AX603" s="107">
        <f t="shared" si="666"/>
        <v>99626.125583333458</v>
      </c>
      <c r="AY603" s="107">
        <f t="shared" si="667"/>
        <v>99408.601291666797</v>
      </c>
      <c r="AZ603" s="107">
        <f t="shared" si="668"/>
        <v>99191.077000000136</v>
      </c>
      <c r="BA603" s="107">
        <f t="shared" si="669"/>
        <v>98973.552708333475</v>
      </c>
      <c r="BB603" s="107">
        <f t="shared" si="670"/>
        <v>98756.028416666813</v>
      </c>
      <c r="BC603" s="107">
        <f t="shared" si="671"/>
        <v>98538.504125000152</v>
      </c>
      <c r="BD603" s="107">
        <f t="shared" si="672"/>
        <v>98320.979833333491</v>
      </c>
      <c r="BE603" s="153">
        <f>'[3]СВОД 2022-2024 год'!$BD$605</f>
        <v>2277.9147600000001</v>
      </c>
      <c r="BG603" s="127"/>
      <c r="BI603" s="127"/>
      <c r="BV603" s="127"/>
    </row>
    <row r="604" spans="1:75" ht="45" hidden="1" x14ac:dyDescent="0.2">
      <c r="A604" s="149" t="s">
        <v>57</v>
      </c>
      <c r="B604" s="124" t="s">
        <v>58</v>
      </c>
      <c r="C604" s="124" t="str">
        <f>VLOOKUP(A:A,'2023-2027'!A:L,1,+FALSE)</f>
        <v xml:space="preserve">Кабельная линия 0,4 кВ (ДТП №90Ф от 17.06.2021 г., гаражный бокс кадастровый номер 83:00:050305:491 </v>
      </c>
      <c r="D604" s="124" t="s">
        <v>41</v>
      </c>
      <c r="E604" s="124" t="s">
        <v>42</v>
      </c>
      <c r="F604" s="124" t="s">
        <v>54</v>
      </c>
      <c r="G604" s="124" t="s">
        <v>44</v>
      </c>
      <c r="H604" s="151">
        <v>300</v>
      </c>
      <c r="I604" s="107">
        <v>112122.39</v>
      </c>
      <c r="J604" s="107"/>
      <c r="K604" s="107"/>
      <c r="L604" s="125">
        <v>1</v>
      </c>
      <c r="M604" s="148">
        <f t="shared" si="633"/>
        <v>373.74130000000002</v>
      </c>
      <c r="N604" s="107">
        <f>M604*4</f>
        <v>1494.9652000000001</v>
      </c>
      <c r="O604" s="107">
        <v>0</v>
      </c>
      <c r="P604" s="107">
        <v>0</v>
      </c>
      <c r="Q604" s="107">
        <v>0</v>
      </c>
      <c r="R604" s="107">
        <v>0</v>
      </c>
      <c r="S604" s="107">
        <v>0</v>
      </c>
      <c r="T604" s="107">
        <v>0</v>
      </c>
      <c r="U604" s="107">
        <v>0</v>
      </c>
      <c r="V604" s="107">
        <v>0</v>
      </c>
      <c r="W604" s="107">
        <f>I604-M604</f>
        <v>111748.64870000001</v>
      </c>
      <c r="X604" s="107">
        <f t="shared" si="644"/>
        <v>111374.90740000001</v>
      </c>
      <c r="Y604" s="107">
        <f t="shared" si="645"/>
        <v>111001.16610000002</v>
      </c>
      <c r="Z604" s="107">
        <f t="shared" si="646"/>
        <v>110627.42480000002</v>
      </c>
      <c r="AA604" s="150">
        <f>'[3]СВОД 2022-2024 год'!$Q$638</f>
        <v>942.40300000000013</v>
      </c>
      <c r="AB604" s="107"/>
      <c r="AC604" s="107">
        <f t="shared" si="674"/>
        <v>4484.8955999999998</v>
      </c>
      <c r="AD604" s="107">
        <f t="shared" si="648"/>
        <v>110253.68350000003</v>
      </c>
      <c r="AE604" s="107">
        <f t="shared" si="649"/>
        <v>109879.94220000003</v>
      </c>
      <c r="AF604" s="107">
        <f t="shared" si="650"/>
        <v>109506.20090000004</v>
      </c>
      <c r="AG604" s="107">
        <f t="shared" si="651"/>
        <v>109132.45960000005</v>
      </c>
      <c r="AH604" s="107">
        <f t="shared" si="652"/>
        <v>108758.71830000005</v>
      </c>
      <c r="AI604" s="107">
        <f t="shared" si="653"/>
        <v>108384.97700000006</v>
      </c>
      <c r="AJ604" s="107">
        <f t="shared" si="654"/>
        <v>108011.23570000006</v>
      </c>
      <c r="AK604" s="107">
        <f t="shared" si="655"/>
        <v>107637.49440000007</v>
      </c>
      <c r="AL604" s="107">
        <f t="shared" si="656"/>
        <v>107263.75310000007</v>
      </c>
      <c r="AM604" s="107">
        <f t="shared" si="657"/>
        <v>106890.01180000008</v>
      </c>
      <c r="AN604" s="107">
        <f t="shared" si="658"/>
        <v>106516.27050000009</v>
      </c>
      <c r="AO604" s="107">
        <f t="shared" si="659"/>
        <v>106142.52920000009</v>
      </c>
      <c r="AP604" s="150">
        <f>'[3]СВОД 2022-2024 год'!$AJ$638</f>
        <v>2433.8034599999992</v>
      </c>
      <c r="AQ604" s="107"/>
      <c r="AR604" s="107">
        <f t="shared" si="673"/>
        <v>4484.8955999999998</v>
      </c>
      <c r="AS604" s="107">
        <f t="shared" si="661"/>
        <v>105768.7879000001</v>
      </c>
      <c r="AT604" s="107">
        <f t="shared" si="662"/>
        <v>105395.0466000001</v>
      </c>
      <c r="AU604" s="107">
        <f t="shared" si="663"/>
        <v>105021.30530000011</v>
      </c>
      <c r="AV604" s="107">
        <f t="shared" si="664"/>
        <v>104647.56400000011</v>
      </c>
      <c r="AW604" s="107">
        <f t="shared" si="665"/>
        <v>104273.82270000012</v>
      </c>
      <c r="AX604" s="107">
        <f t="shared" si="666"/>
        <v>103900.08140000013</v>
      </c>
      <c r="AY604" s="107">
        <f t="shared" si="667"/>
        <v>103526.34010000013</v>
      </c>
      <c r="AZ604" s="107">
        <f t="shared" si="668"/>
        <v>103152.59880000014</v>
      </c>
      <c r="BA604" s="107">
        <f t="shared" si="669"/>
        <v>102778.85750000014</v>
      </c>
      <c r="BB604" s="107">
        <f t="shared" si="670"/>
        <v>102405.11620000015</v>
      </c>
      <c r="BC604" s="107">
        <f t="shared" si="671"/>
        <v>102031.37490000016</v>
      </c>
      <c r="BD604" s="107">
        <f t="shared" si="672"/>
        <v>101657.63360000016</v>
      </c>
      <c r="BE604" s="153">
        <f>'[3]СВОД 2022-2024 год'!$BD$638</f>
        <v>2433.8034599999992</v>
      </c>
      <c r="BG604" s="127"/>
      <c r="BI604" s="127"/>
      <c r="BV604" s="127"/>
    </row>
    <row r="605" spans="1:75" ht="22.5" hidden="1" x14ac:dyDescent="0.2">
      <c r="A605" s="149" t="s">
        <v>87</v>
      </c>
      <c r="B605" s="124" t="s">
        <v>2505</v>
      </c>
      <c r="C605" s="124" t="str">
        <f>VLOOKUP(A:A,'2023-2027'!A:L,1,+FALSE)</f>
        <v>Кабельная линия 0,4 кВ (ТУ 196 от 21.10.20)</v>
      </c>
      <c r="D605" s="124" t="s">
        <v>41</v>
      </c>
      <c r="E605" s="124" t="s">
        <v>42</v>
      </c>
      <c r="F605" s="134">
        <v>44865</v>
      </c>
      <c r="G605" s="124" t="s">
        <v>44</v>
      </c>
      <c r="H605" s="139">
        <v>300</v>
      </c>
      <c r="I605" s="107">
        <v>272636.92</v>
      </c>
      <c r="J605" s="107"/>
      <c r="K605" s="107"/>
      <c r="L605" s="125">
        <v>1</v>
      </c>
      <c r="M605" s="148">
        <f t="shared" si="633"/>
        <v>908.78973333333329</v>
      </c>
      <c r="N605" s="107">
        <f>M605*2</f>
        <v>1817.5794666666666</v>
      </c>
      <c r="O605" s="107">
        <v>0</v>
      </c>
      <c r="P605" s="107">
        <v>0</v>
      </c>
      <c r="Q605" s="107">
        <v>0</v>
      </c>
      <c r="R605" s="107">
        <v>0</v>
      </c>
      <c r="S605" s="107">
        <v>0</v>
      </c>
      <c r="T605" s="107">
        <v>0</v>
      </c>
      <c r="U605" s="107">
        <v>0</v>
      </c>
      <c r="V605" s="107">
        <v>0</v>
      </c>
      <c r="W605" s="107">
        <v>0</v>
      </c>
      <c r="X605" s="107">
        <v>0</v>
      </c>
      <c r="Y605" s="107">
        <f>I605-M605</f>
        <v>271728.13026666665</v>
      </c>
      <c r="Z605" s="107">
        <f t="shared" si="646"/>
        <v>270819.34053333331</v>
      </c>
      <c r="AA605" s="150">
        <f>(X605+Y605+Z605)/13*2.2%</f>
        <v>918.15725827692313</v>
      </c>
      <c r="AB605" s="107"/>
      <c r="AC605" s="107">
        <f t="shared" si="674"/>
        <v>10905.4768</v>
      </c>
      <c r="AD605" s="107">
        <f t="shared" si="648"/>
        <v>269910.55079999997</v>
      </c>
      <c r="AE605" s="107">
        <f t="shared" si="649"/>
        <v>269001.76106666663</v>
      </c>
      <c r="AF605" s="107">
        <f t="shared" si="650"/>
        <v>268092.97133333329</v>
      </c>
      <c r="AG605" s="107">
        <f t="shared" si="651"/>
        <v>267184.18159999995</v>
      </c>
      <c r="AH605" s="107">
        <f t="shared" si="652"/>
        <v>266275.39186666661</v>
      </c>
      <c r="AI605" s="107">
        <f t="shared" si="653"/>
        <v>265366.60213333328</v>
      </c>
      <c r="AJ605" s="107">
        <f t="shared" si="654"/>
        <v>264457.81239999994</v>
      </c>
      <c r="AK605" s="107">
        <f t="shared" si="655"/>
        <v>263549.0226666666</v>
      </c>
      <c r="AL605" s="107">
        <f t="shared" si="656"/>
        <v>262640.23293333326</v>
      </c>
      <c r="AM605" s="107">
        <f t="shared" si="657"/>
        <v>261731.44319999992</v>
      </c>
      <c r="AN605" s="107">
        <f t="shared" si="658"/>
        <v>260822.65346666658</v>
      </c>
      <c r="AO605" s="107">
        <f t="shared" si="659"/>
        <v>259913.86373333324</v>
      </c>
      <c r="AP605" s="150">
        <f>'[3]СВОД 2022-2024 год'!$AJ$643</f>
        <v>5958.0254800000002</v>
      </c>
      <c r="AQ605" s="107"/>
      <c r="AR605" s="107">
        <f t="shared" si="673"/>
        <v>10905.4768</v>
      </c>
      <c r="AS605" s="107">
        <f t="shared" si="661"/>
        <v>259005.07399999991</v>
      </c>
      <c r="AT605" s="107">
        <f t="shared" si="662"/>
        <v>258096.28426666657</v>
      </c>
      <c r="AU605" s="107">
        <f t="shared" si="663"/>
        <v>257187.49453333323</v>
      </c>
      <c r="AV605" s="107">
        <f t="shared" si="664"/>
        <v>256278.70479999989</v>
      </c>
      <c r="AW605" s="107">
        <f t="shared" si="665"/>
        <v>255369.91506666655</v>
      </c>
      <c r="AX605" s="107">
        <f t="shared" si="666"/>
        <v>254461.12533333321</v>
      </c>
      <c r="AY605" s="107">
        <f t="shared" si="667"/>
        <v>253552.33559999987</v>
      </c>
      <c r="AZ605" s="107">
        <f t="shared" si="668"/>
        <v>252643.54586666654</v>
      </c>
      <c r="BA605" s="107">
        <f t="shared" si="669"/>
        <v>251734.7561333332</v>
      </c>
      <c r="BB605" s="107">
        <f t="shared" si="670"/>
        <v>250825.96639999986</v>
      </c>
      <c r="BC605" s="107">
        <f t="shared" si="671"/>
        <v>249917.17666666652</v>
      </c>
      <c r="BD605" s="107">
        <f t="shared" si="672"/>
        <v>249008.38693333318</v>
      </c>
      <c r="BE605" s="150">
        <f>'[3]СВОД 2022-2024 год'!$BD$643</f>
        <v>5958.0254800000002</v>
      </c>
      <c r="BF605" s="127"/>
      <c r="BG605" s="127"/>
      <c r="BH605" s="127"/>
      <c r="BI605" s="127"/>
      <c r="BJ605" s="127"/>
      <c r="BK605" s="127"/>
      <c r="BL605" s="127"/>
      <c r="BM605" s="127"/>
      <c r="BN605" s="127"/>
      <c r="BO605" s="127"/>
      <c r="BP605" s="127"/>
      <c r="BQ605" s="127"/>
      <c r="BR605" s="127"/>
      <c r="BS605" s="127"/>
      <c r="BT605" s="127"/>
      <c r="BU605" s="127"/>
      <c r="BV605" s="127"/>
      <c r="BW605" s="127"/>
    </row>
    <row r="606" spans="1:75" ht="33.75" hidden="1" x14ac:dyDescent="0.2">
      <c r="A606" s="149" t="s">
        <v>88</v>
      </c>
      <c r="B606" s="124" t="s">
        <v>2506</v>
      </c>
      <c r="C606" s="124" t="str">
        <f>VLOOKUP(A:A,'2023-2027'!A:L,1,+FALSE)</f>
        <v>Воздушная линия 0,22кВ (ДТП №878 от 09.02.2022г, с.Тельвиска, ул.Полярная)</v>
      </c>
      <c r="D606" s="124" t="s">
        <v>41</v>
      </c>
      <c r="E606" s="124" t="s">
        <v>42</v>
      </c>
      <c r="F606" s="134">
        <v>44865</v>
      </c>
      <c r="G606" s="124" t="s">
        <v>44</v>
      </c>
      <c r="H606" s="139">
        <v>480</v>
      </c>
      <c r="I606" s="107">
        <v>89235.08</v>
      </c>
      <c r="J606" s="107"/>
      <c r="K606" s="107"/>
      <c r="L606" s="125">
        <v>1</v>
      </c>
      <c r="M606" s="148">
        <f t="shared" si="633"/>
        <v>185.90641666666667</v>
      </c>
      <c r="N606" s="107">
        <f>M606*2</f>
        <v>371.81283333333334</v>
      </c>
      <c r="O606" s="107">
        <v>0</v>
      </c>
      <c r="P606" s="107">
        <v>0</v>
      </c>
      <c r="Q606" s="107">
        <v>0</v>
      </c>
      <c r="R606" s="107">
        <v>0</v>
      </c>
      <c r="S606" s="107">
        <v>0</v>
      </c>
      <c r="T606" s="107">
        <v>0</v>
      </c>
      <c r="U606" s="107">
        <v>0</v>
      </c>
      <c r="V606" s="107">
        <v>0</v>
      </c>
      <c r="W606" s="107">
        <v>0</v>
      </c>
      <c r="X606" s="107">
        <v>0</v>
      </c>
      <c r="Y606" s="107">
        <f>I606-M606</f>
        <v>89049.173583333337</v>
      </c>
      <c r="Z606" s="107">
        <f t="shared" si="646"/>
        <v>88863.267166666672</v>
      </c>
      <c r="AA606" s="150">
        <f>(X606+Y606+Z606)/13*2.2%</f>
        <v>301.0825920384616</v>
      </c>
      <c r="AB606" s="107"/>
      <c r="AC606" s="107">
        <f t="shared" si="674"/>
        <v>2230.877</v>
      </c>
      <c r="AD606" s="107">
        <f t="shared" si="648"/>
        <v>88677.360750000007</v>
      </c>
      <c r="AE606" s="107">
        <f t="shared" si="649"/>
        <v>88491.454333333342</v>
      </c>
      <c r="AF606" s="107">
        <f t="shared" si="650"/>
        <v>88305.547916666677</v>
      </c>
      <c r="AG606" s="107">
        <f t="shared" si="651"/>
        <v>88119.641500000012</v>
      </c>
      <c r="AH606" s="107">
        <f t="shared" si="652"/>
        <v>87933.735083333348</v>
      </c>
      <c r="AI606" s="107">
        <f t="shared" si="653"/>
        <v>87747.828666666683</v>
      </c>
      <c r="AJ606" s="107">
        <f t="shared" si="654"/>
        <v>87561.922250000018</v>
      </c>
      <c r="AK606" s="107">
        <f t="shared" si="655"/>
        <v>87376.015833333353</v>
      </c>
      <c r="AL606" s="107">
        <f t="shared" si="656"/>
        <v>87190.109416666688</v>
      </c>
      <c r="AM606" s="107">
        <f t="shared" si="657"/>
        <v>87004.203000000023</v>
      </c>
      <c r="AN606" s="107">
        <f t="shared" si="658"/>
        <v>86818.296583333358</v>
      </c>
      <c r="AO606" s="107">
        <f t="shared" si="659"/>
        <v>86632.390166666693</v>
      </c>
      <c r="AP606" s="150">
        <f>'[3]СВОД 2022-2024 год'!$AJ$603</f>
        <v>1954.99172</v>
      </c>
      <c r="AQ606" s="107"/>
      <c r="AR606" s="107">
        <f t="shared" si="673"/>
        <v>2230.877</v>
      </c>
      <c r="AS606" s="107">
        <f t="shared" si="661"/>
        <v>86446.483750000029</v>
      </c>
      <c r="AT606" s="107">
        <f t="shared" si="662"/>
        <v>86260.577333333364</v>
      </c>
      <c r="AU606" s="107">
        <f t="shared" si="663"/>
        <v>86074.670916666699</v>
      </c>
      <c r="AV606" s="107">
        <f t="shared" si="664"/>
        <v>85888.764500000034</v>
      </c>
      <c r="AW606" s="107">
        <f t="shared" si="665"/>
        <v>85702.858083333369</v>
      </c>
      <c r="AX606" s="107">
        <f t="shared" si="666"/>
        <v>85516.951666666704</v>
      </c>
      <c r="AY606" s="107">
        <f t="shared" si="667"/>
        <v>85331.045250000039</v>
      </c>
      <c r="AZ606" s="107">
        <f t="shared" si="668"/>
        <v>85145.138833333374</v>
      </c>
      <c r="BA606" s="107">
        <f t="shared" si="669"/>
        <v>84959.232416666709</v>
      </c>
      <c r="BB606" s="107">
        <f t="shared" si="670"/>
        <v>84773.326000000045</v>
      </c>
      <c r="BC606" s="107">
        <f t="shared" si="671"/>
        <v>84587.41958333338</v>
      </c>
      <c r="BD606" s="107">
        <f t="shared" si="672"/>
        <v>84401.513166666715</v>
      </c>
      <c r="BE606" s="150">
        <f>'[3]СВОД 2022-2024 год'!$BD$603</f>
        <v>1954.99172</v>
      </c>
      <c r="BF606" s="127"/>
      <c r="BG606" s="127"/>
      <c r="BH606" s="127"/>
      <c r="BI606" s="127"/>
      <c r="BJ606" s="127"/>
      <c r="BK606" s="127"/>
      <c r="BL606" s="127"/>
      <c r="BM606" s="127"/>
      <c r="BN606" s="127"/>
      <c r="BO606" s="127"/>
      <c r="BP606" s="127"/>
      <c r="BQ606" s="127"/>
      <c r="BR606" s="127"/>
      <c r="BS606" s="127"/>
      <c r="BT606" s="127"/>
      <c r="BU606" s="127"/>
      <c r="BV606" s="127"/>
      <c r="BW606" s="127"/>
    </row>
    <row r="607" spans="1:75" ht="33.75" hidden="1" x14ac:dyDescent="0.2">
      <c r="A607" s="149" t="s">
        <v>89</v>
      </c>
      <c r="B607" s="124" t="s">
        <v>2507</v>
      </c>
      <c r="C607" s="124" t="str">
        <f>VLOOKUP(A:A,'2023-2027'!A:L,1,+FALSE)</f>
        <v>Воздушная линия 0,4кВ (ДТП №349 от 26.10.2021г, животноводческая ферма)</v>
      </c>
      <c r="D607" s="124" t="s">
        <v>41</v>
      </c>
      <c r="E607" s="124" t="s">
        <v>42</v>
      </c>
      <c r="F607" s="134">
        <v>44865</v>
      </c>
      <c r="G607" s="124" t="s">
        <v>44</v>
      </c>
      <c r="H607" s="139">
        <v>480</v>
      </c>
      <c r="I607" s="107">
        <v>369519.29</v>
      </c>
      <c r="J607" s="107"/>
      <c r="K607" s="107"/>
      <c r="L607" s="125">
        <v>1</v>
      </c>
      <c r="M607" s="148">
        <f t="shared" si="633"/>
        <v>769.83185416666663</v>
      </c>
      <c r="N607" s="107">
        <f>M607*2</f>
        <v>1539.6637083333333</v>
      </c>
      <c r="O607" s="107">
        <v>0</v>
      </c>
      <c r="P607" s="107">
        <v>0</v>
      </c>
      <c r="Q607" s="107">
        <v>0</v>
      </c>
      <c r="R607" s="107">
        <v>0</v>
      </c>
      <c r="S607" s="107">
        <v>0</v>
      </c>
      <c r="T607" s="107">
        <v>0</v>
      </c>
      <c r="U607" s="107">
        <v>0</v>
      </c>
      <c r="V607" s="107">
        <v>0</v>
      </c>
      <c r="W607" s="107">
        <v>0</v>
      </c>
      <c r="X607" s="107">
        <v>0</v>
      </c>
      <c r="Y607" s="107">
        <f>I607-M607</f>
        <v>368749.45814583334</v>
      </c>
      <c r="Z607" s="107">
        <f t="shared" si="646"/>
        <v>367979.6262916667</v>
      </c>
      <c r="AA607" s="150">
        <f>(X607+Y607+Z607)/13*2.2%</f>
        <v>1246.7722967403847</v>
      </c>
      <c r="AB607" s="107"/>
      <c r="AC607" s="107">
        <f t="shared" si="674"/>
        <v>9237.9822499999991</v>
      </c>
      <c r="AD607" s="107">
        <f t="shared" si="648"/>
        <v>367209.79443750007</v>
      </c>
      <c r="AE607" s="107">
        <f t="shared" si="649"/>
        <v>366439.96258333343</v>
      </c>
      <c r="AF607" s="107">
        <f t="shared" si="650"/>
        <v>365670.13072916679</v>
      </c>
      <c r="AG607" s="107">
        <f t="shared" si="651"/>
        <v>364900.29887500015</v>
      </c>
      <c r="AH607" s="107">
        <f t="shared" si="652"/>
        <v>364130.46702083352</v>
      </c>
      <c r="AI607" s="107">
        <f t="shared" si="653"/>
        <v>363360.63516666688</v>
      </c>
      <c r="AJ607" s="107">
        <f t="shared" si="654"/>
        <v>362590.80331250024</v>
      </c>
      <c r="AK607" s="107">
        <f t="shared" si="655"/>
        <v>361820.9714583336</v>
      </c>
      <c r="AL607" s="107">
        <f t="shared" si="656"/>
        <v>361051.13960416697</v>
      </c>
      <c r="AM607" s="107">
        <f t="shared" si="657"/>
        <v>360281.30775000033</v>
      </c>
      <c r="AN607" s="107">
        <f t="shared" si="658"/>
        <v>359511.47589583369</v>
      </c>
      <c r="AO607" s="107">
        <f t="shared" si="659"/>
        <v>358741.64404166705</v>
      </c>
      <c r="AP607" s="150">
        <f>'[3]СВОД 2022-2024 год'!$AJ$604</f>
        <v>8095.5518599999996</v>
      </c>
      <c r="AQ607" s="107"/>
      <c r="AR607" s="107">
        <f t="shared" si="673"/>
        <v>9237.9822499999991</v>
      </c>
      <c r="AS607" s="107">
        <f t="shared" si="661"/>
        <v>357971.81218750041</v>
      </c>
      <c r="AT607" s="107">
        <f t="shared" si="662"/>
        <v>357201.98033333378</v>
      </c>
      <c r="AU607" s="107">
        <f t="shared" si="663"/>
        <v>356432.14847916714</v>
      </c>
      <c r="AV607" s="107">
        <f t="shared" si="664"/>
        <v>355662.3166250005</v>
      </c>
      <c r="AW607" s="107">
        <f t="shared" si="665"/>
        <v>354892.48477083386</v>
      </c>
      <c r="AX607" s="107">
        <f t="shared" si="666"/>
        <v>354122.65291666723</v>
      </c>
      <c r="AY607" s="107">
        <f t="shared" si="667"/>
        <v>353352.82106250059</v>
      </c>
      <c r="AZ607" s="107">
        <f t="shared" si="668"/>
        <v>352582.98920833395</v>
      </c>
      <c r="BA607" s="107">
        <f t="shared" si="669"/>
        <v>351813.15735416731</v>
      </c>
      <c r="BB607" s="107">
        <f t="shared" si="670"/>
        <v>351043.32550000068</v>
      </c>
      <c r="BC607" s="107">
        <f t="shared" si="671"/>
        <v>350273.49364583404</v>
      </c>
      <c r="BD607" s="107">
        <f t="shared" si="672"/>
        <v>349503.6617916674</v>
      </c>
      <c r="BE607" s="150">
        <f>'[3]СВОД 2022-2024 год'!$BD$604</f>
        <v>8095.5518599999996</v>
      </c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127"/>
      <c r="BQ607" s="127"/>
      <c r="BR607" s="127"/>
      <c r="BS607" s="127"/>
      <c r="BT607" s="127"/>
      <c r="BU607" s="127"/>
      <c r="BV607" s="127"/>
      <c r="BW607" s="127"/>
    </row>
    <row r="608" spans="1:75" ht="33.75" hidden="1" x14ac:dyDescent="0.2">
      <c r="A608" s="149" t="s">
        <v>90</v>
      </c>
      <c r="B608" s="124" t="s">
        <v>2508</v>
      </c>
      <c r="C608" s="124" t="str">
        <f>VLOOKUP(A:A,'2023-2027'!A:L,1,+FALSE)</f>
        <v>Воздушная линия 0,4кВ (ДТП №146 Ф от 27.07.2021г, ул. В.Поздеева)</v>
      </c>
      <c r="D608" s="124" t="s">
        <v>41</v>
      </c>
      <c r="E608" s="124" t="s">
        <v>42</v>
      </c>
      <c r="F608" s="134">
        <v>44873</v>
      </c>
      <c r="G608" s="124" t="s">
        <v>44</v>
      </c>
      <c r="H608" s="139">
        <v>480</v>
      </c>
      <c r="I608" s="107">
        <v>358311.11</v>
      </c>
      <c r="J608" s="107"/>
      <c r="K608" s="107"/>
      <c r="L608" s="125">
        <v>1</v>
      </c>
      <c r="M608" s="148">
        <f t="shared" si="633"/>
        <v>746.48147916666665</v>
      </c>
      <c r="N608" s="107">
        <f t="shared" ref="N608:N613" si="675">M608</f>
        <v>746.48147916666665</v>
      </c>
      <c r="O608" s="107">
        <v>0</v>
      </c>
      <c r="P608" s="107">
        <v>0</v>
      </c>
      <c r="Q608" s="107">
        <v>0</v>
      </c>
      <c r="R608" s="107">
        <v>0</v>
      </c>
      <c r="S608" s="107">
        <v>0</v>
      </c>
      <c r="T608" s="107">
        <v>0</v>
      </c>
      <c r="U608" s="107">
        <v>0</v>
      </c>
      <c r="V608" s="107">
        <v>0</v>
      </c>
      <c r="W608" s="107">
        <v>0</v>
      </c>
      <c r="X608" s="107">
        <v>0</v>
      </c>
      <c r="Y608" s="107">
        <v>0</v>
      </c>
      <c r="Z608" s="107">
        <f t="shared" ref="Z608:Z613" si="676">I608-M608</f>
        <v>357564.62852083333</v>
      </c>
      <c r="AA608" s="150">
        <f>(X608+Y608+Z608)/13*2.2%</f>
        <v>605.10937134294875</v>
      </c>
      <c r="AB608" s="107"/>
      <c r="AC608" s="107">
        <f t="shared" si="674"/>
        <v>8957.7777499999993</v>
      </c>
      <c r="AD608" s="107">
        <f t="shared" si="648"/>
        <v>356818.14704166667</v>
      </c>
      <c r="AE608" s="107">
        <f t="shared" si="649"/>
        <v>356071.66556250001</v>
      </c>
      <c r="AF608" s="107">
        <f t="shared" si="650"/>
        <v>355325.18408333336</v>
      </c>
      <c r="AG608" s="107">
        <f t="shared" si="651"/>
        <v>354578.7026041667</v>
      </c>
      <c r="AH608" s="107">
        <f t="shared" si="652"/>
        <v>353832.22112500004</v>
      </c>
      <c r="AI608" s="107">
        <f t="shared" si="653"/>
        <v>353085.73964583338</v>
      </c>
      <c r="AJ608" s="107">
        <f t="shared" si="654"/>
        <v>352339.25816666672</v>
      </c>
      <c r="AK608" s="107">
        <f t="shared" si="655"/>
        <v>351592.77668750007</v>
      </c>
      <c r="AL608" s="107">
        <f t="shared" si="656"/>
        <v>350846.29520833341</v>
      </c>
      <c r="AM608" s="107">
        <f t="shared" si="657"/>
        <v>350099.81372916675</v>
      </c>
      <c r="AN608" s="107">
        <f t="shared" si="658"/>
        <v>349353.33225000009</v>
      </c>
      <c r="AO608" s="107">
        <f t="shared" si="659"/>
        <v>348606.85077083344</v>
      </c>
      <c r="AP608" s="150">
        <f>'[3]СВОД 2022-2024 год'!$AJ$613</f>
        <v>7866.4218599999995</v>
      </c>
      <c r="AQ608" s="107"/>
      <c r="AR608" s="107">
        <f t="shared" si="673"/>
        <v>8957.7777499999993</v>
      </c>
      <c r="AS608" s="107">
        <f t="shared" si="661"/>
        <v>347860.36929166678</v>
      </c>
      <c r="AT608" s="107">
        <f t="shared" si="662"/>
        <v>347113.88781250012</v>
      </c>
      <c r="AU608" s="107">
        <f t="shared" si="663"/>
        <v>346367.40633333346</v>
      </c>
      <c r="AV608" s="107">
        <f t="shared" si="664"/>
        <v>345620.92485416681</v>
      </c>
      <c r="AW608" s="107">
        <f t="shared" si="665"/>
        <v>344874.44337500015</v>
      </c>
      <c r="AX608" s="107">
        <f t="shared" si="666"/>
        <v>344127.96189583349</v>
      </c>
      <c r="AY608" s="107">
        <f t="shared" si="667"/>
        <v>343381.48041666683</v>
      </c>
      <c r="AZ608" s="107">
        <f t="shared" si="668"/>
        <v>342634.99893750018</v>
      </c>
      <c r="BA608" s="107">
        <f t="shared" si="669"/>
        <v>341888.51745833352</v>
      </c>
      <c r="BB608" s="107">
        <f t="shared" si="670"/>
        <v>341142.03597916686</v>
      </c>
      <c r="BC608" s="107">
        <f t="shared" si="671"/>
        <v>340395.5545000002</v>
      </c>
      <c r="BD608" s="107">
        <f t="shared" si="672"/>
        <v>339649.07302083354</v>
      </c>
      <c r="BE608" s="150">
        <f>'[3]СВОД 2022-2024 год'!$BD$613</f>
        <v>7866.4218599999995</v>
      </c>
      <c r="BF608" s="127"/>
      <c r="BG608" s="127"/>
      <c r="BH608" s="127"/>
      <c r="BI608" s="127"/>
      <c r="BJ608" s="127"/>
      <c r="BK608" s="127"/>
      <c r="BL608" s="127"/>
      <c r="BM608" s="127"/>
      <c r="BN608" s="127"/>
      <c r="BO608" s="127"/>
      <c r="BP608" s="127"/>
      <c r="BQ608" s="127"/>
      <c r="BR608" s="127"/>
      <c r="BS608" s="127"/>
      <c r="BT608" s="127"/>
      <c r="BU608" s="127"/>
      <c r="BV608" s="127"/>
      <c r="BW608" s="127"/>
    </row>
    <row r="609" spans="1:75" ht="45" hidden="1" x14ac:dyDescent="0.2">
      <c r="A609" s="149" t="s">
        <v>91</v>
      </c>
      <c r="B609" s="124" t="s">
        <v>2509</v>
      </c>
      <c r="C609" s="124" t="str">
        <f>VLOOKUP(A:A,'2023-2027'!A:L,1,+FALSE)</f>
        <v>Кабельная линия 0,4кВ (ДТП №253 Ф от 06.12.2021г, Гаражный бокс. Ул.60 лет Октября)</v>
      </c>
      <c r="D609" s="124" t="s">
        <v>41</v>
      </c>
      <c r="E609" s="124" t="s">
        <v>42</v>
      </c>
      <c r="F609" s="134">
        <v>44873</v>
      </c>
      <c r="G609" s="124" t="s">
        <v>44</v>
      </c>
      <c r="H609" s="139">
        <v>300</v>
      </c>
      <c r="I609" s="107">
        <v>215565.45</v>
      </c>
      <c r="J609" s="107"/>
      <c r="K609" s="107"/>
      <c r="L609" s="125">
        <v>1</v>
      </c>
      <c r="M609" s="148">
        <f t="shared" si="633"/>
        <v>718.55150000000003</v>
      </c>
      <c r="N609" s="107">
        <f t="shared" si="675"/>
        <v>718.55150000000003</v>
      </c>
      <c r="O609" s="107">
        <v>0</v>
      </c>
      <c r="P609" s="107">
        <v>0</v>
      </c>
      <c r="Q609" s="107">
        <v>0</v>
      </c>
      <c r="R609" s="107">
        <v>0</v>
      </c>
      <c r="S609" s="107">
        <v>0</v>
      </c>
      <c r="T609" s="107">
        <v>0</v>
      </c>
      <c r="U609" s="107">
        <v>0</v>
      </c>
      <c r="V609" s="107">
        <v>0</v>
      </c>
      <c r="W609" s="107">
        <v>0</v>
      </c>
      <c r="X609" s="107">
        <v>0</v>
      </c>
      <c r="Y609" s="107">
        <v>0</v>
      </c>
      <c r="Z609" s="107">
        <f t="shared" si="676"/>
        <v>214846.89850000001</v>
      </c>
      <c r="AA609" s="150">
        <f>(X609+Y609+Z609)/13*2.2%</f>
        <v>363.58705900000001</v>
      </c>
      <c r="AB609" s="107"/>
      <c r="AC609" s="107">
        <f t="shared" si="674"/>
        <v>8622.6180000000004</v>
      </c>
      <c r="AD609" s="107">
        <f t="shared" si="648"/>
        <v>214128.34700000001</v>
      </c>
      <c r="AE609" s="107">
        <f t="shared" si="649"/>
        <v>213409.79550000001</v>
      </c>
      <c r="AF609" s="107">
        <f t="shared" si="650"/>
        <v>212691.24400000001</v>
      </c>
      <c r="AG609" s="107">
        <f t="shared" si="651"/>
        <v>211972.6925</v>
      </c>
      <c r="AH609" s="107">
        <f t="shared" si="652"/>
        <v>211254.141</v>
      </c>
      <c r="AI609" s="107">
        <f t="shared" si="653"/>
        <v>210535.5895</v>
      </c>
      <c r="AJ609" s="107">
        <f t="shared" si="654"/>
        <v>209817.038</v>
      </c>
      <c r="AK609" s="107">
        <f t="shared" si="655"/>
        <v>209098.4865</v>
      </c>
      <c r="AL609" s="107">
        <f t="shared" si="656"/>
        <v>208379.935</v>
      </c>
      <c r="AM609" s="107">
        <f t="shared" si="657"/>
        <v>207661.3835</v>
      </c>
      <c r="AN609" s="107">
        <f t="shared" si="658"/>
        <v>206942.83199999999</v>
      </c>
      <c r="AO609" s="107">
        <f t="shared" si="659"/>
        <v>206224.28049999999</v>
      </c>
      <c r="AP609" s="150">
        <f>'[3]СВОД 2022-2024 год'!$AJ$647</f>
        <v>4726.6317999999992</v>
      </c>
      <c r="AQ609" s="107"/>
      <c r="AR609" s="107">
        <f t="shared" si="673"/>
        <v>8622.6180000000004</v>
      </c>
      <c r="AS609" s="107">
        <f t="shared" si="661"/>
        <v>205505.72899999999</v>
      </c>
      <c r="AT609" s="107">
        <f t="shared" si="662"/>
        <v>204787.17749999999</v>
      </c>
      <c r="AU609" s="107">
        <f t="shared" si="663"/>
        <v>204068.62599999999</v>
      </c>
      <c r="AV609" s="107">
        <f t="shared" si="664"/>
        <v>203350.07449999999</v>
      </c>
      <c r="AW609" s="107">
        <f t="shared" si="665"/>
        <v>202631.52299999999</v>
      </c>
      <c r="AX609" s="107">
        <f t="shared" si="666"/>
        <v>201912.97149999999</v>
      </c>
      <c r="AY609" s="107">
        <f t="shared" si="667"/>
        <v>201194.41999999998</v>
      </c>
      <c r="AZ609" s="107">
        <f t="shared" si="668"/>
        <v>200475.86849999998</v>
      </c>
      <c r="BA609" s="107">
        <f t="shared" si="669"/>
        <v>199757.31699999998</v>
      </c>
      <c r="BB609" s="107">
        <f t="shared" si="670"/>
        <v>199038.76549999998</v>
      </c>
      <c r="BC609" s="107">
        <f t="shared" si="671"/>
        <v>198320.21399999998</v>
      </c>
      <c r="BD609" s="107">
        <f t="shared" si="672"/>
        <v>197601.66249999998</v>
      </c>
      <c r="BE609" s="150">
        <f>'[3]СВОД 2022-2024 год'!$BD$647</f>
        <v>4726.6317999999992</v>
      </c>
      <c r="BF609" s="127"/>
      <c r="BG609" s="127"/>
      <c r="BH609" s="127"/>
      <c r="BI609" s="127"/>
      <c r="BJ609" s="127"/>
      <c r="BK609" s="127"/>
      <c r="BL609" s="127"/>
      <c r="BM609" s="127"/>
      <c r="BN609" s="127"/>
      <c r="BO609" s="127"/>
      <c r="BP609" s="127"/>
      <c r="BQ609" s="127"/>
      <c r="BR609" s="127"/>
      <c r="BS609" s="127"/>
      <c r="BT609" s="127"/>
      <c r="BU609" s="127"/>
      <c r="BV609" s="127"/>
      <c r="BW609" s="127"/>
    </row>
    <row r="610" spans="1:75" hidden="1" x14ac:dyDescent="0.2">
      <c r="A610" s="149" t="s">
        <v>92</v>
      </c>
      <c r="B610" s="124" t="s">
        <v>2510</v>
      </c>
      <c r="C610" s="124" t="str">
        <f>VLOOKUP(A:A,'2023-2027'!A:L,1,+FALSE)</f>
        <v>Мфу Kyocera ECOSYS M8130cidn</v>
      </c>
      <c r="D610" s="124" t="s">
        <v>22</v>
      </c>
      <c r="E610" s="124" t="s">
        <v>23</v>
      </c>
      <c r="F610" s="134">
        <v>44875</v>
      </c>
      <c r="G610" s="124" t="s">
        <v>25</v>
      </c>
      <c r="H610" s="139">
        <v>60</v>
      </c>
      <c r="I610" s="107">
        <v>453458.33</v>
      </c>
      <c r="J610" s="107"/>
      <c r="K610" s="107"/>
      <c r="L610" s="125">
        <v>0</v>
      </c>
      <c r="M610" s="148">
        <f t="shared" si="633"/>
        <v>7557.6388333333334</v>
      </c>
      <c r="N610" s="107">
        <f t="shared" si="675"/>
        <v>7557.6388333333334</v>
      </c>
      <c r="O610" s="107">
        <v>0</v>
      </c>
      <c r="P610" s="107">
        <v>0</v>
      </c>
      <c r="Q610" s="107">
        <v>0</v>
      </c>
      <c r="R610" s="107">
        <v>0</v>
      </c>
      <c r="S610" s="107">
        <v>0</v>
      </c>
      <c r="T610" s="107">
        <v>0</v>
      </c>
      <c r="U610" s="107">
        <v>0</v>
      </c>
      <c r="V610" s="107">
        <v>0</v>
      </c>
      <c r="W610" s="107">
        <v>0</v>
      </c>
      <c r="X610" s="107">
        <v>0</v>
      </c>
      <c r="Y610" s="107">
        <v>0</v>
      </c>
      <c r="Z610" s="107">
        <f t="shared" si="676"/>
        <v>445900.69116666669</v>
      </c>
      <c r="AA610" s="150"/>
      <c r="AB610" s="107"/>
      <c r="AC610" s="107">
        <f t="shared" si="674"/>
        <v>90691.665999999997</v>
      </c>
      <c r="AD610" s="107">
        <f t="shared" si="648"/>
        <v>438343.05233333335</v>
      </c>
      <c r="AE610" s="107">
        <f t="shared" si="649"/>
        <v>430785.41350000002</v>
      </c>
      <c r="AF610" s="107">
        <f t="shared" si="650"/>
        <v>423227.77466666669</v>
      </c>
      <c r="AG610" s="107">
        <f t="shared" si="651"/>
        <v>415670.13583333336</v>
      </c>
      <c r="AH610" s="107">
        <f t="shared" si="652"/>
        <v>408112.49700000003</v>
      </c>
      <c r="AI610" s="107">
        <f t="shared" si="653"/>
        <v>400554.8581666667</v>
      </c>
      <c r="AJ610" s="107">
        <f t="shared" si="654"/>
        <v>392997.21933333337</v>
      </c>
      <c r="AK610" s="107">
        <f t="shared" si="655"/>
        <v>385439.58050000004</v>
      </c>
      <c r="AL610" s="107">
        <f t="shared" si="656"/>
        <v>377881.94166666671</v>
      </c>
      <c r="AM610" s="107">
        <f t="shared" si="657"/>
        <v>370324.30283333338</v>
      </c>
      <c r="AN610" s="107">
        <f t="shared" si="658"/>
        <v>362766.66400000005</v>
      </c>
      <c r="AO610" s="107">
        <f t="shared" si="659"/>
        <v>355209.02516666672</v>
      </c>
      <c r="AP610" s="150"/>
      <c r="AQ610" s="107"/>
      <c r="AR610" s="107">
        <f t="shared" si="673"/>
        <v>90691.665999999997</v>
      </c>
      <c r="AS610" s="107">
        <f t="shared" si="661"/>
        <v>347651.38633333339</v>
      </c>
      <c r="AT610" s="107">
        <f t="shared" si="662"/>
        <v>340093.74750000006</v>
      </c>
      <c r="AU610" s="107">
        <f t="shared" si="663"/>
        <v>332536.10866666673</v>
      </c>
      <c r="AV610" s="107">
        <f t="shared" si="664"/>
        <v>324978.46983333339</v>
      </c>
      <c r="AW610" s="107">
        <f t="shared" si="665"/>
        <v>317420.83100000006</v>
      </c>
      <c r="AX610" s="107">
        <f t="shared" si="666"/>
        <v>309863.19216666673</v>
      </c>
      <c r="AY610" s="107">
        <f t="shared" si="667"/>
        <v>302305.5533333334</v>
      </c>
      <c r="AZ610" s="107">
        <f t="shared" si="668"/>
        <v>294747.91450000007</v>
      </c>
      <c r="BA610" s="107">
        <f t="shared" si="669"/>
        <v>287190.27566666674</v>
      </c>
      <c r="BB610" s="107">
        <f t="shared" si="670"/>
        <v>279632.63683333341</v>
      </c>
      <c r="BC610" s="107">
        <f t="shared" si="671"/>
        <v>272074.99800000008</v>
      </c>
      <c r="BD610" s="107">
        <f t="shared" si="672"/>
        <v>264517.35916666675</v>
      </c>
      <c r="BE610" s="150"/>
      <c r="BF610" s="127"/>
      <c r="BG610" s="127"/>
      <c r="BH610" s="127"/>
      <c r="BI610" s="127"/>
      <c r="BJ610" s="127"/>
      <c r="BK610" s="127"/>
      <c r="BL610" s="127"/>
      <c r="BM610" s="127"/>
      <c r="BN610" s="127"/>
      <c r="BO610" s="127"/>
      <c r="BP610" s="127"/>
      <c r="BQ610" s="127"/>
      <c r="BR610" s="127"/>
      <c r="BS610" s="127"/>
      <c r="BT610" s="127"/>
      <c r="BU610" s="127"/>
      <c r="BV610" s="127"/>
      <c r="BW610" s="127"/>
    </row>
    <row r="611" spans="1:75" ht="33.75" hidden="1" x14ac:dyDescent="0.2">
      <c r="A611" s="149" t="s">
        <v>93</v>
      </c>
      <c r="B611" s="124" t="s">
        <v>2511</v>
      </c>
      <c r="C611" s="124" t="str">
        <f>VLOOKUP(A:A,'2023-2027'!A:L,1,+FALSE)</f>
        <v>Воздушная линия 0,4кВ (ДТП №207 Ф от 07.10.2021г, ул.Прибрежная)</v>
      </c>
      <c r="D611" s="124" t="s">
        <v>41</v>
      </c>
      <c r="E611" s="124" t="s">
        <v>42</v>
      </c>
      <c r="F611" s="134">
        <v>44880</v>
      </c>
      <c r="G611" s="124" t="s">
        <v>44</v>
      </c>
      <c r="H611" s="139">
        <v>480</v>
      </c>
      <c r="I611" s="107">
        <v>285751.78000000003</v>
      </c>
      <c r="J611" s="107"/>
      <c r="K611" s="107"/>
      <c r="L611" s="125">
        <v>1</v>
      </c>
      <c r="M611" s="148">
        <f t="shared" si="633"/>
        <v>595.31620833333341</v>
      </c>
      <c r="N611" s="107">
        <f t="shared" si="675"/>
        <v>595.31620833333341</v>
      </c>
      <c r="O611" s="107">
        <v>0</v>
      </c>
      <c r="P611" s="107">
        <v>0</v>
      </c>
      <c r="Q611" s="107">
        <v>0</v>
      </c>
      <c r="R611" s="107">
        <v>0</v>
      </c>
      <c r="S611" s="107">
        <v>0</v>
      </c>
      <c r="T611" s="107">
        <v>0</v>
      </c>
      <c r="U611" s="107">
        <v>0</v>
      </c>
      <c r="V611" s="107">
        <v>0</v>
      </c>
      <c r="W611" s="107">
        <v>0</v>
      </c>
      <c r="X611" s="107">
        <v>0</v>
      </c>
      <c r="Y611" s="107">
        <v>0</v>
      </c>
      <c r="Z611" s="107">
        <f t="shared" si="676"/>
        <v>285156.46379166667</v>
      </c>
      <c r="AA611" s="150">
        <f>(X611+Y611+Z611)/13*2.2%</f>
        <v>482.57247718589747</v>
      </c>
      <c r="AB611" s="107"/>
      <c r="AC611" s="107">
        <f t="shared" si="674"/>
        <v>7143.7945000000009</v>
      </c>
      <c r="AD611" s="107">
        <f t="shared" si="648"/>
        <v>284561.14758333331</v>
      </c>
      <c r="AE611" s="107">
        <f t="shared" si="649"/>
        <v>283965.83137499995</v>
      </c>
      <c r="AF611" s="107">
        <f t="shared" si="650"/>
        <v>283370.51516666659</v>
      </c>
      <c r="AG611" s="107">
        <f t="shared" si="651"/>
        <v>282775.19895833323</v>
      </c>
      <c r="AH611" s="107">
        <f t="shared" si="652"/>
        <v>282179.88274999987</v>
      </c>
      <c r="AI611" s="107">
        <f t="shared" si="653"/>
        <v>281584.56654166651</v>
      </c>
      <c r="AJ611" s="107">
        <f t="shared" si="654"/>
        <v>280989.25033333316</v>
      </c>
      <c r="AK611" s="107">
        <f t="shared" si="655"/>
        <v>280393.9341249998</v>
      </c>
      <c r="AL611" s="107">
        <f t="shared" si="656"/>
        <v>279798.61791666644</v>
      </c>
      <c r="AM611" s="107">
        <f t="shared" si="657"/>
        <v>279203.30170833308</v>
      </c>
      <c r="AN611" s="107">
        <f t="shared" si="658"/>
        <v>278607.98549999972</v>
      </c>
      <c r="AO611" s="107">
        <f t="shared" si="659"/>
        <v>278012.66929166636</v>
      </c>
      <c r="AP611" s="150">
        <f>'[3]СВОД 2022-2024 год'!$AJ$614</f>
        <v>6273.4421200000015</v>
      </c>
      <c r="AQ611" s="107"/>
      <c r="AR611" s="107">
        <f t="shared" si="673"/>
        <v>7143.7945000000009</v>
      </c>
      <c r="AS611" s="107">
        <f t="shared" si="661"/>
        <v>277417.353083333</v>
      </c>
      <c r="AT611" s="107">
        <f t="shared" si="662"/>
        <v>276822.03687499964</v>
      </c>
      <c r="AU611" s="107">
        <f t="shared" si="663"/>
        <v>276226.72066666628</v>
      </c>
      <c r="AV611" s="107">
        <f t="shared" si="664"/>
        <v>275631.40445833292</v>
      </c>
      <c r="AW611" s="107">
        <f t="shared" si="665"/>
        <v>275036.08824999956</v>
      </c>
      <c r="AX611" s="107">
        <f t="shared" si="666"/>
        <v>274440.77204166621</v>
      </c>
      <c r="AY611" s="107">
        <f t="shared" si="667"/>
        <v>273845.45583333285</v>
      </c>
      <c r="AZ611" s="107">
        <f t="shared" si="668"/>
        <v>273250.13962499949</v>
      </c>
      <c r="BA611" s="107">
        <f t="shared" si="669"/>
        <v>272654.82341666613</v>
      </c>
      <c r="BB611" s="107">
        <f t="shared" si="670"/>
        <v>272059.50720833277</v>
      </c>
      <c r="BC611" s="107">
        <f t="shared" si="671"/>
        <v>271464.19099999941</v>
      </c>
      <c r="BD611" s="107">
        <f t="shared" si="672"/>
        <v>270868.87479166605</v>
      </c>
      <c r="BE611" s="150">
        <f>'[3]СВОД 2022-2024 год'!$BD$614</f>
        <v>6273.4421200000015</v>
      </c>
      <c r="BF611" s="127"/>
      <c r="BG611" s="127"/>
      <c r="BH611" s="127"/>
      <c r="BI611" s="127"/>
      <c r="BJ611" s="127"/>
      <c r="BK611" s="127"/>
      <c r="BL611" s="127"/>
      <c r="BM611" s="127"/>
      <c r="BN611" s="127"/>
      <c r="BO611" s="127"/>
      <c r="BP611" s="127"/>
      <c r="BQ611" s="127"/>
      <c r="BR611" s="127"/>
      <c r="BS611" s="127"/>
      <c r="BT611" s="127"/>
      <c r="BU611" s="127"/>
      <c r="BV611" s="127"/>
      <c r="BW611" s="127"/>
    </row>
    <row r="612" spans="1:75" ht="45" hidden="1" x14ac:dyDescent="0.2">
      <c r="A612" s="149" t="s">
        <v>94</v>
      </c>
      <c r="B612" s="124" t="s">
        <v>2512</v>
      </c>
      <c r="C612" s="124" t="str">
        <f>VLOOKUP(A:A,'2023-2027'!A:L,1,+FALSE)</f>
        <v>Строительство ВЛ-0,4кВ от ТП-58 "Монтажников 10" фидера ул. Монтажников; ул. Поморская, ул. Губкина</v>
      </c>
      <c r="D612" s="124" t="s">
        <v>41</v>
      </c>
      <c r="E612" s="124" t="s">
        <v>42</v>
      </c>
      <c r="F612" s="134">
        <v>44887</v>
      </c>
      <c r="G612" s="124" t="s">
        <v>44</v>
      </c>
      <c r="H612" s="139">
        <v>480</v>
      </c>
      <c r="I612" s="107">
        <v>4640759.96</v>
      </c>
      <c r="J612" s="107"/>
      <c r="K612" s="107"/>
      <c r="L612" s="125">
        <v>1</v>
      </c>
      <c r="M612" s="148">
        <f t="shared" si="633"/>
        <v>9668.2499166666657</v>
      </c>
      <c r="N612" s="107">
        <f t="shared" si="675"/>
        <v>9668.2499166666657</v>
      </c>
      <c r="O612" s="107">
        <v>0</v>
      </c>
      <c r="P612" s="107">
        <v>0</v>
      </c>
      <c r="Q612" s="107">
        <v>0</v>
      </c>
      <c r="R612" s="107">
        <v>0</v>
      </c>
      <c r="S612" s="107">
        <v>0</v>
      </c>
      <c r="T612" s="107">
        <v>0</v>
      </c>
      <c r="U612" s="107">
        <v>0</v>
      </c>
      <c r="V612" s="107">
        <v>0</v>
      </c>
      <c r="W612" s="107">
        <v>0</v>
      </c>
      <c r="X612" s="107">
        <v>0</v>
      </c>
      <c r="Y612" s="107">
        <v>0</v>
      </c>
      <c r="Z612" s="107">
        <f t="shared" si="676"/>
        <v>4631091.7100833328</v>
      </c>
      <c r="AA612" s="150">
        <f>(X612+Y612+Z612)/13*2.2%</f>
        <v>7837.2321247564105</v>
      </c>
      <c r="AB612" s="107"/>
      <c r="AC612" s="107">
        <f t="shared" si="674"/>
        <v>116018.99899999998</v>
      </c>
      <c r="AD612" s="107">
        <f t="shared" si="648"/>
        <v>4621423.4601666657</v>
      </c>
      <c r="AE612" s="107">
        <f t="shared" si="649"/>
        <v>4611755.2102499986</v>
      </c>
      <c r="AF612" s="107">
        <f t="shared" si="650"/>
        <v>4602086.9603333315</v>
      </c>
      <c r="AG612" s="107">
        <f t="shared" si="651"/>
        <v>4592418.7104166644</v>
      </c>
      <c r="AH612" s="107">
        <f t="shared" si="652"/>
        <v>4582750.4604999973</v>
      </c>
      <c r="AI612" s="107">
        <f t="shared" si="653"/>
        <v>4573082.2105833301</v>
      </c>
      <c r="AJ612" s="107">
        <f t="shared" si="654"/>
        <v>4563413.960666663</v>
      </c>
      <c r="AK612" s="107">
        <f t="shared" si="655"/>
        <v>4553745.7107499959</v>
      </c>
      <c r="AL612" s="107">
        <f t="shared" si="656"/>
        <v>4544077.4608333288</v>
      </c>
      <c r="AM612" s="107">
        <f t="shared" si="657"/>
        <v>4534409.2109166617</v>
      </c>
      <c r="AN612" s="107">
        <f t="shared" si="658"/>
        <v>4524740.9609999945</v>
      </c>
      <c r="AO612" s="107">
        <f t="shared" si="659"/>
        <v>4515072.7110833274</v>
      </c>
      <c r="AP612" s="150">
        <f>'[3]СВОД 2022-2024 год'!$AJ$585</f>
        <v>101884.01762000001</v>
      </c>
      <c r="AQ612" s="107"/>
      <c r="AR612" s="107">
        <f>M612*12</f>
        <v>116018.99899999998</v>
      </c>
      <c r="AS612" s="107">
        <f t="shared" si="661"/>
        <v>4505404.4611666603</v>
      </c>
      <c r="AT612" s="107">
        <f t="shared" si="662"/>
        <v>4495736.2112499932</v>
      </c>
      <c r="AU612" s="107">
        <f t="shared" si="663"/>
        <v>4486067.9613333261</v>
      </c>
      <c r="AV612" s="107">
        <f t="shared" si="664"/>
        <v>4476399.7114166589</v>
      </c>
      <c r="AW612" s="107">
        <f t="shared" si="665"/>
        <v>4466731.4614999918</v>
      </c>
      <c r="AX612" s="107">
        <f t="shared" si="666"/>
        <v>4457063.2115833247</v>
      </c>
      <c r="AY612" s="107">
        <f t="shared" si="667"/>
        <v>4447394.9616666576</v>
      </c>
      <c r="AZ612" s="107">
        <f t="shared" si="668"/>
        <v>4437726.7117499905</v>
      </c>
      <c r="BA612" s="107">
        <f t="shared" si="669"/>
        <v>4428058.4618333234</v>
      </c>
      <c r="BB612" s="107">
        <f t="shared" si="670"/>
        <v>4418390.2119166562</v>
      </c>
      <c r="BC612" s="107">
        <f t="shared" si="671"/>
        <v>4408721.9619999891</v>
      </c>
      <c r="BD612" s="107">
        <f t="shared" si="672"/>
        <v>4399053.712083322</v>
      </c>
      <c r="BE612" s="150">
        <f>'[3]СВОД 2022-2024 год'!$BD$585</f>
        <v>101884.01762000001</v>
      </c>
      <c r="BF612" s="127"/>
      <c r="BG612" s="127"/>
      <c r="BH612" s="127"/>
      <c r="BI612" s="127"/>
      <c r="BJ612" s="127"/>
      <c r="BK612" s="127"/>
      <c r="BL612" s="127"/>
      <c r="BM612" s="127"/>
      <c r="BN612" s="127"/>
      <c r="BO612" s="127"/>
      <c r="BP612" s="127"/>
      <c r="BQ612" s="127"/>
      <c r="BR612" s="127"/>
      <c r="BS612" s="127"/>
      <c r="BT612" s="127"/>
      <c r="BU612" s="127"/>
      <c r="BV612" s="127"/>
      <c r="BW612" s="127"/>
    </row>
    <row r="613" spans="1:75" ht="22.5" hidden="1" x14ac:dyDescent="0.2">
      <c r="A613" s="149" t="s">
        <v>95</v>
      </c>
      <c r="B613" s="124" t="s">
        <v>2513</v>
      </c>
      <c r="C613" s="124" t="str">
        <f>VLOOKUP(A:A,'2023-2027'!A:L,1,+FALSE)</f>
        <v>Линии электропередачи 0,4кВ (ДТП №96Ф от 23.06.2021 г.)</v>
      </c>
      <c r="D613" s="124" t="s">
        <v>41</v>
      </c>
      <c r="E613" s="124" t="s">
        <v>42</v>
      </c>
      <c r="F613" s="134">
        <v>44895</v>
      </c>
      <c r="G613" s="124" t="s">
        <v>44</v>
      </c>
      <c r="H613" s="139">
        <v>480</v>
      </c>
      <c r="I613" s="107">
        <v>493105.6</v>
      </c>
      <c r="J613" s="107"/>
      <c r="K613" s="107"/>
      <c r="L613" s="125">
        <v>1</v>
      </c>
      <c r="M613" s="148">
        <f t="shared" si="633"/>
        <v>1027.3033333333333</v>
      </c>
      <c r="N613" s="107">
        <f t="shared" si="675"/>
        <v>1027.3033333333333</v>
      </c>
      <c r="O613" s="107">
        <v>0</v>
      </c>
      <c r="P613" s="107">
        <v>0</v>
      </c>
      <c r="Q613" s="107">
        <v>0</v>
      </c>
      <c r="R613" s="107">
        <v>0</v>
      </c>
      <c r="S613" s="107">
        <v>0</v>
      </c>
      <c r="T613" s="107">
        <v>0</v>
      </c>
      <c r="U613" s="107">
        <v>0</v>
      </c>
      <c r="V613" s="107">
        <v>0</v>
      </c>
      <c r="W613" s="107">
        <v>0</v>
      </c>
      <c r="X613" s="107">
        <v>0</v>
      </c>
      <c r="Y613" s="107">
        <v>0</v>
      </c>
      <c r="Z613" s="107">
        <f t="shared" si="676"/>
        <v>492078.29666666663</v>
      </c>
      <c r="AA613" s="150">
        <f>(X613+Y613+Z613)/13*2.2%</f>
        <v>832.74788666666677</v>
      </c>
      <c r="AB613" s="107"/>
      <c r="AC613" s="107">
        <f t="shared" si="674"/>
        <v>12327.64</v>
      </c>
      <c r="AD613" s="107">
        <f t="shared" si="648"/>
        <v>491050.99333333329</v>
      </c>
      <c r="AE613" s="107">
        <f t="shared" si="649"/>
        <v>490023.68999999994</v>
      </c>
      <c r="AF613" s="107">
        <f t="shared" si="650"/>
        <v>488996.3866666666</v>
      </c>
      <c r="AG613" s="107">
        <f t="shared" si="651"/>
        <v>487969.08333333326</v>
      </c>
      <c r="AH613" s="107">
        <f t="shared" si="652"/>
        <v>486941.77999999991</v>
      </c>
      <c r="AI613" s="107">
        <f t="shared" si="653"/>
        <v>485914.47666666657</v>
      </c>
      <c r="AJ613" s="107">
        <f t="shared" si="654"/>
        <v>484887.17333333322</v>
      </c>
      <c r="AK613" s="107">
        <f t="shared" si="655"/>
        <v>483859.86999999988</v>
      </c>
      <c r="AL613" s="107">
        <f t="shared" si="656"/>
        <v>482832.56666666653</v>
      </c>
      <c r="AM613" s="107">
        <f t="shared" si="657"/>
        <v>481805.26333333319</v>
      </c>
      <c r="AN613" s="107">
        <f t="shared" si="658"/>
        <v>480777.95999999985</v>
      </c>
      <c r="AO613" s="107">
        <f t="shared" si="659"/>
        <v>479750.6566666665</v>
      </c>
      <c r="AP613" s="150">
        <f>'[3]СВОД 2022-2024 год'!$AJ$739</f>
        <v>10825.722599999999</v>
      </c>
      <c r="AQ613" s="107"/>
      <c r="AR613" s="107">
        <f>M613*12</f>
        <v>12327.64</v>
      </c>
      <c r="AS613" s="107">
        <f t="shared" si="661"/>
        <v>478723.35333333316</v>
      </c>
      <c r="AT613" s="107">
        <f t="shared" si="662"/>
        <v>477696.04999999981</v>
      </c>
      <c r="AU613" s="107">
        <f t="shared" si="663"/>
        <v>476668.74666666647</v>
      </c>
      <c r="AV613" s="107">
        <f t="shared" si="664"/>
        <v>475641.44333333313</v>
      </c>
      <c r="AW613" s="107">
        <f t="shared" si="665"/>
        <v>474614.13999999978</v>
      </c>
      <c r="AX613" s="107">
        <f t="shared" si="666"/>
        <v>473586.83666666644</v>
      </c>
      <c r="AY613" s="107">
        <f t="shared" si="667"/>
        <v>472559.53333333309</v>
      </c>
      <c r="AZ613" s="107">
        <f t="shared" si="668"/>
        <v>471532.22999999975</v>
      </c>
      <c r="BA613" s="107">
        <f t="shared" si="669"/>
        <v>470504.9266666664</v>
      </c>
      <c r="BB613" s="107">
        <f t="shared" si="670"/>
        <v>469477.62333333306</v>
      </c>
      <c r="BC613" s="107">
        <f t="shared" si="671"/>
        <v>468450.31999999972</v>
      </c>
      <c r="BD613" s="107">
        <f t="shared" si="672"/>
        <v>467423.01666666637</v>
      </c>
      <c r="BE613" s="150">
        <f>'[3]СВОД 2022-2024 год'!$BD$739</f>
        <v>10825.722599999999</v>
      </c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27"/>
    </row>
    <row r="614" spans="1:75" ht="33.75" hidden="1" x14ac:dyDescent="0.2">
      <c r="A614" s="149" t="s">
        <v>96</v>
      </c>
      <c r="B614" s="124" t="s">
        <v>2514</v>
      </c>
      <c r="C614" s="124" t="str">
        <f>VLOOKUP(A:A,'2023-2027'!A:L,1,+FALSE)</f>
        <v>Кабельная линия 0,4кВ (ДТП №360 от 18.11.2021г, торговый центр ул.Ленина)</v>
      </c>
      <c r="D614" s="124" t="s">
        <v>41</v>
      </c>
      <c r="E614" s="124" t="s">
        <v>42</v>
      </c>
      <c r="F614" s="134">
        <v>44901</v>
      </c>
      <c r="G614" s="124" t="s">
        <v>44</v>
      </c>
      <c r="H614" s="139">
        <v>300</v>
      </c>
      <c r="I614" s="107">
        <v>508870.5</v>
      </c>
      <c r="J614" s="107"/>
      <c r="K614" s="107"/>
      <c r="L614" s="125">
        <v>1</v>
      </c>
      <c r="M614" s="148">
        <f t="shared" si="633"/>
        <v>1696.2349999999999</v>
      </c>
      <c r="N614" s="107">
        <v>0</v>
      </c>
      <c r="O614" s="107">
        <v>0</v>
      </c>
      <c r="P614" s="107">
        <v>0</v>
      </c>
      <c r="Q614" s="107">
        <v>0</v>
      </c>
      <c r="R614" s="107">
        <v>0</v>
      </c>
      <c r="S614" s="107">
        <v>0</v>
      </c>
      <c r="T614" s="107">
        <v>0</v>
      </c>
      <c r="U614" s="107">
        <v>0</v>
      </c>
      <c r="V614" s="107">
        <v>0</v>
      </c>
      <c r="W614" s="107">
        <v>0</v>
      </c>
      <c r="X614" s="107">
        <v>0</v>
      </c>
      <c r="Y614" s="107">
        <v>0</v>
      </c>
      <c r="Z614" s="107">
        <v>0</v>
      </c>
      <c r="AA614" s="150">
        <f>(X614+Y614+Z614)/13*2.2%</f>
        <v>0</v>
      </c>
      <c r="AB614" s="107"/>
      <c r="AC614" s="107">
        <f t="shared" si="674"/>
        <v>20354.82</v>
      </c>
      <c r="AD614" s="107">
        <f t="shared" ref="AD614:AD621" si="677">I614-M614</f>
        <v>507174.26500000001</v>
      </c>
      <c r="AE614" s="107">
        <f t="shared" si="649"/>
        <v>505478.03</v>
      </c>
      <c r="AF614" s="107">
        <f t="shared" si="650"/>
        <v>503781.79500000004</v>
      </c>
      <c r="AG614" s="107">
        <f t="shared" si="651"/>
        <v>502085.56000000006</v>
      </c>
      <c r="AH614" s="107">
        <f t="shared" si="652"/>
        <v>500389.32500000007</v>
      </c>
      <c r="AI614" s="107">
        <f t="shared" si="653"/>
        <v>498693.09000000008</v>
      </c>
      <c r="AJ614" s="107">
        <f t="shared" si="654"/>
        <v>496996.8550000001</v>
      </c>
      <c r="AK614" s="107">
        <f t="shared" si="655"/>
        <v>495300.62000000011</v>
      </c>
      <c r="AL614" s="107">
        <f t="shared" si="656"/>
        <v>493604.38500000013</v>
      </c>
      <c r="AM614" s="107">
        <f t="shared" si="657"/>
        <v>491908.15000000014</v>
      </c>
      <c r="AN614" s="107">
        <f t="shared" si="658"/>
        <v>490211.91500000015</v>
      </c>
      <c r="AO614" s="107">
        <f t="shared" si="659"/>
        <v>488515.68000000017</v>
      </c>
      <c r="AP614" s="150">
        <f>'[3]СВОД 2022-2024 год'!$AJ$637</f>
        <v>11195.151000000002</v>
      </c>
      <c r="AQ614" s="107"/>
      <c r="AR614" s="107">
        <v>20354.82</v>
      </c>
      <c r="AS614" s="107">
        <f t="shared" si="661"/>
        <v>486819.44500000018</v>
      </c>
      <c r="AT614" s="107">
        <f t="shared" si="662"/>
        <v>485123.2100000002</v>
      </c>
      <c r="AU614" s="107">
        <f t="shared" si="663"/>
        <v>483426.97500000021</v>
      </c>
      <c r="AV614" s="107">
        <f t="shared" si="664"/>
        <v>481730.74000000022</v>
      </c>
      <c r="AW614" s="107">
        <f t="shared" si="665"/>
        <v>480034.50500000024</v>
      </c>
      <c r="AX614" s="107">
        <f t="shared" si="666"/>
        <v>478338.27000000025</v>
      </c>
      <c r="AY614" s="107">
        <f t="shared" si="667"/>
        <v>476642.03500000027</v>
      </c>
      <c r="AZ614" s="107">
        <f t="shared" si="668"/>
        <v>474945.80000000028</v>
      </c>
      <c r="BA614" s="107">
        <f t="shared" si="669"/>
        <v>473249.56500000029</v>
      </c>
      <c r="BB614" s="107">
        <f t="shared" si="670"/>
        <v>471553.33000000031</v>
      </c>
      <c r="BC614" s="107">
        <f t="shared" si="671"/>
        <v>469857.09500000032</v>
      </c>
      <c r="BD614" s="107">
        <f t="shared" si="672"/>
        <v>468160.86000000034</v>
      </c>
      <c r="BE614" s="150">
        <f>'[3]СВОД 2022-2024 год'!$BD$637</f>
        <v>11195.151000000002</v>
      </c>
      <c r="BF614" s="127"/>
      <c r="BG614" s="127"/>
      <c r="BH614" s="127"/>
      <c r="BI614" s="127"/>
      <c r="BJ614" s="127"/>
      <c r="BK614" s="127"/>
      <c r="BL614" s="127"/>
      <c r="BM614" s="127"/>
      <c r="BN614" s="127"/>
      <c r="BO614" s="127"/>
      <c r="BP614" s="127"/>
      <c r="BQ614" s="127"/>
      <c r="BR614" s="127"/>
      <c r="BS614" s="127"/>
      <c r="BT614" s="127"/>
      <c r="BU614" s="127"/>
      <c r="BV614" s="127"/>
      <c r="BW614" s="127"/>
    </row>
    <row r="615" spans="1:75" ht="22.5" hidden="1" x14ac:dyDescent="0.2">
      <c r="A615" s="149" t="s">
        <v>97</v>
      </c>
      <c r="B615" s="124" t="s">
        <v>2515</v>
      </c>
      <c r="C615" s="124" t="str">
        <f>VLOOKUP(A:A,'2023-2027'!A:L,1,+FALSE)</f>
        <v>Омметр "Виток" с комбинированным питанием</v>
      </c>
      <c r="D615" s="124" t="s">
        <v>67</v>
      </c>
      <c r="E615" s="124" t="s">
        <v>23</v>
      </c>
      <c r="F615" s="134">
        <v>44917</v>
      </c>
      <c r="G615" s="124" t="s">
        <v>69</v>
      </c>
      <c r="H615" s="139">
        <v>120</v>
      </c>
      <c r="I615" s="107">
        <v>179000</v>
      </c>
      <c r="J615" s="107"/>
      <c r="K615" s="107"/>
      <c r="L615" s="125">
        <v>0</v>
      </c>
      <c r="M615" s="148">
        <f t="shared" si="633"/>
        <v>1491.6666666666667</v>
      </c>
      <c r="N615" s="107">
        <v>0</v>
      </c>
      <c r="O615" s="107">
        <v>0</v>
      </c>
      <c r="P615" s="107">
        <v>0</v>
      </c>
      <c r="Q615" s="107">
        <v>0</v>
      </c>
      <c r="R615" s="107">
        <v>0</v>
      </c>
      <c r="S615" s="107">
        <v>0</v>
      </c>
      <c r="T615" s="107">
        <v>0</v>
      </c>
      <c r="U615" s="107">
        <v>0</v>
      </c>
      <c r="V615" s="107">
        <v>0</v>
      </c>
      <c r="W615" s="107">
        <v>0</v>
      </c>
      <c r="X615" s="107">
        <v>0</v>
      </c>
      <c r="Y615" s="107">
        <v>0</v>
      </c>
      <c r="Z615" s="107">
        <v>0</v>
      </c>
      <c r="AA615" s="150"/>
      <c r="AB615" s="107"/>
      <c r="AC615" s="107">
        <f t="shared" si="674"/>
        <v>17900</v>
      </c>
      <c r="AD615" s="107">
        <f t="shared" si="677"/>
        <v>177508.33333333334</v>
      </c>
      <c r="AE615" s="107">
        <f t="shared" si="649"/>
        <v>176016.66666666669</v>
      </c>
      <c r="AF615" s="107">
        <f t="shared" si="650"/>
        <v>174525.00000000003</v>
      </c>
      <c r="AG615" s="107">
        <f t="shared" si="651"/>
        <v>173033.33333333337</v>
      </c>
      <c r="AH615" s="107">
        <f t="shared" si="652"/>
        <v>171541.66666666672</v>
      </c>
      <c r="AI615" s="107">
        <f t="shared" si="653"/>
        <v>170050.00000000006</v>
      </c>
      <c r="AJ615" s="107">
        <f t="shared" si="654"/>
        <v>168558.3333333334</v>
      </c>
      <c r="AK615" s="107">
        <f t="shared" si="655"/>
        <v>167066.66666666674</v>
      </c>
      <c r="AL615" s="107">
        <f t="shared" si="656"/>
        <v>165575.00000000009</v>
      </c>
      <c r="AM615" s="107">
        <f t="shared" si="657"/>
        <v>164083.33333333343</v>
      </c>
      <c r="AN615" s="107">
        <f t="shared" si="658"/>
        <v>162591.66666666677</v>
      </c>
      <c r="AO615" s="107">
        <f t="shared" si="659"/>
        <v>161100.00000000012</v>
      </c>
      <c r="AP615" s="150"/>
      <c r="AQ615" s="107"/>
      <c r="AR615" s="107">
        <v>17900</v>
      </c>
      <c r="AS615" s="107">
        <f t="shared" si="661"/>
        <v>159608.33333333346</v>
      </c>
      <c r="AT615" s="107">
        <f t="shared" si="662"/>
        <v>158116.6666666668</v>
      </c>
      <c r="AU615" s="107">
        <f t="shared" si="663"/>
        <v>156625.00000000015</v>
      </c>
      <c r="AV615" s="107">
        <f t="shared" si="664"/>
        <v>155133.33333333349</v>
      </c>
      <c r="AW615" s="107">
        <f t="shared" si="665"/>
        <v>153641.66666666683</v>
      </c>
      <c r="AX615" s="107">
        <f t="shared" si="666"/>
        <v>152150.00000000017</v>
      </c>
      <c r="AY615" s="107">
        <f t="shared" si="667"/>
        <v>150658.33333333352</v>
      </c>
      <c r="AZ615" s="107">
        <f t="shared" si="668"/>
        <v>149166.66666666686</v>
      </c>
      <c r="BA615" s="107">
        <f t="shared" si="669"/>
        <v>147675.0000000002</v>
      </c>
      <c r="BB615" s="107">
        <f t="shared" si="670"/>
        <v>146183.33333333355</v>
      </c>
      <c r="BC615" s="107">
        <f t="shared" si="671"/>
        <v>144691.66666666689</v>
      </c>
      <c r="BD615" s="107">
        <f t="shared" si="672"/>
        <v>143200.00000000023</v>
      </c>
      <c r="BE615" s="150"/>
      <c r="BF615" s="127"/>
      <c r="BG615" s="127"/>
      <c r="BH615" s="127"/>
      <c r="BI615" s="127"/>
      <c r="BJ615" s="127"/>
      <c r="BK615" s="127"/>
      <c r="BL615" s="127"/>
      <c r="BM615" s="127"/>
      <c r="BN615" s="127"/>
      <c r="BO615" s="127"/>
      <c r="BP615" s="127"/>
      <c r="BQ615" s="127"/>
      <c r="BR615" s="127"/>
      <c r="BS615" s="127"/>
      <c r="BT615" s="127"/>
      <c r="BU615" s="127"/>
      <c r="BV615" s="127"/>
      <c r="BW615" s="127"/>
    </row>
    <row r="616" spans="1:75" ht="45" hidden="1" x14ac:dyDescent="0.2">
      <c r="A616" s="149" t="s">
        <v>98</v>
      </c>
      <c r="B616" s="124" t="s">
        <v>2516</v>
      </c>
      <c r="C616" s="124" t="str">
        <f>VLOOKUP(A:A,'2023-2027'!A:L,1,+FALSE)</f>
        <v>Линии электропередач 0,4кВ (ДТП №885 от 21.02.2022г, Административное здание по ул.Первомайская)</v>
      </c>
      <c r="D616" s="124" t="s">
        <v>41</v>
      </c>
      <c r="E616" s="124" t="s">
        <v>42</v>
      </c>
      <c r="F616" s="134">
        <v>44924</v>
      </c>
      <c r="G616" s="124" t="s">
        <v>44</v>
      </c>
      <c r="H616" s="139">
        <v>480</v>
      </c>
      <c r="I616" s="107">
        <v>1075330.03</v>
      </c>
      <c r="J616" s="107"/>
      <c r="K616" s="107"/>
      <c r="L616" s="125">
        <v>1</v>
      </c>
      <c r="M616" s="148">
        <f t="shared" si="633"/>
        <v>2240.2708958333333</v>
      </c>
      <c r="N616" s="107">
        <v>0</v>
      </c>
      <c r="O616" s="107">
        <v>0</v>
      </c>
      <c r="P616" s="107">
        <v>0</v>
      </c>
      <c r="Q616" s="107">
        <v>0</v>
      </c>
      <c r="R616" s="107">
        <v>0</v>
      </c>
      <c r="S616" s="107">
        <v>0</v>
      </c>
      <c r="T616" s="107">
        <v>0</v>
      </c>
      <c r="U616" s="107">
        <v>0</v>
      </c>
      <c r="V616" s="107">
        <v>0</v>
      </c>
      <c r="W616" s="107">
        <v>0</v>
      </c>
      <c r="X616" s="107">
        <v>0</v>
      </c>
      <c r="Y616" s="107">
        <v>0</v>
      </c>
      <c r="Z616" s="107">
        <v>0</v>
      </c>
      <c r="AA616" s="150">
        <f>(X616+Y616+Z616)/13*2.2%</f>
        <v>0</v>
      </c>
      <c r="AB616" s="107"/>
      <c r="AC616" s="107">
        <f t="shared" si="674"/>
        <v>26883.250749999999</v>
      </c>
      <c r="AD616" s="107">
        <f t="shared" si="677"/>
        <v>1073089.7591041666</v>
      </c>
      <c r="AE616" s="107">
        <f t="shared" si="649"/>
        <v>1070849.4882083333</v>
      </c>
      <c r="AF616" s="107">
        <f t="shared" si="650"/>
        <v>1068609.2173124999</v>
      </c>
      <c r="AG616" s="107">
        <f t="shared" si="651"/>
        <v>1066368.9464166665</v>
      </c>
      <c r="AH616" s="107">
        <f t="shared" si="652"/>
        <v>1064128.6755208331</v>
      </c>
      <c r="AI616" s="107">
        <f t="shared" si="653"/>
        <v>1061888.4046249997</v>
      </c>
      <c r="AJ616" s="107">
        <f t="shared" si="654"/>
        <v>1059648.1337291664</v>
      </c>
      <c r="AK616" s="107">
        <f t="shared" si="655"/>
        <v>1057407.862833333</v>
      </c>
      <c r="AL616" s="107">
        <f t="shared" si="656"/>
        <v>1055167.5919374996</v>
      </c>
      <c r="AM616" s="107">
        <f t="shared" si="657"/>
        <v>1052927.3210416662</v>
      </c>
      <c r="AN616" s="107">
        <f t="shared" si="658"/>
        <v>1050687.0501458328</v>
      </c>
      <c r="AO616" s="107">
        <f t="shared" si="659"/>
        <v>1048446.7792499994</v>
      </c>
      <c r="AP616" s="150">
        <f>'[3]СВОД 2022-2024 год'!$AJ$738</f>
        <v>23657.260659999996</v>
      </c>
      <c r="AQ616" s="107"/>
      <c r="AR616" s="107">
        <v>26883.250749999999</v>
      </c>
      <c r="AS616" s="107">
        <f t="shared" si="661"/>
        <v>1046206.5083541661</v>
      </c>
      <c r="AT616" s="107">
        <f t="shared" si="662"/>
        <v>1043966.2374583327</v>
      </c>
      <c r="AU616" s="107">
        <f t="shared" si="663"/>
        <v>1041725.9665624993</v>
      </c>
      <c r="AV616" s="107">
        <f t="shared" si="664"/>
        <v>1039485.6956666659</v>
      </c>
      <c r="AW616" s="107">
        <f t="shared" si="665"/>
        <v>1037245.4247708325</v>
      </c>
      <c r="AX616" s="107">
        <f t="shared" si="666"/>
        <v>1035005.1538749991</v>
      </c>
      <c r="AY616" s="107">
        <f t="shared" si="667"/>
        <v>1032764.8829791658</v>
      </c>
      <c r="AZ616" s="107">
        <f t="shared" si="668"/>
        <v>1030524.6120833324</v>
      </c>
      <c r="BA616" s="107">
        <f t="shared" si="669"/>
        <v>1028284.341187499</v>
      </c>
      <c r="BB616" s="107">
        <f t="shared" si="670"/>
        <v>1026044.0702916656</v>
      </c>
      <c r="BC616" s="107">
        <f t="shared" si="671"/>
        <v>1023803.7993958322</v>
      </c>
      <c r="BD616" s="107">
        <f t="shared" si="672"/>
        <v>1021563.5284999989</v>
      </c>
      <c r="BE616" s="150">
        <f>'[3]СВОД 2022-2024 год'!$BD$738</f>
        <v>23657.260659999996</v>
      </c>
      <c r="BF616" s="127"/>
      <c r="BG616" s="127"/>
      <c r="BH616" s="127"/>
      <c r="BI616" s="127"/>
      <c r="BJ616" s="127"/>
      <c r="BK616" s="127"/>
      <c r="BL616" s="127"/>
      <c r="BM616" s="127"/>
      <c r="BN616" s="127"/>
      <c r="BO616" s="127"/>
      <c r="BP616" s="127"/>
      <c r="BQ616" s="127"/>
      <c r="BR616" s="127"/>
      <c r="BS616" s="127"/>
      <c r="BT616" s="127"/>
      <c r="BU616" s="127"/>
      <c r="BV616" s="127"/>
      <c r="BW616" s="127"/>
    </row>
    <row r="617" spans="1:75" ht="45" hidden="1" x14ac:dyDescent="0.2">
      <c r="A617" s="149" t="s">
        <v>99</v>
      </c>
      <c r="B617" s="124" t="s">
        <v>2517</v>
      </c>
      <c r="C617" s="124" t="str">
        <f>VLOOKUP(A:A,'2023-2027'!A:L,1,+FALSE)</f>
        <v>Трансформаторная подстанция ТП-56/1 с питающими кабельными линиями 6 кв в г. Нарьян-Маре ВЛЗ-6 Кв</v>
      </c>
      <c r="D617" s="124" t="s">
        <v>41</v>
      </c>
      <c r="E617" s="124" t="s">
        <v>42</v>
      </c>
      <c r="F617" s="134">
        <v>44925</v>
      </c>
      <c r="G617" s="124" t="s">
        <v>44</v>
      </c>
      <c r="H617" s="139">
        <v>480</v>
      </c>
      <c r="I617" s="107">
        <v>1751712.82</v>
      </c>
      <c r="J617" s="107"/>
      <c r="K617" s="107"/>
      <c r="L617" s="125">
        <v>1</v>
      </c>
      <c r="M617" s="148">
        <f t="shared" si="633"/>
        <v>3649.4017083333333</v>
      </c>
      <c r="N617" s="107">
        <v>0</v>
      </c>
      <c r="O617" s="107">
        <v>0</v>
      </c>
      <c r="P617" s="107">
        <v>0</v>
      </c>
      <c r="Q617" s="107">
        <v>0</v>
      </c>
      <c r="R617" s="107">
        <v>0</v>
      </c>
      <c r="S617" s="107">
        <v>0</v>
      </c>
      <c r="T617" s="107">
        <v>0</v>
      </c>
      <c r="U617" s="107">
        <v>0</v>
      </c>
      <c r="V617" s="107">
        <v>0</v>
      </c>
      <c r="W617" s="107">
        <v>0</v>
      </c>
      <c r="X617" s="107">
        <v>0</v>
      </c>
      <c r="Y617" s="107">
        <v>0</v>
      </c>
      <c r="Z617" s="107">
        <v>0</v>
      </c>
      <c r="AA617" s="150">
        <f>(X617+Y617+Z617)/13*2.2%</f>
        <v>0</v>
      </c>
      <c r="AB617" s="107"/>
      <c r="AC617" s="107">
        <f t="shared" si="674"/>
        <v>43792.820500000002</v>
      </c>
      <c r="AD617" s="107">
        <f t="shared" si="677"/>
        <v>1748063.4182916668</v>
      </c>
      <c r="AE617" s="107">
        <f t="shared" si="649"/>
        <v>1744414.0165833335</v>
      </c>
      <c r="AF617" s="107">
        <f t="shared" si="650"/>
        <v>1740764.6148750002</v>
      </c>
      <c r="AG617" s="107">
        <f t="shared" si="651"/>
        <v>1737115.2131666669</v>
      </c>
      <c r="AH617" s="107">
        <f t="shared" si="652"/>
        <v>1733465.8114583336</v>
      </c>
      <c r="AI617" s="107">
        <f t="shared" si="653"/>
        <v>1729816.4097500003</v>
      </c>
      <c r="AJ617" s="107">
        <f t="shared" si="654"/>
        <v>1726167.0080416671</v>
      </c>
      <c r="AK617" s="107">
        <f t="shared" si="655"/>
        <v>1722517.6063333338</v>
      </c>
      <c r="AL617" s="107">
        <f t="shared" si="656"/>
        <v>1718868.2046250005</v>
      </c>
      <c r="AM617" s="107">
        <f t="shared" si="657"/>
        <v>1715218.8029166672</v>
      </c>
      <c r="AN617" s="107">
        <f t="shared" si="658"/>
        <v>1711569.4012083339</v>
      </c>
      <c r="AO617" s="107">
        <f t="shared" si="659"/>
        <v>1707919.9995000006</v>
      </c>
      <c r="AP617" s="150">
        <f>'[3]СВОД 2022-2024 год'!$AJ$600</f>
        <v>38537.682040000007</v>
      </c>
      <c r="AQ617" s="107"/>
      <c r="AR617" s="107">
        <v>43792.820500000002</v>
      </c>
      <c r="AS617" s="107">
        <f t="shared" si="661"/>
        <v>1704270.5977916673</v>
      </c>
      <c r="AT617" s="107">
        <f t="shared" si="662"/>
        <v>1700621.196083334</v>
      </c>
      <c r="AU617" s="107">
        <f t="shared" si="663"/>
        <v>1696971.7943750008</v>
      </c>
      <c r="AV617" s="107">
        <f t="shared" si="664"/>
        <v>1693322.3926666675</v>
      </c>
      <c r="AW617" s="107">
        <f t="shared" si="665"/>
        <v>1689672.9909583342</v>
      </c>
      <c r="AX617" s="107">
        <f t="shared" si="666"/>
        <v>1686023.5892500009</v>
      </c>
      <c r="AY617" s="107">
        <f t="shared" si="667"/>
        <v>1682374.1875416676</v>
      </c>
      <c r="AZ617" s="107">
        <f t="shared" si="668"/>
        <v>1678724.7858333343</v>
      </c>
      <c r="BA617" s="107">
        <f t="shared" si="669"/>
        <v>1675075.384125001</v>
      </c>
      <c r="BB617" s="107">
        <f t="shared" si="670"/>
        <v>1671425.9824166677</v>
      </c>
      <c r="BC617" s="107">
        <f t="shared" si="671"/>
        <v>1667776.5807083345</v>
      </c>
      <c r="BD617" s="107">
        <f t="shared" si="672"/>
        <v>1664127.1790000012</v>
      </c>
      <c r="BE617" s="150">
        <f>'[3]СВОД 2022-2024 год'!$BD$600</f>
        <v>38537.682040000007</v>
      </c>
      <c r="BF617" s="127"/>
      <c r="BG617" s="127"/>
      <c r="BH617" s="127"/>
      <c r="BI617" s="127"/>
      <c r="BJ617" s="127"/>
      <c r="BK617" s="127"/>
      <c r="BL617" s="127"/>
      <c r="BM617" s="127"/>
      <c r="BN617" s="127"/>
      <c r="BO617" s="127"/>
      <c r="BP617" s="127"/>
      <c r="BQ617" s="127"/>
      <c r="BR617" s="127"/>
      <c r="BS617" s="127"/>
      <c r="BT617" s="127"/>
      <c r="BU617" s="127"/>
      <c r="BV617" s="127"/>
      <c r="BW617" s="127"/>
    </row>
    <row r="618" spans="1:75" ht="45" hidden="1" x14ac:dyDescent="0.2">
      <c r="A618" s="149" t="s">
        <v>100</v>
      </c>
      <c r="B618" s="124" t="s">
        <v>2518</v>
      </c>
      <c r="C618" s="124" t="str">
        <f>VLOOKUP(A:A,'2023-2027'!A:L,1,+FALSE)</f>
        <v>Трансформаторная подстанция ТП-56/1 с питающими кабельными линиями 6 кв в г. Нарьян-Маре КЛ-6 кВ</v>
      </c>
      <c r="D618" s="124" t="s">
        <v>41</v>
      </c>
      <c r="E618" s="124" t="s">
        <v>42</v>
      </c>
      <c r="F618" s="134">
        <v>44925</v>
      </c>
      <c r="G618" s="124" t="s">
        <v>44</v>
      </c>
      <c r="H618" s="139">
        <v>300</v>
      </c>
      <c r="I618" s="107">
        <v>4014230.74</v>
      </c>
      <c r="J618" s="107"/>
      <c r="K618" s="107"/>
      <c r="L618" s="125">
        <v>1</v>
      </c>
      <c r="M618" s="148">
        <f t="shared" si="633"/>
        <v>13380.769133333333</v>
      </c>
      <c r="N618" s="107">
        <v>0</v>
      </c>
      <c r="O618" s="107">
        <v>0</v>
      </c>
      <c r="P618" s="107">
        <v>0</v>
      </c>
      <c r="Q618" s="107">
        <v>0</v>
      </c>
      <c r="R618" s="107">
        <v>0</v>
      </c>
      <c r="S618" s="107">
        <v>0</v>
      </c>
      <c r="T618" s="107">
        <v>0</v>
      </c>
      <c r="U618" s="107">
        <v>0</v>
      </c>
      <c r="V618" s="107">
        <v>0</v>
      </c>
      <c r="W618" s="107">
        <v>0</v>
      </c>
      <c r="X618" s="107">
        <v>0</v>
      </c>
      <c r="Y618" s="107">
        <v>0</v>
      </c>
      <c r="Z618" s="107">
        <v>0</v>
      </c>
      <c r="AA618" s="150">
        <f>(X618+Y618+Z618)/13*2.2%</f>
        <v>0</v>
      </c>
      <c r="AB618" s="107"/>
      <c r="AC618" s="107">
        <f t="shared" si="674"/>
        <v>160569.22959999999</v>
      </c>
      <c r="AD618" s="107">
        <f t="shared" si="677"/>
        <v>4000849.9708666671</v>
      </c>
      <c r="AE618" s="107">
        <f t="shared" si="649"/>
        <v>3987469.201733334</v>
      </c>
      <c r="AF618" s="107">
        <f t="shared" si="650"/>
        <v>3974088.4326000009</v>
      </c>
      <c r="AG618" s="107">
        <f t="shared" si="651"/>
        <v>3960707.6634666678</v>
      </c>
      <c r="AH618" s="107">
        <f t="shared" si="652"/>
        <v>3947326.8943333346</v>
      </c>
      <c r="AI618" s="107">
        <f t="shared" si="653"/>
        <v>3933946.1252000015</v>
      </c>
      <c r="AJ618" s="107">
        <f t="shared" si="654"/>
        <v>3920565.3560666684</v>
      </c>
      <c r="AK618" s="107">
        <f t="shared" si="655"/>
        <v>3907184.5869333353</v>
      </c>
      <c r="AL618" s="107">
        <f t="shared" si="656"/>
        <v>3893803.8178000022</v>
      </c>
      <c r="AM618" s="107">
        <f t="shared" si="657"/>
        <v>3880423.0486666691</v>
      </c>
      <c r="AN618" s="107">
        <f t="shared" si="658"/>
        <v>3867042.2795333359</v>
      </c>
      <c r="AO618" s="107">
        <f t="shared" si="659"/>
        <v>3853661.5104000028</v>
      </c>
      <c r="AP618" s="150">
        <f>'[3]СВОД 2022-2024 год'!$AJ$708</f>
        <v>88313.076280000038</v>
      </c>
      <c r="AQ618" s="107"/>
      <c r="AR618" s="107">
        <v>160569.22959999999</v>
      </c>
      <c r="AS618" s="107">
        <f t="shared" si="661"/>
        <v>3840280.7412666697</v>
      </c>
      <c r="AT618" s="107">
        <f t="shared" si="662"/>
        <v>3826899.9721333366</v>
      </c>
      <c r="AU618" s="107">
        <f t="shared" si="663"/>
        <v>3813519.2030000035</v>
      </c>
      <c r="AV618" s="107">
        <f t="shared" si="664"/>
        <v>3800138.4338666704</v>
      </c>
      <c r="AW618" s="107">
        <f t="shared" si="665"/>
        <v>3786757.6647333372</v>
      </c>
      <c r="AX618" s="107">
        <f t="shared" si="666"/>
        <v>3773376.8956000041</v>
      </c>
      <c r="AY618" s="107">
        <f t="shared" si="667"/>
        <v>3759996.126466671</v>
      </c>
      <c r="AZ618" s="107">
        <f t="shared" si="668"/>
        <v>3746615.3573333379</v>
      </c>
      <c r="BA618" s="107">
        <f t="shared" si="669"/>
        <v>3733234.5882000048</v>
      </c>
      <c r="BB618" s="107">
        <f t="shared" si="670"/>
        <v>3719853.8190666717</v>
      </c>
      <c r="BC618" s="107">
        <f t="shared" si="671"/>
        <v>3706473.0499333385</v>
      </c>
      <c r="BD618" s="107">
        <f t="shared" si="672"/>
        <v>3693092.2808000054</v>
      </c>
      <c r="BE618" s="150">
        <f>'[3]СВОД 2022-2024 год'!$BD$708</f>
        <v>88313.076280000038</v>
      </c>
      <c r="BF618" s="127"/>
      <c r="BG618" s="127"/>
      <c r="BH618" s="127"/>
      <c r="BI618" s="127"/>
      <c r="BJ618" s="127"/>
      <c r="BK618" s="127"/>
      <c r="BL618" s="127"/>
      <c r="BM618" s="127"/>
      <c r="BN618" s="127"/>
      <c r="BO618" s="127"/>
      <c r="BP618" s="127"/>
      <c r="BQ618" s="127"/>
      <c r="BR618" s="127"/>
      <c r="BS618" s="127"/>
      <c r="BT618" s="127"/>
      <c r="BU618" s="127"/>
      <c r="BV618" s="127"/>
      <c r="BW618" s="127"/>
    </row>
    <row r="619" spans="1:75" ht="45" hidden="1" x14ac:dyDescent="0.2">
      <c r="A619" s="149" t="s">
        <v>101</v>
      </c>
      <c r="B619" s="124" t="s">
        <v>2519</v>
      </c>
      <c r="C619" s="124" t="str">
        <f>VLOOKUP(A:A,'2023-2027'!A:L,1,+FALSE)</f>
        <v>Трансформаторная подстанция ТП-56/1 с питающими кабельными линиями 6 кв в г. Нарьян-Маре ВЛИ-0,4 кВ</v>
      </c>
      <c r="D619" s="124" t="s">
        <v>41</v>
      </c>
      <c r="E619" s="124" t="s">
        <v>42</v>
      </c>
      <c r="F619" s="134">
        <v>44925</v>
      </c>
      <c r="G619" s="124" t="s">
        <v>44</v>
      </c>
      <c r="H619" s="139">
        <v>480</v>
      </c>
      <c r="I619" s="107">
        <v>686511.38</v>
      </c>
      <c r="J619" s="107"/>
      <c r="K619" s="107"/>
      <c r="L619" s="125">
        <v>1</v>
      </c>
      <c r="M619" s="148">
        <f t="shared" si="633"/>
        <v>1430.2320416666666</v>
      </c>
      <c r="N619" s="107">
        <v>0</v>
      </c>
      <c r="O619" s="107">
        <v>0</v>
      </c>
      <c r="P619" s="107">
        <v>0</v>
      </c>
      <c r="Q619" s="107">
        <v>0</v>
      </c>
      <c r="R619" s="107">
        <v>0</v>
      </c>
      <c r="S619" s="107">
        <v>0</v>
      </c>
      <c r="T619" s="107">
        <v>0</v>
      </c>
      <c r="U619" s="107">
        <v>0</v>
      </c>
      <c r="V619" s="107">
        <v>0</v>
      </c>
      <c r="W619" s="107">
        <v>0</v>
      </c>
      <c r="X619" s="107">
        <v>0</v>
      </c>
      <c r="Y619" s="107">
        <v>0</v>
      </c>
      <c r="Z619" s="107">
        <v>0</v>
      </c>
      <c r="AA619" s="150">
        <f>(X619+Y619+Z619)/13*2.2%</f>
        <v>0</v>
      </c>
      <c r="AB619" s="107"/>
      <c r="AC619" s="107">
        <f t="shared" si="674"/>
        <v>17162.784500000002</v>
      </c>
      <c r="AD619" s="107">
        <f t="shared" si="677"/>
        <v>685081.14795833337</v>
      </c>
      <c r="AE619" s="107">
        <f t="shared" si="649"/>
        <v>683650.91591666674</v>
      </c>
      <c r="AF619" s="107">
        <f t="shared" si="650"/>
        <v>682220.6838750001</v>
      </c>
      <c r="AG619" s="107">
        <f t="shared" si="651"/>
        <v>680790.45183333347</v>
      </c>
      <c r="AH619" s="107">
        <f t="shared" si="652"/>
        <v>679360.21979166684</v>
      </c>
      <c r="AI619" s="107">
        <f t="shared" si="653"/>
        <v>677929.9877500002</v>
      </c>
      <c r="AJ619" s="107">
        <f t="shared" si="654"/>
        <v>676499.75570833357</v>
      </c>
      <c r="AK619" s="107">
        <f t="shared" si="655"/>
        <v>675069.52366666694</v>
      </c>
      <c r="AL619" s="107">
        <f t="shared" si="656"/>
        <v>673639.2916250003</v>
      </c>
      <c r="AM619" s="107">
        <f t="shared" si="657"/>
        <v>672209.05958333367</v>
      </c>
      <c r="AN619" s="107">
        <f t="shared" si="658"/>
        <v>670778.82754166704</v>
      </c>
      <c r="AO619" s="107">
        <f t="shared" si="659"/>
        <v>669348.5955000004</v>
      </c>
      <c r="AP619" s="150">
        <f>'[3]СВОД 2022-2024 год'!$AJ$601</f>
        <v>15103.250360000002</v>
      </c>
      <c r="AQ619" s="107"/>
      <c r="AR619" s="107">
        <v>17162.784500000002</v>
      </c>
      <c r="AS619" s="107">
        <f t="shared" si="661"/>
        <v>667918.36345833377</v>
      </c>
      <c r="AT619" s="107">
        <f t="shared" si="662"/>
        <v>666488.13141666714</v>
      </c>
      <c r="AU619" s="107">
        <f t="shared" si="663"/>
        <v>665057.8993750005</v>
      </c>
      <c r="AV619" s="107">
        <f t="shared" si="664"/>
        <v>663627.66733333387</v>
      </c>
      <c r="AW619" s="107">
        <f t="shared" si="665"/>
        <v>662197.43529166724</v>
      </c>
      <c r="AX619" s="107">
        <f t="shared" si="666"/>
        <v>660767.2032500006</v>
      </c>
      <c r="AY619" s="107">
        <f t="shared" si="667"/>
        <v>659336.97120833397</v>
      </c>
      <c r="AZ619" s="107">
        <f t="shared" si="668"/>
        <v>657906.73916666734</v>
      </c>
      <c r="BA619" s="107">
        <f t="shared" si="669"/>
        <v>656476.5071250007</v>
      </c>
      <c r="BB619" s="107">
        <f t="shared" si="670"/>
        <v>655046.27508333407</v>
      </c>
      <c r="BC619" s="107">
        <f t="shared" si="671"/>
        <v>653616.04304166744</v>
      </c>
      <c r="BD619" s="107">
        <f t="shared" si="672"/>
        <v>652185.8110000008</v>
      </c>
      <c r="BE619" s="150">
        <f>'[3]СВОД 2022-2024 год'!$BD$601</f>
        <v>15103.250360000002</v>
      </c>
      <c r="BF619" s="127"/>
      <c r="BG619" s="127"/>
      <c r="BH619" s="127"/>
      <c r="BI619" s="127"/>
      <c r="BJ619" s="127"/>
      <c r="BK619" s="127"/>
      <c r="BL619" s="127"/>
      <c r="BM619" s="127"/>
      <c r="BN619" s="127"/>
      <c r="BO619" s="127"/>
      <c r="BP619" s="127"/>
      <c r="BQ619" s="127"/>
      <c r="BR619" s="127"/>
      <c r="BS619" s="127"/>
      <c r="BT619" s="127"/>
      <c r="BU619" s="127"/>
      <c r="BV619" s="127"/>
      <c r="BW619" s="127"/>
    </row>
    <row r="620" spans="1:75" ht="24" hidden="1" customHeight="1" x14ac:dyDescent="0.2">
      <c r="A620" s="149" t="s">
        <v>102</v>
      </c>
      <c r="B620" s="124" t="s">
        <v>2520</v>
      </c>
      <c r="C620" s="124" t="str">
        <f>VLOOKUP(A:A,'2023-2027'!A:L,1,+FALSE)</f>
        <v>Трансформаторная подстанция ТП-56/1 с питающими кабельными линиями 6 кв в г. Нарьян-Маре</v>
      </c>
      <c r="D620" s="124" t="s">
        <v>41</v>
      </c>
      <c r="E620" s="124" t="s">
        <v>125</v>
      </c>
      <c r="F620" s="134">
        <v>44925</v>
      </c>
      <c r="G620" s="124" t="s">
        <v>44</v>
      </c>
      <c r="H620" s="139">
        <v>360</v>
      </c>
      <c r="I620" s="107">
        <v>5457462.4800000004</v>
      </c>
      <c r="J620" s="107"/>
      <c r="K620" s="107"/>
      <c r="L620" s="125">
        <v>1</v>
      </c>
      <c r="M620" s="148">
        <f t="shared" si="633"/>
        <v>15159.618</v>
      </c>
      <c r="N620" s="107">
        <v>0</v>
      </c>
      <c r="O620" s="107">
        <v>0</v>
      </c>
      <c r="P620" s="107">
        <v>0</v>
      </c>
      <c r="Q620" s="107">
        <v>0</v>
      </c>
      <c r="R620" s="107">
        <v>0</v>
      </c>
      <c r="S620" s="107">
        <v>0</v>
      </c>
      <c r="T620" s="107">
        <v>0</v>
      </c>
      <c r="U620" s="107">
        <v>0</v>
      </c>
      <c r="V620" s="107">
        <v>0</v>
      </c>
      <c r="W620" s="107">
        <v>0</v>
      </c>
      <c r="X620" s="107">
        <v>0</v>
      </c>
      <c r="Y620" s="107">
        <v>0</v>
      </c>
      <c r="Z620" s="107">
        <v>0</v>
      </c>
      <c r="AA620" s="150">
        <f>(X620+Y620+Z620)/13*2.2%</f>
        <v>0</v>
      </c>
      <c r="AB620" s="107"/>
      <c r="AC620" s="107">
        <f t="shared" si="674"/>
        <v>181915.416</v>
      </c>
      <c r="AD620" s="107">
        <f t="shared" si="677"/>
        <v>5442302.8620000007</v>
      </c>
      <c r="AE620" s="107">
        <f t="shared" si="649"/>
        <v>5427143.2440000009</v>
      </c>
      <c r="AF620" s="107">
        <f t="shared" si="650"/>
        <v>5411983.6260000011</v>
      </c>
      <c r="AG620" s="107">
        <f t="shared" si="651"/>
        <v>5396824.0080000013</v>
      </c>
      <c r="AH620" s="107">
        <f t="shared" si="652"/>
        <v>5381664.3900000015</v>
      </c>
      <c r="AI620" s="107">
        <f t="shared" si="653"/>
        <v>5366504.7720000017</v>
      </c>
      <c r="AJ620" s="107">
        <f t="shared" si="654"/>
        <v>5351345.154000002</v>
      </c>
      <c r="AK620" s="107">
        <f t="shared" si="655"/>
        <v>5336185.5360000022</v>
      </c>
      <c r="AL620" s="107">
        <f t="shared" si="656"/>
        <v>5321025.9180000024</v>
      </c>
      <c r="AM620" s="107">
        <f t="shared" si="657"/>
        <v>5305866.3000000026</v>
      </c>
      <c r="AN620" s="107">
        <f t="shared" si="658"/>
        <v>5290706.6820000028</v>
      </c>
      <c r="AO620" s="107">
        <f t="shared" si="659"/>
        <v>5275547.064000003</v>
      </c>
      <c r="AP620" s="150">
        <f>'[3]СВОД 2022-2024 год'!$AJ$961</f>
        <v>120064.17456000006</v>
      </c>
      <c r="AQ620" s="107"/>
      <c r="AR620" s="107">
        <v>181915.416</v>
      </c>
      <c r="AS620" s="107">
        <f t="shared" si="661"/>
        <v>5260387.4460000033</v>
      </c>
      <c r="AT620" s="107">
        <f t="shared" si="662"/>
        <v>5245227.8280000035</v>
      </c>
      <c r="AU620" s="107">
        <f t="shared" si="663"/>
        <v>5230068.2100000037</v>
      </c>
      <c r="AV620" s="107">
        <f t="shared" si="664"/>
        <v>5214908.5920000039</v>
      </c>
      <c r="AW620" s="107">
        <f t="shared" si="665"/>
        <v>5199748.9740000041</v>
      </c>
      <c r="AX620" s="107">
        <f t="shared" si="666"/>
        <v>5184589.3560000043</v>
      </c>
      <c r="AY620" s="107">
        <f t="shared" si="667"/>
        <v>5169429.7380000046</v>
      </c>
      <c r="AZ620" s="107">
        <f t="shared" si="668"/>
        <v>5154270.1200000048</v>
      </c>
      <c r="BA620" s="107">
        <f t="shared" si="669"/>
        <v>5139110.502000005</v>
      </c>
      <c r="BB620" s="107">
        <f t="shared" si="670"/>
        <v>5123950.8840000052</v>
      </c>
      <c r="BC620" s="107">
        <f t="shared" si="671"/>
        <v>5108791.2660000054</v>
      </c>
      <c r="BD620" s="107">
        <f t="shared" si="672"/>
        <v>5093631.6480000056</v>
      </c>
      <c r="BE620" s="150">
        <f>'[3]СВОД 2022-2024 год'!$BD$961</f>
        <v>120064.17456000006</v>
      </c>
      <c r="BF620" s="127"/>
      <c r="BH620" s="127"/>
      <c r="BI620" s="127"/>
      <c r="BJ620" s="127"/>
      <c r="BK620" s="127"/>
      <c r="BL620" s="127"/>
      <c r="BM620" s="127"/>
      <c r="BN620" s="127"/>
      <c r="BO620" s="127"/>
      <c r="BP620" s="127"/>
      <c r="BQ620" s="127"/>
      <c r="BR620" s="127"/>
      <c r="BS620" s="127"/>
      <c r="BT620" s="127"/>
      <c r="BU620" s="127"/>
      <c r="BW620" s="127"/>
    </row>
    <row r="621" spans="1:75" ht="22.5" hidden="1" x14ac:dyDescent="0.2">
      <c r="A621" s="149" t="s">
        <v>103</v>
      </c>
      <c r="B621" s="124" t="s">
        <v>2521</v>
      </c>
      <c r="C621" s="124" t="str">
        <f>VLOOKUP(A:A,'2023-2027'!A:L,1,+FALSE)</f>
        <v>Модернизация ТП-43 "Водозабор ХНГРЭ" ул. Титова у д.6А</v>
      </c>
      <c r="D621" s="124" t="s">
        <v>41</v>
      </c>
      <c r="E621" s="124" t="s">
        <v>23</v>
      </c>
      <c r="F621" s="134">
        <v>44925</v>
      </c>
      <c r="G621" s="124" t="s">
        <v>44</v>
      </c>
      <c r="H621" s="139">
        <v>300</v>
      </c>
      <c r="I621" s="107">
        <v>3974449.89</v>
      </c>
      <c r="J621" s="107"/>
      <c r="K621" s="107"/>
      <c r="L621" s="125">
        <v>0</v>
      </c>
      <c r="M621" s="148">
        <f t="shared" si="633"/>
        <v>13248.166300000001</v>
      </c>
      <c r="N621" s="107">
        <v>0</v>
      </c>
      <c r="O621" s="107">
        <v>0</v>
      </c>
      <c r="P621" s="107">
        <v>0</v>
      </c>
      <c r="Q621" s="107">
        <v>0</v>
      </c>
      <c r="R621" s="107">
        <v>0</v>
      </c>
      <c r="S621" s="107">
        <v>0</v>
      </c>
      <c r="T621" s="107">
        <v>0</v>
      </c>
      <c r="U621" s="107">
        <v>0</v>
      </c>
      <c r="V621" s="107">
        <v>0</v>
      </c>
      <c r="W621" s="107">
        <v>0</v>
      </c>
      <c r="X621" s="107">
        <v>0</v>
      </c>
      <c r="Y621" s="107">
        <v>0</v>
      </c>
      <c r="Z621" s="107">
        <v>0</v>
      </c>
      <c r="AA621" s="150"/>
      <c r="AB621" s="107"/>
      <c r="AC621" s="107">
        <f t="shared" si="674"/>
        <v>158977.99560000002</v>
      </c>
      <c r="AD621" s="107">
        <f t="shared" si="677"/>
        <v>3961201.7237</v>
      </c>
      <c r="AE621" s="107">
        <f t="shared" si="649"/>
        <v>3947953.5573999998</v>
      </c>
      <c r="AF621" s="107">
        <f t="shared" si="650"/>
        <v>3934705.3910999997</v>
      </c>
      <c r="AG621" s="107">
        <f t="shared" si="651"/>
        <v>3921457.2247999995</v>
      </c>
      <c r="AH621" s="107">
        <f t="shared" si="652"/>
        <v>3908209.0584999993</v>
      </c>
      <c r="AI621" s="107">
        <f t="shared" si="653"/>
        <v>3894960.8921999992</v>
      </c>
      <c r="AJ621" s="107">
        <f t="shared" si="654"/>
        <v>3881712.725899999</v>
      </c>
      <c r="AK621" s="107">
        <f t="shared" si="655"/>
        <v>3868464.5595999989</v>
      </c>
      <c r="AL621" s="107">
        <f t="shared" si="656"/>
        <v>3855216.3932999987</v>
      </c>
      <c r="AM621" s="107">
        <f t="shared" si="657"/>
        <v>3841968.2269999986</v>
      </c>
      <c r="AN621" s="107">
        <f t="shared" si="658"/>
        <v>3828720.0606999984</v>
      </c>
      <c r="AO621" s="107">
        <f t="shared" si="659"/>
        <v>3815471.8943999982</v>
      </c>
      <c r="AP621" s="150"/>
      <c r="AQ621" s="107"/>
      <c r="AR621" s="107">
        <v>158977.99560000002</v>
      </c>
      <c r="AS621" s="107">
        <f t="shared" si="661"/>
        <v>3802223.7280999981</v>
      </c>
      <c r="AT621" s="107">
        <f t="shared" si="662"/>
        <v>3788975.5617999979</v>
      </c>
      <c r="AU621" s="107">
        <f t="shared" si="663"/>
        <v>3775727.3954999978</v>
      </c>
      <c r="AV621" s="107">
        <f t="shared" si="664"/>
        <v>3762479.2291999976</v>
      </c>
      <c r="AW621" s="107">
        <f t="shared" si="665"/>
        <v>3749231.0628999975</v>
      </c>
      <c r="AX621" s="107">
        <f t="shared" si="666"/>
        <v>3735982.8965999973</v>
      </c>
      <c r="AY621" s="107">
        <f t="shared" si="667"/>
        <v>3722734.7302999971</v>
      </c>
      <c r="AZ621" s="107">
        <f t="shared" si="668"/>
        <v>3709486.563999997</v>
      </c>
      <c r="BA621" s="107">
        <f t="shared" si="669"/>
        <v>3696238.3976999968</v>
      </c>
      <c r="BB621" s="107">
        <f t="shared" si="670"/>
        <v>3682990.2313999967</v>
      </c>
      <c r="BC621" s="107">
        <f t="shared" si="671"/>
        <v>3669742.0650999965</v>
      </c>
      <c r="BD621" s="107">
        <f t="shared" si="672"/>
        <v>3656493.8987999964</v>
      </c>
      <c r="BE621" s="150"/>
      <c r="BG621" s="127"/>
      <c r="BI621" s="127"/>
      <c r="BV621" s="127"/>
    </row>
    <row r="622" spans="1:75" hidden="1" x14ac:dyDescent="0.2">
      <c r="A622" s="149" t="s">
        <v>104</v>
      </c>
      <c r="B622" s="124" t="s">
        <v>2522</v>
      </c>
      <c r="C622" s="124" t="str">
        <f>VLOOKUP(A:A,'2023-2027'!A:L,1,+FALSE)</f>
        <v>Мегаомметр ПСИ-2530</v>
      </c>
      <c r="D622" s="124" t="s">
        <v>67</v>
      </c>
      <c r="E622" s="124" t="s">
        <v>23</v>
      </c>
      <c r="F622" s="134">
        <v>44944</v>
      </c>
      <c r="G622" s="124" t="s">
        <v>69</v>
      </c>
      <c r="H622" s="139">
        <v>120</v>
      </c>
      <c r="I622" s="107">
        <v>47483.33</v>
      </c>
      <c r="J622" s="124"/>
      <c r="K622" s="124"/>
      <c r="L622" s="125">
        <v>0</v>
      </c>
      <c r="M622" s="148">
        <f t="shared" si="633"/>
        <v>395.69441666666665</v>
      </c>
      <c r="N622" s="107">
        <v>0</v>
      </c>
      <c r="O622" s="107">
        <v>0</v>
      </c>
      <c r="P622" s="107">
        <v>0</v>
      </c>
      <c r="Q622" s="107">
        <v>0</v>
      </c>
      <c r="R622" s="107">
        <v>0</v>
      </c>
      <c r="S622" s="107">
        <v>0</v>
      </c>
      <c r="T622" s="107">
        <v>0</v>
      </c>
      <c r="U622" s="107">
        <v>0</v>
      </c>
      <c r="V622" s="107">
        <v>0</v>
      </c>
      <c r="W622" s="107">
        <v>0</v>
      </c>
      <c r="X622" s="107">
        <v>0</v>
      </c>
      <c r="Y622" s="107">
        <v>0</v>
      </c>
      <c r="Z622" s="107">
        <v>0</v>
      </c>
      <c r="AA622" s="139"/>
      <c r="AB622" s="124"/>
      <c r="AC622" s="107">
        <f>M622*11</f>
        <v>4352.6385833333334</v>
      </c>
      <c r="AD622" s="107">
        <v>0</v>
      </c>
      <c r="AE622" s="107">
        <f>I622-M622</f>
        <v>47087.635583333336</v>
      </c>
      <c r="AF622" s="107">
        <f t="shared" si="650"/>
        <v>46691.941166666671</v>
      </c>
      <c r="AG622" s="107">
        <f t="shared" si="651"/>
        <v>46296.246750000006</v>
      </c>
      <c r="AH622" s="107">
        <f t="shared" si="652"/>
        <v>45900.55233333334</v>
      </c>
      <c r="AI622" s="107">
        <f t="shared" si="653"/>
        <v>45504.857916666675</v>
      </c>
      <c r="AJ622" s="107">
        <f t="shared" si="654"/>
        <v>45109.16350000001</v>
      </c>
      <c r="AK622" s="107">
        <f t="shared" si="655"/>
        <v>44713.469083333344</v>
      </c>
      <c r="AL622" s="107">
        <f t="shared" si="656"/>
        <v>44317.774666666679</v>
      </c>
      <c r="AM622" s="107">
        <f t="shared" si="657"/>
        <v>43922.080250000014</v>
      </c>
      <c r="AN622" s="107">
        <f t="shared" si="658"/>
        <v>43526.385833333348</v>
      </c>
      <c r="AO622" s="107">
        <f t="shared" si="659"/>
        <v>43130.691416666683</v>
      </c>
      <c r="AP622" s="139"/>
      <c r="AQ622" s="124"/>
      <c r="AR622" s="107">
        <v>4352.6385833333334</v>
      </c>
      <c r="AS622" s="107">
        <f t="shared" si="661"/>
        <v>42734.997000000018</v>
      </c>
      <c r="AT622" s="107">
        <f t="shared" si="662"/>
        <v>42339.302583333352</v>
      </c>
      <c r="AU622" s="107">
        <f t="shared" si="663"/>
        <v>41943.608166666687</v>
      </c>
      <c r="AV622" s="107">
        <f t="shared" si="664"/>
        <v>41547.913750000022</v>
      </c>
      <c r="AW622" s="107">
        <f t="shared" si="665"/>
        <v>41152.219333333356</v>
      </c>
      <c r="AX622" s="107">
        <f t="shared" si="666"/>
        <v>40756.524916666691</v>
      </c>
      <c r="AY622" s="107">
        <f t="shared" si="667"/>
        <v>40360.830500000025</v>
      </c>
      <c r="AZ622" s="107">
        <f t="shared" si="668"/>
        <v>39965.13608333336</v>
      </c>
      <c r="BA622" s="107">
        <f t="shared" si="669"/>
        <v>39569.441666666695</v>
      </c>
      <c r="BB622" s="107">
        <f t="shared" si="670"/>
        <v>39173.747250000029</v>
      </c>
      <c r="BC622" s="107">
        <f t="shared" si="671"/>
        <v>38778.052833333364</v>
      </c>
      <c r="BD622" s="107">
        <f t="shared" si="672"/>
        <v>38382.358416666699</v>
      </c>
      <c r="BE622" s="139"/>
    </row>
    <row r="623" spans="1:75" ht="33.75" hidden="1" x14ac:dyDescent="0.2">
      <c r="A623" s="149" t="s">
        <v>105</v>
      </c>
      <c r="B623" s="124" t="s">
        <v>2523</v>
      </c>
      <c r="C623" s="124" t="str">
        <f>VLOOKUP(A:A,'2023-2027'!A:L,1,+FALSE)</f>
        <v>Воздушная линия 0,4 кВ (ДТП №1005 от 24.05.2022 г., ИЖД 83:00:050018:298)</v>
      </c>
      <c r="D623" s="124" t="s">
        <v>41</v>
      </c>
      <c r="E623" s="124" t="s">
        <v>42</v>
      </c>
      <c r="F623" s="134">
        <v>44970</v>
      </c>
      <c r="G623" s="124" t="s">
        <v>44</v>
      </c>
      <c r="H623" s="139">
        <v>480</v>
      </c>
      <c r="I623" s="107">
        <v>183937.67</v>
      </c>
      <c r="J623" s="124"/>
      <c r="K623" s="124"/>
      <c r="L623" s="125">
        <v>1</v>
      </c>
      <c r="M623" s="148">
        <f t="shared" si="633"/>
        <v>383.20347916666668</v>
      </c>
      <c r="N623" s="107">
        <v>0</v>
      </c>
      <c r="O623" s="107">
        <v>0</v>
      </c>
      <c r="P623" s="107">
        <v>0</v>
      </c>
      <c r="Q623" s="107">
        <v>0</v>
      </c>
      <c r="R623" s="107">
        <v>0</v>
      </c>
      <c r="S623" s="107">
        <v>0</v>
      </c>
      <c r="T623" s="107">
        <v>0</v>
      </c>
      <c r="U623" s="107">
        <v>0</v>
      </c>
      <c r="V623" s="107">
        <v>0</v>
      </c>
      <c r="W623" s="107">
        <v>0</v>
      </c>
      <c r="X623" s="107">
        <v>0</v>
      </c>
      <c r="Y623" s="107">
        <v>0</v>
      </c>
      <c r="Z623" s="107">
        <v>0</v>
      </c>
      <c r="AA623" s="139"/>
      <c r="AB623" s="124"/>
      <c r="AC623" s="107">
        <f>M623*10</f>
        <v>3832.0347916666669</v>
      </c>
      <c r="AD623" s="107">
        <v>0</v>
      </c>
      <c r="AE623" s="107">
        <v>0</v>
      </c>
      <c r="AF623" s="107">
        <f>I623-M623</f>
        <v>183554.46652083335</v>
      </c>
      <c r="AG623" s="107">
        <f t="shared" si="651"/>
        <v>183171.26304166668</v>
      </c>
      <c r="AH623" s="107">
        <f t="shared" si="652"/>
        <v>182788.05956250001</v>
      </c>
      <c r="AI623" s="107">
        <f t="shared" si="653"/>
        <v>182404.85608333335</v>
      </c>
      <c r="AJ623" s="107">
        <f t="shared" si="654"/>
        <v>182021.65260416668</v>
      </c>
      <c r="AK623" s="107">
        <f t="shared" si="655"/>
        <v>181638.44912500001</v>
      </c>
      <c r="AL623" s="107">
        <f t="shared" si="656"/>
        <v>181255.24564583335</v>
      </c>
      <c r="AM623" s="107">
        <f t="shared" si="657"/>
        <v>180872.04216666668</v>
      </c>
      <c r="AN623" s="107">
        <f t="shared" si="658"/>
        <v>180488.83868750001</v>
      </c>
      <c r="AO623" s="107">
        <f t="shared" si="659"/>
        <v>180105.63520833335</v>
      </c>
      <c r="AP623" s="150">
        <f t="shared" ref="AP623:AP630" si="678">SUM(AD623:AO623,Z623)/13*$AP$2</f>
        <v>3077.1239377083334</v>
      </c>
      <c r="AQ623" s="124"/>
      <c r="AR623" s="107">
        <v>3832.0347916666669</v>
      </c>
      <c r="AS623" s="107">
        <f t="shared" si="661"/>
        <v>179722.43172916668</v>
      </c>
      <c r="AT623" s="107">
        <f t="shared" si="662"/>
        <v>179339.22825000001</v>
      </c>
      <c r="AU623" s="107">
        <f t="shared" si="663"/>
        <v>178956.02477083335</v>
      </c>
      <c r="AV623" s="107">
        <f t="shared" si="664"/>
        <v>178572.82129166668</v>
      </c>
      <c r="AW623" s="107">
        <f t="shared" si="665"/>
        <v>178189.61781250002</v>
      </c>
      <c r="AX623" s="107">
        <f t="shared" si="666"/>
        <v>177806.41433333335</v>
      </c>
      <c r="AY623" s="107">
        <f t="shared" si="667"/>
        <v>177423.21085416668</v>
      </c>
      <c r="AZ623" s="107">
        <f t="shared" si="668"/>
        <v>177040.00737500002</v>
      </c>
      <c r="BA623" s="107">
        <f t="shared" si="669"/>
        <v>176656.80389583335</v>
      </c>
      <c r="BB623" s="107">
        <f t="shared" si="670"/>
        <v>176273.60041666668</v>
      </c>
      <c r="BC623" s="107">
        <f t="shared" si="671"/>
        <v>175890.39693750002</v>
      </c>
      <c r="BD623" s="107">
        <f t="shared" si="672"/>
        <v>175507.19345833335</v>
      </c>
      <c r="BE623" s="150">
        <f t="shared" ref="BE623:BE630" si="679">SUM(AS623:BD623,AO623)/13*$BE$2</f>
        <v>3911.7411153333328</v>
      </c>
    </row>
    <row r="624" spans="1:75" hidden="1" x14ac:dyDescent="0.2">
      <c r="A624" s="149" t="s">
        <v>84</v>
      </c>
      <c r="B624" s="124" t="s">
        <v>106</v>
      </c>
      <c r="C624" s="124" t="str">
        <f>VLOOKUP(A:A,'2023-2027'!A:L,1,+FALSE)</f>
        <v>Трансформаторная подстанция</v>
      </c>
      <c r="D624" s="124" t="s">
        <v>41</v>
      </c>
      <c r="E624" s="124" t="s">
        <v>125</v>
      </c>
      <c r="F624" s="134">
        <v>44985</v>
      </c>
      <c r="G624" s="124" t="s">
        <v>44</v>
      </c>
      <c r="H624" s="139">
        <v>360</v>
      </c>
      <c r="I624" s="107">
        <v>626691.31999999995</v>
      </c>
      <c r="J624" s="124"/>
      <c r="K624" s="124"/>
      <c r="L624" s="125">
        <v>1</v>
      </c>
      <c r="M624" s="148">
        <f t="shared" si="633"/>
        <v>1740.8092222222222</v>
      </c>
      <c r="N624" s="107">
        <v>0</v>
      </c>
      <c r="O624" s="107">
        <v>0</v>
      </c>
      <c r="P624" s="107">
        <v>0</v>
      </c>
      <c r="Q624" s="107">
        <v>0</v>
      </c>
      <c r="R624" s="107">
        <v>0</v>
      </c>
      <c r="S624" s="107">
        <v>0</v>
      </c>
      <c r="T624" s="107">
        <v>0</v>
      </c>
      <c r="U624" s="107">
        <v>0</v>
      </c>
      <c r="V624" s="107">
        <v>0</v>
      </c>
      <c r="W624" s="107">
        <v>0</v>
      </c>
      <c r="X624" s="107">
        <v>0</v>
      </c>
      <c r="Y624" s="107">
        <v>0</v>
      </c>
      <c r="Z624" s="107">
        <v>0</v>
      </c>
      <c r="AA624" s="139"/>
      <c r="AB624" s="124"/>
      <c r="AC624" s="107">
        <f>M624*10</f>
        <v>17408.092222222222</v>
      </c>
      <c r="AD624" s="107">
        <v>0</v>
      </c>
      <c r="AE624" s="107">
        <v>0</v>
      </c>
      <c r="AF624" s="107">
        <f>I624-M624</f>
        <v>624950.51077777776</v>
      </c>
      <c r="AG624" s="107">
        <f t="shared" si="651"/>
        <v>623209.70155555557</v>
      </c>
      <c r="AH624" s="107">
        <f t="shared" si="652"/>
        <v>621468.89233333338</v>
      </c>
      <c r="AI624" s="107">
        <f t="shared" si="653"/>
        <v>619728.08311111119</v>
      </c>
      <c r="AJ624" s="107">
        <f t="shared" si="654"/>
        <v>617987.273888889</v>
      </c>
      <c r="AK624" s="107">
        <f t="shared" si="655"/>
        <v>616246.46466666681</v>
      </c>
      <c r="AL624" s="107">
        <f t="shared" si="656"/>
        <v>614505.65544444462</v>
      </c>
      <c r="AM624" s="107">
        <f t="shared" si="657"/>
        <v>612764.84622222243</v>
      </c>
      <c r="AN624" s="107">
        <f t="shared" si="658"/>
        <v>611024.03700000024</v>
      </c>
      <c r="AO624" s="107">
        <f t="shared" si="659"/>
        <v>609283.22777777805</v>
      </c>
      <c r="AP624" s="150">
        <f t="shared" si="678"/>
        <v>10443.516249316242</v>
      </c>
      <c r="AQ624" s="124"/>
      <c r="AR624" s="107">
        <v>17408.092222222222</v>
      </c>
      <c r="AS624" s="107">
        <f t="shared" si="661"/>
        <v>607542.41855555587</v>
      </c>
      <c r="AT624" s="107">
        <f t="shared" si="662"/>
        <v>605801.60933333368</v>
      </c>
      <c r="AU624" s="107">
        <f t="shared" si="663"/>
        <v>604060.80011111149</v>
      </c>
      <c r="AV624" s="107">
        <f t="shared" si="664"/>
        <v>602319.9908888893</v>
      </c>
      <c r="AW624" s="107">
        <f t="shared" si="665"/>
        <v>600579.18166666711</v>
      </c>
      <c r="AX624" s="107">
        <f t="shared" si="666"/>
        <v>598838.37244444492</v>
      </c>
      <c r="AY624" s="107">
        <f t="shared" si="667"/>
        <v>597097.56322222273</v>
      </c>
      <c r="AZ624" s="107">
        <f t="shared" si="668"/>
        <v>595356.75400000054</v>
      </c>
      <c r="BA624" s="107">
        <f t="shared" si="669"/>
        <v>593615.94477777835</v>
      </c>
      <c r="BB624" s="107">
        <f t="shared" si="670"/>
        <v>591875.13555555616</v>
      </c>
      <c r="BC624" s="107">
        <f t="shared" si="671"/>
        <v>590134.32633333397</v>
      </c>
      <c r="BD624" s="107">
        <f t="shared" si="672"/>
        <v>588393.51711111178</v>
      </c>
      <c r="BE624" s="150">
        <f t="shared" si="679"/>
        <v>13174.444193777785</v>
      </c>
    </row>
    <row r="625" spans="1:57" hidden="1" x14ac:dyDescent="0.2">
      <c r="A625" s="149" t="s">
        <v>107</v>
      </c>
      <c r="B625" s="124" t="s">
        <v>2524</v>
      </c>
      <c r="C625" s="124" t="str">
        <f>VLOOKUP(A:A,'2023-2027'!A:L,1,+FALSE)</f>
        <v>Воздушная линия 0,4 кВ</v>
      </c>
      <c r="D625" s="124" t="s">
        <v>41</v>
      </c>
      <c r="E625" s="124" t="s">
        <v>42</v>
      </c>
      <c r="F625" s="134">
        <v>44985</v>
      </c>
      <c r="G625" s="124" t="s">
        <v>44</v>
      </c>
      <c r="H625" s="139">
        <v>480</v>
      </c>
      <c r="I625" s="107">
        <v>662499.06999999995</v>
      </c>
      <c r="J625" s="124"/>
      <c r="K625" s="124"/>
      <c r="L625" s="125">
        <v>1</v>
      </c>
      <c r="M625" s="148">
        <f t="shared" si="633"/>
        <v>1380.2063958333333</v>
      </c>
      <c r="N625" s="107">
        <v>0</v>
      </c>
      <c r="O625" s="107">
        <v>0</v>
      </c>
      <c r="P625" s="107">
        <v>0</v>
      </c>
      <c r="Q625" s="107">
        <v>0</v>
      </c>
      <c r="R625" s="107">
        <v>0</v>
      </c>
      <c r="S625" s="107">
        <v>0</v>
      </c>
      <c r="T625" s="107">
        <v>0</v>
      </c>
      <c r="U625" s="107">
        <v>0</v>
      </c>
      <c r="V625" s="107">
        <v>0</v>
      </c>
      <c r="W625" s="107">
        <v>0</v>
      </c>
      <c r="X625" s="107">
        <v>0</v>
      </c>
      <c r="Y625" s="107">
        <v>0</v>
      </c>
      <c r="Z625" s="107">
        <v>0</v>
      </c>
      <c r="AA625" s="139"/>
      <c r="AB625" s="124"/>
      <c r="AC625" s="107">
        <f>M625*10</f>
        <v>13802.063958333332</v>
      </c>
      <c r="AD625" s="107">
        <v>0</v>
      </c>
      <c r="AE625" s="107">
        <v>0</v>
      </c>
      <c r="AF625" s="107">
        <f>I625-M625</f>
        <v>661118.86360416666</v>
      </c>
      <c r="AG625" s="107">
        <f t="shared" si="651"/>
        <v>659738.65720833337</v>
      </c>
      <c r="AH625" s="107">
        <f t="shared" si="652"/>
        <v>658358.45081250009</v>
      </c>
      <c r="AI625" s="107">
        <f t="shared" si="653"/>
        <v>656978.2444166668</v>
      </c>
      <c r="AJ625" s="107">
        <f t="shared" si="654"/>
        <v>655598.03802083351</v>
      </c>
      <c r="AK625" s="107">
        <f t="shared" si="655"/>
        <v>654217.83162500022</v>
      </c>
      <c r="AL625" s="107">
        <f t="shared" si="656"/>
        <v>652837.62522916694</v>
      </c>
      <c r="AM625" s="107">
        <f t="shared" si="657"/>
        <v>651457.41883333365</v>
      </c>
      <c r="AN625" s="107">
        <f t="shared" si="658"/>
        <v>650077.21243750036</v>
      </c>
      <c r="AO625" s="107">
        <f t="shared" si="659"/>
        <v>648697.00604166707</v>
      </c>
      <c r="AP625" s="150">
        <f t="shared" si="678"/>
        <v>11083.05735854167</v>
      </c>
      <c r="AQ625" s="124"/>
      <c r="AR625" s="107">
        <v>13802.063958333332</v>
      </c>
      <c r="AS625" s="107">
        <f t="shared" si="661"/>
        <v>647316.79964583379</v>
      </c>
      <c r="AT625" s="107">
        <f t="shared" si="662"/>
        <v>645936.5932500005</v>
      </c>
      <c r="AU625" s="107">
        <f t="shared" si="663"/>
        <v>644556.38685416721</v>
      </c>
      <c r="AV625" s="107">
        <f t="shared" si="664"/>
        <v>643176.18045833393</v>
      </c>
      <c r="AW625" s="107">
        <f t="shared" si="665"/>
        <v>641795.97406250064</v>
      </c>
      <c r="AX625" s="107">
        <f t="shared" si="666"/>
        <v>640415.76766666735</v>
      </c>
      <c r="AY625" s="107">
        <f t="shared" si="667"/>
        <v>639035.56127083406</v>
      </c>
      <c r="AZ625" s="107">
        <f t="shared" si="668"/>
        <v>637655.35487500078</v>
      </c>
      <c r="BA625" s="107">
        <f t="shared" si="669"/>
        <v>636275.14847916749</v>
      </c>
      <c r="BB625" s="107">
        <f t="shared" si="670"/>
        <v>634894.9420833342</v>
      </c>
      <c r="BC625" s="107">
        <f t="shared" si="671"/>
        <v>633514.73568750091</v>
      </c>
      <c r="BD625" s="107">
        <f t="shared" si="672"/>
        <v>632134.52929166763</v>
      </c>
      <c r="BE625" s="150">
        <f t="shared" si="679"/>
        <v>14089.146888666683</v>
      </c>
    </row>
    <row r="626" spans="1:57" hidden="1" x14ac:dyDescent="0.2">
      <c r="A626" s="149" t="s">
        <v>108</v>
      </c>
      <c r="B626" s="124" t="s">
        <v>2525</v>
      </c>
      <c r="C626" s="124" t="str">
        <f>VLOOKUP(A:A,'2023-2027'!A:L,1,+FALSE)</f>
        <v>Воздушная линия 6 кВ</v>
      </c>
      <c r="D626" s="124" t="s">
        <v>41</v>
      </c>
      <c r="E626" s="124" t="s">
        <v>42</v>
      </c>
      <c r="F626" s="134">
        <v>44985</v>
      </c>
      <c r="G626" s="124" t="s">
        <v>44</v>
      </c>
      <c r="H626" s="139">
        <v>480</v>
      </c>
      <c r="I626" s="107">
        <v>157036.89000000001</v>
      </c>
      <c r="J626" s="124"/>
      <c r="K626" s="124"/>
      <c r="L626" s="125">
        <v>1</v>
      </c>
      <c r="M626" s="148">
        <f t="shared" si="633"/>
        <v>327.16018750000001</v>
      </c>
      <c r="N626" s="107">
        <v>0</v>
      </c>
      <c r="O626" s="107">
        <v>0</v>
      </c>
      <c r="P626" s="107">
        <v>0</v>
      </c>
      <c r="Q626" s="107">
        <v>0</v>
      </c>
      <c r="R626" s="107">
        <v>0</v>
      </c>
      <c r="S626" s="107">
        <v>0</v>
      </c>
      <c r="T626" s="107">
        <v>0</v>
      </c>
      <c r="U626" s="107">
        <v>0</v>
      </c>
      <c r="V626" s="107">
        <v>0</v>
      </c>
      <c r="W626" s="107">
        <v>0</v>
      </c>
      <c r="X626" s="107">
        <v>0</v>
      </c>
      <c r="Y626" s="107">
        <v>0</v>
      </c>
      <c r="Z626" s="107">
        <v>0</v>
      </c>
      <c r="AA626" s="139"/>
      <c r="AB626" s="124"/>
      <c r="AC626" s="107">
        <f>M626*10</f>
        <v>3271.6018750000003</v>
      </c>
      <c r="AD626" s="107">
        <v>0</v>
      </c>
      <c r="AE626" s="107">
        <v>0</v>
      </c>
      <c r="AF626" s="107">
        <f>I626-M626</f>
        <v>156709.72981250001</v>
      </c>
      <c r="AG626" s="107">
        <f t="shared" si="651"/>
        <v>156382.569625</v>
      </c>
      <c r="AH626" s="107">
        <f t="shared" si="652"/>
        <v>156055.4094375</v>
      </c>
      <c r="AI626" s="107">
        <f t="shared" si="653"/>
        <v>155728.24924999999</v>
      </c>
      <c r="AJ626" s="107">
        <f t="shared" si="654"/>
        <v>155401.08906249999</v>
      </c>
      <c r="AK626" s="107">
        <f t="shared" si="655"/>
        <v>155073.92887499998</v>
      </c>
      <c r="AL626" s="107">
        <f t="shared" si="656"/>
        <v>154746.76868749998</v>
      </c>
      <c r="AM626" s="107">
        <f t="shared" si="657"/>
        <v>154419.60849999997</v>
      </c>
      <c r="AN626" s="107">
        <f t="shared" si="658"/>
        <v>154092.44831249997</v>
      </c>
      <c r="AO626" s="107">
        <f t="shared" si="659"/>
        <v>153765.28812499996</v>
      </c>
      <c r="AP626" s="150">
        <f t="shared" si="678"/>
        <v>2627.0963056249993</v>
      </c>
      <c r="AQ626" s="124"/>
      <c r="AR626" s="107">
        <v>3271.6018750000003</v>
      </c>
      <c r="AS626" s="107">
        <f t="shared" si="661"/>
        <v>153438.12793749996</v>
      </c>
      <c r="AT626" s="107">
        <f t="shared" si="662"/>
        <v>153110.96774999995</v>
      </c>
      <c r="AU626" s="107">
        <f t="shared" si="663"/>
        <v>152783.80756249995</v>
      </c>
      <c r="AV626" s="107">
        <f t="shared" si="664"/>
        <v>152456.64737499994</v>
      </c>
      <c r="AW626" s="107">
        <f t="shared" si="665"/>
        <v>152129.48718749994</v>
      </c>
      <c r="AX626" s="107">
        <f t="shared" si="666"/>
        <v>151802.32699999993</v>
      </c>
      <c r="AY626" s="107">
        <f t="shared" si="667"/>
        <v>151475.16681249993</v>
      </c>
      <c r="AZ626" s="107">
        <f t="shared" si="668"/>
        <v>151148.00662499992</v>
      </c>
      <c r="BA626" s="107">
        <f t="shared" si="669"/>
        <v>150820.84643749992</v>
      </c>
      <c r="BB626" s="107">
        <f t="shared" si="670"/>
        <v>150493.68624999991</v>
      </c>
      <c r="BC626" s="107">
        <f t="shared" si="671"/>
        <v>150166.52606249991</v>
      </c>
      <c r="BD626" s="107">
        <f t="shared" si="672"/>
        <v>149839.3658749999</v>
      </c>
      <c r="BE626" s="150">
        <f t="shared" si="679"/>
        <v>3339.6511939999982</v>
      </c>
    </row>
    <row r="627" spans="1:57" ht="33.75" hidden="1" x14ac:dyDescent="0.2">
      <c r="A627" s="149" t="s">
        <v>109</v>
      </c>
      <c r="B627" s="124" t="s">
        <v>2526</v>
      </c>
      <c r="C627" s="124" t="str">
        <f>VLOOKUP(A:A,'2023-2027'!A:L,1,+FALSE)</f>
        <v>Воздушная линия 0,4 кВ (ДТП №981 от 17.05.2022 г., гаражный бокс, ЗУ 83:00:050010:809)</v>
      </c>
      <c r="D627" s="124" t="s">
        <v>41</v>
      </c>
      <c r="E627" s="124" t="s">
        <v>42</v>
      </c>
      <c r="F627" s="134">
        <v>44998</v>
      </c>
      <c r="G627" s="124" t="s">
        <v>44</v>
      </c>
      <c r="H627" s="139">
        <v>480</v>
      </c>
      <c r="I627" s="107">
        <v>168698.77</v>
      </c>
      <c r="J627" s="124"/>
      <c r="K627" s="124"/>
      <c r="L627" s="125">
        <v>1</v>
      </c>
      <c r="M627" s="148">
        <f t="shared" si="633"/>
        <v>351.4557708333333</v>
      </c>
      <c r="N627" s="107">
        <v>0</v>
      </c>
      <c r="O627" s="107">
        <v>0</v>
      </c>
      <c r="P627" s="107">
        <v>0</v>
      </c>
      <c r="Q627" s="107">
        <v>0</v>
      </c>
      <c r="R627" s="107">
        <v>0</v>
      </c>
      <c r="S627" s="107">
        <v>0</v>
      </c>
      <c r="T627" s="107">
        <v>0</v>
      </c>
      <c r="U627" s="107">
        <v>0</v>
      </c>
      <c r="V627" s="107">
        <v>0</v>
      </c>
      <c r="W627" s="107">
        <v>0</v>
      </c>
      <c r="X627" s="107">
        <v>0</v>
      </c>
      <c r="Y627" s="107">
        <v>0</v>
      </c>
      <c r="Z627" s="107">
        <v>0</v>
      </c>
      <c r="AA627" s="139"/>
      <c r="AB627" s="124"/>
      <c r="AC627" s="107">
        <f>M627*9</f>
        <v>3163.1019374999996</v>
      </c>
      <c r="AD627" s="107">
        <v>0</v>
      </c>
      <c r="AE627" s="107">
        <v>0</v>
      </c>
      <c r="AF627" s="107">
        <v>0</v>
      </c>
      <c r="AG627" s="107">
        <f>I627-M627</f>
        <v>168347.31422916666</v>
      </c>
      <c r="AH627" s="107">
        <f t="shared" si="652"/>
        <v>167995.85845833333</v>
      </c>
      <c r="AI627" s="107">
        <f t="shared" si="653"/>
        <v>167644.4026875</v>
      </c>
      <c r="AJ627" s="107">
        <f t="shared" si="654"/>
        <v>167292.94691666667</v>
      </c>
      <c r="AK627" s="107">
        <f t="shared" si="655"/>
        <v>166941.49114583334</v>
      </c>
      <c r="AL627" s="107">
        <f t="shared" si="656"/>
        <v>166590.03537500001</v>
      </c>
      <c r="AM627" s="107">
        <f t="shared" si="657"/>
        <v>166238.57960416668</v>
      </c>
      <c r="AN627" s="107">
        <f t="shared" si="658"/>
        <v>165887.12383333335</v>
      </c>
      <c r="AO627" s="107">
        <f t="shared" si="659"/>
        <v>165535.66806250002</v>
      </c>
      <c r="AP627" s="150">
        <f t="shared" si="678"/>
        <v>2542.6473266826924</v>
      </c>
      <c r="AQ627" s="124"/>
      <c r="AR627" s="107">
        <v>3163.1019374999996</v>
      </c>
      <c r="AS627" s="107">
        <f t="shared" si="661"/>
        <v>165184.21229166668</v>
      </c>
      <c r="AT627" s="107">
        <f t="shared" si="662"/>
        <v>164832.75652083335</v>
      </c>
      <c r="AU627" s="107">
        <f t="shared" si="663"/>
        <v>164481.30075000002</v>
      </c>
      <c r="AV627" s="107">
        <f t="shared" si="664"/>
        <v>164129.84497916669</v>
      </c>
      <c r="AW627" s="107">
        <f t="shared" si="665"/>
        <v>163778.38920833336</v>
      </c>
      <c r="AX627" s="107">
        <f t="shared" si="666"/>
        <v>163426.93343750003</v>
      </c>
      <c r="AY627" s="107">
        <f t="shared" si="667"/>
        <v>163075.4776666667</v>
      </c>
      <c r="AZ627" s="107">
        <f t="shared" si="668"/>
        <v>162724.02189583337</v>
      </c>
      <c r="BA627" s="107">
        <f t="shared" si="669"/>
        <v>162372.56612500004</v>
      </c>
      <c r="BB627" s="107">
        <f t="shared" si="670"/>
        <v>162021.11035416671</v>
      </c>
      <c r="BC627" s="107">
        <f t="shared" si="671"/>
        <v>161669.65458333338</v>
      </c>
      <c r="BD627" s="107">
        <f t="shared" si="672"/>
        <v>161318.19881250005</v>
      </c>
      <c r="BE627" s="150">
        <f t="shared" si="679"/>
        <v>3595.3925356250006</v>
      </c>
    </row>
    <row r="628" spans="1:57" ht="33.75" hidden="1" x14ac:dyDescent="0.2">
      <c r="A628" s="149" t="s">
        <v>110</v>
      </c>
      <c r="B628" s="124" t="s">
        <v>2527</v>
      </c>
      <c r="C628" s="124" t="str">
        <f>VLOOKUP(A:A,'2023-2027'!A:L,1,+FALSE)</f>
        <v>Воздушная линия 0,4 кВ (ДТП №836 от 17.01.2022 г., гараж в районе д.13 по ул. Юбилейная)</v>
      </c>
      <c r="D628" s="124" t="s">
        <v>41</v>
      </c>
      <c r="E628" s="124" t="s">
        <v>42</v>
      </c>
      <c r="F628" s="134">
        <v>44998</v>
      </c>
      <c r="G628" s="124" t="s">
        <v>44</v>
      </c>
      <c r="H628" s="139">
        <v>480</v>
      </c>
      <c r="I628" s="107">
        <v>378598.12</v>
      </c>
      <c r="J628" s="124"/>
      <c r="K628" s="124"/>
      <c r="L628" s="125">
        <v>1</v>
      </c>
      <c r="M628" s="148">
        <f t="shared" si="633"/>
        <v>788.74608333333333</v>
      </c>
      <c r="N628" s="107">
        <v>0</v>
      </c>
      <c r="O628" s="107">
        <v>0</v>
      </c>
      <c r="P628" s="107">
        <v>0</v>
      </c>
      <c r="Q628" s="107">
        <v>0</v>
      </c>
      <c r="R628" s="107">
        <v>0</v>
      </c>
      <c r="S628" s="107">
        <v>0</v>
      </c>
      <c r="T628" s="107">
        <v>0</v>
      </c>
      <c r="U628" s="107">
        <v>0</v>
      </c>
      <c r="V628" s="107">
        <v>0</v>
      </c>
      <c r="W628" s="107">
        <v>0</v>
      </c>
      <c r="X628" s="107">
        <v>0</v>
      </c>
      <c r="Y628" s="107">
        <v>0</v>
      </c>
      <c r="Z628" s="107">
        <v>0</v>
      </c>
      <c r="AA628" s="139"/>
      <c r="AB628" s="124"/>
      <c r="AC628" s="107">
        <f>M628*9</f>
        <v>7098.7147500000001</v>
      </c>
      <c r="AD628" s="107">
        <v>0</v>
      </c>
      <c r="AE628" s="107">
        <v>0</v>
      </c>
      <c r="AF628" s="107">
        <v>0</v>
      </c>
      <c r="AG628" s="107">
        <f>I628-M628</f>
        <v>377809.37391666666</v>
      </c>
      <c r="AH628" s="107">
        <f t="shared" si="652"/>
        <v>377020.62783333333</v>
      </c>
      <c r="AI628" s="107">
        <f t="shared" si="653"/>
        <v>376231.88175</v>
      </c>
      <c r="AJ628" s="107">
        <f t="shared" si="654"/>
        <v>375443.13566666667</v>
      </c>
      <c r="AK628" s="107">
        <f t="shared" si="655"/>
        <v>374654.38958333334</v>
      </c>
      <c r="AL628" s="107">
        <f t="shared" si="656"/>
        <v>373865.64350000001</v>
      </c>
      <c r="AM628" s="107">
        <f t="shared" si="657"/>
        <v>373076.89741666667</v>
      </c>
      <c r="AN628" s="107">
        <f t="shared" si="658"/>
        <v>372288.15133333334</v>
      </c>
      <c r="AO628" s="107">
        <f t="shared" si="659"/>
        <v>371499.40525000001</v>
      </c>
      <c r="AP628" s="150">
        <f t="shared" si="678"/>
        <v>5706.2745490384605</v>
      </c>
      <c r="AQ628" s="124"/>
      <c r="AR628" s="107">
        <v>7098.7147500000001</v>
      </c>
      <c r="AS628" s="107">
        <f t="shared" si="661"/>
        <v>370710.65916666668</v>
      </c>
      <c r="AT628" s="107">
        <f t="shared" si="662"/>
        <v>369921.91308333335</v>
      </c>
      <c r="AU628" s="107">
        <f t="shared" si="663"/>
        <v>369133.16700000002</v>
      </c>
      <c r="AV628" s="107">
        <f t="shared" si="664"/>
        <v>368344.42091666668</v>
      </c>
      <c r="AW628" s="107">
        <f t="shared" si="665"/>
        <v>367555.67483333335</v>
      </c>
      <c r="AX628" s="107">
        <f t="shared" si="666"/>
        <v>366766.92875000002</v>
      </c>
      <c r="AY628" s="107">
        <f t="shared" si="667"/>
        <v>365978.18266666669</v>
      </c>
      <c r="AZ628" s="107">
        <f t="shared" si="668"/>
        <v>365189.43658333336</v>
      </c>
      <c r="BA628" s="107">
        <f t="shared" si="669"/>
        <v>364400.69050000003</v>
      </c>
      <c r="BB628" s="107">
        <f t="shared" si="670"/>
        <v>363611.94441666669</v>
      </c>
      <c r="BC628" s="107">
        <f t="shared" si="671"/>
        <v>362823.19833333336</v>
      </c>
      <c r="BD628" s="107">
        <f t="shared" si="672"/>
        <v>362034.45225000003</v>
      </c>
      <c r="BE628" s="150">
        <f t="shared" si="679"/>
        <v>8068.8724325000003</v>
      </c>
    </row>
    <row r="629" spans="1:57" ht="22.5" hidden="1" x14ac:dyDescent="0.2">
      <c r="A629" s="149" t="s">
        <v>111</v>
      </c>
      <c r="B629" s="124" t="s">
        <v>2528</v>
      </c>
      <c r="C629" s="124" t="str">
        <f>VLOOKUP(A:A,'2023-2027'!A:L,1,+FALSE)</f>
        <v>Воздушная линия ВЛ 6 кВ в районе ул. Авиаторов</v>
      </c>
      <c r="D629" s="124" t="s">
        <v>41</v>
      </c>
      <c r="E629" s="124" t="s">
        <v>42</v>
      </c>
      <c r="F629" s="134">
        <v>44998</v>
      </c>
      <c r="G629" s="124" t="s">
        <v>44</v>
      </c>
      <c r="H629" s="139">
        <v>480</v>
      </c>
      <c r="I629" s="107">
        <v>599918.21</v>
      </c>
      <c r="J629" s="124"/>
      <c r="K629" s="124"/>
      <c r="L629" s="125">
        <v>1</v>
      </c>
      <c r="M629" s="148">
        <f t="shared" si="633"/>
        <v>1249.8296041666665</v>
      </c>
      <c r="N629" s="107">
        <v>0</v>
      </c>
      <c r="O629" s="107">
        <v>0</v>
      </c>
      <c r="P629" s="107">
        <v>0</v>
      </c>
      <c r="Q629" s="107">
        <v>0</v>
      </c>
      <c r="R629" s="107">
        <v>0</v>
      </c>
      <c r="S629" s="107">
        <v>0</v>
      </c>
      <c r="T629" s="107">
        <v>0</v>
      </c>
      <c r="U629" s="107">
        <v>0</v>
      </c>
      <c r="V629" s="107">
        <v>0</v>
      </c>
      <c r="W629" s="107">
        <v>0</v>
      </c>
      <c r="X629" s="107">
        <v>0</v>
      </c>
      <c r="Y629" s="107">
        <v>0</v>
      </c>
      <c r="Z629" s="107">
        <v>0</v>
      </c>
      <c r="AA629" s="139"/>
      <c r="AB629" s="124"/>
      <c r="AC629" s="107">
        <f>M629*9</f>
        <v>11248.466437499999</v>
      </c>
      <c r="AD629" s="107">
        <v>0</v>
      </c>
      <c r="AE629" s="107">
        <v>0</v>
      </c>
      <c r="AF629" s="107">
        <v>0</v>
      </c>
      <c r="AG629" s="107">
        <f>I629-M629</f>
        <v>598668.38039583329</v>
      </c>
      <c r="AH629" s="107">
        <f t="shared" si="652"/>
        <v>597418.55079166661</v>
      </c>
      <c r="AI629" s="107">
        <f t="shared" si="653"/>
        <v>596168.72118749993</v>
      </c>
      <c r="AJ629" s="107">
        <f t="shared" si="654"/>
        <v>594918.89158333326</v>
      </c>
      <c r="AK629" s="107">
        <f t="shared" si="655"/>
        <v>593669.06197916658</v>
      </c>
      <c r="AL629" s="107">
        <f t="shared" si="656"/>
        <v>592419.23237499991</v>
      </c>
      <c r="AM629" s="107">
        <f t="shared" si="657"/>
        <v>591169.40277083323</v>
      </c>
      <c r="AN629" s="107">
        <f t="shared" si="658"/>
        <v>589919.57316666655</v>
      </c>
      <c r="AO629" s="107">
        <f t="shared" si="659"/>
        <v>588669.74356249988</v>
      </c>
      <c r="AP629" s="150">
        <f t="shared" si="678"/>
        <v>9042.036482451922</v>
      </c>
      <c r="AQ629" s="124"/>
      <c r="AR629" s="107">
        <v>11248.466437499999</v>
      </c>
      <c r="AS629" s="107">
        <f t="shared" si="661"/>
        <v>587419.9139583332</v>
      </c>
      <c r="AT629" s="107">
        <f t="shared" si="662"/>
        <v>586170.08435416652</v>
      </c>
      <c r="AU629" s="107">
        <f t="shared" si="663"/>
        <v>584920.25474999985</v>
      </c>
      <c r="AV629" s="107">
        <f t="shared" si="664"/>
        <v>583670.42514583317</v>
      </c>
      <c r="AW629" s="107">
        <f t="shared" si="665"/>
        <v>582420.59554166649</v>
      </c>
      <c r="AX629" s="107">
        <f t="shared" si="666"/>
        <v>581170.76593749982</v>
      </c>
      <c r="AY629" s="107">
        <f t="shared" si="667"/>
        <v>579920.93633333314</v>
      </c>
      <c r="AZ629" s="107">
        <f t="shared" si="668"/>
        <v>578671.10672916647</v>
      </c>
      <c r="BA629" s="107">
        <f t="shared" si="669"/>
        <v>577421.27712499979</v>
      </c>
      <c r="BB629" s="107">
        <f t="shared" si="670"/>
        <v>576171.44752083311</v>
      </c>
      <c r="BC629" s="107">
        <f t="shared" si="671"/>
        <v>574921.61791666644</v>
      </c>
      <c r="BD629" s="107">
        <f t="shared" si="672"/>
        <v>573671.78831249976</v>
      </c>
      <c r="BE629" s="150">
        <f t="shared" si="679"/>
        <v>12785.756850624995</v>
      </c>
    </row>
    <row r="630" spans="1:57" ht="45" hidden="1" x14ac:dyDescent="0.2">
      <c r="A630" s="149" t="s">
        <v>112</v>
      </c>
      <c r="B630" s="124" t="s">
        <v>2529</v>
      </c>
      <c r="C630" s="124" t="str">
        <f>VLOOKUP(A:A,'2023-2027'!A:L,1,+FALSE)</f>
        <v>Воздушная линия 0,4 кВ (ДТП №273Ф от 21.12.2021 г., гаражный бокс, п. Искателей, ул. Строителей)</v>
      </c>
      <c r="D630" s="124" t="s">
        <v>41</v>
      </c>
      <c r="E630" s="124" t="s">
        <v>42</v>
      </c>
      <c r="F630" s="134">
        <v>45016</v>
      </c>
      <c r="G630" s="124" t="s">
        <v>44</v>
      </c>
      <c r="H630" s="139">
        <v>480</v>
      </c>
      <c r="I630" s="107">
        <v>259354.95</v>
      </c>
      <c r="J630" s="124"/>
      <c r="K630" s="124"/>
      <c r="L630" s="125">
        <v>1</v>
      </c>
      <c r="M630" s="148">
        <f t="shared" si="633"/>
        <v>540.32281250000005</v>
      </c>
      <c r="N630" s="107">
        <v>0</v>
      </c>
      <c r="O630" s="107">
        <v>0</v>
      </c>
      <c r="P630" s="107">
        <v>0</v>
      </c>
      <c r="Q630" s="107">
        <v>0</v>
      </c>
      <c r="R630" s="107">
        <v>0</v>
      </c>
      <c r="S630" s="107">
        <v>0</v>
      </c>
      <c r="T630" s="107">
        <v>0</v>
      </c>
      <c r="U630" s="107">
        <v>0</v>
      </c>
      <c r="V630" s="107">
        <v>0</v>
      </c>
      <c r="W630" s="107">
        <v>0</v>
      </c>
      <c r="X630" s="107">
        <v>0</v>
      </c>
      <c r="Y630" s="107">
        <v>0</v>
      </c>
      <c r="Z630" s="107">
        <v>0</v>
      </c>
      <c r="AA630" s="139"/>
      <c r="AB630" s="124"/>
      <c r="AC630" s="107">
        <f>M630*9</f>
        <v>4862.9053125000009</v>
      </c>
      <c r="AD630" s="107">
        <v>0</v>
      </c>
      <c r="AE630" s="107">
        <v>0</v>
      </c>
      <c r="AF630" s="107">
        <v>0</v>
      </c>
      <c r="AG630" s="107">
        <f>I630-M630</f>
        <v>258814.62718750001</v>
      </c>
      <c r="AH630" s="107">
        <f t="shared" si="652"/>
        <v>258274.30437500001</v>
      </c>
      <c r="AI630" s="107">
        <f t="shared" si="653"/>
        <v>257733.9815625</v>
      </c>
      <c r="AJ630" s="107">
        <f t="shared" si="654"/>
        <v>257193.65875</v>
      </c>
      <c r="AK630" s="107">
        <f t="shared" si="655"/>
        <v>256653.3359375</v>
      </c>
      <c r="AL630" s="107">
        <f t="shared" si="656"/>
        <v>256113.013125</v>
      </c>
      <c r="AM630" s="107">
        <f t="shared" si="657"/>
        <v>255572.6903125</v>
      </c>
      <c r="AN630" s="107">
        <f t="shared" si="658"/>
        <v>255032.36749999999</v>
      </c>
      <c r="AO630" s="107">
        <f t="shared" si="659"/>
        <v>254492.04468749999</v>
      </c>
      <c r="AP630" s="150">
        <f t="shared" si="678"/>
        <v>3909.0277319711536</v>
      </c>
      <c r="AQ630" s="124"/>
      <c r="AR630" s="107">
        <v>4862.9053125000009</v>
      </c>
      <c r="AS630" s="107">
        <f t="shared" si="661"/>
        <v>253951.72187499999</v>
      </c>
      <c r="AT630" s="107">
        <f t="shared" si="662"/>
        <v>253411.39906249999</v>
      </c>
      <c r="AU630" s="107">
        <f t="shared" si="663"/>
        <v>252871.07624999998</v>
      </c>
      <c r="AV630" s="107">
        <f t="shared" si="664"/>
        <v>252330.75343749998</v>
      </c>
      <c r="AW630" s="107">
        <f t="shared" si="665"/>
        <v>251790.43062499998</v>
      </c>
      <c r="AX630" s="107">
        <f t="shared" si="666"/>
        <v>251250.10781249998</v>
      </c>
      <c r="AY630" s="107">
        <f t="shared" si="667"/>
        <v>250709.78499999997</v>
      </c>
      <c r="AZ630" s="107">
        <f t="shared" si="668"/>
        <v>250169.46218749997</v>
      </c>
      <c r="BA630" s="107">
        <f t="shared" si="669"/>
        <v>249629.13937499997</v>
      </c>
      <c r="BB630" s="107">
        <f t="shared" si="670"/>
        <v>249088.81656249997</v>
      </c>
      <c r="BC630" s="107">
        <f t="shared" si="671"/>
        <v>248548.49374999997</v>
      </c>
      <c r="BD630" s="107">
        <f t="shared" si="672"/>
        <v>248008.17093749996</v>
      </c>
      <c r="BE630" s="150">
        <f t="shared" si="679"/>
        <v>5527.5023718749981</v>
      </c>
    </row>
    <row r="631" spans="1:57" ht="33.75" hidden="1" x14ac:dyDescent="0.2">
      <c r="A631" s="149" t="s">
        <v>113</v>
      </c>
      <c r="B631" s="124" t="s">
        <v>2530</v>
      </c>
      <c r="C631" s="124" t="str">
        <f>VLOOKUP(A:A,'2023-2027'!A:L,1,+FALSE)</f>
        <v>Инвертор сварочный BIMARC MMA-250 PRO Line (250A, 220/380B)</v>
      </c>
      <c r="D631" s="124" t="s">
        <v>67</v>
      </c>
      <c r="E631" s="124" t="s">
        <v>23</v>
      </c>
      <c r="F631" s="134">
        <v>45028</v>
      </c>
      <c r="G631" s="124" t="s">
        <v>38</v>
      </c>
      <c r="H631" s="139">
        <v>84</v>
      </c>
      <c r="I631" s="107">
        <v>45191.67</v>
      </c>
      <c r="J631" s="124"/>
      <c r="K631" s="124"/>
      <c r="L631" s="125">
        <v>0</v>
      </c>
      <c r="M631" s="148">
        <f t="shared" si="633"/>
        <v>537.99607142857144</v>
      </c>
      <c r="N631" s="107">
        <v>0</v>
      </c>
      <c r="O631" s="107">
        <v>0</v>
      </c>
      <c r="P631" s="107">
        <v>0</v>
      </c>
      <c r="Q631" s="107">
        <v>0</v>
      </c>
      <c r="R631" s="107">
        <v>0</v>
      </c>
      <c r="S631" s="107">
        <v>0</v>
      </c>
      <c r="T631" s="107">
        <v>0</v>
      </c>
      <c r="U631" s="107">
        <v>0</v>
      </c>
      <c r="V631" s="107">
        <v>0</v>
      </c>
      <c r="W631" s="107">
        <v>0</v>
      </c>
      <c r="X631" s="107">
        <v>0</v>
      </c>
      <c r="Y631" s="107">
        <v>0</v>
      </c>
      <c r="Z631" s="107">
        <v>0</v>
      </c>
      <c r="AA631" s="139"/>
      <c r="AB631" s="124"/>
      <c r="AC631" s="107">
        <f t="shared" ref="AC631:AC637" si="680">M631*8</f>
        <v>4303.9685714285715</v>
      </c>
      <c r="AD631" s="107">
        <v>0</v>
      </c>
      <c r="AE631" s="107">
        <v>0</v>
      </c>
      <c r="AF631" s="107">
        <v>0</v>
      </c>
      <c r="AG631" s="107">
        <v>0</v>
      </c>
      <c r="AH631" s="107">
        <f t="shared" ref="AH631:AH637" si="681">I631-M631</f>
        <v>44653.673928571428</v>
      </c>
      <c r="AI631" s="107">
        <f t="shared" si="653"/>
        <v>44115.677857142859</v>
      </c>
      <c r="AJ631" s="107">
        <f t="shared" si="654"/>
        <v>43577.681785714289</v>
      </c>
      <c r="AK631" s="107">
        <f t="shared" si="655"/>
        <v>43039.685714285719</v>
      </c>
      <c r="AL631" s="107">
        <f t="shared" si="656"/>
        <v>42501.689642857149</v>
      </c>
      <c r="AM631" s="107">
        <f t="shared" si="657"/>
        <v>41963.693571428579</v>
      </c>
      <c r="AN631" s="107">
        <f t="shared" si="658"/>
        <v>41425.697500000009</v>
      </c>
      <c r="AO631" s="107">
        <f t="shared" si="659"/>
        <v>40887.701428571439</v>
      </c>
      <c r="AP631" s="139"/>
      <c r="AQ631" s="124"/>
      <c r="AR631" s="107">
        <v>4303.9685714285715</v>
      </c>
      <c r="AS631" s="107">
        <f t="shared" si="661"/>
        <v>40349.70535714287</v>
      </c>
      <c r="AT631" s="107">
        <f t="shared" si="662"/>
        <v>39811.7092857143</v>
      </c>
      <c r="AU631" s="107">
        <f t="shared" si="663"/>
        <v>39273.71321428573</v>
      </c>
      <c r="AV631" s="107">
        <f t="shared" si="664"/>
        <v>38735.71714285716</v>
      </c>
      <c r="AW631" s="107">
        <f t="shared" si="665"/>
        <v>38197.72107142859</v>
      </c>
      <c r="AX631" s="107">
        <f t="shared" si="666"/>
        <v>37659.72500000002</v>
      </c>
      <c r="AY631" s="107">
        <f t="shared" si="667"/>
        <v>37121.728928571451</v>
      </c>
      <c r="AZ631" s="107">
        <f t="shared" si="668"/>
        <v>36583.732857142881</v>
      </c>
      <c r="BA631" s="107">
        <f t="shared" si="669"/>
        <v>36045.736785714311</v>
      </c>
      <c r="BB631" s="107">
        <f t="shared" si="670"/>
        <v>35507.740714285741</v>
      </c>
      <c r="BC631" s="107">
        <f t="shared" si="671"/>
        <v>34969.744642857171</v>
      </c>
      <c r="BD631" s="107">
        <f t="shared" si="672"/>
        <v>34431.748571428601</v>
      </c>
      <c r="BE631" s="139"/>
    </row>
    <row r="632" spans="1:57" ht="22.5" hidden="1" x14ac:dyDescent="0.2">
      <c r="A632" s="149" t="s">
        <v>86</v>
      </c>
      <c r="B632" s="124" t="s">
        <v>114</v>
      </c>
      <c r="C632" s="124" t="str">
        <f>VLOOKUP(A:A,'2023-2027'!A:L,1,+FALSE)</f>
        <v>Персональный компьютер высокой производительности</v>
      </c>
      <c r="D632" s="124" t="s">
        <v>22</v>
      </c>
      <c r="E632" s="124" t="s">
        <v>23</v>
      </c>
      <c r="F632" s="134">
        <v>45029</v>
      </c>
      <c r="G632" s="124" t="s">
        <v>25</v>
      </c>
      <c r="H632" s="139">
        <v>96</v>
      </c>
      <c r="I632" s="107">
        <v>45447.37</v>
      </c>
      <c r="J632" s="124"/>
      <c r="K632" s="124"/>
      <c r="L632" s="125">
        <v>0</v>
      </c>
      <c r="M632" s="148">
        <f t="shared" si="633"/>
        <v>473.41010416666671</v>
      </c>
      <c r="N632" s="107">
        <v>0</v>
      </c>
      <c r="O632" s="107">
        <v>0</v>
      </c>
      <c r="P632" s="107">
        <v>0</v>
      </c>
      <c r="Q632" s="107">
        <v>0</v>
      </c>
      <c r="R632" s="107">
        <v>0</v>
      </c>
      <c r="S632" s="107">
        <v>0</v>
      </c>
      <c r="T632" s="107">
        <v>0</v>
      </c>
      <c r="U632" s="107">
        <v>0</v>
      </c>
      <c r="V632" s="107">
        <v>0</v>
      </c>
      <c r="W632" s="107">
        <v>0</v>
      </c>
      <c r="X632" s="107">
        <v>0</v>
      </c>
      <c r="Y632" s="107">
        <v>0</v>
      </c>
      <c r="Z632" s="107">
        <v>0</v>
      </c>
      <c r="AA632" s="139"/>
      <c r="AB632" s="124"/>
      <c r="AC632" s="107">
        <f t="shared" si="680"/>
        <v>3787.2808333333337</v>
      </c>
      <c r="AD632" s="107">
        <v>0</v>
      </c>
      <c r="AE632" s="107">
        <v>0</v>
      </c>
      <c r="AF632" s="107">
        <v>0</v>
      </c>
      <c r="AG632" s="107">
        <v>0</v>
      </c>
      <c r="AH632" s="107">
        <f t="shared" si="681"/>
        <v>44973.959895833337</v>
      </c>
      <c r="AI632" s="107">
        <f t="shared" si="653"/>
        <v>44500.549791666672</v>
      </c>
      <c r="AJ632" s="107">
        <f t="shared" si="654"/>
        <v>44027.139687500006</v>
      </c>
      <c r="AK632" s="107">
        <f t="shared" si="655"/>
        <v>43553.729583333341</v>
      </c>
      <c r="AL632" s="107">
        <f t="shared" si="656"/>
        <v>43080.319479166676</v>
      </c>
      <c r="AM632" s="107">
        <f t="shared" si="657"/>
        <v>42606.90937500001</v>
      </c>
      <c r="AN632" s="107">
        <f t="shared" si="658"/>
        <v>42133.499270833345</v>
      </c>
      <c r="AO632" s="107">
        <f t="shared" si="659"/>
        <v>41660.089166666679</v>
      </c>
      <c r="AP632" s="139"/>
      <c r="AQ632" s="124"/>
      <c r="AR632" s="107">
        <v>3787.2808333333337</v>
      </c>
      <c r="AS632" s="107">
        <f t="shared" si="661"/>
        <v>41186.679062500014</v>
      </c>
      <c r="AT632" s="107">
        <f t="shared" si="662"/>
        <v>40713.268958333349</v>
      </c>
      <c r="AU632" s="107">
        <f t="shared" si="663"/>
        <v>40239.858854166683</v>
      </c>
      <c r="AV632" s="107">
        <f t="shared" si="664"/>
        <v>39766.448750000018</v>
      </c>
      <c r="AW632" s="107">
        <f t="shared" si="665"/>
        <v>39293.038645833352</v>
      </c>
      <c r="AX632" s="107">
        <f t="shared" si="666"/>
        <v>38819.628541666687</v>
      </c>
      <c r="AY632" s="107">
        <f t="shared" si="667"/>
        <v>38346.218437500022</v>
      </c>
      <c r="AZ632" s="107">
        <f t="shared" si="668"/>
        <v>37872.808333333356</v>
      </c>
      <c r="BA632" s="107">
        <f t="shared" si="669"/>
        <v>37399.398229166691</v>
      </c>
      <c r="BB632" s="107">
        <f t="shared" si="670"/>
        <v>36925.988125000025</v>
      </c>
      <c r="BC632" s="107">
        <f t="shared" si="671"/>
        <v>36452.57802083336</v>
      </c>
      <c r="BD632" s="107">
        <f t="shared" si="672"/>
        <v>35979.167916666695</v>
      </c>
      <c r="BE632" s="139"/>
    </row>
    <row r="633" spans="1:57" ht="22.5" hidden="1" x14ac:dyDescent="0.2">
      <c r="A633" s="149" t="s">
        <v>86</v>
      </c>
      <c r="B633" s="124" t="s">
        <v>115</v>
      </c>
      <c r="C633" s="124" t="str">
        <f>VLOOKUP(A:A,'2023-2027'!A:L,1,+FALSE)</f>
        <v>Персональный компьютер высокой производительности</v>
      </c>
      <c r="D633" s="124" t="s">
        <v>22</v>
      </c>
      <c r="E633" s="124" t="s">
        <v>23</v>
      </c>
      <c r="F633" s="134">
        <v>45029</v>
      </c>
      <c r="G633" s="124" t="s">
        <v>25</v>
      </c>
      <c r="H633" s="139">
        <v>96</v>
      </c>
      <c r="I633" s="107">
        <v>45447.37</v>
      </c>
      <c r="J633" s="124"/>
      <c r="K633" s="124"/>
      <c r="L633" s="125">
        <v>0</v>
      </c>
      <c r="M633" s="148">
        <f t="shared" si="633"/>
        <v>473.41010416666671</v>
      </c>
      <c r="N633" s="107">
        <v>0</v>
      </c>
      <c r="O633" s="107">
        <v>0</v>
      </c>
      <c r="P633" s="107">
        <v>0</v>
      </c>
      <c r="Q633" s="107">
        <v>0</v>
      </c>
      <c r="R633" s="107">
        <v>0</v>
      </c>
      <c r="S633" s="107">
        <v>0</v>
      </c>
      <c r="T633" s="107">
        <v>0</v>
      </c>
      <c r="U633" s="107">
        <v>0</v>
      </c>
      <c r="V633" s="107">
        <v>0</v>
      </c>
      <c r="W633" s="107">
        <v>0</v>
      </c>
      <c r="X633" s="107">
        <v>0</v>
      </c>
      <c r="Y633" s="107">
        <v>0</v>
      </c>
      <c r="Z633" s="107">
        <v>0</v>
      </c>
      <c r="AA633" s="139"/>
      <c r="AB633" s="124"/>
      <c r="AC633" s="107">
        <f t="shared" si="680"/>
        <v>3787.2808333333337</v>
      </c>
      <c r="AD633" s="107">
        <v>0</v>
      </c>
      <c r="AE633" s="107">
        <v>0</v>
      </c>
      <c r="AF633" s="107">
        <v>0</v>
      </c>
      <c r="AG633" s="107">
        <v>0</v>
      </c>
      <c r="AH633" s="107">
        <f t="shared" si="681"/>
        <v>44973.959895833337</v>
      </c>
      <c r="AI633" s="107">
        <f t="shared" si="653"/>
        <v>44500.549791666672</v>
      </c>
      <c r="AJ633" s="107">
        <f t="shared" si="654"/>
        <v>44027.139687500006</v>
      </c>
      <c r="AK633" s="107">
        <f t="shared" si="655"/>
        <v>43553.729583333341</v>
      </c>
      <c r="AL633" s="107">
        <f t="shared" si="656"/>
        <v>43080.319479166676</v>
      </c>
      <c r="AM633" s="107">
        <f t="shared" si="657"/>
        <v>42606.90937500001</v>
      </c>
      <c r="AN633" s="107">
        <f t="shared" si="658"/>
        <v>42133.499270833345</v>
      </c>
      <c r="AO633" s="107">
        <f t="shared" si="659"/>
        <v>41660.089166666679</v>
      </c>
      <c r="AP633" s="139"/>
      <c r="AQ633" s="124"/>
      <c r="AR633" s="107">
        <v>3787.2808333333337</v>
      </c>
      <c r="AS633" s="107">
        <f t="shared" si="661"/>
        <v>41186.679062500014</v>
      </c>
      <c r="AT633" s="107">
        <f t="shared" si="662"/>
        <v>40713.268958333349</v>
      </c>
      <c r="AU633" s="107">
        <f t="shared" si="663"/>
        <v>40239.858854166683</v>
      </c>
      <c r="AV633" s="107">
        <f t="shared" si="664"/>
        <v>39766.448750000018</v>
      </c>
      <c r="AW633" s="107">
        <f t="shared" si="665"/>
        <v>39293.038645833352</v>
      </c>
      <c r="AX633" s="107">
        <f t="shared" si="666"/>
        <v>38819.628541666687</v>
      </c>
      <c r="AY633" s="107">
        <f t="shared" si="667"/>
        <v>38346.218437500022</v>
      </c>
      <c r="AZ633" s="107">
        <f t="shared" si="668"/>
        <v>37872.808333333356</v>
      </c>
      <c r="BA633" s="107">
        <f t="shared" si="669"/>
        <v>37399.398229166691</v>
      </c>
      <c r="BB633" s="107">
        <f t="shared" si="670"/>
        <v>36925.988125000025</v>
      </c>
      <c r="BC633" s="107">
        <f t="shared" si="671"/>
        <v>36452.57802083336</v>
      </c>
      <c r="BD633" s="107">
        <f t="shared" si="672"/>
        <v>35979.167916666695</v>
      </c>
      <c r="BE633" s="139"/>
    </row>
    <row r="634" spans="1:57" ht="22.5" hidden="1" x14ac:dyDescent="0.2">
      <c r="A634" s="149" t="s">
        <v>86</v>
      </c>
      <c r="B634" s="124" t="s">
        <v>116</v>
      </c>
      <c r="C634" s="124" t="str">
        <f>VLOOKUP(A:A,'2023-2027'!A:L,1,+FALSE)</f>
        <v>Персональный компьютер высокой производительности</v>
      </c>
      <c r="D634" s="124" t="s">
        <v>22</v>
      </c>
      <c r="E634" s="124" t="s">
        <v>23</v>
      </c>
      <c r="F634" s="134">
        <v>45029</v>
      </c>
      <c r="G634" s="124" t="s">
        <v>25</v>
      </c>
      <c r="H634" s="139">
        <v>96</v>
      </c>
      <c r="I634" s="107">
        <v>45447.37</v>
      </c>
      <c r="J634" s="124"/>
      <c r="K634" s="124"/>
      <c r="L634" s="125">
        <v>0</v>
      </c>
      <c r="M634" s="148">
        <f t="shared" si="633"/>
        <v>473.41010416666671</v>
      </c>
      <c r="N634" s="107">
        <v>0</v>
      </c>
      <c r="O634" s="107">
        <v>0</v>
      </c>
      <c r="P634" s="107">
        <v>0</v>
      </c>
      <c r="Q634" s="107">
        <v>0</v>
      </c>
      <c r="R634" s="107">
        <v>0</v>
      </c>
      <c r="S634" s="107">
        <v>0</v>
      </c>
      <c r="T634" s="107">
        <v>0</v>
      </c>
      <c r="U634" s="107">
        <v>0</v>
      </c>
      <c r="V634" s="107">
        <v>0</v>
      </c>
      <c r="W634" s="107">
        <v>0</v>
      </c>
      <c r="X634" s="107">
        <v>0</v>
      </c>
      <c r="Y634" s="107">
        <v>0</v>
      </c>
      <c r="Z634" s="107">
        <v>0</v>
      </c>
      <c r="AA634" s="139"/>
      <c r="AB634" s="124"/>
      <c r="AC634" s="107">
        <f t="shared" si="680"/>
        <v>3787.2808333333337</v>
      </c>
      <c r="AD634" s="107">
        <v>0</v>
      </c>
      <c r="AE634" s="107">
        <v>0</v>
      </c>
      <c r="AF634" s="107">
        <v>0</v>
      </c>
      <c r="AG634" s="107">
        <v>0</v>
      </c>
      <c r="AH634" s="107">
        <f t="shared" si="681"/>
        <v>44973.959895833337</v>
      </c>
      <c r="AI634" s="107">
        <f t="shared" si="653"/>
        <v>44500.549791666672</v>
      </c>
      <c r="AJ634" s="107">
        <f t="shared" si="654"/>
        <v>44027.139687500006</v>
      </c>
      <c r="AK634" s="107">
        <f t="shared" si="655"/>
        <v>43553.729583333341</v>
      </c>
      <c r="AL634" s="107">
        <f t="shared" si="656"/>
        <v>43080.319479166676</v>
      </c>
      <c r="AM634" s="107">
        <f t="shared" si="657"/>
        <v>42606.90937500001</v>
      </c>
      <c r="AN634" s="107">
        <f t="shared" si="658"/>
        <v>42133.499270833345</v>
      </c>
      <c r="AO634" s="107">
        <f t="shared" si="659"/>
        <v>41660.089166666679</v>
      </c>
      <c r="AP634" s="139"/>
      <c r="AQ634" s="124"/>
      <c r="AR634" s="107">
        <v>3787.2808333333337</v>
      </c>
      <c r="AS634" s="107">
        <f t="shared" si="661"/>
        <v>41186.679062500014</v>
      </c>
      <c r="AT634" s="107">
        <f t="shared" si="662"/>
        <v>40713.268958333349</v>
      </c>
      <c r="AU634" s="107">
        <f t="shared" si="663"/>
        <v>40239.858854166683</v>
      </c>
      <c r="AV634" s="107">
        <f t="shared" si="664"/>
        <v>39766.448750000018</v>
      </c>
      <c r="AW634" s="107">
        <f t="shared" si="665"/>
        <v>39293.038645833352</v>
      </c>
      <c r="AX634" s="107">
        <f t="shared" si="666"/>
        <v>38819.628541666687</v>
      </c>
      <c r="AY634" s="107">
        <f t="shared" si="667"/>
        <v>38346.218437500022</v>
      </c>
      <c r="AZ634" s="107">
        <f t="shared" si="668"/>
        <v>37872.808333333356</v>
      </c>
      <c r="BA634" s="107">
        <f t="shared" si="669"/>
        <v>37399.398229166691</v>
      </c>
      <c r="BB634" s="107">
        <f t="shared" si="670"/>
        <v>36925.988125000025</v>
      </c>
      <c r="BC634" s="107">
        <f t="shared" si="671"/>
        <v>36452.57802083336</v>
      </c>
      <c r="BD634" s="107">
        <f t="shared" si="672"/>
        <v>35979.167916666695</v>
      </c>
      <c r="BE634" s="139"/>
    </row>
    <row r="635" spans="1:57" ht="33.75" hidden="1" x14ac:dyDescent="0.2">
      <c r="A635" s="149" t="s">
        <v>117</v>
      </c>
      <c r="B635" s="124" t="s">
        <v>2531</v>
      </c>
      <c r="C635" s="124" t="str">
        <f>VLOOKUP(A:A,'2023-2027'!A:L,1,+FALSE)</f>
        <v>Воздушная линия 0,4 кВ (ДТП №984 от 17.05.2022 г., гаражный бокс, ул. Авиаторов)</v>
      </c>
      <c r="D635" s="124" t="s">
        <v>41</v>
      </c>
      <c r="E635" s="124" t="s">
        <v>42</v>
      </c>
      <c r="F635" s="134">
        <v>45033</v>
      </c>
      <c r="G635" s="124" t="s">
        <v>44</v>
      </c>
      <c r="H635" s="139">
        <v>480</v>
      </c>
      <c r="I635" s="107">
        <v>139359.43</v>
      </c>
      <c r="J635" s="124"/>
      <c r="K635" s="124"/>
      <c r="L635" s="125">
        <v>1</v>
      </c>
      <c r="M635" s="148">
        <f t="shared" si="633"/>
        <v>290.3321458333333</v>
      </c>
      <c r="N635" s="107">
        <v>0</v>
      </c>
      <c r="O635" s="107">
        <v>0</v>
      </c>
      <c r="P635" s="107">
        <v>0</v>
      </c>
      <c r="Q635" s="107">
        <v>0</v>
      </c>
      <c r="R635" s="107">
        <v>0</v>
      </c>
      <c r="S635" s="107">
        <v>0</v>
      </c>
      <c r="T635" s="107">
        <v>0</v>
      </c>
      <c r="U635" s="107">
        <v>0</v>
      </c>
      <c r="V635" s="107">
        <v>0</v>
      </c>
      <c r="W635" s="107">
        <v>0</v>
      </c>
      <c r="X635" s="107">
        <v>0</v>
      </c>
      <c r="Y635" s="107">
        <v>0</v>
      </c>
      <c r="Z635" s="107">
        <v>0</v>
      </c>
      <c r="AA635" s="139"/>
      <c r="AB635" s="124"/>
      <c r="AC635" s="107">
        <f t="shared" si="680"/>
        <v>2322.6571666666664</v>
      </c>
      <c r="AD635" s="107">
        <v>0</v>
      </c>
      <c r="AE635" s="107">
        <v>0</v>
      </c>
      <c r="AF635" s="107">
        <v>0</v>
      </c>
      <c r="AG635" s="107">
        <v>0</v>
      </c>
      <c r="AH635" s="107">
        <f t="shared" si="681"/>
        <v>139069.09785416667</v>
      </c>
      <c r="AI635" s="107">
        <f t="shared" si="653"/>
        <v>138778.76570833335</v>
      </c>
      <c r="AJ635" s="107">
        <f t="shared" si="654"/>
        <v>138488.43356250002</v>
      </c>
      <c r="AK635" s="107">
        <f t="shared" si="655"/>
        <v>138198.1014166667</v>
      </c>
      <c r="AL635" s="107">
        <f t="shared" si="656"/>
        <v>137907.76927083338</v>
      </c>
      <c r="AM635" s="107">
        <f t="shared" si="657"/>
        <v>137617.43712500005</v>
      </c>
      <c r="AN635" s="107">
        <f t="shared" si="658"/>
        <v>137327.10497916673</v>
      </c>
      <c r="AO635" s="107">
        <f t="shared" si="659"/>
        <v>137036.77283333341</v>
      </c>
      <c r="AP635" s="150">
        <f t="shared" ref="AP635:AP637" si="682">SUM(AD635:AO635,Z635)/13*$AP$2</f>
        <v>1869.0243554230776</v>
      </c>
      <c r="AQ635" s="124"/>
      <c r="AR635" s="107">
        <v>2322.6571666666664</v>
      </c>
      <c r="AS635" s="107">
        <f t="shared" si="661"/>
        <v>136746.44068750009</v>
      </c>
      <c r="AT635" s="107">
        <f t="shared" si="662"/>
        <v>136456.10854166676</v>
      </c>
      <c r="AU635" s="107">
        <f t="shared" si="663"/>
        <v>136165.77639583344</v>
      </c>
      <c r="AV635" s="107">
        <f t="shared" si="664"/>
        <v>135875.44425000012</v>
      </c>
      <c r="AW635" s="107">
        <f t="shared" si="665"/>
        <v>135585.11210416679</v>
      </c>
      <c r="AX635" s="107">
        <f t="shared" si="666"/>
        <v>135294.77995833347</v>
      </c>
      <c r="AY635" s="107">
        <f t="shared" si="667"/>
        <v>135004.44781250015</v>
      </c>
      <c r="AZ635" s="107">
        <f t="shared" si="668"/>
        <v>134714.11566666682</v>
      </c>
      <c r="BA635" s="107">
        <f t="shared" si="669"/>
        <v>134423.7835208335</v>
      </c>
      <c r="BB635" s="107">
        <f t="shared" si="670"/>
        <v>134133.45137500018</v>
      </c>
      <c r="BC635" s="107">
        <f t="shared" si="671"/>
        <v>133843.11922916686</v>
      </c>
      <c r="BD635" s="107">
        <f t="shared" si="672"/>
        <v>133552.78708333353</v>
      </c>
      <c r="BE635" s="150">
        <f>SUM(AS635:BD635,AO635)/13*$BE$2</f>
        <v>2976.4851590833364</v>
      </c>
    </row>
    <row r="636" spans="1:57" ht="33.75" hidden="1" x14ac:dyDescent="0.2">
      <c r="A636" s="149" t="s">
        <v>118</v>
      </c>
      <c r="B636" s="124" t="s">
        <v>2532</v>
      </c>
      <c r="C636" s="124" t="str">
        <f>VLOOKUP(A:A,'2023-2027'!A:L,1,+FALSE)</f>
        <v>Воздушная линия 0,4 кВ (ДТП №1061 от 22.06.2022 г., ул. Прибрежная)</v>
      </c>
      <c r="D636" s="124" t="s">
        <v>41</v>
      </c>
      <c r="E636" s="124" t="s">
        <v>42</v>
      </c>
      <c r="F636" s="134">
        <v>45035</v>
      </c>
      <c r="G636" s="124" t="s">
        <v>44</v>
      </c>
      <c r="H636" s="139">
        <v>480</v>
      </c>
      <c r="I636" s="107">
        <v>343375.99</v>
      </c>
      <c r="J636" s="124"/>
      <c r="K636" s="124"/>
      <c r="L636" s="125">
        <v>1</v>
      </c>
      <c r="M636" s="148">
        <f t="shared" si="633"/>
        <v>715.36664583333334</v>
      </c>
      <c r="N636" s="107">
        <v>0</v>
      </c>
      <c r="O636" s="107">
        <v>0</v>
      </c>
      <c r="P636" s="107">
        <v>0</v>
      </c>
      <c r="Q636" s="107">
        <v>0</v>
      </c>
      <c r="R636" s="107">
        <v>0</v>
      </c>
      <c r="S636" s="107">
        <v>0</v>
      </c>
      <c r="T636" s="107">
        <v>0</v>
      </c>
      <c r="U636" s="107">
        <v>0</v>
      </c>
      <c r="V636" s="107">
        <v>0</v>
      </c>
      <c r="W636" s="107">
        <v>0</v>
      </c>
      <c r="X636" s="107">
        <v>0</v>
      </c>
      <c r="Y636" s="107">
        <v>0</v>
      </c>
      <c r="Z636" s="107">
        <v>0</v>
      </c>
      <c r="AA636" s="139"/>
      <c r="AB636" s="124"/>
      <c r="AC636" s="107">
        <f t="shared" si="680"/>
        <v>5722.9331666666667</v>
      </c>
      <c r="AD636" s="107">
        <v>0</v>
      </c>
      <c r="AE636" s="107">
        <v>0</v>
      </c>
      <c r="AF636" s="107">
        <v>0</v>
      </c>
      <c r="AG636" s="107">
        <v>0</v>
      </c>
      <c r="AH636" s="107">
        <f t="shared" si="681"/>
        <v>342660.62335416663</v>
      </c>
      <c r="AI636" s="107">
        <f t="shared" si="653"/>
        <v>341945.25670833327</v>
      </c>
      <c r="AJ636" s="107">
        <f t="shared" si="654"/>
        <v>341229.89006249991</v>
      </c>
      <c r="AK636" s="107">
        <f t="shared" si="655"/>
        <v>340514.52341666655</v>
      </c>
      <c r="AL636" s="107">
        <f t="shared" si="656"/>
        <v>339799.15677083319</v>
      </c>
      <c r="AM636" s="107">
        <f t="shared" si="657"/>
        <v>339083.79012499982</v>
      </c>
      <c r="AN636" s="107">
        <f t="shared" si="658"/>
        <v>338368.42347916646</v>
      </c>
      <c r="AO636" s="107">
        <f t="shared" si="659"/>
        <v>337653.0568333331</v>
      </c>
      <c r="AP636" s="150">
        <f t="shared" si="682"/>
        <v>4605.200296653843</v>
      </c>
      <c r="AQ636" s="124"/>
      <c r="AR636" s="107">
        <v>5722.9331666666667</v>
      </c>
      <c r="AS636" s="107">
        <f t="shared" si="661"/>
        <v>336937.69018749974</v>
      </c>
      <c r="AT636" s="107">
        <f t="shared" si="662"/>
        <v>336222.32354166638</v>
      </c>
      <c r="AU636" s="107">
        <f t="shared" si="663"/>
        <v>335506.95689583302</v>
      </c>
      <c r="AV636" s="107">
        <f t="shared" si="664"/>
        <v>334791.59024999966</v>
      </c>
      <c r="AW636" s="107">
        <f t="shared" si="665"/>
        <v>334076.2236041663</v>
      </c>
      <c r="AX636" s="107">
        <f t="shared" si="666"/>
        <v>333360.85695833294</v>
      </c>
      <c r="AY636" s="107">
        <f t="shared" si="667"/>
        <v>332645.49031249958</v>
      </c>
      <c r="AZ636" s="107">
        <f t="shared" si="668"/>
        <v>331930.12366666622</v>
      </c>
      <c r="BA636" s="107">
        <f t="shared" si="669"/>
        <v>331214.75702083285</v>
      </c>
      <c r="BB636" s="107">
        <f t="shared" si="670"/>
        <v>330499.39037499949</v>
      </c>
      <c r="BC636" s="107">
        <f t="shared" si="671"/>
        <v>329784.02372916613</v>
      </c>
      <c r="BD636" s="107">
        <f t="shared" si="672"/>
        <v>329068.65708333277</v>
      </c>
      <c r="BE636" s="150">
        <f>SUM(AS636:BD636,AO636)/13*$BE$2</f>
        <v>7333.938853083323</v>
      </c>
    </row>
    <row r="637" spans="1:57" ht="33.75" hidden="1" x14ac:dyDescent="0.2">
      <c r="A637" s="149" t="s">
        <v>119</v>
      </c>
      <c r="B637" s="124" t="s">
        <v>2533</v>
      </c>
      <c r="C637" s="124" t="str">
        <f>VLOOKUP(A:A,'2023-2027'!A:L,1,+FALSE)</f>
        <v>Воздушная линия 0,4 кВ (ДТП № 1084 от 05.07.2022 г., здание ПРЦ 83:00:050025:119)</v>
      </c>
      <c r="D637" s="124" t="s">
        <v>41</v>
      </c>
      <c r="E637" s="124" t="s">
        <v>42</v>
      </c>
      <c r="F637" s="134">
        <v>45042</v>
      </c>
      <c r="G637" s="124" t="s">
        <v>44</v>
      </c>
      <c r="H637" s="139">
        <v>480</v>
      </c>
      <c r="I637" s="107">
        <v>208154.94</v>
      </c>
      <c r="J637" s="124"/>
      <c r="K637" s="124"/>
      <c r="L637" s="125">
        <v>1</v>
      </c>
      <c r="M637" s="148">
        <f t="shared" si="633"/>
        <v>433.65612500000003</v>
      </c>
      <c r="N637" s="107">
        <v>0</v>
      </c>
      <c r="O637" s="107">
        <v>0</v>
      </c>
      <c r="P637" s="107">
        <v>0</v>
      </c>
      <c r="Q637" s="107">
        <v>0</v>
      </c>
      <c r="R637" s="107">
        <v>0</v>
      </c>
      <c r="S637" s="107">
        <v>0</v>
      </c>
      <c r="T637" s="107">
        <v>0</v>
      </c>
      <c r="U637" s="107">
        <v>0</v>
      </c>
      <c r="V637" s="107">
        <v>0</v>
      </c>
      <c r="W637" s="107">
        <v>0</v>
      </c>
      <c r="X637" s="107">
        <v>0</v>
      </c>
      <c r="Y637" s="107">
        <v>0</v>
      </c>
      <c r="Z637" s="107">
        <v>0</v>
      </c>
      <c r="AA637" s="139"/>
      <c r="AB637" s="124"/>
      <c r="AC637" s="107">
        <f t="shared" si="680"/>
        <v>3469.2490000000003</v>
      </c>
      <c r="AD637" s="107">
        <v>0</v>
      </c>
      <c r="AE637" s="107">
        <v>0</v>
      </c>
      <c r="AF637" s="107">
        <v>0</v>
      </c>
      <c r="AG637" s="107">
        <v>0</v>
      </c>
      <c r="AH637" s="107">
        <f t="shared" si="681"/>
        <v>207721.28387499999</v>
      </c>
      <c r="AI637" s="107">
        <f t="shared" si="653"/>
        <v>207287.62774999999</v>
      </c>
      <c r="AJ637" s="107">
        <f t="shared" si="654"/>
        <v>206853.97162499998</v>
      </c>
      <c r="AK637" s="107">
        <f t="shared" si="655"/>
        <v>206420.31549999997</v>
      </c>
      <c r="AL637" s="107">
        <f t="shared" si="656"/>
        <v>205986.65937499996</v>
      </c>
      <c r="AM637" s="107">
        <f t="shared" si="657"/>
        <v>205553.00324999995</v>
      </c>
      <c r="AN637" s="107">
        <f t="shared" si="658"/>
        <v>205119.34712499994</v>
      </c>
      <c r="AO637" s="107">
        <f t="shared" si="659"/>
        <v>204685.69099999993</v>
      </c>
      <c r="AP637" s="150">
        <f t="shared" si="682"/>
        <v>2791.6779837692297</v>
      </c>
      <c r="AQ637" s="124"/>
      <c r="AR637" s="107">
        <v>3469.2490000000003</v>
      </c>
      <c r="AS637" s="107">
        <f t="shared" si="661"/>
        <v>204252.03487499992</v>
      </c>
      <c r="AT637" s="107">
        <f t="shared" si="662"/>
        <v>203818.37874999992</v>
      </c>
      <c r="AU637" s="107">
        <f t="shared" si="663"/>
        <v>203384.72262499991</v>
      </c>
      <c r="AV637" s="107">
        <f t="shared" si="664"/>
        <v>202951.0664999999</v>
      </c>
      <c r="AW637" s="107">
        <f t="shared" si="665"/>
        <v>202517.41037499989</v>
      </c>
      <c r="AX637" s="107">
        <f t="shared" si="666"/>
        <v>202083.75424999988</v>
      </c>
      <c r="AY637" s="107">
        <f t="shared" si="667"/>
        <v>201650.09812499987</v>
      </c>
      <c r="AZ637" s="107">
        <f t="shared" si="668"/>
        <v>201216.44199999986</v>
      </c>
      <c r="BA637" s="107">
        <f t="shared" si="669"/>
        <v>200782.78587499986</v>
      </c>
      <c r="BB637" s="107">
        <f t="shared" si="670"/>
        <v>200349.12974999985</v>
      </c>
      <c r="BC637" s="107">
        <f t="shared" si="671"/>
        <v>199915.47362499984</v>
      </c>
      <c r="BD637" s="107">
        <f t="shared" si="672"/>
        <v>199481.81749999983</v>
      </c>
      <c r="BE637" s="150">
        <f>SUM(AS637:BD637,AO637)/13*$BE$2</f>
        <v>4445.8425934999968</v>
      </c>
    </row>
    <row r="638" spans="1:57" ht="45" hidden="1" x14ac:dyDescent="0.2">
      <c r="A638" s="149" t="s">
        <v>120</v>
      </c>
      <c r="B638" s="124" t="s">
        <v>2534</v>
      </c>
      <c r="C638" s="124" t="str">
        <f>VLOOKUP(A:A,'2023-2027'!A:L,1,+FALSE)</f>
        <v>Воздушная линия 0,4 кВ (ДТП № 1403 от 26.12.2022 г., гаражный бокс, г. Нарьян-Мар, район санаторно-л</v>
      </c>
      <c r="D638" s="124" t="s">
        <v>41</v>
      </c>
      <c r="E638" s="124" t="s">
        <v>42</v>
      </c>
      <c r="F638" s="134">
        <v>45049</v>
      </c>
      <c r="G638" s="124" t="s">
        <v>44</v>
      </c>
      <c r="H638" s="139">
        <v>480</v>
      </c>
      <c r="I638" s="107">
        <v>238286.25</v>
      </c>
      <c r="J638" s="124"/>
      <c r="K638" s="124"/>
      <c r="L638" s="125">
        <v>1</v>
      </c>
      <c r="M638" s="148">
        <f>I638/H638</f>
        <v>496.4296875</v>
      </c>
      <c r="N638" s="107">
        <v>0</v>
      </c>
      <c r="O638" s="107">
        <v>0</v>
      </c>
      <c r="P638" s="107">
        <v>0</v>
      </c>
      <c r="Q638" s="107">
        <v>0</v>
      </c>
      <c r="R638" s="107">
        <v>0</v>
      </c>
      <c r="S638" s="107">
        <v>0</v>
      </c>
      <c r="T638" s="107">
        <v>0</v>
      </c>
      <c r="U638" s="107">
        <v>0</v>
      </c>
      <c r="V638" s="107">
        <v>0</v>
      </c>
      <c r="W638" s="107">
        <v>0</v>
      </c>
      <c r="X638" s="107">
        <v>0</v>
      </c>
      <c r="Y638" s="107">
        <v>0</v>
      </c>
      <c r="Z638" s="107">
        <v>0</v>
      </c>
      <c r="AA638" s="139"/>
      <c r="AB638" s="124"/>
      <c r="AC638" s="107">
        <f>M638*7</f>
        <v>3475.0078125</v>
      </c>
      <c r="AD638" s="107">
        <v>0</v>
      </c>
      <c r="AE638" s="107">
        <v>0</v>
      </c>
      <c r="AF638" s="107">
        <v>0</v>
      </c>
      <c r="AG638" s="107">
        <v>0</v>
      </c>
      <c r="AH638" s="107">
        <v>0</v>
      </c>
      <c r="AI638" s="107">
        <f>I638-M638</f>
        <v>237789.8203125</v>
      </c>
      <c r="AJ638" s="107">
        <f t="shared" si="654"/>
        <v>237293.390625</v>
      </c>
      <c r="AK638" s="107">
        <f t="shared" si="655"/>
        <v>236796.9609375</v>
      </c>
      <c r="AL638" s="107">
        <f t="shared" si="656"/>
        <v>236300.53125</v>
      </c>
      <c r="AM638" s="107">
        <f t="shared" si="657"/>
        <v>235804.1015625</v>
      </c>
      <c r="AN638" s="107">
        <f t="shared" si="658"/>
        <v>235307.671875</v>
      </c>
      <c r="AO638" s="107">
        <f t="shared" si="659"/>
        <v>234811.2421875</v>
      </c>
      <c r="AP638" s="150">
        <f>SUM(AD638:AO638,Z638)/13*$AP$2</f>
        <v>2799.2524471153843</v>
      </c>
      <c r="AQ638" s="124"/>
      <c r="AR638" s="107">
        <v>3475.0078125</v>
      </c>
      <c r="AS638" s="107">
        <f t="shared" si="661"/>
        <v>234314.8125</v>
      </c>
      <c r="AT638" s="107">
        <f t="shared" si="662"/>
        <v>233818.3828125</v>
      </c>
      <c r="AU638" s="107">
        <f t="shared" si="663"/>
        <v>233321.953125</v>
      </c>
      <c r="AV638" s="107">
        <f t="shared" si="664"/>
        <v>232825.5234375</v>
      </c>
      <c r="AW638" s="107">
        <f t="shared" si="665"/>
        <v>232329.09375</v>
      </c>
      <c r="AX638" s="107">
        <f t="shared" si="666"/>
        <v>231832.6640625</v>
      </c>
      <c r="AY638" s="107">
        <f t="shared" si="667"/>
        <v>231336.234375</v>
      </c>
      <c r="AZ638" s="107">
        <f t="shared" si="668"/>
        <v>230839.8046875</v>
      </c>
      <c r="BA638" s="107">
        <f t="shared" si="669"/>
        <v>230343.375</v>
      </c>
      <c r="BB638" s="107">
        <f t="shared" si="670"/>
        <v>229846.9453125</v>
      </c>
      <c r="BC638" s="107">
        <f t="shared" si="671"/>
        <v>229350.515625</v>
      </c>
      <c r="BD638" s="107">
        <f t="shared" si="672"/>
        <v>228854.0859375</v>
      </c>
      <c r="BE638" s="150">
        <f>SUM(AS638:BD638,AO638)/13*$BE$2</f>
        <v>5100.3186093750001</v>
      </c>
    </row>
    <row r="639" spans="1:57" ht="51" hidden="1" x14ac:dyDescent="0.2">
      <c r="A639" s="154" t="s">
        <v>86</v>
      </c>
      <c r="B639" s="155" t="s">
        <v>2535</v>
      </c>
      <c r="C639" s="124" t="str">
        <f>VLOOKUP(A:A,'2023-2027'!A:L,1,+FALSE)</f>
        <v>Персональный компьютер высокой производительности</v>
      </c>
      <c r="D639" s="156" t="s">
        <v>22</v>
      </c>
      <c r="E639" s="124" t="s">
        <v>23</v>
      </c>
      <c r="F639" s="157">
        <v>45076</v>
      </c>
      <c r="G639" s="124" t="s">
        <v>25</v>
      </c>
      <c r="H639" s="158">
        <v>36</v>
      </c>
      <c r="I639" s="159">
        <v>45247.360000000001</v>
      </c>
      <c r="J639" s="124"/>
      <c r="K639" s="124"/>
      <c r="L639" s="125">
        <v>0</v>
      </c>
      <c r="M639" s="148">
        <f>I639/H639</f>
        <v>1256.8711111111111</v>
      </c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39"/>
      <c r="AB639" s="124"/>
      <c r="AC639" s="107">
        <f>M639*7</f>
        <v>8798.0977777777771</v>
      </c>
      <c r="AD639" s="107"/>
      <c r="AE639" s="107"/>
      <c r="AF639" s="107"/>
      <c r="AG639" s="107"/>
      <c r="AH639" s="107"/>
      <c r="AI639" s="107">
        <f>I639-M639</f>
        <v>43990.488888888889</v>
      </c>
      <c r="AJ639" s="107">
        <f t="shared" si="654"/>
        <v>42733.617777777778</v>
      </c>
      <c r="AK639" s="107">
        <f t="shared" si="655"/>
        <v>41476.746666666666</v>
      </c>
      <c r="AL639" s="107">
        <f t="shared" si="656"/>
        <v>40219.875555555554</v>
      </c>
      <c r="AM639" s="107">
        <f t="shared" si="657"/>
        <v>38963.004444444443</v>
      </c>
      <c r="AN639" s="107">
        <f t="shared" si="658"/>
        <v>37706.133333333331</v>
      </c>
      <c r="AO639" s="107">
        <f t="shared" si="659"/>
        <v>36449.26222222222</v>
      </c>
      <c r="AP639" s="150"/>
      <c r="AQ639" s="124"/>
      <c r="AR639" s="107">
        <f>M639*12</f>
        <v>15082.453333333333</v>
      </c>
      <c r="AS639" s="107">
        <f t="shared" si="661"/>
        <v>35192.391111111108</v>
      </c>
      <c r="AT639" s="107">
        <f t="shared" si="662"/>
        <v>33935.519999999997</v>
      </c>
      <c r="AU639" s="107">
        <f t="shared" si="663"/>
        <v>32678.648888888885</v>
      </c>
      <c r="AV639" s="107">
        <f t="shared" si="664"/>
        <v>31421.777777777774</v>
      </c>
      <c r="AW639" s="107">
        <f t="shared" si="665"/>
        <v>30164.906666666662</v>
      </c>
      <c r="AX639" s="107">
        <f t="shared" si="666"/>
        <v>28908.035555555551</v>
      </c>
      <c r="AY639" s="107">
        <f t="shared" si="667"/>
        <v>27651.164444444439</v>
      </c>
      <c r="AZ639" s="107">
        <f t="shared" si="668"/>
        <v>26394.293333333328</v>
      </c>
      <c r="BA639" s="107">
        <f t="shared" si="669"/>
        <v>25137.422222222216</v>
      </c>
      <c r="BB639" s="107">
        <f t="shared" si="670"/>
        <v>23880.551111111105</v>
      </c>
      <c r="BC639" s="107">
        <f t="shared" si="671"/>
        <v>22623.679999999993</v>
      </c>
      <c r="BD639" s="107">
        <f t="shared" si="672"/>
        <v>21366.808888888881</v>
      </c>
      <c r="BE639" s="150"/>
    </row>
    <row r="640" spans="1:57" ht="51" hidden="1" x14ac:dyDescent="0.2">
      <c r="A640" s="154" t="s">
        <v>86</v>
      </c>
      <c r="B640" s="155" t="s">
        <v>2536</v>
      </c>
      <c r="C640" s="124" t="str">
        <f>VLOOKUP(A:A,'2023-2027'!A:L,1,+FALSE)</f>
        <v>Персональный компьютер высокой производительности</v>
      </c>
      <c r="D640" s="156" t="s">
        <v>22</v>
      </c>
      <c r="E640" s="124" t="s">
        <v>23</v>
      </c>
      <c r="F640" s="157">
        <v>45076</v>
      </c>
      <c r="G640" s="124" t="s">
        <v>25</v>
      </c>
      <c r="H640" s="158">
        <v>36</v>
      </c>
      <c r="I640" s="159">
        <v>65154.02</v>
      </c>
      <c r="J640" s="124"/>
      <c r="K640" s="124"/>
      <c r="L640" s="125">
        <v>0</v>
      </c>
      <c r="M640" s="148">
        <f t="shared" ref="M640:M644" si="683">I640/H640</f>
        <v>1809.8338888888889</v>
      </c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39"/>
      <c r="AB640" s="124"/>
      <c r="AC640" s="107">
        <v>12668.6</v>
      </c>
      <c r="AD640" s="107"/>
      <c r="AE640" s="107"/>
      <c r="AF640" s="107"/>
      <c r="AG640" s="107"/>
      <c r="AH640" s="107"/>
      <c r="AI640" s="107">
        <f>I640-M640</f>
        <v>63344.186111111107</v>
      </c>
      <c r="AJ640" s="107">
        <f>AI640-M640</f>
        <v>61534.352222222216</v>
      </c>
      <c r="AK640" s="107">
        <f t="shared" si="655"/>
        <v>59724.518333333326</v>
      </c>
      <c r="AL640" s="107">
        <f t="shared" si="656"/>
        <v>57914.684444444436</v>
      </c>
      <c r="AM640" s="107">
        <f t="shared" si="657"/>
        <v>56104.850555555546</v>
      </c>
      <c r="AN640" s="107">
        <f t="shared" si="658"/>
        <v>54295.016666666656</v>
      </c>
      <c r="AO640" s="107">
        <f t="shared" si="659"/>
        <v>52485.182777777765</v>
      </c>
      <c r="AP640" s="150"/>
      <c r="AQ640" s="124"/>
      <c r="AR640" s="107">
        <f>M640*12</f>
        <v>21718.006666666668</v>
      </c>
      <c r="AS640" s="107">
        <f t="shared" si="661"/>
        <v>50675.348888888875</v>
      </c>
      <c r="AT640" s="107">
        <f t="shared" si="662"/>
        <v>48865.514999999985</v>
      </c>
      <c r="AU640" s="107">
        <f t="shared" si="663"/>
        <v>47055.681111111095</v>
      </c>
      <c r="AV640" s="107">
        <f t="shared" si="664"/>
        <v>45245.847222222204</v>
      </c>
      <c r="AW640" s="107">
        <f t="shared" si="665"/>
        <v>43436.013333333314</v>
      </c>
      <c r="AX640" s="107">
        <f t="shared" si="666"/>
        <v>41626.179444444424</v>
      </c>
      <c r="AY640" s="107">
        <f t="shared" si="667"/>
        <v>39816.345555555534</v>
      </c>
      <c r="AZ640" s="107">
        <f t="shared" si="668"/>
        <v>38006.511666666644</v>
      </c>
      <c r="BA640" s="107">
        <f t="shared" si="669"/>
        <v>36196.677777777753</v>
      </c>
      <c r="BB640" s="107">
        <f t="shared" si="670"/>
        <v>34386.843888888863</v>
      </c>
      <c r="BC640" s="107">
        <f t="shared" si="671"/>
        <v>32577.009999999973</v>
      </c>
      <c r="BD640" s="107">
        <f t="shared" si="672"/>
        <v>30767.176111111083</v>
      </c>
      <c r="BE640" s="150"/>
    </row>
    <row r="641" spans="1:57" ht="45" hidden="1" x14ac:dyDescent="0.2">
      <c r="A641" s="154" t="s">
        <v>2537</v>
      </c>
      <c r="B641" s="155" t="s">
        <v>2538</v>
      </c>
      <c r="C641" s="124" t="str">
        <f>VLOOKUP(A:A,'2023-2027'!A:L,1,+FALSE)</f>
        <v>Воздушная линия 0,4 кВ (ДТП № 1445 от 25.01.2023 г., Участок строительства ИЖД по адресу: г. Нарьян-</v>
      </c>
      <c r="D641" s="156" t="s">
        <v>41</v>
      </c>
      <c r="E641" s="124" t="s">
        <v>42</v>
      </c>
      <c r="F641" s="157">
        <v>45076</v>
      </c>
      <c r="G641" s="124" t="s">
        <v>44</v>
      </c>
      <c r="H641" s="160">
        <v>179.99938001797949</v>
      </c>
      <c r="I641" s="159">
        <v>168682.91</v>
      </c>
      <c r="J641" s="124"/>
      <c r="K641" s="124"/>
      <c r="L641" s="125">
        <v>1</v>
      </c>
      <c r="M641" s="148">
        <f t="shared" si="683"/>
        <v>937.13050557813517</v>
      </c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39"/>
      <c r="AB641" s="124"/>
      <c r="AC641" s="107">
        <f>M641*7</f>
        <v>6559.9135390469464</v>
      </c>
      <c r="AD641" s="107"/>
      <c r="AE641" s="107"/>
      <c r="AF641" s="107"/>
      <c r="AG641" s="107"/>
      <c r="AH641" s="107"/>
      <c r="AI641" s="107">
        <f>I641-M641</f>
        <v>167745.77949442188</v>
      </c>
      <c r="AJ641" s="107">
        <f>AI641-M641</f>
        <v>166808.64898884375</v>
      </c>
      <c r="AK641" s="107">
        <f t="shared" si="655"/>
        <v>165871.51848326562</v>
      </c>
      <c r="AL641" s="107">
        <f t="shared" si="656"/>
        <v>164934.3879776875</v>
      </c>
      <c r="AM641" s="107">
        <f t="shared" si="657"/>
        <v>163997.25747210937</v>
      </c>
      <c r="AN641" s="107">
        <f t="shared" si="658"/>
        <v>163060.12696653124</v>
      </c>
      <c r="AO641" s="107">
        <f t="shared" si="659"/>
        <v>162122.99646095312</v>
      </c>
      <c r="AP641" s="150">
        <f>SUM(AD641:AO641,Z641)/13*$AP$2</f>
        <v>1953.8381345049133</v>
      </c>
      <c r="AQ641" s="124"/>
      <c r="AR641" s="107">
        <f>M641*12</f>
        <v>11245.566066937623</v>
      </c>
      <c r="AS641" s="107">
        <f>AO641-M641</f>
        <v>161185.86595537499</v>
      </c>
      <c r="AT641" s="107">
        <f t="shared" si="662"/>
        <v>160248.73544979686</v>
      </c>
      <c r="AU641" s="107">
        <f t="shared" si="663"/>
        <v>159311.60494421874</v>
      </c>
      <c r="AV641" s="107">
        <f t="shared" si="664"/>
        <v>158374.47443864061</v>
      </c>
      <c r="AW641" s="107">
        <f t="shared" si="665"/>
        <v>157437.34393306248</v>
      </c>
      <c r="AX641" s="107">
        <f t="shared" si="666"/>
        <v>156500.21342748436</v>
      </c>
      <c r="AY641" s="107">
        <f t="shared" si="667"/>
        <v>155563.08292190623</v>
      </c>
      <c r="AZ641" s="107">
        <f t="shared" si="668"/>
        <v>154625.9524163281</v>
      </c>
      <c r="BA641" s="107">
        <f t="shared" si="669"/>
        <v>153688.82191074998</v>
      </c>
      <c r="BB641" s="107">
        <f t="shared" si="670"/>
        <v>152751.69140517185</v>
      </c>
      <c r="BC641" s="107">
        <f t="shared" si="671"/>
        <v>151814.56089959372</v>
      </c>
      <c r="BD641" s="107">
        <f t="shared" si="672"/>
        <v>150877.4303940156</v>
      </c>
      <c r="BE641" s="150">
        <f>SUM(AS641:BD641,AO641)/13*$BE$2</f>
        <v>3443.0046954046552</v>
      </c>
    </row>
    <row r="642" spans="1:57" ht="45" hidden="1" x14ac:dyDescent="0.2">
      <c r="A642" s="154" t="s">
        <v>2539</v>
      </c>
      <c r="B642" s="155" t="s">
        <v>2540</v>
      </c>
      <c r="C642" s="124" t="str">
        <f>VLOOKUP(A:A,'2023-2027'!A:L,1,+FALSE)</f>
        <v>Воздушная линия 0,4кВ (ДТП №148 Ф от 27.07.2021г, индивидуальная баня кадастровый номер 83:00:050802</v>
      </c>
      <c r="D642" s="156" t="s">
        <v>41</v>
      </c>
      <c r="E642" s="124" t="s">
        <v>42</v>
      </c>
      <c r="F642" s="157">
        <v>45076</v>
      </c>
      <c r="G642" s="124" t="s">
        <v>44</v>
      </c>
      <c r="H642" s="160">
        <v>179.99938001797949</v>
      </c>
      <c r="I642" s="159">
        <v>289256.90000000002</v>
      </c>
      <c r="J642" s="124"/>
      <c r="K642" s="124"/>
      <c r="L642" s="125">
        <v>1</v>
      </c>
      <c r="M642" s="148">
        <f t="shared" si="683"/>
        <v>1606.9883127992284</v>
      </c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39"/>
      <c r="AB642" s="124"/>
      <c r="AC642" s="107">
        <f>M642*7</f>
        <v>11248.918189594599</v>
      </c>
      <c r="AD642" s="107"/>
      <c r="AE642" s="107"/>
      <c r="AF642" s="107"/>
      <c r="AG642" s="107"/>
      <c r="AH642" s="107"/>
      <c r="AI642" s="107">
        <f>I642-M642</f>
        <v>287649.91168720077</v>
      </c>
      <c r="AJ642" s="107">
        <f>AI642-M642</f>
        <v>286042.92337440152</v>
      </c>
      <c r="AK642" s="107">
        <f t="shared" ref="AK642:AK644" si="684">AJ642-M642</f>
        <v>284435.93506160227</v>
      </c>
      <c r="AL642" s="107">
        <f t="shared" ref="AL642:AL644" si="685">AK642-M642</f>
        <v>282828.94674880302</v>
      </c>
      <c r="AM642" s="107">
        <f t="shared" ref="AM642:AM644" si="686">AL642-M642</f>
        <v>281221.95843600377</v>
      </c>
      <c r="AN642" s="107">
        <f t="shared" si="658"/>
        <v>279614.97012320452</v>
      </c>
      <c r="AO642" s="107">
        <f t="shared" si="659"/>
        <v>278007.98181040527</v>
      </c>
      <c r="AP642" s="150">
        <f>SUM(AD642:AO642,Z642)/13*$AP$2</f>
        <v>3350.4352153319742</v>
      </c>
      <c r="AQ642" s="124"/>
      <c r="AR642" s="107">
        <f>M642*12</f>
        <v>19283.859753590739</v>
      </c>
      <c r="AS642" s="107">
        <f>AO642-M642</f>
        <v>276400.99349760602</v>
      </c>
      <c r="AT642" s="107">
        <f t="shared" si="662"/>
        <v>274794.00518480677</v>
      </c>
      <c r="AU642" s="107">
        <f t="shared" si="663"/>
        <v>273187.01687200752</v>
      </c>
      <c r="AV642" s="107">
        <f t="shared" si="664"/>
        <v>271580.02855920827</v>
      </c>
      <c r="AW642" s="107">
        <f t="shared" si="665"/>
        <v>269973.04024640901</v>
      </c>
      <c r="AX642" s="107">
        <f t="shared" si="666"/>
        <v>268366.05193360976</v>
      </c>
      <c r="AY642" s="107">
        <f t="shared" si="667"/>
        <v>266759.06362081051</v>
      </c>
      <c r="AZ642" s="107">
        <f t="shared" si="668"/>
        <v>265152.07530801126</v>
      </c>
      <c r="BA642" s="107">
        <f t="shared" si="669"/>
        <v>263545.08699521201</v>
      </c>
      <c r="BB642" s="107">
        <f t="shared" si="670"/>
        <v>261938.09868241279</v>
      </c>
      <c r="BC642" s="107">
        <f t="shared" si="671"/>
        <v>260331.11036961357</v>
      </c>
      <c r="BD642" s="107">
        <f t="shared" si="672"/>
        <v>258724.12205681435</v>
      </c>
      <c r="BE642" s="150">
        <f>SUM(AS642:BD642,AO642)/13*$BE$2</f>
        <v>5904.0531425394147</v>
      </c>
    </row>
    <row r="643" spans="1:57" ht="33.75" hidden="1" x14ac:dyDescent="0.2">
      <c r="A643" s="154" t="s">
        <v>2541</v>
      </c>
      <c r="B643" s="155" t="s">
        <v>2542</v>
      </c>
      <c r="C643" s="124" t="str">
        <f>VLOOKUP(A:A,'2023-2027'!A:L,1,+FALSE)</f>
        <v>«Воздушная линия 0,4кВ (ДТП №1204 от 01.09.2022г, гаражи по ул.Строителей)»</v>
      </c>
      <c r="D643" s="156" t="s">
        <v>41</v>
      </c>
      <c r="E643" s="124" t="s">
        <v>42</v>
      </c>
      <c r="F643" s="157">
        <v>45082</v>
      </c>
      <c r="G643" s="124" t="s">
        <v>44</v>
      </c>
      <c r="H643" s="158">
        <v>180</v>
      </c>
      <c r="I643" s="159">
        <v>120056.53</v>
      </c>
      <c r="J643" s="124"/>
      <c r="K643" s="124"/>
      <c r="L643" s="125">
        <v>1</v>
      </c>
      <c r="M643" s="148">
        <f t="shared" si="683"/>
        <v>666.9807222222222</v>
      </c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39"/>
      <c r="AB643" s="124"/>
      <c r="AC643" s="107">
        <v>4002</v>
      </c>
      <c r="AD643" s="107"/>
      <c r="AE643" s="107"/>
      <c r="AF643" s="107"/>
      <c r="AG643" s="107"/>
      <c r="AH643" s="107"/>
      <c r="AI643" s="107"/>
      <c r="AJ643" s="107">
        <f>I643-M643</f>
        <v>119389.54927777778</v>
      </c>
      <c r="AK643" s="107">
        <f t="shared" si="684"/>
        <v>118722.56855555557</v>
      </c>
      <c r="AL643" s="107">
        <f t="shared" si="685"/>
        <v>118055.58783333335</v>
      </c>
      <c r="AM643" s="107">
        <f t="shared" si="686"/>
        <v>117388.60711111114</v>
      </c>
      <c r="AN643" s="107">
        <f t="shared" si="658"/>
        <v>116721.62638888892</v>
      </c>
      <c r="AO643" s="107">
        <f t="shared" si="659"/>
        <v>116054.64566666671</v>
      </c>
      <c r="AP643" s="150">
        <f t="shared" ref="AP643:AP644" si="687">SUM(AD643:AO643,Z643)/13*$AP$2</f>
        <v>1195.3320666410259</v>
      </c>
      <c r="AQ643" s="124"/>
      <c r="AR643" s="107">
        <f t="shared" ref="AR643:AR644" si="688">M643*12</f>
        <v>8003.7686666666668</v>
      </c>
      <c r="AS643" s="107">
        <f t="shared" ref="AS643:AS644" si="689">AO643-M643</f>
        <v>115387.66494444449</v>
      </c>
      <c r="AT643" s="107">
        <f t="shared" si="662"/>
        <v>114720.68422222228</v>
      </c>
      <c r="AU643" s="107">
        <f t="shared" si="663"/>
        <v>114053.70350000006</v>
      </c>
      <c r="AV643" s="107">
        <f t="shared" si="664"/>
        <v>113386.72277777785</v>
      </c>
      <c r="AW643" s="107">
        <f t="shared" si="665"/>
        <v>112719.74205555563</v>
      </c>
      <c r="AX643" s="107">
        <f t="shared" si="666"/>
        <v>112052.76133333342</v>
      </c>
      <c r="AY643" s="107">
        <f t="shared" si="667"/>
        <v>111385.7806111112</v>
      </c>
      <c r="AZ643" s="107">
        <f t="shared" si="668"/>
        <v>110718.79988888899</v>
      </c>
      <c r="BA643" s="107">
        <f t="shared" si="669"/>
        <v>110051.81916666677</v>
      </c>
      <c r="BB643" s="107">
        <f t="shared" si="670"/>
        <v>109384.83844444455</v>
      </c>
      <c r="BC643" s="107">
        <f t="shared" si="671"/>
        <v>108717.85772222234</v>
      </c>
      <c r="BD643" s="107">
        <f t="shared" si="672"/>
        <v>108050.87700000012</v>
      </c>
      <c r="BE643" s="150">
        <f t="shared" ref="BE643:BE644" si="690">SUM(AS643:BD643,AO643)/13*$BE$2</f>
        <v>2465.1607493333349</v>
      </c>
    </row>
    <row r="644" spans="1:57" ht="33.75" hidden="1" x14ac:dyDescent="0.2">
      <c r="A644" s="154" t="s">
        <v>2543</v>
      </c>
      <c r="B644" s="155" t="s">
        <v>2544</v>
      </c>
      <c r="C644" s="124" t="str">
        <f>VLOOKUP(A:A,'2023-2027'!A:L,1,+FALSE)</f>
        <v>Воздушная линия 0,4кВ (ДТП №988 от 04.05.2022г, стоянка, ЗУ 83:00:060006:870)</v>
      </c>
      <c r="D644" s="156" t="s">
        <v>41</v>
      </c>
      <c r="E644" s="124" t="s">
        <v>42</v>
      </c>
      <c r="F644" s="157">
        <v>45097</v>
      </c>
      <c r="G644" s="124" t="s">
        <v>44</v>
      </c>
      <c r="H644" s="158">
        <v>180</v>
      </c>
      <c r="I644" s="159">
        <v>545194.37</v>
      </c>
      <c r="J644" s="124"/>
      <c r="K644" s="124"/>
      <c r="L644" s="125">
        <v>1</v>
      </c>
      <c r="M644" s="148">
        <f t="shared" si="683"/>
        <v>3028.8576111111111</v>
      </c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39"/>
      <c r="AB644" s="124"/>
      <c r="AC644" s="107">
        <v>18173.400000000001</v>
      </c>
      <c r="AD644" s="107"/>
      <c r="AE644" s="107"/>
      <c r="AF644" s="107"/>
      <c r="AG644" s="107"/>
      <c r="AH644" s="107"/>
      <c r="AI644" s="107"/>
      <c r="AJ644" s="107">
        <f>I644-M644</f>
        <v>542165.51238888886</v>
      </c>
      <c r="AK644" s="107">
        <f t="shared" si="684"/>
        <v>539136.65477777773</v>
      </c>
      <c r="AL644" s="107">
        <f t="shared" si="685"/>
        <v>536107.7971666666</v>
      </c>
      <c r="AM644" s="107">
        <f t="shared" si="686"/>
        <v>533078.93955555547</v>
      </c>
      <c r="AN644" s="107">
        <f t="shared" si="658"/>
        <v>530050.08194444433</v>
      </c>
      <c r="AO644" s="107">
        <f t="shared" si="659"/>
        <v>527021.2243333332</v>
      </c>
      <c r="AP644" s="150">
        <f t="shared" si="687"/>
        <v>5428.1788172051265</v>
      </c>
      <c r="AQ644" s="124"/>
      <c r="AR644" s="107">
        <f t="shared" si="688"/>
        <v>36346.291333333334</v>
      </c>
      <c r="AS644" s="107">
        <f t="shared" si="689"/>
        <v>523992.36672222207</v>
      </c>
      <c r="AT644" s="107">
        <f t="shared" si="662"/>
        <v>520963.50911111094</v>
      </c>
      <c r="AU644" s="107">
        <f t="shared" si="663"/>
        <v>517934.6514999998</v>
      </c>
      <c r="AV644" s="107">
        <f t="shared" si="664"/>
        <v>514905.79388888867</v>
      </c>
      <c r="AW644" s="107">
        <f t="shared" si="665"/>
        <v>511876.93627777754</v>
      </c>
      <c r="AX644" s="107">
        <f t="shared" si="666"/>
        <v>508848.07866666641</v>
      </c>
      <c r="AY644" s="107">
        <f t="shared" si="667"/>
        <v>505819.22105555527</v>
      </c>
      <c r="AZ644" s="107">
        <f t="shared" si="668"/>
        <v>502790.36344444414</v>
      </c>
      <c r="BA644" s="107">
        <f t="shared" si="669"/>
        <v>499761.50583333301</v>
      </c>
      <c r="BB644" s="107">
        <f t="shared" si="670"/>
        <v>496732.64822222188</v>
      </c>
      <c r="BC644" s="107">
        <f t="shared" si="671"/>
        <v>493703.79061111074</v>
      </c>
      <c r="BD644" s="107">
        <f t="shared" si="672"/>
        <v>490674.93299999961</v>
      </c>
      <c r="BE644" s="150">
        <f t="shared" si="690"/>
        <v>11194.65773066666</v>
      </c>
    </row>
    <row r="645" spans="1:57" hidden="1" x14ac:dyDescent="0.2">
      <c r="A645" s="149" t="s">
        <v>1085</v>
      </c>
      <c r="B645" s="124" t="s">
        <v>2545</v>
      </c>
      <c r="C645" s="124" t="e">
        <f>VLOOKUP(A:A,'2023-2027'!A:L,1,+FALSE)</f>
        <v>#N/A</v>
      </c>
      <c r="D645" s="124" t="s">
        <v>30</v>
      </c>
      <c r="E645" s="124" t="s">
        <v>23</v>
      </c>
      <c r="F645" s="157">
        <v>45184</v>
      </c>
      <c r="G645" s="124" t="s">
        <v>31</v>
      </c>
      <c r="H645" s="139">
        <v>84</v>
      </c>
      <c r="I645" s="107">
        <v>158298004.78999999</v>
      </c>
      <c r="J645" s="124"/>
      <c r="K645" s="124"/>
      <c r="L645" s="125">
        <v>0</v>
      </c>
      <c r="M645" s="148">
        <f t="shared" si="633"/>
        <v>1884500.0570238095</v>
      </c>
      <c r="N645" s="107">
        <v>0</v>
      </c>
      <c r="O645" s="107">
        <v>0</v>
      </c>
      <c r="P645" s="107">
        <v>0</v>
      </c>
      <c r="Q645" s="107">
        <v>0</v>
      </c>
      <c r="R645" s="107">
        <v>0</v>
      </c>
      <c r="S645" s="107">
        <v>0</v>
      </c>
      <c r="T645" s="107">
        <v>0</v>
      </c>
      <c r="U645" s="107">
        <v>0</v>
      </c>
      <c r="V645" s="107">
        <v>0</v>
      </c>
      <c r="W645" s="107">
        <v>0</v>
      </c>
      <c r="X645" s="107">
        <v>0</v>
      </c>
      <c r="Y645" s="107">
        <v>0</v>
      </c>
      <c r="Z645" s="107">
        <v>0</v>
      </c>
      <c r="AA645" s="139"/>
      <c r="AB645" s="124"/>
      <c r="AC645" s="107">
        <v>5653500.1500000004</v>
      </c>
      <c r="AD645" s="107">
        <v>0</v>
      </c>
      <c r="AE645" s="107">
        <v>0</v>
      </c>
      <c r="AF645" s="107">
        <v>0</v>
      </c>
      <c r="AG645" s="107">
        <v>0</v>
      </c>
      <c r="AH645" s="107">
        <v>0</v>
      </c>
      <c r="AI645" s="107">
        <v>0</v>
      </c>
      <c r="AJ645" s="107">
        <v>0</v>
      </c>
      <c r="AK645" s="107">
        <v>0</v>
      </c>
      <c r="AL645" s="107">
        <v>0</v>
      </c>
      <c r="AM645" s="107">
        <f>I645-M645</f>
        <v>156413504.73297617</v>
      </c>
      <c r="AN645" s="107">
        <f t="shared" si="658"/>
        <v>154529004.67595235</v>
      </c>
      <c r="AO645" s="107">
        <f t="shared" si="659"/>
        <v>152644504.61892852</v>
      </c>
      <c r="AP645" s="150"/>
      <c r="AQ645" s="124"/>
      <c r="AR645" s="107">
        <f>M645*12</f>
        <v>22614000.684285715</v>
      </c>
      <c r="AS645" s="107">
        <f t="shared" si="661"/>
        <v>150760004.5619047</v>
      </c>
      <c r="AT645" s="107">
        <f t="shared" si="662"/>
        <v>148875504.50488088</v>
      </c>
      <c r="AU645" s="107">
        <f t="shared" si="663"/>
        <v>146991004.44785705</v>
      </c>
      <c r="AV645" s="107">
        <f t="shared" si="664"/>
        <v>145106504.39083323</v>
      </c>
      <c r="AW645" s="107">
        <f t="shared" si="665"/>
        <v>143222004.33380941</v>
      </c>
      <c r="AX645" s="107">
        <f t="shared" si="666"/>
        <v>141337504.27678558</v>
      </c>
      <c r="AY645" s="107">
        <f t="shared" si="667"/>
        <v>139453004.21976176</v>
      </c>
      <c r="AZ645" s="107">
        <f t="shared" si="668"/>
        <v>137568504.16273794</v>
      </c>
      <c r="BA645" s="107">
        <f t="shared" si="669"/>
        <v>135684004.10571411</v>
      </c>
      <c r="BB645" s="107">
        <f t="shared" si="670"/>
        <v>133799504.0486903</v>
      </c>
      <c r="BC645" s="107">
        <f t="shared" si="671"/>
        <v>131915003.9916665</v>
      </c>
      <c r="BD645" s="107">
        <f t="shared" si="672"/>
        <v>130030503.93464269</v>
      </c>
      <c r="BE645" s="150"/>
    </row>
    <row r="646" spans="1:57" ht="56.25" hidden="1" x14ac:dyDescent="0.2">
      <c r="A646" s="161" t="s">
        <v>2546</v>
      </c>
      <c r="B646" s="162" t="s">
        <v>2547</v>
      </c>
      <c r="C646" s="124" t="e">
        <f>VLOOKUP(A:A,'2023-2027'!A:L,1,+FALSE)</f>
        <v>#N/A</v>
      </c>
      <c r="D646" s="163" t="s">
        <v>41</v>
      </c>
      <c r="E646" s="124" t="s">
        <v>42</v>
      </c>
      <c r="F646" s="164">
        <v>45292</v>
      </c>
      <c r="G646" s="124" t="s">
        <v>44</v>
      </c>
      <c r="H646" s="158">
        <v>480</v>
      </c>
      <c r="I646" s="159">
        <f>331090.13/1.2</f>
        <v>275908.44166666671</v>
      </c>
      <c r="J646" s="124"/>
      <c r="K646" s="124"/>
      <c r="L646" s="125">
        <v>1</v>
      </c>
      <c r="M646" s="148">
        <f>I646/H646</f>
        <v>574.80925347222228</v>
      </c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39"/>
      <c r="AB646" s="124"/>
      <c r="AC646" s="107"/>
      <c r="AD646" s="107"/>
      <c r="AE646" s="107"/>
      <c r="AF646" s="107"/>
      <c r="AG646" s="107"/>
      <c r="AH646" s="107"/>
      <c r="AI646" s="107"/>
      <c r="AJ646" s="107"/>
      <c r="AK646" s="107"/>
      <c r="AL646" s="107"/>
      <c r="AM646" s="107"/>
      <c r="AN646" s="107"/>
      <c r="AO646" s="107"/>
      <c r="AP646" s="150"/>
      <c r="AQ646" s="124"/>
      <c r="AR646" s="107">
        <f>M646*12</f>
        <v>6897.7110416666674</v>
      </c>
      <c r="AS646" s="107">
        <f t="shared" ref="AS646:AS655" si="691">I646-M646</f>
        <v>275333.63241319451</v>
      </c>
      <c r="AT646" s="107">
        <f t="shared" si="662"/>
        <v>274758.82315972232</v>
      </c>
      <c r="AU646" s="107">
        <f t="shared" si="663"/>
        <v>274184.01390625013</v>
      </c>
      <c r="AV646" s="107">
        <f t="shared" si="664"/>
        <v>273609.20465277793</v>
      </c>
      <c r="AW646" s="107">
        <f t="shared" si="665"/>
        <v>273034.39539930574</v>
      </c>
      <c r="AX646" s="107">
        <f t="shared" si="666"/>
        <v>272459.58614583354</v>
      </c>
      <c r="AY646" s="107">
        <f t="shared" si="667"/>
        <v>271884.77689236135</v>
      </c>
      <c r="AZ646" s="107">
        <f t="shared" si="668"/>
        <v>271309.96763888915</v>
      </c>
      <c r="BA646" s="107">
        <f t="shared" si="669"/>
        <v>270735.15838541696</v>
      </c>
      <c r="BB646" s="107">
        <f t="shared" si="670"/>
        <v>270160.34913194476</v>
      </c>
      <c r="BC646" s="107">
        <f t="shared" si="671"/>
        <v>269585.53987847257</v>
      </c>
      <c r="BD646" s="107">
        <f t="shared" si="672"/>
        <v>269010.73062500037</v>
      </c>
      <c r="BE646" s="150">
        <f t="shared" ref="BE646:BE656" si="692">SUM(AS646:BD646,AO646)/13*$BE$2</f>
        <v>5527.18891700321</v>
      </c>
    </row>
    <row r="647" spans="1:57" ht="33.75" hidden="1" x14ac:dyDescent="0.2">
      <c r="A647" s="165" t="s">
        <v>2548</v>
      </c>
      <c r="B647" s="162" t="s">
        <v>2547</v>
      </c>
      <c r="C647" s="124" t="e">
        <f>VLOOKUP(A:A,'2023-2027'!A:L,1,+FALSE)</f>
        <v>#N/A</v>
      </c>
      <c r="D647" s="163" t="s">
        <v>41</v>
      </c>
      <c r="E647" s="124" t="s">
        <v>42</v>
      </c>
      <c r="F647" s="164">
        <v>45292</v>
      </c>
      <c r="G647" s="124" t="s">
        <v>44</v>
      </c>
      <c r="H647" s="158">
        <v>480</v>
      </c>
      <c r="I647" s="159">
        <f>374704.01/1.2</f>
        <v>312253.34166666667</v>
      </c>
      <c r="J647" s="124"/>
      <c r="K647" s="124"/>
      <c r="L647" s="125">
        <v>1</v>
      </c>
      <c r="M647" s="148">
        <f t="shared" ref="M647:M656" si="693">I647/H647</f>
        <v>650.52779513888891</v>
      </c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39"/>
      <c r="AB647" s="124"/>
      <c r="AC647" s="107"/>
      <c r="AD647" s="107"/>
      <c r="AE647" s="107"/>
      <c r="AF647" s="107"/>
      <c r="AG647" s="107"/>
      <c r="AH647" s="107"/>
      <c r="AI647" s="107"/>
      <c r="AJ647" s="107"/>
      <c r="AK647" s="107"/>
      <c r="AL647" s="107"/>
      <c r="AM647" s="107"/>
      <c r="AN647" s="107"/>
      <c r="AO647" s="107"/>
      <c r="AP647" s="150"/>
      <c r="AQ647" s="124"/>
      <c r="AR647" s="107">
        <f t="shared" ref="AR647:AR655" si="694">M647*12</f>
        <v>7806.3335416666669</v>
      </c>
      <c r="AS647" s="107">
        <f t="shared" si="691"/>
        <v>311602.81387152779</v>
      </c>
      <c r="AT647" s="107">
        <f t="shared" si="662"/>
        <v>310952.2860763889</v>
      </c>
      <c r="AU647" s="107">
        <f t="shared" si="663"/>
        <v>310301.75828125002</v>
      </c>
      <c r="AV647" s="107">
        <f t="shared" si="664"/>
        <v>309651.23048611113</v>
      </c>
      <c r="AW647" s="107">
        <f t="shared" si="665"/>
        <v>309000.70269097225</v>
      </c>
      <c r="AX647" s="107">
        <f t="shared" si="666"/>
        <v>308350.17489583336</v>
      </c>
      <c r="AY647" s="107">
        <f t="shared" si="667"/>
        <v>307699.64710069448</v>
      </c>
      <c r="AZ647" s="107">
        <f t="shared" si="668"/>
        <v>307049.11930555559</v>
      </c>
      <c r="BA647" s="107">
        <f t="shared" si="669"/>
        <v>306398.59151041671</v>
      </c>
      <c r="BB647" s="107">
        <f t="shared" si="670"/>
        <v>305748.06371527782</v>
      </c>
      <c r="BC647" s="107">
        <f t="shared" si="671"/>
        <v>305097.53592013894</v>
      </c>
      <c r="BD647" s="107">
        <f t="shared" si="672"/>
        <v>304447.00812500005</v>
      </c>
      <c r="BE647" s="150">
        <f t="shared" si="692"/>
        <v>6255.2751156570512</v>
      </c>
    </row>
    <row r="648" spans="1:57" ht="33.75" hidden="1" x14ac:dyDescent="0.2">
      <c r="A648" s="161" t="s">
        <v>2549</v>
      </c>
      <c r="B648" s="162" t="s">
        <v>2547</v>
      </c>
      <c r="C648" s="124" t="e">
        <f>VLOOKUP(A:A,'2023-2027'!A:L,1,+FALSE)</f>
        <v>#N/A</v>
      </c>
      <c r="D648" s="163" t="s">
        <v>41</v>
      </c>
      <c r="E648" s="124" t="s">
        <v>42</v>
      </c>
      <c r="F648" s="164">
        <v>45292</v>
      </c>
      <c r="G648" s="124" t="s">
        <v>44</v>
      </c>
      <c r="H648" s="158">
        <v>300</v>
      </c>
      <c r="I648" s="159">
        <f>'[4]Сводный сметный расчет ДТП 932 '!$H$48/1.2</f>
        <v>1503970.4750000001</v>
      </c>
      <c r="J648" s="124"/>
      <c r="K648" s="124"/>
      <c r="L648" s="125">
        <v>1</v>
      </c>
      <c r="M648" s="148">
        <f t="shared" si="693"/>
        <v>5013.2349166666672</v>
      </c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39"/>
      <c r="AB648" s="124"/>
      <c r="AC648" s="107"/>
      <c r="AD648" s="107"/>
      <c r="AE648" s="107"/>
      <c r="AF648" s="107"/>
      <c r="AG648" s="107"/>
      <c r="AH648" s="107"/>
      <c r="AI648" s="107"/>
      <c r="AJ648" s="107"/>
      <c r="AK648" s="107"/>
      <c r="AL648" s="107"/>
      <c r="AM648" s="107"/>
      <c r="AN648" s="107"/>
      <c r="AO648" s="107"/>
      <c r="AP648" s="150"/>
      <c r="AQ648" s="124"/>
      <c r="AR648" s="107">
        <f t="shared" si="694"/>
        <v>60158.819000000003</v>
      </c>
      <c r="AS648" s="107">
        <f t="shared" si="691"/>
        <v>1498957.2400833333</v>
      </c>
      <c r="AT648" s="107">
        <f t="shared" si="662"/>
        <v>1493944.0051666666</v>
      </c>
      <c r="AU648" s="107">
        <f t="shared" si="663"/>
        <v>1488930.7702499998</v>
      </c>
      <c r="AV648" s="107">
        <f t="shared" si="664"/>
        <v>1483917.5353333331</v>
      </c>
      <c r="AW648" s="107">
        <f t="shared" si="665"/>
        <v>1478904.3004166663</v>
      </c>
      <c r="AX648" s="107">
        <f t="shared" si="666"/>
        <v>1473891.0654999996</v>
      </c>
      <c r="AY648" s="107">
        <f t="shared" si="667"/>
        <v>1468877.8305833328</v>
      </c>
      <c r="AZ648" s="107">
        <f t="shared" si="668"/>
        <v>1463864.595666666</v>
      </c>
      <c r="BA648" s="107">
        <f t="shared" si="669"/>
        <v>1458851.3607499993</v>
      </c>
      <c r="BB648" s="107">
        <f t="shared" si="670"/>
        <v>1453838.1258333325</v>
      </c>
      <c r="BC648" s="107">
        <f t="shared" si="671"/>
        <v>1448824.8909166658</v>
      </c>
      <c r="BD648" s="107">
        <f t="shared" si="672"/>
        <v>1443811.655999999</v>
      </c>
      <c r="BE648" s="150">
        <f t="shared" si="692"/>
        <v>29880.422637153832</v>
      </c>
    </row>
    <row r="649" spans="1:57" ht="33.75" hidden="1" x14ac:dyDescent="0.2">
      <c r="A649" s="161" t="s">
        <v>2550</v>
      </c>
      <c r="B649" s="162" t="s">
        <v>2547</v>
      </c>
      <c r="C649" s="124" t="e">
        <f>VLOOKUP(A:A,'2023-2027'!A:L,1,+FALSE)</f>
        <v>#N/A</v>
      </c>
      <c r="D649" s="163" t="s">
        <v>41</v>
      </c>
      <c r="E649" s="124" t="s">
        <v>42</v>
      </c>
      <c r="F649" s="164">
        <v>45292</v>
      </c>
      <c r="G649" s="124" t="s">
        <v>44</v>
      </c>
      <c r="H649" s="158">
        <v>480</v>
      </c>
      <c r="I649" s="159">
        <f>'[5]ЛС1 ДТП 1280 - ЛСР по Методике '!$N$453/1.2</f>
        <v>229001.63333333336</v>
      </c>
      <c r="J649" s="124"/>
      <c r="K649" s="124"/>
      <c r="L649" s="125">
        <v>1</v>
      </c>
      <c r="M649" s="148">
        <f t="shared" si="693"/>
        <v>477.08673611111118</v>
      </c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39"/>
      <c r="AB649" s="124"/>
      <c r="AC649" s="107"/>
      <c r="AD649" s="107"/>
      <c r="AE649" s="107"/>
      <c r="AF649" s="107"/>
      <c r="AG649" s="107"/>
      <c r="AH649" s="107"/>
      <c r="AI649" s="107"/>
      <c r="AJ649" s="107"/>
      <c r="AK649" s="107"/>
      <c r="AL649" s="107"/>
      <c r="AM649" s="107"/>
      <c r="AN649" s="107"/>
      <c r="AO649" s="107"/>
      <c r="AP649" s="150"/>
      <c r="AQ649" s="124"/>
      <c r="AR649" s="107">
        <f t="shared" si="694"/>
        <v>5725.0408333333344</v>
      </c>
      <c r="AS649" s="107">
        <f t="shared" si="691"/>
        <v>228524.54659722224</v>
      </c>
      <c r="AT649" s="107">
        <f t="shared" si="662"/>
        <v>228047.45986111113</v>
      </c>
      <c r="AU649" s="107">
        <f t="shared" si="663"/>
        <v>227570.37312500001</v>
      </c>
      <c r="AV649" s="107">
        <f t="shared" si="664"/>
        <v>227093.2863888889</v>
      </c>
      <c r="AW649" s="107">
        <f t="shared" si="665"/>
        <v>226616.19965277778</v>
      </c>
      <c r="AX649" s="107">
        <f t="shared" si="666"/>
        <v>226139.11291666667</v>
      </c>
      <c r="AY649" s="107">
        <f t="shared" si="667"/>
        <v>225662.02618055555</v>
      </c>
      <c r="AZ649" s="107">
        <f t="shared" si="668"/>
        <v>225184.93944444443</v>
      </c>
      <c r="BA649" s="107">
        <f t="shared" si="669"/>
        <v>224707.85270833332</v>
      </c>
      <c r="BB649" s="107">
        <f t="shared" si="670"/>
        <v>224230.7659722222</v>
      </c>
      <c r="BC649" s="107">
        <f t="shared" si="671"/>
        <v>223753.67923611109</v>
      </c>
      <c r="BD649" s="107">
        <f t="shared" si="672"/>
        <v>223276.59249999997</v>
      </c>
      <c r="BE649" s="150">
        <f t="shared" si="692"/>
        <v>4587.5192585256409</v>
      </c>
    </row>
    <row r="650" spans="1:57" ht="33.75" hidden="1" x14ac:dyDescent="0.2">
      <c r="A650" s="161" t="s">
        <v>2551</v>
      </c>
      <c r="B650" s="162" t="s">
        <v>2547</v>
      </c>
      <c r="C650" s="124" t="e">
        <f>VLOOKUP(A:A,'2023-2027'!A:L,1,+FALSE)</f>
        <v>#N/A</v>
      </c>
      <c r="D650" s="163" t="s">
        <v>41</v>
      </c>
      <c r="E650" s="124" t="s">
        <v>42</v>
      </c>
      <c r="F650" s="164">
        <v>45292</v>
      </c>
      <c r="G650" s="124" t="s">
        <v>44</v>
      </c>
      <c r="H650" s="158">
        <v>480</v>
      </c>
      <c r="I650" s="159">
        <f>548915.24/1.2</f>
        <v>457429.3666666667</v>
      </c>
      <c r="J650" s="124"/>
      <c r="K650" s="124"/>
      <c r="L650" s="125">
        <v>1</v>
      </c>
      <c r="M650" s="148">
        <f t="shared" si="693"/>
        <v>952.97784722222229</v>
      </c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39"/>
      <c r="AB650" s="124"/>
      <c r="AC650" s="107"/>
      <c r="AD650" s="107"/>
      <c r="AE650" s="107"/>
      <c r="AF650" s="107"/>
      <c r="AG650" s="107"/>
      <c r="AH650" s="107"/>
      <c r="AI650" s="107"/>
      <c r="AJ650" s="107"/>
      <c r="AK650" s="107"/>
      <c r="AL650" s="107"/>
      <c r="AM650" s="107"/>
      <c r="AN650" s="107"/>
      <c r="AO650" s="107"/>
      <c r="AP650" s="150"/>
      <c r="AQ650" s="124"/>
      <c r="AR650" s="107">
        <f t="shared" si="694"/>
        <v>11435.734166666667</v>
      </c>
      <c r="AS650" s="107">
        <f t="shared" si="691"/>
        <v>456476.38881944446</v>
      </c>
      <c r="AT650" s="107">
        <f t="shared" si="662"/>
        <v>455523.41097222222</v>
      </c>
      <c r="AU650" s="107">
        <f t="shared" si="663"/>
        <v>454570.43312499998</v>
      </c>
      <c r="AV650" s="107">
        <f t="shared" si="664"/>
        <v>453617.45527777774</v>
      </c>
      <c r="AW650" s="107">
        <f t="shared" si="665"/>
        <v>452664.4774305555</v>
      </c>
      <c r="AX650" s="107">
        <f t="shared" si="666"/>
        <v>451711.49958333327</v>
      </c>
      <c r="AY650" s="107">
        <f t="shared" si="667"/>
        <v>450758.52173611103</v>
      </c>
      <c r="AZ650" s="107">
        <f t="shared" si="668"/>
        <v>449805.54388888879</v>
      </c>
      <c r="BA650" s="107">
        <f t="shared" si="669"/>
        <v>448852.56604166655</v>
      </c>
      <c r="BB650" s="107">
        <f t="shared" si="670"/>
        <v>447899.58819444431</v>
      </c>
      <c r="BC650" s="107">
        <f t="shared" si="671"/>
        <v>446946.61034722207</v>
      </c>
      <c r="BD650" s="107">
        <f t="shared" si="672"/>
        <v>445993.63249999983</v>
      </c>
      <c r="BE650" s="150">
        <f t="shared" si="692"/>
        <v>9163.5417549358954</v>
      </c>
    </row>
    <row r="651" spans="1:57" ht="33.75" hidden="1" x14ac:dyDescent="0.2">
      <c r="A651" s="161" t="s">
        <v>2552</v>
      </c>
      <c r="B651" s="162" t="s">
        <v>2547</v>
      </c>
      <c r="C651" s="124" t="e">
        <f>VLOOKUP(A:A,'2023-2027'!A:L,1,+FALSE)</f>
        <v>#N/A</v>
      </c>
      <c r="D651" s="163" t="s">
        <v>41</v>
      </c>
      <c r="E651" s="124" t="s">
        <v>42</v>
      </c>
      <c r="F651" s="164">
        <v>45292</v>
      </c>
      <c r="G651" s="124" t="s">
        <v>44</v>
      </c>
      <c r="H651" s="158">
        <v>180</v>
      </c>
      <c r="I651" s="159">
        <f>2266072.13/1.2</f>
        <v>1888393.4416666667</v>
      </c>
      <c r="J651" s="124"/>
      <c r="K651" s="124"/>
      <c r="L651" s="125">
        <v>1</v>
      </c>
      <c r="M651" s="148">
        <f t="shared" si="693"/>
        <v>10491.074675925925</v>
      </c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39"/>
      <c r="AB651" s="124"/>
      <c r="AC651" s="107"/>
      <c r="AD651" s="107"/>
      <c r="AE651" s="107"/>
      <c r="AF651" s="107"/>
      <c r="AG651" s="107"/>
      <c r="AH651" s="107"/>
      <c r="AI651" s="107"/>
      <c r="AJ651" s="107"/>
      <c r="AK651" s="107"/>
      <c r="AL651" s="107"/>
      <c r="AM651" s="107"/>
      <c r="AN651" s="107"/>
      <c r="AO651" s="107"/>
      <c r="AP651" s="150"/>
      <c r="AQ651" s="124"/>
      <c r="AR651" s="107">
        <f t="shared" si="694"/>
        <v>125892.8961111111</v>
      </c>
      <c r="AS651" s="107">
        <f t="shared" si="691"/>
        <v>1877902.3669907406</v>
      </c>
      <c r="AT651" s="107">
        <f t="shared" ref="AT651:AT656" si="695">AS651-M651</f>
        <v>1867411.2923148146</v>
      </c>
      <c r="AU651" s="107">
        <f t="shared" ref="AU651:AU656" si="696">AT651-M651</f>
        <v>1856920.2176388886</v>
      </c>
      <c r="AV651" s="107">
        <f t="shared" ref="AV651:AV656" si="697">AU651-M651</f>
        <v>1846429.1429629626</v>
      </c>
      <c r="AW651" s="107">
        <f t="shared" ref="AW651:AW656" si="698">AV651-M651</f>
        <v>1835938.0682870366</v>
      </c>
      <c r="AX651" s="107">
        <f t="shared" ref="AX651:AX656" si="699">AW651-M651</f>
        <v>1825446.9936111106</v>
      </c>
      <c r="AY651" s="107">
        <f t="shared" ref="AY651:AY656" si="700">AX651-M651</f>
        <v>1814955.9189351846</v>
      </c>
      <c r="AZ651" s="107">
        <f t="shared" ref="AZ651:AZ656" si="701">AY651-M651</f>
        <v>1804464.8442592586</v>
      </c>
      <c r="BA651" s="107">
        <f t="shared" ref="BA651:BA656" si="702">AZ651-M651</f>
        <v>1793973.7695833326</v>
      </c>
      <c r="BB651" s="107">
        <f t="shared" ref="BB651:BB656" si="703">BA651-M651</f>
        <v>1783482.6949074066</v>
      </c>
      <c r="BC651" s="107">
        <f t="shared" ref="BC651:BC656" si="704">BB651-M651</f>
        <v>1772991.6202314806</v>
      </c>
      <c r="BD651" s="107">
        <f t="shared" ref="BD651:BD656" si="705">BC651-M651</f>
        <v>1762500.5455555546</v>
      </c>
      <c r="BE651" s="150">
        <f t="shared" si="692"/>
        <v>36964.091112008529</v>
      </c>
    </row>
    <row r="652" spans="1:57" ht="56.25" hidden="1" x14ac:dyDescent="0.2">
      <c r="A652" s="161" t="s">
        <v>2553</v>
      </c>
      <c r="B652" s="162" t="s">
        <v>2547</v>
      </c>
      <c r="C652" s="124" t="e">
        <f>VLOOKUP(A:A,'2023-2027'!A:L,1,+FALSE)</f>
        <v>#N/A</v>
      </c>
      <c r="D652" s="163" t="s">
        <v>41</v>
      </c>
      <c r="E652" s="124" t="s">
        <v>42</v>
      </c>
      <c r="F652" s="164">
        <v>45292</v>
      </c>
      <c r="G652" s="124" t="s">
        <v>44</v>
      </c>
      <c r="H652" s="158">
        <v>480</v>
      </c>
      <c r="I652" s="159">
        <f>195669.76/1.2</f>
        <v>163058.13333333336</v>
      </c>
      <c r="J652" s="124"/>
      <c r="K652" s="124"/>
      <c r="L652" s="125">
        <v>1</v>
      </c>
      <c r="M652" s="148">
        <f t="shared" si="693"/>
        <v>339.7044444444445</v>
      </c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39"/>
      <c r="AB652" s="124"/>
      <c r="AC652" s="107"/>
      <c r="AD652" s="107"/>
      <c r="AE652" s="107"/>
      <c r="AF652" s="107"/>
      <c r="AG652" s="107"/>
      <c r="AH652" s="107"/>
      <c r="AI652" s="107"/>
      <c r="AJ652" s="107"/>
      <c r="AK652" s="107"/>
      <c r="AL652" s="107"/>
      <c r="AM652" s="107"/>
      <c r="AN652" s="107"/>
      <c r="AO652" s="107"/>
      <c r="AP652" s="150"/>
      <c r="AQ652" s="124"/>
      <c r="AR652" s="107">
        <f t="shared" si="694"/>
        <v>4076.4533333333338</v>
      </c>
      <c r="AS652" s="107">
        <f t="shared" si="691"/>
        <v>162718.42888888891</v>
      </c>
      <c r="AT652" s="107">
        <f t="shared" si="695"/>
        <v>162378.72444444447</v>
      </c>
      <c r="AU652" s="107">
        <f t="shared" si="696"/>
        <v>162039.02000000002</v>
      </c>
      <c r="AV652" s="107">
        <f t="shared" si="697"/>
        <v>161699.31555555557</v>
      </c>
      <c r="AW652" s="107">
        <f t="shared" si="698"/>
        <v>161359.61111111112</v>
      </c>
      <c r="AX652" s="107">
        <f t="shared" si="699"/>
        <v>161019.90666666668</v>
      </c>
      <c r="AY652" s="107">
        <f t="shared" si="700"/>
        <v>160680.20222222223</v>
      </c>
      <c r="AZ652" s="107">
        <f t="shared" si="701"/>
        <v>160340.49777777778</v>
      </c>
      <c r="BA652" s="107">
        <f t="shared" si="702"/>
        <v>160000.79333333333</v>
      </c>
      <c r="BB652" s="107">
        <f t="shared" si="703"/>
        <v>159661.08888888889</v>
      </c>
      <c r="BC652" s="107">
        <f t="shared" si="704"/>
        <v>159321.38444444444</v>
      </c>
      <c r="BD652" s="107">
        <f t="shared" si="705"/>
        <v>158981.68</v>
      </c>
      <c r="BE652" s="150">
        <f t="shared" si="692"/>
        <v>3266.4934133333331</v>
      </c>
    </row>
    <row r="653" spans="1:57" ht="56.25" hidden="1" x14ac:dyDescent="0.2">
      <c r="A653" s="149" t="s">
        <v>2554</v>
      </c>
      <c r="B653" s="162" t="s">
        <v>2555</v>
      </c>
      <c r="C653" s="124" t="e">
        <f>VLOOKUP(A:A,'2023-2027'!A:L,1,+FALSE)</f>
        <v>#N/A</v>
      </c>
      <c r="D653" s="163" t="s">
        <v>41</v>
      </c>
      <c r="E653" s="124" t="s">
        <v>42</v>
      </c>
      <c r="F653" s="164">
        <v>45292</v>
      </c>
      <c r="G653" s="124" t="s">
        <v>44</v>
      </c>
      <c r="H653" s="158">
        <v>300</v>
      </c>
      <c r="I653" s="159">
        <v>15819166.67</v>
      </c>
      <c r="J653" s="124"/>
      <c r="K653" s="124"/>
      <c r="L653" s="125">
        <v>1</v>
      </c>
      <c r="M653" s="148">
        <f t="shared" si="693"/>
        <v>52730.55556666667</v>
      </c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39"/>
      <c r="AB653" s="124"/>
      <c r="AC653" s="107"/>
      <c r="AD653" s="107"/>
      <c r="AE653" s="107"/>
      <c r="AF653" s="107"/>
      <c r="AG653" s="107"/>
      <c r="AH653" s="107"/>
      <c r="AI653" s="107"/>
      <c r="AJ653" s="107"/>
      <c r="AK653" s="107"/>
      <c r="AL653" s="107"/>
      <c r="AM653" s="107"/>
      <c r="AN653" s="107"/>
      <c r="AO653" s="107"/>
      <c r="AP653" s="150"/>
      <c r="AQ653" s="124"/>
      <c r="AR653" s="107">
        <f t="shared" si="694"/>
        <v>632766.66680000001</v>
      </c>
      <c r="AS653" s="107">
        <f t="shared" si="691"/>
        <v>15766436.114433333</v>
      </c>
      <c r="AT653" s="107">
        <f t="shared" si="695"/>
        <v>15713705.558866667</v>
      </c>
      <c r="AU653" s="107">
        <f t="shared" si="696"/>
        <v>15660975.0033</v>
      </c>
      <c r="AV653" s="107">
        <f t="shared" si="697"/>
        <v>15608244.447733333</v>
      </c>
      <c r="AW653" s="107">
        <f t="shared" si="698"/>
        <v>15555513.892166667</v>
      </c>
      <c r="AX653" s="107">
        <f t="shared" si="699"/>
        <v>15502783.3366</v>
      </c>
      <c r="AY653" s="107">
        <f t="shared" si="700"/>
        <v>15450052.781033333</v>
      </c>
      <c r="AZ653" s="107">
        <f t="shared" si="701"/>
        <v>15397322.225466667</v>
      </c>
      <c r="BA653" s="107">
        <f t="shared" si="702"/>
        <v>15344591.6699</v>
      </c>
      <c r="BB653" s="107">
        <f t="shared" si="703"/>
        <v>15291861.114333333</v>
      </c>
      <c r="BC653" s="107">
        <f t="shared" si="704"/>
        <v>15239130.558766667</v>
      </c>
      <c r="BD653" s="107">
        <f t="shared" si="705"/>
        <v>15186400.0032</v>
      </c>
      <c r="BE653" s="150">
        <f t="shared" si="692"/>
        <v>314290.33596366149</v>
      </c>
    </row>
    <row r="654" spans="1:57" ht="45" hidden="1" x14ac:dyDescent="0.2">
      <c r="A654" s="149" t="s">
        <v>2556</v>
      </c>
      <c r="B654" s="162" t="s">
        <v>2555</v>
      </c>
      <c r="C654" s="124" t="e">
        <f>VLOOKUP(A:A,'2023-2027'!A:L,1,+FALSE)</f>
        <v>#N/A</v>
      </c>
      <c r="D654" s="163" t="s">
        <v>41</v>
      </c>
      <c r="E654" s="124" t="s">
        <v>42</v>
      </c>
      <c r="F654" s="164">
        <v>45292</v>
      </c>
      <c r="G654" s="124" t="s">
        <v>44</v>
      </c>
      <c r="H654" s="158">
        <v>300</v>
      </c>
      <c r="I654" s="159">
        <v>13899166.67</v>
      </c>
      <c r="J654" s="124"/>
      <c r="K654" s="124"/>
      <c r="L654" s="125">
        <v>1</v>
      </c>
      <c r="M654" s="148">
        <f t="shared" si="693"/>
        <v>46330.55556666667</v>
      </c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39"/>
      <c r="AB654" s="124"/>
      <c r="AC654" s="107"/>
      <c r="AD654" s="107"/>
      <c r="AE654" s="107"/>
      <c r="AF654" s="107"/>
      <c r="AG654" s="107"/>
      <c r="AH654" s="107"/>
      <c r="AI654" s="107"/>
      <c r="AJ654" s="107"/>
      <c r="AK654" s="107"/>
      <c r="AL654" s="107"/>
      <c r="AM654" s="107"/>
      <c r="AN654" s="107"/>
      <c r="AO654" s="107"/>
      <c r="AP654" s="150"/>
      <c r="AQ654" s="124"/>
      <c r="AR654" s="107">
        <f t="shared" si="694"/>
        <v>555966.66680000001</v>
      </c>
      <c r="AS654" s="107">
        <f t="shared" si="691"/>
        <v>13852836.114433333</v>
      </c>
      <c r="AT654" s="107">
        <f t="shared" si="695"/>
        <v>13806505.558866667</v>
      </c>
      <c r="AU654" s="107">
        <f t="shared" si="696"/>
        <v>13760175.0033</v>
      </c>
      <c r="AV654" s="107">
        <f t="shared" si="697"/>
        <v>13713844.447733333</v>
      </c>
      <c r="AW654" s="107">
        <f t="shared" si="698"/>
        <v>13667513.892166667</v>
      </c>
      <c r="AX654" s="107">
        <f t="shared" si="699"/>
        <v>13621183.3366</v>
      </c>
      <c r="AY654" s="107">
        <f t="shared" si="700"/>
        <v>13574852.781033333</v>
      </c>
      <c r="AZ654" s="107">
        <f t="shared" si="701"/>
        <v>13528522.225466667</v>
      </c>
      <c r="BA654" s="107">
        <f t="shared" si="702"/>
        <v>13482191.6699</v>
      </c>
      <c r="BB654" s="107">
        <f t="shared" si="703"/>
        <v>13435861.114333333</v>
      </c>
      <c r="BC654" s="107">
        <f t="shared" si="704"/>
        <v>13389530.558766667</v>
      </c>
      <c r="BD654" s="107">
        <f t="shared" si="705"/>
        <v>13343200.0032</v>
      </c>
      <c r="BE654" s="150">
        <f t="shared" si="692"/>
        <v>276144.36673289229</v>
      </c>
    </row>
    <row r="655" spans="1:57" ht="56.25" hidden="1" x14ac:dyDescent="0.2">
      <c r="A655" s="149" t="s">
        <v>2557</v>
      </c>
      <c r="B655" s="162" t="s">
        <v>2555</v>
      </c>
      <c r="C655" s="124" t="e">
        <f>VLOOKUP(A:A,'2023-2027'!A:L,1,+FALSE)</f>
        <v>#N/A</v>
      </c>
      <c r="D655" s="163" t="s">
        <v>41</v>
      </c>
      <c r="E655" s="124" t="s">
        <v>42</v>
      </c>
      <c r="F655" s="164">
        <v>45292</v>
      </c>
      <c r="G655" s="124" t="s">
        <v>44</v>
      </c>
      <c r="H655" s="158">
        <v>300</v>
      </c>
      <c r="I655" s="159">
        <v>31677500</v>
      </c>
      <c r="J655" s="124"/>
      <c r="K655" s="124"/>
      <c r="L655" s="125">
        <v>1</v>
      </c>
      <c r="M655" s="148">
        <f t="shared" si="693"/>
        <v>105591.66666666667</v>
      </c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39"/>
      <c r="AB655" s="124"/>
      <c r="AC655" s="107"/>
      <c r="AD655" s="107"/>
      <c r="AE655" s="107"/>
      <c r="AF655" s="107"/>
      <c r="AG655" s="107"/>
      <c r="AH655" s="107"/>
      <c r="AI655" s="107"/>
      <c r="AJ655" s="107"/>
      <c r="AK655" s="107"/>
      <c r="AL655" s="107"/>
      <c r="AM655" s="107"/>
      <c r="AN655" s="107"/>
      <c r="AO655" s="107"/>
      <c r="AP655" s="150"/>
      <c r="AQ655" s="124"/>
      <c r="AR655" s="107">
        <f t="shared" si="694"/>
        <v>1267100</v>
      </c>
      <c r="AS655" s="107">
        <f t="shared" si="691"/>
        <v>31571908.333333332</v>
      </c>
      <c r="AT655" s="107">
        <f t="shared" si="695"/>
        <v>31466316.666666664</v>
      </c>
      <c r="AU655" s="107">
        <f t="shared" si="696"/>
        <v>31360724.999999996</v>
      </c>
      <c r="AV655" s="107">
        <f t="shared" si="697"/>
        <v>31255133.333333328</v>
      </c>
      <c r="AW655" s="107">
        <f t="shared" si="698"/>
        <v>31149541.66666666</v>
      </c>
      <c r="AX655" s="107">
        <f t="shared" si="699"/>
        <v>31043949.999999993</v>
      </c>
      <c r="AY655" s="107">
        <f t="shared" si="700"/>
        <v>30938358.333333325</v>
      </c>
      <c r="AZ655" s="107">
        <f t="shared" si="701"/>
        <v>30832766.666666657</v>
      </c>
      <c r="BA655" s="107">
        <f t="shared" si="702"/>
        <v>30727174.999999989</v>
      </c>
      <c r="BB655" s="107">
        <f t="shared" si="703"/>
        <v>30621583.333333321</v>
      </c>
      <c r="BC655" s="107">
        <f t="shared" si="704"/>
        <v>30515991.666666653</v>
      </c>
      <c r="BD655" s="107">
        <f t="shared" si="705"/>
        <v>30410399.999999985</v>
      </c>
      <c r="BE655" s="150">
        <f t="shared" si="692"/>
        <v>629358.8230769228</v>
      </c>
    </row>
    <row r="656" spans="1:57" ht="67.5" hidden="1" x14ac:dyDescent="0.2">
      <c r="A656" s="149" t="s">
        <v>2558</v>
      </c>
      <c r="B656" s="162" t="s">
        <v>2555</v>
      </c>
      <c r="C656" s="124" t="e">
        <f>VLOOKUP(A:A,'2023-2027'!A:L,1,+FALSE)</f>
        <v>#N/A</v>
      </c>
      <c r="D656" s="163" t="s">
        <v>41</v>
      </c>
      <c r="E656" s="124" t="s">
        <v>42</v>
      </c>
      <c r="F656" s="164">
        <v>45170</v>
      </c>
      <c r="G656" s="124" t="s">
        <v>44</v>
      </c>
      <c r="H656" s="158">
        <v>300</v>
      </c>
      <c r="I656" s="159">
        <f>9385530/1.2</f>
        <v>7821275</v>
      </c>
      <c r="J656" s="124"/>
      <c r="K656" s="124"/>
      <c r="L656" s="125">
        <v>1</v>
      </c>
      <c r="M656" s="148">
        <f t="shared" si="693"/>
        <v>26070.916666666668</v>
      </c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39"/>
      <c r="AB656" s="124"/>
      <c r="AC656" s="107">
        <f>M656*4</f>
        <v>104283.66666666667</v>
      </c>
      <c r="AD656" s="107"/>
      <c r="AE656" s="107"/>
      <c r="AF656" s="107"/>
      <c r="AG656" s="107"/>
      <c r="AH656" s="107"/>
      <c r="AI656" s="107"/>
      <c r="AJ656" s="107"/>
      <c r="AK656" s="107">
        <f>I656</f>
        <v>7821275</v>
      </c>
      <c r="AL656" s="107">
        <f>AK656-M656</f>
        <v>7795204.083333333</v>
      </c>
      <c r="AM656" s="107">
        <f>AL656-M656</f>
        <v>7769133.166666666</v>
      </c>
      <c r="AN656" s="107">
        <f>AM656-M656</f>
        <v>7743062.2499999991</v>
      </c>
      <c r="AO656" s="107">
        <f>AN656-M656</f>
        <v>7716991.3333333321</v>
      </c>
      <c r="AP656" s="150">
        <f>(AM656+AN656+AO656+AK656+AL656)/13*2.2%</f>
        <v>65738.819102564099</v>
      </c>
      <c r="AQ656" s="124"/>
      <c r="AR656" s="107">
        <f>M656*12</f>
        <v>312851</v>
      </c>
      <c r="AS656" s="107">
        <f>AO656-M656</f>
        <v>7690920.4166666651</v>
      </c>
      <c r="AT656" s="107">
        <f t="shared" si="695"/>
        <v>7664849.4999999981</v>
      </c>
      <c r="AU656" s="107">
        <f t="shared" si="696"/>
        <v>7638778.5833333312</v>
      </c>
      <c r="AV656" s="107">
        <f t="shared" si="697"/>
        <v>7612707.6666666642</v>
      </c>
      <c r="AW656" s="107">
        <f t="shared" si="698"/>
        <v>7586636.7499999972</v>
      </c>
      <c r="AX656" s="107">
        <f t="shared" si="699"/>
        <v>7560565.8333333302</v>
      </c>
      <c r="AY656" s="107">
        <f t="shared" si="700"/>
        <v>7534494.9166666633</v>
      </c>
      <c r="AZ656" s="107">
        <f t="shared" si="701"/>
        <v>7508423.9999999963</v>
      </c>
      <c r="BA656" s="107">
        <f t="shared" si="702"/>
        <v>7482353.0833333293</v>
      </c>
      <c r="BB656" s="107">
        <f t="shared" si="703"/>
        <v>7456282.1666666623</v>
      </c>
      <c r="BC656" s="107">
        <f t="shared" si="704"/>
        <v>7430211.2499999953</v>
      </c>
      <c r="BD656" s="107">
        <f t="shared" si="705"/>
        <v>7404140.3333333284</v>
      </c>
      <c r="BE656" s="150">
        <f t="shared" si="692"/>
        <v>166332.44833333325</v>
      </c>
    </row>
    <row r="657" spans="1:74" hidden="1" x14ac:dyDescent="0.2">
      <c r="A657" s="166" t="s">
        <v>121</v>
      </c>
      <c r="B657" s="167"/>
      <c r="C657" s="167"/>
      <c r="D657" s="167" t="s">
        <v>83</v>
      </c>
      <c r="E657" s="167"/>
      <c r="F657" s="167"/>
      <c r="G657" s="167"/>
      <c r="H657" s="167"/>
      <c r="I657" s="168">
        <f>SUM(I4:I638)-I4-I155-I508-I511-I518-I576+I645+I646+I647+I648+I649+I650+I651+I652+I653+I654+I655+I656</f>
        <v>2167851289.9839973</v>
      </c>
      <c r="J657" s="168"/>
      <c r="K657" s="168"/>
      <c r="L657" s="168"/>
      <c r="M657" s="168"/>
      <c r="N657" s="168">
        <f>SUM(N4:N638)-N4-N155-N508-N511-N518-N576+N645+N646+N647+N648+N649+N650+N651+N652+N653+N654+N655+N656</f>
        <v>85199714.903696135</v>
      </c>
      <c r="O657" s="168"/>
      <c r="P657" s="168"/>
      <c r="Q657" s="168"/>
      <c r="R657" s="168"/>
      <c r="S657" s="168"/>
      <c r="T657" s="168"/>
      <c r="U657" s="168"/>
      <c r="V657" s="168"/>
      <c r="W657" s="168"/>
      <c r="X657" s="168"/>
      <c r="Y657" s="168"/>
      <c r="Z657" s="168"/>
      <c r="AA657" s="168">
        <f>SUM(AA4:AA638)-AA4-AA155-AA508-AA511-AA518-AA576+AA645+AA646+AA647+AA648+AA649+AA650+AA651+AA652+AA653+AA654+AA655+AA656</f>
        <v>17473068.497331768</v>
      </c>
      <c r="AB657" s="168"/>
      <c r="AC657" s="168">
        <f>SUM(AC4:AC638)-AC4-AC155-AC508-AC511-AC518-AC576+AC645+AC646+AC647+AC648+AC649+AC650+AC651+AC652+AC653+AC654+AC655+AC656</f>
        <v>98964474.192408994</v>
      </c>
      <c r="AD657" s="168"/>
      <c r="AE657" s="168"/>
      <c r="AF657" s="168"/>
      <c r="AG657" s="168"/>
      <c r="AH657" s="168"/>
      <c r="AI657" s="168"/>
      <c r="AJ657" s="168"/>
      <c r="AK657" s="168"/>
      <c r="AL657" s="168"/>
      <c r="AM657" s="168"/>
      <c r="AN657" s="168"/>
      <c r="AO657" s="168"/>
      <c r="AP657" s="168">
        <f>SUM(AP4:AP638)-AP4-AP155-AP508-AP511-AP518-AP576+AP645+AP646+AP647+AP648+AP649+AP650+AP651+AP652+AP653+AP654+AP655+AP656</f>
        <v>16953218.314717136</v>
      </c>
      <c r="AQ657" s="168"/>
      <c r="AR657" s="168">
        <f>SUM(AR4:AR638)-AR4-AR155-AR508-AR511-AR518-AR576+AR645+AR646+AR647+AR648+AR649+AR650+AR651+AR652+AR653+AR654+AR655+AR656</f>
        <v>91175739.422780514</v>
      </c>
      <c r="AS657" s="168"/>
      <c r="AT657" s="168"/>
      <c r="AU657" s="168"/>
      <c r="AV657" s="168"/>
      <c r="AW657" s="168"/>
      <c r="AX657" s="168"/>
      <c r="AY657" s="168"/>
      <c r="AZ657" s="168"/>
      <c r="BA657" s="168"/>
      <c r="BB657" s="168"/>
      <c r="BC657" s="168"/>
      <c r="BD657" s="168"/>
      <c r="BE657" s="168">
        <f>SUM(BE4:BE638)-BE4-BE155-BE508-BE511-BE518-BE576+BE645+BE646+BE647+BE648+BE649+BE650+BE651+BE652+BE653+BE654+BE655+BE656</f>
        <v>17297767.95853357</v>
      </c>
    </row>
    <row r="658" spans="1:74" hidden="1" x14ac:dyDescent="0.2">
      <c r="I658" s="169"/>
      <c r="J658" s="169"/>
      <c r="K658" s="169"/>
      <c r="L658" s="169"/>
      <c r="M658" s="169"/>
      <c r="N658" s="169">
        <f>N4+N155+N508+N511+N518+N576</f>
        <v>85199714.903696582</v>
      </c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  <c r="Y658" s="169"/>
      <c r="Z658" s="169"/>
      <c r="AA658" s="169"/>
      <c r="AB658" s="169"/>
      <c r="AC658" s="169"/>
      <c r="AD658" s="169"/>
      <c r="AE658" s="169"/>
      <c r="AF658" s="169"/>
      <c r="AG658" s="169"/>
      <c r="AH658" s="169"/>
      <c r="AI658" s="169"/>
      <c r="AJ658" s="169"/>
      <c r="AK658" s="169"/>
      <c r="AL658" s="169"/>
      <c r="AM658" s="169"/>
      <c r="AN658" s="169"/>
      <c r="AO658" s="169"/>
      <c r="AP658" s="169"/>
      <c r="AQ658" s="169"/>
      <c r="AR658" s="169"/>
      <c r="AS658" s="169"/>
      <c r="AT658" s="169"/>
      <c r="AU658" s="169"/>
      <c r="AV658" s="169"/>
      <c r="AW658" s="169"/>
      <c r="AX658" s="169"/>
      <c r="AY658" s="169"/>
      <c r="AZ658" s="169"/>
      <c r="BA658" s="169"/>
      <c r="BB658" s="169"/>
      <c r="BC658" s="169"/>
      <c r="BD658" s="169"/>
      <c r="BE658" s="169"/>
    </row>
    <row r="659" spans="1:74" hidden="1" x14ac:dyDescent="0.2">
      <c r="L659" s="170"/>
      <c r="M659" s="170"/>
      <c r="N659" s="127"/>
      <c r="AA659" s="127"/>
      <c r="AC659" s="127"/>
      <c r="AP659" s="127"/>
      <c r="AR659" s="127"/>
      <c r="BE659" s="127"/>
      <c r="BG659" s="127"/>
      <c r="BI659" s="127"/>
      <c r="BV659" s="127"/>
    </row>
    <row r="660" spans="1:74" hidden="1" x14ac:dyDescent="0.2"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27"/>
      <c r="AC660" s="127"/>
      <c r="AD660" s="127"/>
      <c r="AE660" s="127"/>
      <c r="AF660" s="127"/>
      <c r="AG660" s="127"/>
      <c r="AH660" s="127"/>
      <c r="AI660" s="127"/>
      <c r="AJ660" s="127"/>
      <c r="AK660" s="127"/>
      <c r="AL660" s="127"/>
      <c r="AM660" s="127"/>
      <c r="AN660" s="127"/>
      <c r="AO660" s="127"/>
      <c r="AP660" s="127"/>
      <c r="AQ660" s="127"/>
      <c r="AR660" s="127"/>
      <c r="AS660" s="127"/>
      <c r="AT660" s="127"/>
      <c r="AU660" s="127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27"/>
      <c r="BG660" s="127"/>
      <c r="BI660" s="127"/>
      <c r="BV660" s="127"/>
    </row>
    <row r="661" spans="1:74" hidden="1" x14ac:dyDescent="0.2">
      <c r="F661" s="106" t="s">
        <v>41</v>
      </c>
      <c r="G661" s="171" t="s">
        <v>76</v>
      </c>
      <c r="H661" s="171"/>
      <c r="I661" s="171"/>
      <c r="J661" s="171"/>
      <c r="K661" s="171"/>
      <c r="L661" s="172"/>
      <c r="M661" s="172"/>
      <c r="N661" s="173">
        <f>N161+N162+N163+N164+N165+N166+N167+N193+N194+N197+N198+N288+N344+N345+N359+N361+N432+N595</f>
        <v>1744441.2465880949</v>
      </c>
      <c r="O661" s="174"/>
      <c r="P661" s="174"/>
      <c r="Q661" s="174"/>
      <c r="R661" s="174"/>
      <c r="S661" s="174"/>
      <c r="T661" s="174"/>
      <c r="U661" s="174"/>
      <c r="V661" s="174"/>
      <c r="W661" s="174"/>
      <c r="X661" s="174"/>
      <c r="Y661" s="174"/>
      <c r="Z661" s="174"/>
      <c r="AA661" s="173">
        <f>AA161+AA162+AA163+AA164+AA165+AA166+AA167+AA193+AA194+AA197+AA198+AA288+AA344+AA345+AA359+AA361+AA432+AA595</f>
        <v>25387.26495415</v>
      </c>
      <c r="AB661" s="174"/>
      <c r="AC661" s="173">
        <f>AC161+AC162+AC163+AC164+AC165+AC166+AC167+AC193+AC194+AC197+AC198+AC288+AC344+AC345+AC359+AC361+AC432+AC595</f>
        <v>1750387.6751595233</v>
      </c>
      <c r="AD661" s="174"/>
      <c r="AE661" s="174"/>
      <c r="AF661" s="174"/>
      <c r="AG661" s="174"/>
      <c r="AH661" s="174"/>
      <c r="AI661" s="174"/>
      <c r="AJ661" s="174"/>
      <c r="AK661" s="174"/>
      <c r="AL661" s="174"/>
      <c r="AM661" s="174"/>
      <c r="AN661" s="174"/>
      <c r="AO661" s="174"/>
      <c r="AP661" s="173">
        <f>AP161+AP162+AP163+AP164+AP165+AP166+AP167+AP193+AP194+AP197+AP198+AP288+AP344+AP345+AP359+AP361+AP432+AP595</f>
        <v>23841.780302449999</v>
      </c>
      <c r="AQ661" s="174"/>
      <c r="AR661" s="173">
        <f t="shared" ref="AR661:BE661" si="706">AR161+AR162+AR163+AR164+AR165+AR166+AR167+AR193+AR194+AR197+AR198+AR288+AR344+AR345+AR359+AR361+AR432+AR595</f>
        <v>1750387.6751595233</v>
      </c>
      <c r="AS661" s="173">
        <f t="shared" si="706"/>
        <v>8637247.7697390877</v>
      </c>
      <c r="AT661" s="173">
        <f t="shared" si="706"/>
        <v>8491382.1301424615</v>
      </c>
      <c r="AU661" s="173">
        <f t="shared" si="706"/>
        <v>8345516.4905458335</v>
      </c>
      <c r="AV661" s="173">
        <f t="shared" si="706"/>
        <v>8199650.8509492064</v>
      </c>
      <c r="AW661" s="173">
        <f t="shared" si="706"/>
        <v>8053785.2113525784</v>
      </c>
      <c r="AX661" s="173">
        <f t="shared" si="706"/>
        <v>7907919.5717559522</v>
      </c>
      <c r="AY661" s="173">
        <f t="shared" si="706"/>
        <v>7762053.9321593251</v>
      </c>
      <c r="AZ661" s="173">
        <f t="shared" si="706"/>
        <v>7616188.292562698</v>
      </c>
      <c r="BA661" s="173">
        <f t="shared" si="706"/>
        <v>7470322.6529660728</v>
      </c>
      <c r="BB661" s="173">
        <f t="shared" si="706"/>
        <v>7324457.0133694448</v>
      </c>
      <c r="BC661" s="173">
        <f t="shared" si="706"/>
        <v>7178591.3737728167</v>
      </c>
      <c r="BD661" s="173">
        <f t="shared" si="706"/>
        <v>7032725.7341761906</v>
      </c>
      <c r="BE661" s="173">
        <f t="shared" si="706"/>
        <v>22296.295650749998</v>
      </c>
    </row>
    <row r="662" spans="1:74" hidden="1" x14ac:dyDescent="0.2">
      <c r="F662" s="106" t="s">
        <v>41</v>
      </c>
      <c r="G662" s="171" t="s">
        <v>77</v>
      </c>
      <c r="H662" s="171"/>
      <c r="I662" s="171"/>
      <c r="J662" s="171"/>
      <c r="K662" s="171"/>
      <c r="L662" s="172"/>
      <c r="M662" s="172"/>
      <c r="N662" s="173">
        <f>N5+N6+N7+N10+N11+N12+N15+N16+N18+N19+N20+N22+N23+N24+N25+N26+N27+N28+N31+N32+N33+N34+N35+N36+N37+N38+N39+N45+N75+N79+N81+N94+N97+N98+N100+N101+N106+N112+N117+N123+N124+N125+N126+N127+N128+N129+N130+N131+N132+N133+N134+N135+N136+N137+N138+N139+N140+N141+N142+N143+N144+N145+N146+N149+N154+N228+N229+N230+N235+N236+N237+N504</f>
        <v>28853435.613899074</v>
      </c>
      <c r="O662" s="174"/>
      <c r="P662" s="174"/>
      <c r="Q662" s="174"/>
      <c r="R662" s="174"/>
      <c r="S662" s="174"/>
      <c r="T662" s="174"/>
      <c r="U662" s="174"/>
      <c r="V662" s="174"/>
      <c r="W662" s="174"/>
      <c r="X662" s="174"/>
      <c r="Y662" s="174"/>
      <c r="Z662" s="174"/>
      <c r="AA662" s="173">
        <f>AA5+AA6+AA7+AA10+AA11+AA12+AA15+AA16+AA18+AA19+AA20+AA22+AA23+AA24+AA25+AA26+AA27+AA28+AA31+AA32+AA33+AA34+AA35+AA36+AA37+AA38+AA39+AA45+AA75+AA79+AA81+AA94+AA97+AA98+AA100+AA101+AA106+AA112+AA117+AA123+AA124+AA125+AA126+AA127+AA128+AA129+AA130+AA131+AA132+AA133+AA134+AA135+AA136+AA137+AA138+AA139+AA140+AA141+AA142+AA143+AA144+AA145+AA146+AA149+AA154+AA228+AA229+AA230+AA235+AA236+AA237+AA504</f>
        <v>4174807.0519724074</v>
      </c>
      <c r="AB662" s="174"/>
      <c r="AC662" s="173">
        <f>AC5+AC6+AC7+AC10+AC11+AC12+AC15+AC16+AC18+AC19+AC20+AC22+AC23+AC24+AC25+AC26+AC27+AC28+AC31+AC32+AC33+AC34+AC35+AC36+AC37+AC38+AC39+AC45+AC75+AC79+AC81+AC94+AC97+AC98+AC100+AC101+AC106+AC112+AC117+AC123+AC124+AC125+AC126+AC127+AC128+AC129+AC130+AC131+AC132+AC133+AC134+AC135+AC136+AC137+AC138+AC139+AC140+AC141+AC142+AC143+AC144+AC145+AC146+AC149+AC154+AC228+AC229+AC230+AC235+AC236+AC237+AC504</f>
        <v>39917106.179829843</v>
      </c>
      <c r="AD662" s="174"/>
      <c r="AE662" s="174"/>
      <c r="AF662" s="174"/>
      <c r="AG662" s="174"/>
      <c r="AH662" s="174"/>
      <c r="AI662" s="174"/>
      <c r="AJ662" s="174"/>
      <c r="AK662" s="174"/>
      <c r="AL662" s="174"/>
      <c r="AM662" s="174"/>
      <c r="AN662" s="174"/>
      <c r="AO662" s="174"/>
      <c r="AP662" s="173">
        <f>AP5+AP6+AP7+AP10+AP11+AP12+AP15+AP16+AP18+AP19+AP20+AP22+AP23+AP24+AP25+AP26+AP27+AP28+AP31+AP32+AP33+AP34+AP35+AP36+AP37+AP38+AP39+AP45+AP75+AP79+AP81+AP94+AP97+AP98+AP100+AP101+AP106+AP112+AP117+AP123+AP124+AP125+AP126+AP127+AP128+AP129+AP130+AP131+AP132+AP133+AP134+AP135+AP136+AP137+AP138+AP139+AP140+AP141+AP142+AP143+AP144+AP145+AP146+AP149+AP154+AP228+AP229+AP230+AP235+AP236+AP237+AP504</f>
        <v>4016591.8185021072</v>
      </c>
      <c r="AQ662" s="174"/>
      <c r="AR662" s="173">
        <f t="shared" ref="AR662:BE662" si="707">AR5+AR6+AR7+AR10+AR11+AR12+AR15+AR16+AR18+AR19+AR20+AR22+AR23+AR24+AR25+AR26+AR27+AR28+AR31+AR32+AR33+AR34+AR35+AR36+AR37+AR38+AR39+AR45+AR75+AR79+AR81+AR94+AR97+AR98+AR100+AR101+AR106+AR112+AR117+AR123+AR124+AR125+AR126+AR127+AR128+AR129+AR130+AR131+AR132+AR133+AR134+AR135+AR136+AR137+AR138+AR139+AR140+AR141+AR142+AR143+AR144+AR145+AR146+AR149+AR154+AR228+AR229+AR230+AR235+AR236+AR237+AR504</f>
        <v>13539141.11670316</v>
      </c>
      <c r="AS662" s="173">
        <f t="shared" si="707"/>
        <v>279519957.8139528</v>
      </c>
      <c r="AT662" s="173">
        <f t="shared" si="707"/>
        <v>278039825.50219911</v>
      </c>
      <c r="AU662" s="173">
        <f t="shared" si="707"/>
        <v>276853513.521447</v>
      </c>
      <c r="AV662" s="173">
        <f t="shared" si="707"/>
        <v>275667201.98302668</v>
      </c>
      <c r="AW662" s="173">
        <f t="shared" si="707"/>
        <v>274480890.44460773</v>
      </c>
      <c r="AX662" s="173">
        <f t="shared" si="707"/>
        <v>273294578.9061873</v>
      </c>
      <c r="AY662" s="173">
        <f t="shared" si="707"/>
        <v>272108267.36776823</v>
      </c>
      <c r="AZ662" s="173">
        <f t="shared" si="707"/>
        <v>270921955.82934797</v>
      </c>
      <c r="BA662" s="173">
        <f t="shared" si="707"/>
        <v>269735644.29092836</v>
      </c>
      <c r="BB662" s="173">
        <f t="shared" si="707"/>
        <v>268549332.75250876</v>
      </c>
      <c r="BC662" s="173">
        <f t="shared" si="707"/>
        <v>267363021.21408901</v>
      </c>
      <c r="BD662" s="173">
        <f t="shared" si="707"/>
        <v>266176709.67566952</v>
      </c>
      <c r="BE662" s="173">
        <f t="shared" si="707"/>
        <v>3858485.7099056565</v>
      </c>
      <c r="BG662" s="127"/>
      <c r="BI662" s="127"/>
      <c r="BV662" s="127"/>
    </row>
    <row r="663" spans="1:74" hidden="1" x14ac:dyDescent="0.2">
      <c r="F663" s="106" t="s">
        <v>67</v>
      </c>
      <c r="G663" s="171" t="s">
        <v>78</v>
      </c>
      <c r="H663" s="171"/>
      <c r="I663" s="171"/>
      <c r="J663" s="171"/>
      <c r="K663" s="171"/>
      <c r="L663" s="172"/>
      <c r="M663" s="172"/>
      <c r="N663" s="173">
        <f>N13+N43+N54+N55+N64+N65+N66+N67+N68+N69+N70+N71+N72+N74+N80+N93+N96+N113+N115+N118</f>
        <v>1579409.1394166667</v>
      </c>
      <c r="O663" s="174"/>
      <c r="P663" s="174"/>
      <c r="Q663" s="174"/>
      <c r="R663" s="174"/>
      <c r="S663" s="174"/>
      <c r="T663" s="174"/>
      <c r="U663" s="174"/>
      <c r="V663" s="174"/>
      <c r="W663" s="174"/>
      <c r="X663" s="174"/>
      <c r="Y663" s="174"/>
      <c r="Z663" s="174"/>
      <c r="AA663" s="173">
        <f>AA13+AA43+AA54+AA55+AA64+AA65+AA66+AA67+AA68+AA69+AA70+AA71+AA72+AA74+AA80+AA93+AA96+AA113+AA115+AA118</f>
        <v>788866.30953716673</v>
      </c>
      <c r="AB663" s="174"/>
      <c r="AC663" s="173">
        <f>AC13+AC43+AC54+AC55+AC64+AC65+AC66+AC67+AC68+AC69+AC70+AC71+AC72+AC74+AC80+AC93+AC96+AC113+AC115+AC118</f>
        <v>1579409.1394166667</v>
      </c>
      <c r="AD663" s="174"/>
      <c r="AE663" s="174"/>
      <c r="AF663" s="174"/>
      <c r="AG663" s="174"/>
      <c r="AH663" s="174"/>
      <c r="AI663" s="174"/>
      <c r="AJ663" s="174"/>
      <c r="AK663" s="174"/>
      <c r="AL663" s="174"/>
      <c r="AM663" s="174"/>
      <c r="AN663" s="174"/>
      <c r="AO663" s="174"/>
      <c r="AP663" s="173">
        <f>AP13+AP43+AP54+AP55+AP64+AP65+AP66+AP67+AP68+AP69+AP70+AP71+AP72+AP74+AP80+AP93+AP96+AP113+AP115+AP118</f>
        <v>754261.75297000015</v>
      </c>
      <c r="AQ663" s="174"/>
      <c r="AR663" s="173">
        <f t="shared" ref="AR663:BE663" si="708">AR13+AR43+AR54+AR55+AR64+AR65+AR66+AR67+AR68+AR69+AR70+AR71+AR72+AR74+AR80+AR93+AR96+AR113+AR115+AR118</f>
        <v>1579409.1394166667</v>
      </c>
      <c r="AS663" s="173">
        <f t="shared" si="708"/>
        <v>33387583.472006973</v>
      </c>
      <c r="AT663" s="173">
        <f t="shared" si="708"/>
        <v>33255966.04372225</v>
      </c>
      <c r="AU663" s="173">
        <f t="shared" si="708"/>
        <v>33124348.615437526</v>
      </c>
      <c r="AV663" s="173">
        <f t="shared" si="708"/>
        <v>32992731.187152807</v>
      </c>
      <c r="AW663" s="173">
        <f t="shared" si="708"/>
        <v>32861113.758868091</v>
      </c>
      <c r="AX663" s="173">
        <f t="shared" si="708"/>
        <v>32729496.330583364</v>
      </c>
      <c r="AY663" s="173">
        <f t="shared" si="708"/>
        <v>32597878.902298648</v>
      </c>
      <c r="AZ663" s="173">
        <f t="shared" si="708"/>
        <v>32466261.474013921</v>
      </c>
      <c r="BA663" s="173">
        <f t="shared" si="708"/>
        <v>32334644.045729205</v>
      </c>
      <c r="BB663" s="173">
        <f t="shared" si="708"/>
        <v>32203026.617444478</v>
      </c>
      <c r="BC663" s="173">
        <f t="shared" si="708"/>
        <v>32071409.189159758</v>
      </c>
      <c r="BD663" s="173">
        <f t="shared" si="708"/>
        <v>31939791.760875039</v>
      </c>
      <c r="BE663" s="173">
        <f t="shared" si="708"/>
        <v>719657.19640283403</v>
      </c>
    </row>
    <row r="664" spans="1:74" hidden="1" x14ac:dyDescent="0.2">
      <c r="F664" s="106" t="s">
        <v>126</v>
      </c>
      <c r="G664" s="171" t="s">
        <v>25</v>
      </c>
      <c r="H664" s="171"/>
      <c r="I664" s="171"/>
      <c r="J664" s="171"/>
      <c r="K664" s="171"/>
      <c r="L664" s="172"/>
      <c r="M664" s="172"/>
      <c r="N664" s="173">
        <f>N340+N519+N521+N522+N523+N524+N525+N526+N527+N528+N529+N531+N532+N533+N534+N535+N536+N537+N538+N539+N540+N541+N542+N543+N544+N545+N546+N547+N548+N549+N550+N551+N552+N553+N554+N555+N556+N557+N558+N559+N560+N561+N562+N563+N566+N567+N568+N569+N570+N571+N572+N573+N574+N592+N593+N610+N632+N633+N634</f>
        <v>2297621.840202922</v>
      </c>
      <c r="O664" s="174"/>
      <c r="P664" s="174"/>
      <c r="Q664" s="174"/>
      <c r="R664" s="174"/>
      <c r="S664" s="174"/>
      <c r="T664" s="174"/>
      <c r="U664" s="174"/>
      <c r="V664" s="174"/>
      <c r="W664" s="174"/>
      <c r="X664" s="174"/>
      <c r="Y664" s="174"/>
      <c r="Z664" s="174"/>
      <c r="AA664" s="173">
        <f>AA340+AA519+AA521+AA522+AA523+AA524+AA525+AA526+AA527+AA528+AA529+AA531+AA532+AA533+AA534+AA535+AA536+AA537+AA538+AA539+AA540+AA541+AA542+AA543+AA544+AA545+AA546+AA547+AA548+AA549+AA550+AA551+AA552+AA553+AA554+AA555+AA556+AA557+AA558+AA559+AA560+AA561+AA562+AA563+AA566+AA567+AA568+AA569+AA570+AA571+AA572+AA573+AA574+AA592+AA593+AA610+AA632+AA633+AA634</f>
        <v>515073.40591574984</v>
      </c>
      <c r="AB664" s="174"/>
      <c r="AC664" s="173">
        <f>AC340+AC519+AC521+AC522+AC523+AC524+AC525+AC526+AC527+AC528+AC529+AC531+AC532+AC533+AC534+AC535+AC536+AC537+AC538+AC539+AC540+AC541+AC542+AC543+AC544+AC545+AC546+AC547+AC548+AC549+AC550+AC551+AC552+AC553+AC554+AC555+AC556+AC557+AC558+AC559+AC560+AC561+AC562+AC563+AC566+AC567+AC568+AC569+AC570+AC571+AC572+AC573+AC574+AC592+AC593+AC610+AC632+AC633+AC634</f>
        <v>1993621.0919033187</v>
      </c>
      <c r="AD664" s="174"/>
      <c r="AE664" s="174"/>
      <c r="AF664" s="174"/>
      <c r="AG664" s="174"/>
      <c r="AH664" s="174"/>
      <c r="AI664" s="174"/>
      <c r="AJ664" s="174"/>
      <c r="AK664" s="174"/>
      <c r="AL664" s="174"/>
      <c r="AM664" s="174"/>
      <c r="AN664" s="174"/>
      <c r="AO664" s="174"/>
      <c r="AP664" s="173">
        <f>AP340+AP519+AP521+AP522+AP523+AP524+AP525+AP526+AP527+AP528+AP529+AP531+AP532+AP533+AP534+AP535+AP536+AP537+AP538+AP539+AP540+AP541+AP542+AP543+AP544+AP545+AP546+AP547+AP548+AP549+AP550+AP551+AP552+AP553+AP554+AP555+AP556+AP557+AP558+AP559+AP560+AP561+AP562+AP563+AP566+AP567+AP568+AP569+AP570+AP571+AP572+AP573+AP574+AP592+AP593+AP610+AP632+AP633+AP634</f>
        <v>499055.98649958294</v>
      </c>
      <c r="AQ664" s="174"/>
      <c r="AR664" s="173">
        <f t="shared" ref="AR664:BE664" si="709">AR340+AR519+AR521+AR522+AR523+AR524+AR525+AR526+AR527+AR528+AR529+AR531+AR532+AR533+AR534+AR535+AR536+AR537+AR538+AR539+AR540+AR541+AR542+AR543+AR544+AR545+AR546+AR547+AR548+AR549+AR550+AR551+AR552+AR553+AR554+AR555+AR556+AR557+AR558+AR559+AR560+AR561+AR562+AR563+AR566+AR567+AR568+AR569+AR570+AR571+AR572+AR573+AR574+AR592+AR593+AR610+AR632+AR633+AR634</f>
        <v>1882774.8501969697</v>
      </c>
      <c r="AS664" s="173">
        <f t="shared" si="709"/>
        <v>26727357.287052367</v>
      </c>
      <c r="AT664" s="173">
        <f t="shared" si="709"/>
        <v>26563921.376376234</v>
      </c>
      <c r="AU664" s="173">
        <f t="shared" si="709"/>
        <v>26407101.389033418</v>
      </c>
      <c r="AV664" s="173">
        <f t="shared" si="709"/>
        <v>26250281.401690613</v>
      </c>
      <c r="AW664" s="173">
        <f t="shared" si="709"/>
        <v>26093461.414347813</v>
      </c>
      <c r="AX664" s="173">
        <f t="shared" si="709"/>
        <v>25936641.427005015</v>
      </c>
      <c r="AY664" s="173">
        <f t="shared" si="709"/>
        <v>25779821.439662218</v>
      </c>
      <c r="AZ664" s="173">
        <f t="shared" si="709"/>
        <v>25623001.45231941</v>
      </c>
      <c r="BA664" s="173">
        <f t="shared" si="709"/>
        <v>25466181.464976605</v>
      </c>
      <c r="BB664" s="173">
        <f t="shared" si="709"/>
        <v>25309361.477633789</v>
      </c>
      <c r="BC664" s="173">
        <f t="shared" si="709"/>
        <v>25152541.490290988</v>
      </c>
      <c r="BD664" s="173">
        <f t="shared" si="709"/>
        <v>24995721.502948191</v>
      </c>
      <c r="BE664" s="173">
        <f t="shared" si="709"/>
        <v>483654.40638751845</v>
      </c>
      <c r="BG664" s="127"/>
      <c r="BI664" s="127"/>
      <c r="BV664" s="127"/>
    </row>
    <row r="665" spans="1:74" hidden="1" x14ac:dyDescent="0.2">
      <c r="F665" s="106" t="s">
        <v>127</v>
      </c>
      <c r="G665" s="175" t="s">
        <v>79</v>
      </c>
      <c r="H665" s="171"/>
      <c r="I665" s="171"/>
      <c r="J665" s="171"/>
      <c r="K665" s="171"/>
      <c r="L665" s="172"/>
      <c r="M665" s="172"/>
      <c r="N665" s="173">
        <f>N564+N565+N577+N578+N579+N580+N581+N582+N583+N584+N585+N586+N587</f>
        <v>551554.94580158731</v>
      </c>
      <c r="O665" s="174"/>
      <c r="P665" s="174"/>
      <c r="Q665" s="174"/>
      <c r="R665" s="174"/>
      <c r="S665" s="174"/>
      <c r="T665" s="174"/>
      <c r="U665" s="174"/>
      <c r="V665" s="174"/>
      <c r="W665" s="174"/>
      <c r="X665" s="174"/>
      <c r="Y665" s="174"/>
      <c r="Z665" s="174"/>
      <c r="AA665" s="173">
        <f>AA564+AA565+AA577+AA578+AA579+AA580+AA581+AA582+AA583+AA584+AA585+AA586+AA587</f>
        <v>126834.85488849995</v>
      </c>
      <c r="AB665" s="174"/>
      <c r="AC665" s="173">
        <f>AC564+AC565+AC577+AC578+AC579+AC580+AC581+AC582+AC583+AC584+AC585+AC586+AC587</f>
        <v>546156.01469047624</v>
      </c>
      <c r="AD665" s="174"/>
      <c r="AE665" s="174"/>
      <c r="AF665" s="174"/>
      <c r="AG665" s="174"/>
      <c r="AH665" s="174"/>
      <c r="AI665" s="174"/>
      <c r="AJ665" s="174"/>
      <c r="AK665" s="174"/>
      <c r="AL665" s="174"/>
      <c r="AM665" s="174"/>
      <c r="AN665" s="174"/>
      <c r="AO665" s="174"/>
      <c r="AP665" s="173">
        <f>AP564+AP565+AP577+AP578+AP579+AP580+AP581+AP582+AP583+AP584+AP585+AP586+AP587</f>
        <v>120413.5774654999</v>
      </c>
      <c r="AQ665" s="174"/>
      <c r="AR665" s="173">
        <f t="shared" ref="AR665:BE665" si="710">AR564+AR565+AR577+AR578+AR579+AR580+AR581+AR582+AR583+AR584+AR585+AR586+AR587</f>
        <v>546156.01469047624</v>
      </c>
      <c r="AS665" s="173">
        <f t="shared" si="710"/>
        <v>7260735.5758710252</v>
      </c>
      <c r="AT665" s="173">
        <f t="shared" si="710"/>
        <v>7215222.5746468185</v>
      </c>
      <c r="AU665" s="173">
        <f t="shared" si="710"/>
        <v>7169709.5734226126</v>
      </c>
      <c r="AV665" s="173">
        <f t="shared" si="710"/>
        <v>7124196.5721984068</v>
      </c>
      <c r="AW665" s="173">
        <f t="shared" si="710"/>
        <v>7078683.5709742</v>
      </c>
      <c r="AX665" s="173">
        <f t="shared" si="710"/>
        <v>7033170.5697499942</v>
      </c>
      <c r="AY665" s="173">
        <f t="shared" si="710"/>
        <v>6987657.5685257874</v>
      </c>
      <c r="AZ665" s="173">
        <f t="shared" si="710"/>
        <v>6942144.5673015798</v>
      </c>
      <c r="BA665" s="173">
        <f t="shared" si="710"/>
        <v>6896631.5660773739</v>
      </c>
      <c r="BB665" s="173">
        <f t="shared" si="710"/>
        <v>6851118.5648531681</v>
      </c>
      <c r="BC665" s="173">
        <f t="shared" si="710"/>
        <v>6805605.5636289613</v>
      </c>
      <c r="BD665" s="173">
        <f t="shared" si="710"/>
        <v>6760092.5624047546</v>
      </c>
      <c r="BE665" s="173">
        <f t="shared" si="710"/>
        <v>113992.30004249985</v>
      </c>
      <c r="BG665" s="127"/>
      <c r="BI665" s="127"/>
      <c r="BV665" s="127"/>
    </row>
    <row r="666" spans="1:74" hidden="1" x14ac:dyDescent="0.2">
      <c r="F666" s="106" t="s">
        <v>30</v>
      </c>
      <c r="G666" s="171" t="s">
        <v>31</v>
      </c>
      <c r="H666" s="171"/>
      <c r="I666" s="171"/>
      <c r="J666" s="171"/>
      <c r="K666" s="171"/>
      <c r="L666" s="176"/>
      <c r="M666" s="176"/>
      <c r="N666" s="173">
        <f>N509+N510+N594+N597+N645</f>
        <v>59847.267499999994</v>
      </c>
      <c r="O666" s="174"/>
      <c r="P666" s="174"/>
      <c r="Q666" s="174"/>
      <c r="R666" s="174"/>
      <c r="S666" s="174"/>
      <c r="T666" s="174"/>
      <c r="U666" s="174"/>
      <c r="V666" s="174"/>
      <c r="W666" s="174"/>
      <c r="X666" s="174"/>
      <c r="Y666" s="174"/>
      <c r="Z666" s="174"/>
      <c r="AA666" s="173">
        <f>AA509+AA510+AA594+AA597+AA645</f>
        <v>0</v>
      </c>
      <c r="AB666" s="174"/>
      <c r="AC666" s="173">
        <f>AC509+AC510+AC594+AC597+AC645</f>
        <v>5723865.9626666671</v>
      </c>
      <c r="AD666" s="174"/>
      <c r="AE666" s="174"/>
      <c r="AF666" s="174"/>
      <c r="AG666" s="174"/>
      <c r="AH666" s="174"/>
      <c r="AI666" s="174"/>
      <c r="AJ666" s="174"/>
      <c r="AK666" s="174"/>
      <c r="AL666" s="174"/>
      <c r="AM666" s="174"/>
      <c r="AN666" s="174"/>
      <c r="AO666" s="174"/>
      <c r="AP666" s="173">
        <f>AP509+AP510+AP594+AP597+AP645</f>
        <v>0</v>
      </c>
      <c r="AQ666" s="174"/>
      <c r="AR666" s="173">
        <f t="shared" ref="AR666:BE666" si="711">AR509+AR510+AR594+AR597+AR645</f>
        <v>22684366.496952381</v>
      </c>
      <c r="AS666" s="173">
        <f t="shared" si="711"/>
        <v>151400522.45734915</v>
      </c>
      <c r="AT666" s="173">
        <f t="shared" si="711"/>
        <v>149510158.5826031</v>
      </c>
      <c r="AU666" s="173">
        <f t="shared" si="711"/>
        <v>147619794.70785704</v>
      </c>
      <c r="AV666" s="173">
        <f t="shared" si="711"/>
        <v>145729430.83311102</v>
      </c>
      <c r="AW666" s="173">
        <f t="shared" si="711"/>
        <v>143839066.95836496</v>
      </c>
      <c r="AX666" s="173">
        <f t="shared" si="711"/>
        <v>141948703.08361891</v>
      </c>
      <c r="AY666" s="173">
        <f t="shared" si="711"/>
        <v>140058339.20887288</v>
      </c>
      <c r="AZ666" s="173">
        <f t="shared" si="711"/>
        <v>138167975.33412683</v>
      </c>
      <c r="BA666" s="173">
        <f t="shared" si="711"/>
        <v>136277611.45938078</v>
      </c>
      <c r="BB666" s="173">
        <f t="shared" si="711"/>
        <v>134387247.58463475</v>
      </c>
      <c r="BC666" s="173">
        <f t="shared" si="711"/>
        <v>132496883.70988871</v>
      </c>
      <c r="BD666" s="173">
        <f t="shared" si="711"/>
        <v>130606519.83514269</v>
      </c>
      <c r="BE666" s="173">
        <f t="shared" si="711"/>
        <v>0</v>
      </c>
      <c r="BG666" s="127"/>
      <c r="BI666" s="127"/>
      <c r="BV666" s="127"/>
    </row>
    <row r="667" spans="1:74" hidden="1" x14ac:dyDescent="0.2">
      <c r="F667" s="106" t="s">
        <v>67</v>
      </c>
      <c r="G667" s="175" t="s">
        <v>38</v>
      </c>
      <c r="H667" s="171"/>
      <c r="I667" s="171"/>
      <c r="J667" s="171"/>
      <c r="K667" s="171"/>
      <c r="L667" s="176"/>
      <c r="M667" s="176"/>
      <c r="N667" s="173">
        <f>N21+N29+N30+N40+N41+N42+N44+N47+N56+N57+N58+N73+N76+N92+N99+N102+N107+N109+N110+N114+N120+N121+N122+N147+N148+N520+N530+N590+N631</f>
        <v>6068681.012467673</v>
      </c>
      <c r="O667" s="174"/>
      <c r="P667" s="174"/>
      <c r="Q667" s="174"/>
      <c r="R667" s="174"/>
      <c r="S667" s="174"/>
      <c r="T667" s="174"/>
      <c r="U667" s="174"/>
      <c r="V667" s="174"/>
      <c r="W667" s="174"/>
      <c r="X667" s="174"/>
      <c r="Y667" s="174"/>
      <c r="Z667" s="174"/>
      <c r="AA667" s="173">
        <f>AA21+AA29+AA30+AA40+AA41+AA42+AA44+AA47+AA56+AA57+AA58+AA73+AA76+AA92+AA99+AA102+AA107+AA109+AA110+AA114+AA120+AA121+AA122+AA147+AA148+AA520+AA530+AA590+AA631</f>
        <v>525793.42573577224</v>
      </c>
      <c r="AB667" s="174"/>
      <c r="AC667" s="173">
        <f>AC21+AC29+AC30+AC40+AC41+AC42+AC44+AC47+AC56+AC57+AC58+AC73+AC76+AC92+AC99+AC102+AC107+AC109+AC110+AC114+AC120+AC121+AC122+AC147+AC148+AC520+AC530+AC590+AC631</f>
        <v>3151215.5022890996</v>
      </c>
      <c r="AD667" s="174"/>
      <c r="AE667" s="174"/>
      <c r="AF667" s="174"/>
      <c r="AG667" s="174"/>
      <c r="AH667" s="174"/>
      <c r="AI667" s="174"/>
      <c r="AJ667" s="174"/>
      <c r="AK667" s="174"/>
      <c r="AL667" s="174"/>
      <c r="AM667" s="174"/>
      <c r="AN667" s="174"/>
      <c r="AO667" s="174"/>
      <c r="AP667" s="173">
        <f>AP21+AP29+AP30+AP40+AP41+AP42+AP44+AP47+AP56+AP57+AP58+AP73+AP76+AP92+AP99+AP102+AP107+AP109+AP110+AP114+AP120+AP121+AP122+AP147+AP148+AP520+AP530+AP590+AP631</f>
        <v>474001.88639664999</v>
      </c>
      <c r="AQ667" s="174"/>
      <c r="AR667" s="173">
        <f t="shared" ref="AR667:BE667" si="712">AR21+AR29+AR30+AR40+AR41+AR42+AR44+AR47+AR56+AR57+AR58+AR73+AR76+AR92+AR99+AR102+AR107+AR109+AR110+AR114+AR120+AR121+AR122+AR147+AR148+AR520+AR530+AR590+AR631</f>
        <v>2702966.7135946555</v>
      </c>
      <c r="AS667" s="173">
        <f t="shared" si="712"/>
        <v>21398599.448724635</v>
      </c>
      <c r="AT667" s="173">
        <f t="shared" si="712"/>
        <v>21136045.941405911</v>
      </c>
      <c r="AU667" s="173">
        <f t="shared" si="712"/>
        <v>20873492.43408718</v>
      </c>
      <c r="AV667" s="173">
        <f t="shared" si="712"/>
        <v>20610938.926768441</v>
      </c>
      <c r="AW667" s="173">
        <f t="shared" si="712"/>
        <v>20355152.681838598</v>
      </c>
      <c r="AX667" s="173">
        <f t="shared" si="712"/>
        <v>20147443.690464303</v>
      </c>
      <c r="AY667" s="173">
        <f t="shared" si="712"/>
        <v>19939734.699090011</v>
      </c>
      <c r="AZ667" s="173">
        <f t="shared" si="712"/>
        <v>19732025.70771572</v>
      </c>
      <c r="BA667" s="173">
        <f t="shared" si="712"/>
        <v>19524316.716341432</v>
      </c>
      <c r="BB667" s="173">
        <f t="shared" si="712"/>
        <v>19316607.724967144</v>
      </c>
      <c r="BC667" s="173">
        <f t="shared" si="712"/>
        <v>19108898.733592853</v>
      </c>
      <c r="BD667" s="173">
        <f t="shared" si="712"/>
        <v>18901189.742218561</v>
      </c>
      <c r="BE667" s="173">
        <f t="shared" si="712"/>
        <v>422210.34705752786</v>
      </c>
    </row>
    <row r="668" spans="1:74" hidden="1" x14ac:dyDescent="0.2">
      <c r="F668" s="106" t="s">
        <v>85</v>
      </c>
      <c r="G668" s="177" t="s">
        <v>19</v>
      </c>
      <c r="H668" s="177"/>
      <c r="I668" s="171"/>
      <c r="J668" s="171"/>
      <c r="K668" s="171"/>
      <c r="L668" s="176"/>
      <c r="M668" s="176"/>
      <c r="N668" s="173">
        <f>N200+N512+N513+N514+N515+N516+N517</f>
        <v>116846.04697175142</v>
      </c>
      <c r="O668" s="174"/>
      <c r="P668" s="174"/>
      <c r="Q668" s="174"/>
      <c r="R668" s="174"/>
      <c r="S668" s="174"/>
      <c r="T668" s="174"/>
      <c r="U668" s="174"/>
      <c r="V668" s="174"/>
      <c r="W668" s="174"/>
      <c r="X668" s="174"/>
      <c r="Y668" s="174"/>
      <c r="Z668" s="174"/>
      <c r="AA668" s="173">
        <f>AA200+AA512+AA513+AA514+AA515+AA516+AA517</f>
        <v>18378.115539298564</v>
      </c>
      <c r="AB668" s="174"/>
      <c r="AC668" s="173">
        <f>AC200+AC512+AC513+AC514+AC515+AC516+AC517</f>
        <v>115290.59533333335</v>
      </c>
      <c r="AD668" s="174"/>
      <c r="AE668" s="174"/>
      <c r="AF668" s="174"/>
      <c r="AG668" s="174"/>
      <c r="AH668" s="174"/>
      <c r="AI668" s="174"/>
      <c r="AJ668" s="174"/>
      <c r="AK668" s="174"/>
      <c r="AL668" s="174"/>
      <c r="AM668" s="174"/>
      <c r="AN668" s="174"/>
      <c r="AO668" s="174"/>
      <c r="AP668" s="173">
        <f>AP200+AP512+AP513+AP514+AP515+AP516+AP517</f>
        <v>16857.84624333333</v>
      </c>
      <c r="AQ668" s="174"/>
      <c r="AR668" s="173">
        <f t="shared" ref="AR668:BE668" si="713">AR200+AR512+AR513+AR514+AR515+AR516+AR517</f>
        <v>114305.83616666668</v>
      </c>
      <c r="AS668" s="173">
        <f t="shared" si="713"/>
        <v>1005220.7169444441</v>
      </c>
      <c r="AT668" s="173">
        <f t="shared" si="713"/>
        <v>995613.16733333282</v>
      </c>
      <c r="AU668" s="173">
        <f t="shared" si="713"/>
        <v>986005.61772222177</v>
      </c>
      <c r="AV668" s="173">
        <f t="shared" si="713"/>
        <v>976398.0681111106</v>
      </c>
      <c r="AW668" s="173">
        <f t="shared" si="713"/>
        <v>966790.51849999942</v>
      </c>
      <c r="AX668" s="173">
        <f t="shared" si="713"/>
        <v>957182.96888888837</v>
      </c>
      <c r="AY668" s="173">
        <f t="shared" si="713"/>
        <v>947575.4192777772</v>
      </c>
      <c r="AZ668" s="173">
        <f t="shared" si="713"/>
        <v>938131.48299999954</v>
      </c>
      <c r="BA668" s="173">
        <f t="shared" si="713"/>
        <v>928688.16255555511</v>
      </c>
      <c r="BB668" s="173">
        <f t="shared" si="713"/>
        <v>919244.84211111057</v>
      </c>
      <c r="BC668" s="173">
        <f t="shared" si="713"/>
        <v>909801.52166666603</v>
      </c>
      <c r="BD668" s="173">
        <f t="shared" si="713"/>
        <v>900358.2012222216</v>
      </c>
      <c r="BE668" s="173">
        <f t="shared" si="713"/>
        <v>15356.839343999993</v>
      </c>
    </row>
    <row r="669" spans="1:74" hidden="1" x14ac:dyDescent="0.2">
      <c r="F669" s="106" t="s">
        <v>41</v>
      </c>
      <c r="G669" s="175" t="s">
        <v>44</v>
      </c>
      <c r="H669" s="171"/>
      <c r="I669" s="171"/>
      <c r="J669" s="171"/>
      <c r="K669" s="171"/>
      <c r="L669" s="176"/>
      <c r="M669" s="176"/>
      <c r="N669" s="173">
        <f>N156+N157+N158+N159+N160+N168+N169+N170+N171+N172+N173+N174+N175+N176+N177+N178+N179+N180+N181+N182+N183+N184+N185+N186+N187+N188+N189+N190+N191+N192+N195+N196+N199+N201+N202+N203+N204+N205+N206+N207+N208+N209+N210+N211+N212+N213+N214+N215+N216+N217+N218+N219+N220+N221+N222+N223+N224+N225+N226+N227+N231+N232+N233+N234+N238+N239+N240+N241+N242+N243+N244+N245+N246+N247+N248+N249+N250+N251+N252+N253+N254+N255+N256+N257+N258+N259+N260+N261+N262+N263+N264+N265+N266+N267+N268+N269+N270+N271+N272+N273+N274+N275+N276+N277+N278+N279+N280+N281+N282+N283+N284+N285+N286+N287+N289+N290+N291+N292+N293+N294+N295+N296+N297+N298+N299+N300+N301+N302+N303+N304+N305+N306+N307+N308+N309+N310+N311+N312+N313+N314+N315+N316+N317+N318+N319+N320+N321+N322+N323+N324+N325+N326+N327+N328+N329+N330+N331+N332+N333+N334+N335+N336+N337+N338+N339+N341+N342+N343+N346+N347+N348+N349+N350+N351+N352+N353+N354+N355+N356+N357+N358+N360+N362+N363+N364+N365+N366+N367+N368+N369+N370+N371+N372+N373+N374+N375+N376+N377+N378+N379+N380+N381+N382+N383+N384+N385+N386+N387+N388+N389+N390+N391+N392+N393+N394+N395+N396+N397+N398+N399+N400+N401+N402+N403+N404+N405+N406+N407+N408+N409+N410+N411+N412+N413+N414+N415+N416+N417+N418+N419+N420+N421+N422+N423+N424+N425+N426+N427+N428+N429+N430+N431+N433+N434+N435+N436+N437+N438+N439+N440+N441+N442+N443+N444+N445+N446+N447+N448+N449+N450+N451+N452+N453+N454+N455+N456+N457+N458+N459+N460+N461+N462+N463+N464+N465+N466+N467+N468+N469+N470+N471+N472+N473+N474+N475+N476+N477+N478+N479+N480+N481+N482+N483+N484+N485+N486+N487+N488+N489+N490+N491+N492+N493+N494+N495+N496+N497+N498+N499+N500+N501+N502+N503+N505+N506+N507+N575+N591+N596+N598+N599+N600+N601+N602+N603+N604+N605+N606+N607+N608+N609+N611+N612+N613+N614+N616+N617+N618+N619+N620+N621+N623+N624+N625+N626+N627+N628+N629+N630+N635+N636+N637+N638+N646+N647+N648+N649+N650+N651+N652+N653+N654+N655+N656</f>
        <v>30983983.426420227</v>
      </c>
      <c r="O669" s="174"/>
      <c r="P669" s="174"/>
      <c r="Q669" s="174"/>
      <c r="R669" s="174"/>
      <c r="S669" s="174"/>
      <c r="T669" s="174"/>
      <c r="U669" s="174"/>
      <c r="V669" s="174"/>
      <c r="W669" s="174"/>
      <c r="X669" s="174"/>
      <c r="Y669" s="174"/>
      <c r="Z669" s="174"/>
      <c r="AA669" s="173">
        <f>AA156+AA157+AA158+AA159+AA160+AA168+AA169+AA170+AA171+AA172+AA173+AA174+AA175+AA176+AA177+AA178+AA179+AA180+AA181+AA182+AA183+AA184+AA185+AA186+AA187+AA188+AA189+AA190+AA191+AA192+AA195+AA196+AA199+AA201+AA202+AA203+AA204+AA205+AA206+AA207+AA208+AA209+AA210+AA211+AA212+AA213+AA214+AA215+AA216+AA217+AA218+AA219+AA220+AA221+AA222+AA223+AA224+AA225+AA226+AA227+AA231+AA232+AA233+AA234+AA238+AA239+AA240+AA241+AA242+AA243+AA244+AA245+AA246+AA247+AA248+AA249+AA250+AA251+AA252+AA253+AA254+AA255+AA256+AA257+AA258+AA259+AA260+AA261+AA262+AA263+AA264+AA265+AA266+AA267+AA268+AA269+AA270+AA271+AA272+AA273+AA274+AA275+AA276+AA277+AA278+AA279+AA280+AA281+AA282+AA283+AA284+AA285+AA286+AA287+AA289+AA290+AA291+AA292+AA293+AA294+AA295+AA296+AA297+AA298+AA299+AA300+AA301+AA302+AA303+AA304+AA305+AA306+AA307+AA308+AA309+AA310+AA311+AA312+AA313+AA314+AA315+AA316+AA317+AA318+AA319+AA320+AA321+AA322+AA323+AA324+AA325+AA326+AA327+AA328+AA329+AA330+AA331+AA332+AA333+AA334+AA335+AA336+AA337+AA338+AA339+AA341+AA342+AA343+AA346+AA347+AA348+AA349+AA350+AA351+AA352+AA353+AA354+AA355+AA356+AA357+AA358+AA360+AA362+AA363+AA364+AA365+AA366+AA367+AA368+AA369+AA370+AA371+AA372+AA373+AA374+AA375+AA376+AA377+AA378+AA379+AA380+AA381+AA382+AA383+AA384+AA385+AA386+AA387+AA388+AA389+AA390+AA391+AA392+AA393+AA394+AA395+AA396+AA397+AA398+AA399+AA400+AA401+AA402+AA403+AA404+AA405+AA406+AA407+AA408+AA409+AA410+AA411+AA412+AA413+AA414+AA415+AA416+AA417+AA418+AA419+AA420+AA421+AA422+AA423+AA424+AA425+AA426+AA427+AA428+AA429+AA430+AA431+AA433+AA434+AA435+AA436+AA437+AA438+AA439+AA440+AA441+AA442+AA443+AA444+AA445+AA446+AA447+AA448+AA449+AA450+AA451+AA452+AA453+AA454+AA455+AA456+AA457+AA458+AA459+AA460+AA461+AA462+AA463+AA464+AA465+AA466+AA467+AA468+AA469+AA470+AA471+AA472+AA473+AA474+AA475+AA476+AA477+AA478+AA479+AA480+AA481+AA482+AA483+AA484+AA485+AA486+AA487+AA488+AA489+AA490+AA491+AA492+AA493+AA494+AA495+AA496+AA497+AA498+AA499+AA500+AA501+AA502+AA503+AA505+AA506+AA507+AA575+AA591+AA596+AA598+AA599+AA600+AA601+AA602+AA603+AA604+AA605+AA606+AA607+AA608+AA609+AA611+AA612+AA613+AA614+AA616+AA617+AA618+AA619+AA620+AA621+AA623+AA624+AA625+AA626+AA627+AA628+AA629+AA630+AA635+AA636+AA637+AA638+AA646+AA647+AA648+AA649+AA650+AA651+AA652+AA653+AA654+AA655+AA656</f>
        <v>9724981.6416267604</v>
      </c>
      <c r="AB669" s="174"/>
      <c r="AC669" s="173">
        <f>AC156+AC157+AC158+AC159+AC160+AC168+AC169+AC170+AC171+AC172+AC173+AC174+AC175+AC176+AC177+AC178+AC179+AC180+AC181+AC182+AC183+AC184+AC185+AC186+AC187+AC188+AC189+AC190+AC191+AC192+AC195+AC196+AC199+AC201+AC202+AC203+AC204+AC205+AC206+AC207+AC208+AC209+AC210+AC211+AC212+AC213+AC214+AC215+AC216+AC217+AC218+AC219+AC220+AC221+AC222+AC223+AC224+AC225+AC226+AC227+AC231+AC232+AC233+AC234+AC238+AC239+AC240+AC241+AC242+AC243+AC244+AC245+AC246+AC247+AC248+AC249+AC250+AC251+AC252+AC253+AC254+AC255+AC256+AC257+AC258+AC259+AC260+AC261+AC262+AC263+AC264+AC265+AC266+AC267+AC268+AC269+AC270+AC271+AC272+AC273+AC274+AC275+AC276+AC277+AC278+AC279+AC280+AC281+AC282+AC283+AC284+AC285+AC286+AC287+AC289+AC290+AC291+AC292+AC293+AC294+AC295+AC296+AC297+AC298+AC299+AC300+AC301+AC302+AC303+AC304+AC305+AC306+AC307+AC308+AC309+AC310+AC311+AC312+AC313+AC314+AC315+AC316+AC317+AC318+AC319+AC320+AC321+AC322+AC323+AC324+AC325+AC326+AC327+AC328+AC329+AC330+AC331+AC332+AC333+AC334+AC335+AC336+AC337+AC338+AC339+AC341+AC342+AC343+AC346+AC347+AC348+AC349+AC350+AC351+AC352+AC353+AC354+AC355+AC356+AC357+AC358+AC360+AC362+AC363+AC364+AC365+AC366+AC367+AC368+AC369+AC370+AC371+AC372+AC373+AC374+AC375+AC376+AC377+AC378+AC379+AC380+AC381+AC382+AC383+AC384+AC385+AC386+AC387+AC388+AC389+AC390+AC391+AC392+AC393+AC394+AC395+AC396+AC397+AC398+AC399+AC400+AC401+AC402+AC403+AC404+AC405+AC406+AC407+AC408+AC409+AC410+AC411+AC412+AC413+AC414+AC415+AC416+AC417+AC418+AC419+AC420+AC421+AC422+AC423+AC424+AC425+AC426+AC427+AC428+AC429+AC430+AC431+AC433+AC434+AC435+AC436+AC437+AC438+AC439+AC440+AC441+AC442+AC443+AC444+AC445+AC446+AC447+AC448+AC449+AC450+AC451+AC452+AC453+AC454+AC455+AC456+AC457+AC458+AC459+AC460+AC461+AC462+AC463+AC464+AC465+AC466+AC467+AC468+AC469+AC470+AC471+AC472+AC473+AC474+AC475+AC476+AC477+AC478+AC479+AC480+AC481+AC482+AC483+AC484+AC485+AC486+AC487+AC488+AC489+AC490+AC491+AC492+AC493+AC494+AC495+AC496+AC497+AC498+AC499+AC500+AC501+AC502+AC503+AC505+AC506+AC507+AC575+AC591+AC596+AC598+AC599+AC600+AC601+AC602+AC603+AC604+AC605+AC606+AC607+AC608+AC609+AC611+AC612+AC613+AC614+AC616+AC617+AC618+AC619+AC620+AC621+AC623+AC624+AC625+AC626+AC627+AC628+AC629+AC630+AC635+AC636+AC637+AC638+AC646+AC647+AC648+AC649+AC650+AC651+AC652+AC653+AC654+AC655+AC656</f>
        <v>31400671.423775341</v>
      </c>
      <c r="AD669" s="174"/>
      <c r="AE669" s="174"/>
      <c r="AF669" s="174"/>
      <c r="AG669" s="174"/>
      <c r="AH669" s="174"/>
      <c r="AI669" s="174"/>
      <c r="AJ669" s="174"/>
      <c r="AK669" s="174"/>
      <c r="AL669" s="174"/>
      <c r="AM669" s="174"/>
      <c r="AN669" s="174"/>
      <c r="AO669" s="174"/>
      <c r="AP669" s="173">
        <f>AP156+AP157+AP158+AP159+AP160+AP168+AP169+AP170+AP171+AP172+AP173+AP174+AP175+AP176+AP177+AP178+AP179+AP180+AP181+AP182+AP183+AP184+AP185+AP186+AP187+AP188+AP189+AP190+AP191+AP192+AP195+AP196+AP199+AP201+AP202+AP203+AP204+AP205+AP206+AP207+AP208+AP209+AP210+AP211+AP212+AP213+AP214+AP215+AP216+AP217+AP218+AP219+AP220+AP221+AP222+AP223+AP224+AP225+AP226+AP227+AP231+AP232+AP233+AP234+AP238+AP239+AP240+AP241+AP242+AP243+AP244+AP245+AP246+AP247+AP248+AP249+AP250+AP251+AP252+AP253+AP254+AP255+AP256+AP257+AP258+AP259+AP260+AP261+AP262+AP263+AP264+AP265+AP266+AP267+AP268+AP269+AP270+AP271+AP272+AP273+AP274+AP275+AP276+AP277+AP278+AP279+AP280+AP281+AP282+AP283+AP284+AP285+AP286+AP287+AP289+AP290+AP291+AP292+AP293+AP294+AP295+AP296+AP297+AP298+AP299+AP300+AP301+AP302+AP303+AP304+AP305+AP306+AP307+AP308+AP309+AP310+AP311+AP312+AP313+AP314+AP315+AP316+AP317+AP318+AP319+AP320+AP321+AP322+AP323+AP324+AP325+AP326+AP327+AP328+AP329+AP330+AP331+AP332+AP333+AP334+AP335+AP336+AP337+AP338+AP339+AP341+AP342+AP343+AP346+AP347+AP348+AP349+AP350+AP351+AP352+AP353+AP354+AP355+AP356+AP357+AP358+AP360+AP362+AP363+AP364+AP365+AP366+AP367+AP368+AP369+AP370+AP371+AP372+AP373+AP374+AP375+AP376+AP377+AP378+AP379+AP380+AP381+AP382+AP383+AP384+AP385+AP386+AP387+AP388+AP389+AP390+AP391+AP392+AP393+AP394+AP395+AP396+AP397+AP398+AP399+AP400+AP401+AP402+AP403+AP404+AP405+AP406+AP407+AP408+AP409+AP410+AP411+AP412+AP413+AP414+AP415+AP416+AP417+AP418+AP419+AP420+AP421+AP422+AP423+AP424+AP425+AP426+AP427+AP428+AP429+AP430+AP431+AP433+AP434+AP435+AP436+AP437+AP438+AP439+AP440+AP441+AP442+AP443+AP444+AP445+AP446+AP447+AP448+AP449+AP450+AP451+AP452+AP453+AP454+AP455+AP456+AP457+AP458+AP459+AP460+AP461+AP462+AP463+AP464+AP465+AP466+AP467+AP468+AP469+AP470+AP471+AP472+AP473+AP474+AP475+AP476+AP477+AP478+AP479+AP480+AP481+AP482+AP483+AP484+AP485+AP486+AP487+AP488+AP489+AP490+AP491+AP492+AP493+AP494+AP495+AP496+AP497+AP498+AP499+AP500+AP501+AP502+AP503+AP505+AP506+AP507+AP575+AP591+AP596+AP598+AP599+AP600+AP601+AP602+AP603+AP604+AP605+AP606+AP607+AP608+AP609+AP611+AP612+AP613+AP614+AP616+AP617+AP618+AP619+AP620+AP621+AP623+AP624+AP625+AP626+AP627+AP628+AP629+AP630+AP635+AP636+AP637+AP638+AP646+AP647+AP648+AP649+AP650+AP651+AP652+AP653+AP654+AP655+AP656</f>
        <v>9746291.9575155005</v>
      </c>
      <c r="AQ669" s="174"/>
      <c r="AR669" s="173">
        <f t="shared" ref="AR669:BE669" si="714">AR156+AR157+AR158+AR159+AR160+AR168+AR169+AR170+AR171+AR172+AR173+AR174+AR175+AR176+AR177+AR178+AR179+AR180+AR181+AR182+AR183+AR184+AR185+AR186+AR187+AR188+AR189+AR190+AR191+AR192+AR195+AR196+AR199+AR201+AR202+AR203+AR204+AR205+AR206+AR207+AR208+AR209+AR210+AR211+AR212+AR213+AR214+AR215+AR216+AR217+AR218+AR219+AR220+AR221+AR222+AR223+AR224+AR225+AR226+AR227+AR231+AR232+AR233+AR234+AR238+AR239+AR240+AR241+AR242+AR243+AR244+AR245+AR246+AR247+AR248+AR249+AR250+AR251+AR252+AR253+AR254+AR255+AR256+AR257+AR258+AR259+AR260+AR261+AR262+AR263+AR264+AR265+AR266+AR267+AR268+AR269+AR270+AR271+AR272+AR273+AR274+AR275+AR276+AR277+AR278+AR279+AR280+AR281+AR282+AR283+AR284+AR285+AR286+AR287+AR289+AR290+AR291+AR292+AR293+AR294+AR295+AR296+AR297+AR298+AR299+AR300+AR301+AR302+AR303+AR304+AR305+AR306+AR307+AR308+AR309+AR310+AR311+AR312+AR313+AR314+AR315+AR316+AR317+AR318+AR319+AR320+AR321+AR322+AR323+AR324+AR325+AR326+AR327+AR328+AR329+AR330+AR331+AR332+AR333+AR334+AR335+AR336+AR337+AR338+AR339+AR341+AR342+AR343+AR346+AR347+AR348+AR349+AR350+AR351+AR352+AR353+AR354+AR355+AR356+AR357+AR358+AR360+AR362+AR363+AR364+AR365+AR366+AR367+AR368+AR369+AR370+AR371+AR372+AR373+AR374+AR375+AR376+AR377+AR378+AR379+AR380+AR381+AR382+AR383+AR384+AR385+AR386+AR387+AR388+AR389+AR390+AR391+AR392+AR393+AR394+AR395+AR396+AR397+AR398+AR399+AR400+AR401+AR402+AR403+AR404+AR405+AR406+AR407+AR408+AR409+AR410+AR411+AR412+AR413+AR414+AR415+AR416+AR417+AR418+AR419+AR420+AR421+AR422+AR423+AR424+AR425+AR426+AR427+AR428+AR429+AR430+AR431+AR433+AR434+AR435+AR436+AR437+AR438+AR439+AR440+AR441+AR442+AR443+AR444+AR445+AR446+AR447+AR448+AR449+AR450+AR451+AR452+AR453+AR454+AR455+AR456+AR457+AR458+AR459+AR460+AR461+AR462+AR463+AR464+AR465+AR466+AR467+AR468+AR469+AR470+AR471+AR472+AR473+AR474+AR475+AR476+AR477+AR478+AR479+AR480+AR481+AR482+AR483+AR484+AR485+AR486+AR487+AR488+AR489+AR490+AR491+AR492+AR493+AR494+AR495+AR496+AR497+AR498+AR499+AR500+AR501+AR502+AR503+AR505+AR506+AR507+AR575+AR591+AR596+AR598+AR599+AR600+AR601+AR602+AR603+AR604+AR605+AR606+AR607+AR608+AR609+AR611+AR612+AR613+AR614+AR616+AR617+AR618+AR619+AR620+AR621+AR623+AR624+AR625+AR626+AR627+AR628+AR629+AR630+AR635+AR636+AR637+AR638+AR646+AR647+AR648+AR649+AR650+AR651+AR652+AR653+AR654+AR655+AR656</f>
        <v>33635275.821554758</v>
      </c>
      <c r="AS669" s="173">
        <f t="shared" si="714"/>
        <v>543640038.91163278</v>
      </c>
      <c r="AT669" s="173">
        <f t="shared" si="714"/>
        <v>540803595.28810263</v>
      </c>
      <c r="AU669" s="173">
        <f t="shared" si="714"/>
        <v>537996336.62457263</v>
      </c>
      <c r="AV669" s="173">
        <f t="shared" si="714"/>
        <v>535189078.43437576</v>
      </c>
      <c r="AW669" s="173">
        <f t="shared" si="714"/>
        <v>532382631.56242812</v>
      </c>
      <c r="AX669" s="173">
        <f t="shared" si="714"/>
        <v>529576245.68091607</v>
      </c>
      <c r="AY669" s="173">
        <f t="shared" si="714"/>
        <v>526770323.78401792</v>
      </c>
      <c r="AZ669" s="173">
        <f t="shared" si="714"/>
        <v>523972985.19853926</v>
      </c>
      <c r="BA669" s="173">
        <f t="shared" si="714"/>
        <v>521175649.99072754</v>
      </c>
      <c r="BB669" s="173">
        <f t="shared" si="714"/>
        <v>518378328.70958281</v>
      </c>
      <c r="BC669" s="173">
        <f t="shared" si="714"/>
        <v>515581137.82485098</v>
      </c>
      <c r="BD669" s="173">
        <f t="shared" si="714"/>
        <v>512783995.42511874</v>
      </c>
      <c r="BE669" s="173">
        <f t="shared" si="714"/>
        <v>10631257.873260789</v>
      </c>
    </row>
    <row r="670" spans="1:74" hidden="1" x14ac:dyDescent="0.2">
      <c r="F670" s="106" t="s">
        <v>67</v>
      </c>
      <c r="G670" s="171" t="s">
        <v>69</v>
      </c>
      <c r="H670" s="171"/>
      <c r="I670" s="171"/>
      <c r="J670" s="171"/>
      <c r="K670" s="171"/>
      <c r="L670" s="176"/>
      <c r="M670" s="176"/>
      <c r="N670" s="173">
        <f>N8+N9+N14+N17+N46+N48+N49+N50+N51+N52+N53+N59+N60+N61+N62+N63+N77+N78+N82+N83+N84+N85+N86+N87+N88+N89+N90+N91+N95+N103+N104+N105+N108+N111+N116+N119+N150+N151+N152+N153+N588+N589+N615+N622</f>
        <v>12943894.364428569</v>
      </c>
      <c r="O670" s="174"/>
      <c r="P670" s="174"/>
      <c r="Q670" s="174"/>
      <c r="R670" s="174"/>
      <c r="S670" s="174"/>
      <c r="T670" s="174"/>
      <c r="U670" s="174"/>
      <c r="V670" s="174"/>
      <c r="W670" s="174"/>
      <c r="X670" s="174"/>
      <c r="Y670" s="174"/>
      <c r="Z670" s="174"/>
      <c r="AA670" s="173">
        <f>AA8+AA9+AA14+AA17+AA46+AA48+AA49+AA50+AA51+AA52+AA53+AA59+AA60+AA61+AA62+AA63+AA77+AA78+AA82+AA83+AA84+AA85+AA86+AA87+AA88+AA89+AA90+AA91+AA95+AA103+AA104+AA105+AA108+AA111+AA116+AA119+AA150+AA151+AA152+AA153+AA588+AA589+AA615+AA622</f>
        <v>1572946.4271620004</v>
      </c>
      <c r="AB670" s="174"/>
      <c r="AC670" s="173">
        <f>AC8+AC9+AC14+AC17+AC46+AC48+AC49+AC50+AC51+AC52+AC53+AC59+AC60+AC61+AC62+AC63+AC77+AC78+AC82+AC83+AC84+AC85+AC86+AC87+AC88+AC89+AC90+AC91+AC95+AC103+AC104+AC105+AC108+AC111+AC116+AC119+AC150+AC151+AC152+AC153+AC588+AC589+AC615+AC622</f>
        <v>12786750.607345238</v>
      </c>
      <c r="AD670" s="174"/>
      <c r="AE670" s="174"/>
      <c r="AF670" s="174"/>
      <c r="AG670" s="174"/>
      <c r="AH670" s="174"/>
      <c r="AI670" s="174"/>
      <c r="AJ670" s="174"/>
      <c r="AK670" s="174"/>
      <c r="AL670" s="174"/>
      <c r="AM670" s="174"/>
      <c r="AN670" s="174"/>
      <c r="AO670" s="174"/>
      <c r="AP670" s="173">
        <f>AP8+AP9+AP14+AP17+AP46+AP48+AP49+AP50+AP51+AP52+AP53+AP59+AP60+AP61+AP62+AP63+AP77+AP78+AP82+AP83+AP84+AP85+AP86+AP87+AP88+AP89+AP90+AP91+AP95+AP103+AP104+AP105+AP108+AP111+AP116+AP119+AP150+AP151+AP152+AP153+AP588+AP589+AP615+AP622</f>
        <v>1301901.708822001</v>
      </c>
      <c r="AQ670" s="174"/>
      <c r="AR670" s="173">
        <f t="shared" ref="AR670:BE670" si="715">AR8+AR9+AR14+AR17+AR46+AR48+AR49+AR50+AR51+AR52+AR53+AR59+AR60+AR61+AR62+AR63+AR77+AR78+AR82+AR83+AR84+AR85+AR86+AR87+AR88+AR89+AR90+AR91+AR95+AR103+AR104+AR105+AR108+AR111+AR116+AR119+AR150+AR151+AR152+AR153+AR588+AR589+AR615+AR622</f>
        <v>12740955.758345239</v>
      </c>
      <c r="AS670" s="173">
        <f t="shared" si="715"/>
        <v>53996480.2848612</v>
      </c>
      <c r="AT670" s="173">
        <f t="shared" si="715"/>
        <v>52933911.746519923</v>
      </c>
      <c r="AU670" s="173">
        <f t="shared" si="715"/>
        <v>51871343.208178662</v>
      </c>
      <c r="AV670" s="173">
        <f t="shared" si="715"/>
        <v>50808774.6698374</v>
      </c>
      <c r="AW670" s="173">
        <f t="shared" si="715"/>
        <v>49746206.131496124</v>
      </c>
      <c r="AX670" s="173">
        <f t="shared" si="715"/>
        <v>48683637.593154855</v>
      </c>
      <c r="AY670" s="173">
        <f t="shared" si="715"/>
        <v>47621069.054813601</v>
      </c>
      <c r="AZ670" s="173">
        <f t="shared" si="715"/>
        <v>46558500.524472326</v>
      </c>
      <c r="BA670" s="173">
        <f t="shared" si="715"/>
        <v>45497826.188131064</v>
      </c>
      <c r="BB670" s="173">
        <f t="shared" si="715"/>
        <v>44437151.849123128</v>
      </c>
      <c r="BC670" s="173">
        <f t="shared" si="715"/>
        <v>43376477.510115191</v>
      </c>
      <c r="BD670" s="173">
        <f t="shared" si="715"/>
        <v>42315803.171107262</v>
      </c>
      <c r="BE670" s="173">
        <f t="shared" si="715"/>
        <v>1030856.990482002</v>
      </c>
    </row>
    <row r="671" spans="1:74" x14ac:dyDescent="0.2">
      <c r="G671" s="171" t="s">
        <v>128</v>
      </c>
      <c r="H671" s="171"/>
      <c r="I671" s="171"/>
      <c r="J671" s="171"/>
      <c r="K671" s="171"/>
      <c r="L671" s="176"/>
      <c r="M671" s="176"/>
      <c r="N671" s="173">
        <f>N661+N662+N663+N664+N665+N666+N667+N668+N669+N670</f>
        <v>85199714.903696552</v>
      </c>
      <c r="O671" s="174"/>
      <c r="P671" s="174"/>
      <c r="Q671" s="174"/>
      <c r="R671" s="174"/>
      <c r="S671" s="174"/>
      <c r="T671" s="174"/>
      <c r="U671" s="174"/>
      <c r="V671" s="174"/>
      <c r="W671" s="174"/>
      <c r="X671" s="174"/>
      <c r="Y671" s="174"/>
      <c r="Z671" s="174"/>
      <c r="AA671" s="173">
        <f t="shared" ref="AA671:BE671" si="716">AA661+AA662+AA663+AA664+AA665+AA666+AA667+AA668+AA669+AA670</f>
        <v>17473068.497331806</v>
      </c>
      <c r="AB671" s="174"/>
      <c r="AC671" s="173">
        <f t="shared" si="716"/>
        <v>98964474.1924095</v>
      </c>
      <c r="AD671" s="174"/>
      <c r="AE671" s="174"/>
      <c r="AF671" s="174"/>
      <c r="AG671" s="174"/>
      <c r="AH671" s="174"/>
      <c r="AI671" s="174"/>
      <c r="AJ671" s="174"/>
      <c r="AK671" s="174"/>
      <c r="AL671" s="174"/>
      <c r="AM671" s="174"/>
      <c r="AN671" s="174"/>
      <c r="AO671" s="174"/>
      <c r="AP671" s="173">
        <f t="shared" si="716"/>
        <v>16953218.314717125</v>
      </c>
      <c r="AQ671" s="174"/>
      <c r="AR671" s="173">
        <f t="shared" si="716"/>
        <v>91175739.422780484</v>
      </c>
      <c r="AS671" s="173">
        <f t="shared" si="716"/>
        <v>1126973743.7381344</v>
      </c>
      <c r="AT671" s="173">
        <f t="shared" si="716"/>
        <v>1118945642.3530517</v>
      </c>
      <c r="AU671" s="173">
        <f t="shared" si="716"/>
        <v>1111247162.1823041</v>
      </c>
      <c r="AV671" s="173">
        <f t="shared" si="716"/>
        <v>1103548682.9272215</v>
      </c>
      <c r="AW671" s="173">
        <f t="shared" si="716"/>
        <v>1095857782.2527783</v>
      </c>
      <c r="AX671" s="173">
        <f t="shared" si="716"/>
        <v>1088215019.8223248</v>
      </c>
      <c r="AY671" s="173">
        <f t="shared" si="716"/>
        <v>1080572721.3764863</v>
      </c>
      <c r="AZ671" s="173">
        <f t="shared" si="716"/>
        <v>1072939169.8633996</v>
      </c>
      <c r="BA671" s="173">
        <f t="shared" si="716"/>
        <v>1065307516.5378141</v>
      </c>
      <c r="BB671" s="173">
        <f t="shared" si="716"/>
        <v>1057675877.1362286</v>
      </c>
      <c r="BC671" s="173">
        <f t="shared" si="716"/>
        <v>1050044368.1310558</v>
      </c>
      <c r="BD671" s="173">
        <f t="shared" si="716"/>
        <v>1042412907.6108832</v>
      </c>
      <c r="BE671" s="173">
        <f t="shared" si="716"/>
        <v>17297767.958533578</v>
      </c>
    </row>
    <row r="672" spans="1:74" x14ac:dyDescent="0.2">
      <c r="N672" s="127"/>
    </row>
    <row r="678" spans="7:57" x14ac:dyDescent="0.2">
      <c r="G678" s="171" t="s">
        <v>81</v>
      </c>
      <c r="H678" s="171"/>
      <c r="I678" s="171"/>
      <c r="J678" s="171"/>
      <c r="K678" s="171"/>
      <c r="L678" s="176"/>
      <c r="M678" s="176"/>
      <c r="N678" s="174">
        <f>N663+N667+N670</f>
        <v>20591984.516312908</v>
      </c>
      <c r="O678" s="171"/>
      <c r="P678" s="171"/>
      <c r="Q678" s="171"/>
      <c r="R678" s="171"/>
      <c r="S678" s="171"/>
      <c r="T678" s="171"/>
      <c r="U678" s="171"/>
      <c r="V678" s="171"/>
      <c r="W678" s="171"/>
      <c r="X678" s="171"/>
      <c r="Y678" s="171"/>
      <c r="Z678" s="171"/>
      <c r="AA678" s="174">
        <f>AA663+AA667+AA670</f>
        <v>2887606.1624349393</v>
      </c>
      <c r="AB678" s="171"/>
      <c r="AC678" s="174">
        <f>AC663+AC667+AC670</f>
        <v>17517375.249051005</v>
      </c>
      <c r="AD678" s="171"/>
      <c r="AE678" s="171"/>
      <c r="AF678" s="171"/>
      <c r="AG678" s="171"/>
      <c r="AH678" s="171"/>
      <c r="AI678" s="171"/>
      <c r="AJ678" s="171"/>
      <c r="AK678" s="171"/>
      <c r="AL678" s="171"/>
      <c r="AM678" s="171"/>
      <c r="AN678" s="171"/>
      <c r="AO678" s="171"/>
      <c r="AP678" s="174">
        <f>AP663+AP667+AP670</f>
        <v>2530165.3481886508</v>
      </c>
      <c r="AQ678" s="171"/>
      <c r="AR678" s="174">
        <f>AR663+AR667+AR670</f>
        <v>17023331.61135656</v>
      </c>
      <c r="AS678" s="174">
        <f t="shared" ref="AS678:BE678" si="717">AS663+AS667+AS670</f>
        <v>108782663.20559281</v>
      </c>
      <c r="AT678" s="174">
        <f t="shared" si="717"/>
        <v>107325923.73164809</v>
      </c>
      <c r="AU678" s="174">
        <f t="shared" si="717"/>
        <v>105869184.25770336</v>
      </c>
      <c r="AV678" s="174">
        <f t="shared" si="717"/>
        <v>104412444.78375864</v>
      </c>
      <c r="AW678" s="174">
        <f t="shared" si="717"/>
        <v>102962472.5722028</v>
      </c>
      <c r="AX678" s="174">
        <f t="shared" si="717"/>
        <v>101560577.61420253</v>
      </c>
      <c r="AY678" s="174">
        <f t="shared" si="717"/>
        <v>100158682.65620226</v>
      </c>
      <c r="AZ678" s="174">
        <f t="shared" si="717"/>
        <v>98756787.706201971</v>
      </c>
      <c r="BA678" s="174">
        <f t="shared" si="717"/>
        <v>97356786.950201705</v>
      </c>
      <c r="BB678" s="174">
        <f t="shared" si="717"/>
        <v>95956786.191534758</v>
      </c>
      <c r="BC678" s="174">
        <f t="shared" si="717"/>
        <v>94556785.432867795</v>
      </c>
      <c r="BD678" s="174">
        <f t="shared" si="717"/>
        <v>93156784.674200863</v>
      </c>
      <c r="BE678" s="174">
        <f t="shared" si="717"/>
        <v>2172724.5339423642</v>
      </c>
    </row>
    <row r="679" spans="7:57" x14ac:dyDescent="0.2">
      <c r="G679" s="171" t="s">
        <v>82</v>
      </c>
      <c r="H679" s="171"/>
      <c r="I679" s="171"/>
      <c r="J679" s="171"/>
      <c r="K679" s="171"/>
      <c r="L679" s="176"/>
      <c r="M679" s="176"/>
      <c r="N679" s="174">
        <f>N661+N662+N669</f>
        <v>61581860.286907397</v>
      </c>
      <c r="O679" s="171"/>
      <c r="P679" s="171"/>
      <c r="Q679" s="171"/>
      <c r="R679" s="171"/>
      <c r="S679" s="171"/>
      <c r="T679" s="171"/>
      <c r="U679" s="171"/>
      <c r="V679" s="171"/>
      <c r="W679" s="171"/>
      <c r="X679" s="171"/>
      <c r="Y679" s="171"/>
      <c r="Z679" s="171"/>
      <c r="AA679" s="174">
        <f>AA661+AA662+AA669</f>
        <v>13925175.958553318</v>
      </c>
      <c r="AB679" s="171"/>
      <c r="AC679" s="174">
        <f>AC661+AC662+AC669</f>
        <v>73068165.27876471</v>
      </c>
      <c r="AD679" s="171"/>
      <c r="AE679" s="171"/>
      <c r="AF679" s="171"/>
      <c r="AG679" s="171"/>
      <c r="AH679" s="171"/>
      <c r="AI679" s="171"/>
      <c r="AJ679" s="171"/>
      <c r="AK679" s="171"/>
      <c r="AL679" s="171"/>
      <c r="AM679" s="171"/>
      <c r="AN679" s="171"/>
      <c r="AO679" s="171"/>
      <c r="AP679" s="174">
        <f>AP661+AP662+AP669</f>
        <v>13786725.556320058</v>
      </c>
      <c r="AQ679" s="171"/>
      <c r="AR679" s="174">
        <f>AR661+AR662+AR669</f>
        <v>48924804.613417439</v>
      </c>
      <c r="AS679" s="174">
        <f t="shared" ref="AS679:BE679" si="718">AS661+AS662+AS669</f>
        <v>831797244.49532461</v>
      </c>
      <c r="AT679" s="174">
        <f t="shared" si="718"/>
        <v>827334802.92044425</v>
      </c>
      <c r="AU679" s="174">
        <f t="shared" si="718"/>
        <v>823195366.63656545</v>
      </c>
      <c r="AV679" s="174">
        <f t="shared" si="718"/>
        <v>819055931.26835167</v>
      </c>
      <c r="AW679" s="174">
        <f t="shared" si="718"/>
        <v>814917307.21838844</v>
      </c>
      <c r="AX679" s="174">
        <f t="shared" si="718"/>
        <v>810778744.15885925</v>
      </c>
      <c r="AY679" s="174">
        <f t="shared" si="718"/>
        <v>806640645.08394551</v>
      </c>
      <c r="AZ679" s="174">
        <f t="shared" si="718"/>
        <v>802511129.32044995</v>
      </c>
      <c r="BA679" s="174">
        <f t="shared" si="718"/>
        <v>798381616.93462205</v>
      </c>
      <c r="BB679" s="174">
        <f t="shared" si="718"/>
        <v>794252118.47546101</v>
      </c>
      <c r="BC679" s="174">
        <f t="shared" si="718"/>
        <v>790122750.41271281</v>
      </c>
      <c r="BD679" s="174">
        <f t="shared" si="718"/>
        <v>785993430.83496451</v>
      </c>
      <c r="BE679" s="174">
        <f t="shared" si="718"/>
        <v>14512039.878817195</v>
      </c>
    </row>
    <row r="680" spans="7:57" x14ac:dyDescent="0.2">
      <c r="G680" s="171" t="s">
        <v>83</v>
      </c>
      <c r="H680" s="171"/>
      <c r="I680" s="171"/>
      <c r="J680" s="171"/>
      <c r="K680" s="171"/>
      <c r="L680" s="176"/>
      <c r="M680" s="176"/>
      <c r="N680" s="174">
        <f>N666</f>
        <v>59847.267499999994</v>
      </c>
      <c r="O680" s="171"/>
      <c r="P680" s="171"/>
      <c r="Q680" s="171"/>
      <c r="R680" s="171"/>
      <c r="S680" s="171"/>
      <c r="T680" s="171"/>
      <c r="U680" s="171"/>
      <c r="V680" s="171"/>
      <c r="W680" s="171"/>
      <c r="X680" s="171"/>
      <c r="Y680" s="171"/>
      <c r="Z680" s="171"/>
      <c r="AA680" s="174">
        <f>AA666</f>
        <v>0</v>
      </c>
      <c r="AB680" s="171"/>
      <c r="AC680" s="174">
        <f>AC666</f>
        <v>5723865.9626666671</v>
      </c>
      <c r="AD680" s="171"/>
      <c r="AE680" s="171"/>
      <c r="AF680" s="171"/>
      <c r="AG680" s="171"/>
      <c r="AH680" s="171"/>
      <c r="AI680" s="171"/>
      <c r="AJ680" s="171"/>
      <c r="AK680" s="171"/>
      <c r="AL680" s="171"/>
      <c r="AM680" s="171"/>
      <c r="AN680" s="171"/>
      <c r="AO680" s="171"/>
      <c r="AP680" s="174">
        <f>AP666</f>
        <v>0</v>
      </c>
      <c r="AQ680" s="171"/>
      <c r="AR680" s="174">
        <f>AR666</f>
        <v>22684366.496952381</v>
      </c>
      <c r="AS680" s="174">
        <f t="shared" ref="AS680:BE680" si="719">AS666</f>
        <v>151400522.45734915</v>
      </c>
      <c r="AT680" s="174">
        <f t="shared" si="719"/>
        <v>149510158.5826031</v>
      </c>
      <c r="AU680" s="174">
        <f t="shared" si="719"/>
        <v>147619794.70785704</v>
      </c>
      <c r="AV680" s="174">
        <f t="shared" si="719"/>
        <v>145729430.83311102</v>
      </c>
      <c r="AW680" s="174">
        <f t="shared" si="719"/>
        <v>143839066.95836496</v>
      </c>
      <c r="AX680" s="174">
        <f t="shared" si="719"/>
        <v>141948703.08361891</v>
      </c>
      <c r="AY680" s="174">
        <f t="shared" si="719"/>
        <v>140058339.20887288</v>
      </c>
      <c r="AZ680" s="174">
        <f t="shared" si="719"/>
        <v>138167975.33412683</v>
      </c>
      <c r="BA680" s="174">
        <f t="shared" si="719"/>
        <v>136277611.45938078</v>
      </c>
      <c r="BB680" s="174">
        <f t="shared" si="719"/>
        <v>134387247.58463475</v>
      </c>
      <c r="BC680" s="174">
        <f t="shared" si="719"/>
        <v>132496883.70988871</v>
      </c>
      <c r="BD680" s="174">
        <f t="shared" si="719"/>
        <v>130606519.83514269</v>
      </c>
      <c r="BE680" s="174">
        <f t="shared" si="719"/>
        <v>0</v>
      </c>
    </row>
    <row r="681" spans="7:57" x14ac:dyDescent="0.2">
      <c r="G681" s="171" t="s">
        <v>129</v>
      </c>
      <c r="H681" s="171"/>
      <c r="I681" s="171"/>
      <c r="J681" s="171"/>
      <c r="K681" s="171"/>
      <c r="L681" s="176"/>
      <c r="M681" s="176"/>
      <c r="N681" s="174">
        <f>N678+N679+N680</f>
        <v>82233692.0707203</v>
      </c>
      <c r="O681" s="171"/>
      <c r="P681" s="171"/>
      <c r="Q681" s="171"/>
      <c r="R681" s="171"/>
      <c r="S681" s="171"/>
      <c r="T681" s="171"/>
      <c r="U681" s="171"/>
      <c r="V681" s="171"/>
      <c r="W681" s="171"/>
      <c r="X681" s="171"/>
      <c r="Y681" s="171"/>
      <c r="Z681" s="171"/>
      <c r="AA681" s="174">
        <f>AA678+AA679+AA680</f>
        <v>16812782.120988257</v>
      </c>
      <c r="AB681" s="171"/>
      <c r="AC681" s="174">
        <f>AC678+AC679+AC680</f>
        <v>96309406.490482375</v>
      </c>
      <c r="AD681" s="171"/>
      <c r="AE681" s="171"/>
      <c r="AF681" s="171"/>
      <c r="AG681" s="171"/>
      <c r="AH681" s="171"/>
      <c r="AI681" s="171"/>
      <c r="AJ681" s="171"/>
      <c r="AK681" s="171"/>
      <c r="AL681" s="171"/>
      <c r="AM681" s="171"/>
      <c r="AN681" s="171"/>
      <c r="AO681" s="171"/>
      <c r="AP681" s="174">
        <f>AP678+AP679+AP680</f>
        <v>16316890.90450871</v>
      </c>
      <c r="AQ681" s="171"/>
      <c r="AR681" s="174">
        <f>AR678+AR679+AR680</f>
        <v>88632502.721726388</v>
      </c>
      <c r="AS681" s="174">
        <f t="shared" ref="AS681:BE681" si="720">AS678+AS679+AS680</f>
        <v>1091980430.1582665</v>
      </c>
      <c r="AT681" s="174">
        <f t="shared" si="720"/>
        <v>1084170885.2346954</v>
      </c>
      <c r="AU681" s="174">
        <f t="shared" si="720"/>
        <v>1076684345.6021259</v>
      </c>
      <c r="AV681" s="174">
        <f t="shared" si="720"/>
        <v>1069197806.8852214</v>
      </c>
      <c r="AW681" s="174">
        <f t="shared" si="720"/>
        <v>1061718846.7489562</v>
      </c>
      <c r="AX681" s="174">
        <f t="shared" si="720"/>
        <v>1054288024.8566806</v>
      </c>
      <c r="AY681" s="174">
        <f t="shared" si="720"/>
        <v>1046857666.9490207</v>
      </c>
      <c r="AZ681" s="174">
        <f t="shared" si="720"/>
        <v>1039435892.3607787</v>
      </c>
      <c r="BA681" s="174">
        <f t="shared" si="720"/>
        <v>1032016015.3442045</v>
      </c>
      <c r="BB681" s="174">
        <f t="shared" si="720"/>
        <v>1024596152.2516305</v>
      </c>
      <c r="BC681" s="174">
        <f t="shared" si="720"/>
        <v>1017176419.5554693</v>
      </c>
      <c r="BD681" s="174">
        <f t="shared" si="720"/>
        <v>1009756735.3443081</v>
      </c>
      <c r="BE681" s="174">
        <f t="shared" si="720"/>
        <v>16684764.412759559</v>
      </c>
    </row>
  </sheetData>
  <autoFilter ref="A3:BW670" xr:uid="{00000000-0009-0000-0000-000002000000}">
    <filterColumn colId="1">
      <filters>
        <filter val="00000049"/>
      </filters>
    </filterColumn>
  </autoFilter>
  <mergeCells count="14">
    <mergeCell ref="G2:G3"/>
    <mergeCell ref="A2:A3"/>
    <mergeCell ref="B2:B3"/>
    <mergeCell ref="D2:D3"/>
    <mergeCell ref="E2:E3"/>
    <mergeCell ref="F2:F3"/>
    <mergeCell ref="AR2:AR3"/>
    <mergeCell ref="BI2:BI3"/>
    <mergeCell ref="H2:H3"/>
    <mergeCell ref="I2:K2"/>
    <mergeCell ref="L2:L3"/>
    <mergeCell ref="M2:M3"/>
    <mergeCell ref="N2:N3"/>
    <mergeCell ref="AC2:A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outlinePr summaryBelow="0" summaryRight="0"/>
    <pageSetUpPr autoPageBreaks="0" fitToPage="1"/>
  </sheetPr>
  <dimension ref="A1:BH1094"/>
  <sheetViews>
    <sheetView zoomScale="115" zoomScaleNormal="115" workbookViewId="0">
      <pane xSplit="4" ySplit="8" topLeftCell="E9" activePane="bottomRight" state="frozen"/>
      <selection activeCell="AC672" sqref="AC672"/>
      <selection pane="topRight" activeCell="AC672" sqref="AC672"/>
      <selection pane="bottomLeft" activeCell="AC672" sqref="AC672"/>
      <selection pane="bottomRight" activeCell="AC672" sqref="AC672"/>
    </sheetView>
  </sheetViews>
  <sheetFormatPr defaultColWidth="10.5" defaultRowHeight="11.45" customHeight="1" outlineLevelRow="2" x14ac:dyDescent="0.2"/>
  <cols>
    <col min="1" max="1" width="35" style="48" customWidth="1"/>
    <col min="2" max="2" width="34.83203125" style="48" customWidth="1"/>
    <col min="3" max="3" width="30.1640625" style="48" customWidth="1"/>
    <col min="4" max="4" width="20.5" style="48" customWidth="1"/>
    <col min="5" max="5" width="15.83203125" style="48" customWidth="1"/>
    <col min="6" max="17" width="19.83203125" style="48" customWidth="1"/>
    <col min="18" max="18" width="17.33203125" style="48" customWidth="1"/>
    <col min="19" max="20" width="14.6640625" style="48" customWidth="1"/>
    <col min="21" max="22" width="15.5" style="48" customWidth="1"/>
    <col min="23" max="23" width="14.83203125" style="48" customWidth="1"/>
    <col min="24" max="24" width="19.5" style="48" customWidth="1"/>
    <col min="25" max="25" width="15.6640625" style="48" customWidth="1"/>
    <col min="26" max="26" width="16.6640625" style="48" customWidth="1"/>
    <col min="27" max="27" width="18" style="48" customWidth="1"/>
    <col min="28" max="28" width="13.83203125" style="48" customWidth="1"/>
    <col min="29" max="29" width="14" style="48" customWidth="1"/>
    <col min="30" max="30" width="13.33203125" style="48" customWidth="1"/>
    <col min="31" max="31" width="17.33203125" style="48" customWidth="1"/>
    <col min="32" max="32" width="19.5" style="48" customWidth="1"/>
    <col min="33" max="33" width="16.83203125" style="48" customWidth="1"/>
    <col min="34" max="35" width="16.6640625" style="48" customWidth="1"/>
    <col min="36" max="37" width="22" style="48" customWidth="1"/>
    <col min="38" max="38" width="18.83203125" style="48" customWidth="1"/>
    <col min="39" max="39" width="18.6640625" style="48" customWidth="1"/>
    <col min="40" max="40" width="19.6640625" style="48" customWidth="1"/>
    <col min="41" max="41" width="19.83203125" style="48" customWidth="1"/>
    <col min="42" max="42" width="23" style="48" customWidth="1"/>
    <col min="43" max="44" width="20.6640625" style="48" customWidth="1"/>
    <col min="45" max="45" width="18.6640625" style="48" hidden="1" customWidth="1"/>
    <col min="46" max="46" width="18.83203125" style="48" hidden="1" customWidth="1"/>
    <col min="47" max="47" width="18.5" style="48" hidden="1" customWidth="1"/>
    <col min="48" max="48" width="17.1640625" style="48" hidden="1" customWidth="1"/>
    <col min="49" max="49" width="17.6640625" style="48" hidden="1" customWidth="1"/>
    <col min="50" max="50" width="15" style="48" hidden="1" customWidth="1"/>
    <col min="51" max="52" width="19.6640625" style="48" customWidth="1"/>
    <col min="53" max="53" width="16.6640625" style="48" customWidth="1"/>
    <col min="54" max="54" width="18.6640625" style="48" customWidth="1"/>
    <col min="55" max="56" width="16.6640625" style="48" customWidth="1"/>
    <col min="57" max="57" width="19.6640625" style="48" customWidth="1"/>
    <col min="58" max="59" width="10.5" style="48"/>
    <col min="60" max="60" width="14.33203125" style="48" customWidth="1"/>
    <col min="61" max="16384" width="10.5" style="48"/>
  </cols>
  <sheetData>
    <row r="1" spans="1:60" ht="13.15" customHeight="1" x14ac:dyDescent="0.2">
      <c r="A1" s="102" t="s">
        <v>130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60" ht="16.149999999999999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60" ht="13.5" customHeight="1" x14ac:dyDescent="0.2"/>
    <row r="4" spans="1:60" ht="10.9" customHeight="1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Q4" s="49">
        <v>2.1999999999999999E-2</v>
      </c>
      <c r="AJ4" s="49">
        <v>2.1999999999999999E-2</v>
      </c>
      <c r="AK4" s="49"/>
      <c r="BE4" s="49">
        <v>2.1999999999999999E-2</v>
      </c>
    </row>
    <row r="5" spans="1:60" ht="1.9" customHeight="1" x14ac:dyDescent="0.2"/>
    <row r="6" spans="1:60" ht="13.15" customHeight="1" x14ac:dyDescent="0.2">
      <c r="A6" s="320" t="s">
        <v>4</v>
      </c>
      <c r="B6" s="320"/>
      <c r="C6" s="320"/>
      <c r="D6" s="320"/>
      <c r="E6" s="320"/>
      <c r="F6" s="320" t="s">
        <v>131</v>
      </c>
      <c r="G6" s="320"/>
      <c r="H6" s="320"/>
      <c r="I6" s="320" t="s">
        <v>132</v>
      </c>
      <c r="J6" s="320"/>
      <c r="K6" s="320"/>
      <c r="L6" s="320"/>
      <c r="M6" s="320" t="s">
        <v>133</v>
      </c>
      <c r="N6" s="320"/>
      <c r="O6" s="320"/>
      <c r="P6" s="316" t="s">
        <v>134</v>
      </c>
      <c r="Q6" s="319" t="s">
        <v>135</v>
      </c>
      <c r="R6" s="321" t="s">
        <v>136</v>
      </c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50"/>
      <c r="AF6" s="320" t="s">
        <v>133</v>
      </c>
      <c r="AG6" s="320"/>
      <c r="AH6" s="320"/>
      <c r="AI6" s="316" t="s">
        <v>137</v>
      </c>
      <c r="AJ6" s="319" t="s">
        <v>138</v>
      </c>
      <c r="AK6" s="51"/>
      <c r="AL6" s="321" t="s">
        <v>139</v>
      </c>
      <c r="AM6" s="321"/>
      <c r="AN6" s="321"/>
      <c r="AO6" s="321"/>
      <c r="AP6" s="321"/>
      <c r="AQ6" s="321"/>
      <c r="AR6" s="321"/>
      <c r="AS6" s="321"/>
      <c r="AT6" s="321"/>
      <c r="AU6" s="321"/>
      <c r="AV6" s="321"/>
      <c r="AW6" s="321"/>
      <c r="AX6" s="321"/>
      <c r="AY6" s="321"/>
      <c r="AZ6" s="50"/>
      <c r="BA6" s="320" t="s">
        <v>133</v>
      </c>
      <c r="BB6" s="320"/>
      <c r="BC6" s="320"/>
      <c r="BD6" s="316" t="s">
        <v>137</v>
      </c>
      <c r="BE6" s="319" t="s">
        <v>140</v>
      </c>
    </row>
    <row r="7" spans="1:60" ht="28.5" customHeight="1" x14ac:dyDescent="0.2">
      <c r="A7" s="320" t="s">
        <v>0</v>
      </c>
      <c r="B7" s="51"/>
      <c r="C7" s="51"/>
      <c r="D7" s="320" t="s">
        <v>1</v>
      </c>
      <c r="E7" s="320" t="s">
        <v>3</v>
      </c>
      <c r="F7" s="320" t="s">
        <v>12</v>
      </c>
      <c r="G7" s="320" t="s">
        <v>13</v>
      </c>
      <c r="H7" s="320" t="s">
        <v>14</v>
      </c>
      <c r="I7" s="320" t="s">
        <v>141</v>
      </c>
      <c r="J7" s="320" t="s">
        <v>142</v>
      </c>
      <c r="K7" s="320" t="s">
        <v>143</v>
      </c>
      <c r="L7" s="320" t="s">
        <v>144</v>
      </c>
      <c r="M7" s="320" t="s">
        <v>12</v>
      </c>
      <c r="N7" s="320" t="s">
        <v>13</v>
      </c>
      <c r="O7" s="320" t="s">
        <v>14</v>
      </c>
      <c r="P7" s="317"/>
      <c r="Q7" s="319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50"/>
      <c r="AF7" s="320" t="s">
        <v>12</v>
      </c>
      <c r="AG7" s="320" t="s">
        <v>13</v>
      </c>
      <c r="AH7" s="320" t="s">
        <v>14</v>
      </c>
      <c r="AI7" s="317"/>
      <c r="AJ7" s="319"/>
      <c r="AK7" s="5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50"/>
      <c r="BA7" s="320" t="s">
        <v>12</v>
      </c>
      <c r="BB7" s="320" t="s">
        <v>13</v>
      </c>
      <c r="BC7" s="320" t="s">
        <v>14</v>
      </c>
      <c r="BD7" s="317"/>
      <c r="BE7" s="319"/>
    </row>
    <row r="8" spans="1:60" ht="19.149999999999999" hidden="1" customHeight="1" x14ac:dyDescent="0.2">
      <c r="A8" s="320"/>
      <c r="B8" s="51" t="s">
        <v>123</v>
      </c>
      <c r="C8" s="51" t="s">
        <v>122</v>
      </c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18"/>
      <c r="Q8" s="319"/>
      <c r="R8" s="50" t="s">
        <v>145</v>
      </c>
      <c r="S8" s="50" t="s">
        <v>146</v>
      </c>
      <c r="T8" s="50" t="s">
        <v>147</v>
      </c>
      <c r="U8" s="50" t="s">
        <v>148</v>
      </c>
      <c r="V8" s="50" t="s">
        <v>149</v>
      </c>
      <c r="W8" s="50" t="s">
        <v>150</v>
      </c>
      <c r="X8" s="50" t="s">
        <v>151</v>
      </c>
      <c r="Y8" s="50" t="s">
        <v>152</v>
      </c>
      <c r="Z8" s="50" t="s">
        <v>153</v>
      </c>
      <c r="AA8" s="50" t="s">
        <v>154</v>
      </c>
      <c r="AB8" s="50" t="s">
        <v>155</v>
      </c>
      <c r="AC8" s="50" t="s">
        <v>156</v>
      </c>
      <c r="AD8" s="50" t="s">
        <v>157</v>
      </c>
      <c r="AE8" s="50" t="s">
        <v>158</v>
      </c>
      <c r="AF8" s="320"/>
      <c r="AG8" s="320"/>
      <c r="AH8" s="320"/>
      <c r="AI8" s="318"/>
      <c r="AJ8" s="319"/>
      <c r="AK8" s="51"/>
      <c r="AL8" s="50" t="s">
        <v>145</v>
      </c>
      <c r="AM8" s="50" t="s">
        <v>146</v>
      </c>
      <c r="AN8" s="50" t="s">
        <v>147</v>
      </c>
      <c r="AO8" s="50" t="s">
        <v>148</v>
      </c>
      <c r="AP8" s="50" t="s">
        <v>149</v>
      </c>
      <c r="AQ8" s="50" t="s">
        <v>150</v>
      </c>
      <c r="AR8" s="50" t="s">
        <v>151</v>
      </c>
      <c r="AS8" s="50" t="s">
        <v>152</v>
      </c>
      <c r="AT8" s="50" t="s">
        <v>153</v>
      </c>
      <c r="AU8" s="50" t="s">
        <v>154</v>
      </c>
      <c r="AV8" s="50" t="s">
        <v>155</v>
      </c>
      <c r="AW8" s="50" t="s">
        <v>156</v>
      </c>
      <c r="AX8" s="50" t="s">
        <v>157</v>
      </c>
      <c r="AY8" s="50" t="s">
        <v>158</v>
      </c>
      <c r="AZ8" s="50" t="s">
        <v>2441</v>
      </c>
      <c r="BA8" s="320"/>
      <c r="BB8" s="320"/>
      <c r="BC8" s="320"/>
      <c r="BD8" s="318"/>
      <c r="BE8" s="319"/>
    </row>
    <row r="9" spans="1:60" s="58" customFormat="1" ht="13.15" hidden="1" customHeight="1" x14ac:dyDescent="0.2">
      <c r="A9" s="52" t="s">
        <v>159</v>
      </c>
      <c r="B9" s="52"/>
      <c r="C9" s="52"/>
      <c r="D9" s="52"/>
      <c r="E9" s="52"/>
      <c r="F9" s="53">
        <v>4327403.16</v>
      </c>
      <c r="G9" s="54"/>
      <c r="H9" s="53">
        <v>4327403.16</v>
      </c>
      <c r="I9" s="54"/>
      <c r="J9" s="53">
        <v>345085.4</v>
      </c>
      <c r="K9" s="54"/>
      <c r="L9" s="54"/>
      <c r="M9" s="53">
        <v>4327403.16</v>
      </c>
      <c r="N9" s="53">
        <v>345085.4</v>
      </c>
      <c r="O9" s="53">
        <v>3982317.76</v>
      </c>
      <c r="P9" s="55"/>
      <c r="Q9" s="55"/>
      <c r="R9" s="56">
        <f>R10+R12+R14+R15+R16+R17+R18+R19</f>
        <v>28757.116666666669</v>
      </c>
      <c r="S9" s="56">
        <f t="shared" ref="S9:BE9" si="0">S10+S12+S14+S15+S16+S17+S18+S19</f>
        <v>28757.116663999997</v>
      </c>
      <c r="T9" s="56">
        <f t="shared" si="0"/>
        <v>28757.116663999997</v>
      </c>
      <c r="U9" s="56">
        <f t="shared" si="0"/>
        <v>28757.116663999997</v>
      </c>
      <c r="V9" s="56">
        <f t="shared" si="0"/>
        <v>28757.116663999997</v>
      </c>
      <c r="W9" s="56">
        <f t="shared" si="0"/>
        <v>28757.116663999997</v>
      </c>
      <c r="X9" s="56">
        <f t="shared" si="0"/>
        <v>172542.6999866667</v>
      </c>
      <c r="Y9" s="56">
        <f t="shared" si="0"/>
        <v>28757.116663999997</v>
      </c>
      <c r="Z9" s="56">
        <f t="shared" si="0"/>
        <v>28757.116663999997</v>
      </c>
      <c r="AA9" s="56">
        <f t="shared" si="0"/>
        <v>28757.116663999997</v>
      </c>
      <c r="AB9" s="56">
        <f t="shared" si="0"/>
        <v>28757.116663999997</v>
      </c>
      <c r="AC9" s="56">
        <f t="shared" si="0"/>
        <v>28757.116663999997</v>
      </c>
      <c r="AD9" s="56">
        <f t="shared" si="0"/>
        <v>28757.116663999997</v>
      </c>
      <c r="AE9" s="56">
        <f t="shared" si="0"/>
        <v>172542.69998400001</v>
      </c>
      <c r="AF9" s="56">
        <f t="shared" si="0"/>
        <v>4327403.16</v>
      </c>
      <c r="AG9" s="56">
        <f t="shared" si="0"/>
        <v>690170.79997066676</v>
      </c>
      <c r="AH9" s="56">
        <f t="shared" si="0"/>
        <v>3637232.3600293333</v>
      </c>
      <c r="AI9" s="57"/>
      <c r="AJ9" s="57"/>
      <c r="AK9" s="56"/>
      <c r="AL9" s="56">
        <f t="shared" si="0"/>
        <v>28757.116663999997</v>
      </c>
      <c r="AM9" s="56">
        <f t="shared" si="0"/>
        <v>28757.116663999997</v>
      </c>
      <c r="AN9" s="56">
        <f t="shared" si="0"/>
        <v>28757.116663999997</v>
      </c>
      <c r="AO9" s="56">
        <f t="shared" si="0"/>
        <v>28757.116663999997</v>
      </c>
      <c r="AP9" s="56">
        <f t="shared" si="0"/>
        <v>28757.116663999997</v>
      </c>
      <c r="AQ9" s="56">
        <f t="shared" si="0"/>
        <v>28757.116663999997</v>
      </c>
      <c r="AR9" s="56">
        <f t="shared" si="0"/>
        <v>172542.69998400001</v>
      </c>
      <c r="AS9" s="56">
        <f t="shared" si="0"/>
        <v>28757.116663999997</v>
      </c>
      <c r="AT9" s="56">
        <f t="shared" si="0"/>
        <v>28757.116663999997</v>
      </c>
      <c r="AU9" s="56">
        <f t="shared" si="0"/>
        <v>28757.116663999997</v>
      </c>
      <c r="AV9" s="56">
        <f t="shared" si="0"/>
        <v>28757.116663999997</v>
      </c>
      <c r="AW9" s="56">
        <f t="shared" si="0"/>
        <v>28757.116663999997</v>
      </c>
      <c r="AX9" s="56">
        <f t="shared" si="0"/>
        <v>28757.116663999997</v>
      </c>
      <c r="AY9" s="56">
        <f t="shared" si="0"/>
        <v>172542.69998400001</v>
      </c>
      <c r="AZ9" s="56">
        <f>AR9+AY9</f>
        <v>345085.39996800001</v>
      </c>
      <c r="BA9" s="56">
        <f t="shared" si="0"/>
        <v>4327403.16</v>
      </c>
      <c r="BB9" s="56">
        <f t="shared" si="0"/>
        <v>1035256.199938667</v>
      </c>
      <c r="BC9" s="56">
        <f t="shared" si="0"/>
        <v>3292146.9600613327</v>
      </c>
      <c r="BD9" s="57">
        <f t="shared" si="0"/>
        <v>0</v>
      </c>
      <c r="BE9" s="57">
        <f t="shared" si="0"/>
        <v>0</v>
      </c>
    </row>
    <row r="10" spans="1:60" ht="12" hidden="1" customHeight="1" outlineLevel="1" x14ac:dyDescent="0.2">
      <c r="A10" s="59" t="s">
        <v>160</v>
      </c>
      <c r="B10" s="59"/>
      <c r="C10" s="59" t="s">
        <v>82</v>
      </c>
      <c r="D10" s="59" t="s">
        <v>161</v>
      </c>
      <c r="E10" s="59" t="s">
        <v>162</v>
      </c>
      <c r="F10" s="60">
        <v>810301.01</v>
      </c>
      <c r="G10" s="59"/>
      <c r="H10" s="60">
        <v>810301.01</v>
      </c>
      <c r="I10" s="59"/>
      <c r="J10" s="60">
        <v>35936.69</v>
      </c>
      <c r="K10" s="59"/>
      <c r="L10" s="59"/>
      <c r="M10" s="60">
        <v>810301.01</v>
      </c>
      <c r="N10" s="60">
        <v>35936.69</v>
      </c>
      <c r="O10" s="60">
        <v>774364.32</v>
      </c>
      <c r="P10" s="55"/>
      <c r="Q10" s="55"/>
      <c r="R10" s="61">
        <f>J10/12</f>
        <v>2994.7241666666669</v>
      </c>
      <c r="S10" s="61">
        <v>2994.7241669999999</v>
      </c>
      <c r="T10" s="61">
        <v>2994.7241669999999</v>
      </c>
      <c r="U10" s="61">
        <v>2994.7241669999999</v>
      </c>
      <c r="V10" s="61">
        <v>2994.7241669999999</v>
      </c>
      <c r="W10" s="61">
        <v>2994.7241669999999</v>
      </c>
      <c r="X10" s="61">
        <f>R10+S10+T10+U10+V10+W10</f>
        <v>17968.345001666668</v>
      </c>
      <c r="Y10" s="61">
        <v>2994.7241669999999</v>
      </c>
      <c r="Z10" s="61">
        <v>2994.7241669999999</v>
      </c>
      <c r="AA10" s="61">
        <v>2994.7241669999999</v>
      </c>
      <c r="AB10" s="61">
        <v>2994.7241669999999</v>
      </c>
      <c r="AC10" s="61">
        <v>2994.7241669999999</v>
      </c>
      <c r="AD10" s="61">
        <v>2994.7241669999999</v>
      </c>
      <c r="AE10" s="61">
        <f>Y10+Z10+AA10+AB10+AC10+AD10</f>
        <v>17968.345001999998</v>
      </c>
      <c r="AF10" s="62">
        <f>M10</f>
        <v>810301.01</v>
      </c>
      <c r="AG10" s="62">
        <f t="shared" ref="AG10:AG19" si="1">N10+R10+S10+T10+U10+V10+W10+Y10+Z10+AA10+AB10+AC10+AD10</f>
        <v>71873.380003666651</v>
      </c>
      <c r="AH10" s="62">
        <f>AF10-AG10</f>
        <v>738427.62999633339</v>
      </c>
      <c r="AI10" s="63"/>
      <c r="AJ10" s="63"/>
      <c r="AK10" s="62"/>
      <c r="AL10" s="61">
        <v>2994.7241669999999</v>
      </c>
      <c r="AM10" s="61">
        <v>2994.7241669999999</v>
      </c>
      <c r="AN10" s="61">
        <v>2994.7241669999999</v>
      </c>
      <c r="AO10" s="61">
        <v>2994.7241669999999</v>
      </c>
      <c r="AP10" s="61">
        <v>2994.7241669999999</v>
      </c>
      <c r="AQ10" s="61">
        <v>2994.7241669999999</v>
      </c>
      <c r="AR10" s="61">
        <f>AL10+AM10+AN10+AO10+AP10+AQ10</f>
        <v>17968.345001999998</v>
      </c>
      <c r="AS10" s="61">
        <v>2994.7241669999999</v>
      </c>
      <c r="AT10" s="61">
        <v>2994.7241669999999</v>
      </c>
      <c r="AU10" s="61">
        <v>2994.7241669999999</v>
      </c>
      <c r="AV10" s="61">
        <v>2994.7241669999999</v>
      </c>
      <c r="AW10" s="61">
        <v>2994.7241669999999</v>
      </c>
      <c r="AX10" s="61">
        <v>2994.7241669999999</v>
      </c>
      <c r="AY10" s="61">
        <f>AS10+AT10+AU10+AV10+AW10+AX10</f>
        <v>17968.345001999998</v>
      </c>
      <c r="AZ10" s="56">
        <f t="shared" ref="AZ10:AZ73" si="2">AR10+AY10</f>
        <v>35936.690003999996</v>
      </c>
      <c r="BA10" s="62">
        <f>AF10</f>
        <v>810301.01</v>
      </c>
      <c r="BB10" s="62">
        <f>AG10+AL10+AM10+AN10+AO10+AP10+AQ10+AS10+AT10+AU10+AV10+AW10+AX10</f>
        <v>107810.07000766657</v>
      </c>
      <c r="BC10" s="62">
        <f>BA10-BB10</f>
        <v>702490.93999233341</v>
      </c>
      <c r="BD10" s="63"/>
      <c r="BE10" s="57"/>
      <c r="BF10" s="35" t="e">
        <f>VLOOKUP(A:A,'2023-2027'!A:G,1,+FALSE)</f>
        <v>#N/A</v>
      </c>
      <c r="BG10" s="7" t="e">
        <f>OR(EXACT(BF10,$A$4:$A$1071))</f>
        <v>#N/A</v>
      </c>
      <c r="BH10" s="35"/>
    </row>
    <row r="11" spans="1:60" ht="12" hidden="1" customHeight="1" outlineLevel="2" x14ac:dyDescent="0.2">
      <c r="A11" s="61"/>
      <c r="B11" s="61"/>
      <c r="C11" s="59" t="s">
        <v>82</v>
      </c>
      <c r="D11" s="61"/>
      <c r="E11" s="61"/>
      <c r="F11" s="62">
        <v>810301.01</v>
      </c>
      <c r="G11" s="61"/>
      <c r="H11" s="62">
        <v>810301.01</v>
      </c>
      <c r="I11" s="61"/>
      <c r="J11" s="62">
        <v>35936.69</v>
      </c>
      <c r="K11" s="61"/>
      <c r="L11" s="61"/>
      <c r="M11" s="62">
        <v>810301.01</v>
      </c>
      <c r="N11" s="62">
        <v>35936.69</v>
      </c>
      <c r="O11" s="62">
        <v>774364.32</v>
      </c>
      <c r="P11" s="55"/>
      <c r="Q11" s="63"/>
      <c r="R11" s="61">
        <f t="shared" ref="R11:R74" si="3">J11/12</f>
        <v>2994.7241666666669</v>
      </c>
      <c r="S11" s="61"/>
      <c r="T11" s="61"/>
      <c r="U11" s="61"/>
      <c r="V11" s="61"/>
      <c r="W11" s="61"/>
      <c r="X11" s="61">
        <f t="shared" ref="X11:X74" si="4">R11+S11+T11+U11+V11+W11</f>
        <v>2994.7241666666669</v>
      </c>
      <c r="Y11" s="61"/>
      <c r="Z11" s="61"/>
      <c r="AA11" s="61"/>
      <c r="AB11" s="61"/>
      <c r="AC11" s="61"/>
      <c r="AD11" s="61"/>
      <c r="AE11" s="61">
        <f t="shared" ref="AE11:AE74" si="5">Y11+Z11+AA11+AB11+AC11+AD11</f>
        <v>0</v>
      </c>
      <c r="AF11" s="61"/>
      <c r="AG11" s="62">
        <f t="shared" si="1"/>
        <v>38931.414166666669</v>
      </c>
      <c r="AH11" s="62">
        <f t="shared" ref="AH11:AH12" si="6">AF11-AG11</f>
        <v>-38931.414166666669</v>
      </c>
      <c r="AI11" s="63"/>
      <c r="AJ11" s="63"/>
      <c r="AK11" s="62"/>
      <c r="AL11" s="61"/>
      <c r="AM11" s="61"/>
      <c r="AN11" s="61"/>
      <c r="AO11" s="61"/>
      <c r="AP11" s="61"/>
      <c r="AQ11" s="61"/>
      <c r="AR11" s="61">
        <f t="shared" ref="AR11:AR74" si="7">AL11+AM11+AN11+AO11+AP11+AQ11</f>
        <v>0</v>
      </c>
      <c r="AS11" s="61"/>
      <c r="AT11" s="61"/>
      <c r="AU11" s="61"/>
      <c r="AV11" s="61"/>
      <c r="AW11" s="61"/>
      <c r="AX11" s="61"/>
      <c r="AY11" s="61">
        <f t="shared" ref="AY11:AY74" si="8">AS11+AT11+AU11+AV11+AW11+AX11</f>
        <v>0</v>
      </c>
      <c r="AZ11" s="56">
        <f t="shared" si="2"/>
        <v>0</v>
      </c>
      <c r="BA11" s="61"/>
      <c r="BB11" s="62">
        <f t="shared" ref="BB11:BB74" si="9">AG11+AL11+AM11+AN11+AO11+AP11+AQ11+AS11+AT11+AU11+AV11+AW11+AX11</f>
        <v>38931.414166666669</v>
      </c>
      <c r="BC11" s="62">
        <f t="shared" ref="BC11:BC12" si="10">BA11-BB11</f>
        <v>-38931.414166666669</v>
      </c>
      <c r="BD11" s="63"/>
      <c r="BE11" s="57"/>
      <c r="BF11" s="35" t="e">
        <f>VLOOKUP(A:A,'2023-2027'!A:G,1,+FALSE)</f>
        <v>#N/A</v>
      </c>
      <c r="BG11" s="7" t="e">
        <f t="shared" ref="BG11:BG19" si="11">OR(EXACT(BF11,$A$4:$A$1071))</f>
        <v>#N/A</v>
      </c>
      <c r="BH11" s="35"/>
    </row>
    <row r="12" spans="1:60" ht="12" hidden="1" customHeight="1" outlineLevel="1" x14ac:dyDescent="0.2">
      <c r="A12" s="59" t="s">
        <v>163</v>
      </c>
      <c r="B12" s="59"/>
      <c r="C12" s="59" t="s">
        <v>82</v>
      </c>
      <c r="D12" s="59" t="s">
        <v>164</v>
      </c>
      <c r="E12" s="59" t="s">
        <v>162</v>
      </c>
      <c r="F12" s="60">
        <v>752768.54</v>
      </c>
      <c r="G12" s="59"/>
      <c r="H12" s="60">
        <v>752768.54</v>
      </c>
      <c r="I12" s="59"/>
      <c r="J12" s="60">
        <v>181721.77</v>
      </c>
      <c r="K12" s="59"/>
      <c r="L12" s="59"/>
      <c r="M12" s="60">
        <v>752768.54</v>
      </c>
      <c r="N12" s="60">
        <v>181721.77</v>
      </c>
      <c r="O12" s="60">
        <v>571046.77</v>
      </c>
      <c r="P12" s="55"/>
      <c r="Q12" s="55"/>
      <c r="R12" s="61">
        <f t="shared" si="3"/>
        <v>15143.480833333333</v>
      </c>
      <c r="S12" s="60">
        <v>15143.48083</v>
      </c>
      <c r="T12" s="60">
        <v>15143.48083</v>
      </c>
      <c r="U12" s="60">
        <v>15143.48083</v>
      </c>
      <c r="V12" s="60">
        <v>15143.48083</v>
      </c>
      <c r="W12" s="60">
        <v>15143.48083</v>
      </c>
      <c r="X12" s="61">
        <f t="shared" si="4"/>
        <v>90860.884983333337</v>
      </c>
      <c r="Y12" s="60">
        <v>15143.48083</v>
      </c>
      <c r="Z12" s="60">
        <v>15143.48083</v>
      </c>
      <c r="AA12" s="60">
        <v>15143.48083</v>
      </c>
      <c r="AB12" s="60">
        <v>15143.48083</v>
      </c>
      <c r="AC12" s="60">
        <v>15143.48083</v>
      </c>
      <c r="AD12" s="60">
        <v>15143.48083</v>
      </c>
      <c r="AE12" s="61">
        <f t="shared" si="5"/>
        <v>90860.884980000003</v>
      </c>
      <c r="AF12" s="62">
        <f>M12</f>
        <v>752768.54</v>
      </c>
      <c r="AG12" s="62">
        <f t="shared" si="1"/>
        <v>363443.53996333346</v>
      </c>
      <c r="AH12" s="62">
        <f t="shared" si="6"/>
        <v>389325.00003666658</v>
      </c>
      <c r="AI12" s="63"/>
      <c r="AJ12" s="63"/>
      <c r="AK12" s="62"/>
      <c r="AL12" s="60">
        <v>15143.48083</v>
      </c>
      <c r="AM12" s="60">
        <v>15143.48083</v>
      </c>
      <c r="AN12" s="60">
        <v>15143.48083</v>
      </c>
      <c r="AO12" s="60">
        <v>15143.48083</v>
      </c>
      <c r="AP12" s="60">
        <v>15143.48083</v>
      </c>
      <c r="AQ12" s="60">
        <v>15143.48083</v>
      </c>
      <c r="AR12" s="61">
        <f t="shared" si="7"/>
        <v>90860.884980000003</v>
      </c>
      <c r="AS12" s="60">
        <v>15143.48083</v>
      </c>
      <c r="AT12" s="60">
        <v>15143.48083</v>
      </c>
      <c r="AU12" s="60">
        <v>15143.48083</v>
      </c>
      <c r="AV12" s="60">
        <v>15143.48083</v>
      </c>
      <c r="AW12" s="60">
        <v>15143.48083</v>
      </c>
      <c r="AX12" s="60">
        <v>15143.48083</v>
      </c>
      <c r="AY12" s="61">
        <f t="shared" si="8"/>
        <v>90860.884980000003</v>
      </c>
      <c r="AZ12" s="56">
        <f t="shared" si="2"/>
        <v>181721.76996000001</v>
      </c>
      <c r="BA12" s="62">
        <f>AF12</f>
        <v>752768.54</v>
      </c>
      <c r="BB12" s="62">
        <f t="shared" si="9"/>
        <v>545165.30992333358</v>
      </c>
      <c r="BC12" s="62">
        <f t="shared" si="10"/>
        <v>207603.23007666646</v>
      </c>
      <c r="BD12" s="63"/>
      <c r="BE12" s="57"/>
      <c r="BF12" s="35" t="e">
        <f>VLOOKUP(A:A,'2023-2027'!A:G,1,+FALSE)</f>
        <v>#N/A</v>
      </c>
      <c r="BG12" s="7" t="e">
        <f t="shared" si="11"/>
        <v>#N/A</v>
      </c>
      <c r="BH12" s="35"/>
    </row>
    <row r="13" spans="1:60" ht="12" hidden="1" customHeight="1" outlineLevel="2" x14ac:dyDescent="0.2">
      <c r="A13" s="61"/>
      <c r="B13" s="61"/>
      <c r="C13" s="59" t="s">
        <v>82</v>
      </c>
      <c r="D13" s="61"/>
      <c r="E13" s="61"/>
      <c r="F13" s="62">
        <v>752768.54</v>
      </c>
      <c r="G13" s="61"/>
      <c r="H13" s="62">
        <v>752768.54</v>
      </c>
      <c r="I13" s="61"/>
      <c r="J13" s="62">
        <v>181721.77</v>
      </c>
      <c r="K13" s="61"/>
      <c r="L13" s="61"/>
      <c r="M13" s="62">
        <v>752768.54</v>
      </c>
      <c r="N13" s="62">
        <v>181721.77</v>
      </c>
      <c r="O13" s="62">
        <v>571046.77</v>
      </c>
      <c r="P13" s="55"/>
      <c r="Q13" s="63"/>
      <c r="R13" s="61">
        <f t="shared" si="3"/>
        <v>15143.480833333333</v>
      </c>
      <c r="S13" s="61"/>
      <c r="T13" s="61"/>
      <c r="U13" s="61"/>
      <c r="V13" s="61"/>
      <c r="W13" s="61"/>
      <c r="X13" s="61">
        <f t="shared" si="4"/>
        <v>15143.480833333333</v>
      </c>
      <c r="Y13" s="61"/>
      <c r="Z13" s="61"/>
      <c r="AA13" s="61"/>
      <c r="AB13" s="61"/>
      <c r="AC13" s="61"/>
      <c r="AD13" s="61"/>
      <c r="AE13" s="61">
        <f t="shared" si="5"/>
        <v>0</v>
      </c>
      <c r="AF13" s="61"/>
      <c r="AG13" s="62">
        <f t="shared" si="1"/>
        <v>196865.25083333332</v>
      </c>
      <c r="AH13" s="61"/>
      <c r="AI13" s="57"/>
      <c r="AJ13" s="57"/>
      <c r="AK13" s="61"/>
      <c r="AL13" s="61"/>
      <c r="AM13" s="61"/>
      <c r="AN13" s="61"/>
      <c r="AO13" s="61"/>
      <c r="AP13" s="61"/>
      <c r="AQ13" s="61"/>
      <c r="AR13" s="61">
        <f t="shared" si="7"/>
        <v>0</v>
      </c>
      <c r="AS13" s="61"/>
      <c r="AT13" s="61"/>
      <c r="AU13" s="61"/>
      <c r="AV13" s="61"/>
      <c r="AW13" s="61"/>
      <c r="AX13" s="61"/>
      <c r="AY13" s="61">
        <f t="shared" si="8"/>
        <v>0</v>
      </c>
      <c r="AZ13" s="56">
        <f t="shared" si="2"/>
        <v>0</v>
      </c>
      <c r="BA13" s="61"/>
      <c r="BB13" s="62">
        <f t="shared" si="9"/>
        <v>196865.25083333332</v>
      </c>
      <c r="BC13" s="61"/>
      <c r="BD13" s="57"/>
      <c r="BE13" s="57"/>
      <c r="BF13" s="35" t="e">
        <f>VLOOKUP(A:A,'2023-2027'!A:G,1,+FALSE)</f>
        <v>#N/A</v>
      </c>
      <c r="BG13" s="7" t="e">
        <f t="shared" si="11"/>
        <v>#N/A</v>
      </c>
      <c r="BH13" s="35"/>
    </row>
    <row r="14" spans="1:60" ht="12" hidden="1" customHeight="1" outlineLevel="1" x14ac:dyDescent="0.2">
      <c r="A14" s="59" t="s">
        <v>165</v>
      </c>
      <c r="B14" s="59"/>
      <c r="C14" s="59" t="s">
        <v>82</v>
      </c>
      <c r="D14" s="59" t="s">
        <v>166</v>
      </c>
      <c r="E14" s="59" t="s">
        <v>162</v>
      </c>
      <c r="F14" s="60">
        <v>127857.92</v>
      </c>
      <c r="G14" s="59"/>
      <c r="H14" s="60">
        <v>127857.92</v>
      </c>
      <c r="I14" s="59"/>
      <c r="J14" s="60">
        <v>5670.79</v>
      </c>
      <c r="K14" s="59"/>
      <c r="L14" s="59"/>
      <c r="M14" s="60">
        <v>127857.92</v>
      </c>
      <c r="N14" s="60">
        <v>5670.79</v>
      </c>
      <c r="O14" s="60">
        <v>122187.13</v>
      </c>
      <c r="P14" s="55"/>
      <c r="Q14" s="55"/>
      <c r="R14" s="61">
        <f t="shared" si="3"/>
        <v>472.56583333333333</v>
      </c>
      <c r="S14" s="60">
        <v>472.56583330000001</v>
      </c>
      <c r="T14" s="60">
        <v>472.56583330000001</v>
      </c>
      <c r="U14" s="60">
        <v>472.56583330000001</v>
      </c>
      <c r="V14" s="60">
        <v>472.56583330000001</v>
      </c>
      <c r="W14" s="60">
        <v>472.56583330000001</v>
      </c>
      <c r="X14" s="61">
        <f t="shared" si="4"/>
        <v>2835.3949998333337</v>
      </c>
      <c r="Y14" s="60">
        <v>472.56583330000001</v>
      </c>
      <c r="Z14" s="60">
        <v>472.56583330000001</v>
      </c>
      <c r="AA14" s="60">
        <v>472.56583330000001</v>
      </c>
      <c r="AB14" s="60">
        <v>472.56583330000001</v>
      </c>
      <c r="AC14" s="60">
        <v>472.56583330000001</v>
      </c>
      <c r="AD14" s="60">
        <v>472.56583330000001</v>
      </c>
      <c r="AE14" s="61">
        <f t="shared" si="5"/>
        <v>2835.3949998000003</v>
      </c>
      <c r="AF14" s="62">
        <f t="shared" ref="AF14:AF19" si="12">M14</f>
        <v>127857.92</v>
      </c>
      <c r="AG14" s="62">
        <f t="shared" si="1"/>
        <v>11341.579999633328</v>
      </c>
      <c r="AH14" s="62">
        <f t="shared" ref="AH14:AH77" si="13">AF14-AG14</f>
        <v>116516.34000036668</v>
      </c>
      <c r="AI14" s="63"/>
      <c r="AJ14" s="63"/>
      <c r="AK14" s="62"/>
      <c r="AL14" s="60">
        <v>472.56583330000001</v>
      </c>
      <c r="AM14" s="60">
        <v>472.56583330000001</v>
      </c>
      <c r="AN14" s="60">
        <v>472.56583330000001</v>
      </c>
      <c r="AO14" s="60">
        <v>472.56583330000001</v>
      </c>
      <c r="AP14" s="60">
        <v>472.56583330000001</v>
      </c>
      <c r="AQ14" s="60">
        <v>472.56583330000001</v>
      </c>
      <c r="AR14" s="61">
        <f t="shared" si="7"/>
        <v>2835.3949998000003</v>
      </c>
      <c r="AS14" s="60">
        <v>472.56583330000001</v>
      </c>
      <c r="AT14" s="60">
        <v>472.56583330000001</v>
      </c>
      <c r="AU14" s="60">
        <v>472.56583330000001</v>
      </c>
      <c r="AV14" s="60">
        <v>472.56583330000001</v>
      </c>
      <c r="AW14" s="60">
        <v>472.56583330000001</v>
      </c>
      <c r="AX14" s="60">
        <v>472.56583330000001</v>
      </c>
      <c r="AY14" s="61">
        <f t="shared" si="8"/>
        <v>2835.3949998000003</v>
      </c>
      <c r="AZ14" s="56">
        <f t="shared" si="2"/>
        <v>5670.7899996000006</v>
      </c>
      <c r="BA14" s="62">
        <f t="shared" ref="BA14:BA77" si="14">AF14</f>
        <v>127857.92</v>
      </c>
      <c r="BB14" s="62">
        <f t="shared" si="9"/>
        <v>17012.36999923332</v>
      </c>
      <c r="BC14" s="62">
        <f t="shared" ref="BC14:BC77" si="15">BA14-BB14</f>
        <v>110845.55000076667</v>
      </c>
      <c r="BD14" s="63"/>
      <c r="BE14" s="57"/>
      <c r="BF14" s="35" t="e">
        <f>VLOOKUP(A:A,'2023-2027'!A:G,1,+FALSE)</f>
        <v>#N/A</v>
      </c>
      <c r="BG14" s="7" t="e">
        <f t="shared" si="11"/>
        <v>#N/A</v>
      </c>
      <c r="BH14" s="35"/>
    </row>
    <row r="15" spans="1:60" ht="12" hidden="1" customHeight="1" outlineLevel="1" x14ac:dyDescent="0.2">
      <c r="A15" s="59" t="s">
        <v>167</v>
      </c>
      <c r="B15" s="59"/>
      <c r="C15" s="59" t="s">
        <v>82</v>
      </c>
      <c r="D15" s="59" t="s">
        <v>168</v>
      </c>
      <c r="E15" s="59" t="s">
        <v>162</v>
      </c>
      <c r="F15" s="60">
        <v>1985665.63</v>
      </c>
      <c r="G15" s="59"/>
      <c r="H15" s="60">
        <v>1985665.63</v>
      </c>
      <c r="I15" s="59"/>
      <c r="J15" s="60">
        <v>85170.18</v>
      </c>
      <c r="K15" s="59"/>
      <c r="L15" s="59"/>
      <c r="M15" s="60">
        <v>1985665.63</v>
      </c>
      <c r="N15" s="60">
        <v>85170.18</v>
      </c>
      <c r="O15" s="60">
        <v>1900495.45</v>
      </c>
      <c r="P15" s="55"/>
      <c r="Q15" s="55"/>
      <c r="R15" s="61">
        <f t="shared" si="3"/>
        <v>7097.5149999999994</v>
      </c>
      <c r="S15" s="60">
        <v>7097.5150000000003</v>
      </c>
      <c r="T15" s="60">
        <v>7097.5150000000003</v>
      </c>
      <c r="U15" s="60">
        <v>7097.5150000000003</v>
      </c>
      <c r="V15" s="60">
        <v>7097.5150000000003</v>
      </c>
      <c r="W15" s="60">
        <v>7097.5150000000003</v>
      </c>
      <c r="X15" s="61">
        <f t="shared" si="4"/>
        <v>42585.09</v>
      </c>
      <c r="Y15" s="60">
        <v>7097.5150000000003</v>
      </c>
      <c r="Z15" s="60">
        <v>7097.5150000000003</v>
      </c>
      <c r="AA15" s="60">
        <v>7097.5150000000003</v>
      </c>
      <c r="AB15" s="60">
        <v>7097.5150000000003</v>
      </c>
      <c r="AC15" s="60">
        <v>7097.5150000000003</v>
      </c>
      <c r="AD15" s="60">
        <v>7097.5150000000003</v>
      </c>
      <c r="AE15" s="61">
        <f t="shared" si="5"/>
        <v>42585.090000000004</v>
      </c>
      <c r="AF15" s="62">
        <f t="shared" si="12"/>
        <v>1985665.63</v>
      </c>
      <c r="AG15" s="62">
        <f t="shared" si="1"/>
        <v>170340.36000000007</v>
      </c>
      <c r="AH15" s="62">
        <f t="shared" si="13"/>
        <v>1815325.2699999998</v>
      </c>
      <c r="AI15" s="63"/>
      <c r="AJ15" s="63"/>
      <c r="AK15" s="62"/>
      <c r="AL15" s="60">
        <v>7097.5150000000003</v>
      </c>
      <c r="AM15" s="60">
        <v>7097.5150000000003</v>
      </c>
      <c r="AN15" s="60">
        <v>7097.5150000000003</v>
      </c>
      <c r="AO15" s="60">
        <v>7097.5150000000003</v>
      </c>
      <c r="AP15" s="60">
        <v>7097.5150000000003</v>
      </c>
      <c r="AQ15" s="60">
        <v>7097.5150000000003</v>
      </c>
      <c r="AR15" s="61">
        <f t="shared" si="7"/>
        <v>42585.090000000004</v>
      </c>
      <c r="AS15" s="60">
        <v>7097.5150000000003</v>
      </c>
      <c r="AT15" s="60">
        <v>7097.5150000000003</v>
      </c>
      <c r="AU15" s="60">
        <v>7097.5150000000003</v>
      </c>
      <c r="AV15" s="60">
        <v>7097.5150000000003</v>
      </c>
      <c r="AW15" s="60">
        <v>7097.5150000000003</v>
      </c>
      <c r="AX15" s="60">
        <v>7097.5150000000003</v>
      </c>
      <c r="AY15" s="61">
        <f t="shared" si="8"/>
        <v>42585.090000000004</v>
      </c>
      <c r="AZ15" s="56">
        <f t="shared" si="2"/>
        <v>85170.180000000008</v>
      </c>
      <c r="BA15" s="62">
        <f t="shared" si="14"/>
        <v>1985665.63</v>
      </c>
      <c r="BB15" s="62">
        <f t="shared" si="9"/>
        <v>255510.54000000024</v>
      </c>
      <c r="BC15" s="62">
        <f t="shared" si="15"/>
        <v>1730155.0899999996</v>
      </c>
      <c r="BD15" s="63"/>
      <c r="BE15" s="57"/>
      <c r="BF15" s="35" t="e">
        <f>VLOOKUP(A:A,'2023-2027'!A:G,1,+FALSE)</f>
        <v>#N/A</v>
      </c>
      <c r="BG15" s="7" t="e">
        <f t="shared" si="11"/>
        <v>#N/A</v>
      </c>
      <c r="BH15" s="35"/>
    </row>
    <row r="16" spans="1:60" ht="12" hidden="1" customHeight="1" outlineLevel="1" x14ac:dyDescent="0.2">
      <c r="A16" s="59" t="s">
        <v>169</v>
      </c>
      <c r="B16" s="59"/>
      <c r="C16" s="59" t="s">
        <v>82</v>
      </c>
      <c r="D16" s="59" t="s">
        <v>170</v>
      </c>
      <c r="E16" s="59" t="s">
        <v>162</v>
      </c>
      <c r="F16" s="60">
        <v>122533.12</v>
      </c>
      <c r="G16" s="59"/>
      <c r="H16" s="60">
        <v>122533.12</v>
      </c>
      <c r="I16" s="59"/>
      <c r="J16" s="60">
        <v>13697.82</v>
      </c>
      <c r="K16" s="59"/>
      <c r="L16" s="59"/>
      <c r="M16" s="60">
        <v>122533.12</v>
      </c>
      <c r="N16" s="60">
        <v>13697.82</v>
      </c>
      <c r="O16" s="60">
        <v>108835.3</v>
      </c>
      <c r="P16" s="55"/>
      <c r="Q16" s="55"/>
      <c r="R16" s="61">
        <f t="shared" si="3"/>
        <v>1141.4849999999999</v>
      </c>
      <c r="S16" s="60">
        <v>1141.4849999999999</v>
      </c>
      <c r="T16" s="60">
        <v>1141.4849999999999</v>
      </c>
      <c r="U16" s="60">
        <v>1141.4849999999999</v>
      </c>
      <c r="V16" s="60">
        <v>1141.4849999999999</v>
      </c>
      <c r="W16" s="60">
        <v>1141.4849999999999</v>
      </c>
      <c r="X16" s="61">
        <f t="shared" si="4"/>
        <v>6848.9099999999989</v>
      </c>
      <c r="Y16" s="60">
        <v>1141.4849999999999</v>
      </c>
      <c r="Z16" s="60">
        <v>1141.4849999999999</v>
      </c>
      <c r="AA16" s="60">
        <v>1141.4849999999999</v>
      </c>
      <c r="AB16" s="60">
        <v>1141.4849999999999</v>
      </c>
      <c r="AC16" s="60">
        <v>1141.4849999999999</v>
      </c>
      <c r="AD16" s="60">
        <v>1141.4849999999999</v>
      </c>
      <c r="AE16" s="61">
        <f t="shared" si="5"/>
        <v>6848.9099999999989</v>
      </c>
      <c r="AF16" s="62">
        <f t="shared" si="12"/>
        <v>122533.12</v>
      </c>
      <c r="AG16" s="62">
        <f t="shared" si="1"/>
        <v>27395.640000000007</v>
      </c>
      <c r="AH16" s="62">
        <f t="shared" si="13"/>
        <v>95137.479999999981</v>
      </c>
      <c r="AI16" s="63"/>
      <c r="AJ16" s="63"/>
      <c r="AK16" s="62"/>
      <c r="AL16" s="60">
        <v>1141.4849999999999</v>
      </c>
      <c r="AM16" s="60">
        <v>1141.4849999999999</v>
      </c>
      <c r="AN16" s="60">
        <v>1141.4849999999999</v>
      </c>
      <c r="AO16" s="60">
        <v>1141.4849999999999</v>
      </c>
      <c r="AP16" s="60">
        <v>1141.4849999999999</v>
      </c>
      <c r="AQ16" s="60">
        <v>1141.4849999999999</v>
      </c>
      <c r="AR16" s="61">
        <f t="shared" si="7"/>
        <v>6848.9099999999989</v>
      </c>
      <c r="AS16" s="60">
        <v>1141.4849999999999</v>
      </c>
      <c r="AT16" s="60">
        <v>1141.4849999999999</v>
      </c>
      <c r="AU16" s="60">
        <v>1141.4849999999999</v>
      </c>
      <c r="AV16" s="60">
        <v>1141.4849999999999</v>
      </c>
      <c r="AW16" s="60">
        <v>1141.4849999999999</v>
      </c>
      <c r="AX16" s="60">
        <v>1141.4849999999999</v>
      </c>
      <c r="AY16" s="61">
        <f t="shared" si="8"/>
        <v>6848.9099999999989</v>
      </c>
      <c r="AZ16" s="56">
        <f t="shared" si="2"/>
        <v>13697.819999999998</v>
      </c>
      <c r="BA16" s="62">
        <f t="shared" si="14"/>
        <v>122533.12</v>
      </c>
      <c r="BB16" s="62">
        <f t="shared" si="9"/>
        <v>41093.460000000014</v>
      </c>
      <c r="BC16" s="62">
        <f t="shared" si="15"/>
        <v>81439.659999999974</v>
      </c>
      <c r="BD16" s="63"/>
      <c r="BE16" s="57"/>
      <c r="BF16" s="35" t="e">
        <f>VLOOKUP(A:A,'2023-2027'!A:G,1,+FALSE)</f>
        <v>#N/A</v>
      </c>
      <c r="BG16" s="7" t="e">
        <f t="shared" si="11"/>
        <v>#N/A</v>
      </c>
      <c r="BH16" s="35"/>
    </row>
    <row r="17" spans="1:60" ht="12" hidden="1" customHeight="1" outlineLevel="1" x14ac:dyDescent="0.2">
      <c r="A17" s="59" t="s">
        <v>171</v>
      </c>
      <c r="B17" s="59"/>
      <c r="C17" s="59" t="s">
        <v>82</v>
      </c>
      <c r="D17" s="59" t="s">
        <v>172</v>
      </c>
      <c r="E17" s="59" t="s">
        <v>162</v>
      </c>
      <c r="F17" s="60">
        <v>351766.58</v>
      </c>
      <c r="G17" s="59"/>
      <c r="H17" s="60">
        <v>351766.58</v>
      </c>
      <c r="I17" s="59"/>
      <c r="J17" s="60">
        <v>15121.04</v>
      </c>
      <c r="K17" s="59"/>
      <c r="L17" s="59"/>
      <c r="M17" s="60">
        <v>351766.58</v>
      </c>
      <c r="N17" s="60">
        <v>15121.04</v>
      </c>
      <c r="O17" s="60">
        <v>336645.54</v>
      </c>
      <c r="P17" s="55"/>
      <c r="Q17" s="55"/>
      <c r="R17" s="61">
        <f t="shared" si="3"/>
        <v>1260.0866666666668</v>
      </c>
      <c r="S17" s="60">
        <v>1260.086667</v>
      </c>
      <c r="T17" s="60">
        <v>1260.086667</v>
      </c>
      <c r="U17" s="60">
        <v>1260.086667</v>
      </c>
      <c r="V17" s="60">
        <v>1260.086667</v>
      </c>
      <c r="W17" s="60">
        <v>1260.086667</v>
      </c>
      <c r="X17" s="61">
        <f t="shared" si="4"/>
        <v>7560.5200016666658</v>
      </c>
      <c r="Y17" s="60">
        <v>1260.086667</v>
      </c>
      <c r="Z17" s="60">
        <v>1260.086667</v>
      </c>
      <c r="AA17" s="60">
        <v>1260.086667</v>
      </c>
      <c r="AB17" s="60">
        <v>1260.086667</v>
      </c>
      <c r="AC17" s="60">
        <v>1260.086667</v>
      </c>
      <c r="AD17" s="60">
        <v>1260.086667</v>
      </c>
      <c r="AE17" s="61">
        <f t="shared" si="5"/>
        <v>7560.5200019999993</v>
      </c>
      <c r="AF17" s="62">
        <f t="shared" si="12"/>
        <v>351766.58</v>
      </c>
      <c r="AG17" s="62">
        <f t="shared" si="1"/>
        <v>30242.080003666662</v>
      </c>
      <c r="AH17" s="62">
        <f t="shared" si="13"/>
        <v>321524.49999633338</v>
      </c>
      <c r="AI17" s="63"/>
      <c r="AJ17" s="63"/>
      <c r="AK17" s="62"/>
      <c r="AL17" s="60">
        <v>1260.086667</v>
      </c>
      <c r="AM17" s="60">
        <v>1260.086667</v>
      </c>
      <c r="AN17" s="60">
        <v>1260.086667</v>
      </c>
      <c r="AO17" s="60">
        <v>1260.086667</v>
      </c>
      <c r="AP17" s="60">
        <v>1260.086667</v>
      </c>
      <c r="AQ17" s="60">
        <v>1260.086667</v>
      </c>
      <c r="AR17" s="61">
        <f t="shared" si="7"/>
        <v>7560.5200019999993</v>
      </c>
      <c r="AS17" s="60">
        <v>1260.086667</v>
      </c>
      <c r="AT17" s="60">
        <v>1260.086667</v>
      </c>
      <c r="AU17" s="60">
        <v>1260.086667</v>
      </c>
      <c r="AV17" s="60">
        <v>1260.086667</v>
      </c>
      <c r="AW17" s="60">
        <v>1260.086667</v>
      </c>
      <c r="AX17" s="60">
        <v>1260.086667</v>
      </c>
      <c r="AY17" s="61">
        <f t="shared" si="8"/>
        <v>7560.5200019999993</v>
      </c>
      <c r="AZ17" s="56">
        <f t="shared" si="2"/>
        <v>15121.040003999999</v>
      </c>
      <c r="BA17" s="62">
        <f t="shared" si="14"/>
        <v>351766.58</v>
      </c>
      <c r="BB17" s="62">
        <f t="shared" si="9"/>
        <v>45363.120007666694</v>
      </c>
      <c r="BC17" s="62">
        <f t="shared" si="15"/>
        <v>306403.45999233332</v>
      </c>
      <c r="BD17" s="63"/>
      <c r="BE17" s="57"/>
      <c r="BF17" s="35" t="e">
        <f>VLOOKUP(A:A,'2023-2027'!A:G,1,+FALSE)</f>
        <v>#N/A</v>
      </c>
      <c r="BG17" s="7" t="e">
        <f t="shared" si="11"/>
        <v>#N/A</v>
      </c>
      <c r="BH17" s="35"/>
    </row>
    <row r="18" spans="1:60" ht="12" hidden="1" customHeight="1" outlineLevel="1" x14ac:dyDescent="0.2">
      <c r="A18" s="59" t="s">
        <v>173</v>
      </c>
      <c r="B18" s="59"/>
      <c r="C18" s="59" t="s">
        <v>82</v>
      </c>
      <c r="D18" s="59" t="s">
        <v>174</v>
      </c>
      <c r="E18" s="59" t="s">
        <v>162</v>
      </c>
      <c r="F18" s="60">
        <v>93491</v>
      </c>
      <c r="G18" s="59"/>
      <c r="H18" s="60">
        <v>93491</v>
      </c>
      <c r="I18" s="59"/>
      <c r="J18" s="60">
        <v>4146.54</v>
      </c>
      <c r="K18" s="59"/>
      <c r="L18" s="59"/>
      <c r="M18" s="60">
        <v>93491</v>
      </c>
      <c r="N18" s="60">
        <v>4146.54</v>
      </c>
      <c r="O18" s="60">
        <v>89344.46</v>
      </c>
      <c r="P18" s="55"/>
      <c r="Q18" s="55"/>
      <c r="R18" s="61">
        <f t="shared" si="3"/>
        <v>345.54500000000002</v>
      </c>
      <c r="S18" s="60">
        <v>345.54500000000002</v>
      </c>
      <c r="T18" s="60">
        <v>345.54500000000002</v>
      </c>
      <c r="U18" s="60">
        <v>345.54500000000002</v>
      </c>
      <c r="V18" s="60">
        <v>345.54500000000002</v>
      </c>
      <c r="W18" s="60">
        <v>345.54500000000002</v>
      </c>
      <c r="X18" s="61">
        <f t="shared" si="4"/>
        <v>2073.27</v>
      </c>
      <c r="Y18" s="60">
        <v>345.54500000000002</v>
      </c>
      <c r="Z18" s="60">
        <v>345.54500000000002</v>
      </c>
      <c r="AA18" s="60">
        <v>345.54500000000002</v>
      </c>
      <c r="AB18" s="60">
        <v>345.54500000000002</v>
      </c>
      <c r="AC18" s="60">
        <v>345.54500000000002</v>
      </c>
      <c r="AD18" s="60">
        <v>345.54500000000002</v>
      </c>
      <c r="AE18" s="61">
        <f t="shared" si="5"/>
        <v>2073.27</v>
      </c>
      <c r="AF18" s="62">
        <f t="shared" si="12"/>
        <v>93491</v>
      </c>
      <c r="AG18" s="62">
        <f t="shared" si="1"/>
        <v>8293.08</v>
      </c>
      <c r="AH18" s="62">
        <f t="shared" si="13"/>
        <v>85197.92</v>
      </c>
      <c r="AI18" s="63"/>
      <c r="AJ18" s="63"/>
      <c r="AK18" s="62"/>
      <c r="AL18" s="60">
        <v>345.54500000000002</v>
      </c>
      <c r="AM18" s="60">
        <v>345.54500000000002</v>
      </c>
      <c r="AN18" s="60">
        <v>345.54500000000002</v>
      </c>
      <c r="AO18" s="60">
        <v>345.54500000000002</v>
      </c>
      <c r="AP18" s="60">
        <v>345.54500000000002</v>
      </c>
      <c r="AQ18" s="60">
        <v>345.54500000000002</v>
      </c>
      <c r="AR18" s="61">
        <f t="shared" si="7"/>
        <v>2073.27</v>
      </c>
      <c r="AS18" s="60">
        <v>345.54500000000002</v>
      </c>
      <c r="AT18" s="60">
        <v>345.54500000000002</v>
      </c>
      <c r="AU18" s="60">
        <v>345.54500000000002</v>
      </c>
      <c r="AV18" s="60">
        <v>345.54500000000002</v>
      </c>
      <c r="AW18" s="60">
        <v>345.54500000000002</v>
      </c>
      <c r="AX18" s="60">
        <v>345.54500000000002</v>
      </c>
      <c r="AY18" s="61">
        <f t="shared" si="8"/>
        <v>2073.27</v>
      </c>
      <c r="AZ18" s="56">
        <f t="shared" si="2"/>
        <v>4146.54</v>
      </c>
      <c r="BA18" s="62">
        <f t="shared" si="14"/>
        <v>93491</v>
      </c>
      <c r="BB18" s="62">
        <f t="shared" si="9"/>
        <v>12439.62</v>
      </c>
      <c r="BC18" s="62">
        <f t="shared" si="15"/>
        <v>81051.38</v>
      </c>
      <c r="BD18" s="63"/>
      <c r="BE18" s="57"/>
      <c r="BF18" s="35" t="e">
        <f>VLOOKUP(A:A,'2023-2027'!A:G,1,+FALSE)</f>
        <v>#N/A</v>
      </c>
      <c r="BG18" s="7" t="e">
        <f t="shared" si="11"/>
        <v>#N/A</v>
      </c>
      <c r="BH18" s="35"/>
    </row>
    <row r="19" spans="1:60" ht="12" hidden="1" customHeight="1" outlineLevel="1" x14ac:dyDescent="0.2">
      <c r="A19" s="59" t="s">
        <v>175</v>
      </c>
      <c r="B19" s="59"/>
      <c r="C19" s="59" t="s">
        <v>82</v>
      </c>
      <c r="D19" s="59" t="s">
        <v>176</v>
      </c>
      <c r="E19" s="59" t="s">
        <v>162</v>
      </c>
      <c r="F19" s="60">
        <v>83019.360000000001</v>
      </c>
      <c r="G19" s="59"/>
      <c r="H19" s="60">
        <v>83019.360000000001</v>
      </c>
      <c r="I19" s="59"/>
      <c r="J19" s="60">
        <v>3620.57</v>
      </c>
      <c r="K19" s="59"/>
      <c r="L19" s="59"/>
      <c r="M19" s="60">
        <v>83019.360000000001</v>
      </c>
      <c r="N19" s="60">
        <v>3620.57</v>
      </c>
      <c r="O19" s="60">
        <v>79398.789999999994</v>
      </c>
      <c r="P19" s="55"/>
      <c r="Q19" s="55"/>
      <c r="R19" s="61">
        <f t="shared" si="3"/>
        <v>301.7141666666667</v>
      </c>
      <c r="S19" s="60">
        <v>301.71416670000002</v>
      </c>
      <c r="T19" s="60">
        <v>301.71416670000002</v>
      </c>
      <c r="U19" s="60">
        <v>301.71416670000002</v>
      </c>
      <c r="V19" s="60">
        <v>301.71416670000002</v>
      </c>
      <c r="W19" s="60">
        <v>301.71416670000002</v>
      </c>
      <c r="X19" s="61">
        <f t="shared" si="4"/>
        <v>1810.285000166667</v>
      </c>
      <c r="Y19" s="60">
        <v>301.71416670000002</v>
      </c>
      <c r="Z19" s="60">
        <v>301.71416670000002</v>
      </c>
      <c r="AA19" s="60">
        <v>301.71416670000002</v>
      </c>
      <c r="AB19" s="60">
        <v>301.71416670000002</v>
      </c>
      <c r="AC19" s="60">
        <v>301.71416670000002</v>
      </c>
      <c r="AD19" s="60">
        <v>301.71416670000002</v>
      </c>
      <c r="AE19" s="61">
        <f t="shared" si="5"/>
        <v>1810.2850002000002</v>
      </c>
      <c r="AF19" s="62">
        <f t="shared" si="12"/>
        <v>83019.360000000001</v>
      </c>
      <c r="AG19" s="62">
        <f t="shared" si="1"/>
        <v>7241.1400003666631</v>
      </c>
      <c r="AH19" s="62">
        <f t="shared" si="13"/>
        <v>75778.219999633337</v>
      </c>
      <c r="AI19" s="63"/>
      <c r="AJ19" s="63"/>
      <c r="AK19" s="62"/>
      <c r="AL19" s="60">
        <v>301.71416670000002</v>
      </c>
      <c r="AM19" s="60">
        <v>301.71416670000002</v>
      </c>
      <c r="AN19" s="60">
        <v>301.71416670000002</v>
      </c>
      <c r="AO19" s="60">
        <v>301.71416670000002</v>
      </c>
      <c r="AP19" s="60">
        <v>301.71416670000002</v>
      </c>
      <c r="AQ19" s="60">
        <v>301.71416670000002</v>
      </c>
      <c r="AR19" s="61">
        <f t="shared" si="7"/>
        <v>1810.2850002000002</v>
      </c>
      <c r="AS19" s="60">
        <v>301.71416670000002</v>
      </c>
      <c r="AT19" s="60">
        <v>301.71416670000002</v>
      </c>
      <c r="AU19" s="60">
        <v>301.71416670000002</v>
      </c>
      <c r="AV19" s="60">
        <v>301.71416670000002</v>
      </c>
      <c r="AW19" s="60">
        <v>301.71416670000002</v>
      </c>
      <c r="AX19" s="60">
        <v>301.71416670000002</v>
      </c>
      <c r="AY19" s="61">
        <f t="shared" si="8"/>
        <v>1810.2850002000002</v>
      </c>
      <c r="AZ19" s="56">
        <f t="shared" si="2"/>
        <v>3620.5700004000005</v>
      </c>
      <c r="BA19" s="62">
        <f t="shared" si="14"/>
        <v>83019.360000000001</v>
      </c>
      <c r="BB19" s="62">
        <f t="shared" si="9"/>
        <v>10861.71000076666</v>
      </c>
      <c r="BC19" s="62">
        <f t="shared" si="15"/>
        <v>72157.649999233341</v>
      </c>
      <c r="BD19" s="63"/>
      <c r="BE19" s="57"/>
      <c r="BF19" s="35" t="e">
        <f>VLOOKUP(A:A,'2023-2027'!A:G,1,+FALSE)</f>
        <v>#N/A</v>
      </c>
      <c r="BG19" s="7" t="e">
        <f t="shared" si="11"/>
        <v>#N/A</v>
      </c>
      <c r="BH19" s="35"/>
    </row>
    <row r="20" spans="1:60" s="58" customFormat="1" ht="13.15" hidden="1" customHeight="1" x14ac:dyDescent="0.2">
      <c r="A20" s="52" t="s">
        <v>76</v>
      </c>
      <c r="B20" s="52"/>
      <c r="C20" s="52"/>
      <c r="D20" s="52"/>
      <c r="E20" s="52"/>
      <c r="F20" s="53">
        <v>22813883.149999999</v>
      </c>
      <c r="G20" s="53">
        <v>8656967.8499999996</v>
      </c>
      <c r="H20" s="53">
        <v>14156915.300000001</v>
      </c>
      <c r="I20" s="53">
        <v>83250</v>
      </c>
      <c r="J20" s="53">
        <v>1938181.78</v>
      </c>
      <c r="K20" s="53">
        <v>121508</v>
      </c>
      <c r="L20" s="53">
        <v>121508</v>
      </c>
      <c r="M20" s="53">
        <v>22775625.149999999</v>
      </c>
      <c r="N20" s="53">
        <v>10473641.630000001</v>
      </c>
      <c r="O20" s="53">
        <v>12301983.52</v>
      </c>
      <c r="P20" s="64">
        <f>P29+P30+P31+P34+P40</f>
        <v>1773381.34</v>
      </c>
      <c r="Q20" s="64">
        <f>Q29+Q30+Q31+Q34+Q40</f>
        <v>39014.389479999998</v>
      </c>
      <c r="R20" s="56">
        <f>R21+R22+R23+R24+R25+R26+R27+R28+R29+R30+R31+R32+R33+R34+R35+R36+R37+R38+R39+R40+R41+R42+R43+R44+R45+R46+R47+R48+R49+R50</f>
        <v>161515.14833333337</v>
      </c>
      <c r="S20" s="56">
        <f t="shared" ref="S20:BE20" si="16">S21+S22+S23+S24+S25+S26+S27+S28+S29+S30+S31+S32+S33+S34+S35+S36+S37+S38+S39+S40+S41+S42+S43+S44+S45+S46+S47+S48+S49+S50</f>
        <v>161515.14833303</v>
      </c>
      <c r="T20" s="56">
        <f t="shared" si="16"/>
        <v>161515.14833303</v>
      </c>
      <c r="U20" s="56">
        <f t="shared" si="16"/>
        <v>161515.14833303</v>
      </c>
      <c r="V20" s="56">
        <f t="shared" si="16"/>
        <v>161515.14833303</v>
      </c>
      <c r="W20" s="56">
        <f t="shared" si="16"/>
        <v>161515.14833303</v>
      </c>
      <c r="X20" s="56">
        <f t="shared" si="16"/>
        <v>969090.88999848336</v>
      </c>
      <c r="Y20" s="56">
        <f t="shared" si="16"/>
        <v>161515.14833303</v>
      </c>
      <c r="Z20" s="56">
        <f t="shared" si="16"/>
        <v>161515.14833303</v>
      </c>
      <c r="AA20" s="56">
        <f t="shared" si="16"/>
        <v>161515.14833303</v>
      </c>
      <c r="AB20" s="56">
        <f t="shared" si="16"/>
        <v>161515.14833303</v>
      </c>
      <c r="AC20" s="56">
        <f t="shared" si="16"/>
        <v>161515.14833303</v>
      </c>
      <c r="AD20" s="56">
        <f t="shared" si="16"/>
        <v>161515.14833303</v>
      </c>
      <c r="AE20" s="56">
        <f t="shared" si="16"/>
        <v>969090.88999818009</v>
      </c>
      <c r="AF20" s="56">
        <f t="shared" si="16"/>
        <v>22775625.149999999</v>
      </c>
      <c r="AG20" s="56">
        <f t="shared" si="16"/>
        <v>12411823.409996664</v>
      </c>
      <c r="AH20" s="56">
        <f t="shared" si="16"/>
        <v>10363801.740003338</v>
      </c>
      <c r="AI20" s="57">
        <f t="shared" si="16"/>
        <v>1657123.4800000002</v>
      </c>
      <c r="AJ20" s="57">
        <f t="shared" si="16"/>
        <v>36456.716560000008</v>
      </c>
      <c r="AK20" s="56"/>
      <c r="AL20" s="56">
        <f t="shared" si="16"/>
        <v>161515.14833303</v>
      </c>
      <c r="AM20" s="56">
        <f t="shared" si="16"/>
        <v>161515.14833303</v>
      </c>
      <c r="AN20" s="56">
        <f t="shared" si="16"/>
        <v>161515.14833303</v>
      </c>
      <c r="AO20" s="56">
        <f t="shared" si="16"/>
        <v>161515.14833303</v>
      </c>
      <c r="AP20" s="56">
        <f t="shared" si="16"/>
        <v>161515.14833303</v>
      </c>
      <c r="AQ20" s="56">
        <f t="shared" si="16"/>
        <v>161515.14833303</v>
      </c>
      <c r="AR20" s="56">
        <f t="shared" si="16"/>
        <v>969090.88999818009</v>
      </c>
      <c r="AS20" s="56">
        <f t="shared" si="16"/>
        <v>160741.60999973002</v>
      </c>
      <c r="AT20" s="56">
        <f t="shared" si="16"/>
        <v>160633.21999973</v>
      </c>
      <c r="AU20" s="56">
        <f t="shared" si="16"/>
        <v>160633.21999973</v>
      </c>
      <c r="AV20" s="56">
        <f t="shared" si="16"/>
        <v>160633.21999973</v>
      </c>
      <c r="AW20" s="56">
        <f t="shared" si="16"/>
        <v>160633.21999973</v>
      </c>
      <c r="AX20" s="56">
        <f t="shared" si="16"/>
        <v>160633.21999973</v>
      </c>
      <c r="AY20" s="56">
        <f t="shared" si="16"/>
        <v>963907.70999838016</v>
      </c>
      <c r="AZ20" s="56">
        <f t="shared" si="2"/>
        <v>1932998.5999965603</v>
      </c>
      <c r="BA20" s="56">
        <f t="shared" si="16"/>
        <v>22775625.149999999</v>
      </c>
      <c r="BB20" s="56">
        <f t="shared" si="16"/>
        <v>14344822.009993231</v>
      </c>
      <c r="BC20" s="56">
        <f t="shared" si="16"/>
        <v>8430803.1400067732</v>
      </c>
      <c r="BD20" s="57">
        <f t="shared" si="16"/>
        <v>1540865.5600000003</v>
      </c>
      <c r="BE20" s="57">
        <f t="shared" si="16"/>
        <v>33899.042320000008</v>
      </c>
      <c r="BH20" s="35"/>
    </row>
    <row r="21" spans="1:60" ht="24" hidden="1" customHeight="1" outlineLevel="1" x14ac:dyDescent="0.2">
      <c r="A21" s="59" t="s">
        <v>177</v>
      </c>
      <c r="B21" s="59" t="s">
        <v>76</v>
      </c>
      <c r="C21" s="59" t="s">
        <v>82</v>
      </c>
      <c r="D21" s="65" t="s">
        <v>178</v>
      </c>
      <c r="E21" s="59" t="s">
        <v>179</v>
      </c>
      <c r="F21" s="60">
        <v>254506.13</v>
      </c>
      <c r="G21" s="60">
        <v>208049.6</v>
      </c>
      <c r="H21" s="60">
        <v>46456.53</v>
      </c>
      <c r="I21" s="59"/>
      <c r="J21" s="60">
        <v>14185.53</v>
      </c>
      <c r="K21" s="59"/>
      <c r="L21" s="59"/>
      <c r="M21" s="60">
        <v>254506.13</v>
      </c>
      <c r="N21" s="60">
        <v>222235.13</v>
      </c>
      <c r="O21" s="60">
        <v>32271</v>
      </c>
      <c r="P21" s="55"/>
      <c r="Q21" s="55"/>
      <c r="R21" s="61">
        <f t="shared" si="3"/>
        <v>1182.1275000000001</v>
      </c>
      <c r="S21" s="60">
        <v>1182.1275000000001</v>
      </c>
      <c r="T21" s="60">
        <v>1182.1275000000001</v>
      </c>
      <c r="U21" s="60">
        <v>1182.1275000000001</v>
      </c>
      <c r="V21" s="60">
        <v>1182.1275000000001</v>
      </c>
      <c r="W21" s="60">
        <v>1182.1275000000001</v>
      </c>
      <c r="X21" s="61">
        <f t="shared" si="4"/>
        <v>7092.7650000000012</v>
      </c>
      <c r="Y21" s="60">
        <v>1182.1275000000001</v>
      </c>
      <c r="Z21" s="60">
        <v>1182.1275000000001</v>
      </c>
      <c r="AA21" s="60">
        <v>1182.1275000000001</v>
      </c>
      <c r="AB21" s="60">
        <v>1182.1275000000001</v>
      </c>
      <c r="AC21" s="60">
        <v>1182.1275000000001</v>
      </c>
      <c r="AD21" s="60">
        <v>1182.1275000000001</v>
      </c>
      <c r="AE21" s="61">
        <f t="shared" si="5"/>
        <v>7092.7650000000012</v>
      </c>
      <c r="AF21" s="62">
        <f t="shared" ref="AF21:AF50" si="17">M21</f>
        <v>254506.13</v>
      </c>
      <c r="AG21" s="62">
        <f t="shared" ref="AG21:AG50" si="18">N21+R21+S21+T21+U21+V21+W21+Y21+Z21+AA21+AB21+AC21+AD21</f>
        <v>236420.66000000003</v>
      </c>
      <c r="AH21" s="62">
        <f t="shared" si="13"/>
        <v>18085.469999999972</v>
      </c>
      <c r="AI21" s="63"/>
      <c r="AJ21" s="63"/>
      <c r="AK21" s="62"/>
      <c r="AL21" s="60">
        <v>1182.1275000000001</v>
      </c>
      <c r="AM21" s="60">
        <v>1182.1275000000001</v>
      </c>
      <c r="AN21" s="60">
        <v>1182.1275000000001</v>
      </c>
      <c r="AO21" s="60">
        <v>1182.1275000000001</v>
      </c>
      <c r="AP21" s="60">
        <v>1182.1275000000001</v>
      </c>
      <c r="AQ21" s="60">
        <v>1182.1275000000001</v>
      </c>
      <c r="AR21" s="61">
        <f t="shared" si="7"/>
        <v>7092.7650000000012</v>
      </c>
      <c r="AS21" s="60">
        <v>1182.1275000000001</v>
      </c>
      <c r="AT21" s="60">
        <v>1182.1275000000001</v>
      </c>
      <c r="AU21" s="60">
        <v>1182.1275000000001</v>
      </c>
      <c r="AV21" s="60">
        <v>1182.1275000000001</v>
      </c>
      <c r="AW21" s="60">
        <v>1182.1275000000001</v>
      </c>
      <c r="AX21" s="60">
        <v>1182.1275000000001</v>
      </c>
      <c r="AY21" s="61">
        <f t="shared" si="8"/>
        <v>7092.7650000000012</v>
      </c>
      <c r="AZ21" s="56">
        <f t="shared" si="2"/>
        <v>14185.530000000002</v>
      </c>
      <c r="BA21" s="62">
        <f t="shared" si="14"/>
        <v>254506.13</v>
      </c>
      <c r="BB21" s="62">
        <f t="shared" si="9"/>
        <v>250606.19000000006</v>
      </c>
      <c r="BC21" s="62">
        <f t="shared" si="15"/>
        <v>3899.9399999999441</v>
      </c>
      <c r="BD21" s="63"/>
      <c r="BE21" s="57"/>
      <c r="BF21" s="35" t="e">
        <f>VLOOKUP(A:A,'2023-2027'!A:G,1,+FALSE)</f>
        <v>#N/A</v>
      </c>
      <c r="BG21" s="7" t="e">
        <f>OR(EXACT(BF21,$A$4:$A$1071))</f>
        <v>#N/A</v>
      </c>
      <c r="BH21" s="35"/>
    </row>
    <row r="22" spans="1:60" ht="24" hidden="1" customHeight="1" outlineLevel="1" x14ac:dyDescent="0.2">
      <c r="A22" s="59" t="s">
        <v>180</v>
      </c>
      <c r="B22" s="59" t="s">
        <v>76</v>
      </c>
      <c r="C22" s="59" t="s">
        <v>82</v>
      </c>
      <c r="D22" s="65" t="s">
        <v>181</v>
      </c>
      <c r="E22" s="59" t="s">
        <v>182</v>
      </c>
      <c r="F22" s="60">
        <v>2221050.9</v>
      </c>
      <c r="G22" s="60">
        <v>1292850</v>
      </c>
      <c r="H22" s="60">
        <v>928200.9</v>
      </c>
      <c r="I22" s="59"/>
      <c r="J22" s="60">
        <v>91260.12</v>
      </c>
      <c r="K22" s="59"/>
      <c r="L22" s="59"/>
      <c r="M22" s="60">
        <v>2221050.9</v>
      </c>
      <c r="N22" s="60">
        <v>1384110.12</v>
      </c>
      <c r="O22" s="60">
        <v>836940.78</v>
      </c>
      <c r="P22" s="55"/>
      <c r="Q22" s="55"/>
      <c r="R22" s="61">
        <f t="shared" si="3"/>
        <v>7605.0099999999993</v>
      </c>
      <c r="S22" s="60">
        <v>7605.01</v>
      </c>
      <c r="T22" s="60">
        <v>7605.01</v>
      </c>
      <c r="U22" s="60">
        <v>7605.01</v>
      </c>
      <c r="V22" s="60">
        <v>7605.01</v>
      </c>
      <c r="W22" s="60">
        <v>7605.01</v>
      </c>
      <c r="X22" s="61">
        <f t="shared" si="4"/>
        <v>45630.060000000005</v>
      </c>
      <c r="Y22" s="60">
        <v>7605.01</v>
      </c>
      <c r="Z22" s="60">
        <v>7605.01</v>
      </c>
      <c r="AA22" s="60">
        <v>7605.01</v>
      </c>
      <c r="AB22" s="60">
        <v>7605.01</v>
      </c>
      <c r="AC22" s="60">
        <v>7605.01</v>
      </c>
      <c r="AD22" s="60">
        <v>7605.01</v>
      </c>
      <c r="AE22" s="61">
        <f t="shared" si="5"/>
        <v>45630.060000000005</v>
      </c>
      <c r="AF22" s="62">
        <f t="shared" si="17"/>
        <v>2221050.9</v>
      </c>
      <c r="AG22" s="62">
        <f t="shared" si="18"/>
        <v>1475370.2400000002</v>
      </c>
      <c r="AH22" s="62">
        <f t="shared" si="13"/>
        <v>745680.65999999968</v>
      </c>
      <c r="AI22" s="63"/>
      <c r="AJ22" s="63"/>
      <c r="AK22" s="62"/>
      <c r="AL22" s="60">
        <v>7605.01</v>
      </c>
      <c r="AM22" s="60">
        <v>7605.01</v>
      </c>
      <c r="AN22" s="60">
        <v>7605.01</v>
      </c>
      <c r="AO22" s="60">
        <v>7605.01</v>
      </c>
      <c r="AP22" s="60">
        <v>7605.01</v>
      </c>
      <c r="AQ22" s="60">
        <v>7605.01</v>
      </c>
      <c r="AR22" s="61">
        <f t="shared" si="7"/>
        <v>45630.060000000005</v>
      </c>
      <c r="AS22" s="60">
        <v>7605.01</v>
      </c>
      <c r="AT22" s="60">
        <v>7605.01</v>
      </c>
      <c r="AU22" s="60">
        <v>7605.01</v>
      </c>
      <c r="AV22" s="60">
        <v>7605.01</v>
      </c>
      <c r="AW22" s="60">
        <v>7605.01</v>
      </c>
      <c r="AX22" s="60">
        <v>7605.01</v>
      </c>
      <c r="AY22" s="61">
        <f t="shared" si="8"/>
        <v>45630.060000000005</v>
      </c>
      <c r="AZ22" s="56">
        <f t="shared" si="2"/>
        <v>91260.12000000001</v>
      </c>
      <c r="BA22" s="62">
        <f t="shared" si="14"/>
        <v>2221050.9</v>
      </c>
      <c r="BB22" s="62">
        <f t="shared" si="9"/>
        <v>1566630.3600000003</v>
      </c>
      <c r="BC22" s="62">
        <f t="shared" si="15"/>
        <v>654420.53999999957</v>
      </c>
      <c r="BD22" s="63"/>
      <c r="BE22" s="57"/>
      <c r="BF22" s="35" t="e">
        <f>VLOOKUP(A:A,'2023-2027'!A:G,1,+FALSE)</f>
        <v>#N/A</v>
      </c>
      <c r="BG22" s="7" t="e">
        <f t="shared" ref="BG22:BG85" si="19">OR(EXACT(BF22,$A$4:$A$1071))</f>
        <v>#N/A</v>
      </c>
      <c r="BH22" s="35"/>
    </row>
    <row r="23" spans="1:60" ht="24" hidden="1" customHeight="1" outlineLevel="1" x14ac:dyDescent="0.2">
      <c r="A23" s="59" t="s">
        <v>2460</v>
      </c>
      <c r="B23" s="59" t="s">
        <v>76</v>
      </c>
      <c r="C23" s="59" t="s">
        <v>82</v>
      </c>
      <c r="D23" s="66" t="s">
        <v>183</v>
      </c>
      <c r="E23" s="59" t="s">
        <v>184</v>
      </c>
      <c r="F23" s="60">
        <v>6429403.6699999999</v>
      </c>
      <c r="G23" s="60">
        <v>2287959.48</v>
      </c>
      <c r="H23" s="60">
        <v>4141444.19</v>
      </c>
      <c r="I23" s="59"/>
      <c r="J23" s="60">
        <v>638500.43999999994</v>
      </c>
      <c r="K23" s="59"/>
      <c r="L23" s="59"/>
      <c r="M23" s="60">
        <v>6429403.6699999999</v>
      </c>
      <c r="N23" s="60">
        <v>2926459.92</v>
      </c>
      <c r="O23" s="60">
        <v>3502943.75</v>
      </c>
      <c r="P23" s="55"/>
      <c r="Q23" s="55"/>
      <c r="R23" s="61">
        <f t="shared" si="3"/>
        <v>53208.369999999995</v>
      </c>
      <c r="S23" s="60">
        <v>53208.37</v>
      </c>
      <c r="T23" s="60">
        <v>53208.37</v>
      </c>
      <c r="U23" s="60">
        <v>53208.37</v>
      </c>
      <c r="V23" s="60">
        <v>53208.37</v>
      </c>
      <c r="W23" s="60">
        <v>53208.37</v>
      </c>
      <c r="X23" s="61">
        <f t="shared" si="4"/>
        <v>319250.21999999997</v>
      </c>
      <c r="Y23" s="60">
        <v>53208.37</v>
      </c>
      <c r="Z23" s="60">
        <v>53208.37</v>
      </c>
      <c r="AA23" s="60">
        <v>53208.37</v>
      </c>
      <c r="AB23" s="60">
        <v>53208.37</v>
      </c>
      <c r="AC23" s="60">
        <v>53208.37</v>
      </c>
      <c r="AD23" s="60">
        <v>53208.37</v>
      </c>
      <c r="AE23" s="61">
        <f t="shared" si="5"/>
        <v>319250.22000000003</v>
      </c>
      <c r="AF23" s="62">
        <f t="shared" si="17"/>
        <v>6429403.6699999999</v>
      </c>
      <c r="AG23" s="62">
        <f t="shared" si="18"/>
        <v>3564960.3600000013</v>
      </c>
      <c r="AH23" s="62">
        <f t="shared" si="13"/>
        <v>2864443.3099999987</v>
      </c>
      <c r="AI23" s="63"/>
      <c r="AJ23" s="63"/>
      <c r="AK23" s="62"/>
      <c r="AL23" s="60">
        <v>53208.37</v>
      </c>
      <c r="AM23" s="60">
        <v>53208.37</v>
      </c>
      <c r="AN23" s="60">
        <v>53208.37</v>
      </c>
      <c r="AO23" s="60">
        <v>53208.37</v>
      </c>
      <c r="AP23" s="60">
        <v>53208.37</v>
      </c>
      <c r="AQ23" s="60">
        <v>53208.37</v>
      </c>
      <c r="AR23" s="61">
        <f t="shared" si="7"/>
        <v>319250.22000000003</v>
      </c>
      <c r="AS23" s="60">
        <v>53208.37</v>
      </c>
      <c r="AT23" s="60">
        <v>53208.37</v>
      </c>
      <c r="AU23" s="60">
        <v>53208.37</v>
      </c>
      <c r="AV23" s="60">
        <v>53208.37</v>
      </c>
      <c r="AW23" s="60">
        <v>53208.37</v>
      </c>
      <c r="AX23" s="60">
        <v>53208.37</v>
      </c>
      <c r="AY23" s="61">
        <f t="shared" si="8"/>
        <v>319250.22000000003</v>
      </c>
      <c r="AZ23" s="56">
        <f t="shared" si="2"/>
        <v>638500.44000000006</v>
      </c>
      <c r="BA23" s="62">
        <f t="shared" si="14"/>
        <v>6429403.6699999999</v>
      </c>
      <c r="BB23" s="62">
        <f t="shared" si="9"/>
        <v>4203460.8000000026</v>
      </c>
      <c r="BC23" s="62">
        <f t="shared" si="15"/>
        <v>2225942.8699999973</v>
      </c>
      <c r="BD23" s="63"/>
      <c r="BE23" s="57"/>
      <c r="BF23" s="35" t="str">
        <f>VLOOKUP(A:A,'2023-2027'!A:G,1,+FALSE)</f>
        <v>Автомобиль бортовой с г/м Чайка-Сервис 2784LW (КМУ Taurus 086A (сер.№А17К042) на базе, а/м КАМАЗ-43118) ш.ХТС431184Н2502321</v>
      </c>
      <c r="BG23" s="7" t="b">
        <f t="shared" si="19"/>
        <v>1</v>
      </c>
      <c r="BH23" s="35">
        <f>VLOOKUP(A:A,'2023-2027'!A:AT,43,+FALSE)</f>
        <v>53578.359999999993</v>
      </c>
    </row>
    <row r="24" spans="1:60" ht="36" hidden="1" customHeight="1" outlineLevel="1" x14ac:dyDescent="0.2">
      <c r="A24" s="59" t="s">
        <v>185</v>
      </c>
      <c r="B24" s="59" t="s">
        <v>76</v>
      </c>
      <c r="C24" s="59" t="s">
        <v>82</v>
      </c>
      <c r="D24" s="66" t="s">
        <v>186</v>
      </c>
      <c r="E24" s="59" t="s">
        <v>187</v>
      </c>
      <c r="F24" s="60">
        <v>890058.33</v>
      </c>
      <c r="G24" s="60">
        <v>347072.88</v>
      </c>
      <c r="H24" s="60">
        <v>542985.44999999995</v>
      </c>
      <c r="I24" s="59"/>
      <c r="J24" s="60">
        <v>126208.32000000001</v>
      </c>
      <c r="K24" s="59"/>
      <c r="L24" s="59"/>
      <c r="M24" s="60">
        <v>890058.33</v>
      </c>
      <c r="N24" s="60">
        <v>473281.2</v>
      </c>
      <c r="O24" s="60">
        <v>416777.13</v>
      </c>
      <c r="P24" s="55"/>
      <c r="Q24" s="55"/>
      <c r="R24" s="61">
        <f t="shared" si="3"/>
        <v>10517.36</v>
      </c>
      <c r="S24" s="60">
        <v>10517.36</v>
      </c>
      <c r="T24" s="60">
        <v>10517.36</v>
      </c>
      <c r="U24" s="60">
        <v>10517.36</v>
      </c>
      <c r="V24" s="60">
        <v>10517.36</v>
      </c>
      <c r="W24" s="60">
        <v>10517.36</v>
      </c>
      <c r="X24" s="61">
        <f t="shared" si="4"/>
        <v>63104.160000000003</v>
      </c>
      <c r="Y24" s="60">
        <v>10517.36</v>
      </c>
      <c r="Z24" s="60">
        <v>10517.36</v>
      </c>
      <c r="AA24" s="60">
        <v>10517.36</v>
      </c>
      <c r="AB24" s="60">
        <v>10517.36</v>
      </c>
      <c r="AC24" s="60">
        <v>10517.36</v>
      </c>
      <c r="AD24" s="60">
        <v>10517.36</v>
      </c>
      <c r="AE24" s="61">
        <f t="shared" si="5"/>
        <v>63104.160000000003</v>
      </c>
      <c r="AF24" s="62">
        <f t="shared" si="17"/>
        <v>890058.33</v>
      </c>
      <c r="AG24" s="62">
        <f t="shared" si="18"/>
        <v>599489.5199999999</v>
      </c>
      <c r="AH24" s="62">
        <f t="shared" si="13"/>
        <v>290568.81000000006</v>
      </c>
      <c r="AI24" s="63"/>
      <c r="AJ24" s="63"/>
      <c r="AK24" s="62"/>
      <c r="AL24" s="60">
        <v>10517.36</v>
      </c>
      <c r="AM24" s="60">
        <v>10517.36</v>
      </c>
      <c r="AN24" s="60">
        <v>10517.36</v>
      </c>
      <c r="AO24" s="60">
        <v>10517.36</v>
      </c>
      <c r="AP24" s="60">
        <v>10517.36</v>
      </c>
      <c r="AQ24" s="60">
        <v>10517.36</v>
      </c>
      <c r="AR24" s="61">
        <f t="shared" si="7"/>
        <v>63104.160000000003</v>
      </c>
      <c r="AS24" s="60">
        <v>10517.36</v>
      </c>
      <c r="AT24" s="60">
        <v>10517.36</v>
      </c>
      <c r="AU24" s="60">
        <v>10517.36</v>
      </c>
      <c r="AV24" s="60">
        <v>10517.36</v>
      </c>
      <c r="AW24" s="60">
        <v>10517.36</v>
      </c>
      <c r="AX24" s="60">
        <v>10517.36</v>
      </c>
      <c r="AY24" s="61">
        <f t="shared" si="8"/>
        <v>63104.160000000003</v>
      </c>
      <c r="AZ24" s="56">
        <f t="shared" si="2"/>
        <v>126208.32000000001</v>
      </c>
      <c r="BA24" s="62">
        <f t="shared" si="14"/>
        <v>890058.33</v>
      </c>
      <c r="BB24" s="62">
        <f t="shared" si="9"/>
        <v>725697.83999999973</v>
      </c>
      <c r="BC24" s="62">
        <f t="shared" si="15"/>
        <v>164360.49000000022</v>
      </c>
      <c r="BD24" s="63"/>
      <c r="BE24" s="57"/>
      <c r="BF24" s="35" t="str">
        <f>VLOOKUP(A:A,'2023-2027'!A:G,1,+FALSE)</f>
        <v>Автомобиль ГАЗ-27527 грузовой фургон цельнометалический (7 мест) VIN: X96275270K0869981</v>
      </c>
      <c r="BG24" s="7" t="b">
        <f t="shared" si="19"/>
        <v>1</v>
      </c>
      <c r="BH24" s="35">
        <f>VLOOKUP(A:A,'2023-2027'!A:AT,43,+FALSE)</f>
        <v>10595.929999999998</v>
      </c>
    </row>
    <row r="25" spans="1:60" ht="36" hidden="1" customHeight="1" outlineLevel="1" x14ac:dyDescent="0.2">
      <c r="A25" s="59" t="s">
        <v>188</v>
      </c>
      <c r="B25" s="59" t="s">
        <v>76</v>
      </c>
      <c r="C25" s="59" t="s">
        <v>82</v>
      </c>
      <c r="D25" s="66" t="s">
        <v>189</v>
      </c>
      <c r="E25" s="59" t="s">
        <v>187</v>
      </c>
      <c r="F25" s="60">
        <v>890058.33</v>
      </c>
      <c r="G25" s="60">
        <v>347072.88</v>
      </c>
      <c r="H25" s="60">
        <v>542985.44999999995</v>
      </c>
      <c r="I25" s="59"/>
      <c r="J25" s="60">
        <v>126208.32000000001</v>
      </c>
      <c r="K25" s="59"/>
      <c r="L25" s="59"/>
      <c r="M25" s="60">
        <v>890058.33</v>
      </c>
      <c r="N25" s="60">
        <v>473281.2</v>
      </c>
      <c r="O25" s="60">
        <v>416777.13</v>
      </c>
      <c r="P25" s="55"/>
      <c r="Q25" s="55"/>
      <c r="R25" s="61">
        <f t="shared" si="3"/>
        <v>10517.36</v>
      </c>
      <c r="S25" s="60">
        <v>10517.36</v>
      </c>
      <c r="T25" s="60">
        <v>10517.36</v>
      </c>
      <c r="U25" s="60">
        <v>10517.36</v>
      </c>
      <c r="V25" s="60">
        <v>10517.36</v>
      </c>
      <c r="W25" s="60">
        <v>10517.36</v>
      </c>
      <c r="X25" s="61">
        <f t="shared" si="4"/>
        <v>63104.160000000003</v>
      </c>
      <c r="Y25" s="60">
        <v>10517.36</v>
      </c>
      <c r="Z25" s="60">
        <v>10517.36</v>
      </c>
      <c r="AA25" s="60">
        <v>10517.36</v>
      </c>
      <c r="AB25" s="60">
        <v>10517.36</v>
      </c>
      <c r="AC25" s="60">
        <v>10517.36</v>
      </c>
      <c r="AD25" s="60">
        <v>10517.36</v>
      </c>
      <c r="AE25" s="61">
        <f t="shared" si="5"/>
        <v>63104.160000000003</v>
      </c>
      <c r="AF25" s="62">
        <f t="shared" si="17"/>
        <v>890058.33</v>
      </c>
      <c r="AG25" s="62">
        <f t="shared" si="18"/>
        <v>599489.5199999999</v>
      </c>
      <c r="AH25" s="62">
        <f t="shared" si="13"/>
        <v>290568.81000000006</v>
      </c>
      <c r="AI25" s="63"/>
      <c r="AJ25" s="63"/>
      <c r="AK25" s="62"/>
      <c r="AL25" s="60">
        <v>10517.36</v>
      </c>
      <c r="AM25" s="60">
        <v>10517.36</v>
      </c>
      <c r="AN25" s="60">
        <v>10517.36</v>
      </c>
      <c r="AO25" s="60">
        <v>10517.36</v>
      </c>
      <c r="AP25" s="60">
        <v>10517.36</v>
      </c>
      <c r="AQ25" s="60">
        <v>10517.36</v>
      </c>
      <c r="AR25" s="61">
        <f t="shared" si="7"/>
        <v>63104.160000000003</v>
      </c>
      <c r="AS25" s="60">
        <v>10517.36</v>
      </c>
      <c r="AT25" s="60">
        <v>10517.36</v>
      </c>
      <c r="AU25" s="60">
        <v>10517.36</v>
      </c>
      <c r="AV25" s="60">
        <v>10517.36</v>
      </c>
      <c r="AW25" s="60">
        <v>10517.36</v>
      </c>
      <c r="AX25" s="60">
        <v>10517.36</v>
      </c>
      <c r="AY25" s="61">
        <f t="shared" si="8"/>
        <v>63104.160000000003</v>
      </c>
      <c r="AZ25" s="56">
        <f t="shared" si="2"/>
        <v>126208.32000000001</v>
      </c>
      <c r="BA25" s="62">
        <f t="shared" si="14"/>
        <v>890058.33</v>
      </c>
      <c r="BB25" s="62">
        <f t="shared" si="9"/>
        <v>725697.83999999973</v>
      </c>
      <c r="BC25" s="62">
        <f t="shared" si="15"/>
        <v>164360.49000000022</v>
      </c>
      <c r="BD25" s="63"/>
      <c r="BE25" s="57"/>
      <c r="BF25" s="35" t="str">
        <f>VLOOKUP(A:A,'2023-2027'!A:G,1,+FALSE)</f>
        <v>Автомобиль ГАЗ-27527 грузовой фургон цельнометалический (7 мест) VIN: X96275270K0870291</v>
      </c>
      <c r="BG25" s="7" t="b">
        <f t="shared" si="19"/>
        <v>1</v>
      </c>
      <c r="BH25" s="35">
        <f>VLOOKUP(A:A,'2023-2027'!A:AT,43,+FALSE)</f>
        <v>10595.929999999998</v>
      </c>
    </row>
    <row r="26" spans="1:60" ht="36" hidden="1" customHeight="1" outlineLevel="1" x14ac:dyDescent="0.2">
      <c r="A26" s="59" t="s">
        <v>190</v>
      </c>
      <c r="B26" s="59" t="s">
        <v>76</v>
      </c>
      <c r="C26" s="59" t="s">
        <v>82</v>
      </c>
      <c r="D26" s="66" t="s">
        <v>191</v>
      </c>
      <c r="E26" s="59" t="s">
        <v>187</v>
      </c>
      <c r="F26" s="60">
        <v>890058.33</v>
      </c>
      <c r="G26" s="60">
        <v>347072.88</v>
      </c>
      <c r="H26" s="60">
        <v>542985.44999999995</v>
      </c>
      <c r="I26" s="59"/>
      <c r="J26" s="60">
        <v>126208.32000000001</v>
      </c>
      <c r="K26" s="59"/>
      <c r="L26" s="59"/>
      <c r="M26" s="60">
        <v>890058.33</v>
      </c>
      <c r="N26" s="60">
        <v>473281.2</v>
      </c>
      <c r="O26" s="60">
        <v>416777.13</v>
      </c>
      <c r="P26" s="55"/>
      <c r="Q26" s="55"/>
      <c r="R26" s="61">
        <f t="shared" si="3"/>
        <v>10517.36</v>
      </c>
      <c r="S26" s="60">
        <v>10517.36</v>
      </c>
      <c r="T26" s="60">
        <v>10517.36</v>
      </c>
      <c r="U26" s="60">
        <v>10517.36</v>
      </c>
      <c r="V26" s="60">
        <v>10517.36</v>
      </c>
      <c r="W26" s="60">
        <v>10517.36</v>
      </c>
      <c r="X26" s="61">
        <f t="shared" si="4"/>
        <v>63104.160000000003</v>
      </c>
      <c r="Y26" s="60">
        <v>10517.36</v>
      </c>
      <c r="Z26" s="60">
        <v>10517.36</v>
      </c>
      <c r="AA26" s="60">
        <v>10517.36</v>
      </c>
      <c r="AB26" s="60">
        <v>10517.36</v>
      </c>
      <c r="AC26" s="60">
        <v>10517.36</v>
      </c>
      <c r="AD26" s="60">
        <v>10517.36</v>
      </c>
      <c r="AE26" s="61">
        <f t="shared" si="5"/>
        <v>63104.160000000003</v>
      </c>
      <c r="AF26" s="62">
        <f t="shared" si="17"/>
        <v>890058.33</v>
      </c>
      <c r="AG26" s="62">
        <f t="shared" si="18"/>
        <v>599489.5199999999</v>
      </c>
      <c r="AH26" s="62">
        <f t="shared" si="13"/>
        <v>290568.81000000006</v>
      </c>
      <c r="AI26" s="63"/>
      <c r="AJ26" s="63"/>
      <c r="AK26" s="62"/>
      <c r="AL26" s="60">
        <v>10517.36</v>
      </c>
      <c r="AM26" s="60">
        <v>10517.36</v>
      </c>
      <c r="AN26" s="60">
        <v>10517.36</v>
      </c>
      <c r="AO26" s="60">
        <v>10517.36</v>
      </c>
      <c r="AP26" s="60">
        <v>10517.36</v>
      </c>
      <c r="AQ26" s="60">
        <v>10517.36</v>
      </c>
      <c r="AR26" s="61">
        <f t="shared" si="7"/>
        <v>63104.160000000003</v>
      </c>
      <c r="AS26" s="60">
        <v>10517.36</v>
      </c>
      <c r="AT26" s="60">
        <v>10517.36</v>
      </c>
      <c r="AU26" s="60">
        <v>10517.36</v>
      </c>
      <c r="AV26" s="60">
        <v>10517.36</v>
      </c>
      <c r="AW26" s="60">
        <v>10517.36</v>
      </c>
      <c r="AX26" s="60">
        <v>10517.36</v>
      </c>
      <c r="AY26" s="61">
        <f t="shared" si="8"/>
        <v>63104.160000000003</v>
      </c>
      <c r="AZ26" s="56">
        <f t="shared" si="2"/>
        <v>126208.32000000001</v>
      </c>
      <c r="BA26" s="62">
        <f t="shared" si="14"/>
        <v>890058.33</v>
      </c>
      <c r="BB26" s="62">
        <f t="shared" si="9"/>
        <v>725697.83999999973</v>
      </c>
      <c r="BC26" s="62">
        <f t="shared" si="15"/>
        <v>164360.49000000022</v>
      </c>
      <c r="BD26" s="63"/>
      <c r="BE26" s="57"/>
      <c r="BF26" s="35" t="str">
        <f>VLOOKUP(A:A,'2023-2027'!A:G,1,+FALSE)</f>
        <v>Автомобиль ГАЗ-27527 грузовой фургон цельнометалический (7 мест) VIN: X96275270K0870721</v>
      </c>
      <c r="BG26" s="7" t="b">
        <f t="shared" si="19"/>
        <v>1</v>
      </c>
      <c r="BH26" s="35">
        <f>VLOOKUP(A:A,'2023-2027'!A:AT,43,+FALSE)</f>
        <v>10595.929999999998</v>
      </c>
    </row>
    <row r="27" spans="1:60" ht="12" hidden="1" customHeight="1" outlineLevel="1" x14ac:dyDescent="0.2">
      <c r="A27" s="59" t="s">
        <v>192</v>
      </c>
      <c r="B27" s="59" t="s">
        <v>76</v>
      </c>
      <c r="C27" s="59" t="s">
        <v>82</v>
      </c>
      <c r="D27" s="65" t="s">
        <v>193</v>
      </c>
      <c r="E27" s="59" t="s">
        <v>194</v>
      </c>
      <c r="F27" s="60">
        <v>112994.4</v>
      </c>
      <c r="G27" s="60">
        <v>86428.160000000003</v>
      </c>
      <c r="H27" s="60">
        <v>26566.240000000002</v>
      </c>
      <c r="I27" s="59"/>
      <c r="J27" s="60">
        <v>10583.14</v>
      </c>
      <c r="K27" s="59"/>
      <c r="L27" s="59"/>
      <c r="M27" s="60">
        <v>112994.4</v>
      </c>
      <c r="N27" s="60">
        <v>97011.3</v>
      </c>
      <c r="O27" s="60">
        <v>15983.1</v>
      </c>
      <c r="P27" s="55"/>
      <c r="Q27" s="55"/>
      <c r="R27" s="61">
        <f t="shared" si="3"/>
        <v>881.92833333333328</v>
      </c>
      <c r="S27" s="60">
        <v>881.92833329999996</v>
      </c>
      <c r="T27" s="60">
        <v>881.92833329999996</v>
      </c>
      <c r="U27" s="60">
        <v>881.92833329999996</v>
      </c>
      <c r="V27" s="60">
        <v>881.92833329999996</v>
      </c>
      <c r="W27" s="60">
        <v>881.92833329999996</v>
      </c>
      <c r="X27" s="61">
        <f t="shared" si="4"/>
        <v>5291.569999833333</v>
      </c>
      <c r="Y27" s="60">
        <v>881.92833329999996</v>
      </c>
      <c r="Z27" s="60">
        <v>881.92833329999996</v>
      </c>
      <c r="AA27" s="60">
        <v>881.92833329999996</v>
      </c>
      <c r="AB27" s="60">
        <v>881.92833329999996</v>
      </c>
      <c r="AC27" s="60">
        <v>881.92833329999996</v>
      </c>
      <c r="AD27" s="60">
        <v>881.92833329999996</v>
      </c>
      <c r="AE27" s="61">
        <f t="shared" si="5"/>
        <v>5291.5699998</v>
      </c>
      <c r="AF27" s="62">
        <f t="shared" si="17"/>
        <v>112994.4</v>
      </c>
      <c r="AG27" s="62">
        <f t="shared" si="18"/>
        <v>107594.4399996334</v>
      </c>
      <c r="AH27" s="62">
        <f t="shared" si="13"/>
        <v>5399.9600003665983</v>
      </c>
      <c r="AI27" s="63"/>
      <c r="AJ27" s="63"/>
      <c r="AK27" s="62"/>
      <c r="AL27" s="60">
        <v>881.92833329999996</v>
      </c>
      <c r="AM27" s="60">
        <v>881.92833329999996</v>
      </c>
      <c r="AN27" s="60">
        <v>881.92833329999996</v>
      </c>
      <c r="AO27" s="60">
        <v>881.92833329999996</v>
      </c>
      <c r="AP27" s="60">
        <v>881.92833329999996</v>
      </c>
      <c r="AQ27" s="60">
        <v>881.92833329999996</v>
      </c>
      <c r="AR27" s="61">
        <f t="shared" si="7"/>
        <v>5291.5699998</v>
      </c>
      <c r="AS27" s="60">
        <v>108.39</v>
      </c>
      <c r="AT27" s="60"/>
      <c r="AU27" s="60"/>
      <c r="AV27" s="60"/>
      <c r="AW27" s="60"/>
      <c r="AX27" s="60"/>
      <c r="AY27" s="61">
        <f t="shared" si="8"/>
        <v>108.39</v>
      </c>
      <c r="AZ27" s="56">
        <f t="shared" si="2"/>
        <v>5399.9599998000003</v>
      </c>
      <c r="BA27" s="62">
        <f t="shared" si="14"/>
        <v>112994.4</v>
      </c>
      <c r="BB27" s="62">
        <f t="shared" si="9"/>
        <v>112994.39999943343</v>
      </c>
      <c r="BC27" s="62">
        <f t="shared" si="15"/>
        <v>5.6656426750123501E-7</v>
      </c>
      <c r="BD27" s="63"/>
      <c r="BE27" s="57"/>
      <c r="BF27" s="35" t="e">
        <f>VLOOKUP(A:A,'2023-2027'!A:G,1,+FALSE)</f>
        <v>#N/A</v>
      </c>
      <c r="BG27" s="7" t="e">
        <f t="shared" si="19"/>
        <v>#N/A</v>
      </c>
      <c r="BH27" s="35"/>
    </row>
    <row r="28" spans="1:60" ht="12" hidden="1" customHeight="1" outlineLevel="1" x14ac:dyDescent="0.2">
      <c r="A28" s="59" t="s">
        <v>195</v>
      </c>
      <c r="B28" s="59" t="s">
        <v>76</v>
      </c>
      <c r="C28" s="59" t="s">
        <v>82</v>
      </c>
      <c r="D28" s="65" t="s">
        <v>196</v>
      </c>
      <c r="E28" s="59" t="s">
        <v>197</v>
      </c>
      <c r="F28" s="60">
        <v>70704.11</v>
      </c>
      <c r="G28" s="60">
        <v>36849.599999999999</v>
      </c>
      <c r="H28" s="60">
        <v>33854.51</v>
      </c>
      <c r="I28" s="59"/>
      <c r="J28" s="60">
        <v>5527.25</v>
      </c>
      <c r="K28" s="59"/>
      <c r="L28" s="59"/>
      <c r="M28" s="60">
        <v>70704.11</v>
      </c>
      <c r="N28" s="60">
        <v>42376.85</v>
      </c>
      <c r="O28" s="60">
        <v>28327.26</v>
      </c>
      <c r="P28" s="55"/>
      <c r="Q28" s="55"/>
      <c r="R28" s="61">
        <f t="shared" si="3"/>
        <v>460.60416666666669</v>
      </c>
      <c r="S28" s="60">
        <v>460.60416670000001</v>
      </c>
      <c r="T28" s="60">
        <v>460.60416670000001</v>
      </c>
      <c r="U28" s="60">
        <v>460.60416670000001</v>
      </c>
      <c r="V28" s="60">
        <v>460.60416670000001</v>
      </c>
      <c r="W28" s="60">
        <v>460.60416670000001</v>
      </c>
      <c r="X28" s="61">
        <f t="shared" si="4"/>
        <v>2763.6250001666667</v>
      </c>
      <c r="Y28" s="60">
        <v>460.60416670000001</v>
      </c>
      <c r="Z28" s="60">
        <v>460.60416670000001</v>
      </c>
      <c r="AA28" s="60">
        <v>460.60416670000001</v>
      </c>
      <c r="AB28" s="60">
        <v>460.60416670000001</v>
      </c>
      <c r="AC28" s="60">
        <v>460.60416670000001</v>
      </c>
      <c r="AD28" s="60">
        <v>460.60416670000001</v>
      </c>
      <c r="AE28" s="61">
        <f t="shared" si="5"/>
        <v>2763.6250002000002</v>
      </c>
      <c r="AF28" s="62">
        <f t="shared" si="17"/>
        <v>70704.11</v>
      </c>
      <c r="AG28" s="62">
        <f t="shared" si="18"/>
        <v>47904.100000366692</v>
      </c>
      <c r="AH28" s="62">
        <f t="shared" si="13"/>
        <v>22800.009999633308</v>
      </c>
      <c r="AI28" s="63"/>
      <c r="AJ28" s="63"/>
      <c r="AK28" s="62"/>
      <c r="AL28" s="60">
        <v>460.60416670000001</v>
      </c>
      <c r="AM28" s="60">
        <v>460.60416670000001</v>
      </c>
      <c r="AN28" s="60">
        <v>460.60416670000001</v>
      </c>
      <c r="AO28" s="60">
        <v>460.60416670000001</v>
      </c>
      <c r="AP28" s="60">
        <v>460.60416670000001</v>
      </c>
      <c r="AQ28" s="60">
        <v>460.60416670000001</v>
      </c>
      <c r="AR28" s="61">
        <f t="shared" si="7"/>
        <v>2763.6250002000002</v>
      </c>
      <c r="AS28" s="60">
        <v>460.60416670000001</v>
      </c>
      <c r="AT28" s="60">
        <v>460.60416670000001</v>
      </c>
      <c r="AU28" s="60">
        <v>460.60416670000001</v>
      </c>
      <c r="AV28" s="60">
        <v>460.60416670000001</v>
      </c>
      <c r="AW28" s="60">
        <v>460.60416670000001</v>
      </c>
      <c r="AX28" s="60">
        <v>460.60416670000001</v>
      </c>
      <c r="AY28" s="61">
        <f t="shared" si="8"/>
        <v>2763.6250002000002</v>
      </c>
      <c r="AZ28" s="56">
        <f t="shared" si="2"/>
        <v>5527.2500004000003</v>
      </c>
      <c r="BA28" s="62">
        <f t="shared" si="14"/>
        <v>70704.11</v>
      </c>
      <c r="BB28" s="62">
        <f t="shared" si="9"/>
        <v>53431.350000766724</v>
      </c>
      <c r="BC28" s="62">
        <f t="shared" si="15"/>
        <v>17272.759999233276</v>
      </c>
      <c r="BD28" s="63"/>
      <c r="BE28" s="57"/>
      <c r="BF28" s="35" t="e">
        <f>VLOOKUP(A:A,'2023-2027'!A:G,1,+FALSE)</f>
        <v>#N/A</v>
      </c>
      <c r="BG28" s="7" t="e">
        <f t="shared" si="19"/>
        <v>#N/A</v>
      </c>
      <c r="BH28" s="35"/>
    </row>
    <row r="29" spans="1:60" ht="24" hidden="1" customHeight="1" outlineLevel="1" x14ac:dyDescent="0.2">
      <c r="A29" s="59" t="s">
        <v>198</v>
      </c>
      <c r="B29" s="59" t="s">
        <v>76</v>
      </c>
      <c r="C29" s="59" t="s">
        <v>82</v>
      </c>
      <c r="D29" s="66" t="s">
        <v>199</v>
      </c>
      <c r="E29" s="59" t="s">
        <v>200</v>
      </c>
      <c r="F29" s="60">
        <v>835229.83</v>
      </c>
      <c r="G29" s="60">
        <v>485476.74</v>
      </c>
      <c r="H29" s="60">
        <v>349753.09</v>
      </c>
      <c r="I29" s="59"/>
      <c r="J29" s="60">
        <v>20880.810000000001</v>
      </c>
      <c r="K29" s="59"/>
      <c r="L29" s="59"/>
      <c r="M29" s="60">
        <v>835229.83</v>
      </c>
      <c r="N29" s="60">
        <v>506357.55</v>
      </c>
      <c r="O29" s="60">
        <v>328872.28000000003</v>
      </c>
      <c r="P29" s="55">
        <v>339312.68</v>
      </c>
      <c r="Q29" s="55">
        <f>P29*Q4</f>
        <v>7464.8789599999991</v>
      </c>
      <c r="R29" s="61">
        <f t="shared" si="3"/>
        <v>1740.0675000000001</v>
      </c>
      <c r="S29" s="60">
        <v>1740.0675000000001</v>
      </c>
      <c r="T29" s="60">
        <v>1740.0675000000001</v>
      </c>
      <c r="U29" s="60">
        <v>1740.0675000000001</v>
      </c>
      <c r="V29" s="60">
        <v>1740.0675000000001</v>
      </c>
      <c r="W29" s="60">
        <v>1740.0675000000001</v>
      </c>
      <c r="X29" s="61">
        <f t="shared" si="4"/>
        <v>10440.405000000002</v>
      </c>
      <c r="Y29" s="60">
        <v>1740.0675000000001</v>
      </c>
      <c r="Z29" s="60">
        <v>1740.0675000000001</v>
      </c>
      <c r="AA29" s="60">
        <v>1740.0675000000001</v>
      </c>
      <c r="AB29" s="60">
        <v>1740.0675000000001</v>
      </c>
      <c r="AC29" s="60">
        <v>1740.0675000000001</v>
      </c>
      <c r="AD29" s="60">
        <v>1740.0675000000001</v>
      </c>
      <c r="AE29" s="61">
        <f t="shared" si="5"/>
        <v>10440.405000000002</v>
      </c>
      <c r="AF29" s="62">
        <f t="shared" si="17"/>
        <v>835229.83</v>
      </c>
      <c r="AG29" s="62">
        <f t="shared" si="18"/>
        <v>527238.36</v>
      </c>
      <c r="AH29" s="62">
        <f t="shared" si="13"/>
        <v>307991.46999999997</v>
      </c>
      <c r="AI29" s="63">
        <v>318431.86</v>
      </c>
      <c r="AJ29" s="63">
        <f>AI29*2.2%</f>
        <v>7005.5009200000004</v>
      </c>
      <c r="AK29" s="62"/>
      <c r="AL29" s="60">
        <v>1740.0675000000001</v>
      </c>
      <c r="AM29" s="60">
        <v>1740.0675000000001</v>
      </c>
      <c r="AN29" s="60">
        <v>1740.0675000000001</v>
      </c>
      <c r="AO29" s="60">
        <v>1740.0675000000001</v>
      </c>
      <c r="AP29" s="60">
        <v>1740.0675000000001</v>
      </c>
      <c r="AQ29" s="60">
        <v>1740.0675000000001</v>
      </c>
      <c r="AR29" s="61">
        <f t="shared" si="7"/>
        <v>10440.405000000002</v>
      </c>
      <c r="AS29" s="60">
        <v>1740.0675000000001</v>
      </c>
      <c r="AT29" s="60">
        <v>1740.0675000000001</v>
      </c>
      <c r="AU29" s="60">
        <v>1740.0675000000001</v>
      </c>
      <c r="AV29" s="60">
        <v>1740.0675000000001</v>
      </c>
      <c r="AW29" s="60">
        <v>1740.0675000000001</v>
      </c>
      <c r="AX29" s="60">
        <v>1740.0675000000001</v>
      </c>
      <c r="AY29" s="61">
        <f t="shared" si="8"/>
        <v>10440.405000000002</v>
      </c>
      <c r="AZ29" s="56">
        <f t="shared" si="2"/>
        <v>20880.810000000005</v>
      </c>
      <c r="BA29" s="62">
        <f t="shared" si="14"/>
        <v>835229.83</v>
      </c>
      <c r="BB29" s="62">
        <f t="shared" si="9"/>
        <v>548119.17000000004</v>
      </c>
      <c r="BC29" s="62">
        <f t="shared" si="15"/>
        <v>287110.65999999992</v>
      </c>
      <c r="BD29" s="63">
        <v>297551.0199999999</v>
      </c>
      <c r="BE29" s="57">
        <f>BD29*2.2%</f>
        <v>6546.1224399999983</v>
      </c>
      <c r="BF29" s="35" t="str">
        <f>VLOOKUP(A:A,'2023-2027'!A:G,1,+FALSE)</f>
        <v>Гараж 3-секционный от Н-Мстрой</v>
      </c>
      <c r="BG29" s="7" t="b">
        <f t="shared" si="19"/>
        <v>1</v>
      </c>
      <c r="BH29" s="35">
        <f>VLOOKUP(A:A,'2023-2027'!A:AT,43,+FALSE)</f>
        <v>2600.4899999999998</v>
      </c>
    </row>
    <row r="30" spans="1:60" ht="12" hidden="1" customHeight="1" outlineLevel="1" x14ac:dyDescent="0.2">
      <c r="A30" s="59" t="s">
        <v>201</v>
      </c>
      <c r="B30" s="59" t="s">
        <v>76</v>
      </c>
      <c r="C30" s="59" t="s">
        <v>82</v>
      </c>
      <c r="D30" s="65" t="s">
        <v>202</v>
      </c>
      <c r="E30" s="59" t="s">
        <v>203</v>
      </c>
      <c r="F30" s="60">
        <v>1449374.74</v>
      </c>
      <c r="G30" s="60">
        <v>652218.48</v>
      </c>
      <c r="H30" s="60">
        <v>797156.26</v>
      </c>
      <c r="I30" s="59"/>
      <c r="J30" s="60">
        <v>36234.36</v>
      </c>
      <c r="K30" s="59"/>
      <c r="L30" s="59"/>
      <c r="M30" s="60">
        <v>1449374.74</v>
      </c>
      <c r="N30" s="60">
        <v>688452.84</v>
      </c>
      <c r="O30" s="60">
        <v>760921.9</v>
      </c>
      <c r="P30" s="55">
        <v>779039.08</v>
      </c>
      <c r="Q30" s="55">
        <f>P30*Q4</f>
        <v>17138.859759999999</v>
      </c>
      <c r="R30" s="61">
        <f t="shared" si="3"/>
        <v>3019.53</v>
      </c>
      <c r="S30" s="60">
        <v>3019.53</v>
      </c>
      <c r="T30" s="60">
        <v>3019.53</v>
      </c>
      <c r="U30" s="60">
        <v>3019.53</v>
      </c>
      <c r="V30" s="60">
        <v>3019.53</v>
      </c>
      <c r="W30" s="60">
        <v>3019.53</v>
      </c>
      <c r="X30" s="61">
        <f t="shared" si="4"/>
        <v>18117.18</v>
      </c>
      <c r="Y30" s="60">
        <v>3019.53</v>
      </c>
      <c r="Z30" s="60">
        <v>3019.53</v>
      </c>
      <c r="AA30" s="60">
        <v>3019.53</v>
      </c>
      <c r="AB30" s="60">
        <v>3019.53</v>
      </c>
      <c r="AC30" s="60">
        <v>3019.53</v>
      </c>
      <c r="AD30" s="60">
        <v>3019.53</v>
      </c>
      <c r="AE30" s="61">
        <f t="shared" si="5"/>
        <v>18117.18</v>
      </c>
      <c r="AF30" s="62">
        <f t="shared" si="17"/>
        <v>1449374.74</v>
      </c>
      <c r="AG30" s="62">
        <f t="shared" si="18"/>
        <v>724687.2000000003</v>
      </c>
      <c r="AH30" s="62">
        <f t="shared" si="13"/>
        <v>724687.53999999969</v>
      </c>
      <c r="AI30" s="63">
        <v>742804.71999999986</v>
      </c>
      <c r="AJ30" s="63">
        <f t="shared" ref="AJ30:AJ31" si="20">AI30*2.2%</f>
        <v>16341.703839999998</v>
      </c>
      <c r="AK30" s="62"/>
      <c r="AL30" s="60">
        <v>3019.53</v>
      </c>
      <c r="AM30" s="60">
        <v>3019.53</v>
      </c>
      <c r="AN30" s="60">
        <v>3019.53</v>
      </c>
      <c r="AO30" s="60">
        <v>3019.53</v>
      </c>
      <c r="AP30" s="60">
        <v>3019.53</v>
      </c>
      <c r="AQ30" s="60">
        <v>3019.53</v>
      </c>
      <c r="AR30" s="61">
        <f t="shared" si="7"/>
        <v>18117.18</v>
      </c>
      <c r="AS30" s="60">
        <v>3019.53</v>
      </c>
      <c r="AT30" s="60">
        <v>3019.53</v>
      </c>
      <c r="AU30" s="60">
        <v>3019.53</v>
      </c>
      <c r="AV30" s="60">
        <v>3019.53</v>
      </c>
      <c r="AW30" s="60">
        <v>3019.53</v>
      </c>
      <c r="AX30" s="60">
        <v>3019.53</v>
      </c>
      <c r="AY30" s="61">
        <f t="shared" si="8"/>
        <v>18117.18</v>
      </c>
      <c r="AZ30" s="56">
        <f t="shared" si="2"/>
        <v>36234.36</v>
      </c>
      <c r="BA30" s="62">
        <f t="shared" si="14"/>
        <v>1449374.74</v>
      </c>
      <c r="BB30" s="62">
        <f t="shared" si="9"/>
        <v>760921.56000000064</v>
      </c>
      <c r="BC30" s="62">
        <f t="shared" si="15"/>
        <v>688453.17999999935</v>
      </c>
      <c r="BD30" s="63">
        <v>706570.35999999952</v>
      </c>
      <c r="BE30" s="57">
        <f t="shared" ref="BE30:BE31" si="21">BD30*2.2%</f>
        <v>15544.547919999992</v>
      </c>
      <c r="BF30" s="35" t="str">
        <f>VLOOKUP(A:A,'2023-2027'!A:G,1,+FALSE)</f>
        <v>Гараж на 5 машин  1989г</v>
      </c>
      <c r="BG30" s="7" t="b">
        <f t="shared" si="19"/>
        <v>1</v>
      </c>
      <c r="BH30" s="35">
        <f>VLOOKUP(A:A,'2023-2027'!A:AT,43,+FALSE)</f>
        <v>3459.36</v>
      </c>
    </row>
    <row r="31" spans="1:60" ht="12" hidden="1" customHeight="1" outlineLevel="1" x14ac:dyDescent="0.2">
      <c r="A31" s="59" t="s">
        <v>204</v>
      </c>
      <c r="B31" s="59" t="s">
        <v>76</v>
      </c>
      <c r="C31" s="59" t="s">
        <v>82</v>
      </c>
      <c r="D31" s="66" t="s">
        <v>205</v>
      </c>
      <c r="E31" s="59" t="s">
        <v>182</v>
      </c>
      <c r="F31" s="60">
        <v>1142387.3600000001</v>
      </c>
      <c r="G31" s="60">
        <v>647353.19999999995</v>
      </c>
      <c r="H31" s="60">
        <v>495034.16</v>
      </c>
      <c r="I31" s="59"/>
      <c r="J31" s="60">
        <v>45695.47</v>
      </c>
      <c r="K31" s="59"/>
      <c r="L31" s="59"/>
      <c r="M31" s="60">
        <v>1142387.3600000001</v>
      </c>
      <c r="N31" s="60">
        <v>693048.67</v>
      </c>
      <c r="O31" s="60">
        <v>449338.69</v>
      </c>
      <c r="P31" s="55">
        <v>472186.42</v>
      </c>
      <c r="Q31" s="55">
        <f>P31*Q4</f>
        <v>10388.101239999998</v>
      </c>
      <c r="R31" s="61">
        <f t="shared" si="3"/>
        <v>3807.9558333333334</v>
      </c>
      <c r="S31" s="60">
        <v>3807.955833</v>
      </c>
      <c r="T31" s="60">
        <v>3807.955833</v>
      </c>
      <c r="U31" s="60">
        <v>3807.955833</v>
      </c>
      <c r="V31" s="60">
        <v>3807.955833</v>
      </c>
      <c r="W31" s="60">
        <v>3807.955833</v>
      </c>
      <c r="X31" s="61">
        <f t="shared" si="4"/>
        <v>22847.734998333333</v>
      </c>
      <c r="Y31" s="60">
        <v>3807.955833</v>
      </c>
      <c r="Z31" s="60">
        <v>3807.955833</v>
      </c>
      <c r="AA31" s="60">
        <v>3807.955833</v>
      </c>
      <c r="AB31" s="60">
        <v>3807.955833</v>
      </c>
      <c r="AC31" s="60">
        <v>3807.955833</v>
      </c>
      <c r="AD31" s="60">
        <v>3807.955833</v>
      </c>
      <c r="AE31" s="61">
        <f t="shared" si="5"/>
        <v>22847.734998</v>
      </c>
      <c r="AF31" s="62">
        <f t="shared" si="17"/>
        <v>1142387.3600000001</v>
      </c>
      <c r="AG31" s="62">
        <f t="shared" si="18"/>
        <v>738744.13999633351</v>
      </c>
      <c r="AH31" s="62">
        <f t="shared" si="13"/>
        <v>403643.22000366659</v>
      </c>
      <c r="AI31" s="63">
        <v>426490.93000000034</v>
      </c>
      <c r="AJ31" s="63">
        <f t="shared" si="20"/>
        <v>9382.8004600000077</v>
      </c>
      <c r="AK31" s="62"/>
      <c r="AL31" s="60">
        <v>3807.955833</v>
      </c>
      <c r="AM31" s="60">
        <v>3807.955833</v>
      </c>
      <c r="AN31" s="60">
        <v>3807.955833</v>
      </c>
      <c r="AO31" s="60">
        <v>3807.955833</v>
      </c>
      <c r="AP31" s="60">
        <v>3807.955833</v>
      </c>
      <c r="AQ31" s="60">
        <v>3807.955833</v>
      </c>
      <c r="AR31" s="61">
        <f t="shared" si="7"/>
        <v>22847.734998</v>
      </c>
      <c r="AS31" s="60">
        <v>3807.955833</v>
      </c>
      <c r="AT31" s="60">
        <v>3807.955833</v>
      </c>
      <c r="AU31" s="60">
        <v>3807.955833</v>
      </c>
      <c r="AV31" s="60">
        <v>3807.955833</v>
      </c>
      <c r="AW31" s="60">
        <v>3807.955833</v>
      </c>
      <c r="AX31" s="60">
        <v>3807.955833</v>
      </c>
      <c r="AY31" s="61">
        <f t="shared" si="8"/>
        <v>22847.734998</v>
      </c>
      <c r="AZ31" s="56">
        <f t="shared" si="2"/>
        <v>45695.469996</v>
      </c>
      <c r="BA31" s="62">
        <f t="shared" si="14"/>
        <v>1142387.3600000001</v>
      </c>
      <c r="BB31" s="62">
        <f t="shared" si="9"/>
        <v>784439.60999233369</v>
      </c>
      <c r="BC31" s="62">
        <f t="shared" si="15"/>
        <v>357947.75000766641</v>
      </c>
      <c r="BD31" s="63">
        <v>380795.41000000073</v>
      </c>
      <c r="BE31" s="57">
        <f t="shared" si="21"/>
        <v>8377.4990200000175</v>
      </c>
      <c r="BF31" s="35" t="str">
        <f>VLOOKUP(A:A,'2023-2027'!A:G,1,+FALSE)</f>
        <v>Гаражный бокс 2007г</v>
      </c>
      <c r="BG31" s="7" t="b">
        <f t="shared" si="19"/>
        <v>1</v>
      </c>
      <c r="BH31" s="35">
        <f>VLOOKUP(A:A,'2023-2027'!A:AT,43,+FALSE)</f>
        <v>4024.1600000000012</v>
      </c>
    </row>
    <row r="32" spans="1:60" ht="24" hidden="1" customHeight="1" outlineLevel="1" x14ac:dyDescent="0.2">
      <c r="A32" s="59" t="s">
        <v>206</v>
      </c>
      <c r="B32" s="59" t="s">
        <v>76</v>
      </c>
      <c r="C32" s="59" t="s">
        <v>82</v>
      </c>
      <c r="D32" s="66" t="s">
        <v>207</v>
      </c>
      <c r="E32" s="59" t="s">
        <v>208</v>
      </c>
      <c r="F32" s="60">
        <v>130523.72</v>
      </c>
      <c r="G32" s="60">
        <v>45683.4</v>
      </c>
      <c r="H32" s="60">
        <v>84840.320000000007</v>
      </c>
      <c r="I32" s="59"/>
      <c r="J32" s="60">
        <v>26104.68</v>
      </c>
      <c r="K32" s="59"/>
      <c r="L32" s="59"/>
      <c r="M32" s="60">
        <v>130523.72</v>
      </c>
      <c r="N32" s="60">
        <v>71788.08</v>
      </c>
      <c r="O32" s="60">
        <v>58735.64</v>
      </c>
      <c r="P32" s="55"/>
      <c r="Q32" s="55"/>
      <c r="R32" s="61">
        <f t="shared" si="3"/>
        <v>2175.39</v>
      </c>
      <c r="S32" s="60">
        <v>2175.39</v>
      </c>
      <c r="T32" s="60">
        <v>2175.39</v>
      </c>
      <c r="U32" s="60">
        <v>2175.39</v>
      </c>
      <c r="V32" s="60">
        <v>2175.39</v>
      </c>
      <c r="W32" s="60">
        <v>2175.39</v>
      </c>
      <c r="X32" s="61">
        <f t="shared" si="4"/>
        <v>13052.339999999998</v>
      </c>
      <c r="Y32" s="60">
        <v>2175.39</v>
      </c>
      <c r="Z32" s="60">
        <v>2175.39</v>
      </c>
      <c r="AA32" s="60">
        <v>2175.39</v>
      </c>
      <c r="AB32" s="60">
        <v>2175.39</v>
      </c>
      <c r="AC32" s="60">
        <v>2175.39</v>
      </c>
      <c r="AD32" s="60">
        <v>2175.39</v>
      </c>
      <c r="AE32" s="61">
        <f t="shared" si="5"/>
        <v>13052.339999999998</v>
      </c>
      <c r="AF32" s="62">
        <f t="shared" si="17"/>
        <v>130523.72</v>
      </c>
      <c r="AG32" s="62">
        <f t="shared" si="18"/>
        <v>97892.76</v>
      </c>
      <c r="AH32" s="62">
        <f t="shared" si="13"/>
        <v>32630.960000000006</v>
      </c>
      <c r="AI32" s="63"/>
      <c r="AJ32" s="63"/>
      <c r="AK32" s="62"/>
      <c r="AL32" s="60">
        <v>2175.39</v>
      </c>
      <c r="AM32" s="60">
        <v>2175.39</v>
      </c>
      <c r="AN32" s="60">
        <v>2175.39</v>
      </c>
      <c r="AO32" s="60">
        <v>2175.39</v>
      </c>
      <c r="AP32" s="60">
        <v>2175.39</v>
      </c>
      <c r="AQ32" s="60">
        <v>2175.39</v>
      </c>
      <c r="AR32" s="61">
        <f t="shared" si="7"/>
        <v>13052.339999999998</v>
      </c>
      <c r="AS32" s="60">
        <v>2175.39</v>
      </c>
      <c r="AT32" s="60">
        <v>2175.39</v>
      </c>
      <c r="AU32" s="60">
        <v>2175.39</v>
      </c>
      <c r="AV32" s="60">
        <v>2175.39</v>
      </c>
      <c r="AW32" s="60">
        <v>2175.39</v>
      </c>
      <c r="AX32" s="60">
        <v>2175.39</v>
      </c>
      <c r="AY32" s="61">
        <f t="shared" si="8"/>
        <v>13052.339999999998</v>
      </c>
      <c r="AZ32" s="56">
        <f t="shared" si="2"/>
        <v>26104.679999999997</v>
      </c>
      <c r="BA32" s="62">
        <f t="shared" si="14"/>
        <v>130523.72</v>
      </c>
      <c r="BB32" s="62">
        <f t="shared" si="9"/>
        <v>123997.43999999999</v>
      </c>
      <c r="BC32" s="62">
        <f t="shared" si="15"/>
        <v>6526.2800000000134</v>
      </c>
      <c r="BD32" s="63"/>
      <c r="BE32" s="57"/>
      <c r="BF32" s="35" t="str">
        <f>VLOOKUP(A:A,'2023-2027'!A:G,1,+FALSE)</f>
        <v>Диагностический сканер FCAR F7S-G</v>
      </c>
      <c r="BG32" s="7" t="b">
        <f t="shared" si="19"/>
        <v>1</v>
      </c>
      <c r="BH32" s="35">
        <f>VLOOKUP(A:A,'2023-2027'!A:AT,43,+FALSE)</f>
        <v>2175.39</v>
      </c>
    </row>
    <row r="33" spans="1:60" ht="24" hidden="1" customHeight="1" outlineLevel="1" x14ac:dyDescent="0.2">
      <c r="A33" s="59" t="s">
        <v>209</v>
      </c>
      <c r="B33" s="59" t="s">
        <v>76</v>
      </c>
      <c r="C33" s="59" t="s">
        <v>82</v>
      </c>
      <c r="D33" s="65" t="s">
        <v>210</v>
      </c>
      <c r="E33" s="59" t="s">
        <v>211</v>
      </c>
      <c r="F33" s="60">
        <v>230655.25</v>
      </c>
      <c r="G33" s="60">
        <v>172502.86</v>
      </c>
      <c r="H33" s="60">
        <v>58152.39</v>
      </c>
      <c r="I33" s="59"/>
      <c r="J33" s="60">
        <v>10670.52</v>
      </c>
      <c r="K33" s="59"/>
      <c r="L33" s="59"/>
      <c r="M33" s="60">
        <v>230655.25</v>
      </c>
      <c r="N33" s="60">
        <v>183173.38</v>
      </c>
      <c r="O33" s="60">
        <v>47481.87</v>
      </c>
      <c r="P33" s="55"/>
      <c r="Q33" s="55"/>
      <c r="R33" s="61">
        <f t="shared" si="3"/>
        <v>889.21</v>
      </c>
      <c r="S33" s="60">
        <v>889.21</v>
      </c>
      <c r="T33" s="60">
        <v>889.21</v>
      </c>
      <c r="U33" s="60">
        <v>889.21</v>
      </c>
      <c r="V33" s="60">
        <v>889.21</v>
      </c>
      <c r="W33" s="60">
        <v>889.21</v>
      </c>
      <c r="X33" s="61">
        <f t="shared" si="4"/>
        <v>5335.26</v>
      </c>
      <c r="Y33" s="60">
        <v>889.21</v>
      </c>
      <c r="Z33" s="60">
        <v>889.21</v>
      </c>
      <c r="AA33" s="60">
        <v>889.21</v>
      </c>
      <c r="AB33" s="60">
        <v>889.21</v>
      </c>
      <c r="AC33" s="60">
        <v>889.21</v>
      </c>
      <c r="AD33" s="60">
        <v>889.21</v>
      </c>
      <c r="AE33" s="61">
        <f t="shared" si="5"/>
        <v>5335.26</v>
      </c>
      <c r="AF33" s="62">
        <f t="shared" si="17"/>
        <v>230655.25</v>
      </c>
      <c r="AG33" s="62">
        <f t="shared" si="18"/>
        <v>193843.89999999991</v>
      </c>
      <c r="AH33" s="62">
        <f t="shared" si="13"/>
        <v>36811.350000000093</v>
      </c>
      <c r="AI33" s="63"/>
      <c r="AJ33" s="63"/>
      <c r="AK33" s="62"/>
      <c r="AL33" s="60">
        <v>889.21</v>
      </c>
      <c r="AM33" s="60">
        <v>889.21</v>
      </c>
      <c r="AN33" s="60">
        <v>889.21</v>
      </c>
      <c r="AO33" s="60">
        <v>889.21</v>
      </c>
      <c r="AP33" s="60">
        <v>889.21</v>
      </c>
      <c r="AQ33" s="60">
        <v>889.21</v>
      </c>
      <c r="AR33" s="61">
        <f t="shared" si="7"/>
        <v>5335.26</v>
      </c>
      <c r="AS33" s="60">
        <v>889.21</v>
      </c>
      <c r="AT33" s="60">
        <v>889.21</v>
      </c>
      <c r="AU33" s="60">
        <v>889.21</v>
      </c>
      <c r="AV33" s="60">
        <v>889.21</v>
      </c>
      <c r="AW33" s="60">
        <v>889.21</v>
      </c>
      <c r="AX33" s="60">
        <v>889.21</v>
      </c>
      <c r="AY33" s="61">
        <f t="shared" si="8"/>
        <v>5335.26</v>
      </c>
      <c r="AZ33" s="56">
        <f t="shared" si="2"/>
        <v>10670.52</v>
      </c>
      <c r="BA33" s="62">
        <f t="shared" si="14"/>
        <v>230655.25</v>
      </c>
      <c r="BB33" s="62">
        <f t="shared" si="9"/>
        <v>204514.41999999981</v>
      </c>
      <c r="BC33" s="62">
        <f t="shared" si="15"/>
        <v>26140.830000000191</v>
      </c>
      <c r="BD33" s="63"/>
      <c r="BE33" s="57"/>
      <c r="BF33" s="35" t="e">
        <f>VLOOKUP(A:A,'2023-2027'!A:G,1,+FALSE)</f>
        <v>#N/A</v>
      </c>
      <c r="BG33" s="7" t="e">
        <f t="shared" si="19"/>
        <v>#N/A</v>
      </c>
      <c r="BH33" s="35"/>
    </row>
    <row r="34" spans="1:60" ht="24" hidden="1" customHeight="1" outlineLevel="1" x14ac:dyDescent="0.2">
      <c r="A34" s="59" t="s">
        <v>212</v>
      </c>
      <c r="B34" s="59" t="s">
        <v>76</v>
      </c>
      <c r="C34" s="59" t="s">
        <v>82</v>
      </c>
      <c r="D34" s="66" t="s">
        <v>213</v>
      </c>
      <c r="E34" s="59" t="s">
        <v>214</v>
      </c>
      <c r="F34" s="60">
        <v>183653.11</v>
      </c>
      <c r="G34" s="60">
        <v>91827</v>
      </c>
      <c r="H34" s="60">
        <v>91826.11</v>
      </c>
      <c r="I34" s="59"/>
      <c r="J34" s="60">
        <v>3673.08</v>
      </c>
      <c r="K34" s="59"/>
      <c r="L34" s="59"/>
      <c r="M34" s="60">
        <v>183653.11</v>
      </c>
      <c r="N34" s="60">
        <v>95500.08</v>
      </c>
      <c r="O34" s="60">
        <v>88153.03</v>
      </c>
      <c r="P34" s="55">
        <v>89989.57</v>
      </c>
      <c r="Q34" s="55">
        <f>P34*2.2%</f>
        <v>1979.7705400000004</v>
      </c>
      <c r="R34" s="61">
        <f t="shared" si="3"/>
        <v>306.08999999999997</v>
      </c>
      <c r="S34" s="60">
        <v>306.08999999999997</v>
      </c>
      <c r="T34" s="60">
        <v>306.08999999999997</v>
      </c>
      <c r="U34" s="60">
        <v>306.08999999999997</v>
      </c>
      <c r="V34" s="60">
        <v>306.08999999999997</v>
      </c>
      <c r="W34" s="60">
        <v>306.08999999999997</v>
      </c>
      <c r="X34" s="61">
        <f t="shared" si="4"/>
        <v>1836.5399999999997</v>
      </c>
      <c r="Y34" s="60">
        <v>306.08999999999997</v>
      </c>
      <c r="Z34" s="60">
        <v>306.08999999999997</v>
      </c>
      <c r="AA34" s="60">
        <v>306.08999999999997</v>
      </c>
      <c r="AB34" s="60">
        <v>306.08999999999997</v>
      </c>
      <c r="AC34" s="60">
        <v>306.08999999999997</v>
      </c>
      <c r="AD34" s="60">
        <v>306.08999999999997</v>
      </c>
      <c r="AE34" s="61">
        <f t="shared" si="5"/>
        <v>1836.5399999999997</v>
      </c>
      <c r="AF34" s="62">
        <f t="shared" si="17"/>
        <v>183653.11</v>
      </c>
      <c r="AG34" s="62">
        <f t="shared" si="18"/>
        <v>99173.15999999996</v>
      </c>
      <c r="AH34" s="62">
        <f t="shared" si="13"/>
        <v>84479.950000000026</v>
      </c>
      <c r="AI34" s="63">
        <v>86316.49000000002</v>
      </c>
      <c r="AJ34" s="63">
        <f t="shared" ref="AJ34" si="22">AI34*2.2%</f>
        <v>1898.9627800000005</v>
      </c>
      <c r="AK34" s="62"/>
      <c r="AL34" s="60">
        <v>306.08999999999997</v>
      </c>
      <c r="AM34" s="60">
        <v>306.08999999999997</v>
      </c>
      <c r="AN34" s="60">
        <v>306.08999999999997</v>
      </c>
      <c r="AO34" s="60">
        <v>306.08999999999997</v>
      </c>
      <c r="AP34" s="60">
        <v>306.08999999999997</v>
      </c>
      <c r="AQ34" s="60">
        <v>306.08999999999997</v>
      </c>
      <c r="AR34" s="61">
        <f t="shared" si="7"/>
        <v>1836.5399999999997</v>
      </c>
      <c r="AS34" s="60">
        <v>306.08999999999997</v>
      </c>
      <c r="AT34" s="60">
        <v>306.08999999999997</v>
      </c>
      <c r="AU34" s="60">
        <v>306.08999999999997</v>
      </c>
      <c r="AV34" s="60">
        <v>306.08999999999997</v>
      </c>
      <c r="AW34" s="60">
        <v>306.08999999999997</v>
      </c>
      <c r="AX34" s="60">
        <v>306.08999999999997</v>
      </c>
      <c r="AY34" s="61">
        <f t="shared" si="8"/>
        <v>1836.5399999999997</v>
      </c>
      <c r="AZ34" s="56">
        <f t="shared" si="2"/>
        <v>3673.0799999999995</v>
      </c>
      <c r="BA34" s="62">
        <f t="shared" si="14"/>
        <v>183653.11</v>
      </c>
      <c r="BB34" s="62">
        <f t="shared" si="9"/>
        <v>102846.23999999992</v>
      </c>
      <c r="BC34" s="62">
        <f t="shared" si="15"/>
        <v>80806.870000000068</v>
      </c>
      <c r="BD34" s="63">
        <v>82643.410000000062</v>
      </c>
      <c r="BE34" s="57">
        <f t="shared" ref="BE34" si="23">BD34*2.2%</f>
        <v>1818.1550200000015</v>
      </c>
      <c r="BF34" s="35" t="str">
        <f>VLOOKUP(A:A,'2023-2027'!A:G,1,+FALSE)</f>
        <v>Дорожное покрытие ул 60 лет Окт 1996г.</v>
      </c>
      <c r="BG34" s="7" t="b">
        <f t="shared" si="19"/>
        <v>1</v>
      </c>
      <c r="BH34" s="35">
        <f>VLOOKUP(A:A,'2023-2027'!A:AT,43,+FALSE)</f>
        <v>477.51000000000016</v>
      </c>
    </row>
    <row r="35" spans="1:60" ht="12" hidden="1" customHeight="1" outlineLevel="1" x14ac:dyDescent="0.2">
      <c r="A35" s="59" t="s">
        <v>215</v>
      </c>
      <c r="B35" s="59" t="s">
        <v>76</v>
      </c>
      <c r="C35" s="59" t="s">
        <v>82</v>
      </c>
      <c r="D35" s="66" t="s">
        <v>216</v>
      </c>
      <c r="E35" s="59" t="s">
        <v>217</v>
      </c>
      <c r="F35" s="60">
        <v>82916.67</v>
      </c>
      <c r="G35" s="60">
        <v>6218.73</v>
      </c>
      <c r="H35" s="60">
        <v>76697.94</v>
      </c>
      <c r="I35" s="59"/>
      <c r="J35" s="60">
        <v>8291.64</v>
      </c>
      <c r="K35" s="59"/>
      <c r="L35" s="59"/>
      <c r="M35" s="60">
        <v>82916.67</v>
      </c>
      <c r="N35" s="60">
        <v>14510.37</v>
      </c>
      <c r="O35" s="60">
        <v>68406.3</v>
      </c>
      <c r="P35" s="55"/>
      <c r="Q35" s="55"/>
      <c r="R35" s="61">
        <f t="shared" si="3"/>
        <v>690.96999999999991</v>
      </c>
      <c r="S35" s="60">
        <v>690.97</v>
      </c>
      <c r="T35" s="60">
        <v>690.97</v>
      </c>
      <c r="U35" s="60">
        <v>690.97</v>
      </c>
      <c r="V35" s="60">
        <v>690.97</v>
      </c>
      <c r="W35" s="60">
        <v>690.97</v>
      </c>
      <c r="X35" s="61">
        <f t="shared" si="4"/>
        <v>4145.8200000000006</v>
      </c>
      <c r="Y35" s="60">
        <v>690.97</v>
      </c>
      <c r="Z35" s="60">
        <v>690.97</v>
      </c>
      <c r="AA35" s="60">
        <v>690.97</v>
      </c>
      <c r="AB35" s="60">
        <v>690.97</v>
      </c>
      <c r="AC35" s="60">
        <v>690.97</v>
      </c>
      <c r="AD35" s="60">
        <v>690.97</v>
      </c>
      <c r="AE35" s="61">
        <f t="shared" si="5"/>
        <v>4145.8200000000006</v>
      </c>
      <c r="AF35" s="62">
        <f t="shared" si="17"/>
        <v>82916.67</v>
      </c>
      <c r="AG35" s="62">
        <f t="shared" si="18"/>
        <v>22802.010000000009</v>
      </c>
      <c r="AH35" s="62">
        <f t="shared" si="13"/>
        <v>60114.659999999989</v>
      </c>
      <c r="AI35" s="63"/>
      <c r="AJ35" s="63"/>
      <c r="AK35" s="62"/>
      <c r="AL35" s="60">
        <v>690.97</v>
      </c>
      <c r="AM35" s="60">
        <v>690.97</v>
      </c>
      <c r="AN35" s="60">
        <v>690.97</v>
      </c>
      <c r="AO35" s="60">
        <v>690.97</v>
      </c>
      <c r="AP35" s="60">
        <v>690.97</v>
      </c>
      <c r="AQ35" s="60">
        <v>690.97</v>
      </c>
      <c r="AR35" s="61">
        <f t="shared" si="7"/>
        <v>4145.8200000000006</v>
      </c>
      <c r="AS35" s="60">
        <v>690.97</v>
      </c>
      <c r="AT35" s="60">
        <v>690.97</v>
      </c>
      <c r="AU35" s="60">
        <v>690.97</v>
      </c>
      <c r="AV35" s="60">
        <v>690.97</v>
      </c>
      <c r="AW35" s="60">
        <v>690.97</v>
      </c>
      <c r="AX35" s="60">
        <v>690.97</v>
      </c>
      <c r="AY35" s="61">
        <f t="shared" si="8"/>
        <v>4145.8200000000006</v>
      </c>
      <c r="AZ35" s="56">
        <f t="shared" si="2"/>
        <v>8291.6400000000012</v>
      </c>
      <c r="BA35" s="62">
        <f t="shared" si="14"/>
        <v>82916.67</v>
      </c>
      <c r="BB35" s="62">
        <f t="shared" si="9"/>
        <v>31093.650000000023</v>
      </c>
      <c r="BC35" s="62">
        <f t="shared" si="15"/>
        <v>51823.019999999975</v>
      </c>
      <c r="BD35" s="63"/>
      <c r="BE35" s="57"/>
      <c r="BF35" s="35" t="str">
        <f>VLOOKUP(A:A,'2023-2027'!A:G,1,+FALSE)</f>
        <v>Компрессор поршневой К2</v>
      </c>
      <c r="BG35" s="7" t="b">
        <f t="shared" si="19"/>
        <v>1</v>
      </c>
      <c r="BH35" s="35">
        <f>VLOOKUP(A:A,'2023-2027'!A:AT,43,+FALSE)</f>
        <v>690.97000000000014</v>
      </c>
    </row>
    <row r="36" spans="1:60" ht="12" hidden="1" customHeight="1" outlineLevel="1" x14ac:dyDescent="0.2">
      <c r="A36" s="59" t="s">
        <v>218</v>
      </c>
      <c r="B36" s="59" t="s">
        <v>76</v>
      </c>
      <c r="C36" s="59" t="s">
        <v>82</v>
      </c>
      <c r="D36" s="65" t="s">
        <v>219</v>
      </c>
      <c r="E36" s="59" t="s">
        <v>220</v>
      </c>
      <c r="F36" s="60">
        <v>31455</v>
      </c>
      <c r="G36" s="60">
        <v>31455</v>
      </c>
      <c r="H36" s="59"/>
      <c r="I36" s="59"/>
      <c r="J36" s="59"/>
      <c r="K36" s="60">
        <v>31455</v>
      </c>
      <c r="L36" s="60">
        <v>31455</v>
      </c>
      <c r="M36" s="59"/>
      <c r="N36" s="59"/>
      <c r="O36" s="59"/>
      <c r="P36" s="67"/>
      <c r="Q36" s="67"/>
      <c r="R36" s="61">
        <f t="shared" si="3"/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1">
        <f t="shared" si="4"/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1">
        <f t="shared" si="5"/>
        <v>0</v>
      </c>
      <c r="AF36" s="62">
        <f t="shared" si="17"/>
        <v>0</v>
      </c>
      <c r="AG36" s="62">
        <f t="shared" si="18"/>
        <v>0</v>
      </c>
      <c r="AH36" s="62">
        <f t="shared" si="13"/>
        <v>0</v>
      </c>
      <c r="AI36" s="63"/>
      <c r="AJ36" s="63"/>
      <c r="AK36" s="62"/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1">
        <f t="shared" si="7"/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1">
        <f t="shared" si="8"/>
        <v>0</v>
      </c>
      <c r="AZ36" s="56">
        <f t="shared" si="2"/>
        <v>0</v>
      </c>
      <c r="BA36" s="62">
        <f t="shared" si="14"/>
        <v>0</v>
      </c>
      <c r="BB36" s="62">
        <f t="shared" si="9"/>
        <v>0</v>
      </c>
      <c r="BC36" s="62">
        <f t="shared" si="15"/>
        <v>0</v>
      </c>
      <c r="BD36" s="63"/>
      <c r="BE36" s="57"/>
      <c r="BF36" s="35" t="e">
        <f>VLOOKUP(A:A,'2023-2027'!A:G,1,+FALSE)</f>
        <v>#N/A</v>
      </c>
      <c r="BG36" s="7" t="e">
        <f t="shared" si="19"/>
        <v>#N/A</v>
      </c>
      <c r="BH36" s="35"/>
    </row>
    <row r="37" spans="1:60" ht="36" hidden="1" customHeight="1" outlineLevel="1" x14ac:dyDescent="0.2">
      <c r="A37" s="59" t="s">
        <v>73</v>
      </c>
      <c r="B37" s="59" t="s">
        <v>76</v>
      </c>
      <c r="C37" s="59" t="s">
        <v>82</v>
      </c>
      <c r="D37" s="66" t="s">
        <v>74</v>
      </c>
      <c r="E37" s="59" t="s">
        <v>75</v>
      </c>
      <c r="F37" s="59"/>
      <c r="G37" s="59"/>
      <c r="H37" s="59"/>
      <c r="I37" s="60">
        <v>83250</v>
      </c>
      <c r="J37" s="60">
        <v>5946.42</v>
      </c>
      <c r="K37" s="59"/>
      <c r="L37" s="59"/>
      <c r="M37" s="60">
        <v>83250</v>
      </c>
      <c r="N37" s="60">
        <v>5946.42</v>
      </c>
      <c r="O37" s="60">
        <v>77303.58</v>
      </c>
      <c r="P37" s="55"/>
      <c r="Q37" s="55"/>
      <c r="R37" s="61">
        <f t="shared" si="3"/>
        <v>495.53500000000003</v>
      </c>
      <c r="S37" s="60">
        <v>495.53500000000003</v>
      </c>
      <c r="T37" s="60">
        <v>495.53500000000003</v>
      </c>
      <c r="U37" s="60">
        <v>495.53500000000003</v>
      </c>
      <c r="V37" s="60">
        <v>495.53500000000003</v>
      </c>
      <c r="W37" s="60">
        <v>495.53500000000003</v>
      </c>
      <c r="X37" s="61">
        <f t="shared" si="4"/>
        <v>2973.21</v>
      </c>
      <c r="Y37" s="60">
        <v>495.53500000000003</v>
      </c>
      <c r="Z37" s="60">
        <v>495.53500000000003</v>
      </c>
      <c r="AA37" s="60">
        <v>495.53500000000003</v>
      </c>
      <c r="AB37" s="60">
        <v>495.53500000000003</v>
      </c>
      <c r="AC37" s="60">
        <v>495.53500000000003</v>
      </c>
      <c r="AD37" s="60">
        <v>495.53500000000003</v>
      </c>
      <c r="AE37" s="61">
        <f t="shared" si="5"/>
        <v>2973.21</v>
      </c>
      <c r="AF37" s="62">
        <f t="shared" si="17"/>
        <v>83250</v>
      </c>
      <c r="AG37" s="62">
        <f t="shared" si="18"/>
        <v>11892.839999999998</v>
      </c>
      <c r="AH37" s="62">
        <f t="shared" si="13"/>
        <v>71357.16</v>
      </c>
      <c r="AI37" s="63"/>
      <c r="AJ37" s="63"/>
      <c r="AK37" s="62"/>
      <c r="AL37" s="60">
        <v>495.53500000000003</v>
      </c>
      <c r="AM37" s="60">
        <v>495.53500000000003</v>
      </c>
      <c r="AN37" s="60">
        <v>495.53500000000003</v>
      </c>
      <c r="AO37" s="60">
        <v>495.53500000000003</v>
      </c>
      <c r="AP37" s="60">
        <v>495.53500000000003</v>
      </c>
      <c r="AQ37" s="60">
        <v>495.53500000000003</v>
      </c>
      <c r="AR37" s="61">
        <f t="shared" si="7"/>
        <v>2973.21</v>
      </c>
      <c r="AS37" s="60">
        <v>495.53500000000003</v>
      </c>
      <c r="AT37" s="60">
        <v>495.53500000000003</v>
      </c>
      <c r="AU37" s="60">
        <v>495.53500000000003</v>
      </c>
      <c r="AV37" s="60">
        <v>495.53500000000003</v>
      </c>
      <c r="AW37" s="60">
        <v>495.53500000000003</v>
      </c>
      <c r="AX37" s="60">
        <v>495.53500000000003</v>
      </c>
      <c r="AY37" s="61">
        <f t="shared" si="8"/>
        <v>2973.21</v>
      </c>
      <c r="AZ37" s="56">
        <f t="shared" si="2"/>
        <v>5946.42</v>
      </c>
      <c r="BA37" s="62">
        <f t="shared" si="14"/>
        <v>83250</v>
      </c>
      <c r="BB37" s="62">
        <f t="shared" si="9"/>
        <v>17839.259999999998</v>
      </c>
      <c r="BC37" s="62">
        <f t="shared" si="15"/>
        <v>65410.740000000005</v>
      </c>
      <c r="BD37" s="63"/>
      <c r="BE37" s="57"/>
      <c r="BF37" s="35" t="str">
        <f>VLOOKUP(A:A,'2023-2027'!A:G,1,+FALSE)</f>
        <v>Мойка высокого давления АВД 5 (моноблок) HART 250 Бар пистолет+шланг+фильтр</v>
      </c>
      <c r="BG37" s="7" t="b">
        <f t="shared" si="19"/>
        <v>1</v>
      </c>
      <c r="BH37" s="35">
        <f>VLOOKUP(A:A,'2023-2027'!A:AT,43,+FALSE)</f>
        <v>991.07</v>
      </c>
    </row>
    <row r="38" spans="1:60" ht="12" hidden="1" customHeight="1" outlineLevel="1" x14ac:dyDescent="0.2">
      <c r="A38" s="59" t="s">
        <v>221</v>
      </c>
      <c r="B38" s="59" t="s">
        <v>76</v>
      </c>
      <c r="C38" s="59" t="s">
        <v>82</v>
      </c>
      <c r="D38" s="65" t="s">
        <v>222</v>
      </c>
      <c r="E38" s="59" t="s">
        <v>223</v>
      </c>
      <c r="F38" s="60">
        <v>16800</v>
      </c>
      <c r="G38" s="60">
        <v>16800</v>
      </c>
      <c r="H38" s="59"/>
      <c r="I38" s="59"/>
      <c r="J38" s="59"/>
      <c r="K38" s="60">
        <v>16800</v>
      </c>
      <c r="L38" s="60">
        <v>16800</v>
      </c>
      <c r="M38" s="59"/>
      <c r="N38" s="59"/>
      <c r="O38" s="59"/>
      <c r="P38" s="67"/>
      <c r="Q38" s="67"/>
      <c r="R38" s="61">
        <f t="shared" si="3"/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1">
        <f t="shared" si="4"/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1">
        <f t="shared" si="5"/>
        <v>0</v>
      </c>
      <c r="AF38" s="62">
        <f t="shared" si="17"/>
        <v>0</v>
      </c>
      <c r="AG38" s="62">
        <f t="shared" si="18"/>
        <v>0</v>
      </c>
      <c r="AH38" s="62">
        <f t="shared" si="13"/>
        <v>0</v>
      </c>
      <c r="AI38" s="63"/>
      <c r="AJ38" s="63"/>
      <c r="AK38" s="62"/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1">
        <f t="shared" si="7"/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1">
        <f t="shared" si="8"/>
        <v>0</v>
      </c>
      <c r="AZ38" s="56">
        <f t="shared" si="2"/>
        <v>0</v>
      </c>
      <c r="BA38" s="62">
        <f t="shared" si="14"/>
        <v>0</v>
      </c>
      <c r="BB38" s="62">
        <f t="shared" si="9"/>
        <v>0</v>
      </c>
      <c r="BC38" s="62">
        <f t="shared" si="15"/>
        <v>0</v>
      </c>
      <c r="BD38" s="63"/>
      <c r="BE38" s="57"/>
      <c r="BF38" s="35" t="e">
        <f>VLOOKUP(A:A,'2023-2027'!A:G,1,+FALSE)</f>
        <v>#N/A</v>
      </c>
      <c r="BG38" s="7" t="e">
        <f t="shared" si="19"/>
        <v>#N/A</v>
      </c>
      <c r="BH38" s="35"/>
    </row>
    <row r="39" spans="1:60" ht="12" hidden="1" customHeight="1" outlineLevel="1" x14ac:dyDescent="0.2">
      <c r="A39" s="59" t="s">
        <v>224</v>
      </c>
      <c r="B39" s="59" t="s">
        <v>76</v>
      </c>
      <c r="C39" s="59" t="s">
        <v>82</v>
      </c>
      <c r="D39" s="65" t="s">
        <v>225</v>
      </c>
      <c r="E39" s="59" t="s">
        <v>226</v>
      </c>
      <c r="F39" s="60">
        <v>55449.15</v>
      </c>
      <c r="G39" s="60">
        <v>36514.800000000003</v>
      </c>
      <c r="H39" s="60">
        <v>18934.349999999999</v>
      </c>
      <c r="I39" s="59"/>
      <c r="J39" s="60">
        <v>2704.92</v>
      </c>
      <c r="K39" s="59"/>
      <c r="L39" s="59"/>
      <c r="M39" s="60">
        <v>55449.15</v>
      </c>
      <c r="N39" s="60">
        <v>39219.72</v>
      </c>
      <c r="O39" s="60">
        <v>16229.43</v>
      </c>
      <c r="P39" s="55"/>
      <c r="Q39" s="55"/>
      <c r="R39" s="61">
        <f t="shared" si="3"/>
        <v>225.41</v>
      </c>
      <c r="S39" s="60">
        <v>225.41</v>
      </c>
      <c r="T39" s="60">
        <v>225.41</v>
      </c>
      <c r="U39" s="60">
        <v>225.41</v>
      </c>
      <c r="V39" s="60">
        <v>225.41</v>
      </c>
      <c r="W39" s="60">
        <v>225.41</v>
      </c>
      <c r="X39" s="61">
        <f t="shared" si="4"/>
        <v>1352.46</v>
      </c>
      <c r="Y39" s="60">
        <v>225.41</v>
      </c>
      <c r="Z39" s="60">
        <v>225.41</v>
      </c>
      <c r="AA39" s="60">
        <v>225.41</v>
      </c>
      <c r="AB39" s="60">
        <v>225.41</v>
      </c>
      <c r="AC39" s="60">
        <v>225.41</v>
      </c>
      <c r="AD39" s="60">
        <v>225.41</v>
      </c>
      <c r="AE39" s="61">
        <f t="shared" si="5"/>
        <v>1352.46</v>
      </c>
      <c r="AF39" s="62">
        <f t="shared" si="17"/>
        <v>55449.15</v>
      </c>
      <c r="AG39" s="62">
        <f t="shared" si="18"/>
        <v>41924.640000000043</v>
      </c>
      <c r="AH39" s="62">
        <f t="shared" si="13"/>
        <v>13524.509999999958</v>
      </c>
      <c r="AI39" s="63"/>
      <c r="AJ39" s="63"/>
      <c r="AK39" s="62"/>
      <c r="AL39" s="60">
        <v>225.41</v>
      </c>
      <c r="AM39" s="60">
        <v>225.41</v>
      </c>
      <c r="AN39" s="60">
        <v>225.41</v>
      </c>
      <c r="AO39" s="60">
        <v>225.41</v>
      </c>
      <c r="AP39" s="60">
        <v>225.41</v>
      </c>
      <c r="AQ39" s="60">
        <v>225.41</v>
      </c>
      <c r="AR39" s="61">
        <f t="shared" si="7"/>
        <v>1352.46</v>
      </c>
      <c r="AS39" s="60">
        <v>225.41</v>
      </c>
      <c r="AT39" s="60">
        <v>225.41</v>
      </c>
      <c r="AU39" s="60">
        <v>225.41</v>
      </c>
      <c r="AV39" s="60">
        <v>225.41</v>
      </c>
      <c r="AW39" s="60">
        <v>225.41</v>
      </c>
      <c r="AX39" s="60">
        <v>225.41</v>
      </c>
      <c r="AY39" s="61">
        <f t="shared" si="8"/>
        <v>1352.46</v>
      </c>
      <c r="AZ39" s="56">
        <f t="shared" si="2"/>
        <v>2704.92</v>
      </c>
      <c r="BA39" s="62">
        <f t="shared" si="14"/>
        <v>55449.15</v>
      </c>
      <c r="BB39" s="62">
        <f t="shared" si="9"/>
        <v>44629.560000000085</v>
      </c>
      <c r="BC39" s="62">
        <f t="shared" si="15"/>
        <v>10819.589999999916</v>
      </c>
      <c r="BD39" s="63"/>
      <c r="BE39" s="57"/>
      <c r="BF39" s="35" t="e">
        <f>VLOOKUP(A:A,'2023-2027'!A:G,1,+FALSE)</f>
        <v>#N/A</v>
      </c>
      <c r="BG39" s="7" t="e">
        <f t="shared" si="19"/>
        <v>#N/A</v>
      </c>
      <c r="BH39" s="35"/>
    </row>
    <row r="40" spans="1:60" ht="12" hidden="1" customHeight="1" outlineLevel="1" x14ac:dyDescent="0.2">
      <c r="A40" s="59" t="s">
        <v>227</v>
      </c>
      <c r="B40" s="59" t="s">
        <v>76</v>
      </c>
      <c r="C40" s="59" t="s">
        <v>82</v>
      </c>
      <c r="D40" s="66" t="s">
        <v>228</v>
      </c>
      <c r="E40" s="59" t="s">
        <v>229</v>
      </c>
      <c r="F40" s="60">
        <v>293225.45</v>
      </c>
      <c r="G40" s="60">
        <v>195484.79999999999</v>
      </c>
      <c r="H40" s="60">
        <v>97740.65</v>
      </c>
      <c r="I40" s="59"/>
      <c r="J40" s="60">
        <v>9774.11</v>
      </c>
      <c r="K40" s="59"/>
      <c r="L40" s="59"/>
      <c r="M40" s="60">
        <v>293225.45</v>
      </c>
      <c r="N40" s="60">
        <v>205258.91</v>
      </c>
      <c r="O40" s="60">
        <v>87966.54</v>
      </c>
      <c r="P40" s="55">
        <v>92853.59</v>
      </c>
      <c r="Q40" s="55">
        <f>P40*2.2%</f>
        <v>2042.77898</v>
      </c>
      <c r="R40" s="61">
        <f t="shared" si="3"/>
        <v>814.50916666666672</v>
      </c>
      <c r="S40" s="60">
        <v>814.50916670000004</v>
      </c>
      <c r="T40" s="60">
        <v>814.50916670000004</v>
      </c>
      <c r="U40" s="60">
        <v>814.50916670000004</v>
      </c>
      <c r="V40" s="60">
        <v>814.50916670000004</v>
      </c>
      <c r="W40" s="60">
        <v>814.50916670000004</v>
      </c>
      <c r="X40" s="61">
        <f t="shared" si="4"/>
        <v>4887.055000166667</v>
      </c>
      <c r="Y40" s="60">
        <v>814.50916670000004</v>
      </c>
      <c r="Z40" s="60">
        <v>814.50916670000004</v>
      </c>
      <c r="AA40" s="60">
        <v>814.50916670000004</v>
      </c>
      <c r="AB40" s="60">
        <v>814.50916670000004</v>
      </c>
      <c r="AC40" s="60">
        <v>814.50916670000004</v>
      </c>
      <c r="AD40" s="60">
        <v>814.50916670000004</v>
      </c>
      <c r="AE40" s="61">
        <f t="shared" si="5"/>
        <v>4887.0550002</v>
      </c>
      <c r="AF40" s="62">
        <f t="shared" si="17"/>
        <v>293225.45</v>
      </c>
      <c r="AG40" s="62">
        <f t="shared" si="18"/>
        <v>215033.02000036676</v>
      </c>
      <c r="AH40" s="62">
        <f t="shared" si="13"/>
        <v>78192.429999633256</v>
      </c>
      <c r="AI40" s="63">
        <v>83079.48000000004</v>
      </c>
      <c r="AJ40" s="63">
        <f t="shared" ref="AJ40" si="24">AI40*2.2%</f>
        <v>1827.7485600000011</v>
      </c>
      <c r="AK40" s="62"/>
      <c r="AL40" s="60">
        <v>814.50916670000004</v>
      </c>
      <c r="AM40" s="60">
        <v>814.50916670000004</v>
      </c>
      <c r="AN40" s="60">
        <v>814.50916670000004</v>
      </c>
      <c r="AO40" s="60">
        <v>814.50916670000004</v>
      </c>
      <c r="AP40" s="60">
        <v>814.50916670000004</v>
      </c>
      <c r="AQ40" s="60">
        <v>814.50916670000004</v>
      </c>
      <c r="AR40" s="61">
        <f t="shared" si="7"/>
        <v>4887.0550002</v>
      </c>
      <c r="AS40" s="60">
        <v>814.50916670000004</v>
      </c>
      <c r="AT40" s="60">
        <v>814.50916670000004</v>
      </c>
      <c r="AU40" s="60">
        <v>814.50916670000004</v>
      </c>
      <c r="AV40" s="60">
        <v>814.50916670000004</v>
      </c>
      <c r="AW40" s="60">
        <v>814.50916670000004</v>
      </c>
      <c r="AX40" s="60">
        <v>814.50916670000004</v>
      </c>
      <c r="AY40" s="61">
        <f t="shared" si="8"/>
        <v>4887.0550002</v>
      </c>
      <c r="AZ40" s="56">
        <f t="shared" si="2"/>
        <v>9774.1100004</v>
      </c>
      <c r="BA40" s="62">
        <f t="shared" si="14"/>
        <v>293225.45</v>
      </c>
      <c r="BB40" s="62">
        <f t="shared" si="9"/>
        <v>224807.13000076686</v>
      </c>
      <c r="BC40" s="62">
        <f t="shared" si="15"/>
        <v>68418.31999923315</v>
      </c>
      <c r="BD40" s="63">
        <v>73305.360000000088</v>
      </c>
      <c r="BE40" s="57">
        <f t="shared" ref="BE40" si="25">BD40*2.2%</f>
        <v>1612.7179200000021</v>
      </c>
      <c r="BF40" s="35" t="str">
        <f>VLOOKUP(A:A,'2023-2027'!A:G,1,+FALSE)</f>
        <v>Пристройка к гаражу 2001г</v>
      </c>
      <c r="BG40" s="7" t="b">
        <f t="shared" si="19"/>
        <v>1</v>
      </c>
      <c r="BH40" s="35">
        <f>VLOOKUP(A:A,'2023-2027'!A:AT,43,+FALSE)</f>
        <v>0</v>
      </c>
    </row>
    <row r="41" spans="1:60" ht="24" hidden="1" customHeight="1" outlineLevel="1" x14ac:dyDescent="0.2">
      <c r="A41" s="59" t="s">
        <v>230</v>
      </c>
      <c r="B41" s="59" t="s">
        <v>76</v>
      </c>
      <c r="C41" s="59" t="s">
        <v>82</v>
      </c>
      <c r="D41" s="66" t="s">
        <v>231</v>
      </c>
      <c r="E41" s="59" t="s">
        <v>232</v>
      </c>
      <c r="F41" s="60">
        <v>398305.08</v>
      </c>
      <c r="G41" s="60">
        <v>250708.38</v>
      </c>
      <c r="H41" s="60">
        <v>147596.70000000001</v>
      </c>
      <c r="I41" s="59"/>
      <c r="J41" s="60">
        <v>38570.519999999997</v>
      </c>
      <c r="K41" s="59"/>
      <c r="L41" s="59"/>
      <c r="M41" s="60">
        <v>398305.08</v>
      </c>
      <c r="N41" s="60">
        <v>289278.90000000002</v>
      </c>
      <c r="O41" s="60">
        <v>109026.18</v>
      </c>
      <c r="P41" s="55"/>
      <c r="Q41" s="55"/>
      <c r="R41" s="61">
        <f t="shared" si="3"/>
        <v>3214.2099999999996</v>
      </c>
      <c r="S41" s="60">
        <v>3214.21</v>
      </c>
      <c r="T41" s="60">
        <v>3214.21</v>
      </c>
      <c r="U41" s="60">
        <v>3214.21</v>
      </c>
      <c r="V41" s="60">
        <v>3214.21</v>
      </c>
      <c r="W41" s="60">
        <v>3214.21</v>
      </c>
      <c r="X41" s="61">
        <f t="shared" si="4"/>
        <v>19285.259999999998</v>
      </c>
      <c r="Y41" s="60">
        <v>3214.21</v>
      </c>
      <c r="Z41" s="60">
        <v>3214.21</v>
      </c>
      <c r="AA41" s="60">
        <v>3214.21</v>
      </c>
      <c r="AB41" s="60">
        <v>3214.21</v>
      </c>
      <c r="AC41" s="60">
        <v>3214.21</v>
      </c>
      <c r="AD41" s="60">
        <v>3214.21</v>
      </c>
      <c r="AE41" s="61">
        <f t="shared" si="5"/>
        <v>19285.259999999998</v>
      </c>
      <c r="AF41" s="62">
        <f t="shared" si="17"/>
        <v>398305.08</v>
      </c>
      <c r="AG41" s="62">
        <f t="shared" si="18"/>
        <v>327849.42000000027</v>
      </c>
      <c r="AH41" s="62">
        <f t="shared" si="13"/>
        <v>70455.659999999742</v>
      </c>
      <c r="AI41" s="63"/>
      <c r="AJ41" s="63"/>
      <c r="AK41" s="62"/>
      <c r="AL41" s="60">
        <v>3214.21</v>
      </c>
      <c r="AM41" s="60">
        <v>3214.21</v>
      </c>
      <c r="AN41" s="60">
        <v>3214.21</v>
      </c>
      <c r="AO41" s="60">
        <v>3214.21</v>
      </c>
      <c r="AP41" s="60">
        <v>3214.21</v>
      </c>
      <c r="AQ41" s="60">
        <v>3214.21</v>
      </c>
      <c r="AR41" s="61">
        <f t="shared" si="7"/>
        <v>19285.259999999998</v>
      </c>
      <c r="AS41" s="60">
        <v>3214.21</v>
      </c>
      <c r="AT41" s="60">
        <v>3214.21</v>
      </c>
      <c r="AU41" s="60">
        <v>3214.21</v>
      </c>
      <c r="AV41" s="60">
        <v>3214.21</v>
      </c>
      <c r="AW41" s="60">
        <v>3214.21</v>
      </c>
      <c r="AX41" s="60">
        <v>3214.21</v>
      </c>
      <c r="AY41" s="61">
        <f t="shared" si="8"/>
        <v>19285.259999999998</v>
      </c>
      <c r="AZ41" s="56">
        <f t="shared" si="2"/>
        <v>38570.519999999997</v>
      </c>
      <c r="BA41" s="62">
        <f t="shared" si="14"/>
        <v>398305.08</v>
      </c>
      <c r="BB41" s="62">
        <f t="shared" si="9"/>
        <v>366419.94000000053</v>
      </c>
      <c r="BC41" s="62">
        <f t="shared" si="15"/>
        <v>31885.13999999949</v>
      </c>
      <c r="BD41" s="63"/>
      <c r="BE41" s="57"/>
      <c r="BF41" s="35" t="str">
        <f>VLOOKUP(A:A,'2023-2027'!A:G,1,+FALSE)</f>
        <v>Прицеп-роспуск лесовозный 4667В2  2015г.</v>
      </c>
      <c r="BG41" s="7" t="b">
        <f t="shared" si="19"/>
        <v>1</v>
      </c>
      <c r="BH41" s="35">
        <f>VLOOKUP(A:A,'2023-2027'!A:AT,43,+FALSE)</f>
        <v>3319.2099999999996</v>
      </c>
    </row>
    <row r="42" spans="1:60" ht="48" hidden="1" customHeight="1" outlineLevel="1" x14ac:dyDescent="0.2">
      <c r="A42" s="59" t="s">
        <v>2482</v>
      </c>
      <c r="B42" s="59" t="s">
        <v>76</v>
      </c>
      <c r="C42" s="59" t="s">
        <v>82</v>
      </c>
      <c r="D42" s="66" t="s">
        <v>233</v>
      </c>
      <c r="E42" s="59" t="s">
        <v>234</v>
      </c>
      <c r="F42" s="60">
        <v>115619.89</v>
      </c>
      <c r="G42" s="60">
        <v>27620.19</v>
      </c>
      <c r="H42" s="60">
        <v>87999.7</v>
      </c>
      <c r="I42" s="59"/>
      <c r="J42" s="60">
        <v>7707.96</v>
      </c>
      <c r="K42" s="59"/>
      <c r="L42" s="59"/>
      <c r="M42" s="60">
        <v>115619.89</v>
      </c>
      <c r="N42" s="60">
        <v>35328.15</v>
      </c>
      <c r="O42" s="60">
        <v>80291.740000000005</v>
      </c>
      <c r="P42" s="55"/>
      <c r="Q42" s="55"/>
      <c r="R42" s="61">
        <f t="shared" si="3"/>
        <v>642.33000000000004</v>
      </c>
      <c r="S42" s="60">
        <v>642.33000000000004</v>
      </c>
      <c r="T42" s="60">
        <v>642.33000000000004</v>
      </c>
      <c r="U42" s="60">
        <v>642.33000000000004</v>
      </c>
      <c r="V42" s="60">
        <v>642.33000000000004</v>
      </c>
      <c r="W42" s="60">
        <v>642.33000000000004</v>
      </c>
      <c r="X42" s="61">
        <f t="shared" si="4"/>
        <v>3853.98</v>
      </c>
      <c r="Y42" s="60">
        <v>642.33000000000004</v>
      </c>
      <c r="Z42" s="60">
        <v>642.33000000000004</v>
      </c>
      <c r="AA42" s="60">
        <v>642.33000000000004</v>
      </c>
      <c r="AB42" s="60">
        <v>642.33000000000004</v>
      </c>
      <c r="AC42" s="60">
        <v>642.33000000000004</v>
      </c>
      <c r="AD42" s="60">
        <v>642.33000000000004</v>
      </c>
      <c r="AE42" s="61">
        <f t="shared" si="5"/>
        <v>3853.98</v>
      </c>
      <c r="AF42" s="62">
        <f t="shared" si="17"/>
        <v>115619.89</v>
      </c>
      <c r="AG42" s="62">
        <f t="shared" si="18"/>
        <v>43036.110000000022</v>
      </c>
      <c r="AH42" s="62">
        <f t="shared" si="13"/>
        <v>72583.77999999997</v>
      </c>
      <c r="AI42" s="63"/>
      <c r="AJ42" s="63"/>
      <c r="AK42" s="62"/>
      <c r="AL42" s="60">
        <v>642.33000000000004</v>
      </c>
      <c r="AM42" s="60">
        <v>642.33000000000004</v>
      </c>
      <c r="AN42" s="60">
        <v>642.33000000000004</v>
      </c>
      <c r="AO42" s="60">
        <v>642.33000000000004</v>
      </c>
      <c r="AP42" s="60">
        <v>642.33000000000004</v>
      </c>
      <c r="AQ42" s="60">
        <v>642.33000000000004</v>
      </c>
      <c r="AR42" s="61">
        <f t="shared" si="7"/>
        <v>3853.98</v>
      </c>
      <c r="AS42" s="60">
        <v>642.33000000000004</v>
      </c>
      <c r="AT42" s="60">
        <v>642.33000000000004</v>
      </c>
      <c r="AU42" s="60">
        <v>642.33000000000004</v>
      </c>
      <c r="AV42" s="60">
        <v>642.33000000000004</v>
      </c>
      <c r="AW42" s="60">
        <v>642.33000000000004</v>
      </c>
      <c r="AX42" s="60">
        <v>642.33000000000004</v>
      </c>
      <c r="AY42" s="61">
        <f t="shared" si="8"/>
        <v>3853.98</v>
      </c>
      <c r="AZ42" s="56">
        <f t="shared" si="2"/>
        <v>7707.96</v>
      </c>
      <c r="BA42" s="62">
        <f t="shared" si="14"/>
        <v>115619.89</v>
      </c>
      <c r="BB42" s="62">
        <f t="shared" si="9"/>
        <v>50744.070000000043</v>
      </c>
      <c r="BC42" s="62">
        <f t="shared" si="15"/>
        <v>64875.819999999956</v>
      </c>
      <c r="BD42" s="63"/>
      <c r="BE42" s="57"/>
      <c r="BF42" s="35" t="str">
        <f>VLOOKUP(A:A,'2023-2027'!A:G,1,+FALSE)</f>
        <v>Система охранно-пожарной сигнализации в производственных помещениях АТЦ ГУП НАО "Нарьян-Марская электростанция"</v>
      </c>
      <c r="BG42" s="7" t="b">
        <f t="shared" si="19"/>
        <v>1</v>
      </c>
      <c r="BH42" s="35">
        <f>VLOOKUP(A:A,'2023-2027'!A:AT,43,+FALSE)</f>
        <v>642.33000000000004</v>
      </c>
    </row>
    <row r="43" spans="1:60" ht="24" hidden="1" customHeight="1" outlineLevel="1" x14ac:dyDescent="0.2">
      <c r="A43" s="59" t="s">
        <v>235</v>
      </c>
      <c r="B43" s="59" t="s">
        <v>76</v>
      </c>
      <c r="C43" s="59" t="s">
        <v>82</v>
      </c>
      <c r="D43" s="65" t="s">
        <v>236</v>
      </c>
      <c r="E43" s="59" t="s">
        <v>237</v>
      </c>
      <c r="F43" s="60">
        <v>278918.64</v>
      </c>
      <c r="G43" s="60">
        <v>185946</v>
      </c>
      <c r="H43" s="60">
        <v>92972.64</v>
      </c>
      <c r="I43" s="59"/>
      <c r="J43" s="60">
        <v>18594.48</v>
      </c>
      <c r="K43" s="59"/>
      <c r="L43" s="59"/>
      <c r="M43" s="60">
        <v>278918.64</v>
      </c>
      <c r="N43" s="60">
        <v>204540.48</v>
      </c>
      <c r="O43" s="60">
        <v>74378.16</v>
      </c>
      <c r="P43" s="55"/>
      <c r="Q43" s="55"/>
      <c r="R43" s="61">
        <f t="shared" si="3"/>
        <v>1549.54</v>
      </c>
      <c r="S43" s="60">
        <v>1549.54</v>
      </c>
      <c r="T43" s="60">
        <v>1549.54</v>
      </c>
      <c r="U43" s="60">
        <v>1549.54</v>
      </c>
      <c r="V43" s="60">
        <v>1549.54</v>
      </c>
      <c r="W43" s="60">
        <v>1549.54</v>
      </c>
      <c r="X43" s="61">
        <f t="shared" si="4"/>
        <v>9297.24</v>
      </c>
      <c r="Y43" s="60">
        <v>1549.54</v>
      </c>
      <c r="Z43" s="60">
        <v>1549.54</v>
      </c>
      <c r="AA43" s="60">
        <v>1549.54</v>
      </c>
      <c r="AB43" s="60">
        <v>1549.54</v>
      </c>
      <c r="AC43" s="60">
        <v>1549.54</v>
      </c>
      <c r="AD43" s="60">
        <v>1549.54</v>
      </c>
      <c r="AE43" s="61">
        <f t="shared" si="5"/>
        <v>9297.24</v>
      </c>
      <c r="AF43" s="62">
        <f t="shared" si="17"/>
        <v>278918.64</v>
      </c>
      <c r="AG43" s="62">
        <f t="shared" si="18"/>
        <v>223134.96000000011</v>
      </c>
      <c r="AH43" s="62">
        <f t="shared" si="13"/>
        <v>55783.679999999906</v>
      </c>
      <c r="AI43" s="63"/>
      <c r="AJ43" s="63"/>
      <c r="AK43" s="62"/>
      <c r="AL43" s="60">
        <v>1549.54</v>
      </c>
      <c r="AM43" s="60">
        <v>1549.54</v>
      </c>
      <c r="AN43" s="60">
        <v>1549.54</v>
      </c>
      <c r="AO43" s="60">
        <v>1549.54</v>
      </c>
      <c r="AP43" s="60">
        <v>1549.54</v>
      </c>
      <c r="AQ43" s="60">
        <v>1549.54</v>
      </c>
      <c r="AR43" s="61">
        <f t="shared" si="7"/>
        <v>9297.24</v>
      </c>
      <c r="AS43" s="60">
        <v>1549.54</v>
      </c>
      <c r="AT43" s="60">
        <v>1549.54</v>
      </c>
      <c r="AU43" s="60">
        <v>1549.54</v>
      </c>
      <c r="AV43" s="60">
        <v>1549.54</v>
      </c>
      <c r="AW43" s="60">
        <v>1549.54</v>
      </c>
      <c r="AX43" s="60">
        <v>1549.54</v>
      </c>
      <c r="AY43" s="61">
        <f t="shared" si="8"/>
        <v>9297.24</v>
      </c>
      <c r="AZ43" s="56">
        <f t="shared" si="2"/>
        <v>18594.48</v>
      </c>
      <c r="BA43" s="62">
        <f t="shared" si="14"/>
        <v>278918.64</v>
      </c>
      <c r="BB43" s="62">
        <f t="shared" si="9"/>
        <v>241729.44000000021</v>
      </c>
      <c r="BC43" s="62">
        <f t="shared" si="15"/>
        <v>37189.199999999808</v>
      </c>
      <c r="BD43" s="63"/>
      <c r="BE43" s="57"/>
      <c r="BF43" s="35" t="e">
        <f>VLOOKUP(A:A,'2023-2027'!A:G,1,+FALSE)</f>
        <v>#N/A</v>
      </c>
      <c r="BG43" s="7" t="e">
        <f t="shared" si="19"/>
        <v>#N/A</v>
      </c>
      <c r="BH43" s="35"/>
    </row>
    <row r="44" spans="1:60" ht="36" hidden="1" customHeight="1" outlineLevel="1" x14ac:dyDescent="0.2">
      <c r="A44" s="59" t="s">
        <v>238</v>
      </c>
      <c r="B44" s="59" t="s">
        <v>76</v>
      </c>
      <c r="C44" s="59" t="s">
        <v>82</v>
      </c>
      <c r="D44" s="66" t="s">
        <v>239</v>
      </c>
      <c r="E44" s="59" t="s">
        <v>240</v>
      </c>
      <c r="F44" s="60">
        <v>5619166.6699999999</v>
      </c>
      <c r="G44" s="60">
        <v>746342.24</v>
      </c>
      <c r="H44" s="60">
        <v>4872824.43</v>
      </c>
      <c r="I44" s="59"/>
      <c r="J44" s="60">
        <v>559756.68000000005</v>
      </c>
      <c r="K44" s="59"/>
      <c r="L44" s="59"/>
      <c r="M44" s="60">
        <v>5619166.6699999999</v>
      </c>
      <c r="N44" s="60">
        <v>1306098.92</v>
      </c>
      <c r="O44" s="60">
        <v>4313067.75</v>
      </c>
      <c r="P44" s="55"/>
      <c r="Q44" s="55"/>
      <c r="R44" s="61">
        <f t="shared" si="3"/>
        <v>46646.390000000007</v>
      </c>
      <c r="S44" s="60">
        <v>46646.39</v>
      </c>
      <c r="T44" s="60">
        <v>46646.39</v>
      </c>
      <c r="U44" s="60">
        <v>46646.39</v>
      </c>
      <c r="V44" s="60">
        <v>46646.39</v>
      </c>
      <c r="W44" s="60">
        <v>46646.39</v>
      </c>
      <c r="X44" s="61">
        <f t="shared" si="4"/>
        <v>279878.34000000003</v>
      </c>
      <c r="Y44" s="60">
        <v>46646.39</v>
      </c>
      <c r="Z44" s="60">
        <v>46646.39</v>
      </c>
      <c r="AA44" s="60">
        <v>46646.39</v>
      </c>
      <c r="AB44" s="60">
        <v>46646.39</v>
      </c>
      <c r="AC44" s="60">
        <v>46646.39</v>
      </c>
      <c r="AD44" s="60">
        <v>46646.39</v>
      </c>
      <c r="AE44" s="61">
        <f t="shared" si="5"/>
        <v>279878.34000000003</v>
      </c>
      <c r="AF44" s="62">
        <f t="shared" si="17"/>
        <v>5619166.6699999999</v>
      </c>
      <c r="AG44" s="62">
        <f t="shared" si="18"/>
        <v>1865855.5999999987</v>
      </c>
      <c r="AH44" s="62">
        <f t="shared" si="13"/>
        <v>3753311.0700000012</v>
      </c>
      <c r="AI44" s="63"/>
      <c r="AJ44" s="63"/>
      <c r="AK44" s="62"/>
      <c r="AL44" s="60">
        <v>46646.39</v>
      </c>
      <c r="AM44" s="60">
        <v>46646.39</v>
      </c>
      <c r="AN44" s="60">
        <v>46646.39</v>
      </c>
      <c r="AO44" s="60">
        <v>46646.39</v>
      </c>
      <c r="AP44" s="60">
        <v>46646.39</v>
      </c>
      <c r="AQ44" s="60">
        <v>46646.39</v>
      </c>
      <c r="AR44" s="61">
        <f t="shared" si="7"/>
        <v>279878.34000000003</v>
      </c>
      <c r="AS44" s="60">
        <v>46646.39</v>
      </c>
      <c r="AT44" s="60">
        <v>46646.39</v>
      </c>
      <c r="AU44" s="60">
        <v>46646.39</v>
      </c>
      <c r="AV44" s="60">
        <v>46646.39</v>
      </c>
      <c r="AW44" s="60">
        <v>46646.39</v>
      </c>
      <c r="AX44" s="60">
        <v>46646.39</v>
      </c>
      <c r="AY44" s="61">
        <f t="shared" si="8"/>
        <v>279878.34000000003</v>
      </c>
      <c r="AZ44" s="56">
        <f t="shared" si="2"/>
        <v>559756.68000000005</v>
      </c>
      <c r="BA44" s="62">
        <f t="shared" si="14"/>
        <v>5619166.6699999999</v>
      </c>
      <c r="BB44" s="62">
        <f t="shared" si="9"/>
        <v>2425612.2799999993</v>
      </c>
      <c r="BC44" s="62">
        <f t="shared" si="15"/>
        <v>3193554.3900000006</v>
      </c>
      <c r="BD44" s="63"/>
      <c r="BE44" s="57"/>
      <c r="BF44" s="35" t="str">
        <f>VLOOKUP(A:A,'2023-2027'!A:G,1,+FALSE)</f>
        <v>Специальный автогидроподъемник Чайка-Сервис 2784SG</v>
      </c>
      <c r="BG44" s="7" t="b">
        <f t="shared" si="19"/>
        <v>1</v>
      </c>
      <c r="BH44" s="35">
        <f>VLOOKUP(A:A,'2023-2027'!A:AT,43,+FALSE)</f>
        <v>46826.390000000007</v>
      </c>
    </row>
    <row r="45" spans="1:60" ht="12" hidden="1" customHeight="1" outlineLevel="1" x14ac:dyDescent="0.2">
      <c r="A45" s="59" t="s">
        <v>241</v>
      </c>
      <c r="B45" s="59" t="s">
        <v>76</v>
      </c>
      <c r="C45" s="59" t="s">
        <v>82</v>
      </c>
      <c r="D45" s="65" t="s">
        <v>242</v>
      </c>
      <c r="E45" s="59" t="s">
        <v>243</v>
      </c>
      <c r="F45" s="60">
        <v>3933</v>
      </c>
      <c r="G45" s="60">
        <v>3933</v>
      </c>
      <c r="H45" s="59"/>
      <c r="I45" s="59"/>
      <c r="J45" s="59"/>
      <c r="K45" s="60">
        <v>3933</v>
      </c>
      <c r="L45" s="60">
        <v>3933</v>
      </c>
      <c r="M45" s="59"/>
      <c r="N45" s="59"/>
      <c r="O45" s="59"/>
      <c r="P45" s="67"/>
      <c r="Q45" s="67"/>
      <c r="R45" s="61">
        <f t="shared" si="3"/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1">
        <f t="shared" si="4"/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1">
        <f t="shared" si="5"/>
        <v>0</v>
      </c>
      <c r="AF45" s="62">
        <f t="shared" si="17"/>
        <v>0</v>
      </c>
      <c r="AG45" s="62">
        <f t="shared" si="18"/>
        <v>0</v>
      </c>
      <c r="AH45" s="62">
        <f t="shared" si="13"/>
        <v>0</v>
      </c>
      <c r="AI45" s="63"/>
      <c r="AJ45" s="63"/>
      <c r="AK45" s="62"/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1">
        <f t="shared" si="7"/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1">
        <f t="shared" si="8"/>
        <v>0</v>
      </c>
      <c r="AZ45" s="56">
        <f t="shared" si="2"/>
        <v>0</v>
      </c>
      <c r="BA45" s="62">
        <f t="shared" si="14"/>
        <v>0</v>
      </c>
      <c r="BB45" s="62">
        <f t="shared" si="9"/>
        <v>0</v>
      </c>
      <c r="BC45" s="62">
        <f t="shared" si="15"/>
        <v>0</v>
      </c>
      <c r="BD45" s="63"/>
      <c r="BE45" s="57"/>
      <c r="BF45" s="35" t="e">
        <f>VLOOKUP(A:A,'2023-2027'!A:G,1,+FALSE)</f>
        <v>#N/A</v>
      </c>
      <c r="BG45" s="7" t="e">
        <f t="shared" si="19"/>
        <v>#N/A</v>
      </c>
      <c r="BH45" s="35"/>
    </row>
    <row r="46" spans="1:60" ht="12" hidden="1" customHeight="1" outlineLevel="1" x14ac:dyDescent="0.2">
      <c r="A46" s="59" t="s">
        <v>244</v>
      </c>
      <c r="B46" s="59" t="s">
        <v>76</v>
      </c>
      <c r="C46" s="59" t="s">
        <v>82</v>
      </c>
      <c r="D46" s="65" t="s">
        <v>245</v>
      </c>
      <c r="E46" s="59" t="s">
        <v>246</v>
      </c>
      <c r="F46" s="60">
        <v>29500</v>
      </c>
      <c r="G46" s="60">
        <v>29500</v>
      </c>
      <c r="H46" s="59"/>
      <c r="I46" s="59"/>
      <c r="J46" s="59"/>
      <c r="K46" s="60">
        <v>29500</v>
      </c>
      <c r="L46" s="60">
        <v>29500</v>
      </c>
      <c r="M46" s="59"/>
      <c r="N46" s="59"/>
      <c r="O46" s="59"/>
      <c r="P46" s="67"/>
      <c r="Q46" s="67"/>
      <c r="R46" s="61">
        <f t="shared" si="3"/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1">
        <f t="shared" si="4"/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1">
        <f t="shared" si="5"/>
        <v>0</v>
      </c>
      <c r="AF46" s="62">
        <f t="shared" si="17"/>
        <v>0</v>
      </c>
      <c r="AG46" s="62">
        <f t="shared" si="18"/>
        <v>0</v>
      </c>
      <c r="AH46" s="62">
        <f t="shared" si="13"/>
        <v>0</v>
      </c>
      <c r="AI46" s="63"/>
      <c r="AJ46" s="63"/>
      <c r="AK46" s="62"/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1">
        <f t="shared" si="7"/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1">
        <f t="shared" si="8"/>
        <v>0</v>
      </c>
      <c r="AZ46" s="56">
        <f t="shared" si="2"/>
        <v>0</v>
      </c>
      <c r="BA46" s="62">
        <f t="shared" si="14"/>
        <v>0</v>
      </c>
      <c r="BB46" s="62">
        <f t="shared" si="9"/>
        <v>0</v>
      </c>
      <c r="BC46" s="62">
        <f t="shared" si="15"/>
        <v>0</v>
      </c>
      <c r="BD46" s="63"/>
      <c r="BE46" s="57"/>
      <c r="BF46" s="35" t="e">
        <f>VLOOKUP(A:A,'2023-2027'!A:G,1,+FALSE)</f>
        <v>#N/A</v>
      </c>
      <c r="BG46" s="7" t="e">
        <f t="shared" si="19"/>
        <v>#N/A</v>
      </c>
      <c r="BH46" s="35"/>
    </row>
    <row r="47" spans="1:60" ht="12" hidden="1" customHeight="1" outlineLevel="1" x14ac:dyDescent="0.2">
      <c r="A47" s="59" t="s">
        <v>247</v>
      </c>
      <c r="B47" s="59" t="s">
        <v>76</v>
      </c>
      <c r="C47" s="59" t="s">
        <v>82</v>
      </c>
      <c r="D47" s="65" t="s">
        <v>248</v>
      </c>
      <c r="E47" s="59" t="s">
        <v>246</v>
      </c>
      <c r="F47" s="60">
        <v>29500</v>
      </c>
      <c r="G47" s="60">
        <v>29500</v>
      </c>
      <c r="H47" s="59"/>
      <c r="I47" s="59"/>
      <c r="J47" s="59"/>
      <c r="K47" s="60">
        <v>29500</v>
      </c>
      <c r="L47" s="60">
        <v>29500</v>
      </c>
      <c r="M47" s="59"/>
      <c r="N47" s="59"/>
      <c r="O47" s="59"/>
      <c r="P47" s="67"/>
      <c r="Q47" s="67"/>
      <c r="R47" s="61">
        <f t="shared" si="3"/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1">
        <f t="shared" si="4"/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1">
        <f t="shared" si="5"/>
        <v>0</v>
      </c>
      <c r="AF47" s="62">
        <f t="shared" si="17"/>
        <v>0</v>
      </c>
      <c r="AG47" s="62">
        <f t="shared" si="18"/>
        <v>0</v>
      </c>
      <c r="AH47" s="62">
        <f t="shared" si="13"/>
        <v>0</v>
      </c>
      <c r="AI47" s="63"/>
      <c r="AJ47" s="63"/>
      <c r="AK47" s="62"/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1">
        <f t="shared" si="7"/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1">
        <f t="shared" si="8"/>
        <v>0</v>
      </c>
      <c r="AZ47" s="56">
        <f t="shared" si="2"/>
        <v>0</v>
      </c>
      <c r="BA47" s="62">
        <f t="shared" si="14"/>
        <v>0</v>
      </c>
      <c r="BB47" s="62">
        <f t="shared" si="9"/>
        <v>0</v>
      </c>
      <c r="BC47" s="62">
        <f t="shared" si="15"/>
        <v>0</v>
      </c>
      <c r="BD47" s="63"/>
      <c r="BE47" s="57"/>
      <c r="BF47" s="35" t="e">
        <f>VLOOKUP(A:A,'2023-2027'!A:G,1,+FALSE)</f>
        <v>#N/A</v>
      </c>
      <c r="BG47" s="7" t="e">
        <f t="shared" si="19"/>
        <v>#N/A</v>
      </c>
      <c r="BH47" s="35"/>
    </row>
    <row r="48" spans="1:60" ht="12" hidden="1" customHeight="1" outlineLevel="1" x14ac:dyDescent="0.2">
      <c r="A48" s="59" t="s">
        <v>249</v>
      </c>
      <c r="B48" s="59" t="s">
        <v>76</v>
      </c>
      <c r="C48" s="59" t="s">
        <v>82</v>
      </c>
      <c r="D48" s="65" t="s">
        <v>250</v>
      </c>
      <c r="E48" s="59" t="s">
        <v>251</v>
      </c>
      <c r="F48" s="60">
        <v>31513</v>
      </c>
      <c r="G48" s="60">
        <v>7414.59</v>
      </c>
      <c r="H48" s="60">
        <v>24098.41</v>
      </c>
      <c r="I48" s="59"/>
      <c r="J48" s="68">
        <v>332.77</v>
      </c>
      <c r="K48" s="59"/>
      <c r="L48" s="59"/>
      <c r="M48" s="60">
        <v>31513</v>
      </c>
      <c r="N48" s="60">
        <v>7747.36</v>
      </c>
      <c r="O48" s="60">
        <v>23765.64</v>
      </c>
      <c r="P48" s="55"/>
      <c r="Q48" s="55"/>
      <c r="R48" s="61">
        <f t="shared" si="3"/>
        <v>27.730833333333333</v>
      </c>
      <c r="S48" s="60">
        <v>27.730833329999999</v>
      </c>
      <c r="T48" s="60">
        <v>27.730833329999999</v>
      </c>
      <c r="U48" s="60">
        <v>27.730833329999999</v>
      </c>
      <c r="V48" s="60">
        <v>27.730833329999999</v>
      </c>
      <c r="W48" s="60">
        <v>27.730833329999999</v>
      </c>
      <c r="X48" s="61">
        <f t="shared" si="4"/>
        <v>166.38499998333333</v>
      </c>
      <c r="Y48" s="60">
        <v>27.730833329999999</v>
      </c>
      <c r="Z48" s="60">
        <v>27.730833329999999</v>
      </c>
      <c r="AA48" s="60">
        <v>27.730833329999999</v>
      </c>
      <c r="AB48" s="60">
        <v>27.730833329999999</v>
      </c>
      <c r="AC48" s="60">
        <v>27.730833329999999</v>
      </c>
      <c r="AD48" s="60">
        <v>27.730833329999999</v>
      </c>
      <c r="AE48" s="61">
        <f t="shared" si="5"/>
        <v>166.38499998</v>
      </c>
      <c r="AF48" s="62">
        <f t="shared" si="17"/>
        <v>31513</v>
      </c>
      <c r="AG48" s="62">
        <f t="shared" si="18"/>
        <v>8080.1299999633302</v>
      </c>
      <c r="AH48" s="62">
        <f t="shared" si="13"/>
        <v>23432.87000003667</v>
      </c>
      <c r="AI48" s="63"/>
      <c r="AJ48" s="63"/>
      <c r="AK48" s="62"/>
      <c r="AL48" s="60">
        <v>27.730833329999999</v>
      </c>
      <c r="AM48" s="60">
        <v>27.730833329999999</v>
      </c>
      <c r="AN48" s="60">
        <v>27.730833329999999</v>
      </c>
      <c r="AO48" s="60">
        <v>27.730833329999999</v>
      </c>
      <c r="AP48" s="60">
        <v>27.730833329999999</v>
      </c>
      <c r="AQ48" s="60">
        <v>27.730833329999999</v>
      </c>
      <c r="AR48" s="61">
        <f t="shared" si="7"/>
        <v>166.38499998</v>
      </c>
      <c r="AS48" s="60">
        <v>27.730833329999999</v>
      </c>
      <c r="AT48" s="60">
        <v>27.730833329999999</v>
      </c>
      <c r="AU48" s="60">
        <v>27.730833329999999</v>
      </c>
      <c r="AV48" s="60">
        <v>27.730833329999999</v>
      </c>
      <c r="AW48" s="60">
        <v>27.730833329999999</v>
      </c>
      <c r="AX48" s="60">
        <v>27.730833329999999</v>
      </c>
      <c r="AY48" s="61">
        <f t="shared" si="8"/>
        <v>166.38499998</v>
      </c>
      <c r="AZ48" s="56">
        <f t="shared" si="2"/>
        <v>332.76999996000001</v>
      </c>
      <c r="BA48" s="62">
        <f t="shared" si="14"/>
        <v>31513</v>
      </c>
      <c r="BB48" s="62">
        <f t="shared" si="9"/>
        <v>8412.8999999233347</v>
      </c>
      <c r="BC48" s="62">
        <f t="shared" si="15"/>
        <v>23100.100000076665</v>
      </c>
      <c r="BD48" s="63"/>
      <c r="BE48" s="57"/>
      <c r="BF48" s="35" t="e">
        <f>VLOOKUP(A:A,'2023-2027'!A:G,1,+FALSE)</f>
        <v>#N/A</v>
      </c>
      <c r="BG48" s="7" t="e">
        <f t="shared" si="19"/>
        <v>#N/A</v>
      </c>
      <c r="BH48" s="35"/>
    </row>
    <row r="49" spans="1:60" ht="36" hidden="1" customHeight="1" outlineLevel="1" x14ac:dyDescent="0.2">
      <c r="A49" s="59" t="s">
        <v>252</v>
      </c>
      <c r="B49" s="59" t="s">
        <v>76</v>
      </c>
      <c r="C49" s="59" t="s">
        <v>82</v>
      </c>
      <c r="D49" s="66" t="s">
        <v>253</v>
      </c>
      <c r="E49" s="59" t="s">
        <v>254</v>
      </c>
      <c r="F49" s="60">
        <v>86602.39</v>
      </c>
      <c r="G49" s="60">
        <v>30792.959999999999</v>
      </c>
      <c r="H49" s="60">
        <v>55809.43</v>
      </c>
      <c r="I49" s="59"/>
      <c r="J49" s="60">
        <v>4561.92</v>
      </c>
      <c r="K49" s="59"/>
      <c r="L49" s="59"/>
      <c r="M49" s="60">
        <v>86602.39</v>
      </c>
      <c r="N49" s="60">
        <v>35354.879999999997</v>
      </c>
      <c r="O49" s="60">
        <v>51247.51</v>
      </c>
      <c r="P49" s="55"/>
      <c r="Q49" s="55"/>
      <c r="R49" s="61">
        <f t="shared" si="3"/>
        <v>380.16</v>
      </c>
      <c r="S49" s="60">
        <v>380.16</v>
      </c>
      <c r="T49" s="60">
        <v>380.16</v>
      </c>
      <c r="U49" s="60">
        <v>380.16</v>
      </c>
      <c r="V49" s="60">
        <v>380.16</v>
      </c>
      <c r="W49" s="60">
        <v>380.16</v>
      </c>
      <c r="X49" s="61">
        <f t="shared" si="4"/>
        <v>2280.96</v>
      </c>
      <c r="Y49" s="60">
        <v>380.16</v>
      </c>
      <c r="Z49" s="60">
        <v>380.16</v>
      </c>
      <c r="AA49" s="60">
        <v>380.16</v>
      </c>
      <c r="AB49" s="60">
        <v>380.16</v>
      </c>
      <c r="AC49" s="60">
        <v>380.16</v>
      </c>
      <c r="AD49" s="60">
        <v>380.16</v>
      </c>
      <c r="AE49" s="61">
        <f t="shared" si="5"/>
        <v>2280.96</v>
      </c>
      <c r="AF49" s="62">
        <f t="shared" si="17"/>
        <v>86602.39</v>
      </c>
      <c r="AG49" s="62">
        <f t="shared" si="18"/>
        <v>39916.800000000039</v>
      </c>
      <c r="AH49" s="62">
        <f t="shared" si="13"/>
        <v>46685.58999999996</v>
      </c>
      <c r="AI49" s="63"/>
      <c r="AJ49" s="63"/>
      <c r="AK49" s="62"/>
      <c r="AL49" s="60">
        <v>380.16</v>
      </c>
      <c r="AM49" s="60">
        <v>380.16</v>
      </c>
      <c r="AN49" s="60">
        <v>380.16</v>
      </c>
      <c r="AO49" s="60">
        <v>380.16</v>
      </c>
      <c r="AP49" s="60">
        <v>380.16</v>
      </c>
      <c r="AQ49" s="60">
        <v>380.16</v>
      </c>
      <c r="AR49" s="61">
        <f t="shared" si="7"/>
        <v>2280.96</v>
      </c>
      <c r="AS49" s="60">
        <v>380.16</v>
      </c>
      <c r="AT49" s="60">
        <v>380.16</v>
      </c>
      <c r="AU49" s="60">
        <v>380.16</v>
      </c>
      <c r="AV49" s="60">
        <v>380.16</v>
      </c>
      <c r="AW49" s="60">
        <v>380.16</v>
      </c>
      <c r="AX49" s="60">
        <v>380.16</v>
      </c>
      <c r="AY49" s="61">
        <f t="shared" si="8"/>
        <v>2280.96</v>
      </c>
      <c r="AZ49" s="56">
        <f t="shared" si="2"/>
        <v>4561.92</v>
      </c>
      <c r="BA49" s="62">
        <f t="shared" si="14"/>
        <v>86602.39</v>
      </c>
      <c r="BB49" s="62">
        <f t="shared" si="9"/>
        <v>44478.720000000081</v>
      </c>
      <c r="BC49" s="62">
        <f t="shared" si="15"/>
        <v>42123.669999999918</v>
      </c>
      <c r="BD49" s="63"/>
      <c r="BE49" s="57"/>
      <c r="BF49" s="35" t="str">
        <f>VLOOKUP(A:A,'2023-2027'!A:G,1,+FALSE)</f>
        <v>Трактор ХТЗ-150К-09 с оборудованием бурильно-крановым</v>
      </c>
      <c r="BG49" s="7" t="b">
        <f t="shared" si="19"/>
        <v>1</v>
      </c>
      <c r="BH49" s="35">
        <f>VLOOKUP(A:A,'2023-2027'!A:AT,43,+FALSE)</f>
        <v>0</v>
      </c>
    </row>
    <row r="50" spans="1:60" ht="12" hidden="1" customHeight="1" outlineLevel="1" x14ac:dyDescent="0.2">
      <c r="A50" s="59" t="s">
        <v>255</v>
      </c>
      <c r="B50" s="59" t="s">
        <v>76</v>
      </c>
      <c r="C50" s="59" t="s">
        <v>82</v>
      </c>
      <c r="D50" s="65" t="s">
        <v>256</v>
      </c>
      <c r="E50" s="59" t="s">
        <v>257</v>
      </c>
      <c r="F50" s="60">
        <v>10320</v>
      </c>
      <c r="G50" s="60">
        <v>10320</v>
      </c>
      <c r="H50" s="59"/>
      <c r="I50" s="59"/>
      <c r="J50" s="59"/>
      <c r="K50" s="60">
        <v>10320</v>
      </c>
      <c r="L50" s="60">
        <v>10320</v>
      </c>
      <c r="M50" s="59"/>
      <c r="N50" s="59"/>
      <c r="O50" s="59"/>
      <c r="P50" s="67"/>
      <c r="Q50" s="67"/>
      <c r="R50" s="61">
        <f t="shared" si="3"/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1">
        <f t="shared" si="4"/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1">
        <f t="shared" si="5"/>
        <v>0</v>
      </c>
      <c r="AF50" s="62">
        <f t="shared" si="17"/>
        <v>0</v>
      </c>
      <c r="AG50" s="62">
        <f t="shared" si="18"/>
        <v>0</v>
      </c>
      <c r="AH50" s="62">
        <f t="shared" si="13"/>
        <v>0</v>
      </c>
      <c r="AI50" s="63"/>
      <c r="AJ50" s="63"/>
      <c r="AK50" s="62"/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1">
        <f t="shared" si="7"/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1">
        <f t="shared" si="8"/>
        <v>0</v>
      </c>
      <c r="AZ50" s="56">
        <f t="shared" si="2"/>
        <v>0</v>
      </c>
      <c r="BA50" s="62">
        <f t="shared" si="14"/>
        <v>0</v>
      </c>
      <c r="BB50" s="62">
        <f t="shared" si="9"/>
        <v>0</v>
      </c>
      <c r="BC50" s="62">
        <f t="shared" si="15"/>
        <v>0</v>
      </c>
      <c r="BD50" s="63"/>
      <c r="BE50" s="57"/>
      <c r="BF50" s="35" t="e">
        <f>VLOOKUP(A:A,'2023-2027'!A:G,1,+FALSE)</f>
        <v>#N/A</v>
      </c>
      <c r="BG50" s="7" t="e">
        <f t="shared" si="19"/>
        <v>#N/A</v>
      </c>
      <c r="BH50" s="35"/>
    </row>
    <row r="51" spans="1:60" s="58" customFormat="1" ht="13.15" hidden="1" customHeight="1" x14ac:dyDescent="0.2">
      <c r="A51" s="323" t="s">
        <v>77</v>
      </c>
      <c r="B51" s="323"/>
      <c r="C51" s="323"/>
      <c r="D51" s="323"/>
      <c r="E51" s="323"/>
      <c r="F51" s="69">
        <f>F52+F53+F54+F55+F56+F57+F58+F59+F60+F61+F62+F63+F64+F65+F66+F67+F68+F69+F70+F71+F72+F73+F74+F75+F76+F77+F78+F79+F80+F81+F82+F83+F84+F85+F86+F87+F88+F89+F90+F91+F92+F93+F94+F95+F96+F97+F98+F99+F100+F101+F102+F103+F104+F105+F106+F107+F108+F109+F110+F111+F112+F113+F114+F115+F116+F117+F118+F119+F120+F121+F122+F123+F124+F125+F126+F127+F128+F129+F130+F131+F132+F133+F134+F135+F136+F137+F138+F139+F140+F141+F142+F143+F144+F145+F146+F147+F148+F149+F150+F151+F152+F153+F154+F155</f>
        <v>703901671.54000103</v>
      </c>
      <c r="G51" s="69">
        <f t="shared" ref="G51:AJ51" si="26">G52+G53+G54+G55+G56+G57+G58+G59+G60+G61+G62+G63+G64+G65+G66+G67+G68+G69+G70+G71+G72+G73+G74+G75+G76+G77+G78+G79+G80+G81+G82+G83+G84+G85+G86+G87+G88+G89+G90+G91+G92+G93+G94+G95+G96+G97+G98+G99+G100+G101+G102+G103+G104+G105+G106+G107+G108+G109+G110+G111+G112+G113+G114+G115+G116+G117+G118+G119+G120+G121+G122+G123+G124+G125+G126+G127+G128+G129+G130+G131+G132+G133+G134+G135+G136+G137+G138+G139+G140+G141+G142+G143+G144+G145+G146+G147+G148+G149+G150+G151+G152+G153+G154+G155</f>
        <v>342783129.86000037</v>
      </c>
      <c r="H51" s="69">
        <f t="shared" si="26"/>
        <v>361444417.55999923</v>
      </c>
      <c r="I51" s="69">
        <f t="shared" si="26"/>
        <v>0</v>
      </c>
      <c r="J51" s="69">
        <f t="shared" si="26"/>
        <v>29089878.109999966</v>
      </c>
      <c r="K51" s="69">
        <f t="shared" si="26"/>
        <v>100906.5</v>
      </c>
      <c r="L51" s="69">
        <f t="shared" si="26"/>
        <v>100906.5</v>
      </c>
      <c r="M51" s="69">
        <f t="shared" si="26"/>
        <v>703800765.04000103</v>
      </c>
      <c r="N51" s="69">
        <f t="shared" si="26"/>
        <v>371772101.46999973</v>
      </c>
      <c r="O51" s="69">
        <f t="shared" si="26"/>
        <v>332354539.45000023</v>
      </c>
      <c r="P51" s="64">
        <v>192823442.65000001</v>
      </c>
      <c r="Q51" s="64">
        <f>Q52+Q63+Q65+Q66+Q73+Q86+Q98+Q107+Q110+Q123+Q125</f>
        <v>4242115.7440000009</v>
      </c>
      <c r="R51" s="69">
        <f t="shared" si="26"/>
        <v>2424156.5091666719</v>
      </c>
      <c r="S51" s="69">
        <f t="shared" si="26"/>
        <v>2424156.5091963052</v>
      </c>
      <c r="T51" s="69">
        <f t="shared" si="26"/>
        <v>2424156.5091963052</v>
      </c>
      <c r="U51" s="69">
        <f t="shared" si="26"/>
        <v>2424156.5091963052</v>
      </c>
      <c r="V51" s="69">
        <f t="shared" si="26"/>
        <v>2424156.5091963052</v>
      </c>
      <c r="W51" s="69">
        <f t="shared" si="26"/>
        <v>2424156.5091963052</v>
      </c>
      <c r="X51" s="69">
        <f t="shared" si="26"/>
        <v>14544939.055148149</v>
      </c>
      <c r="Y51" s="69">
        <f t="shared" si="26"/>
        <v>2424156.5091963052</v>
      </c>
      <c r="Z51" s="69">
        <f t="shared" si="26"/>
        <v>2424156.5091963052</v>
      </c>
      <c r="AA51" s="69">
        <f t="shared" si="26"/>
        <v>2424156.5091963052</v>
      </c>
      <c r="AB51" s="69">
        <f t="shared" si="26"/>
        <v>2424156.5091963052</v>
      </c>
      <c r="AC51" s="69">
        <f t="shared" si="26"/>
        <v>2424156.5091963052</v>
      </c>
      <c r="AD51" s="69">
        <f t="shared" si="26"/>
        <v>2424156.5091963052</v>
      </c>
      <c r="AE51" s="69">
        <f t="shared" si="26"/>
        <v>14544939.055177782</v>
      </c>
      <c r="AF51" s="69">
        <f t="shared" si="26"/>
        <v>703800765.04000103</v>
      </c>
      <c r="AG51" s="69">
        <f t="shared" si="26"/>
        <v>400861979.58032626</v>
      </c>
      <c r="AH51" s="69">
        <f t="shared" si="26"/>
        <v>302938785.45967478</v>
      </c>
      <c r="AI51" s="64">
        <v>187202736.25</v>
      </c>
      <c r="AJ51" s="64">
        <f t="shared" si="26"/>
        <v>4118460.1974999993</v>
      </c>
      <c r="AK51" s="69"/>
      <c r="AL51" s="69">
        <f t="shared" ref="AL51:BE51" si="27">AL52+AL53+AL54+AL55+AL56+AL57+AL58+AL59+AL60+AL61+AL62+AL63+AL64+AL65+AL66+AL67+AL68+AL69+AL70+AL71+AL72+AL73+AL74+AL75+AL76+AL77+AL78+AL79+AL80+AL81+AL82+AL83+AL84+AL85+AL86+AL87+AL88+AL89+AL90+AL91+AL92+AL93+AL94+AL95+AL96+AL97+AL98+AL99+AL100+AL101+AL102+AL103+AL104+AL105+AL106+AL107+AL108+AL109+AL110+AL111+AL112+AL113+AL114+AL115+AL116+AL117+AL118+AL119+AL120+AL121+AL122+AL123+AL124+AL125+AL126+AL127+AL128+AL129+AL130+AL131+AL132+AL133+AL134+AL135+AL136+AL137+AL138+AL139+AL140+AL141+AL142+AL143+AL144+AL145+AL146+AL147+AL148+AL149+AL150+AL151+AL152+AL153+AL154+AL155</f>
        <v>2424156.5091963052</v>
      </c>
      <c r="AM51" s="69">
        <f t="shared" si="27"/>
        <v>2424156.5091963052</v>
      </c>
      <c r="AN51" s="69">
        <f t="shared" si="27"/>
        <v>2424156.5091963052</v>
      </c>
      <c r="AO51" s="69">
        <f t="shared" si="27"/>
        <v>2424156.5091963052</v>
      </c>
      <c r="AP51" s="69">
        <f t="shared" si="27"/>
        <v>2424156.5091963052</v>
      </c>
      <c r="AQ51" s="69">
        <f t="shared" si="27"/>
        <v>2424156.5091963052</v>
      </c>
      <c r="AR51" s="69">
        <f t="shared" si="27"/>
        <v>14544939.055177782</v>
      </c>
      <c r="AS51" s="69">
        <f t="shared" si="27"/>
        <v>2424156.5091963052</v>
      </c>
      <c r="AT51" s="69">
        <f t="shared" si="27"/>
        <v>2424156.5091963052</v>
      </c>
      <c r="AU51" s="69">
        <f t="shared" si="27"/>
        <v>2424156.5091963052</v>
      </c>
      <c r="AV51" s="69">
        <f t="shared" si="27"/>
        <v>2424156.5091963052</v>
      </c>
      <c r="AW51" s="69">
        <f t="shared" si="27"/>
        <v>2424156.5091963052</v>
      </c>
      <c r="AX51" s="69">
        <f t="shared" si="27"/>
        <v>2424156.3991963053</v>
      </c>
      <c r="AY51" s="69">
        <f t="shared" si="27"/>
        <v>14544938.945177782</v>
      </c>
      <c r="AZ51" s="56">
        <f t="shared" si="2"/>
        <v>29089878.000355564</v>
      </c>
      <c r="BA51" s="69">
        <f t="shared" si="27"/>
        <v>703800765.04000103</v>
      </c>
      <c r="BB51" s="69">
        <f t="shared" si="27"/>
        <v>429951857.58068109</v>
      </c>
      <c r="BC51" s="69">
        <f t="shared" si="27"/>
        <v>273848907.45931834</v>
      </c>
      <c r="BD51" s="64">
        <v>181582029.48999992</v>
      </c>
      <c r="BE51" s="64">
        <f t="shared" si="27"/>
        <v>3994804.6487799981</v>
      </c>
      <c r="BF51" s="35" t="e">
        <f>VLOOKUP(A:A,'2023-2027'!A:G,1,+FALSE)</f>
        <v>#N/A</v>
      </c>
      <c r="BG51" s="7" t="e">
        <f t="shared" si="19"/>
        <v>#N/A</v>
      </c>
      <c r="BH51" s="35"/>
    </row>
    <row r="52" spans="1:60" ht="24" hidden="1" customHeight="1" outlineLevel="1" x14ac:dyDescent="0.2">
      <c r="A52" s="59" t="s">
        <v>258</v>
      </c>
      <c r="B52" s="59" t="s">
        <v>77</v>
      </c>
      <c r="C52" s="59" t="s">
        <v>81</v>
      </c>
      <c r="D52" s="66" t="s">
        <v>259</v>
      </c>
      <c r="E52" s="59" t="s">
        <v>260</v>
      </c>
      <c r="F52" s="60">
        <v>217511750.34</v>
      </c>
      <c r="G52" s="60">
        <v>51115260.780000001</v>
      </c>
      <c r="H52" s="60">
        <v>166396489.56</v>
      </c>
      <c r="I52" s="59"/>
      <c r="J52" s="60">
        <v>4350235.07</v>
      </c>
      <c r="K52" s="59"/>
      <c r="L52" s="59"/>
      <c r="M52" s="60">
        <v>217511750.34</v>
      </c>
      <c r="N52" s="60">
        <v>55465495.850000001</v>
      </c>
      <c r="O52" s="60">
        <v>162046254.49000001</v>
      </c>
      <c r="P52" s="55">
        <v>164221371.71000001</v>
      </c>
      <c r="Q52" s="55">
        <f>P52*2.2%</f>
        <v>3612870.1776200007</v>
      </c>
      <c r="R52" s="61">
        <f t="shared" si="3"/>
        <v>362519.58916666667</v>
      </c>
      <c r="S52" s="60">
        <v>362519.58919999999</v>
      </c>
      <c r="T52" s="60">
        <v>362519.58919999999</v>
      </c>
      <c r="U52" s="60">
        <v>362519.58919999999</v>
      </c>
      <c r="V52" s="60">
        <v>362519.58919999999</v>
      </c>
      <c r="W52" s="60">
        <v>362519.58919999999</v>
      </c>
      <c r="X52" s="61">
        <f t="shared" si="4"/>
        <v>2175117.5351666668</v>
      </c>
      <c r="Y52" s="60">
        <v>362519.58919999999</v>
      </c>
      <c r="Z52" s="60">
        <v>362519.58919999999</v>
      </c>
      <c r="AA52" s="60">
        <v>362519.58919999999</v>
      </c>
      <c r="AB52" s="60">
        <v>362519.58919999999</v>
      </c>
      <c r="AC52" s="60">
        <v>362519.58919999999</v>
      </c>
      <c r="AD52" s="60">
        <v>362519.58919999999</v>
      </c>
      <c r="AE52" s="61">
        <f t="shared" si="5"/>
        <v>2175117.5351999998</v>
      </c>
      <c r="AF52" s="62">
        <f t="shared" ref="AF52:AF115" si="28">M52</f>
        <v>217511750.34</v>
      </c>
      <c r="AG52" s="62">
        <f t="shared" ref="AG52:AG115" si="29">N52+R52+S52+T52+U52+V52+W52+Y52+Z52+AA52+AB52+AC52+AD52</f>
        <v>59815730.920366637</v>
      </c>
      <c r="AH52" s="62">
        <f t="shared" si="13"/>
        <v>157696019.41963336</v>
      </c>
      <c r="AI52" s="63">
        <v>159871136.94999999</v>
      </c>
      <c r="AJ52" s="63">
        <f t="shared" ref="AJ52" si="30">AI52*2.2%</f>
        <v>3517165.0129</v>
      </c>
      <c r="AK52" s="62"/>
      <c r="AL52" s="60">
        <v>362519.58919999999</v>
      </c>
      <c r="AM52" s="60">
        <v>362519.58919999999</v>
      </c>
      <c r="AN52" s="60">
        <v>362519.58919999999</v>
      </c>
      <c r="AO52" s="60">
        <v>362519.58919999999</v>
      </c>
      <c r="AP52" s="60">
        <v>362519.58919999999</v>
      </c>
      <c r="AQ52" s="60">
        <v>362519.58919999999</v>
      </c>
      <c r="AR52" s="61">
        <f t="shared" si="7"/>
        <v>2175117.5351999998</v>
      </c>
      <c r="AS52" s="60">
        <v>362519.58919999999</v>
      </c>
      <c r="AT52" s="60">
        <v>362519.58919999999</v>
      </c>
      <c r="AU52" s="60">
        <v>362519.58919999999</v>
      </c>
      <c r="AV52" s="60">
        <v>362519.58919999999</v>
      </c>
      <c r="AW52" s="60">
        <v>362519.58919999999</v>
      </c>
      <c r="AX52" s="60">
        <v>362519.58919999999</v>
      </c>
      <c r="AY52" s="61">
        <f t="shared" si="8"/>
        <v>2175117.5351999998</v>
      </c>
      <c r="AZ52" s="56">
        <f t="shared" si="2"/>
        <v>4350235.0703999996</v>
      </c>
      <c r="BA52" s="62">
        <f t="shared" si="14"/>
        <v>217511750.34</v>
      </c>
      <c r="BB52" s="62">
        <f t="shared" si="9"/>
        <v>64165965.990766607</v>
      </c>
      <c r="BC52" s="62">
        <f t="shared" si="15"/>
        <v>153345784.34923339</v>
      </c>
      <c r="BD52" s="63">
        <v>155520901.86999992</v>
      </c>
      <c r="BE52" s="57">
        <f t="shared" ref="BE52" si="31">BD52*2.2%</f>
        <v>3421459.8411399983</v>
      </c>
      <c r="BF52" s="35" t="str">
        <f>VLOOKUP(A:A,'2023-2027'!A:G,1,+FALSE)</f>
        <v>2 очередь реконст. электрост. Здание ГТЭС-18 2010г</v>
      </c>
      <c r="BG52" s="7" t="b">
        <f t="shared" si="19"/>
        <v>1</v>
      </c>
      <c r="BH52" s="35">
        <f>VLOOKUP(A:A,'2023-2027'!A:AT,43,+FALSE)</f>
        <v>362519.58919999999</v>
      </c>
    </row>
    <row r="53" spans="1:60" ht="24" hidden="1" customHeight="1" outlineLevel="1" x14ac:dyDescent="0.2">
      <c r="A53" s="59" t="s">
        <v>261</v>
      </c>
      <c r="B53" s="59" t="s">
        <v>77</v>
      </c>
      <c r="C53" s="59" t="s">
        <v>81</v>
      </c>
      <c r="D53" s="66" t="s">
        <v>262</v>
      </c>
      <c r="E53" s="59" t="s">
        <v>260</v>
      </c>
      <c r="F53" s="60">
        <v>2926500</v>
      </c>
      <c r="G53" s="60">
        <v>1719318.75</v>
      </c>
      <c r="H53" s="60">
        <v>1207181.25</v>
      </c>
      <c r="I53" s="59"/>
      <c r="J53" s="60">
        <v>146325</v>
      </c>
      <c r="K53" s="59"/>
      <c r="L53" s="59"/>
      <c r="M53" s="60">
        <v>2926500</v>
      </c>
      <c r="N53" s="60">
        <v>1865643.75</v>
      </c>
      <c r="O53" s="60">
        <v>1060856.25</v>
      </c>
      <c r="P53" s="55"/>
      <c r="Q53" s="55"/>
      <c r="R53" s="61">
        <f t="shared" si="3"/>
        <v>12193.75</v>
      </c>
      <c r="S53" s="60">
        <v>12193.75</v>
      </c>
      <c r="T53" s="60">
        <v>12193.75</v>
      </c>
      <c r="U53" s="60">
        <v>12193.75</v>
      </c>
      <c r="V53" s="60">
        <v>12193.75</v>
      </c>
      <c r="W53" s="60">
        <v>12193.75</v>
      </c>
      <c r="X53" s="61">
        <f t="shared" si="4"/>
        <v>73162.5</v>
      </c>
      <c r="Y53" s="60">
        <v>12193.75</v>
      </c>
      <c r="Z53" s="60">
        <v>12193.75</v>
      </c>
      <c r="AA53" s="60">
        <v>12193.75</v>
      </c>
      <c r="AB53" s="60">
        <v>12193.75</v>
      </c>
      <c r="AC53" s="60">
        <v>12193.75</v>
      </c>
      <c r="AD53" s="60">
        <v>12193.75</v>
      </c>
      <c r="AE53" s="61">
        <f t="shared" si="5"/>
        <v>73162.5</v>
      </c>
      <c r="AF53" s="62">
        <f t="shared" si="28"/>
        <v>2926500</v>
      </c>
      <c r="AG53" s="62">
        <f t="shared" si="29"/>
        <v>2011968.75</v>
      </c>
      <c r="AH53" s="62">
        <f t="shared" si="13"/>
        <v>914531.25</v>
      </c>
      <c r="AI53" s="63"/>
      <c r="AJ53" s="63"/>
      <c r="AK53" s="62"/>
      <c r="AL53" s="60">
        <v>12193.75</v>
      </c>
      <c r="AM53" s="60">
        <v>12193.75</v>
      </c>
      <c r="AN53" s="60">
        <v>12193.75</v>
      </c>
      <c r="AO53" s="60">
        <v>12193.75</v>
      </c>
      <c r="AP53" s="60">
        <v>12193.75</v>
      </c>
      <c r="AQ53" s="60">
        <v>12193.75</v>
      </c>
      <c r="AR53" s="61">
        <f t="shared" si="7"/>
        <v>73162.5</v>
      </c>
      <c r="AS53" s="60">
        <v>12193.75</v>
      </c>
      <c r="AT53" s="60">
        <v>12193.75</v>
      </c>
      <c r="AU53" s="60">
        <v>12193.75</v>
      </c>
      <c r="AV53" s="60">
        <v>12193.75</v>
      </c>
      <c r="AW53" s="60">
        <v>12193.75</v>
      </c>
      <c r="AX53" s="60">
        <v>12193.75</v>
      </c>
      <c r="AY53" s="61">
        <f t="shared" si="8"/>
        <v>73162.5</v>
      </c>
      <c r="AZ53" s="56">
        <f t="shared" si="2"/>
        <v>146325</v>
      </c>
      <c r="BA53" s="62">
        <f t="shared" si="14"/>
        <v>2926500</v>
      </c>
      <c r="BB53" s="62">
        <f t="shared" si="9"/>
        <v>2158293.75</v>
      </c>
      <c r="BC53" s="62">
        <f t="shared" si="15"/>
        <v>768206.25</v>
      </c>
      <c r="BD53" s="63"/>
      <c r="BE53" s="57"/>
      <c r="BF53" s="35" t="str">
        <f>VLOOKUP(A:A,'2023-2027'!A:G,1,+FALSE)</f>
        <v>3х-фазный т/огр РТСТГ-10-250-0,025 УЗ №2</v>
      </c>
      <c r="BG53" s="7" t="b">
        <f t="shared" si="19"/>
        <v>1</v>
      </c>
      <c r="BH53" s="35">
        <f>VLOOKUP(A:A,'2023-2027'!A:AT,43,+FALSE)</f>
        <v>12193.75</v>
      </c>
    </row>
    <row r="54" spans="1:60" ht="24" hidden="1" customHeight="1" outlineLevel="1" x14ac:dyDescent="0.2">
      <c r="A54" s="59" t="s">
        <v>263</v>
      </c>
      <c r="B54" s="59" t="s">
        <v>77</v>
      </c>
      <c r="C54" s="59" t="s">
        <v>81</v>
      </c>
      <c r="D54" s="66" t="s">
        <v>264</v>
      </c>
      <c r="E54" s="59" t="s">
        <v>260</v>
      </c>
      <c r="F54" s="60">
        <v>2926500</v>
      </c>
      <c r="G54" s="60">
        <v>1719318.75</v>
      </c>
      <c r="H54" s="60">
        <v>1207181.25</v>
      </c>
      <c r="I54" s="59"/>
      <c r="J54" s="60">
        <v>146325</v>
      </c>
      <c r="K54" s="59"/>
      <c r="L54" s="59"/>
      <c r="M54" s="60">
        <v>2926500</v>
      </c>
      <c r="N54" s="60">
        <v>1865643.75</v>
      </c>
      <c r="O54" s="60">
        <v>1060856.25</v>
      </c>
      <c r="P54" s="55"/>
      <c r="Q54" s="55"/>
      <c r="R54" s="61">
        <f t="shared" si="3"/>
        <v>12193.75</v>
      </c>
      <c r="S54" s="60">
        <v>12193.75</v>
      </c>
      <c r="T54" s="60">
        <v>12193.75</v>
      </c>
      <c r="U54" s="60">
        <v>12193.75</v>
      </c>
      <c r="V54" s="60">
        <v>12193.75</v>
      </c>
      <c r="W54" s="60">
        <v>12193.75</v>
      </c>
      <c r="X54" s="61">
        <f t="shared" si="4"/>
        <v>73162.5</v>
      </c>
      <c r="Y54" s="60">
        <v>12193.75</v>
      </c>
      <c r="Z54" s="60">
        <v>12193.75</v>
      </c>
      <c r="AA54" s="60">
        <v>12193.75</v>
      </c>
      <c r="AB54" s="60">
        <v>12193.75</v>
      </c>
      <c r="AC54" s="60">
        <v>12193.75</v>
      </c>
      <c r="AD54" s="60">
        <v>12193.75</v>
      </c>
      <c r="AE54" s="61">
        <f t="shared" si="5"/>
        <v>73162.5</v>
      </c>
      <c r="AF54" s="62">
        <f t="shared" si="28"/>
        <v>2926500</v>
      </c>
      <c r="AG54" s="62">
        <f t="shared" si="29"/>
        <v>2011968.75</v>
      </c>
      <c r="AH54" s="62">
        <f t="shared" si="13"/>
        <v>914531.25</v>
      </c>
      <c r="AI54" s="63"/>
      <c r="AJ54" s="63"/>
      <c r="AK54" s="62"/>
      <c r="AL54" s="60">
        <v>12193.75</v>
      </c>
      <c r="AM54" s="60">
        <v>12193.75</v>
      </c>
      <c r="AN54" s="60">
        <v>12193.75</v>
      </c>
      <c r="AO54" s="60">
        <v>12193.75</v>
      </c>
      <c r="AP54" s="60">
        <v>12193.75</v>
      </c>
      <c r="AQ54" s="60">
        <v>12193.75</v>
      </c>
      <c r="AR54" s="61">
        <f t="shared" si="7"/>
        <v>73162.5</v>
      </c>
      <c r="AS54" s="60">
        <v>12193.75</v>
      </c>
      <c r="AT54" s="60">
        <v>12193.75</v>
      </c>
      <c r="AU54" s="60">
        <v>12193.75</v>
      </c>
      <c r="AV54" s="60">
        <v>12193.75</v>
      </c>
      <c r="AW54" s="60">
        <v>12193.75</v>
      </c>
      <c r="AX54" s="60">
        <v>12193.75</v>
      </c>
      <c r="AY54" s="61">
        <f t="shared" si="8"/>
        <v>73162.5</v>
      </c>
      <c r="AZ54" s="56">
        <f t="shared" si="2"/>
        <v>146325</v>
      </c>
      <c r="BA54" s="62">
        <f t="shared" si="14"/>
        <v>2926500</v>
      </c>
      <c r="BB54" s="62">
        <f t="shared" si="9"/>
        <v>2158293.75</v>
      </c>
      <c r="BC54" s="62">
        <f t="shared" si="15"/>
        <v>768206.25</v>
      </c>
      <c r="BD54" s="63"/>
      <c r="BE54" s="57"/>
      <c r="BF54" s="35" t="str">
        <f>VLOOKUP(A:A,'2023-2027'!A:G,1,+FALSE)</f>
        <v>3х-фазный т/огр РТСТГ-10-250-0,025УЗ №1</v>
      </c>
      <c r="BG54" s="7" t="b">
        <f t="shared" si="19"/>
        <v>1</v>
      </c>
      <c r="BH54" s="35">
        <f>VLOOKUP(A:A,'2023-2027'!A:AT,43,+FALSE)</f>
        <v>12193.75</v>
      </c>
    </row>
    <row r="55" spans="1:60" ht="12" hidden="1" customHeight="1" outlineLevel="1" x14ac:dyDescent="0.2">
      <c r="A55" s="59" t="s">
        <v>265</v>
      </c>
      <c r="B55" s="59" t="s">
        <v>77</v>
      </c>
      <c r="C55" s="59" t="s">
        <v>81</v>
      </c>
      <c r="D55" s="65" t="s">
        <v>266</v>
      </c>
      <c r="E55" s="59" t="s">
        <v>260</v>
      </c>
      <c r="F55" s="60">
        <v>31355922.239999998</v>
      </c>
      <c r="G55" s="60">
        <v>20756736.899999999</v>
      </c>
      <c r="H55" s="60">
        <v>10599185.34</v>
      </c>
      <c r="I55" s="59"/>
      <c r="J55" s="60">
        <v>1766530.92</v>
      </c>
      <c r="K55" s="59"/>
      <c r="L55" s="59"/>
      <c r="M55" s="60">
        <v>31355922.239999998</v>
      </c>
      <c r="N55" s="60">
        <v>22523267.82</v>
      </c>
      <c r="O55" s="60">
        <v>8832654.4199999999</v>
      </c>
      <c r="P55" s="55"/>
      <c r="Q55" s="55"/>
      <c r="R55" s="61">
        <f t="shared" si="3"/>
        <v>147210.91</v>
      </c>
      <c r="S55" s="60">
        <v>147210.91</v>
      </c>
      <c r="T55" s="60">
        <v>147210.91</v>
      </c>
      <c r="U55" s="60">
        <v>147210.91</v>
      </c>
      <c r="V55" s="60">
        <v>147210.91</v>
      </c>
      <c r="W55" s="60">
        <v>147210.91</v>
      </c>
      <c r="X55" s="61">
        <f t="shared" si="4"/>
        <v>883265.46000000008</v>
      </c>
      <c r="Y55" s="60">
        <v>147210.91</v>
      </c>
      <c r="Z55" s="60">
        <v>147210.91</v>
      </c>
      <c r="AA55" s="60">
        <v>147210.91</v>
      </c>
      <c r="AB55" s="60">
        <v>147210.91</v>
      </c>
      <c r="AC55" s="60">
        <v>147210.91</v>
      </c>
      <c r="AD55" s="60">
        <v>147210.91</v>
      </c>
      <c r="AE55" s="61">
        <f t="shared" si="5"/>
        <v>883265.46000000008</v>
      </c>
      <c r="AF55" s="62">
        <f t="shared" si="28"/>
        <v>31355922.239999998</v>
      </c>
      <c r="AG55" s="62">
        <f t="shared" si="29"/>
        <v>24289798.740000002</v>
      </c>
      <c r="AH55" s="62">
        <f t="shared" si="13"/>
        <v>7066123.4999999963</v>
      </c>
      <c r="AI55" s="63"/>
      <c r="AJ55" s="63"/>
      <c r="AK55" s="62"/>
      <c r="AL55" s="60">
        <v>147210.91</v>
      </c>
      <c r="AM55" s="60">
        <v>147210.91</v>
      </c>
      <c r="AN55" s="60">
        <v>147210.91</v>
      </c>
      <c r="AO55" s="60">
        <v>147210.91</v>
      </c>
      <c r="AP55" s="60">
        <v>147210.91</v>
      </c>
      <c r="AQ55" s="60">
        <v>147210.91</v>
      </c>
      <c r="AR55" s="61">
        <f t="shared" si="7"/>
        <v>883265.46000000008</v>
      </c>
      <c r="AS55" s="60">
        <v>147210.91</v>
      </c>
      <c r="AT55" s="60">
        <v>147210.91</v>
      </c>
      <c r="AU55" s="60">
        <v>147210.91</v>
      </c>
      <c r="AV55" s="60">
        <v>147210.91</v>
      </c>
      <c r="AW55" s="60">
        <v>147210.91</v>
      </c>
      <c r="AX55" s="60">
        <v>147210.91</v>
      </c>
      <c r="AY55" s="61">
        <f t="shared" si="8"/>
        <v>883265.46000000008</v>
      </c>
      <c r="AZ55" s="56">
        <f t="shared" si="2"/>
        <v>1766530.9200000002</v>
      </c>
      <c r="BA55" s="62">
        <f t="shared" si="14"/>
        <v>31355922.239999998</v>
      </c>
      <c r="BB55" s="62">
        <f t="shared" si="9"/>
        <v>26056329.660000004</v>
      </c>
      <c r="BC55" s="62">
        <f t="shared" si="15"/>
        <v>5299592.5799999945</v>
      </c>
      <c r="BD55" s="63"/>
      <c r="BE55" s="57"/>
      <c r="BF55" s="35" t="e">
        <f>VLOOKUP(A:A,'2023-2027'!A:G,1,+FALSE)</f>
        <v>#N/A</v>
      </c>
      <c r="BG55" s="7" t="e">
        <f t="shared" si="19"/>
        <v>#N/A</v>
      </c>
      <c r="BH55" s="35"/>
    </row>
    <row r="56" spans="1:60" ht="12" hidden="1" customHeight="1" outlineLevel="1" x14ac:dyDescent="0.2">
      <c r="A56" s="59" t="s">
        <v>267</v>
      </c>
      <c r="B56" s="59" t="s">
        <v>77</v>
      </c>
      <c r="C56" s="59" t="s">
        <v>81</v>
      </c>
      <c r="D56" s="65" t="s">
        <v>268</v>
      </c>
      <c r="E56" s="59" t="s">
        <v>269</v>
      </c>
      <c r="F56" s="60">
        <v>197457.63</v>
      </c>
      <c r="G56" s="60">
        <v>113333.83</v>
      </c>
      <c r="H56" s="60">
        <v>84123.8</v>
      </c>
      <c r="I56" s="59"/>
      <c r="J56" s="60">
        <v>14020.68</v>
      </c>
      <c r="K56" s="59"/>
      <c r="L56" s="59"/>
      <c r="M56" s="60">
        <v>197457.63</v>
      </c>
      <c r="N56" s="60">
        <v>127354.51</v>
      </c>
      <c r="O56" s="60">
        <v>70103.12</v>
      </c>
      <c r="P56" s="55"/>
      <c r="Q56" s="55"/>
      <c r="R56" s="61">
        <f t="shared" si="3"/>
        <v>1168.3900000000001</v>
      </c>
      <c r="S56" s="60">
        <v>1168.3900000000001</v>
      </c>
      <c r="T56" s="60">
        <v>1168.3900000000001</v>
      </c>
      <c r="U56" s="60">
        <v>1168.3900000000001</v>
      </c>
      <c r="V56" s="60">
        <v>1168.3900000000001</v>
      </c>
      <c r="W56" s="60">
        <v>1168.3900000000001</v>
      </c>
      <c r="X56" s="61">
        <f t="shared" si="4"/>
        <v>7010.3400000000011</v>
      </c>
      <c r="Y56" s="60">
        <v>1168.3900000000001</v>
      </c>
      <c r="Z56" s="60">
        <v>1168.3900000000001</v>
      </c>
      <c r="AA56" s="60">
        <v>1168.3900000000001</v>
      </c>
      <c r="AB56" s="60">
        <v>1168.3900000000001</v>
      </c>
      <c r="AC56" s="60">
        <v>1168.3900000000001</v>
      </c>
      <c r="AD56" s="60">
        <v>1168.3900000000001</v>
      </c>
      <c r="AE56" s="61">
        <f t="shared" si="5"/>
        <v>7010.3400000000011</v>
      </c>
      <c r="AF56" s="62">
        <f t="shared" si="28"/>
        <v>197457.63</v>
      </c>
      <c r="AG56" s="62">
        <f t="shared" si="29"/>
        <v>141375.19000000012</v>
      </c>
      <c r="AH56" s="62">
        <f t="shared" si="13"/>
        <v>56082.439999999886</v>
      </c>
      <c r="AI56" s="63"/>
      <c r="AJ56" s="63"/>
      <c r="AK56" s="62"/>
      <c r="AL56" s="60">
        <v>1168.3900000000001</v>
      </c>
      <c r="AM56" s="60">
        <v>1168.3900000000001</v>
      </c>
      <c r="AN56" s="60">
        <v>1168.3900000000001</v>
      </c>
      <c r="AO56" s="60">
        <v>1168.3900000000001</v>
      </c>
      <c r="AP56" s="60">
        <v>1168.3900000000001</v>
      </c>
      <c r="AQ56" s="60">
        <v>1168.3900000000001</v>
      </c>
      <c r="AR56" s="61">
        <f t="shared" si="7"/>
        <v>7010.3400000000011</v>
      </c>
      <c r="AS56" s="60">
        <v>1168.3900000000001</v>
      </c>
      <c r="AT56" s="60">
        <v>1168.3900000000001</v>
      </c>
      <c r="AU56" s="60">
        <v>1168.3900000000001</v>
      </c>
      <c r="AV56" s="60">
        <v>1168.3900000000001</v>
      </c>
      <c r="AW56" s="60">
        <v>1168.3900000000001</v>
      </c>
      <c r="AX56" s="60">
        <v>1168.3900000000001</v>
      </c>
      <c r="AY56" s="61">
        <f t="shared" si="8"/>
        <v>7010.3400000000011</v>
      </c>
      <c r="AZ56" s="56">
        <f t="shared" si="2"/>
        <v>14020.680000000002</v>
      </c>
      <c r="BA56" s="62">
        <f t="shared" si="14"/>
        <v>197457.63</v>
      </c>
      <c r="BB56" s="62">
        <f t="shared" si="9"/>
        <v>155395.87000000029</v>
      </c>
      <c r="BC56" s="62">
        <f t="shared" si="15"/>
        <v>42061.759999999718</v>
      </c>
      <c r="BD56" s="63"/>
      <c r="BE56" s="57"/>
      <c r="BF56" s="35" t="e">
        <f>VLOOKUP(A:A,'2023-2027'!A:G,1,+FALSE)</f>
        <v>#N/A</v>
      </c>
      <c r="BG56" s="7" t="e">
        <f t="shared" si="19"/>
        <v>#N/A</v>
      </c>
      <c r="BH56" s="35"/>
    </row>
    <row r="57" spans="1:60" ht="24" hidden="1" customHeight="1" outlineLevel="1" x14ac:dyDescent="0.2">
      <c r="A57" s="59" t="s">
        <v>270</v>
      </c>
      <c r="B57" s="59" t="s">
        <v>77</v>
      </c>
      <c r="C57" s="59" t="s">
        <v>81</v>
      </c>
      <c r="D57" s="66" t="s">
        <v>271</v>
      </c>
      <c r="E57" s="59" t="s">
        <v>272</v>
      </c>
      <c r="F57" s="60">
        <v>821895</v>
      </c>
      <c r="G57" s="60">
        <v>127197.98</v>
      </c>
      <c r="H57" s="60">
        <v>694697.02</v>
      </c>
      <c r="I57" s="59"/>
      <c r="J57" s="60">
        <v>117413.59</v>
      </c>
      <c r="K57" s="59"/>
      <c r="L57" s="59"/>
      <c r="M57" s="60">
        <v>821895</v>
      </c>
      <c r="N57" s="60">
        <v>244611.57</v>
      </c>
      <c r="O57" s="60">
        <v>577283.43000000005</v>
      </c>
      <c r="P57" s="55"/>
      <c r="Q57" s="55"/>
      <c r="R57" s="61">
        <f t="shared" si="3"/>
        <v>9784.4658333333336</v>
      </c>
      <c r="S57" s="60">
        <v>9784.4658330000002</v>
      </c>
      <c r="T57" s="60">
        <v>9784.4658330000002</v>
      </c>
      <c r="U57" s="60">
        <v>9784.4658330000002</v>
      </c>
      <c r="V57" s="60">
        <v>9784.4658330000002</v>
      </c>
      <c r="W57" s="60">
        <v>9784.4658330000002</v>
      </c>
      <c r="X57" s="61">
        <f t="shared" si="4"/>
        <v>58706.794998333338</v>
      </c>
      <c r="Y57" s="60">
        <v>9784.4658330000002</v>
      </c>
      <c r="Z57" s="60">
        <v>9784.4658330000002</v>
      </c>
      <c r="AA57" s="60">
        <v>9784.4658330000002</v>
      </c>
      <c r="AB57" s="60">
        <v>9784.4658330000002</v>
      </c>
      <c r="AC57" s="60">
        <v>9784.4658330000002</v>
      </c>
      <c r="AD57" s="60">
        <v>9784.4658330000002</v>
      </c>
      <c r="AE57" s="61">
        <f t="shared" si="5"/>
        <v>58706.794998000005</v>
      </c>
      <c r="AF57" s="62">
        <f t="shared" si="28"/>
        <v>821895</v>
      </c>
      <c r="AG57" s="62">
        <f t="shared" si="29"/>
        <v>362025.15999633359</v>
      </c>
      <c r="AH57" s="62">
        <f t="shared" si="13"/>
        <v>459869.84000366641</v>
      </c>
      <c r="AI57" s="63"/>
      <c r="AJ57" s="63"/>
      <c r="AK57" s="62"/>
      <c r="AL57" s="60">
        <v>9784.4658330000002</v>
      </c>
      <c r="AM57" s="60">
        <v>9784.4658330000002</v>
      </c>
      <c r="AN57" s="60">
        <v>9784.4658330000002</v>
      </c>
      <c r="AO57" s="60">
        <v>9784.4658330000002</v>
      </c>
      <c r="AP57" s="60">
        <v>9784.4658330000002</v>
      </c>
      <c r="AQ57" s="60">
        <v>9784.4658330000002</v>
      </c>
      <c r="AR57" s="61">
        <f t="shared" si="7"/>
        <v>58706.794998000005</v>
      </c>
      <c r="AS57" s="60">
        <v>9784.4658330000002</v>
      </c>
      <c r="AT57" s="60">
        <v>9784.4658330000002</v>
      </c>
      <c r="AU57" s="60">
        <v>9784.4658330000002</v>
      </c>
      <c r="AV57" s="60">
        <v>9784.4658330000002</v>
      </c>
      <c r="AW57" s="60">
        <v>9784.4658330000002</v>
      </c>
      <c r="AX57" s="60">
        <v>9784.4658330000002</v>
      </c>
      <c r="AY57" s="61">
        <f t="shared" si="8"/>
        <v>58706.794998000005</v>
      </c>
      <c r="AZ57" s="56">
        <f t="shared" si="2"/>
        <v>117413.58999600001</v>
      </c>
      <c r="BA57" s="62">
        <f t="shared" si="14"/>
        <v>821895</v>
      </c>
      <c r="BB57" s="62">
        <f t="shared" si="9"/>
        <v>479438.74999233388</v>
      </c>
      <c r="BC57" s="62">
        <f t="shared" si="15"/>
        <v>342456.25000766612</v>
      </c>
      <c r="BD57" s="63"/>
      <c r="BE57" s="57"/>
      <c r="BF57" s="35" t="str">
        <f>VLOOKUP(A:A,'2023-2027'!A:G,1,+FALSE)</f>
        <v>Аппаратура виброконтроля СВКА 1-2-06</v>
      </c>
      <c r="BG57" s="7" t="b">
        <f t="shared" si="19"/>
        <v>1</v>
      </c>
      <c r="BH57" s="35">
        <f>VLOOKUP(A:A,'2023-2027'!A:AT,43,+FALSE)</f>
        <v>9784.4658330000002</v>
      </c>
    </row>
    <row r="58" spans="1:60" ht="24" hidden="1" customHeight="1" outlineLevel="1" x14ac:dyDescent="0.2">
      <c r="A58" s="59" t="s">
        <v>273</v>
      </c>
      <c r="B58" s="59" t="s">
        <v>77</v>
      </c>
      <c r="C58" s="59" t="s">
        <v>81</v>
      </c>
      <c r="D58" s="65" t="s">
        <v>274</v>
      </c>
      <c r="E58" s="59" t="s">
        <v>275</v>
      </c>
      <c r="F58" s="60">
        <v>250000</v>
      </c>
      <c r="G58" s="60">
        <v>184783.2</v>
      </c>
      <c r="H58" s="60">
        <v>65216.800000000003</v>
      </c>
      <c r="I58" s="59"/>
      <c r="J58" s="60">
        <v>16304.16</v>
      </c>
      <c r="K58" s="59"/>
      <c r="L58" s="59"/>
      <c r="M58" s="60">
        <v>250000</v>
      </c>
      <c r="N58" s="60">
        <v>201087.35999999999</v>
      </c>
      <c r="O58" s="60">
        <v>48912.639999999999</v>
      </c>
      <c r="P58" s="55"/>
      <c r="Q58" s="55"/>
      <c r="R58" s="61">
        <f t="shared" si="3"/>
        <v>1358.68</v>
      </c>
      <c r="S58" s="60">
        <v>1358.68</v>
      </c>
      <c r="T58" s="60">
        <v>1358.68</v>
      </c>
      <c r="U58" s="60">
        <v>1358.68</v>
      </c>
      <c r="V58" s="60">
        <v>1358.68</v>
      </c>
      <c r="W58" s="60">
        <v>1358.68</v>
      </c>
      <c r="X58" s="61">
        <f t="shared" si="4"/>
        <v>8152.0800000000008</v>
      </c>
      <c r="Y58" s="60">
        <v>1358.68</v>
      </c>
      <c r="Z58" s="60">
        <v>1358.68</v>
      </c>
      <c r="AA58" s="60">
        <v>1358.68</v>
      </c>
      <c r="AB58" s="60">
        <v>1358.68</v>
      </c>
      <c r="AC58" s="60">
        <v>1358.68</v>
      </c>
      <c r="AD58" s="60">
        <v>1358.68</v>
      </c>
      <c r="AE58" s="61">
        <f t="shared" si="5"/>
        <v>8152.0800000000008</v>
      </c>
      <c r="AF58" s="62">
        <f t="shared" si="28"/>
        <v>250000</v>
      </c>
      <c r="AG58" s="62">
        <f t="shared" si="29"/>
        <v>217391.5199999999</v>
      </c>
      <c r="AH58" s="62">
        <f t="shared" si="13"/>
        <v>32608.480000000098</v>
      </c>
      <c r="AI58" s="63"/>
      <c r="AJ58" s="63"/>
      <c r="AK58" s="62"/>
      <c r="AL58" s="60">
        <v>1358.68</v>
      </c>
      <c r="AM58" s="60">
        <v>1358.68</v>
      </c>
      <c r="AN58" s="60">
        <v>1358.68</v>
      </c>
      <c r="AO58" s="60">
        <v>1358.68</v>
      </c>
      <c r="AP58" s="60">
        <v>1358.68</v>
      </c>
      <c r="AQ58" s="60">
        <v>1358.68</v>
      </c>
      <c r="AR58" s="61">
        <f t="shared" si="7"/>
        <v>8152.0800000000008</v>
      </c>
      <c r="AS58" s="60">
        <v>1358.68</v>
      </c>
      <c r="AT58" s="60">
        <v>1358.68</v>
      </c>
      <c r="AU58" s="60">
        <v>1358.68</v>
      </c>
      <c r="AV58" s="60">
        <v>1358.68</v>
      </c>
      <c r="AW58" s="60">
        <v>1358.68</v>
      </c>
      <c r="AX58" s="60">
        <v>1358.68</v>
      </c>
      <c r="AY58" s="61">
        <f t="shared" si="8"/>
        <v>8152.0800000000008</v>
      </c>
      <c r="AZ58" s="56">
        <f t="shared" si="2"/>
        <v>16304.160000000002</v>
      </c>
      <c r="BA58" s="62">
        <f t="shared" si="14"/>
        <v>250000</v>
      </c>
      <c r="BB58" s="62">
        <f t="shared" si="9"/>
        <v>233695.67999999982</v>
      </c>
      <c r="BC58" s="62">
        <f t="shared" si="15"/>
        <v>16304.320000000182</v>
      </c>
      <c r="BD58" s="63"/>
      <c r="BE58" s="57"/>
      <c r="BF58" s="35" t="e">
        <f>VLOOKUP(A:A,'2023-2027'!A:G,1,+FALSE)</f>
        <v>#N/A</v>
      </c>
      <c r="BG58" s="7" t="e">
        <f t="shared" si="19"/>
        <v>#N/A</v>
      </c>
      <c r="BH58" s="35"/>
    </row>
    <row r="59" spans="1:60" ht="24" hidden="1" customHeight="1" outlineLevel="1" x14ac:dyDescent="0.2">
      <c r="A59" s="59" t="s">
        <v>276</v>
      </c>
      <c r="B59" s="59" t="s">
        <v>77</v>
      </c>
      <c r="C59" s="59" t="s">
        <v>81</v>
      </c>
      <c r="D59" s="65" t="s">
        <v>277</v>
      </c>
      <c r="E59" s="59" t="s">
        <v>260</v>
      </c>
      <c r="F59" s="60">
        <v>6423455.0800000001</v>
      </c>
      <c r="G59" s="60">
        <v>4252146.87</v>
      </c>
      <c r="H59" s="60">
        <v>2171308.21</v>
      </c>
      <c r="I59" s="59"/>
      <c r="J59" s="60">
        <v>361884.72</v>
      </c>
      <c r="K59" s="59"/>
      <c r="L59" s="59"/>
      <c r="M59" s="60">
        <v>6423455.0800000001</v>
      </c>
      <c r="N59" s="60">
        <v>4614031.59</v>
      </c>
      <c r="O59" s="60">
        <v>1809423.49</v>
      </c>
      <c r="P59" s="55"/>
      <c r="Q59" s="55"/>
      <c r="R59" s="61">
        <f t="shared" si="3"/>
        <v>30157.059999999998</v>
      </c>
      <c r="S59" s="60">
        <v>30157.06</v>
      </c>
      <c r="T59" s="60">
        <v>30157.06</v>
      </c>
      <c r="U59" s="60">
        <v>30157.06</v>
      </c>
      <c r="V59" s="60">
        <v>30157.06</v>
      </c>
      <c r="W59" s="60">
        <v>30157.06</v>
      </c>
      <c r="X59" s="61">
        <f t="shared" si="4"/>
        <v>180942.36</v>
      </c>
      <c r="Y59" s="60">
        <v>30157.06</v>
      </c>
      <c r="Z59" s="60">
        <v>30157.06</v>
      </c>
      <c r="AA59" s="60">
        <v>30157.06</v>
      </c>
      <c r="AB59" s="60">
        <v>30157.06</v>
      </c>
      <c r="AC59" s="60">
        <v>30157.06</v>
      </c>
      <c r="AD59" s="60">
        <v>30157.06</v>
      </c>
      <c r="AE59" s="61">
        <f t="shared" si="5"/>
        <v>180942.36000000002</v>
      </c>
      <c r="AF59" s="62">
        <f t="shared" si="28"/>
        <v>6423455.0800000001</v>
      </c>
      <c r="AG59" s="62">
        <f t="shared" si="29"/>
        <v>4975916.3099999949</v>
      </c>
      <c r="AH59" s="62">
        <f t="shared" si="13"/>
        <v>1447538.7700000051</v>
      </c>
      <c r="AI59" s="63"/>
      <c r="AJ59" s="63"/>
      <c r="AK59" s="62"/>
      <c r="AL59" s="60">
        <v>30157.06</v>
      </c>
      <c r="AM59" s="60">
        <v>30157.06</v>
      </c>
      <c r="AN59" s="60">
        <v>30157.06</v>
      </c>
      <c r="AO59" s="60">
        <v>30157.06</v>
      </c>
      <c r="AP59" s="60">
        <v>30157.06</v>
      </c>
      <c r="AQ59" s="60">
        <v>30157.06</v>
      </c>
      <c r="AR59" s="61">
        <f t="shared" si="7"/>
        <v>180942.36000000002</v>
      </c>
      <c r="AS59" s="60">
        <v>30157.06</v>
      </c>
      <c r="AT59" s="60">
        <v>30157.06</v>
      </c>
      <c r="AU59" s="60">
        <v>30157.06</v>
      </c>
      <c r="AV59" s="60">
        <v>30157.06</v>
      </c>
      <c r="AW59" s="60">
        <v>30157.06</v>
      </c>
      <c r="AX59" s="60">
        <v>30157.06</v>
      </c>
      <c r="AY59" s="61">
        <f t="shared" si="8"/>
        <v>180942.36000000002</v>
      </c>
      <c r="AZ59" s="56">
        <f t="shared" si="2"/>
        <v>361884.72000000003</v>
      </c>
      <c r="BA59" s="62">
        <f t="shared" si="14"/>
        <v>6423455.0800000001</v>
      </c>
      <c r="BB59" s="62">
        <f t="shared" si="9"/>
        <v>5337801.02999999</v>
      </c>
      <c r="BC59" s="62">
        <f t="shared" si="15"/>
        <v>1085654.0500000101</v>
      </c>
      <c r="BD59" s="63"/>
      <c r="BE59" s="57"/>
      <c r="BF59" s="35" t="e">
        <f>VLOOKUP(A:A,'2023-2027'!A:G,1,+FALSE)</f>
        <v>#N/A</v>
      </c>
      <c r="BG59" s="7" t="e">
        <f t="shared" si="19"/>
        <v>#N/A</v>
      </c>
      <c r="BH59" s="35"/>
    </row>
    <row r="60" spans="1:60" ht="24" hidden="1" customHeight="1" outlineLevel="1" x14ac:dyDescent="0.2">
      <c r="A60" s="59" t="s">
        <v>278</v>
      </c>
      <c r="B60" s="59" t="s">
        <v>77</v>
      </c>
      <c r="C60" s="59" t="s">
        <v>81</v>
      </c>
      <c r="D60" s="65" t="s">
        <v>279</v>
      </c>
      <c r="E60" s="59" t="s">
        <v>260</v>
      </c>
      <c r="F60" s="60">
        <v>6423455.0800000001</v>
      </c>
      <c r="G60" s="60">
        <v>4252146.87</v>
      </c>
      <c r="H60" s="60">
        <v>2171308.21</v>
      </c>
      <c r="I60" s="59"/>
      <c r="J60" s="60">
        <v>361884.72</v>
      </c>
      <c r="K60" s="59"/>
      <c r="L60" s="59"/>
      <c r="M60" s="60">
        <v>6423455.0800000001</v>
      </c>
      <c r="N60" s="60">
        <v>4614031.59</v>
      </c>
      <c r="O60" s="60">
        <v>1809423.49</v>
      </c>
      <c r="P60" s="55"/>
      <c r="Q60" s="55"/>
      <c r="R60" s="61">
        <f t="shared" si="3"/>
        <v>30157.059999999998</v>
      </c>
      <c r="S60" s="60">
        <v>30157.06</v>
      </c>
      <c r="T60" s="60">
        <v>30157.06</v>
      </c>
      <c r="U60" s="60">
        <v>30157.06</v>
      </c>
      <c r="V60" s="60">
        <v>30157.06</v>
      </c>
      <c r="W60" s="60">
        <v>30157.06</v>
      </c>
      <c r="X60" s="61">
        <f t="shared" si="4"/>
        <v>180942.36</v>
      </c>
      <c r="Y60" s="60">
        <v>30157.06</v>
      </c>
      <c r="Z60" s="60">
        <v>30157.06</v>
      </c>
      <c r="AA60" s="60">
        <v>30157.06</v>
      </c>
      <c r="AB60" s="60">
        <v>30157.06</v>
      </c>
      <c r="AC60" s="60">
        <v>30157.06</v>
      </c>
      <c r="AD60" s="60">
        <v>30157.06</v>
      </c>
      <c r="AE60" s="61">
        <f t="shared" si="5"/>
        <v>180942.36000000002</v>
      </c>
      <c r="AF60" s="62">
        <f t="shared" si="28"/>
        <v>6423455.0800000001</v>
      </c>
      <c r="AG60" s="62">
        <f t="shared" si="29"/>
        <v>4975916.3099999949</v>
      </c>
      <c r="AH60" s="62">
        <f t="shared" si="13"/>
        <v>1447538.7700000051</v>
      </c>
      <c r="AI60" s="63"/>
      <c r="AJ60" s="63"/>
      <c r="AK60" s="62"/>
      <c r="AL60" s="60">
        <v>30157.06</v>
      </c>
      <c r="AM60" s="60">
        <v>30157.06</v>
      </c>
      <c r="AN60" s="60">
        <v>30157.06</v>
      </c>
      <c r="AO60" s="60">
        <v>30157.06</v>
      </c>
      <c r="AP60" s="60">
        <v>30157.06</v>
      </c>
      <c r="AQ60" s="60">
        <v>30157.06</v>
      </c>
      <c r="AR60" s="61">
        <f t="shared" si="7"/>
        <v>180942.36000000002</v>
      </c>
      <c r="AS60" s="60">
        <v>30157.06</v>
      </c>
      <c r="AT60" s="60">
        <v>30157.06</v>
      </c>
      <c r="AU60" s="60">
        <v>30157.06</v>
      </c>
      <c r="AV60" s="60">
        <v>30157.06</v>
      </c>
      <c r="AW60" s="60">
        <v>30157.06</v>
      </c>
      <c r="AX60" s="60">
        <v>30157.06</v>
      </c>
      <c r="AY60" s="61">
        <f t="shared" si="8"/>
        <v>180942.36000000002</v>
      </c>
      <c r="AZ60" s="56">
        <f t="shared" si="2"/>
        <v>361884.72000000003</v>
      </c>
      <c r="BA60" s="62">
        <f t="shared" si="14"/>
        <v>6423455.0800000001</v>
      </c>
      <c r="BB60" s="62">
        <f t="shared" si="9"/>
        <v>5337801.02999999</v>
      </c>
      <c r="BC60" s="62">
        <f t="shared" si="15"/>
        <v>1085654.0500000101</v>
      </c>
      <c r="BD60" s="63"/>
      <c r="BE60" s="57"/>
      <c r="BF60" s="35" t="e">
        <f>VLOOKUP(A:A,'2023-2027'!A:G,1,+FALSE)</f>
        <v>#N/A</v>
      </c>
      <c r="BG60" s="7" t="e">
        <f t="shared" si="19"/>
        <v>#N/A</v>
      </c>
      <c r="BH60" s="35"/>
    </row>
    <row r="61" spans="1:60" ht="24" hidden="1" customHeight="1" outlineLevel="1" x14ac:dyDescent="0.2">
      <c r="A61" s="59" t="s">
        <v>280</v>
      </c>
      <c r="B61" s="59" t="s">
        <v>77</v>
      </c>
      <c r="C61" s="59" t="s">
        <v>81</v>
      </c>
      <c r="D61" s="66" t="s">
        <v>281</v>
      </c>
      <c r="E61" s="59" t="s">
        <v>282</v>
      </c>
      <c r="F61" s="60">
        <v>315000</v>
      </c>
      <c r="G61" s="60">
        <v>211153.94</v>
      </c>
      <c r="H61" s="60">
        <v>103846.06</v>
      </c>
      <c r="I61" s="59"/>
      <c r="J61" s="60">
        <v>20769.240000000002</v>
      </c>
      <c r="K61" s="59"/>
      <c r="L61" s="59"/>
      <c r="M61" s="60">
        <v>315000</v>
      </c>
      <c r="N61" s="60">
        <v>231923.18</v>
      </c>
      <c r="O61" s="60">
        <v>83076.820000000007</v>
      </c>
      <c r="P61" s="55"/>
      <c r="Q61" s="55"/>
      <c r="R61" s="61">
        <f t="shared" si="3"/>
        <v>1730.7700000000002</v>
      </c>
      <c r="S61" s="60">
        <v>1730.77</v>
      </c>
      <c r="T61" s="60">
        <v>1730.77</v>
      </c>
      <c r="U61" s="60">
        <v>1730.77</v>
      </c>
      <c r="V61" s="60">
        <v>1730.77</v>
      </c>
      <c r="W61" s="60">
        <v>1730.77</v>
      </c>
      <c r="X61" s="61">
        <f t="shared" si="4"/>
        <v>10384.620000000001</v>
      </c>
      <c r="Y61" s="60">
        <v>1730.77</v>
      </c>
      <c r="Z61" s="60">
        <v>1730.77</v>
      </c>
      <c r="AA61" s="60">
        <v>1730.77</v>
      </c>
      <c r="AB61" s="60">
        <v>1730.77</v>
      </c>
      <c r="AC61" s="60">
        <v>1730.77</v>
      </c>
      <c r="AD61" s="60">
        <v>1730.77</v>
      </c>
      <c r="AE61" s="61">
        <f t="shared" si="5"/>
        <v>10384.620000000001</v>
      </c>
      <c r="AF61" s="62">
        <f t="shared" si="28"/>
        <v>315000</v>
      </c>
      <c r="AG61" s="62">
        <f t="shared" si="29"/>
        <v>252692.41999999987</v>
      </c>
      <c r="AH61" s="62">
        <f t="shared" si="13"/>
        <v>62307.580000000133</v>
      </c>
      <c r="AI61" s="63"/>
      <c r="AJ61" s="63"/>
      <c r="AK61" s="62"/>
      <c r="AL61" s="60">
        <v>1730.77</v>
      </c>
      <c r="AM61" s="60">
        <v>1730.77</v>
      </c>
      <c r="AN61" s="60">
        <v>1730.77</v>
      </c>
      <c r="AO61" s="60">
        <v>1730.77</v>
      </c>
      <c r="AP61" s="60">
        <v>1730.77</v>
      </c>
      <c r="AQ61" s="60">
        <v>1730.77</v>
      </c>
      <c r="AR61" s="61">
        <f t="shared" si="7"/>
        <v>10384.620000000001</v>
      </c>
      <c r="AS61" s="60">
        <v>1730.77</v>
      </c>
      <c r="AT61" s="60">
        <v>1730.77</v>
      </c>
      <c r="AU61" s="60">
        <v>1730.77</v>
      </c>
      <c r="AV61" s="60">
        <v>1730.77</v>
      </c>
      <c r="AW61" s="60">
        <v>1730.77</v>
      </c>
      <c r="AX61" s="60">
        <v>1730.77</v>
      </c>
      <c r="AY61" s="61">
        <f t="shared" si="8"/>
        <v>10384.620000000001</v>
      </c>
      <c r="AZ61" s="56">
        <f t="shared" si="2"/>
        <v>20769.240000000002</v>
      </c>
      <c r="BA61" s="62">
        <f t="shared" si="14"/>
        <v>315000</v>
      </c>
      <c r="BB61" s="62">
        <f t="shared" si="9"/>
        <v>273461.65999999992</v>
      </c>
      <c r="BC61" s="62">
        <f t="shared" si="15"/>
        <v>41538.340000000084</v>
      </c>
      <c r="BD61" s="63"/>
      <c r="BE61" s="57"/>
      <c r="BF61" s="35" t="str">
        <f>VLOOKUP(A:A,'2023-2027'!A:G,1,+FALSE)</f>
        <v>Блок управления БУШ ДГ-011 №960811011058</v>
      </c>
      <c r="BG61" s="7" t="b">
        <f t="shared" si="19"/>
        <v>1</v>
      </c>
      <c r="BH61" s="35">
        <f>VLOOKUP(A:A,'2023-2027'!A:AT,43,+FALSE)</f>
        <v>0</v>
      </c>
    </row>
    <row r="62" spans="1:60" ht="12" hidden="1" customHeight="1" outlineLevel="1" x14ac:dyDescent="0.2">
      <c r="A62" s="59" t="s">
        <v>283</v>
      </c>
      <c r="B62" s="59" t="s">
        <v>77</v>
      </c>
      <c r="C62" s="59" t="s">
        <v>81</v>
      </c>
      <c r="D62" s="71" t="s">
        <v>284</v>
      </c>
      <c r="E62" s="59" t="s">
        <v>285</v>
      </c>
      <c r="F62" s="60">
        <v>212219.49</v>
      </c>
      <c r="G62" s="60">
        <v>167145.56</v>
      </c>
      <c r="H62" s="60">
        <v>45073.93</v>
      </c>
      <c r="I62" s="59"/>
      <c r="J62" s="60">
        <v>11268.48</v>
      </c>
      <c r="K62" s="59"/>
      <c r="L62" s="59"/>
      <c r="M62" s="60">
        <v>212219.49</v>
      </c>
      <c r="N62" s="60">
        <v>178414.04</v>
      </c>
      <c r="O62" s="60">
        <v>33805.449999999997</v>
      </c>
      <c r="P62" s="55"/>
      <c r="Q62" s="55"/>
      <c r="R62" s="61">
        <f t="shared" si="3"/>
        <v>939.04</v>
      </c>
      <c r="S62" s="60">
        <v>939.04</v>
      </c>
      <c r="T62" s="60">
        <v>939.04</v>
      </c>
      <c r="U62" s="60">
        <v>939.04</v>
      </c>
      <c r="V62" s="60">
        <v>939.04</v>
      </c>
      <c r="W62" s="60">
        <v>939.04</v>
      </c>
      <c r="X62" s="61">
        <f t="shared" si="4"/>
        <v>5634.24</v>
      </c>
      <c r="Y62" s="60">
        <v>939.04</v>
      </c>
      <c r="Z62" s="60">
        <v>939.04</v>
      </c>
      <c r="AA62" s="60">
        <v>939.04</v>
      </c>
      <c r="AB62" s="60">
        <v>939.04</v>
      </c>
      <c r="AC62" s="60">
        <v>939.04</v>
      </c>
      <c r="AD62" s="60">
        <v>939.04</v>
      </c>
      <c r="AE62" s="61">
        <f t="shared" si="5"/>
        <v>5634.24</v>
      </c>
      <c r="AF62" s="62">
        <f t="shared" si="28"/>
        <v>212219.49</v>
      </c>
      <c r="AG62" s="62">
        <f t="shared" si="29"/>
        <v>189682.52000000011</v>
      </c>
      <c r="AH62" s="62">
        <f t="shared" si="13"/>
        <v>22536.969999999885</v>
      </c>
      <c r="AI62" s="63"/>
      <c r="AJ62" s="63"/>
      <c r="AK62" s="62"/>
      <c r="AL62" s="60">
        <v>939.04</v>
      </c>
      <c r="AM62" s="60">
        <v>939.04</v>
      </c>
      <c r="AN62" s="60">
        <v>939.04</v>
      </c>
      <c r="AO62" s="60">
        <v>939.04</v>
      </c>
      <c r="AP62" s="60">
        <v>939.04</v>
      </c>
      <c r="AQ62" s="60">
        <v>939.04</v>
      </c>
      <c r="AR62" s="61">
        <f t="shared" si="7"/>
        <v>5634.24</v>
      </c>
      <c r="AS62" s="60">
        <v>939.04</v>
      </c>
      <c r="AT62" s="60">
        <v>939.04</v>
      </c>
      <c r="AU62" s="60">
        <v>939.04</v>
      </c>
      <c r="AV62" s="60">
        <v>939.04</v>
      </c>
      <c r="AW62" s="60">
        <v>939.04</v>
      </c>
      <c r="AX62" s="60">
        <v>939.04</v>
      </c>
      <c r="AY62" s="61">
        <f t="shared" si="8"/>
        <v>5634.24</v>
      </c>
      <c r="AZ62" s="56">
        <f t="shared" si="2"/>
        <v>11268.48</v>
      </c>
      <c r="BA62" s="62">
        <f t="shared" si="14"/>
        <v>212219.49</v>
      </c>
      <c r="BB62" s="62">
        <f t="shared" si="9"/>
        <v>200951.0000000002</v>
      </c>
      <c r="BC62" s="62">
        <f t="shared" si="15"/>
        <v>11268.489999999787</v>
      </c>
      <c r="BD62" s="63"/>
      <c r="BE62" s="57"/>
      <c r="BF62" s="35" t="e">
        <f>VLOOKUP(A:A,'2023-2027'!A:G,1,+FALSE)</f>
        <v>#N/A</v>
      </c>
      <c r="BG62" s="7" t="e">
        <f t="shared" si="19"/>
        <v>#N/A</v>
      </c>
      <c r="BH62" s="35"/>
    </row>
    <row r="63" spans="1:60" ht="12" hidden="1" customHeight="1" outlineLevel="1" x14ac:dyDescent="0.2">
      <c r="A63" s="59" t="s">
        <v>286</v>
      </c>
      <c r="B63" s="59" t="s">
        <v>77</v>
      </c>
      <c r="C63" s="59" t="s">
        <v>81</v>
      </c>
      <c r="D63" s="65" t="s">
        <v>287</v>
      </c>
      <c r="E63" s="59" t="s">
        <v>288</v>
      </c>
      <c r="F63" s="60">
        <v>4251728</v>
      </c>
      <c r="G63" s="60">
        <v>3196126.34</v>
      </c>
      <c r="H63" s="60">
        <v>1055601.6599999999</v>
      </c>
      <c r="I63" s="59"/>
      <c r="J63" s="60">
        <v>175933.56</v>
      </c>
      <c r="K63" s="59"/>
      <c r="L63" s="59"/>
      <c r="M63" s="60">
        <v>4251728</v>
      </c>
      <c r="N63" s="60">
        <v>3372059.9</v>
      </c>
      <c r="O63" s="60">
        <v>879668.1</v>
      </c>
      <c r="P63" s="55">
        <v>967634.88</v>
      </c>
      <c r="Q63" s="55">
        <f>P63*2.2%</f>
        <v>21287.967360000002</v>
      </c>
      <c r="R63" s="61">
        <f t="shared" si="3"/>
        <v>14661.13</v>
      </c>
      <c r="S63" s="60">
        <v>14661.13</v>
      </c>
      <c r="T63" s="60">
        <v>14661.13</v>
      </c>
      <c r="U63" s="60">
        <v>14661.13</v>
      </c>
      <c r="V63" s="60">
        <v>14661.13</v>
      </c>
      <c r="W63" s="60">
        <v>14661.13</v>
      </c>
      <c r="X63" s="61">
        <f t="shared" si="4"/>
        <v>87966.78</v>
      </c>
      <c r="Y63" s="60">
        <v>14661.13</v>
      </c>
      <c r="Z63" s="60">
        <v>14661.13</v>
      </c>
      <c r="AA63" s="60">
        <v>14661.13</v>
      </c>
      <c r="AB63" s="60">
        <v>14661.13</v>
      </c>
      <c r="AC63" s="60">
        <v>14661.13</v>
      </c>
      <c r="AD63" s="60">
        <v>14661.13</v>
      </c>
      <c r="AE63" s="61">
        <f t="shared" si="5"/>
        <v>87966.78</v>
      </c>
      <c r="AF63" s="62">
        <f t="shared" si="28"/>
        <v>4251728</v>
      </c>
      <c r="AG63" s="62">
        <f t="shared" si="29"/>
        <v>3547993.4599999986</v>
      </c>
      <c r="AH63" s="62">
        <f t="shared" si="13"/>
        <v>703734.54000000143</v>
      </c>
      <c r="AI63" s="63">
        <v>791701.32000000053</v>
      </c>
      <c r="AJ63" s="63">
        <f t="shared" ref="AJ63" si="32">AI63*2.2%</f>
        <v>17417.429040000014</v>
      </c>
      <c r="AK63" s="62"/>
      <c r="AL63" s="60">
        <v>14661.13</v>
      </c>
      <c r="AM63" s="60">
        <v>14661.13</v>
      </c>
      <c r="AN63" s="60">
        <v>14661.13</v>
      </c>
      <c r="AO63" s="60">
        <v>14661.13</v>
      </c>
      <c r="AP63" s="60">
        <v>14661.13</v>
      </c>
      <c r="AQ63" s="60">
        <v>14661.13</v>
      </c>
      <c r="AR63" s="61">
        <f t="shared" si="7"/>
        <v>87966.78</v>
      </c>
      <c r="AS63" s="60">
        <v>14661.13</v>
      </c>
      <c r="AT63" s="60">
        <v>14661.13</v>
      </c>
      <c r="AU63" s="60">
        <v>14661.13</v>
      </c>
      <c r="AV63" s="60">
        <v>14661.13</v>
      </c>
      <c r="AW63" s="60">
        <v>14661.13</v>
      </c>
      <c r="AX63" s="60">
        <v>14661.13</v>
      </c>
      <c r="AY63" s="61">
        <f t="shared" si="8"/>
        <v>87966.78</v>
      </c>
      <c r="AZ63" s="56">
        <f t="shared" si="2"/>
        <v>175933.56</v>
      </c>
      <c r="BA63" s="62">
        <f t="shared" si="14"/>
        <v>4251728</v>
      </c>
      <c r="BB63" s="62">
        <f t="shared" si="9"/>
        <v>3723927.0199999972</v>
      </c>
      <c r="BC63" s="62">
        <f t="shared" si="15"/>
        <v>527800.98000000278</v>
      </c>
      <c r="BD63" s="63">
        <v>615767.76000000187</v>
      </c>
      <c r="BE63" s="57">
        <f t="shared" ref="BE63" si="33">BD63*2.2%</f>
        <v>13546.890720000043</v>
      </c>
      <c r="BF63" s="35" t="e">
        <f>VLOOKUP(A:A,'2023-2027'!A:G,1,+FALSE)</f>
        <v>#N/A</v>
      </c>
      <c r="BG63" s="7" t="e">
        <f t="shared" si="19"/>
        <v>#N/A</v>
      </c>
      <c r="BH63" s="35"/>
    </row>
    <row r="64" spans="1:60" ht="36" hidden="1" customHeight="1" outlineLevel="1" x14ac:dyDescent="0.2">
      <c r="A64" s="59" t="s">
        <v>289</v>
      </c>
      <c r="B64" s="59" t="s">
        <v>77</v>
      </c>
      <c r="C64" s="59" t="s">
        <v>81</v>
      </c>
      <c r="D64" s="65" t="s">
        <v>290</v>
      </c>
      <c r="E64" s="59" t="s">
        <v>291</v>
      </c>
      <c r="F64" s="60">
        <v>338983.05</v>
      </c>
      <c r="G64" s="60">
        <v>187387.72</v>
      </c>
      <c r="H64" s="60">
        <v>151595.32999999999</v>
      </c>
      <c r="I64" s="59"/>
      <c r="J64" s="60">
        <v>25265.88</v>
      </c>
      <c r="K64" s="59"/>
      <c r="L64" s="59"/>
      <c r="M64" s="60">
        <v>338983.05</v>
      </c>
      <c r="N64" s="60">
        <v>212653.6</v>
      </c>
      <c r="O64" s="60">
        <v>126329.45</v>
      </c>
      <c r="P64" s="55"/>
      <c r="Q64" s="55"/>
      <c r="R64" s="61">
        <f t="shared" si="3"/>
        <v>2105.4900000000002</v>
      </c>
      <c r="S64" s="60">
        <v>2105.4899999999998</v>
      </c>
      <c r="T64" s="60">
        <v>2105.4899999999998</v>
      </c>
      <c r="U64" s="60">
        <v>2105.4899999999998</v>
      </c>
      <c r="V64" s="60">
        <v>2105.4899999999998</v>
      </c>
      <c r="W64" s="60">
        <v>2105.4899999999998</v>
      </c>
      <c r="X64" s="61">
        <f t="shared" si="4"/>
        <v>12632.939999999999</v>
      </c>
      <c r="Y64" s="60">
        <v>2105.4899999999998</v>
      </c>
      <c r="Z64" s="60">
        <v>2105.4899999999998</v>
      </c>
      <c r="AA64" s="60">
        <v>2105.4899999999998</v>
      </c>
      <c r="AB64" s="60">
        <v>2105.4899999999998</v>
      </c>
      <c r="AC64" s="60">
        <v>2105.4899999999998</v>
      </c>
      <c r="AD64" s="60">
        <v>2105.4899999999998</v>
      </c>
      <c r="AE64" s="61">
        <f t="shared" si="5"/>
        <v>12632.939999999999</v>
      </c>
      <c r="AF64" s="62">
        <f t="shared" si="28"/>
        <v>338983.05</v>
      </c>
      <c r="AG64" s="62">
        <f t="shared" si="29"/>
        <v>237919.47999999989</v>
      </c>
      <c r="AH64" s="62">
        <f t="shared" si="13"/>
        <v>101063.57000000009</v>
      </c>
      <c r="AI64" s="63"/>
      <c r="AJ64" s="63"/>
      <c r="AK64" s="62"/>
      <c r="AL64" s="60">
        <v>2105.4899999999998</v>
      </c>
      <c r="AM64" s="60">
        <v>2105.4899999999998</v>
      </c>
      <c r="AN64" s="60">
        <v>2105.4899999999998</v>
      </c>
      <c r="AO64" s="60">
        <v>2105.4899999999998</v>
      </c>
      <c r="AP64" s="60">
        <v>2105.4899999999998</v>
      </c>
      <c r="AQ64" s="60">
        <v>2105.4899999999998</v>
      </c>
      <c r="AR64" s="61">
        <f t="shared" si="7"/>
        <v>12632.939999999999</v>
      </c>
      <c r="AS64" s="60">
        <v>2105.4899999999998</v>
      </c>
      <c r="AT64" s="60">
        <v>2105.4899999999998</v>
      </c>
      <c r="AU64" s="60">
        <v>2105.4899999999998</v>
      </c>
      <c r="AV64" s="60">
        <v>2105.4899999999998</v>
      </c>
      <c r="AW64" s="60">
        <v>2105.4899999999998</v>
      </c>
      <c r="AX64" s="60">
        <v>2105.4899999999998</v>
      </c>
      <c r="AY64" s="61">
        <f t="shared" si="8"/>
        <v>12632.939999999999</v>
      </c>
      <c r="AZ64" s="56">
        <f t="shared" si="2"/>
        <v>25265.879999999997</v>
      </c>
      <c r="BA64" s="62">
        <f t="shared" si="14"/>
        <v>338983.05</v>
      </c>
      <c r="BB64" s="62">
        <f t="shared" si="9"/>
        <v>263185.35999999981</v>
      </c>
      <c r="BC64" s="62">
        <f t="shared" si="15"/>
        <v>75797.690000000177</v>
      </c>
      <c r="BD64" s="63"/>
      <c r="BE64" s="57"/>
      <c r="BF64" s="35" t="str">
        <f>VLOOKUP(A:A,'2023-2027'!A:G,1,+FALSE)</f>
        <v>Видеоэндоскоп jProbe VJ-ADV, диаметр рабочей части 6,9 мм, длин. зонда -3м</v>
      </c>
      <c r="BG64" s="7" t="b">
        <f t="shared" si="19"/>
        <v>1</v>
      </c>
      <c r="BH64" s="35">
        <f>VLOOKUP(A:A,'2023-2027'!A:AT,43,+FALSE)</f>
        <v>0</v>
      </c>
    </row>
    <row r="65" spans="1:60" ht="12" hidden="1" customHeight="1" outlineLevel="1" x14ac:dyDescent="0.2">
      <c r="A65" s="59" t="s">
        <v>292</v>
      </c>
      <c r="B65" s="59" t="s">
        <v>77</v>
      </c>
      <c r="C65" s="59" t="s">
        <v>81</v>
      </c>
      <c r="D65" s="65" t="s">
        <v>293</v>
      </c>
      <c r="E65" s="59" t="s">
        <v>288</v>
      </c>
      <c r="F65" s="60">
        <v>1171410</v>
      </c>
      <c r="G65" s="60">
        <v>880576.12</v>
      </c>
      <c r="H65" s="60">
        <v>290833.88</v>
      </c>
      <c r="I65" s="59"/>
      <c r="J65" s="60">
        <v>48472.32</v>
      </c>
      <c r="K65" s="59"/>
      <c r="L65" s="59"/>
      <c r="M65" s="60">
        <v>1171410</v>
      </c>
      <c r="N65" s="60">
        <v>929048.44</v>
      </c>
      <c r="O65" s="60">
        <v>242361.56</v>
      </c>
      <c r="P65" s="55">
        <v>266597.71999999997</v>
      </c>
      <c r="Q65" s="55">
        <f t="shared" ref="Q65:Q66" si="34">P65*2.2%</f>
        <v>5865.14984</v>
      </c>
      <c r="R65" s="61">
        <f t="shared" si="3"/>
        <v>4039.36</v>
      </c>
      <c r="S65" s="60">
        <v>4039.36</v>
      </c>
      <c r="T65" s="60">
        <v>4039.36</v>
      </c>
      <c r="U65" s="60">
        <v>4039.36</v>
      </c>
      <c r="V65" s="60">
        <v>4039.36</v>
      </c>
      <c r="W65" s="60">
        <v>4039.36</v>
      </c>
      <c r="X65" s="61">
        <f t="shared" si="4"/>
        <v>24236.16</v>
      </c>
      <c r="Y65" s="60">
        <v>4039.36</v>
      </c>
      <c r="Z65" s="60">
        <v>4039.36</v>
      </c>
      <c r="AA65" s="60">
        <v>4039.36</v>
      </c>
      <c r="AB65" s="60">
        <v>4039.36</v>
      </c>
      <c r="AC65" s="60">
        <v>4039.36</v>
      </c>
      <c r="AD65" s="60">
        <v>4039.36</v>
      </c>
      <c r="AE65" s="61">
        <f t="shared" si="5"/>
        <v>24236.16</v>
      </c>
      <c r="AF65" s="62">
        <f t="shared" si="28"/>
        <v>1171410</v>
      </c>
      <c r="AG65" s="62">
        <f t="shared" si="29"/>
        <v>977520.75999999978</v>
      </c>
      <c r="AH65" s="62">
        <f t="shared" si="13"/>
        <v>193889.24000000022</v>
      </c>
      <c r="AI65" s="63">
        <v>218125.40000000008</v>
      </c>
      <c r="AJ65" s="63">
        <f t="shared" ref="AJ65:AJ66" si="35">AI65*2.2%</f>
        <v>4798.7588000000023</v>
      </c>
      <c r="AK65" s="62"/>
      <c r="AL65" s="60">
        <v>4039.36</v>
      </c>
      <c r="AM65" s="60">
        <v>4039.36</v>
      </c>
      <c r="AN65" s="60">
        <v>4039.36</v>
      </c>
      <c r="AO65" s="60">
        <v>4039.36</v>
      </c>
      <c r="AP65" s="60">
        <v>4039.36</v>
      </c>
      <c r="AQ65" s="60">
        <v>4039.36</v>
      </c>
      <c r="AR65" s="61">
        <f t="shared" si="7"/>
        <v>24236.16</v>
      </c>
      <c r="AS65" s="60">
        <v>4039.36</v>
      </c>
      <c r="AT65" s="60">
        <v>4039.36</v>
      </c>
      <c r="AU65" s="60">
        <v>4039.36</v>
      </c>
      <c r="AV65" s="60">
        <v>4039.36</v>
      </c>
      <c r="AW65" s="60">
        <v>4039.36</v>
      </c>
      <c r="AX65" s="60">
        <v>4039.36</v>
      </c>
      <c r="AY65" s="61">
        <f t="shared" si="8"/>
        <v>24236.16</v>
      </c>
      <c r="AZ65" s="56">
        <f t="shared" si="2"/>
        <v>48472.32</v>
      </c>
      <c r="BA65" s="62">
        <f t="shared" si="14"/>
        <v>1171410</v>
      </c>
      <c r="BB65" s="62">
        <f t="shared" si="9"/>
        <v>1025993.0799999996</v>
      </c>
      <c r="BC65" s="62">
        <f t="shared" si="15"/>
        <v>145416.92000000039</v>
      </c>
      <c r="BD65" s="63">
        <v>169653.08000000025</v>
      </c>
      <c r="BE65" s="57">
        <f t="shared" ref="BE65:BE66" si="36">BD65*2.2%</f>
        <v>3732.367760000006</v>
      </c>
      <c r="BF65" s="35" t="e">
        <f>VLOOKUP(A:A,'2023-2027'!A:G,1,+FALSE)</f>
        <v>#N/A</v>
      </c>
      <c r="BG65" s="7" t="e">
        <f t="shared" si="19"/>
        <v>#N/A</v>
      </c>
      <c r="BH65" s="35"/>
    </row>
    <row r="66" spans="1:60" ht="24" hidden="1" customHeight="1" outlineLevel="1" x14ac:dyDescent="0.2">
      <c r="A66" s="59" t="s">
        <v>294</v>
      </c>
      <c r="B66" s="59" t="s">
        <v>77</v>
      </c>
      <c r="C66" s="59" t="s">
        <v>81</v>
      </c>
      <c r="D66" s="65" t="s">
        <v>295</v>
      </c>
      <c r="E66" s="59" t="s">
        <v>288</v>
      </c>
      <c r="F66" s="60">
        <v>1736362.8</v>
      </c>
      <c r="G66" s="60">
        <v>1161126.8600000001</v>
      </c>
      <c r="H66" s="60">
        <v>575235.93999999994</v>
      </c>
      <c r="I66" s="59"/>
      <c r="J66" s="60">
        <v>63915.12</v>
      </c>
      <c r="K66" s="59"/>
      <c r="L66" s="59"/>
      <c r="M66" s="60">
        <v>1736362.8</v>
      </c>
      <c r="N66" s="60">
        <v>1225041.98</v>
      </c>
      <c r="O66" s="60">
        <v>511320.82</v>
      </c>
      <c r="P66" s="55">
        <v>543278.38</v>
      </c>
      <c r="Q66" s="55">
        <f t="shared" si="34"/>
        <v>11952.124360000002</v>
      </c>
      <c r="R66" s="61">
        <f t="shared" si="3"/>
        <v>5326.26</v>
      </c>
      <c r="S66" s="60">
        <v>5326.26</v>
      </c>
      <c r="T66" s="60">
        <v>5326.26</v>
      </c>
      <c r="U66" s="60">
        <v>5326.26</v>
      </c>
      <c r="V66" s="60">
        <v>5326.26</v>
      </c>
      <c r="W66" s="60">
        <v>5326.26</v>
      </c>
      <c r="X66" s="61">
        <f t="shared" si="4"/>
        <v>31957.560000000005</v>
      </c>
      <c r="Y66" s="60">
        <v>5326.26</v>
      </c>
      <c r="Z66" s="60">
        <v>5326.26</v>
      </c>
      <c r="AA66" s="60">
        <v>5326.26</v>
      </c>
      <c r="AB66" s="60">
        <v>5326.26</v>
      </c>
      <c r="AC66" s="60">
        <v>5326.26</v>
      </c>
      <c r="AD66" s="60">
        <v>5326.26</v>
      </c>
      <c r="AE66" s="61">
        <f t="shared" si="5"/>
        <v>31957.560000000005</v>
      </c>
      <c r="AF66" s="62">
        <f t="shared" si="28"/>
        <v>1736362.8</v>
      </c>
      <c r="AG66" s="62">
        <f t="shared" si="29"/>
        <v>1288957.1000000001</v>
      </c>
      <c r="AH66" s="62">
        <f t="shared" si="13"/>
        <v>447405.69999999995</v>
      </c>
      <c r="AI66" s="63">
        <v>479363.26000000065</v>
      </c>
      <c r="AJ66" s="63">
        <f t="shared" si="35"/>
        <v>10545.991720000015</v>
      </c>
      <c r="AK66" s="62"/>
      <c r="AL66" s="60">
        <v>5326.26</v>
      </c>
      <c r="AM66" s="60">
        <v>5326.26</v>
      </c>
      <c r="AN66" s="60">
        <v>5326.26</v>
      </c>
      <c r="AO66" s="60">
        <v>5326.26</v>
      </c>
      <c r="AP66" s="60">
        <v>5326.26</v>
      </c>
      <c r="AQ66" s="60">
        <v>5326.26</v>
      </c>
      <c r="AR66" s="61">
        <f t="shared" si="7"/>
        <v>31957.560000000005</v>
      </c>
      <c r="AS66" s="60">
        <v>5326.26</v>
      </c>
      <c r="AT66" s="60">
        <v>5326.26</v>
      </c>
      <c r="AU66" s="60">
        <v>5326.26</v>
      </c>
      <c r="AV66" s="60">
        <v>5326.26</v>
      </c>
      <c r="AW66" s="60">
        <v>5326.26</v>
      </c>
      <c r="AX66" s="60">
        <v>5326.26</v>
      </c>
      <c r="AY66" s="61">
        <f t="shared" si="8"/>
        <v>31957.560000000005</v>
      </c>
      <c r="AZ66" s="56">
        <f t="shared" si="2"/>
        <v>63915.12000000001</v>
      </c>
      <c r="BA66" s="62">
        <f t="shared" si="14"/>
        <v>1736362.8</v>
      </c>
      <c r="BB66" s="62">
        <f t="shared" si="9"/>
        <v>1352872.2200000002</v>
      </c>
      <c r="BC66" s="62">
        <f t="shared" si="15"/>
        <v>383490.57999999984</v>
      </c>
      <c r="BD66" s="63">
        <v>415448.14000000193</v>
      </c>
      <c r="BE66" s="57">
        <f t="shared" si="36"/>
        <v>9139.8590800000438</v>
      </c>
      <c r="BF66" s="35" t="e">
        <f>VLOOKUP(A:A,'2023-2027'!A:G,1,+FALSE)</f>
        <v>#N/A</v>
      </c>
      <c r="BG66" s="7" t="e">
        <f t="shared" si="19"/>
        <v>#N/A</v>
      </c>
      <c r="BH66" s="35"/>
    </row>
    <row r="67" spans="1:60" ht="24" hidden="1" customHeight="1" outlineLevel="1" x14ac:dyDescent="0.2">
      <c r="A67" s="59" t="s">
        <v>296</v>
      </c>
      <c r="B67" s="59" t="s">
        <v>77</v>
      </c>
      <c r="C67" s="59" t="s">
        <v>81</v>
      </c>
      <c r="D67" s="66" t="s">
        <v>297</v>
      </c>
      <c r="E67" s="59" t="s">
        <v>260</v>
      </c>
      <c r="F67" s="60">
        <v>474500</v>
      </c>
      <c r="G67" s="60">
        <v>278768.28000000003</v>
      </c>
      <c r="H67" s="60">
        <v>195731.72</v>
      </c>
      <c r="I67" s="59"/>
      <c r="J67" s="60">
        <v>23725.08</v>
      </c>
      <c r="K67" s="59"/>
      <c r="L67" s="59"/>
      <c r="M67" s="60">
        <v>474500</v>
      </c>
      <c r="N67" s="60">
        <v>302493.36</v>
      </c>
      <c r="O67" s="60">
        <v>172006.64</v>
      </c>
      <c r="P67" s="55"/>
      <c r="Q67" s="55"/>
      <c r="R67" s="61">
        <f t="shared" si="3"/>
        <v>1977.0900000000001</v>
      </c>
      <c r="S67" s="60">
        <v>1977.09</v>
      </c>
      <c r="T67" s="60">
        <v>1977.09</v>
      </c>
      <c r="U67" s="60">
        <v>1977.09</v>
      </c>
      <c r="V67" s="60">
        <v>1977.09</v>
      </c>
      <c r="W67" s="60">
        <v>1977.09</v>
      </c>
      <c r="X67" s="61">
        <f t="shared" si="4"/>
        <v>11862.54</v>
      </c>
      <c r="Y67" s="60">
        <v>1977.09</v>
      </c>
      <c r="Z67" s="60">
        <v>1977.09</v>
      </c>
      <c r="AA67" s="60">
        <v>1977.09</v>
      </c>
      <c r="AB67" s="60">
        <v>1977.09</v>
      </c>
      <c r="AC67" s="60">
        <v>1977.09</v>
      </c>
      <c r="AD67" s="60">
        <v>1977.09</v>
      </c>
      <c r="AE67" s="61">
        <f t="shared" si="5"/>
        <v>11862.539999999999</v>
      </c>
      <c r="AF67" s="62">
        <f t="shared" si="28"/>
        <v>474500</v>
      </c>
      <c r="AG67" s="62">
        <f t="shared" si="29"/>
        <v>326218.44000000029</v>
      </c>
      <c r="AH67" s="62">
        <f t="shared" si="13"/>
        <v>148281.55999999971</v>
      </c>
      <c r="AI67" s="63"/>
      <c r="AJ67" s="63"/>
      <c r="AK67" s="62"/>
      <c r="AL67" s="60">
        <v>1977.09</v>
      </c>
      <c r="AM67" s="60">
        <v>1977.09</v>
      </c>
      <c r="AN67" s="60">
        <v>1977.09</v>
      </c>
      <c r="AO67" s="60">
        <v>1977.09</v>
      </c>
      <c r="AP67" s="60">
        <v>1977.09</v>
      </c>
      <c r="AQ67" s="60">
        <v>1977.09</v>
      </c>
      <c r="AR67" s="61">
        <f t="shared" si="7"/>
        <v>11862.539999999999</v>
      </c>
      <c r="AS67" s="60">
        <v>1977.09</v>
      </c>
      <c r="AT67" s="60">
        <v>1977.09</v>
      </c>
      <c r="AU67" s="60">
        <v>1977.09</v>
      </c>
      <c r="AV67" s="60">
        <v>1977.09</v>
      </c>
      <c r="AW67" s="60">
        <v>1977.09</v>
      </c>
      <c r="AX67" s="60">
        <v>1977.09</v>
      </c>
      <c r="AY67" s="61">
        <f t="shared" si="8"/>
        <v>11862.539999999999</v>
      </c>
      <c r="AZ67" s="56">
        <f t="shared" si="2"/>
        <v>23725.079999999998</v>
      </c>
      <c r="BA67" s="62">
        <f t="shared" si="14"/>
        <v>474500</v>
      </c>
      <c r="BB67" s="62">
        <f t="shared" si="9"/>
        <v>349943.5200000006</v>
      </c>
      <c r="BC67" s="62">
        <f t="shared" si="15"/>
        <v>124556.4799999994</v>
      </c>
      <c r="BD67" s="63"/>
      <c r="BE67" s="57"/>
      <c r="BF67" s="35" t="str">
        <f>VLOOKUP(A:A,'2023-2027'!A:G,1,+FALSE)</f>
        <v>Выпрямитель для стац аккум установок №1</v>
      </c>
      <c r="BG67" s="7" t="b">
        <f t="shared" si="19"/>
        <v>1</v>
      </c>
      <c r="BH67" s="35">
        <f>VLOOKUP(A:A,'2023-2027'!A:AT,43,+FALSE)</f>
        <v>1977.09</v>
      </c>
    </row>
    <row r="68" spans="1:60" ht="24" hidden="1" customHeight="1" outlineLevel="1" x14ac:dyDescent="0.2">
      <c r="A68" s="59" t="s">
        <v>298</v>
      </c>
      <c r="B68" s="59" t="s">
        <v>77</v>
      </c>
      <c r="C68" s="59" t="s">
        <v>81</v>
      </c>
      <c r="D68" s="66" t="s">
        <v>299</v>
      </c>
      <c r="E68" s="59" t="s">
        <v>260</v>
      </c>
      <c r="F68" s="60">
        <v>474500</v>
      </c>
      <c r="G68" s="60">
        <v>278768.28000000003</v>
      </c>
      <c r="H68" s="60">
        <v>195731.72</v>
      </c>
      <c r="I68" s="59"/>
      <c r="J68" s="60">
        <v>23725.08</v>
      </c>
      <c r="K68" s="59"/>
      <c r="L68" s="59"/>
      <c r="M68" s="60">
        <v>474500</v>
      </c>
      <c r="N68" s="60">
        <v>302493.36</v>
      </c>
      <c r="O68" s="60">
        <v>172006.64</v>
      </c>
      <c r="P68" s="55"/>
      <c r="Q68" s="55"/>
      <c r="R68" s="61">
        <f t="shared" si="3"/>
        <v>1977.0900000000001</v>
      </c>
      <c r="S68" s="60">
        <v>1977.09</v>
      </c>
      <c r="T68" s="60">
        <v>1977.09</v>
      </c>
      <c r="U68" s="60">
        <v>1977.09</v>
      </c>
      <c r="V68" s="60">
        <v>1977.09</v>
      </c>
      <c r="W68" s="60">
        <v>1977.09</v>
      </c>
      <c r="X68" s="61">
        <f t="shared" si="4"/>
        <v>11862.54</v>
      </c>
      <c r="Y68" s="60">
        <v>1977.09</v>
      </c>
      <c r="Z68" s="60">
        <v>1977.09</v>
      </c>
      <c r="AA68" s="60">
        <v>1977.09</v>
      </c>
      <c r="AB68" s="60">
        <v>1977.09</v>
      </c>
      <c r="AC68" s="60">
        <v>1977.09</v>
      </c>
      <c r="AD68" s="60">
        <v>1977.09</v>
      </c>
      <c r="AE68" s="61">
        <f t="shared" si="5"/>
        <v>11862.539999999999</v>
      </c>
      <c r="AF68" s="62">
        <f t="shared" si="28"/>
        <v>474500</v>
      </c>
      <c r="AG68" s="62">
        <f t="shared" si="29"/>
        <v>326218.44000000029</v>
      </c>
      <c r="AH68" s="62">
        <f t="shared" si="13"/>
        <v>148281.55999999971</v>
      </c>
      <c r="AI68" s="63"/>
      <c r="AJ68" s="63"/>
      <c r="AK68" s="62"/>
      <c r="AL68" s="60">
        <v>1977.09</v>
      </c>
      <c r="AM68" s="60">
        <v>1977.09</v>
      </c>
      <c r="AN68" s="60">
        <v>1977.09</v>
      </c>
      <c r="AO68" s="60">
        <v>1977.09</v>
      </c>
      <c r="AP68" s="60">
        <v>1977.09</v>
      </c>
      <c r="AQ68" s="60">
        <v>1977.09</v>
      </c>
      <c r="AR68" s="61">
        <f t="shared" si="7"/>
        <v>11862.539999999999</v>
      </c>
      <c r="AS68" s="60">
        <v>1977.09</v>
      </c>
      <c r="AT68" s="60">
        <v>1977.09</v>
      </c>
      <c r="AU68" s="60">
        <v>1977.09</v>
      </c>
      <c r="AV68" s="60">
        <v>1977.09</v>
      </c>
      <c r="AW68" s="60">
        <v>1977.09</v>
      </c>
      <c r="AX68" s="60">
        <v>1977.09</v>
      </c>
      <c r="AY68" s="61">
        <f t="shared" si="8"/>
        <v>11862.539999999999</v>
      </c>
      <c r="AZ68" s="56">
        <f t="shared" si="2"/>
        <v>23725.079999999998</v>
      </c>
      <c r="BA68" s="62">
        <f t="shared" si="14"/>
        <v>474500</v>
      </c>
      <c r="BB68" s="62">
        <f t="shared" si="9"/>
        <v>349943.5200000006</v>
      </c>
      <c r="BC68" s="62">
        <f t="shared" si="15"/>
        <v>124556.4799999994</v>
      </c>
      <c r="BD68" s="63"/>
      <c r="BE68" s="57"/>
      <c r="BF68" s="35" t="str">
        <f>VLOOKUP(A:A,'2023-2027'!A:G,1,+FALSE)</f>
        <v>Выпрямитель для стац аккум установок №2</v>
      </c>
      <c r="BG68" s="7" t="b">
        <f t="shared" si="19"/>
        <v>1</v>
      </c>
      <c r="BH68" s="35">
        <f>VLOOKUP(A:A,'2023-2027'!A:AT,43,+FALSE)</f>
        <v>1977.09</v>
      </c>
    </row>
    <row r="69" spans="1:60" ht="12" hidden="1" customHeight="1" outlineLevel="1" x14ac:dyDescent="0.2">
      <c r="A69" s="59" t="s">
        <v>300</v>
      </c>
      <c r="B69" s="59" t="s">
        <v>77</v>
      </c>
      <c r="C69" s="59" t="s">
        <v>81</v>
      </c>
      <c r="D69" s="66" t="s">
        <v>301</v>
      </c>
      <c r="E69" s="59" t="s">
        <v>302</v>
      </c>
      <c r="F69" s="60">
        <v>71300</v>
      </c>
      <c r="G69" s="60">
        <v>25789.34</v>
      </c>
      <c r="H69" s="60">
        <v>45510.66</v>
      </c>
      <c r="I69" s="59"/>
      <c r="J69" s="60">
        <v>9102.1200000000008</v>
      </c>
      <c r="K69" s="59"/>
      <c r="L69" s="59"/>
      <c r="M69" s="60">
        <v>71300</v>
      </c>
      <c r="N69" s="60">
        <v>34891.46</v>
      </c>
      <c r="O69" s="60">
        <v>36408.54</v>
      </c>
      <c r="P69" s="55"/>
      <c r="Q69" s="55"/>
      <c r="R69" s="61">
        <f t="shared" si="3"/>
        <v>758.5100000000001</v>
      </c>
      <c r="S69" s="60">
        <v>758.51</v>
      </c>
      <c r="T69" s="60">
        <v>758.51</v>
      </c>
      <c r="U69" s="60">
        <v>758.51</v>
      </c>
      <c r="V69" s="60">
        <v>758.51</v>
      </c>
      <c r="W69" s="60">
        <v>758.51</v>
      </c>
      <c r="X69" s="61">
        <f t="shared" si="4"/>
        <v>4551.0600000000004</v>
      </c>
      <c r="Y69" s="60">
        <v>758.51</v>
      </c>
      <c r="Z69" s="60">
        <v>758.51</v>
      </c>
      <c r="AA69" s="60">
        <v>758.51</v>
      </c>
      <c r="AB69" s="60">
        <v>758.51</v>
      </c>
      <c r="AC69" s="60">
        <v>758.51</v>
      </c>
      <c r="AD69" s="60">
        <v>758.51</v>
      </c>
      <c r="AE69" s="61">
        <f t="shared" si="5"/>
        <v>4551.0600000000004</v>
      </c>
      <c r="AF69" s="62">
        <f t="shared" si="28"/>
        <v>71300</v>
      </c>
      <c r="AG69" s="62">
        <f t="shared" si="29"/>
        <v>43993.580000000024</v>
      </c>
      <c r="AH69" s="62">
        <f t="shared" si="13"/>
        <v>27306.419999999976</v>
      </c>
      <c r="AI69" s="63"/>
      <c r="AJ69" s="63"/>
      <c r="AK69" s="62"/>
      <c r="AL69" s="60">
        <v>758.51</v>
      </c>
      <c r="AM69" s="60">
        <v>758.51</v>
      </c>
      <c r="AN69" s="60">
        <v>758.51</v>
      </c>
      <c r="AO69" s="60">
        <v>758.51</v>
      </c>
      <c r="AP69" s="60">
        <v>758.51</v>
      </c>
      <c r="AQ69" s="60">
        <v>758.51</v>
      </c>
      <c r="AR69" s="61">
        <f t="shared" si="7"/>
        <v>4551.0600000000004</v>
      </c>
      <c r="AS69" s="60">
        <v>758.51</v>
      </c>
      <c r="AT69" s="60">
        <v>758.51</v>
      </c>
      <c r="AU69" s="60">
        <v>758.51</v>
      </c>
      <c r="AV69" s="60">
        <v>758.51</v>
      </c>
      <c r="AW69" s="60">
        <v>758.51</v>
      </c>
      <c r="AX69" s="60">
        <v>758.51</v>
      </c>
      <c r="AY69" s="61">
        <f t="shared" si="8"/>
        <v>4551.0600000000004</v>
      </c>
      <c r="AZ69" s="56">
        <f t="shared" si="2"/>
        <v>9102.1200000000008</v>
      </c>
      <c r="BA69" s="62">
        <f t="shared" si="14"/>
        <v>71300</v>
      </c>
      <c r="BB69" s="62">
        <f t="shared" si="9"/>
        <v>53095.700000000048</v>
      </c>
      <c r="BC69" s="62">
        <f t="shared" si="15"/>
        <v>18204.299999999952</v>
      </c>
      <c r="BD69" s="63"/>
      <c r="BE69" s="57"/>
      <c r="BF69" s="35" t="str">
        <f>VLOOKUP(A:A,'2023-2027'!A:G,1,+FALSE)</f>
        <v>Газоанализатор СГОЭС (метан)</v>
      </c>
      <c r="BG69" s="7" t="b">
        <f t="shared" si="19"/>
        <v>1</v>
      </c>
      <c r="BH69" s="35">
        <f>VLOOKUP(A:A,'2023-2027'!A:AT,43,+FALSE)</f>
        <v>1188.33</v>
      </c>
    </row>
    <row r="70" spans="1:60" ht="24" hidden="1" customHeight="1" outlineLevel="1" x14ac:dyDescent="0.2">
      <c r="A70" s="59" t="s">
        <v>303</v>
      </c>
      <c r="B70" s="59" t="s">
        <v>77</v>
      </c>
      <c r="C70" s="59" t="s">
        <v>81</v>
      </c>
      <c r="D70" s="66" t="s">
        <v>304</v>
      </c>
      <c r="E70" s="59" t="s">
        <v>305</v>
      </c>
      <c r="F70" s="60">
        <v>120511.36</v>
      </c>
      <c r="G70" s="60">
        <v>48204.4</v>
      </c>
      <c r="H70" s="60">
        <v>72306.960000000006</v>
      </c>
      <c r="I70" s="59"/>
      <c r="J70" s="60">
        <v>14461.44</v>
      </c>
      <c r="K70" s="59"/>
      <c r="L70" s="59"/>
      <c r="M70" s="60">
        <v>120511.36</v>
      </c>
      <c r="N70" s="60">
        <v>62665.84</v>
      </c>
      <c r="O70" s="60">
        <v>57845.52</v>
      </c>
      <c r="P70" s="55"/>
      <c r="Q70" s="55"/>
      <c r="R70" s="61">
        <f t="shared" si="3"/>
        <v>1205.1200000000001</v>
      </c>
      <c r="S70" s="60">
        <v>1205.1199999999999</v>
      </c>
      <c r="T70" s="60">
        <v>1205.1199999999999</v>
      </c>
      <c r="U70" s="60">
        <v>1205.1199999999999</v>
      </c>
      <c r="V70" s="60">
        <v>1205.1199999999999</v>
      </c>
      <c r="W70" s="60">
        <v>1205.1199999999999</v>
      </c>
      <c r="X70" s="61">
        <f t="shared" si="4"/>
        <v>7230.7199999999993</v>
      </c>
      <c r="Y70" s="60">
        <v>1205.1199999999999</v>
      </c>
      <c r="Z70" s="60">
        <v>1205.1199999999999</v>
      </c>
      <c r="AA70" s="60">
        <v>1205.1199999999999</v>
      </c>
      <c r="AB70" s="60">
        <v>1205.1199999999999</v>
      </c>
      <c r="AC70" s="60">
        <v>1205.1199999999999</v>
      </c>
      <c r="AD70" s="60">
        <v>1205.1199999999999</v>
      </c>
      <c r="AE70" s="61">
        <f t="shared" si="5"/>
        <v>7230.7199999999993</v>
      </c>
      <c r="AF70" s="62">
        <f t="shared" si="28"/>
        <v>120511.36</v>
      </c>
      <c r="AG70" s="62">
        <f t="shared" si="29"/>
        <v>77127.279999999955</v>
      </c>
      <c r="AH70" s="62">
        <f t="shared" si="13"/>
        <v>43384.080000000045</v>
      </c>
      <c r="AI70" s="63"/>
      <c r="AJ70" s="63"/>
      <c r="AK70" s="62"/>
      <c r="AL70" s="60">
        <v>1205.1199999999999</v>
      </c>
      <c r="AM70" s="60">
        <v>1205.1199999999999</v>
      </c>
      <c r="AN70" s="60">
        <v>1205.1199999999999</v>
      </c>
      <c r="AO70" s="60">
        <v>1205.1199999999999</v>
      </c>
      <c r="AP70" s="60">
        <v>1205.1199999999999</v>
      </c>
      <c r="AQ70" s="60">
        <v>1205.1199999999999</v>
      </c>
      <c r="AR70" s="61">
        <f t="shared" si="7"/>
        <v>7230.7199999999993</v>
      </c>
      <c r="AS70" s="60">
        <v>1205.1199999999999</v>
      </c>
      <c r="AT70" s="60">
        <v>1205.1199999999999</v>
      </c>
      <c r="AU70" s="60">
        <v>1205.1199999999999</v>
      </c>
      <c r="AV70" s="60">
        <v>1205.1199999999999</v>
      </c>
      <c r="AW70" s="60">
        <v>1205.1199999999999</v>
      </c>
      <c r="AX70" s="60">
        <v>1205.1199999999999</v>
      </c>
      <c r="AY70" s="61">
        <f t="shared" si="8"/>
        <v>7230.7199999999993</v>
      </c>
      <c r="AZ70" s="56">
        <f t="shared" si="2"/>
        <v>14461.439999999999</v>
      </c>
      <c r="BA70" s="62">
        <f t="shared" si="14"/>
        <v>120511.36</v>
      </c>
      <c r="BB70" s="62">
        <f t="shared" si="9"/>
        <v>91588.719999999899</v>
      </c>
      <c r="BC70" s="62">
        <f t="shared" si="15"/>
        <v>28922.640000000101</v>
      </c>
      <c r="BD70" s="63"/>
      <c r="BE70" s="57"/>
      <c r="BF70" s="35" t="str">
        <f>VLOOKUP(A:A,'2023-2027'!A:G,1,+FALSE)</f>
        <v>Газоанализатор СГОЭС метан ЖСКФ</v>
      </c>
      <c r="BG70" s="7" t="b">
        <f t="shared" si="19"/>
        <v>1</v>
      </c>
      <c r="BH70" s="35">
        <f>VLOOKUP(A:A,'2023-2027'!A:AT,43,+FALSE)</f>
        <v>0</v>
      </c>
    </row>
    <row r="71" spans="1:60" ht="24" hidden="1" customHeight="1" outlineLevel="1" x14ac:dyDescent="0.2">
      <c r="A71" s="59" t="s">
        <v>306</v>
      </c>
      <c r="B71" s="59" t="s">
        <v>77</v>
      </c>
      <c r="C71" s="59" t="s">
        <v>81</v>
      </c>
      <c r="D71" s="65" t="s">
        <v>307</v>
      </c>
      <c r="E71" s="59" t="s">
        <v>308</v>
      </c>
      <c r="F71" s="60">
        <v>57457.63</v>
      </c>
      <c r="G71" s="60">
        <v>33545.129999999997</v>
      </c>
      <c r="H71" s="60">
        <v>23912.5</v>
      </c>
      <c r="I71" s="59"/>
      <c r="J71" s="60">
        <v>3985.44</v>
      </c>
      <c r="K71" s="59"/>
      <c r="L71" s="59"/>
      <c r="M71" s="60">
        <v>57457.63</v>
      </c>
      <c r="N71" s="60">
        <v>37530.57</v>
      </c>
      <c r="O71" s="60">
        <v>19927.060000000001</v>
      </c>
      <c r="P71" s="55"/>
      <c r="Q71" s="55"/>
      <c r="R71" s="61">
        <f t="shared" si="3"/>
        <v>332.12</v>
      </c>
      <c r="S71" s="60">
        <v>332.12</v>
      </c>
      <c r="T71" s="60">
        <v>332.12</v>
      </c>
      <c r="U71" s="60">
        <v>332.12</v>
      </c>
      <c r="V71" s="60">
        <v>332.12</v>
      </c>
      <c r="W71" s="60">
        <v>332.12</v>
      </c>
      <c r="X71" s="61">
        <f t="shared" si="4"/>
        <v>1992.7199999999998</v>
      </c>
      <c r="Y71" s="60">
        <v>332.12</v>
      </c>
      <c r="Z71" s="60">
        <v>332.12</v>
      </c>
      <c r="AA71" s="60">
        <v>332.12</v>
      </c>
      <c r="AB71" s="60">
        <v>332.12</v>
      </c>
      <c r="AC71" s="60">
        <v>332.12</v>
      </c>
      <c r="AD71" s="60">
        <v>332.12</v>
      </c>
      <c r="AE71" s="61">
        <f t="shared" si="5"/>
        <v>1992.7199999999998</v>
      </c>
      <c r="AF71" s="62">
        <f t="shared" si="28"/>
        <v>57457.63</v>
      </c>
      <c r="AG71" s="62">
        <f t="shared" si="29"/>
        <v>41516.010000000031</v>
      </c>
      <c r="AH71" s="62">
        <f t="shared" si="13"/>
        <v>15941.619999999966</v>
      </c>
      <c r="AI71" s="63"/>
      <c r="AJ71" s="63"/>
      <c r="AK71" s="62"/>
      <c r="AL71" s="60">
        <v>332.12</v>
      </c>
      <c r="AM71" s="60">
        <v>332.12</v>
      </c>
      <c r="AN71" s="60">
        <v>332.12</v>
      </c>
      <c r="AO71" s="60">
        <v>332.12</v>
      </c>
      <c r="AP71" s="60">
        <v>332.12</v>
      </c>
      <c r="AQ71" s="60">
        <v>332.12</v>
      </c>
      <c r="AR71" s="61">
        <f t="shared" si="7"/>
        <v>1992.7199999999998</v>
      </c>
      <c r="AS71" s="60">
        <v>332.12</v>
      </c>
      <c r="AT71" s="60">
        <v>332.12</v>
      </c>
      <c r="AU71" s="60">
        <v>332.12</v>
      </c>
      <c r="AV71" s="60">
        <v>332.12</v>
      </c>
      <c r="AW71" s="60">
        <v>332.12</v>
      </c>
      <c r="AX71" s="60">
        <v>332.12</v>
      </c>
      <c r="AY71" s="61">
        <f t="shared" si="8"/>
        <v>1992.7199999999998</v>
      </c>
      <c r="AZ71" s="56">
        <f t="shared" si="2"/>
        <v>3985.4399999999996</v>
      </c>
      <c r="BA71" s="62">
        <f t="shared" si="14"/>
        <v>57457.63</v>
      </c>
      <c r="BB71" s="62">
        <f t="shared" si="9"/>
        <v>45501.450000000063</v>
      </c>
      <c r="BC71" s="62">
        <f t="shared" si="15"/>
        <v>11956.179999999935</v>
      </c>
      <c r="BD71" s="63"/>
      <c r="BE71" s="57"/>
      <c r="BF71" s="35" t="e">
        <f>VLOOKUP(A:A,'2023-2027'!A:G,1,+FALSE)</f>
        <v>#N/A</v>
      </c>
      <c r="BG71" s="7" t="e">
        <f t="shared" si="19"/>
        <v>#N/A</v>
      </c>
      <c r="BH71" s="35"/>
    </row>
    <row r="72" spans="1:60" ht="12" hidden="1" customHeight="1" outlineLevel="1" x14ac:dyDescent="0.2">
      <c r="A72" s="59" t="s">
        <v>309</v>
      </c>
      <c r="B72" s="59" t="s">
        <v>77</v>
      </c>
      <c r="C72" s="59" t="s">
        <v>81</v>
      </c>
      <c r="D72" s="66" t="s">
        <v>310</v>
      </c>
      <c r="E72" s="59" t="s">
        <v>311</v>
      </c>
      <c r="F72" s="60">
        <v>325875.88</v>
      </c>
      <c r="G72" s="60">
        <v>325875.88</v>
      </c>
      <c r="H72" s="60">
        <v>325875.88</v>
      </c>
      <c r="I72" s="59"/>
      <c r="J72" s="59"/>
      <c r="K72" s="59"/>
      <c r="L72" s="59"/>
      <c r="M72" s="60">
        <v>325875.88</v>
      </c>
      <c r="N72" s="60">
        <v>325875.88</v>
      </c>
      <c r="O72" s="60">
        <v>325875.88</v>
      </c>
      <c r="P72" s="55"/>
      <c r="Q72" s="55"/>
      <c r="R72" s="61">
        <f t="shared" si="3"/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1">
        <f t="shared" si="4"/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1">
        <f t="shared" si="5"/>
        <v>0</v>
      </c>
      <c r="AF72" s="62">
        <f t="shared" si="28"/>
        <v>325875.88</v>
      </c>
      <c r="AG72" s="62">
        <f t="shared" si="29"/>
        <v>325875.88</v>
      </c>
      <c r="AH72" s="62">
        <f t="shared" si="13"/>
        <v>0</v>
      </c>
      <c r="AI72" s="63"/>
      <c r="AJ72" s="63"/>
      <c r="AK72" s="62"/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1">
        <f t="shared" si="7"/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1">
        <f t="shared" si="8"/>
        <v>0</v>
      </c>
      <c r="AZ72" s="56">
        <f t="shared" si="2"/>
        <v>0</v>
      </c>
      <c r="BA72" s="62">
        <f t="shared" si="14"/>
        <v>325875.88</v>
      </c>
      <c r="BB72" s="62">
        <f t="shared" si="9"/>
        <v>325875.88</v>
      </c>
      <c r="BC72" s="62">
        <f t="shared" si="15"/>
        <v>0</v>
      </c>
      <c r="BD72" s="63"/>
      <c r="BE72" s="57"/>
      <c r="BF72" s="35" t="str">
        <f>VLOOKUP(A:A,'2023-2027'!A:G,1,+FALSE)</f>
        <v>Газон 600 м2  в районе ГТЭС-18</v>
      </c>
      <c r="BG72" s="7" t="b">
        <f t="shared" si="19"/>
        <v>1</v>
      </c>
      <c r="BH72" s="35">
        <f>VLOOKUP(A:A,'2023-2027'!A:AT,43,+FALSE)</f>
        <v>0</v>
      </c>
    </row>
    <row r="73" spans="1:60" ht="24" hidden="1" customHeight="1" outlineLevel="1" x14ac:dyDescent="0.2">
      <c r="A73" s="59" t="s">
        <v>312</v>
      </c>
      <c r="B73" s="59" t="s">
        <v>77</v>
      </c>
      <c r="C73" s="59" t="s">
        <v>81</v>
      </c>
      <c r="D73" s="66" t="s">
        <v>313</v>
      </c>
      <c r="E73" s="59" t="s">
        <v>288</v>
      </c>
      <c r="F73" s="60">
        <v>538189.19999999995</v>
      </c>
      <c r="G73" s="60">
        <v>391083.28</v>
      </c>
      <c r="H73" s="60">
        <v>147105.92000000001</v>
      </c>
      <c r="I73" s="59"/>
      <c r="J73" s="60">
        <v>21527.67</v>
      </c>
      <c r="K73" s="59"/>
      <c r="L73" s="59"/>
      <c r="M73" s="60">
        <v>538189.19999999995</v>
      </c>
      <c r="N73" s="60">
        <v>412610.95</v>
      </c>
      <c r="O73" s="60">
        <v>125578.25</v>
      </c>
      <c r="P73" s="55">
        <v>136342.09</v>
      </c>
      <c r="Q73" s="55">
        <f>P73*2.2%</f>
        <v>2999.5259800000003</v>
      </c>
      <c r="R73" s="61">
        <f t="shared" si="3"/>
        <v>1793.9724999999999</v>
      </c>
      <c r="S73" s="60">
        <v>1793.9725000000001</v>
      </c>
      <c r="T73" s="60">
        <v>1793.9725000000001</v>
      </c>
      <c r="U73" s="60">
        <v>1793.9725000000001</v>
      </c>
      <c r="V73" s="60">
        <v>1793.9725000000001</v>
      </c>
      <c r="W73" s="60">
        <v>1793.9725000000001</v>
      </c>
      <c r="X73" s="61">
        <f t="shared" si="4"/>
        <v>10763.834999999999</v>
      </c>
      <c r="Y73" s="60">
        <v>1793.9725000000001</v>
      </c>
      <c r="Z73" s="60">
        <v>1793.9725000000001</v>
      </c>
      <c r="AA73" s="60">
        <v>1793.9725000000001</v>
      </c>
      <c r="AB73" s="60">
        <v>1793.9725000000001</v>
      </c>
      <c r="AC73" s="60">
        <v>1793.9725000000001</v>
      </c>
      <c r="AD73" s="60">
        <v>1793.9725000000001</v>
      </c>
      <c r="AE73" s="61">
        <f t="shared" si="5"/>
        <v>10763.835000000001</v>
      </c>
      <c r="AF73" s="62">
        <f t="shared" si="28"/>
        <v>538189.19999999995</v>
      </c>
      <c r="AG73" s="62">
        <f t="shared" si="29"/>
        <v>434138.6199999997</v>
      </c>
      <c r="AH73" s="62">
        <f t="shared" si="13"/>
        <v>104050.58000000025</v>
      </c>
      <c r="AI73" s="63">
        <v>114814.43</v>
      </c>
      <c r="AJ73" s="63">
        <f t="shared" ref="AJ73" si="37">AI73*2.2%</f>
        <v>2525.9174600000001</v>
      </c>
      <c r="AK73" s="62"/>
      <c r="AL73" s="60">
        <v>1793.9725000000001</v>
      </c>
      <c r="AM73" s="60">
        <v>1793.9725000000001</v>
      </c>
      <c r="AN73" s="60">
        <v>1793.9725000000001</v>
      </c>
      <c r="AO73" s="60">
        <v>1793.9725000000001</v>
      </c>
      <c r="AP73" s="60">
        <v>1793.9725000000001</v>
      </c>
      <c r="AQ73" s="60">
        <v>1793.9725000000001</v>
      </c>
      <c r="AR73" s="61">
        <f t="shared" si="7"/>
        <v>10763.835000000001</v>
      </c>
      <c r="AS73" s="60">
        <v>1793.9725000000001</v>
      </c>
      <c r="AT73" s="60">
        <v>1793.9725000000001</v>
      </c>
      <c r="AU73" s="60">
        <v>1793.9725000000001</v>
      </c>
      <c r="AV73" s="60">
        <v>1793.9725000000001</v>
      </c>
      <c r="AW73" s="60">
        <v>1793.9725000000001</v>
      </c>
      <c r="AX73" s="60">
        <v>1793.9725000000001</v>
      </c>
      <c r="AY73" s="61">
        <f t="shared" si="8"/>
        <v>10763.835000000001</v>
      </c>
      <c r="AZ73" s="56">
        <f t="shared" si="2"/>
        <v>21527.670000000002</v>
      </c>
      <c r="BA73" s="62">
        <f t="shared" si="14"/>
        <v>538189.19999999995</v>
      </c>
      <c r="BB73" s="62">
        <f t="shared" si="9"/>
        <v>455666.2899999994</v>
      </c>
      <c r="BC73" s="62">
        <f t="shared" si="15"/>
        <v>82522.910000000556</v>
      </c>
      <c r="BD73" s="63">
        <v>93286.789999999979</v>
      </c>
      <c r="BE73" s="57">
        <f t="shared" ref="BE73" si="38">BD73*2.2%</f>
        <v>2052.3093799999997</v>
      </c>
      <c r="BF73" s="35" t="str">
        <f>VLOOKUP(A:A,'2023-2027'!A:G,1,+FALSE)</f>
        <v>Газопровод выс. давления(наружный) 2003г</v>
      </c>
      <c r="BG73" s="7" t="b">
        <f t="shared" si="19"/>
        <v>1</v>
      </c>
      <c r="BH73" s="35">
        <f>VLOOKUP(A:A,'2023-2027'!A:AT,43,+FALSE)</f>
        <v>1793.9725000000001</v>
      </c>
    </row>
    <row r="74" spans="1:60" ht="24" hidden="1" customHeight="1" outlineLevel="1" x14ac:dyDescent="0.2">
      <c r="A74" s="59" t="s">
        <v>314</v>
      </c>
      <c r="B74" s="59" t="s">
        <v>77</v>
      </c>
      <c r="C74" s="59" t="s">
        <v>81</v>
      </c>
      <c r="D74" s="66" t="s">
        <v>315</v>
      </c>
      <c r="E74" s="59" t="s">
        <v>260</v>
      </c>
      <c r="F74" s="60">
        <v>37399701.020000003</v>
      </c>
      <c r="G74" s="60">
        <v>21972324.690000001</v>
      </c>
      <c r="H74" s="60">
        <v>15427376.33</v>
      </c>
      <c r="I74" s="59"/>
      <c r="J74" s="60">
        <v>1869984.96</v>
      </c>
      <c r="K74" s="59"/>
      <c r="L74" s="59"/>
      <c r="M74" s="60">
        <v>37399701.020000003</v>
      </c>
      <c r="N74" s="60">
        <v>23842309.649999999</v>
      </c>
      <c r="O74" s="60">
        <v>13557391.369999999</v>
      </c>
      <c r="P74" s="55"/>
      <c r="Q74" s="55"/>
      <c r="R74" s="61">
        <f t="shared" si="3"/>
        <v>155832.07999999999</v>
      </c>
      <c r="S74" s="60">
        <v>155832.07999999999</v>
      </c>
      <c r="T74" s="60">
        <v>155832.07999999999</v>
      </c>
      <c r="U74" s="60">
        <v>155832.07999999999</v>
      </c>
      <c r="V74" s="60">
        <v>155832.07999999999</v>
      </c>
      <c r="W74" s="60">
        <v>155832.07999999999</v>
      </c>
      <c r="X74" s="61">
        <f t="shared" si="4"/>
        <v>934992.47999999986</v>
      </c>
      <c r="Y74" s="60">
        <v>155832.07999999999</v>
      </c>
      <c r="Z74" s="60">
        <v>155832.07999999999</v>
      </c>
      <c r="AA74" s="60">
        <v>155832.07999999999</v>
      </c>
      <c r="AB74" s="60">
        <v>155832.07999999999</v>
      </c>
      <c r="AC74" s="60">
        <v>155832.07999999999</v>
      </c>
      <c r="AD74" s="60">
        <v>155832.07999999999</v>
      </c>
      <c r="AE74" s="61">
        <f t="shared" si="5"/>
        <v>934992.47999999986</v>
      </c>
      <c r="AF74" s="62">
        <f t="shared" si="28"/>
        <v>37399701.020000003</v>
      </c>
      <c r="AG74" s="62">
        <f t="shared" si="29"/>
        <v>25712294.609999977</v>
      </c>
      <c r="AH74" s="62">
        <f t="shared" si="13"/>
        <v>11687406.410000026</v>
      </c>
      <c r="AI74" s="63"/>
      <c r="AJ74" s="63"/>
      <c r="AK74" s="62"/>
      <c r="AL74" s="60">
        <v>155832.07999999999</v>
      </c>
      <c r="AM74" s="60">
        <v>155832.07999999999</v>
      </c>
      <c r="AN74" s="60">
        <v>155832.07999999999</v>
      </c>
      <c r="AO74" s="60">
        <v>155832.07999999999</v>
      </c>
      <c r="AP74" s="60">
        <v>155832.07999999999</v>
      </c>
      <c r="AQ74" s="60">
        <v>155832.07999999999</v>
      </c>
      <c r="AR74" s="61">
        <f t="shared" si="7"/>
        <v>934992.47999999986</v>
      </c>
      <c r="AS74" s="60">
        <v>155832.07999999999</v>
      </c>
      <c r="AT74" s="60">
        <v>155832.07999999999</v>
      </c>
      <c r="AU74" s="60">
        <v>155832.07999999999</v>
      </c>
      <c r="AV74" s="60">
        <v>155832.07999999999</v>
      </c>
      <c r="AW74" s="60">
        <v>155832.07999999999</v>
      </c>
      <c r="AX74" s="60">
        <v>155832.07999999999</v>
      </c>
      <c r="AY74" s="61">
        <f t="shared" si="8"/>
        <v>934992.47999999986</v>
      </c>
      <c r="AZ74" s="56">
        <f t="shared" ref="AZ74:AZ137" si="39">AR74+AY74</f>
        <v>1869984.9599999997</v>
      </c>
      <c r="BA74" s="62">
        <f t="shared" si="14"/>
        <v>37399701.020000003</v>
      </c>
      <c r="BB74" s="62">
        <f t="shared" si="9"/>
        <v>27582279.569999956</v>
      </c>
      <c r="BC74" s="62">
        <f t="shared" si="15"/>
        <v>9817421.4500000477</v>
      </c>
      <c r="BD74" s="63"/>
      <c r="BE74" s="57"/>
      <c r="BF74" s="35" t="str">
        <f>VLOOKUP(A:A,'2023-2027'!A:G,1,+FALSE)</f>
        <v>Газотурбинный агрегат ГТА-6РМ №1</v>
      </c>
      <c r="BG74" s="7" t="b">
        <f t="shared" si="19"/>
        <v>1</v>
      </c>
      <c r="BH74" s="35">
        <f>VLOOKUP(A:A,'2023-2027'!A:AT,43,+FALSE)</f>
        <v>0</v>
      </c>
    </row>
    <row r="75" spans="1:60" ht="24" hidden="1" customHeight="1" outlineLevel="1" x14ac:dyDescent="0.2">
      <c r="A75" s="59" t="s">
        <v>316</v>
      </c>
      <c r="B75" s="59" t="s">
        <v>77</v>
      </c>
      <c r="C75" s="59" t="s">
        <v>81</v>
      </c>
      <c r="D75" s="66" t="s">
        <v>317</v>
      </c>
      <c r="E75" s="59" t="s">
        <v>260</v>
      </c>
      <c r="F75" s="60">
        <v>37399701.020000003</v>
      </c>
      <c r="G75" s="60">
        <v>21972324.690000001</v>
      </c>
      <c r="H75" s="60">
        <v>15427376.33</v>
      </c>
      <c r="I75" s="59"/>
      <c r="J75" s="60">
        <v>1869984.96</v>
      </c>
      <c r="K75" s="59"/>
      <c r="L75" s="59"/>
      <c r="M75" s="60">
        <v>37399701.020000003</v>
      </c>
      <c r="N75" s="60">
        <v>23842309.649999999</v>
      </c>
      <c r="O75" s="60">
        <v>13557391.369999999</v>
      </c>
      <c r="P75" s="55"/>
      <c r="Q75" s="55"/>
      <c r="R75" s="61">
        <f t="shared" ref="R75:R138" si="40">J75/12</f>
        <v>155832.07999999999</v>
      </c>
      <c r="S75" s="60">
        <v>155832.07999999999</v>
      </c>
      <c r="T75" s="60">
        <v>155832.07999999999</v>
      </c>
      <c r="U75" s="60">
        <v>155832.07999999999</v>
      </c>
      <c r="V75" s="60">
        <v>155832.07999999999</v>
      </c>
      <c r="W75" s="60">
        <v>155832.07999999999</v>
      </c>
      <c r="X75" s="61">
        <f t="shared" ref="X75:X138" si="41">R75+S75+T75+U75+V75+W75</f>
        <v>934992.47999999986</v>
      </c>
      <c r="Y75" s="60">
        <v>155832.07999999999</v>
      </c>
      <c r="Z75" s="60">
        <v>155832.07999999999</v>
      </c>
      <c r="AA75" s="60">
        <v>155832.07999999999</v>
      </c>
      <c r="AB75" s="60">
        <v>155832.07999999999</v>
      </c>
      <c r="AC75" s="60">
        <v>155832.07999999999</v>
      </c>
      <c r="AD75" s="60">
        <v>155832.07999999999</v>
      </c>
      <c r="AE75" s="61">
        <f t="shared" ref="AE75:AE138" si="42">Y75+Z75+AA75+AB75+AC75+AD75</f>
        <v>934992.47999999986</v>
      </c>
      <c r="AF75" s="62">
        <f t="shared" si="28"/>
        <v>37399701.020000003</v>
      </c>
      <c r="AG75" s="62">
        <f t="shared" si="29"/>
        <v>25712294.609999977</v>
      </c>
      <c r="AH75" s="62">
        <f t="shared" si="13"/>
        <v>11687406.410000026</v>
      </c>
      <c r="AI75" s="63"/>
      <c r="AJ75" s="63"/>
      <c r="AK75" s="62"/>
      <c r="AL75" s="60">
        <v>155832.07999999999</v>
      </c>
      <c r="AM75" s="60">
        <v>155832.07999999999</v>
      </c>
      <c r="AN75" s="60">
        <v>155832.07999999999</v>
      </c>
      <c r="AO75" s="60">
        <v>155832.07999999999</v>
      </c>
      <c r="AP75" s="60">
        <v>155832.07999999999</v>
      </c>
      <c r="AQ75" s="60">
        <v>155832.07999999999</v>
      </c>
      <c r="AR75" s="61">
        <f t="shared" ref="AR75:AR138" si="43">AL75+AM75+AN75+AO75+AP75+AQ75</f>
        <v>934992.47999999986</v>
      </c>
      <c r="AS75" s="60">
        <v>155832.07999999999</v>
      </c>
      <c r="AT75" s="60">
        <v>155832.07999999999</v>
      </c>
      <c r="AU75" s="60">
        <v>155832.07999999999</v>
      </c>
      <c r="AV75" s="60">
        <v>155832.07999999999</v>
      </c>
      <c r="AW75" s="60">
        <v>155832.07999999999</v>
      </c>
      <c r="AX75" s="60">
        <v>155832.07999999999</v>
      </c>
      <c r="AY75" s="61">
        <f t="shared" ref="AY75:AY138" si="44">AS75+AT75+AU75+AV75+AW75+AX75</f>
        <v>934992.47999999986</v>
      </c>
      <c r="AZ75" s="56">
        <f t="shared" si="39"/>
        <v>1869984.9599999997</v>
      </c>
      <c r="BA75" s="62">
        <f t="shared" si="14"/>
        <v>37399701.020000003</v>
      </c>
      <c r="BB75" s="62">
        <f t="shared" ref="BB75:BB138" si="45">AG75+AL75+AM75+AN75+AO75+AP75+AQ75+AS75+AT75+AU75+AV75+AW75+AX75</f>
        <v>27582279.569999956</v>
      </c>
      <c r="BC75" s="62">
        <f t="shared" si="15"/>
        <v>9817421.4500000477</v>
      </c>
      <c r="BD75" s="63"/>
      <c r="BE75" s="57"/>
      <c r="BF75" s="35" t="str">
        <f>VLOOKUP(A:A,'2023-2027'!A:G,1,+FALSE)</f>
        <v>Газотурбинный агрегат ГТА-6РМ №2</v>
      </c>
      <c r="BG75" s="7" t="b">
        <f t="shared" si="19"/>
        <v>1</v>
      </c>
      <c r="BH75" s="35">
        <f>VLOOKUP(A:A,'2023-2027'!A:AT,43,+FALSE)</f>
        <v>0</v>
      </c>
    </row>
    <row r="76" spans="1:60" ht="24" hidden="1" customHeight="1" outlineLevel="1" x14ac:dyDescent="0.2">
      <c r="A76" s="59" t="s">
        <v>318</v>
      </c>
      <c r="B76" s="59" t="s">
        <v>77</v>
      </c>
      <c r="C76" s="59" t="s">
        <v>81</v>
      </c>
      <c r="D76" s="66" t="s">
        <v>319</v>
      </c>
      <c r="E76" s="59" t="s">
        <v>260</v>
      </c>
      <c r="F76" s="60">
        <v>37140694.240000002</v>
      </c>
      <c r="G76" s="60">
        <v>21820157.489999998</v>
      </c>
      <c r="H76" s="60">
        <v>15320536.75</v>
      </c>
      <c r="I76" s="59"/>
      <c r="J76" s="60">
        <v>1857034.8</v>
      </c>
      <c r="K76" s="59"/>
      <c r="L76" s="59"/>
      <c r="M76" s="60">
        <v>37140694.240000002</v>
      </c>
      <c r="N76" s="60">
        <v>23677192.289999999</v>
      </c>
      <c r="O76" s="60">
        <v>13463501.949999999</v>
      </c>
      <c r="P76" s="55"/>
      <c r="Q76" s="55"/>
      <c r="R76" s="61">
        <f t="shared" si="40"/>
        <v>154752.9</v>
      </c>
      <c r="S76" s="60">
        <v>154752.9</v>
      </c>
      <c r="T76" s="60">
        <v>154752.9</v>
      </c>
      <c r="U76" s="60">
        <v>154752.9</v>
      </c>
      <c r="V76" s="60">
        <v>154752.9</v>
      </c>
      <c r="W76" s="60">
        <v>154752.9</v>
      </c>
      <c r="X76" s="61">
        <f t="shared" si="41"/>
        <v>928517.4</v>
      </c>
      <c r="Y76" s="60">
        <v>154752.9</v>
      </c>
      <c r="Z76" s="60">
        <v>154752.9</v>
      </c>
      <c r="AA76" s="60">
        <v>154752.9</v>
      </c>
      <c r="AB76" s="60">
        <v>154752.9</v>
      </c>
      <c r="AC76" s="60">
        <v>154752.9</v>
      </c>
      <c r="AD76" s="60">
        <v>154752.9</v>
      </c>
      <c r="AE76" s="61">
        <f t="shared" si="42"/>
        <v>928517.4</v>
      </c>
      <c r="AF76" s="62">
        <f t="shared" si="28"/>
        <v>37140694.240000002</v>
      </c>
      <c r="AG76" s="62">
        <f t="shared" si="29"/>
        <v>25534227.089999981</v>
      </c>
      <c r="AH76" s="62">
        <f t="shared" si="13"/>
        <v>11606467.150000021</v>
      </c>
      <c r="AI76" s="63"/>
      <c r="AJ76" s="63"/>
      <c r="AK76" s="62"/>
      <c r="AL76" s="60">
        <v>154752.9</v>
      </c>
      <c r="AM76" s="60">
        <v>154752.9</v>
      </c>
      <c r="AN76" s="60">
        <v>154752.9</v>
      </c>
      <c r="AO76" s="60">
        <v>154752.9</v>
      </c>
      <c r="AP76" s="60">
        <v>154752.9</v>
      </c>
      <c r="AQ76" s="60">
        <v>154752.9</v>
      </c>
      <c r="AR76" s="61">
        <f t="shared" si="43"/>
        <v>928517.4</v>
      </c>
      <c r="AS76" s="60">
        <v>154752.9</v>
      </c>
      <c r="AT76" s="60">
        <v>154752.9</v>
      </c>
      <c r="AU76" s="60">
        <v>154752.9</v>
      </c>
      <c r="AV76" s="60">
        <v>154752.9</v>
      </c>
      <c r="AW76" s="60">
        <v>154752.9</v>
      </c>
      <c r="AX76" s="60">
        <v>154752.9</v>
      </c>
      <c r="AY76" s="61">
        <f t="shared" si="44"/>
        <v>928517.4</v>
      </c>
      <c r="AZ76" s="56">
        <f t="shared" si="39"/>
        <v>1857034.8</v>
      </c>
      <c r="BA76" s="62">
        <f t="shared" si="14"/>
        <v>37140694.240000002</v>
      </c>
      <c r="BB76" s="62">
        <f t="shared" si="45"/>
        <v>27391261.889999963</v>
      </c>
      <c r="BC76" s="62">
        <f t="shared" si="15"/>
        <v>9749432.3500000387</v>
      </c>
      <c r="BD76" s="63"/>
      <c r="BE76" s="57"/>
      <c r="BF76" s="35" t="str">
        <f>VLOOKUP(A:A,'2023-2027'!A:G,1,+FALSE)</f>
        <v>Газотурбинный агрегат ГТА-6РМ №3</v>
      </c>
      <c r="BG76" s="7" t="b">
        <f t="shared" si="19"/>
        <v>1</v>
      </c>
      <c r="BH76" s="35">
        <f>VLOOKUP(A:A,'2023-2027'!A:AT,43,+FALSE)</f>
        <v>0</v>
      </c>
    </row>
    <row r="77" spans="1:60" ht="24" hidden="1" customHeight="1" outlineLevel="1" x14ac:dyDescent="0.2">
      <c r="A77" s="59" t="s">
        <v>320</v>
      </c>
      <c r="B77" s="59" t="s">
        <v>77</v>
      </c>
      <c r="C77" s="59" t="s">
        <v>81</v>
      </c>
      <c r="D77" s="65" t="s">
        <v>321</v>
      </c>
      <c r="E77" s="59" t="s">
        <v>322</v>
      </c>
      <c r="F77" s="60">
        <v>30784100.07</v>
      </c>
      <c r="G77" s="60">
        <v>20418024.899999999</v>
      </c>
      <c r="H77" s="60">
        <v>10366075.17</v>
      </c>
      <c r="I77" s="59"/>
      <c r="J77" s="60">
        <v>1256493.96</v>
      </c>
      <c r="K77" s="59"/>
      <c r="L77" s="59"/>
      <c r="M77" s="60">
        <v>30784100.07</v>
      </c>
      <c r="N77" s="60">
        <v>21674518.859999999</v>
      </c>
      <c r="O77" s="60">
        <v>9109581.2100000009</v>
      </c>
      <c r="P77" s="55"/>
      <c r="Q77" s="55"/>
      <c r="R77" s="61">
        <f t="shared" si="40"/>
        <v>104707.83</v>
      </c>
      <c r="S77" s="60">
        <v>104707.83</v>
      </c>
      <c r="T77" s="60">
        <v>104707.83</v>
      </c>
      <c r="U77" s="60">
        <v>104707.83</v>
      </c>
      <c r="V77" s="60">
        <v>104707.83</v>
      </c>
      <c r="W77" s="60">
        <v>104707.83</v>
      </c>
      <c r="X77" s="61">
        <f t="shared" si="41"/>
        <v>628246.98</v>
      </c>
      <c r="Y77" s="60">
        <v>104707.83</v>
      </c>
      <c r="Z77" s="60">
        <v>104707.83</v>
      </c>
      <c r="AA77" s="60">
        <v>104707.83</v>
      </c>
      <c r="AB77" s="60">
        <v>104707.83</v>
      </c>
      <c r="AC77" s="60">
        <v>104707.83</v>
      </c>
      <c r="AD77" s="60">
        <v>104707.83</v>
      </c>
      <c r="AE77" s="61">
        <f t="shared" si="42"/>
        <v>628246.98</v>
      </c>
      <c r="AF77" s="62">
        <f t="shared" si="28"/>
        <v>30784100.07</v>
      </c>
      <c r="AG77" s="62">
        <f t="shared" si="29"/>
        <v>22931012.819999978</v>
      </c>
      <c r="AH77" s="62">
        <f t="shared" si="13"/>
        <v>7853087.2500000224</v>
      </c>
      <c r="AI77" s="63"/>
      <c r="AJ77" s="63"/>
      <c r="AK77" s="62"/>
      <c r="AL77" s="60">
        <v>104707.83</v>
      </c>
      <c r="AM77" s="60">
        <v>104707.83</v>
      </c>
      <c r="AN77" s="60">
        <v>104707.83</v>
      </c>
      <c r="AO77" s="60">
        <v>104707.83</v>
      </c>
      <c r="AP77" s="60">
        <v>104707.83</v>
      </c>
      <c r="AQ77" s="60">
        <v>104707.83</v>
      </c>
      <c r="AR77" s="61">
        <f t="shared" si="43"/>
        <v>628246.98</v>
      </c>
      <c r="AS77" s="60">
        <v>104707.83</v>
      </c>
      <c r="AT77" s="60">
        <v>104707.83</v>
      </c>
      <c r="AU77" s="60">
        <v>104707.83</v>
      </c>
      <c r="AV77" s="60">
        <v>104707.83</v>
      </c>
      <c r="AW77" s="60">
        <v>104707.83</v>
      </c>
      <c r="AX77" s="60">
        <v>104707.83</v>
      </c>
      <c r="AY77" s="61">
        <f t="shared" si="44"/>
        <v>628246.98</v>
      </c>
      <c r="AZ77" s="56">
        <f t="shared" si="39"/>
        <v>1256493.96</v>
      </c>
      <c r="BA77" s="62">
        <f t="shared" si="14"/>
        <v>30784100.07</v>
      </c>
      <c r="BB77" s="62">
        <f t="shared" si="45"/>
        <v>24187506.779999956</v>
      </c>
      <c r="BC77" s="62">
        <f t="shared" si="15"/>
        <v>6596593.2900000438</v>
      </c>
      <c r="BD77" s="63"/>
      <c r="BE77" s="57"/>
      <c r="BF77" s="35" t="str">
        <f>VLOOKUP(A:A,'2023-2027'!A:G,1,+FALSE)</f>
        <v>ГТА-6 РМ №1 (газотурбинная энергетич установка)</v>
      </c>
      <c r="BG77" s="7" t="b">
        <f t="shared" si="19"/>
        <v>1</v>
      </c>
      <c r="BH77" s="35">
        <f>VLOOKUP(A:A,'2023-2027'!A:AT,43,+FALSE)</f>
        <v>64708.079999999994</v>
      </c>
    </row>
    <row r="78" spans="1:60" ht="12" hidden="1" customHeight="1" outlineLevel="1" x14ac:dyDescent="0.2">
      <c r="A78" s="59" t="s">
        <v>323</v>
      </c>
      <c r="B78" s="59" t="s">
        <v>77</v>
      </c>
      <c r="C78" s="59" t="s">
        <v>81</v>
      </c>
      <c r="D78" s="65" t="s">
        <v>324</v>
      </c>
      <c r="E78" s="59" t="s">
        <v>322</v>
      </c>
      <c r="F78" s="60">
        <v>30784121.07</v>
      </c>
      <c r="G78" s="60">
        <v>20418038.550000001</v>
      </c>
      <c r="H78" s="60">
        <v>10366082.52</v>
      </c>
      <c r="I78" s="59"/>
      <c r="J78" s="60">
        <v>1256494.8</v>
      </c>
      <c r="K78" s="59"/>
      <c r="L78" s="59"/>
      <c r="M78" s="60">
        <v>30784121.07</v>
      </c>
      <c r="N78" s="60">
        <v>21674533.350000001</v>
      </c>
      <c r="O78" s="60">
        <v>9109587.7200000007</v>
      </c>
      <c r="P78" s="55"/>
      <c r="Q78" s="55"/>
      <c r="R78" s="61">
        <f t="shared" si="40"/>
        <v>104707.90000000001</v>
      </c>
      <c r="S78" s="60">
        <v>104707.9</v>
      </c>
      <c r="T78" s="60">
        <v>104707.9</v>
      </c>
      <c r="U78" s="60">
        <v>104707.9</v>
      </c>
      <c r="V78" s="60">
        <v>104707.9</v>
      </c>
      <c r="W78" s="60">
        <v>104707.9</v>
      </c>
      <c r="X78" s="61">
        <f t="shared" si="41"/>
        <v>628247.4</v>
      </c>
      <c r="Y78" s="60">
        <v>104707.9</v>
      </c>
      <c r="Z78" s="60">
        <v>104707.9</v>
      </c>
      <c r="AA78" s="60">
        <v>104707.9</v>
      </c>
      <c r="AB78" s="60">
        <v>104707.9</v>
      </c>
      <c r="AC78" s="60">
        <v>104707.9</v>
      </c>
      <c r="AD78" s="60">
        <v>104707.9</v>
      </c>
      <c r="AE78" s="61">
        <f t="shared" si="42"/>
        <v>628247.4</v>
      </c>
      <c r="AF78" s="62">
        <f t="shared" si="28"/>
        <v>30784121.07</v>
      </c>
      <c r="AG78" s="62">
        <f t="shared" si="29"/>
        <v>22931028.149999984</v>
      </c>
      <c r="AH78" s="62">
        <f t="shared" ref="AH78:AH141" si="46">AF78-AG78</f>
        <v>7853092.9200000167</v>
      </c>
      <c r="AI78" s="63"/>
      <c r="AJ78" s="63"/>
      <c r="AK78" s="62"/>
      <c r="AL78" s="60">
        <v>104707.9</v>
      </c>
      <c r="AM78" s="60">
        <v>104707.9</v>
      </c>
      <c r="AN78" s="60">
        <v>104707.9</v>
      </c>
      <c r="AO78" s="60">
        <v>104707.9</v>
      </c>
      <c r="AP78" s="60">
        <v>104707.9</v>
      </c>
      <c r="AQ78" s="60">
        <v>104707.9</v>
      </c>
      <c r="AR78" s="61">
        <f t="shared" si="43"/>
        <v>628247.4</v>
      </c>
      <c r="AS78" s="60">
        <v>104707.9</v>
      </c>
      <c r="AT78" s="60">
        <v>104707.9</v>
      </c>
      <c r="AU78" s="60">
        <v>104707.9</v>
      </c>
      <c r="AV78" s="60">
        <v>104707.9</v>
      </c>
      <c r="AW78" s="60">
        <v>104707.9</v>
      </c>
      <c r="AX78" s="60">
        <v>104707.9</v>
      </c>
      <c r="AY78" s="61">
        <f t="shared" si="44"/>
        <v>628247.4</v>
      </c>
      <c r="AZ78" s="56">
        <f t="shared" si="39"/>
        <v>1256494.8</v>
      </c>
      <c r="BA78" s="62">
        <f t="shared" ref="BA78:BA141" si="47">AF78</f>
        <v>30784121.07</v>
      </c>
      <c r="BB78" s="62">
        <f t="shared" si="45"/>
        <v>24187522.949999966</v>
      </c>
      <c r="BC78" s="62">
        <f t="shared" ref="BC78:BC141" si="48">BA78-BB78</f>
        <v>6596598.1200000346</v>
      </c>
      <c r="BD78" s="63"/>
      <c r="BE78" s="57"/>
      <c r="BF78" s="35" t="str">
        <f>VLOOKUP(A:A,'2023-2027'!A:G,1,+FALSE)</f>
        <v>ГТА-6РМ №2</v>
      </c>
      <c r="BG78" s="7" t="b">
        <f t="shared" si="19"/>
        <v>1</v>
      </c>
      <c r="BH78" s="35">
        <f>VLOOKUP(A:A,'2023-2027'!A:AT,43,+FALSE)</f>
        <v>64708.24</v>
      </c>
    </row>
    <row r="79" spans="1:60" ht="24" hidden="1" customHeight="1" outlineLevel="1" x14ac:dyDescent="0.2">
      <c r="A79" s="59" t="s">
        <v>325</v>
      </c>
      <c r="B79" s="59" t="s">
        <v>77</v>
      </c>
      <c r="C79" s="59" t="s">
        <v>81</v>
      </c>
      <c r="D79" s="66" t="s">
        <v>326</v>
      </c>
      <c r="E79" s="59" t="s">
        <v>285</v>
      </c>
      <c r="F79" s="60">
        <v>26107350.57</v>
      </c>
      <c r="G79" s="60">
        <v>19362952.140000001</v>
      </c>
      <c r="H79" s="60">
        <v>6744398.4299999997</v>
      </c>
      <c r="I79" s="59"/>
      <c r="J79" s="60">
        <v>1305367.44</v>
      </c>
      <c r="K79" s="59"/>
      <c r="L79" s="59"/>
      <c r="M79" s="60">
        <v>26107350.57</v>
      </c>
      <c r="N79" s="60">
        <v>20668319.579999998</v>
      </c>
      <c r="O79" s="60">
        <v>5439030.9900000002</v>
      </c>
      <c r="P79" s="55"/>
      <c r="Q79" s="55"/>
      <c r="R79" s="61">
        <f t="shared" si="40"/>
        <v>108780.62</v>
      </c>
      <c r="S79" s="60">
        <v>108780.62</v>
      </c>
      <c r="T79" s="60">
        <v>108780.62</v>
      </c>
      <c r="U79" s="60">
        <v>108780.62</v>
      </c>
      <c r="V79" s="60">
        <v>108780.62</v>
      </c>
      <c r="W79" s="60">
        <v>108780.62</v>
      </c>
      <c r="X79" s="61">
        <f t="shared" si="41"/>
        <v>652683.72</v>
      </c>
      <c r="Y79" s="60">
        <v>108780.62</v>
      </c>
      <c r="Z79" s="60">
        <v>108780.62</v>
      </c>
      <c r="AA79" s="60">
        <v>108780.62</v>
      </c>
      <c r="AB79" s="60">
        <v>108780.62</v>
      </c>
      <c r="AC79" s="60">
        <v>108780.62</v>
      </c>
      <c r="AD79" s="60">
        <v>108780.62</v>
      </c>
      <c r="AE79" s="61">
        <f t="shared" si="42"/>
        <v>652683.72</v>
      </c>
      <c r="AF79" s="62">
        <f t="shared" si="28"/>
        <v>26107350.57</v>
      </c>
      <c r="AG79" s="62">
        <f t="shared" si="29"/>
        <v>21973687.020000011</v>
      </c>
      <c r="AH79" s="62">
        <f t="shared" si="46"/>
        <v>4133663.5499999896</v>
      </c>
      <c r="AI79" s="63"/>
      <c r="AJ79" s="63"/>
      <c r="AK79" s="62"/>
      <c r="AL79" s="60">
        <v>108780.62</v>
      </c>
      <c r="AM79" s="60">
        <v>108780.62</v>
      </c>
      <c r="AN79" s="60">
        <v>108780.62</v>
      </c>
      <c r="AO79" s="60">
        <v>108780.62</v>
      </c>
      <c r="AP79" s="60">
        <v>108780.62</v>
      </c>
      <c r="AQ79" s="60">
        <v>108780.62</v>
      </c>
      <c r="AR79" s="61">
        <f t="shared" si="43"/>
        <v>652683.72</v>
      </c>
      <c r="AS79" s="60">
        <v>108780.62</v>
      </c>
      <c r="AT79" s="60">
        <v>108780.62</v>
      </c>
      <c r="AU79" s="60">
        <v>108780.62</v>
      </c>
      <c r="AV79" s="60">
        <v>108780.62</v>
      </c>
      <c r="AW79" s="60">
        <v>108780.62</v>
      </c>
      <c r="AX79" s="60">
        <v>108780.62</v>
      </c>
      <c r="AY79" s="61">
        <f t="shared" si="44"/>
        <v>652683.72</v>
      </c>
      <c r="AZ79" s="56">
        <f t="shared" si="39"/>
        <v>1305367.44</v>
      </c>
      <c r="BA79" s="62">
        <f t="shared" si="47"/>
        <v>26107350.57</v>
      </c>
      <c r="BB79" s="62">
        <f t="shared" si="45"/>
        <v>23279054.460000023</v>
      </c>
      <c r="BC79" s="62">
        <f t="shared" si="48"/>
        <v>2828296.1099999771</v>
      </c>
      <c r="BD79" s="63"/>
      <c r="BE79" s="57"/>
      <c r="BF79" s="35" t="str">
        <f>VLOOKUP(A:A,'2023-2027'!A:G,1,+FALSE)</f>
        <v>Двигатель газотурбинный резервный ГТД-6/РМ (2007г)</v>
      </c>
      <c r="BG79" s="7" t="b">
        <f t="shared" si="19"/>
        <v>1</v>
      </c>
      <c r="BH79" s="35">
        <f>VLOOKUP(A:A,'2023-2027'!A:AT,43,+FALSE)</f>
        <v>128915.41999999998</v>
      </c>
    </row>
    <row r="80" spans="1:60" ht="12" hidden="1" customHeight="1" outlineLevel="1" x14ac:dyDescent="0.2">
      <c r="A80" s="59" t="s">
        <v>327</v>
      </c>
      <c r="B80" s="59" t="s">
        <v>77</v>
      </c>
      <c r="C80" s="59" t="s">
        <v>81</v>
      </c>
      <c r="D80" s="66" t="s">
        <v>328</v>
      </c>
      <c r="E80" s="59" t="s">
        <v>322</v>
      </c>
      <c r="F80" s="60">
        <v>32415718.690000001</v>
      </c>
      <c r="G80" s="60">
        <v>26337770.550000001</v>
      </c>
      <c r="H80" s="60">
        <v>6077948.1399999997</v>
      </c>
      <c r="I80" s="59"/>
      <c r="J80" s="60">
        <v>1620786.15</v>
      </c>
      <c r="K80" s="59"/>
      <c r="L80" s="59"/>
      <c r="M80" s="60">
        <v>32415718.690000001</v>
      </c>
      <c r="N80" s="60">
        <v>27958556.699999999</v>
      </c>
      <c r="O80" s="60">
        <v>4457161.99</v>
      </c>
      <c r="P80" s="55"/>
      <c r="Q80" s="55"/>
      <c r="R80" s="61">
        <f t="shared" si="40"/>
        <v>135065.51249999998</v>
      </c>
      <c r="S80" s="60">
        <v>135065.51250000001</v>
      </c>
      <c r="T80" s="60">
        <v>135065.51250000001</v>
      </c>
      <c r="U80" s="60">
        <v>135065.51250000001</v>
      </c>
      <c r="V80" s="60">
        <v>135065.51250000001</v>
      </c>
      <c r="W80" s="60">
        <v>135065.51250000001</v>
      </c>
      <c r="X80" s="61">
        <f t="shared" si="41"/>
        <v>810393.07499999995</v>
      </c>
      <c r="Y80" s="60">
        <v>135065.51250000001</v>
      </c>
      <c r="Z80" s="60">
        <v>135065.51250000001</v>
      </c>
      <c r="AA80" s="60">
        <v>135065.51250000001</v>
      </c>
      <c r="AB80" s="60">
        <v>135065.51250000001</v>
      </c>
      <c r="AC80" s="60">
        <v>135065.51250000001</v>
      </c>
      <c r="AD80" s="60">
        <v>135065.51250000001</v>
      </c>
      <c r="AE80" s="61">
        <f t="shared" si="42"/>
        <v>810393.07499999995</v>
      </c>
      <c r="AF80" s="62">
        <f t="shared" si="28"/>
        <v>32415718.690000001</v>
      </c>
      <c r="AG80" s="62">
        <f t="shared" si="29"/>
        <v>29579342.84999999</v>
      </c>
      <c r="AH80" s="62">
        <f t="shared" si="46"/>
        <v>2836375.840000011</v>
      </c>
      <c r="AI80" s="63"/>
      <c r="AJ80" s="63"/>
      <c r="AK80" s="62"/>
      <c r="AL80" s="60">
        <v>135065.51250000001</v>
      </c>
      <c r="AM80" s="60">
        <v>135065.51250000001</v>
      </c>
      <c r="AN80" s="60">
        <v>135065.51250000001</v>
      </c>
      <c r="AO80" s="60">
        <v>135065.51250000001</v>
      </c>
      <c r="AP80" s="60">
        <v>135065.51250000001</v>
      </c>
      <c r="AQ80" s="60">
        <v>135065.51250000001</v>
      </c>
      <c r="AR80" s="61">
        <f t="shared" si="43"/>
        <v>810393.07499999995</v>
      </c>
      <c r="AS80" s="60">
        <v>135065.51250000001</v>
      </c>
      <c r="AT80" s="60">
        <v>135065.51250000001</v>
      </c>
      <c r="AU80" s="60">
        <v>135065.51250000001</v>
      </c>
      <c r="AV80" s="60">
        <v>135065.51250000001</v>
      </c>
      <c r="AW80" s="60">
        <v>135065.51250000001</v>
      </c>
      <c r="AX80" s="60">
        <v>135065.51250000001</v>
      </c>
      <c r="AY80" s="61">
        <f t="shared" si="44"/>
        <v>810393.07499999995</v>
      </c>
      <c r="AZ80" s="56">
        <f t="shared" si="39"/>
        <v>1620786.15</v>
      </c>
      <c r="BA80" s="62">
        <f t="shared" si="47"/>
        <v>32415718.690000001</v>
      </c>
      <c r="BB80" s="62">
        <f t="shared" si="45"/>
        <v>31200128.999999981</v>
      </c>
      <c r="BC80" s="62">
        <f t="shared" si="48"/>
        <v>1215589.69000002</v>
      </c>
      <c r="BD80" s="63"/>
      <c r="BE80" s="57"/>
      <c r="BF80" s="35" t="str">
        <f>VLOOKUP(A:A,'2023-2027'!A:G,1,+FALSE)</f>
        <v>Двигатель ГТД-6РМ № В6-17</v>
      </c>
      <c r="BG80" s="7" t="b">
        <f t="shared" si="19"/>
        <v>1</v>
      </c>
      <c r="BH80" s="35">
        <f>VLOOKUP(A:A,'2023-2027'!A:AT,43,+FALSE)</f>
        <v>234820.25</v>
      </c>
    </row>
    <row r="81" spans="1:60" ht="12" hidden="1" customHeight="1" outlineLevel="1" x14ac:dyDescent="0.2">
      <c r="A81" s="59" t="s">
        <v>329</v>
      </c>
      <c r="B81" s="59" t="s">
        <v>77</v>
      </c>
      <c r="C81" s="59" t="s">
        <v>81</v>
      </c>
      <c r="D81" s="66" t="s">
        <v>330</v>
      </c>
      <c r="E81" s="59" t="s">
        <v>322</v>
      </c>
      <c r="F81" s="60">
        <v>12711864.41</v>
      </c>
      <c r="G81" s="60">
        <v>10328389.5</v>
      </c>
      <c r="H81" s="60">
        <v>2383474.91</v>
      </c>
      <c r="I81" s="59"/>
      <c r="J81" s="60">
        <v>635593.31999999995</v>
      </c>
      <c r="K81" s="59"/>
      <c r="L81" s="59"/>
      <c r="M81" s="60">
        <v>12711864.41</v>
      </c>
      <c r="N81" s="60">
        <v>10963982.82</v>
      </c>
      <c r="O81" s="60">
        <v>1747881.59</v>
      </c>
      <c r="P81" s="55"/>
      <c r="Q81" s="55"/>
      <c r="R81" s="61">
        <f t="shared" si="40"/>
        <v>52966.109999999993</v>
      </c>
      <c r="S81" s="60">
        <v>52966.11</v>
      </c>
      <c r="T81" s="60">
        <v>52966.11</v>
      </c>
      <c r="U81" s="60">
        <v>52966.11</v>
      </c>
      <c r="V81" s="60">
        <v>52966.11</v>
      </c>
      <c r="W81" s="60">
        <v>52966.11</v>
      </c>
      <c r="X81" s="61">
        <f t="shared" si="41"/>
        <v>317796.65999999997</v>
      </c>
      <c r="Y81" s="60">
        <v>52966.11</v>
      </c>
      <c r="Z81" s="60">
        <v>52966.11</v>
      </c>
      <c r="AA81" s="60">
        <v>52966.11</v>
      </c>
      <c r="AB81" s="60">
        <v>52966.11</v>
      </c>
      <c r="AC81" s="60">
        <v>52966.11</v>
      </c>
      <c r="AD81" s="60">
        <v>52966.11</v>
      </c>
      <c r="AE81" s="61">
        <f t="shared" si="42"/>
        <v>317796.65999999997</v>
      </c>
      <c r="AF81" s="62">
        <f t="shared" si="28"/>
        <v>12711864.41</v>
      </c>
      <c r="AG81" s="62">
        <f t="shared" si="29"/>
        <v>11599576.139999993</v>
      </c>
      <c r="AH81" s="62">
        <f t="shared" si="46"/>
        <v>1112288.270000007</v>
      </c>
      <c r="AI81" s="63"/>
      <c r="AJ81" s="63"/>
      <c r="AK81" s="62"/>
      <c r="AL81" s="60">
        <v>52966.11</v>
      </c>
      <c r="AM81" s="60">
        <v>52966.11</v>
      </c>
      <c r="AN81" s="60">
        <v>52966.11</v>
      </c>
      <c r="AO81" s="60">
        <v>52966.11</v>
      </c>
      <c r="AP81" s="60">
        <v>52966.11</v>
      </c>
      <c r="AQ81" s="60">
        <v>52966.11</v>
      </c>
      <c r="AR81" s="61">
        <f t="shared" si="43"/>
        <v>317796.65999999997</v>
      </c>
      <c r="AS81" s="60">
        <v>52966.11</v>
      </c>
      <c r="AT81" s="60">
        <v>52966.11</v>
      </c>
      <c r="AU81" s="60">
        <v>52966.11</v>
      </c>
      <c r="AV81" s="60">
        <v>52966.11</v>
      </c>
      <c r="AW81" s="60">
        <v>52966.11</v>
      </c>
      <c r="AX81" s="60">
        <v>52966.11</v>
      </c>
      <c r="AY81" s="61">
        <f t="shared" si="44"/>
        <v>317796.65999999997</v>
      </c>
      <c r="AZ81" s="56">
        <f t="shared" si="39"/>
        <v>635593.31999999995</v>
      </c>
      <c r="BA81" s="62">
        <f t="shared" si="47"/>
        <v>12711864.41</v>
      </c>
      <c r="BB81" s="62">
        <f t="shared" si="45"/>
        <v>12235169.459999986</v>
      </c>
      <c r="BC81" s="62">
        <f t="shared" si="48"/>
        <v>476694.95000001416</v>
      </c>
      <c r="BD81" s="63"/>
      <c r="BE81" s="57"/>
      <c r="BF81" s="35" t="str">
        <f>VLOOKUP(A:A,'2023-2027'!A:G,1,+FALSE)</f>
        <v>Двигатель ГТД-6РМ №В6-11</v>
      </c>
      <c r="BG81" s="7" t="b">
        <f t="shared" si="19"/>
        <v>1</v>
      </c>
      <c r="BH81" s="35">
        <f>VLOOKUP(A:A,'2023-2027'!A:AT,43,+FALSE)</f>
        <v>0</v>
      </c>
    </row>
    <row r="82" spans="1:60" ht="12" hidden="1" customHeight="1" outlineLevel="1" x14ac:dyDescent="0.2">
      <c r="A82" s="59" t="s">
        <v>331</v>
      </c>
      <c r="B82" s="59" t="s">
        <v>77</v>
      </c>
      <c r="C82" s="59" t="s">
        <v>81</v>
      </c>
      <c r="D82" s="66" t="s">
        <v>332</v>
      </c>
      <c r="E82" s="59" t="s">
        <v>333</v>
      </c>
      <c r="F82" s="60">
        <v>5797772.3600000003</v>
      </c>
      <c r="G82" s="60">
        <v>57977.72</v>
      </c>
      <c r="H82" s="60">
        <v>5739794.6399999997</v>
      </c>
      <c r="I82" s="59"/>
      <c r="J82" s="60">
        <v>695732.64</v>
      </c>
      <c r="K82" s="59"/>
      <c r="L82" s="59"/>
      <c r="M82" s="60">
        <v>5797772.3600000003</v>
      </c>
      <c r="N82" s="60">
        <v>753710.36</v>
      </c>
      <c r="O82" s="60">
        <v>5044062</v>
      </c>
      <c r="P82" s="55"/>
      <c r="Q82" s="55"/>
      <c r="R82" s="61">
        <f t="shared" si="40"/>
        <v>57977.72</v>
      </c>
      <c r="S82" s="60">
        <v>57977.72</v>
      </c>
      <c r="T82" s="60">
        <v>57977.72</v>
      </c>
      <c r="U82" s="60">
        <v>57977.72</v>
      </c>
      <c r="V82" s="60">
        <v>57977.72</v>
      </c>
      <c r="W82" s="60">
        <v>57977.72</v>
      </c>
      <c r="X82" s="61">
        <f t="shared" si="41"/>
        <v>347866.31999999995</v>
      </c>
      <c r="Y82" s="60">
        <v>57977.72</v>
      </c>
      <c r="Z82" s="60">
        <v>57977.72</v>
      </c>
      <c r="AA82" s="60">
        <v>57977.72</v>
      </c>
      <c r="AB82" s="60">
        <v>57977.72</v>
      </c>
      <c r="AC82" s="60">
        <v>57977.72</v>
      </c>
      <c r="AD82" s="60">
        <v>57977.72</v>
      </c>
      <c r="AE82" s="61">
        <f t="shared" si="42"/>
        <v>347866.31999999995</v>
      </c>
      <c r="AF82" s="62">
        <f t="shared" si="28"/>
        <v>5797772.3600000003</v>
      </c>
      <c r="AG82" s="62">
        <f t="shared" si="29"/>
        <v>1449442.9999999998</v>
      </c>
      <c r="AH82" s="62">
        <f t="shared" si="46"/>
        <v>4348329.3600000003</v>
      </c>
      <c r="AI82" s="63"/>
      <c r="AJ82" s="63"/>
      <c r="AK82" s="62"/>
      <c r="AL82" s="60">
        <v>57977.72</v>
      </c>
      <c r="AM82" s="60">
        <v>57977.72</v>
      </c>
      <c r="AN82" s="60">
        <v>57977.72</v>
      </c>
      <c r="AO82" s="60">
        <v>57977.72</v>
      </c>
      <c r="AP82" s="60">
        <v>57977.72</v>
      </c>
      <c r="AQ82" s="60">
        <v>57977.72</v>
      </c>
      <c r="AR82" s="61">
        <f t="shared" si="43"/>
        <v>347866.31999999995</v>
      </c>
      <c r="AS82" s="60">
        <v>57977.72</v>
      </c>
      <c r="AT82" s="60">
        <v>57977.72</v>
      </c>
      <c r="AU82" s="60">
        <v>57977.72</v>
      </c>
      <c r="AV82" s="60">
        <v>57977.72</v>
      </c>
      <c r="AW82" s="60">
        <v>57977.72</v>
      </c>
      <c r="AX82" s="60">
        <v>57977.72</v>
      </c>
      <c r="AY82" s="61">
        <f t="shared" si="44"/>
        <v>347866.31999999995</v>
      </c>
      <c r="AZ82" s="56">
        <f t="shared" si="39"/>
        <v>695732.6399999999</v>
      </c>
      <c r="BA82" s="62">
        <f t="shared" si="47"/>
        <v>5797772.3600000003</v>
      </c>
      <c r="BB82" s="62">
        <f t="shared" si="45"/>
        <v>2145175.6399999997</v>
      </c>
      <c r="BC82" s="62">
        <f t="shared" si="48"/>
        <v>3652596.7200000007</v>
      </c>
      <c r="BD82" s="63"/>
      <c r="BE82" s="57"/>
      <c r="BF82" s="35" t="str">
        <f>VLOOKUP(A:A,'2023-2027'!A:G,1,+FALSE)</f>
        <v>Двигатель ГТД-6РМ №В6-44</v>
      </c>
      <c r="BG82" s="7" t="b">
        <f t="shared" si="19"/>
        <v>1</v>
      </c>
      <c r="BH82" s="35">
        <f>VLOOKUP(A:A,'2023-2027'!A:AT,43,+FALSE)</f>
        <v>57977.72</v>
      </c>
    </row>
    <row r="83" spans="1:60" ht="12" hidden="1" customHeight="1" outlineLevel="1" x14ac:dyDescent="0.2">
      <c r="A83" s="59" t="s">
        <v>334</v>
      </c>
      <c r="B83" s="59" t="s">
        <v>77</v>
      </c>
      <c r="C83" s="59" t="s">
        <v>81</v>
      </c>
      <c r="D83" s="66" t="s">
        <v>335</v>
      </c>
      <c r="E83" s="59" t="s">
        <v>333</v>
      </c>
      <c r="F83" s="60">
        <v>5797772.3600000003</v>
      </c>
      <c r="G83" s="60">
        <v>57977.72</v>
      </c>
      <c r="H83" s="60">
        <v>5739794.6399999997</v>
      </c>
      <c r="I83" s="59"/>
      <c r="J83" s="60">
        <v>695732.64</v>
      </c>
      <c r="K83" s="59"/>
      <c r="L83" s="59"/>
      <c r="M83" s="60">
        <v>5797772.3600000003</v>
      </c>
      <c r="N83" s="60">
        <v>753710.36</v>
      </c>
      <c r="O83" s="60">
        <v>5044062</v>
      </c>
      <c r="P83" s="55"/>
      <c r="Q83" s="55"/>
      <c r="R83" s="61">
        <f t="shared" si="40"/>
        <v>57977.72</v>
      </c>
      <c r="S83" s="60">
        <v>57977.72</v>
      </c>
      <c r="T83" s="60">
        <v>57977.72</v>
      </c>
      <c r="U83" s="60">
        <v>57977.72</v>
      </c>
      <c r="V83" s="60">
        <v>57977.72</v>
      </c>
      <c r="W83" s="60">
        <v>57977.72</v>
      </c>
      <c r="X83" s="61">
        <f t="shared" si="41"/>
        <v>347866.31999999995</v>
      </c>
      <c r="Y83" s="60">
        <v>57977.72</v>
      </c>
      <c r="Z83" s="60">
        <v>57977.72</v>
      </c>
      <c r="AA83" s="60">
        <v>57977.72</v>
      </c>
      <c r="AB83" s="60">
        <v>57977.72</v>
      </c>
      <c r="AC83" s="60">
        <v>57977.72</v>
      </c>
      <c r="AD83" s="60">
        <v>57977.72</v>
      </c>
      <c r="AE83" s="61">
        <f t="shared" si="42"/>
        <v>347866.31999999995</v>
      </c>
      <c r="AF83" s="62">
        <f t="shared" si="28"/>
        <v>5797772.3600000003</v>
      </c>
      <c r="AG83" s="62">
        <f t="shared" si="29"/>
        <v>1449442.9999999998</v>
      </c>
      <c r="AH83" s="62">
        <f t="shared" si="46"/>
        <v>4348329.3600000003</v>
      </c>
      <c r="AI83" s="63"/>
      <c r="AJ83" s="63"/>
      <c r="AK83" s="62"/>
      <c r="AL83" s="60">
        <v>57977.72</v>
      </c>
      <c r="AM83" s="60">
        <v>57977.72</v>
      </c>
      <c r="AN83" s="60">
        <v>57977.72</v>
      </c>
      <c r="AO83" s="60">
        <v>57977.72</v>
      </c>
      <c r="AP83" s="60">
        <v>57977.72</v>
      </c>
      <c r="AQ83" s="60">
        <v>57977.72</v>
      </c>
      <c r="AR83" s="61">
        <f t="shared" si="43"/>
        <v>347866.31999999995</v>
      </c>
      <c r="AS83" s="60">
        <v>57977.72</v>
      </c>
      <c r="AT83" s="60">
        <v>57977.72</v>
      </c>
      <c r="AU83" s="60">
        <v>57977.72</v>
      </c>
      <c r="AV83" s="60">
        <v>57977.72</v>
      </c>
      <c r="AW83" s="60">
        <v>57977.72</v>
      </c>
      <c r="AX83" s="60">
        <v>57977.72</v>
      </c>
      <c r="AY83" s="61">
        <f t="shared" si="44"/>
        <v>347866.31999999995</v>
      </c>
      <c r="AZ83" s="56">
        <f t="shared" si="39"/>
        <v>695732.6399999999</v>
      </c>
      <c r="BA83" s="62">
        <f t="shared" si="47"/>
        <v>5797772.3600000003</v>
      </c>
      <c r="BB83" s="62">
        <f t="shared" si="45"/>
        <v>2145175.6399999997</v>
      </c>
      <c r="BC83" s="62">
        <f t="shared" si="48"/>
        <v>3652596.7200000007</v>
      </c>
      <c r="BD83" s="63"/>
      <c r="BE83" s="57"/>
      <c r="BF83" s="35" t="str">
        <f>VLOOKUP(A:A,'2023-2027'!A:G,1,+FALSE)</f>
        <v>Двигатель ГТД-6РМ №В6-45</v>
      </c>
      <c r="BG83" s="7" t="b">
        <f t="shared" si="19"/>
        <v>1</v>
      </c>
      <c r="BH83" s="35">
        <f>VLOOKUP(A:A,'2023-2027'!A:AT,43,+FALSE)</f>
        <v>57977.72</v>
      </c>
    </row>
    <row r="84" spans="1:60" ht="12" hidden="1" customHeight="1" outlineLevel="1" x14ac:dyDescent="0.2">
      <c r="A84" s="59" t="s">
        <v>336</v>
      </c>
      <c r="B84" s="59" t="s">
        <v>77</v>
      </c>
      <c r="C84" s="59" t="s">
        <v>81</v>
      </c>
      <c r="D84" s="66" t="s">
        <v>337</v>
      </c>
      <c r="E84" s="59" t="s">
        <v>333</v>
      </c>
      <c r="F84" s="60">
        <v>5797772.3600000003</v>
      </c>
      <c r="G84" s="60">
        <v>57977.72</v>
      </c>
      <c r="H84" s="60">
        <v>5739794.6399999997</v>
      </c>
      <c r="I84" s="59"/>
      <c r="J84" s="60">
        <v>695732.64</v>
      </c>
      <c r="K84" s="59"/>
      <c r="L84" s="59"/>
      <c r="M84" s="60">
        <v>5797772.3600000003</v>
      </c>
      <c r="N84" s="60">
        <v>753710.36</v>
      </c>
      <c r="O84" s="60">
        <v>5044062</v>
      </c>
      <c r="P84" s="55"/>
      <c r="Q84" s="55"/>
      <c r="R84" s="61">
        <f t="shared" si="40"/>
        <v>57977.72</v>
      </c>
      <c r="S84" s="60">
        <v>57977.72</v>
      </c>
      <c r="T84" s="60">
        <v>57977.72</v>
      </c>
      <c r="U84" s="60">
        <v>57977.72</v>
      </c>
      <c r="V84" s="60">
        <v>57977.72</v>
      </c>
      <c r="W84" s="60">
        <v>57977.72</v>
      </c>
      <c r="X84" s="61">
        <f t="shared" si="41"/>
        <v>347866.31999999995</v>
      </c>
      <c r="Y84" s="60">
        <v>57977.72</v>
      </c>
      <c r="Z84" s="60">
        <v>57977.72</v>
      </c>
      <c r="AA84" s="60">
        <v>57977.72</v>
      </c>
      <c r="AB84" s="60">
        <v>57977.72</v>
      </c>
      <c r="AC84" s="60">
        <v>57977.72</v>
      </c>
      <c r="AD84" s="60">
        <v>57977.72</v>
      </c>
      <c r="AE84" s="61">
        <f t="shared" si="42"/>
        <v>347866.31999999995</v>
      </c>
      <c r="AF84" s="62">
        <f t="shared" si="28"/>
        <v>5797772.3600000003</v>
      </c>
      <c r="AG84" s="62">
        <f t="shared" si="29"/>
        <v>1449442.9999999998</v>
      </c>
      <c r="AH84" s="62">
        <f t="shared" si="46"/>
        <v>4348329.3600000003</v>
      </c>
      <c r="AI84" s="63"/>
      <c r="AJ84" s="63"/>
      <c r="AK84" s="62"/>
      <c r="AL84" s="60">
        <v>57977.72</v>
      </c>
      <c r="AM84" s="60">
        <v>57977.72</v>
      </c>
      <c r="AN84" s="60">
        <v>57977.72</v>
      </c>
      <c r="AO84" s="60">
        <v>57977.72</v>
      </c>
      <c r="AP84" s="60">
        <v>57977.72</v>
      </c>
      <c r="AQ84" s="60">
        <v>57977.72</v>
      </c>
      <c r="AR84" s="61">
        <f t="shared" si="43"/>
        <v>347866.31999999995</v>
      </c>
      <c r="AS84" s="60">
        <v>57977.72</v>
      </c>
      <c r="AT84" s="60">
        <v>57977.72</v>
      </c>
      <c r="AU84" s="60">
        <v>57977.72</v>
      </c>
      <c r="AV84" s="60">
        <v>57977.72</v>
      </c>
      <c r="AW84" s="60">
        <v>57977.72</v>
      </c>
      <c r="AX84" s="60">
        <v>57977.72</v>
      </c>
      <c r="AY84" s="61">
        <f t="shared" si="44"/>
        <v>347866.31999999995</v>
      </c>
      <c r="AZ84" s="56">
        <f t="shared" si="39"/>
        <v>695732.6399999999</v>
      </c>
      <c r="BA84" s="62">
        <f t="shared" si="47"/>
        <v>5797772.3600000003</v>
      </c>
      <c r="BB84" s="62">
        <f t="shared" si="45"/>
        <v>2145175.6399999997</v>
      </c>
      <c r="BC84" s="62">
        <f t="shared" si="48"/>
        <v>3652596.7200000007</v>
      </c>
      <c r="BD84" s="63"/>
      <c r="BE84" s="57"/>
      <c r="BF84" s="35" t="str">
        <f>VLOOKUP(A:A,'2023-2027'!A:G,1,+FALSE)</f>
        <v>Двигатель ГТД-6РМ №В6-47</v>
      </c>
      <c r="BG84" s="7" t="b">
        <f t="shared" si="19"/>
        <v>1</v>
      </c>
      <c r="BH84" s="35">
        <f>VLOOKUP(A:A,'2023-2027'!A:AT,43,+FALSE)</f>
        <v>57977.72</v>
      </c>
    </row>
    <row r="85" spans="1:60" ht="24" hidden="1" customHeight="1" outlineLevel="1" x14ac:dyDescent="0.2">
      <c r="A85" s="59" t="s">
        <v>338</v>
      </c>
      <c r="B85" s="59" t="s">
        <v>77</v>
      </c>
      <c r="C85" s="59" t="s">
        <v>81</v>
      </c>
      <c r="D85" s="66" t="s">
        <v>339</v>
      </c>
      <c r="E85" s="59" t="s">
        <v>340</v>
      </c>
      <c r="F85" s="60">
        <v>35115893.210000001</v>
      </c>
      <c r="G85" s="60">
        <v>14192673.34</v>
      </c>
      <c r="H85" s="60">
        <v>20923219.870000001</v>
      </c>
      <c r="I85" s="59"/>
      <c r="J85" s="60">
        <v>1755794.64</v>
      </c>
      <c r="K85" s="59"/>
      <c r="L85" s="59"/>
      <c r="M85" s="60">
        <v>35115893.210000001</v>
      </c>
      <c r="N85" s="60">
        <v>15948467.98</v>
      </c>
      <c r="O85" s="60">
        <v>19167425.23</v>
      </c>
      <c r="P85" s="55"/>
      <c r="Q85" s="55"/>
      <c r="R85" s="61">
        <f t="shared" si="40"/>
        <v>146316.22</v>
      </c>
      <c r="S85" s="60">
        <v>146316.22</v>
      </c>
      <c r="T85" s="60">
        <v>146316.22</v>
      </c>
      <c r="U85" s="60">
        <v>146316.22</v>
      </c>
      <c r="V85" s="60">
        <v>146316.22</v>
      </c>
      <c r="W85" s="60">
        <v>146316.22</v>
      </c>
      <c r="X85" s="61">
        <f t="shared" si="41"/>
        <v>877897.32</v>
      </c>
      <c r="Y85" s="60">
        <v>146316.22</v>
      </c>
      <c r="Z85" s="60">
        <v>146316.22</v>
      </c>
      <c r="AA85" s="60">
        <v>146316.22</v>
      </c>
      <c r="AB85" s="60">
        <v>146316.22</v>
      </c>
      <c r="AC85" s="60">
        <v>146316.22</v>
      </c>
      <c r="AD85" s="60">
        <v>146316.22</v>
      </c>
      <c r="AE85" s="61">
        <f t="shared" si="42"/>
        <v>877897.32</v>
      </c>
      <c r="AF85" s="62">
        <f t="shared" si="28"/>
        <v>35115893.210000001</v>
      </c>
      <c r="AG85" s="62">
        <f t="shared" si="29"/>
        <v>17704262.619999997</v>
      </c>
      <c r="AH85" s="62">
        <f t="shared" si="46"/>
        <v>17411630.590000004</v>
      </c>
      <c r="AI85" s="63"/>
      <c r="AJ85" s="63"/>
      <c r="AK85" s="62"/>
      <c r="AL85" s="60">
        <v>146316.22</v>
      </c>
      <c r="AM85" s="60">
        <v>146316.22</v>
      </c>
      <c r="AN85" s="60">
        <v>146316.22</v>
      </c>
      <c r="AO85" s="60">
        <v>146316.22</v>
      </c>
      <c r="AP85" s="60">
        <v>146316.22</v>
      </c>
      <c r="AQ85" s="60">
        <v>146316.22</v>
      </c>
      <c r="AR85" s="61">
        <f t="shared" si="43"/>
        <v>877897.32</v>
      </c>
      <c r="AS85" s="60">
        <v>146316.22</v>
      </c>
      <c r="AT85" s="60">
        <v>146316.22</v>
      </c>
      <c r="AU85" s="60">
        <v>146316.22</v>
      </c>
      <c r="AV85" s="60">
        <v>146316.22</v>
      </c>
      <c r="AW85" s="60">
        <v>146316.22</v>
      </c>
      <c r="AX85" s="60">
        <v>146316.22</v>
      </c>
      <c r="AY85" s="61">
        <f t="shared" si="44"/>
        <v>877897.32</v>
      </c>
      <c r="AZ85" s="56">
        <f t="shared" si="39"/>
        <v>1755794.64</v>
      </c>
      <c r="BA85" s="62">
        <f t="shared" si="47"/>
        <v>35115893.210000001</v>
      </c>
      <c r="BB85" s="62">
        <f t="shared" si="45"/>
        <v>19460057.259999983</v>
      </c>
      <c r="BC85" s="62">
        <f t="shared" si="48"/>
        <v>15655835.950000018</v>
      </c>
      <c r="BD85" s="63"/>
      <c r="BE85" s="57"/>
      <c r="BF85" s="35" t="str">
        <f>VLOOKUP(A:A,'2023-2027'!A:G,1,+FALSE)</f>
        <v>Двигатель ГТД-6РМ зав. №В6-69 на раме №163-069</v>
      </c>
      <c r="BG85" s="7" t="b">
        <f t="shared" si="19"/>
        <v>1</v>
      </c>
      <c r="BH85" s="35">
        <f>VLOOKUP(A:A,'2023-2027'!A:AT,43,+FALSE)</f>
        <v>292632.44</v>
      </c>
    </row>
    <row r="86" spans="1:60" ht="12" hidden="1" customHeight="1" outlineLevel="1" x14ac:dyDescent="0.2">
      <c r="A86" s="59" t="s">
        <v>341</v>
      </c>
      <c r="B86" s="59" t="s">
        <v>77</v>
      </c>
      <c r="C86" s="59" t="s">
        <v>81</v>
      </c>
      <c r="D86" s="66" t="s">
        <v>342</v>
      </c>
      <c r="E86" s="59" t="s">
        <v>343</v>
      </c>
      <c r="F86" s="60">
        <v>40639366.43</v>
      </c>
      <c r="G86" s="60">
        <v>14765637.039999999</v>
      </c>
      <c r="H86" s="60">
        <v>25873729.390000001</v>
      </c>
      <c r="I86" s="59"/>
      <c r="J86" s="60">
        <v>812787.36</v>
      </c>
      <c r="K86" s="59"/>
      <c r="L86" s="59"/>
      <c r="M86" s="60">
        <v>40639366.43</v>
      </c>
      <c r="N86" s="60">
        <v>15578424.4</v>
      </c>
      <c r="O86" s="60">
        <v>25060942.030000001</v>
      </c>
      <c r="P86" s="55">
        <v>25467335.649999999</v>
      </c>
      <c r="Q86" s="55">
        <v>560281.39</v>
      </c>
      <c r="R86" s="61">
        <f t="shared" si="40"/>
        <v>67732.28</v>
      </c>
      <c r="S86" s="60">
        <v>67732.28</v>
      </c>
      <c r="T86" s="60">
        <v>67732.28</v>
      </c>
      <c r="U86" s="60">
        <v>67732.28</v>
      </c>
      <c r="V86" s="60">
        <v>67732.28</v>
      </c>
      <c r="W86" s="60">
        <v>67732.28</v>
      </c>
      <c r="X86" s="61">
        <f t="shared" si="41"/>
        <v>406393.68000000005</v>
      </c>
      <c r="Y86" s="60">
        <v>67732.28</v>
      </c>
      <c r="Z86" s="60">
        <v>67732.28</v>
      </c>
      <c r="AA86" s="60">
        <v>67732.28</v>
      </c>
      <c r="AB86" s="60">
        <v>67732.28</v>
      </c>
      <c r="AC86" s="60">
        <v>67732.28</v>
      </c>
      <c r="AD86" s="60">
        <v>67732.28</v>
      </c>
      <c r="AE86" s="61">
        <f t="shared" si="42"/>
        <v>406393.68000000005</v>
      </c>
      <c r="AF86" s="62">
        <f t="shared" si="28"/>
        <v>40639366.43</v>
      </c>
      <c r="AG86" s="62">
        <f t="shared" si="29"/>
        <v>16391211.759999992</v>
      </c>
      <c r="AH86" s="62">
        <f t="shared" si="46"/>
        <v>24248154.670000009</v>
      </c>
      <c r="AI86" s="63">
        <v>24654548.349999998</v>
      </c>
      <c r="AJ86" s="63">
        <f t="shared" ref="AJ86" si="49">AI86*2.2%</f>
        <v>542400.06370000006</v>
      </c>
      <c r="AK86" s="62"/>
      <c r="AL86" s="60">
        <v>67732.28</v>
      </c>
      <c r="AM86" s="60">
        <v>67732.28</v>
      </c>
      <c r="AN86" s="60">
        <v>67732.28</v>
      </c>
      <c r="AO86" s="60">
        <v>67732.28</v>
      </c>
      <c r="AP86" s="60">
        <v>67732.28</v>
      </c>
      <c r="AQ86" s="60">
        <v>67732.28</v>
      </c>
      <c r="AR86" s="61">
        <f t="shared" si="43"/>
        <v>406393.68000000005</v>
      </c>
      <c r="AS86" s="60">
        <v>67732.28</v>
      </c>
      <c r="AT86" s="60">
        <v>67732.28</v>
      </c>
      <c r="AU86" s="60">
        <v>67732.28</v>
      </c>
      <c r="AV86" s="60">
        <v>67732.28</v>
      </c>
      <c r="AW86" s="60">
        <v>67732.28</v>
      </c>
      <c r="AX86" s="60">
        <v>67732.28</v>
      </c>
      <c r="AY86" s="61">
        <f t="shared" si="44"/>
        <v>406393.68000000005</v>
      </c>
      <c r="AZ86" s="56">
        <f t="shared" si="39"/>
        <v>812787.3600000001</v>
      </c>
      <c r="BA86" s="62">
        <f t="shared" si="47"/>
        <v>40639366.43</v>
      </c>
      <c r="BB86" s="62">
        <f t="shared" si="45"/>
        <v>17203999.119999997</v>
      </c>
      <c r="BC86" s="62">
        <f t="shared" si="48"/>
        <v>23435367.310000002</v>
      </c>
      <c r="BD86" s="63">
        <v>23841760.989999983</v>
      </c>
      <c r="BE86" s="57">
        <f t="shared" ref="BE86" si="50">BD86*2.2%</f>
        <v>524518.74177999969</v>
      </c>
      <c r="BF86" s="35" t="str">
        <f>VLOOKUP(A:A,'2023-2027'!A:G,1,+FALSE)</f>
        <v>Здание ГТЭС-12 2003г</v>
      </c>
      <c r="BG86" s="7" t="b">
        <f t="shared" ref="BG86:BG149" si="51">OR(EXACT(BF86,$A$4:$A$1071))</f>
        <v>1</v>
      </c>
      <c r="BH86" s="35">
        <f>VLOOKUP(A:A,'2023-2027'!A:AT,43,+FALSE)</f>
        <v>68106.170000000013</v>
      </c>
    </row>
    <row r="87" spans="1:60" ht="24" hidden="1" customHeight="1" outlineLevel="1" x14ac:dyDescent="0.2">
      <c r="A87" s="59" t="s">
        <v>344</v>
      </c>
      <c r="B87" s="59" t="s">
        <v>77</v>
      </c>
      <c r="C87" s="59" t="s">
        <v>81</v>
      </c>
      <c r="D87" s="65" t="s">
        <v>345</v>
      </c>
      <c r="E87" s="59" t="s">
        <v>346</v>
      </c>
      <c r="F87" s="60">
        <v>20580</v>
      </c>
      <c r="G87" s="60">
        <v>20580</v>
      </c>
      <c r="H87" s="59"/>
      <c r="I87" s="59"/>
      <c r="J87" s="59"/>
      <c r="K87" s="60">
        <v>20580</v>
      </c>
      <c r="L87" s="60">
        <v>20580</v>
      </c>
      <c r="M87" s="59"/>
      <c r="N87" s="59"/>
      <c r="O87" s="59"/>
      <c r="P87" s="67"/>
      <c r="Q87" s="67"/>
      <c r="R87" s="61">
        <f t="shared" si="40"/>
        <v>0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1">
        <f t="shared" si="41"/>
        <v>0</v>
      </c>
      <c r="Y87" s="60">
        <v>0</v>
      </c>
      <c r="Z87" s="60">
        <v>0</v>
      </c>
      <c r="AA87" s="60">
        <v>0</v>
      </c>
      <c r="AB87" s="60">
        <v>0</v>
      </c>
      <c r="AC87" s="60">
        <v>0</v>
      </c>
      <c r="AD87" s="60">
        <v>0</v>
      </c>
      <c r="AE87" s="61">
        <f t="shared" si="42"/>
        <v>0</v>
      </c>
      <c r="AF87" s="62">
        <f t="shared" si="28"/>
        <v>0</v>
      </c>
      <c r="AG87" s="62">
        <f t="shared" si="29"/>
        <v>0</v>
      </c>
      <c r="AH87" s="62">
        <f t="shared" si="46"/>
        <v>0</v>
      </c>
      <c r="AI87" s="63"/>
      <c r="AJ87" s="63"/>
      <c r="AK87" s="62"/>
      <c r="AL87" s="60">
        <v>0</v>
      </c>
      <c r="AM87" s="60">
        <v>0</v>
      </c>
      <c r="AN87" s="60">
        <v>0</v>
      </c>
      <c r="AO87" s="60">
        <v>0</v>
      </c>
      <c r="AP87" s="60">
        <v>0</v>
      </c>
      <c r="AQ87" s="60">
        <v>0</v>
      </c>
      <c r="AR87" s="61">
        <f t="shared" si="43"/>
        <v>0</v>
      </c>
      <c r="AS87" s="60">
        <v>0</v>
      </c>
      <c r="AT87" s="60">
        <v>0</v>
      </c>
      <c r="AU87" s="60">
        <v>0</v>
      </c>
      <c r="AV87" s="60">
        <v>0</v>
      </c>
      <c r="AW87" s="60">
        <v>0</v>
      </c>
      <c r="AX87" s="60">
        <v>0</v>
      </c>
      <c r="AY87" s="61">
        <f t="shared" si="44"/>
        <v>0</v>
      </c>
      <c r="AZ87" s="56">
        <f t="shared" si="39"/>
        <v>0</v>
      </c>
      <c r="BA87" s="62">
        <f t="shared" si="47"/>
        <v>0</v>
      </c>
      <c r="BB87" s="62">
        <f t="shared" si="45"/>
        <v>0</v>
      </c>
      <c r="BC87" s="62">
        <f t="shared" si="48"/>
        <v>0</v>
      </c>
      <c r="BD87" s="63"/>
      <c r="BE87" s="57"/>
      <c r="BF87" s="35" t="e">
        <f>VLOOKUP(A:A,'2023-2027'!A:G,1,+FALSE)</f>
        <v>#N/A</v>
      </c>
      <c r="BG87" s="7" t="e">
        <f t="shared" si="51"/>
        <v>#N/A</v>
      </c>
      <c r="BH87" s="35"/>
    </row>
    <row r="88" spans="1:60" ht="12" hidden="1" customHeight="1" outlineLevel="1" x14ac:dyDescent="0.2">
      <c r="A88" s="59" t="s">
        <v>347</v>
      </c>
      <c r="B88" s="59" t="s">
        <v>77</v>
      </c>
      <c r="C88" s="59" t="s">
        <v>81</v>
      </c>
      <c r="D88" s="65" t="s">
        <v>348</v>
      </c>
      <c r="E88" s="59" t="s">
        <v>349</v>
      </c>
      <c r="F88" s="60">
        <v>12890</v>
      </c>
      <c r="G88" s="60">
        <v>12890</v>
      </c>
      <c r="H88" s="59"/>
      <c r="I88" s="59"/>
      <c r="J88" s="59"/>
      <c r="K88" s="60">
        <v>12890</v>
      </c>
      <c r="L88" s="60">
        <v>12890</v>
      </c>
      <c r="M88" s="59"/>
      <c r="N88" s="59"/>
      <c r="O88" s="59"/>
      <c r="P88" s="67"/>
      <c r="Q88" s="67"/>
      <c r="R88" s="61">
        <f t="shared" si="40"/>
        <v>0</v>
      </c>
      <c r="S88" s="60">
        <v>0</v>
      </c>
      <c r="T88" s="60">
        <v>0</v>
      </c>
      <c r="U88" s="60">
        <v>0</v>
      </c>
      <c r="V88" s="60">
        <v>0</v>
      </c>
      <c r="W88" s="60">
        <v>0</v>
      </c>
      <c r="X88" s="61">
        <f t="shared" si="41"/>
        <v>0</v>
      </c>
      <c r="Y88" s="60">
        <v>0</v>
      </c>
      <c r="Z88" s="60">
        <v>0</v>
      </c>
      <c r="AA88" s="60">
        <v>0</v>
      </c>
      <c r="AB88" s="60">
        <v>0</v>
      </c>
      <c r="AC88" s="60">
        <v>0</v>
      </c>
      <c r="AD88" s="60">
        <v>0</v>
      </c>
      <c r="AE88" s="61">
        <f t="shared" si="42"/>
        <v>0</v>
      </c>
      <c r="AF88" s="62">
        <f t="shared" si="28"/>
        <v>0</v>
      </c>
      <c r="AG88" s="62">
        <f t="shared" si="29"/>
        <v>0</v>
      </c>
      <c r="AH88" s="62">
        <f t="shared" si="46"/>
        <v>0</v>
      </c>
      <c r="AI88" s="63"/>
      <c r="AJ88" s="63"/>
      <c r="AK88" s="62"/>
      <c r="AL88" s="60">
        <v>0</v>
      </c>
      <c r="AM88" s="60">
        <v>0</v>
      </c>
      <c r="AN88" s="60">
        <v>0</v>
      </c>
      <c r="AO88" s="60">
        <v>0</v>
      </c>
      <c r="AP88" s="60">
        <v>0</v>
      </c>
      <c r="AQ88" s="60">
        <v>0</v>
      </c>
      <c r="AR88" s="61">
        <f t="shared" si="43"/>
        <v>0</v>
      </c>
      <c r="AS88" s="60">
        <v>0</v>
      </c>
      <c r="AT88" s="60">
        <v>0</v>
      </c>
      <c r="AU88" s="60">
        <v>0</v>
      </c>
      <c r="AV88" s="60">
        <v>0</v>
      </c>
      <c r="AW88" s="60">
        <v>0</v>
      </c>
      <c r="AX88" s="60">
        <v>0</v>
      </c>
      <c r="AY88" s="61">
        <f t="shared" si="44"/>
        <v>0</v>
      </c>
      <c r="AZ88" s="56">
        <f t="shared" si="39"/>
        <v>0</v>
      </c>
      <c r="BA88" s="62">
        <f t="shared" si="47"/>
        <v>0</v>
      </c>
      <c r="BB88" s="62">
        <f t="shared" si="45"/>
        <v>0</v>
      </c>
      <c r="BC88" s="62">
        <f t="shared" si="48"/>
        <v>0</v>
      </c>
      <c r="BD88" s="63"/>
      <c r="BE88" s="57"/>
      <c r="BF88" s="35" t="e">
        <f>VLOOKUP(A:A,'2023-2027'!A:G,1,+FALSE)</f>
        <v>#N/A</v>
      </c>
      <c r="BG88" s="7" t="e">
        <f t="shared" si="51"/>
        <v>#N/A</v>
      </c>
      <c r="BH88" s="35"/>
    </row>
    <row r="89" spans="1:60" ht="24" hidden="1" customHeight="1" outlineLevel="1" x14ac:dyDescent="0.2">
      <c r="A89" s="59" t="s">
        <v>350</v>
      </c>
      <c r="B89" s="59" t="s">
        <v>77</v>
      </c>
      <c r="C89" s="59" t="s">
        <v>81</v>
      </c>
      <c r="D89" s="65" t="s">
        <v>351</v>
      </c>
      <c r="E89" s="59" t="s">
        <v>352</v>
      </c>
      <c r="F89" s="60">
        <v>53169.49</v>
      </c>
      <c r="G89" s="60">
        <v>30782.400000000001</v>
      </c>
      <c r="H89" s="60">
        <v>22387.09</v>
      </c>
      <c r="I89" s="59"/>
      <c r="J89" s="60">
        <v>5596.8</v>
      </c>
      <c r="K89" s="59"/>
      <c r="L89" s="59"/>
      <c r="M89" s="60">
        <v>53169.49</v>
      </c>
      <c r="N89" s="60">
        <v>36379.199999999997</v>
      </c>
      <c r="O89" s="60">
        <v>16790.29</v>
      </c>
      <c r="P89" s="55"/>
      <c r="Q89" s="55"/>
      <c r="R89" s="61">
        <f t="shared" si="40"/>
        <v>466.40000000000003</v>
      </c>
      <c r="S89" s="60">
        <v>466.4</v>
      </c>
      <c r="T89" s="60">
        <v>466.4</v>
      </c>
      <c r="U89" s="60">
        <v>466.4</v>
      </c>
      <c r="V89" s="60">
        <v>466.4</v>
      </c>
      <c r="W89" s="60">
        <v>466.4</v>
      </c>
      <c r="X89" s="61">
        <f t="shared" si="41"/>
        <v>2798.4</v>
      </c>
      <c r="Y89" s="60">
        <v>466.4</v>
      </c>
      <c r="Z89" s="60">
        <v>466.4</v>
      </c>
      <c r="AA89" s="60">
        <v>466.4</v>
      </c>
      <c r="AB89" s="60">
        <v>466.4</v>
      </c>
      <c r="AC89" s="60">
        <v>466.4</v>
      </c>
      <c r="AD89" s="60">
        <v>466.4</v>
      </c>
      <c r="AE89" s="61">
        <f t="shared" si="42"/>
        <v>2798.4</v>
      </c>
      <c r="AF89" s="62">
        <f t="shared" si="28"/>
        <v>53169.49</v>
      </c>
      <c r="AG89" s="62">
        <f t="shared" si="29"/>
        <v>41976.000000000015</v>
      </c>
      <c r="AH89" s="62">
        <f t="shared" si="46"/>
        <v>11193.489999999983</v>
      </c>
      <c r="AI89" s="63"/>
      <c r="AJ89" s="63"/>
      <c r="AK89" s="62"/>
      <c r="AL89" s="60">
        <v>466.4</v>
      </c>
      <c r="AM89" s="60">
        <v>466.4</v>
      </c>
      <c r="AN89" s="60">
        <v>466.4</v>
      </c>
      <c r="AO89" s="60">
        <v>466.4</v>
      </c>
      <c r="AP89" s="60">
        <v>466.4</v>
      </c>
      <c r="AQ89" s="60">
        <v>466.4</v>
      </c>
      <c r="AR89" s="61">
        <f t="shared" si="43"/>
        <v>2798.4</v>
      </c>
      <c r="AS89" s="60">
        <v>466.4</v>
      </c>
      <c r="AT89" s="60">
        <v>466.4</v>
      </c>
      <c r="AU89" s="60">
        <v>466.4</v>
      </c>
      <c r="AV89" s="60">
        <v>466.4</v>
      </c>
      <c r="AW89" s="60">
        <v>466.4</v>
      </c>
      <c r="AX89" s="60">
        <v>466.4</v>
      </c>
      <c r="AY89" s="61">
        <f t="shared" si="44"/>
        <v>2798.4</v>
      </c>
      <c r="AZ89" s="56">
        <f t="shared" si="39"/>
        <v>5596.8</v>
      </c>
      <c r="BA89" s="62">
        <f t="shared" si="47"/>
        <v>53169.49</v>
      </c>
      <c r="BB89" s="62">
        <f t="shared" si="45"/>
        <v>47572.800000000032</v>
      </c>
      <c r="BC89" s="62">
        <f t="shared" si="48"/>
        <v>5596.6899999999659</v>
      </c>
      <c r="BD89" s="63"/>
      <c r="BE89" s="57"/>
      <c r="BF89" s="35" t="e">
        <f>VLOOKUP(A:A,'2023-2027'!A:G,1,+FALSE)</f>
        <v>#N/A</v>
      </c>
      <c r="BG89" s="7" t="e">
        <f t="shared" si="51"/>
        <v>#N/A</v>
      </c>
      <c r="BH89" s="35"/>
    </row>
    <row r="90" spans="1:60" ht="24" hidden="1" customHeight="1" outlineLevel="1" x14ac:dyDescent="0.2">
      <c r="A90" s="59" t="s">
        <v>353</v>
      </c>
      <c r="B90" s="59" t="s">
        <v>77</v>
      </c>
      <c r="C90" s="59" t="s">
        <v>81</v>
      </c>
      <c r="D90" s="65" t="s">
        <v>354</v>
      </c>
      <c r="E90" s="59" t="s">
        <v>322</v>
      </c>
      <c r="F90" s="60">
        <v>16890</v>
      </c>
      <c r="G90" s="60">
        <v>16890</v>
      </c>
      <c r="H90" s="59"/>
      <c r="I90" s="59"/>
      <c r="J90" s="59"/>
      <c r="K90" s="60">
        <v>16890</v>
      </c>
      <c r="L90" s="60">
        <v>16890</v>
      </c>
      <c r="M90" s="59"/>
      <c r="N90" s="59"/>
      <c r="O90" s="59"/>
      <c r="P90" s="67"/>
      <c r="Q90" s="67"/>
      <c r="R90" s="61">
        <f t="shared" si="40"/>
        <v>0</v>
      </c>
      <c r="S90" s="60">
        <v>0</v>
      </c>
      <c r="T90" s="60">
        <v>0</v>
      </c>
      <c r="U90" s="60">
        <v>0</v>
      </c>
      <c r="V90" s="60">
        <v>0</v>
      </c>
      <c r="W90" s="60">
        <v>0</v>
      </c>
      <c r="X90" s="61">
        <f t="shared" si="41"/>
        <v>0</v>
      </c>
      <c r="Y90" s="60">
        <v>0</v>
      </c>
      <c r="Z90" s="60">
        <v>0</v>
      </c>
      <c r="AA90" s="60">
        <v>0</v>
      </c>
      <c r="AB90" s="60">
        <v>0</v>
      </c>
      <c r="AC90" s="60">
        <v>0</v>
      </c>
      <c r="AD90" s="60">
        <v>0</v>
      </c>
      <c r="AE90" s="61">
        <f t="shared" si="42"/>
        <v>0</v>
      </c>
      <c r="AF90" s="62">
        <f t="shared" si="28"/>
        <v>0</v>
      </c>
      <c r="AG90" s="62">
        <f t="shared" si="29"/>
        <v>0</v>
      </c>
      <c r="AH90" s="62">
        <f t="shared" si="46"/>
        <v>0</v>
      </c>
      <c r="AI90" s="63"/>
      <c r="AJ90" s="63"/>
      <c r="AK90" s="62"/>
      <c r="AL90" s="60">
        <v>0</v>
      </c>
      <c r="AM90" s="60">
        <v>0</v>
      </c>
      <c r="AN90" s="60">
        <v>0</v>
      </c>
      <c r="AO90" s="60">
        <v>0</v>
      </c>
      <c r="AP90" s="60">
        <v>0</v>
      </c>
      <c r="AQ90" s="60">
        <v>0</v>
      </c>
      <c r="AR90" s="61">
        <f t="shared" si="43"/>
        <v>0</v>
      </c>
      <c r="AS90" s="60">
        <v>0</v>
      </c>
      <c r="AT90" s="60">
        <v>0</v>
      </c>
      <c r="AU90" s="60">
        <v>0</v>
      </c>
      <c r="AV90" s="60">
        <v>0</v>
      </c>
      <c r="AW90" s="60">
        <v>0</v>
      </c>
      <c r="AX90" s="60">
        <v>0</v>
      </c>
      <c r="AY90" s="61">
        <f t="shared" si="44"/>
        <v>0</v>
      </c>
      <c r="AZ90" s="56">
        <f t="shared" si="39"/>
        <v>0</v>
      </c>
      <c r="BA90" s="62">
        <f t="shared" si="47"/>
        <v>0</v>
      </c>
      <c r="BB90" s="62">
        <f t="shared" si="45"/>
        <v>0</v>
      </c>
      <c r="BC90" s="62">
        <f t="shared" si="48"/>
        <v>0</v>
      </c>
      <c r="BD90" s="63"/>
      <c r="BE90" s="57"/>
      <c r="BF90" s="35" t="e">
        <f>VLOOKUP(A:A,'2023-2027'!A:G,1,+FALSE)</f>
        <v>#N/A</v>
      </c>
      <c r="BG90" s="7" t="e">
        <f t="shared" si="51"/>
        <v>#N/A</v>
      </c>
      <c r="BH90" s="35"/>
    </row>
    <row r="91" spans="1:60" ht="12" hidden="1" customHeight="1" outlineLevel="1" x14ac:dyDescent="0.2">
      <c r="A91" s="59" t="s">
        <v>355</v>
      </c>
      <c r="B91" s="59" t="s">
        <v>77</v>
      </c>
      <c r="C91" s="59" t="s">
        <v>81</v>
      </c>
      <c r="D91" s="65" t="s">
        <v>356</v>
      </c>
      <c r="E91" s="59" t="s">
        <v>349</v>
      </c>
      <c r="F91" s="60">
        <v>12890</v>
      </c>
      <c r="G91" s="60">
        <v>12890</v>
      </c>
      <c r="H91" s="59"/>
      <c r="I91" s="59"/>
      <c r="J91" s="59"/>
      <c r="K91" s="60">
        <v>12890</v>
      </c>
      <c r="L91" s="60">
        <v>12890</v>
      </c>
      <c r="M91" s="59"/>
      <c r="N91" s="59"/>
      <c r="O91" s="59"/>
      <c r="P91" s="67"/>
      <c r="Q91" s="67"/>
      <c r="R91" s="61">
        <f t="shared" si="40"/>
        <v>0</v>
      </c>
      <c r="S91" s="60">
        <v>0</v>
      </c>
      <c r="T91" s="60">
        <v>0</v>
      </c>
      <c r="U91" s="60">
        <v>0</v>
      </c>
      <c r="V91" s="60">
        <v>0</v>
      </c>
      <c r="W91" s="60">
        <v>0</v>
      </c>
      <c r="X91" s="61">
        <f t="shared" si="41"/>
        <v>0</v>
      </c>
      <c r="Y91" s="60">
        <v>0</v>
      </c>
      <c r="Z91" s="60">
        <v>0</v>
      </c>
      <c r="AA91" s="60">
        <v>0</v>
      </c>
      <c r="AB91" s="60">
        <v>0</v>
      </c>
      <c r="AC91" s="60">
        <v>0</v>
      </c>
      <c r="AD91" s="60">
        <v>0</v>
      </c>
      <c r="AE91" s="61">
        <f t="shared" si="42"/>
        <v>0</v>
      </c>
      <c r="AF91" s="62">
        <f t="shared" si="28"/>
        <v>0</v>
      </c>
      <c r="AG91" s="62">
        <f t="shared" si="29"/>
        <v>0</v>
      </c>
      <c r="AH91" s="62">
        <f t="shared" si="46"/>
        <v>0</v>
      </c>
      <c r="AI91" s="63"/>
      <c r="AJ91" s="63"/>
      <c r="AK91" s="62"/>
      <c r="AL91" s="60">
        <v>0</v>
      </c>
      <c r="AM91" s="60">
        <v>0</v>
      </c>
      <c r="AN91" s="60">
        <v>0</v>
      </c>
      <c r="AO91" s="60">
        <v>0</v>
      </c>
      <c r="AP91" s="60">
        <v>0</v>
      </c>
      <c r="AQ91" s="60">
        <v>0</v>
      </c>
      <c r="AR91" s="61">
        <f t="shared" si="43"/>
        <v>0</v>
      </c>
      <c r="AS91" s="60">
        <v>0</v>
      </c>
      <c r="AT91" s="60">
        <v>0</v>
      </c>
      <c r="AU91" s="60">
        <v>0</v>
      </c>
      <c r="AV91" s="60">
        <v>0</v>
      </c>
      <c r="AW91" s="60">
        <v>0</v>
      </c>
      <c r="AX91" s="60">
        <v>0</v>
      </c>
      <c r="AY91" s="61">
        <f t="shared" si="44"/>
        <v>0</v>
      </c>
      <c r="AZ91" s="56">
        <f t="shared" si="39"/>
        <v>0</v>
      </c>
      <c r="BA91" s="62">
        <f t="shared" si="47"/>
        <v>0</v>
      </c>
      <c r="BB91" s="62">
        <f t="shared" si="45"/>
        <v>0</v>
      </c>
      <c r="BC91" s="62">
        <f t="shared" si="48"/>
        <v>0</v>
      </c>
      <c r="BD91" s="63"/>
      <c r="BE91" s="57"/>
      <c r="BF91" s="35" t="e">
        <f>VLOOKUP(A:A,'2023-2027'!A:G,1,+FALSE)</f>
        <v>#N/A</v>
      </c>
      <c r="BG91" s="7" t="e">
        <f t="shared" si="51"/>
        <v>#N/A</v>
      </c>
      <c r="BH91" s="35"/>
    </row>
    <row r="92" spans="1:60" ht="12" hidden="1" customHeight="1" outlineLevel="1" x14ac:dyDescent="0.2">
      <c r="A92" s="59" t="s">
        <v>357</v>
      </c>
      <c r="B92" s="59" t="s">
        <v>77</v>
      </c>
      <c r="C92" s="59" t="s">
        <v>81</v>
      </c>
      <c r="D92" s="65" t="s">
        <v>358</v>
      </c>
      <c r="E92" s="59" t="s">
        <v>359</v>
      </c>
      <c r="F92" s="60">
        <v>172785.59</v>
      </c>
      <c r="G92" s="60">
        <v>92152.320000000007</v>
      </c>
      <c r="H92" s="60">
        <v>80633.27</v>
      </c>
      <c r="I92" s="59"/>
      <c r="J92" s="60">
        <v>11519.04</v>
      </c>
      <c r="K92" s="59"/>
      <c r="L92" s="59"/>
      <c r="M92" s="60">
        <v>172785.59</v>
      </c>
      <c r="N92" s="60">
        <v>103671.36</v>
      </c>
      <c r="O92" s="60">
        <v>69114.23</v>
      </c>
      <c r="P92" s="55"/>
      <c r="Q92" s="55"/>
      <c r="R92" s="61">
        <f t="shared" si="40"/>
        <v>959.92000000000007</v>
      </c>
      <c r="S92" s="60">
        <v>959.92</v>
      </c>
      <c r="T92" s="60">
        <v>959.92</v>
      </c>
      <c r="U92" s="60">
        <v>959.92</v>
      </c>
      <c r="V92" s="60">
        <v>959.92</v>
      </c>
      <c r="W92" s="60">
        <v>959.92</v>
      </c>
      <c r="X92" s="61">
        <f t="shared" si="41"/>
        <v>5759.52</v>
      </c>
      <c r="Y92" s="60">
        <v>959.92</v>
      </c>
      <c r="Z92" s="60">
        <v>959.92</v>
      </c>
      <c r="AA92" s="60">
        <v>959.92</v>
      </c>
      <c r="AB92" s="60">
        <v>959.92</v>
      </c>
      <c r="AC92" s="60">
        <v>959.92</v>
      </c>
      <c r="AD92" s="60">
        <v>959.92</v>
      </c>
      <c r="AE92" s="61">
        <f t="shared" si="42"/>
        <v>5759.5199999999995</v>
      </c>
      <c r="AF92" s="62">
        <f t="shared" si="28"/>
        <v>172785.59</v>
      </c>
      <c r="AG92" s="62">
        <f t="shared" si="29"/>
        <v>115190.39999999998</v>
      </c>
      <c r="AH92" s="62">
        <f t="shared" si="46"/>
        <v>57595.190000000017</v>
      </c>
      <c r="AI92" s="63"/>
      <c r="AJ92" s="63"/>
      <c r="AK92" s="62"/>
      <c r="AL92" s="60">
        <v>959.92</v>
      </c>
      <c r="AM92" s="60">
        <v>959.92</v>
      </c>
      <c r="AN92" s="60">
        <v>959.92</v>
      </c>
      <c r="AO92" s="60">
        <v>959.92</v>
      </c>
      <c r="AP92" s="60">
        <v>959.92</v>
      </c>
      <c r="AQ92" s="60">
        <v>959.92</v>
      </c>
      <c r="AR92" s="61">
        <f t="shared" si="43"/>
        <v>5759.5199999999995</v>
      </c>
      <c r="AS92" s="60">
        <v>959.92</v>
      </c>
      <c r="AT92" s="60">
        <v>959.92</v>
      </c>
      <c r="AU92" s="60">
        <v>959.92</v>
      </c>
      <c r="AV92" s="60">
        <v>959.92</v>
      </c>
      <c r="AW92" s="60">
        <v>959.92</v>
      </c>
      <c r="AX92" s="60">
        <v>959.92</v>
      </c>
      <c r="AY92" s="61">
        <f t="shared" si="44"/>
        <v>5759.5199999999995</v>
      </c>
      <c r="AZ92" s="56">
        <f t="shared" si="39"/>
        <v>11519.039999999999</v>
      </c>
      <c r="BA92" s="62">
        <f t="shared" si="47"/>
        <v>172785.59</v>
      </c>
      <c r="BB92" s="62">
        <f t="shared" si="45"/>
        <v>126709.43999999996</v>
      </c>
      <c r="BC92" s="62">
        <f t="shared" si="48"/>
        <v>46076.150000000038</v>
      </c>
      <c r="BD92" s="63"/>
      <c r="BE92" s="57"/>
      <c r="BF92" s="35" t="e">
        <f>VLOOKUP(A:A,'2023-2027'!A:G,1,+FALSE)</f>
        <v>#N/A</v>
      </c>
      <c r="BG92" s="7" t="e">
        <f t="shared" si="51"/>
        <v>#N/A</v>
      </c>
      <c r="BH92" s="35"/>
    </row>
    <row r="93" spans="1:60" ht="12" hidden="1" customHeight="1" outlineLevel="1" x14ac:dyDescent="0.2">
      <c r="A93" s="59" t="s">
        <v>360</v>
      </c>
      <c r="B93" s="59" t="s">
        <v>77</v>
      </c>
      <c r="C93" s="59" t="s">
        <v>81</v>
      </c>
      <c r="D93" s="65" t="s">
        <v>361</v>
      </c>
      <c r="E93" s="59" t="s">
        <v>288</v>
      </c>
      <c r="F93" s="60">
        <v>428839.2</v>
      </c>
      <c r="G93" s="60">
        <v>322369.68</v>
      </c>
      <c r="H93" s="60">
        <v>106469.52</v>
      </c>
      <c r="I93" s="59"/>
      <c r="J93" s="60">
        <v>17744.88</v>
      </c>
      <c r="K93" s="59"/>
      <c r="L93" s="59"/>
      <c r="M93" s="60">
        <v>428839.2</v>
      </c>
      <c r="N93" s="60">
        <v>340114.56</v>
      </c>
      <c r="O93" s="60">
        <v>88724.64</v>
      </c>
      <c r="P93" s="55"/>
      <c r="Q93" s="55"/>
      <c r="R93" s="61">
        <f t="shared" si="40"/>
        <v>1478.74</v>
      </c>
      <c r="S93" s="60">
        <v>1478.74</v>
      </c>
      <c r="T93" s="60">
        <v>1478.74</v>
      </c>
      <c r="U93" s="60">
        <v>1478.74</v>
      </c>
      <c r="V93" s="60">
        <v>1478.74</v>
      </c>
      <c r="W93" s="60">
        <v>1478.74</v>
      </c>
      <c r="X93" s="61">
        <f t="shared" si="41"/>
        <v>8872.44</v>
      </c>
      <c r="Y93" s="60">
        <v>1478.74</v>
      </c>
      <c r="Z93" s="60">
        <v>1478.74</v>
      </c>
      <c r="AA93" s="60">
        <v>1478.74</v>
      </c>
      <c r="AB93" s="60">
        <v>1478.74</v>
      </c>
      <c r="AC93" s="60">
        <v>1478.74</v>
      </c>
      <c r="AD93" s="60">
        <v>1478.74</v>
      </c>
      <c r="AE93" s="61">
        <f t="shared" si="42"/>
        <v>8872.44</v>
      </c>
      <c r="AF93" s="62">
        <f t="shared" si="28"/>
        <v>428839.2</v>
      </c>
      <c r="AG93" s="62">
        <f t="shared" si="29"/>
        <v>357859.43999999989</v>
      </c>
      <c r="AH93" s="62">
        <f t="shared" si="46"/>
        <v>70979.760000000126</v>
      </c>
      <c r="AI93" s="63"/>
      <c r="AJ93" s="63"/>
      <c r="AK93" s="62"/>
      <c r="AL93" s="60">
        <v>1478.74</v>
      </c>
      <c r="AM93" s="60">
        <v>1478.74</v>
      </c>
      <c r="AN93" s="60">
        <v>1478.74</v>
      </c>
      <c r="AO93" s="60">
        <v>1478.74</v>
      </c>
      <c r="AP93" s="60">
        <v>1478.74</v>
      </c>
      <c r="AQ93" s="60">
        <v>1478.74</v>
      </c>
      <c r="AR93" s="61">
        <f t="shared" si="43"/>
        <v>8872.44</v>
      </c>
      <c r="AS93" s="60">
        <v>1478.74</v>
      </c>
      <c r="AT93" s="60">
        <v>1478.74</v>
      </c>
      <c r="AU93" s="60">
        <v>1478.74</v>
      </c>
      <c r="AV93" s="60">
        <v>1478.74</v>
      </c>
      <c r="AW93" s="60">
        <v>1478.74</v>
      </c>
      <c r="AX93" s="60">
        <v>1478.74</v>
      </c>
      <c r="AY93" s="61">
        <f t="shared" si="44"/>
        <v>8872.44</v>
      </c>
      <c r="AZ93" s="56">
        <f t="shared" si="39"/>
        <v>17744.88</v>
      </c>
      <c r="BA93" s="62">
        <f t="shared" si="47"/>
        <v>428839.2</v>
      </c>
      <c r="BB93" s="62">
        <f t="shared" si="45"/>
        <v>375604.31999999977</v>
      </c>
      <c r="BC93" s="62">
        <f t="shared" si="48"/>
        <v>53234.880000000237</v>
      </c>
      <c r="BD93" s="63"/>
      <c r="BE93" s="57"/>
      <c r="BF93" s="35" t="e">
        <f>VLOOKUP(A:A,'2023-2027'!A:G,1,+FALSE)</f>
        <v>#N/A</v>
      </c>
      <c r="BG93" s="7" t="e">
        <f t="shared" si="51"/>
        <v>#N/A</v>
      </c>
      <c r="BH93" s="35"/>
    </row>
    <row r="94" spans="1:60" ht="36" hidden="1" customHeight="1" outlineLevel="1" x14ac:dyDescent="0.2">
      <c r="A94" s="59" t="s">
        <v>362</v>
      </c>
      <c r="B94" s="59" t="s">
        <v>77</v>
      </c>
      <c r="C94" s="59" t="s">
        <v>81</v>
      </c>
      <c r="D94" s="65" t="s">
        <v>363</v>
      </c>
      <c r="E94" s="59" t="s">
        <v>364</v>
      </c>
      <c r="F94" s="60">
        <v>367330.51</v>
      </c>
      <c r="G94" s="60">
        <v>201439.8</v>
      </c>
      <c r="H94" s="60">
        <v>165890.71</v>
      </c>
      <c r="I94" s="59"/>
      <c r="J94" s="60">
        <v>23698.68</v>
      </c>
      <c r="K94" s="59"/>
      <c r="L94" s="59"/>
      <c r="M94" s="60">
        <v>367330.51</v>
      </c>
      <c r="N94" s="60">
        <v>225138.48</v>
      </c>
      <c r="O94" s="60">
        <v>142192.03</v>
      </c>
      <c r="P94" s="55"/>
      <c r="Q94" s="55"/>
      <c r="R94" s="61">
        <f t="shared" si="40"/>
        <v>1974.89</v>
      </c>
      <c r="S94" s="60">
        <v>1974.89</v>
      </c>
      <c r="T94" s="60">
        <v>1974.89</v>
      </c>
      <c r="U94" s="60">
        <v>1974.89</v>
      </c>
      <c r="V94" s="60">
        <v>1974.89</v>
      </c>
      <c r="W94" s="60">
        <v>1974.89</v>
      </c>
      <c r="X94" s="61">
        <f t="shared" si="41"/>
        <v>11849.34</v>
      </c>
      <c r="Y94" s="60">
        <v>1974.89</v>
      </c>
      <c r="Z94" s="60">
        <v>1974.89</v>
      </c>
      <c r="AA94" s="60">
        <v>1974.89</v>
      </c>
      <c r="AB94" s="60">
        <v>1974.89</v>
      </c>
      <c r="AC94" s="60">
        <v>1974.89</v>
      </c>
      <c r="AD94" s="60">
        <v>1974.89</v>
      </c>
      <c r="AE94" s="61">
        <f t="shared" si="42"/>
        <v>11849.34</v>
      </c>
      <c r="AF94" s="62">
        <f t="shared" si="28"/>
        <v>367330.51</v>
      </c>
      <c r="AG94" s="62">
        <f t="shared" si="29"/>
        <v>248837.16000000018</v>
      </c>
      <c r="AH94" s="62">
        <f t="shared" si="46"/>
        <v>118493.34999999983</v>
      </c>
      <c r="AI94" s="63"/>
      <c r="AJ94" s="63"/>
      <c r="AK94" s="62"/>
      <c r="AL94" s="60">
        <v>1974.89</v>
      </c>
      <c r="AM94" s="60">
        <v>1974.89</v>
      </c>
      <c r="AN94" s="60">
        <v>1974.89</v>
      </c>
      <c r="AO94" s="60">
        <v>1974.89</v>
      </c>
      <c r="AP94" s="60">
        <v>1974.89</v>
      </c>
      <c r="AQ94" s="60">
        <v>1974.89</v>
      </c>
      <c r="AR94" s="61">
        <f t="shared" si="43"/>
        <v>11849.34</v>
      </c>
      <c r="AS94" s="60">
        <v>1974.89</v>
      </c>
      <c r="AT94" s="60">
        <v>1974.89</v>
      </c>
      <c r="AU94" s="60">
        <v>1974.89</v>
      </c>
      <c r="AV94" s="60">
        <v>1974.89</v>
      </c>
      <c r="AW94" s="60">
        <v>1974.89</v>
      </c>
      <c r="AX94" s="60">
        <v>1974.89</v>
      </c>
      <c r="AY94" s="61">
        <f t="shared" si="44"/>
        <v>11849.34</v>
      </c>
      <c r="AZ94" s="56">
        <f t="shared" si="39"/>
        <v>23698.68</v>
      </c>
      <c r="BA94" s="62">
        <f t="shared" si="47"/>
        <v>367330.51</v>
      </c>
      <c r="BB94" s="62">
        <f t="shared" si="45"/>
        <v>272535.84000000032</v>
      </c>
      <c r="BC94" s="62">
        <f t="shared" si="48"/>
        <v>94794.669999999693</v>
      </c>
      <c r="BD94" s="63"/>
      <c r="BE94" s="57"/>
      <c r="BF94" s="35" t="e">
        <f>VLOOKUP(A:A,'2023-2027'!A:G,1,+FALSE)</f>
        <v>#N/A</v>
      </c>
      <c r="BG94" s="7" t="e">
        <f t="shared" si="51"/>
        <v>#N/A</v>
      </c>
      <c r="BH94" s="35"/>
    </row>
    <row r="95" spans="1:60" ht="24" hidden="1" customHeight="1" outlineLevel="1" x14ac:dyDescent="0.2">
      <c r="A95" s="59" t="s">
        <v>365</v>
      </c>
      <c r="B95" s="59" t="s">
        <v>77</v>
      </c>
      <c r="C95" s="59" t="s">
        <v>81</v>
      </c>
      <c r="D95" s="65" t="s">
        <v>366</v>
      </c>
      <c r="E95" s="59" t="s">
        <v>260</v>
      </c>
      <c r="F95" s="60">
        <v>11125303.539999999</v>
      </c>
      <c r="G95" s="60">
        <v>8299829.6399999997</v>
      </c>
      <c r="H95" s="60">
        <v>2825473.9</v>
      </c>
      <c r="I95" s="59"/>
      <c r="J95" s="60">
        <v>706368.48</v>
      </c>
      <c r="K95" s="59"/>
      <c r="L95" s="59"/>
      <c r="M95" s="60">
        <v>11125303.539999999</v>
      </c>
      <c r="N95" s="60">
        <v>9006198.1199999992</v>
      </c>
      <c r="O95" s="60">
        <v>2119105.42</v>
      </c>
      <c r="P95" s="55"/>
      <c r="Q95" s="55"/>
      <c r="R95" s="61">
        <f t="shared" si="40"/>
        <v>58864.04</v>
      </c>
      <c r="S95" s="60">
        <v>58864.04</v>
      </c>
      <c r="T95" s="60">
        <v>58864.04</v>
      </c>
      <c r="U95" s="60">
        <v>58864.04</v>
      </c>
      <c r="V95" s="60">
        <v>58864.04</v>
      </c>
      <c r="W95" s="60">
        <v>58864.04</v>
      </c>
      <c r="X95" s="61">
        <f t="shared" si="41"/>
        <v>353184.24</v>
      </c>
      <c r="Y95" s="60">
        <v>58864.04</v>
      </c>
      <c r="Z95" s="60">
        <v>58864.04</v>
      </c>
      <c r="AA95" s="60">
        <v>58864.04</v>
      </c>
      <c r="AB95" s="60">
        <v>58864.04</v>
      </c>
      <c r="AC95" s="60">
        <v>58864.04</v>
      </c>
      <c r="AD95" s="60">
        <v>58864.04</v>
      </c>
      <c r="AE95" s="61">
        <f t="shared" si="42"/>
        <v>353184.24</v>
      </c>
      <c r="AF95" s="62">
        <f t="shared" si="28"/>
        <v>11125303.539999999</v>
      </c>
      <c r="AG95" s="62">
        <f t="shared" si="29"/>
        <v>9712566.5999999885</v>
      </c>
      <c r="AH95" s="62">
        <f t="shared" si="46"/>
        <v>1412736.9400000107</v>
      </c>
      <c r="AI95" s="63"/>
      <c r="AJ95" s="63"/>
      <c r="AK95" s="62"/>
      <c r="AL95" s="60">
        <v>58864.04</v>
      </c>
      <c r="AM95" s="60">
        <v>58864.04</v>
      </c>
      <c r="AN95" s="60">
        <v>58864.04</v>
      </c>
      <c r="AO95" s="60">
        <v>58864.04</v>
      </c>
      <c r="AP95" s="60">
        <v>58864.04</v>
      </c>
      <c r="AQ95" s="60">
        <v>58864.04</v>
      </c>
      <c r="AR95" s="61">
        <f t="shared" si="43"/>
        <v>353184.24</v>
      </c>
      <c r="AS95" s="60">
        <v>58864.04</v>
      </c>
      <c r="AT95" s="60">
        <v>58864.04</v>
      </c>
      <c r="AU95" s="60">
        <v>58864.04</v>
      </c>
      <c r="AV95" s="60">
        <v>58864.04</v>
      </c>
      <c r="AW95" s="60">
        <v>58864.04</v>
      </c>
      <c r="AX95" s="60">
        <v>58864.04</v>
      </c>
      <c r="AY95" s="61">
        <f t="shared" si="44"/>
        <v>353184.24</v>
      </c>
      <c r="AZ95" s="56">
        <f t="shared" si="39"/>
        <v>706368.48</v>
      </c>
      <c r="BA95" s="62">
        <f t="shared" si="47"/>
        <v>11125303.539999999</v>
      </c>
      <c r="BB95" s="62">
        <f t="shared" si="45"/>
        <v>10418935.079999978</v>
      </c>
      <c r="BC95" s="62">
        <f t="shared" si="48"/>
        <v>706368.46000002138</v>
      </c>
      <c r="BD95" s="63"/>
      <c r="BE95" s="57"/>
      <c r="BF95" s="35" t="e">
        <f>VLOOKUP(A:A,'2023-2027'!A:G,1,+FALSE)</f>
        <v>#N/A</v>
      </c>
      <c r="BG95" s="7" t="e">
        <f t="shared" si="51"/>
        <v>#N/A</v>
      </c>
      <c r="BH95" s="35"/>
    </row>
    <row r="96" spans="1:60" ht="24" hidden="1" customHeight="1" outlineLevel="1" x14ac:dyDescent="0.2">
      <c r="A96" s="59" t="s">
        <v>367</v>
      </c>
      <c r="B96" s="59" t="s">
        <v>77</v>
      </c>
      <c r="C96" s="59" t="s">
        <v>81</v>
      </c>
      <c r="D96" s="65" t="s">
        <v>368</v>
      </c>
      <c r="E96" s="59" t="s">
        <v>260</v>
      </c>
      <c r="F96" s="60">
        <v>11125303.539999999</v>
      </c>
      <c r="G96" s="60">
        <v>8299829.6399999997</v>
      </c>
      <c r="H96" s="60">
        <v>2825473.9</v>
      </c>
      <c r="I96" s="59"/>
      <c r="J96" s="60">
        <v>706368.48</v>
      </c>
      <c r="K96" s="59"/>
      <c r="L96" s="59"/>
      <c r="M96" s="60">
        <v>11125303.539999999</v>
      </c>
      <c r="N96" s="60">
        <v>9006198.1199999992</v>
      </c>
      <c r="O96" s="60">
        <v>2119105.42</v>
      </c>
      <c r="P96" s="55"/>
      <c r="Q96" s="55"/>
      <c r="R96" s="61">
        <f t="shared" si="40"/>
        <v>58864.04</v>
      </c>
      <c r="S96" s="60">
        <v>58864.04</v>
      </c>
      <c r="T96" s="60">
        <v>58864.04</v>
      </c>
      <c r="U96" s="60">
        <v>58864.04</v>
      </c>
      <c r="V96" s="60">
        <v>58864.04</v>
      </c>
      <c r="W96" s="60">
        <v>58864.04</v>
      </c>
      <c r="X96" s="61">
        <f t="shared" si="41"/>
        <v>353184.24</v>
      </c>
      <c r="Y96" s="60">
        <v>58864.04</v>
      </c>
      <c r="Z96" s="60">
        <v>58864.04</v>
      </c>
      <c r="AA96" s="60">
        <v>58864.04</v>
      </c>
      <c r="AB96" s="60">
        <v>58864.04</v>
      </c>
      <c r="AC96" s="60">
        <v>58864.04</v>
      </c>
      <c r="AD96" s="60">
        <v>58864.04</v>
      </c>
      <c r="AE96" s="61">
        <f t="shared" si="42"/>
        <v>353184.24</v>
      </c>
      <c r="AF96" s="62">
        <f t="shared" si="28"/>
        <v>11125303.539999999</v>
      </c>
      <c r="AG96" s="62">
        <f t="shared" si="29"/>
        <v>9712566.5999999885</v>
      </c>
      <c r="AH96" s="62">
        <f t="shared" si="46"/>
        <v>1412736.9400000107</v>
      </c>
      <c r="AI96" s="63"/>
      <c r="AJ96" s="63"/>
      <c r="AK96" s="62"/>
      <c r="AL96" s="60">
        <v>58864.04</v>
      </c>
      <c r="AM96" s="60">
        <v>58864.04</v>
      </c>
      <c r="AN96" s="60">
        <v>58864.04</v>
      </c>
      <c r="AO96" s="60">
        <v>58864.04</v>
      </c>
      <c r="AP96" s="60">
        <v>58864.04</v>
      </c>
      <c r="AQ96" s="60">
        <v>58864.04</v>
      </c>
      <c r="AR96" s="61">
        <f t="shared" si="43"/>
        <v>353184.24</v>
      </c>
      <c r="AS96" s="60">
        <v>58864.04</v>
      </c>
      <c r="AT96" s="60">
        <v>58864.04</v>
      </c>
      <c r="AU96" s="60">
        <v>58864.04</v>
      </c>
      <c r="AV96" s="60">
        <v>58864.04</v>
      </c>
      <c r="AW96" s="60">
        <v>58864.04</v>
      </c>
      <c r="AX96" s="60">
        <v>58864.04</v>
      </c>
      <c r="AY96" s="61">
        <f t="shared" si="44"/>
        <v>353184.24</v>
      </c>
      <c r="AZ96" s="56">
        <f t="shared" si="39"/>
        <v>706368.48</v>
      </c>
      <c r="BA96" s="62">
        <f t="shared" si="47"/>
        <v>11125303.539999999</v>
      </c>
      <c r="BB96" s="62">
        <f t="shared" si="45"/>
        <v>10418935.079999978</v>
      </c>
      <c r="BC96" s="62">
        <f t="shared" si="48"/>
        <v>706368.46000002138</v>
      </c>
      <c r="BD96" s="63"/>
      <c r="BE96" s="57"/>
      <c r="BF96" s="35" t="e">
        <f>VLOOKUP(A:A,'2023-2027'!A:G,1,+FALSE)</f>
        <v>#N/A</v>
      </c>
      <c r="BG96" s="7" t="e">
        <f t="shared" si="51"/>
        <v>#N/A</v>
      </c>
      <c r="BH96" s="35"/>
    </row>
    <row r="97" spans="1:60" ht="24" hidden="1" customHeight="1" outlineLevel="1" x14ac:dyDescent="0.2">
      <c r="A97" s="59" t="s">
        <v>369</v>
      </c>
      <c r="B97" s="59" t="s">
        <v>77</v>
      </c>
      <c r="C97" s="59" t="s">
        <v>81</v>
      </c>
      <c r="D97" s="65" t="s">
        <v>370</v>
      </c>
      <c r="E97" s="59" t="s">
        <v>260</v>
      </c>
      <c r="F97" s="60">
        <v>11125303.539999999</v>
      </c>
      <c r="G97" s="60">
        <v>8299829.6399999997</v>
      </c>
      <c r="H97" s="60">
        <v>2825473.9</v>
      </c>
      <c r="I97" s="59"/>
      <c r="J97" s="60">
        <v>706368.48</v>
      </c>
      <c r="K97" s="59"/>
      <c r="L97" s="59"/>
      <c r="M97" s="60">
        <v>11125303.539999999</v>
      </c>
      <c r="N97" s="60">
        <v>9006198.1199999992</v>
      </c>
      <c r="O97" s="60">
        <v>2119105.42</v>
      </c>
      <c r="P97" s="55"/>
      <c r="Q97" s="55"/>
      <c r="R97" s="61">
        <f t="shared" si="40"/>
        <v>58864.04</v>
      </c>
      <c r="S97" s="60">
        <v>58864.04</v>
      </c>
      <c r="T97" s="60">
        <v>58864.04</v>
      </c>
      <c r="U97" s="60">
        <v>58864.04</v>
      </c>
      <c r="V97" s="60">
        <v>58864.04</v>
      </c>
      <c r="W97" s="60">
        <v>58864.04</v>
      </c>
      <c r="X97" s="61">
        <f t="shared" si="41"/>
        <v>353184.24</v>
      </c>
      <c r="Y97" s="60">
        <v>58864.04</v>
      </c>
      <c r="Z97" s="60">
        <v>58864.04</v>
      </c>
      <c r="AA97" s="60">
        <v>58864.04</v>
      </c>
      <c r="AB97" s="60">
        <v>58864.04</v>
      </c>
      <c r="AC97" s="60">
        <v>58864.04</v>
      </c>
      <c r="AD97" s="60">
        <v>58864.04</v>
      </c>
      <c r="AE97" s="61">
        <f t="shared" si="42"/>
        <v>353184.24</v>
      </c>
      <c r="AF97" s="62">
        <f t="shared" si="28"/>
        <v>11125303.539999999</v>
      </c>
      <c r="AG97" s="62">
        <f t="shared" si="29"/>
        <v>9712566.5999999885</v>
      </c>
      <c r="AH97" s="62">
        <f t="shared" si="46"/>
        <v>1412736.9400000107</v>
      </c>
      <c r="AI97" s="63"/>
      <c r="AJ97" s="63"/>
      <c r="AK97" s="62"/>
      <c r="AL97" s="60">
        <v>58864.04</v>
      </c>
      <c r="AM97" s="60">
        <v>58864.04</v>
      </c>
      <c r="AN97" s="60">
        <v>58864.04</v>
      </c>
      <c r="AO97" s="60">
        <v>58864.04</v>
      </c>
      <c r="AP97" s="60">
        <v>58864.04</v>
      </c>
      <c r="AQ97" s="60">
        <v>58864.04</v>
      </c>
      <c r="AR97" s="61">
        <f t="shared" si="43"/>
        <v>353184.24</v>
      </c>
      <c r="AS97" s="60">
        <v>58864.04</v>
      </c>
      <c r="AT97" s="60">
        <v>58864.04</v>
      </c>
      <c r="AU97" s="60">
        <v>58864.04</v>
      </c>
      <c r="AV97" s="60">
        <v>58864.04</v>
      </c>
      <c r="AW97" s="60">
        <v>58864.04</v>
      </c>
      <c r="AX97" s="60">
        <v>58864.04</v>
      </c>
      <c r="AY97" s="61">
        <f t="shared" si="44"/>
        <v>353184.24</v>
      </c>
      <c r="AZ97" s="56">
        <f t="shared" si="39"/>
        <v>706368.48</v>
      </c>
      <c r="BA97" s="62">
        <f t="shared" si="47"/>
        <v>11125303.539999999</v>
      </c>
      <c r="BB97" s="62">
        <f t="shared" si="45"/>
        <v>10418935.079999978</v>
      </c>
      <c r="BC97" s="62">
        <f t="shared" si="48"/>
        <v>706368.46000002138</v>
      </c>
      <c r="BD97" s="63"/>
      <c r="BE97" s="57"/>
      <c r="BF97" s="35" t="e">
        <f>VLOOKUP(A:A,'2023-2027'!A:G,1,+FALSE)</f>
        <v>#N/A</v>
      </c>
      <c r="BG97" s="7" t="e">
        <f t="shared" si="51"/>
        <v>#N/A</v>
      </c>
      <c r="BH97" s="35"/>
    </row>
    <row r="98" spans="1:60" ht="12" hidden="1" customHeight="1" outlineLevel="1" x14ac:dyDescent="0.2">
      <c r="A98" s="59" t="s">
        <v>371</v>
      </c>
      <c r="B98" s="59" t="s">
        <v>77</v>
      </c>
      <c r="C98" s="59" t="s">
        <v>81</v>
      </c>
      <c r="D98" s="65" t="s">
        <v>372</v>
      </c>
      <c r="E98" s="59" t="s">
        <v>288</v>
      </c>
      <c r="F98" s="60">
        <v>101139.6</v>
      </c>
      <c r="G98" s="60">
        <v>73008.2</v>
      </c>
      <c r="H98" s="60">
        <v>28131.4</v>
      </c>
      <c r="I98" s="59"/>
      <c r="J98" s="60">
        <v>4018.8</v>
      </c>
      <c r="K98" s="59"/>
      <c r="L98" s="59"/>
      <c r="M98" s="60">
        <v>101139.6</v>
      </c>
      <c r="N98" s="60">
        <v>77027</v>
      </c>
      <c r="O98" s="60">
        <v>24112.6</v>
      </c>
      <c r="P98" s="55">
        <v>26122</v>
      </c>
      <c r="Q98" s="55">
        <f>P98*2.2%</f>
        <v>574.68400000000008</v>
      </c>
      <c r="R98" s="61">
        <f t="shared" si="40"/>
        <v>334.90000000000003</v>
      </c>
      <c r="S98" s="60">
        <v>334.9</v>
      </c>
      <c r="T98" s="60">
        <v>334.9</v>
      </c>
      <c r="U98" s="60">
        <v>334.9</v>
      </c>
      <c r="V98" s="60">
        <v>334.9</v>
      </c>
      <c r="W98" s="60">
        <v>334.9</v>
      </c>
      <c r="X98" s="61">
        <f t="shared" si="41"/>
        <v>2009.4</v>
      </c>
      <c r="Y98" s="60">
        <v>334.9</v>
      </c>
      <c r="Z98" s="60">
        <v>334.9</v>
      </c>
      <c r="AA98" s="60">
        <v>334.9</v>
      </c>
      <c r="AB98" s="60">
        <v>334.9</v>
      </c>
      <c r="AC98" s="60">
        <v>334.9</v>
      </c>
      <c r="AD98" s="60">
        <v>334.9</v>
      </c>
      <c r="AE98" s="61">
        <f t="shared" si="42"/>
        <v>2009.4</v>
      </c>
      <c r="AF98" s="62">
        <f t="shared" si="28"/>
        <v>101139.6</v>
      </c>
      <c r="AG98" s="62">
        <f t="shared" si="29"/>
        <v>81045.79999999993</v>
      </c>
      <c r="AH98" s="62">
        <f t="shared" si="46"/>
        <v>20093.800000000076</v>
      </c>
      <c r="AI98" s="63">
        <v>22103.199999999993</v>
      </c>
      <c r="AJ98" s="63">
        <f t="shared" ref="AJ98" si="52">AI98*2.2%</f>
        <v>486.27039999999988</v>
      </c>
      <c r="AK98" s="62"/>
      <c r="AL98" s="60">
        <v>334.9</v>
      </c>
      <c r="AM98" s="60">
        <v>334.9</v>
      </c>
      <c r="AN98" s="60">
        <v>334.9</v>
      </c>
      <c r="AO98" s="60">
        <v>334.9</v>
      </c>
      <c r="AP98" s="60">
        <v>334.9</v>
      </c>
      <c r="AQ98" s="60">
        <v>334.9</v>
      </c>
      <c r="AR98" s="61">
        <f t="shared" si="43"/>
        <v>2009.4</v>
      </c>
      <c r="AS98" s="60">
        <v>334.9</v>
      </c>
      <c r="AT98" s="60">
        <v>334.9</v>
      </c>
      <c r="AU98" s="60">
        <v>334.9</v>
      </c>
      <c r="AV98" s="60">
        <v>334.9</v>
      </c>
      <c r="AW98" s="60">
        <v>334.9</v>
      </c>
      <c r="AX98" s="60">
        <v>334.9</v>
      </c>
      <c r="AY98" s="61">
        <f t="shared" si="44"/>
        <v>2009.4</v>
      </c>
      <c r="AZ98" s="56">
        <f t="shared" si="39"/>
        <v>4018.8</v>
      </c>
      <c r="BA98" s="62">
        <f t="shared" si="47"/>
        <v>101139.6</v>
      </c>
      <c r="BB98" s="62">
        <f t="shared" si="45"/>
        <v>85064.59999999986</v>
      </c>
      <c r="BC98" s="62">
        <f t="shared" si="48"/>
        <v>16075.000000000146</v>
      </c>
      <c r="BD98" s="63">
        <v>18084.399999999972</v>
      </c>
      <c r="BE98" s="57">
        <f t="shared" ref="BE98" si="53">BD98*2.2%</f>
        <v>397.85679999999945</v>
      </c>
      <c r="BF98" s="35" t="e">
        <f>VLOOKUP(A:A,'2023-2027'!A:G,1,+FALSE)</f>
        <v>#N/A</v>
      </c>
      <c r="BG98" s="7" t="e">
        <f t="shared" si="51"/>
        <v>#N/A</v>
      </c>
      <c r="BH98" s="35"/>
    </row>
    <row r="99" spans="1:60" ht="12" hidden="1" customHeight="1" outlineLevel="1" x14ac:dyDescent="0.2">
      <c r="A99" s="59" t="s">
        <v>373</v>
      </c>
      <c r="B99" s="59" t="s">
        <v>77</v>
      </c>
      <c r="C99" s="59" t="s">
        <v>81</v>
      </c>
      <c r="D99" s="65" t="s">
        <v>374</v>
      </c>
      <c r="E99" s="59" t="s">
        <v>237</v>
      </c>
      <c r="F99" s="60">
        <v>151500</v>
      </c>
      <c r="G99" s="60">
        <v>89118</v>
      </c>
      <c r="H99" s="60">
        <v>62382</v>
      </c>
      <c r="I99" s="59"/>
      <c r="J99" s="60">
        <v>8911.68</v>
      </c>
      <c r="K99" s="59"/>
      <c r="L99" s="59"/>
      <c r="M99" s="60">
        <v>151500</v>
      </c>
      <c r="N99" s="60">
        <v>98029.68</v>
      </c>
      <c r="O99" s="60">
        <v>53470.32</v>
      </c>
      <c r="P99" s="55"/>
      <c r="Q99" s="55"/>
      <c r="R99" s="61">
        <f t="shared" si="40"/>
        <v>742.64</v>
      </c>
      <c r="S99" s="60">
        <v>742.64</v>
      </c>
      <c r="T99" s="60">
        <v>742.64</v>
      </c>
      <c r="U99" s="60">
        <v>742.64</v>
      </c>
      <c r="V99" s="60">
        <v>742.64</v>
      </c>
      <c r="W99" s="60">
        <v>742.64</v>
      </c>
      <c r="X99" s="61">
        <f t="shared" si="41"/>
        <v>4455.84</v>
      </c>
      <c r="Y99" s="60">
        <v>742.64</v>
      </c>
      <c r="Z99" s="60">
        <v>742.64</v>
      </c>
      <c r="AA99" s="60">
        <v>742.64</v>
      </c>
      <c r="AB99" s="60">
        <v>742.64</v>
      </c>
      <c r="AC99" s="60">
        <v>742.64</v>
      </c>
      <c r="AD99" s="60">
        <v>742.64</v>
      </c>
      <c r="AE99" s="61">
        <f t="shared" si="42"/>
        <v>4455.84</v>
      </c>
      <c r="AF99" s="62">
        <f t="shared" si="28"/>
        <v>151500</v>
      </c>
      <c r="AG99" s="62">
        <f t="shared" si="29"/>
        <v>106941.35999999999</v>
      </c>
      <c r="AH99" s="62">
        <f t="shared" si="46"/>
        <v>44558.640000000014</v>
      </c>
      <c r="AI99" s="63"/>
      <c r="AJ99" s="63"/>
      <c r="AK99" s="62"/>
      <c r="AL99" s="60">
        <v>742.64</v>
      </c>
      <c r="AM99" s="60">
        <v>742.64</v>
      </c>
      <c r="AN99" s="60">
        <v>742.64</v>
      </c>
      <c r="AO99" s="60">
        <v>742.64</v>
      </c>
      <c r="AP99" s="60">
        <v>742.64</v>
      </c>
      <c r="AQ99" s="60">
        <v>742.64</v>
      </c>
      <c r="AR99" s="61">
        <f t="shared" si="43"/>
        <v>4455.84</v>
      </c>
      <c r="AS99" s="60">
        <v>742.64</v>
      </c>
      <c r="AT99" s="60">
        <v>742.64</v>
      </c>
      <c r="AU99" s="60">
        <v>742.64</v>
      </c>
      <c r="AV99" s="60">
        <v>742.64</v>
      </c>
      <c r="AW99" s="60">
        <v>742.64</v>
      </c>
      <c r="AX99" s="60">
        <v>742.64</v>
      </c>
      <c r="AY99" s="61">
        <f t="shared" si="44"/>
        <v>4455.84</v>
      </c>
      <c r="AZ99" s="56">
        <f t="shared" si="39"/>
        <v>8911.68</v>
      </c>
      <c r="BA99" s="62">
        <f t="shared" si="47"/>
        <v>151500</v>
      </c>
      <c r="BB99" s="62">
        <f t="shared" si="45"/>
        <v>115853.03999999998</v>
      </c>
      <c r="BC99" s="62">
        <f t="shared" si="48"/>
        <v>35646.960000000021</v>
      </c>
      <c r="BD99" s="63"/>
      <c r="BE99" s="57"/>
      <c r="BF99" s="35" t="e">
        <f>VLOOKUP(A:A,'2023-2027'!A:G,1,+FALSE)</f>
        <v>#N/A</v>
      </c>
      <c r="BG99" s="7" t="e">
        <f t="shared" si="51"/>
        <v>#N/A</v>
      </c>
      <c r="BH99" s="35"/>
    </row>
    <row r="100" spans="1:60" ht="12" hidden="1" customHeight="1" outlineLevel="1" x14ac:dyDescent="0.2">
      <c r="A100" s="59" t="s">
        <v>375</v>
      </c>
      <c r="B100" s="59" t="s">
        <v>77</v>
      </c>
      <c r="C100" s="59" t="s">
        <v>81</v>
      </c>
      <c r="D100" s="65" t="s">
        <v>376</v>
      </c>
      <c r="E100" s="59" t="s">
        <v>237</v>
      </c>
      <c r="F100" s="60">
        <v>151500</v>
      </c>
      <c r="G100" s="60">
        <v>89118</v>
      </c>
      <c r="H100" s="60">
        <v>62382</v>
      </c>
      <c r="I100" s="59"/>
      <c r="J100" s="60">
        <v>8911.68</v>
      </c>
      <c r="K100" s="59"/>
      <c r="L100" s="59"/>
      <c r="M100" s="60">
        <v>151500</v>
      </c>
      <c r="N100" s="60">
        <v>98029.68</v>
      </c>
      <c r="O100" s="60">
        <v>53470.32</v>
      </c>
      <c r="P100" s="55"/>
      <c r="Q100" s="55"/>
      <c r="R100" s="61">
        <f t="shared" si="40"/>
        <v>742.64</v>
      </c>
      <c r="S100" s="60">
        <v>742.64</v>
      </c>
      <c r="T100" s="60">
        <v>742.64</v>
      </c>
      <c r="U100" s="60">
        <v>742.64</v>
      </c>
      <c r="V100" s="60">
        <v>742.64</v>
      </c>
      <c r="W100" s="60">
        <v>742.64</v>
      </c>
      <c r="X100" s="61">
        <f t="shared" si="41"/>
        <v>4455.84</v>
      </c>
      <c r="Y100" s="60">
        <v>742.64</v>
      </c>
      <c r="Z100" s="60">
        <v>742.64</v>
      </c>
      <c r="AA100" s="60">
        <v>742.64</v>
      </c>
      <c r="AB100" s="60">
        <v>742.64</v>
      </c>
      <c r="AC100" s="60">
        <v>742.64</v>
      </c>
      <c r="AD100" s="60">
        <v>742.64</v>
      </c>
      <c r="AE100" s="61">
        <f t="shared" si="42"/>
        <v>4455.84</v>
      </c>
      <c r="AF100" s="62">
        <f t="shared" si="28"/>
        <v>151500</v>
      </c>
      <c r="AG100" s="62">
        <f t="shared" si="29"/>
        <v>106941.35999999999</v>
      </c>
      <c r="AH100" s="62">
        <f t="shared" si="46"/>
        <v>44558.640000000014</v>
      </c>
      <c r="AI100" s="63"/>
      <c r="AJ100" s="63"/>
      <c r="AK100" s="62"/>
      <c r="AL100" s="60">
        <v>742.64</v>
      </c>
      <c r="AM100" s="60">
        <v>742.64</v>
      </c>
      <c r="AN100" s="60">
        <v>742.64</v>
      </c>
      <c r="AO100" s="60">
        <v>742.64</v>
      </c>
      <c r="AP100" s="60">
        <v>742.64</v>
      </c>
      <c r="AQ100" s="60">
        <v>742.64</v>
      </c>
      <c r="AR100" s="61">
        <f t="shared" si="43"/>
        <v>4455.84</v>
      </c>
      <c r="AS100" s="60">
        <v>742.64</v>
      </c>
      <c r="AT100" s="60">
        <v>742.64</v>
      </c>
      <c r="AU100" s="60">
        <v>742.64</v>
      </c>
      <c r="AV100" s="60">
        <v>742.64</v>
      </c>
      <c r="AW100" s="60">
        <v>742.64</v>
      </c>
      <c r="AX100" s="60">
        <v>742.64</v>
      </c>
      <c r="AY100" s="61">
        <f t="shared" si="44"/>
        <v>4455.84</v>
      </c>
      <c r="AZ100" s="56">
        <f t="shared" si="39"/>
        <v>8911.68</v>
      </c>
      <c r="BA100" s="62">
        <f t="shared" si="47"/>
        <v>151500</v>
      </c>
      <c r="BB100" s="62">
        <f t="shared" si="45"/>
        <v>115853.03999999998</v>
      </c>
      <c r="BC100" s="62">
        <f t="shared" si="48"/>
        <v>35646.960000000021</v>
      </c>
      <c r="BD100" s="63"/>
      <c r="BE100" s="57"/>
      <c r="BF100" s="35" t="e">
        <f>VLOOKUP(A:A,'2023-2027'!A:G,1,+FALSE)</f>
        <v>#N/A</v>
      </c>
      <c r="BG100" s="7" t="e">
        <f t="shared" si="51"/>
        <v>#N/A</v>
      </c>
      <c r="BH100" s="35"/>
    </row>
    <row r="101" spans="1:60" ht="36" hidden="1" customHeight="1" outlineLevel="1" x14ac:dyDescent="0.2">
      <c r="A101" s="59" t="s">
        <v>377</v>
      </c>
      <c r="B101" s="59" t="s">
        <v>77</v>
      </c>
      <c r="C101" s="59" t="s">
        <v>81</v>
      </c>
      <c r="D101" s="66" t="s">
        <v>378</v>
      </c>
      <c r="E101" s="59" t="s">
        <v>379</v>
      </c>
      <c r="F101" s="60">
        <v>57245.760000000002</v>
      </c>
      <c r="G101" s="60">
        <v>40490.67</v>
      </c>
      <c r="H101" s="60">
        <v>16755.09</v>
      </c>
      <c r="I101" s="59"/>
      <c r="J101" s="60">
        <v>5585.04</v>
      </c>
      <c r="K101" s="59"/>
      <c r="L101" s="59"/>
      <c r="M101" s="60">
        <v>57245.760000000002</v>
      </c>
      <c r="N101" s="60">
        <v>46075.71</v>
      </c>
      <c r="O101" s="60">
        <v>11170.05</v>
      </c>
      <c r="P101" s="55"/>
      <c r="Q101" s="55"/>
      <c r="R101" s="61">
        <f t="shared" si="40"/>
        <v>465.42</v>
      </c>
      <c r="S101" s="60">
        <v>465.42</v>
      </c>
      <c r="T101" s="60">
        <v>465.42</v>
      </c>
      <c r="U101" s="60">
        <v>465.42</v>
      </c>
      <c r="V101" s="60">
        <v>465.42</v>
      </c>
      <c r="W101" s="60">
        <v>465.42</v>
      </c>
      <c r="X101" s="61">
        <f t="shared" si="41"/>
        <v>2792.52</v>
      </c>
      <c r="Y101" s="60">
        <v>465.42</v>
      </c>
      <c r="Z101" s="60">
        <v>465.42</v>
      </c>
      <c r="AA101" s="60">
        <v>465.42</v>
      </c>
      <c r="AB101" s="60">
        <v>465.42</v>
      </c>
      <c r="AC101" s="60">
        <v>465.42</v>
      </c>
      <c r="AD101" s="60">
        <v>465.42</v>
      </c>
      <c r="AE101" s="61">
        <f t="shared" si="42"/>
        <v>2792.52</v>
      </c>
      <c r="AF101" s="62">
        <f t="shared" si="28"/>
        <v>57245.760000000002</v>
      </c>
      <c r="AG101" s="62">
        <f t="shared" si="29"/>
        <v>51660.749999999978</v>
      </c>
      <c r="AH101" s="62">
        <f t="shared" si="46"/>
        <v>5585.0100000000239</v>
      </c>
      <c r="AI101" s="63"/>
      <c r="AJ101" s="63"/>
      <c r="AK101" s="62"/>
      <c r="AL101" s="60">
        <v>465.42</v>
      </c>
      <c r="AM101" s="60">
        <v>465.42</v>
      </c>
      <c r="AN101" s="60">
        <v>465.42</v>
      </c>
      <c r="AO101" s="60">
        <v>465.42</v>
      </c>
      <c r="AP101" s="60">
        <v>465.42</v>
      </c>
      <c r="AQ101" s="60">
        <v>465.42</v>
      </c>
      <c r="AR101" s="61">
        <f t="shared" si="43"/>
        <v>2792.52</v>
      </c>
      <c r="AS101" s="60">
        <v>465.42</v>
      </c>
      <c r="AT101" s="60">
        <v>465.42</v>
      </c>
      <c r="AU101" s="60">
        <v>465.42</v>
      </c>
      <c r="AV101" s="60">
        <v>465.42</v>
      </c>
      <c r="AW101" s="60">
        <v>465.42</v>
      </c>
      <c r="AX101" s="60">
        <v>465.39</v>
      </c>
      <c r="AY101" s="61">
        <f t="shared" si="44"/>
        <v>2792.49</v>
      </c>
      <c r="AZ101" s="56">
        <f t="shared" si="39"/>
        <v>5585.01</v>
      </c>
      <c r="BA101" s="62">
        <f t="shared" si="47"/>
        <v>57245.760000000002</v>
      </c>
      <c r="BB101" s="62">
        <f t="shared" si="45"/>
        <v>57245.759999999958</v>
      </c>
      <c r="BC101" s="62">
        <f t="shared" si="48"/>
        <v>0</v>
      </c>
      <c r="BD101" s="63"/>
      <c r="BE101" s="57"/>
      <c r="BF101" s="35" t="str">
        <f>VLOOKUP(A:A,'2023-2027'!A:G,1,+FALSE)</f>
        <v>Насосный агрегат НМШ 5-25-4,0/25Б-1У3 с дв.5,5/1500  №7р198</v>
      </c>
      <c r="BG101" s="7" t="b">
        <f t="shared" si="51"/>
        <v>1</v>
      </c>
      <c r="BH101" s="35">
        <f>VLOOKUP(A:A,'2023-2027'!A:AT,43,+FALSE)</f>
        <v>0</v>
      </c>
    </row>
    <row r="102" spans="1:60" ht="24" hidden="1" customHeight="1" outlineLevel="1" x14ac:dyDescent="0.2">
      <c r="A102" s="59" t="s">
        <v>380</v>
      </c>
      <c r="B102" s="59" t="s">
        <v>77</v>
      </c>
      <c r="C102" s="59" t="s">
        <v>81</v>
      </c>
      <c r="D102" s="65" t="s">
        <v>381</v>
      </c>
      <c r="E102" s="59" t="s">
        <v>288</v>
      </c>
      <c r="F102" s="60">
        <v>433059.6</v>
      </c>
      <c r="G102" s="60">
        <v>312605.46000000002</v>
      </c>
      <c r="H102" s="60">
        <v>120454.14</v>
      </c>
      <c r="I102" s="59"/>
      <c r="J102" s="60">
        <v>17207.759999999998</v>
      </c>
      <c r="K102" s="59"/>
      <c r="L102" s="59"/>
      <c r="M102" s="60">
        <v>433059.6</v>
      </c>
      <c r="N102" s="60">
        <v>329813.21999999997</v>
      </c>
      <c r="O102" s="60">
        <v>103246.38</v>
      </c>
      <c r="P102" s="55"/>
      <c r="Q102" s="55"/>
      <c r="R102" s="61">
        <f t="shared" si="40"/>
        <v>1433.9799999999998</v>
      </c>
      <c r="S102" s="60">
        <v>1433.98</v>
      </c>
      <c r="T102" s="60">
        <v>1433.98</v>
      </c>
      <c r="U102" s="60">
        <v>1433.98</v>
      </c>
      <c r="V102" s="60">
        <v>1433.98</v>
      </c>
      <c r="W102" s="60">
        <v>1433.98</v>
      </c>
      <c r="X102" s="61">
        <f t="shared" si="41"/>
        <v>8603.8799999999992</v>
      </c>
      <c r="Y102" s="60">
        <v>1433.98</v>
      </c>
      <c r="Z102" s="60">
        <v>1433.98</v>
      </c>
      <c r="AA102" s="60">
        <v>1433.98</v>
      </c>
      <c r="AB102" s="60">
        <v>1433.98</v>
      </c>
      <c r="AC102" s="60">
        <v>1433.98</v>
      </c>
      <c r="AD102" s="60">
        <v>1433.98</v>
      </c>
      <c r="AE102" s="61">
        <f t="shared" si="42"/>
        <v>8603.8799999999992</v>
      </c>
      <c r="AF102" s="62">
        <f t="shared" si="28"/>
        <v>433059.6</v>
      </c>
      <c r="AG102" s="62">
        <f t="shared" si="29"/>
        <v>347020.97999999975</v>
      </c>
      <c r="AH102" s="62">
        <f t="shared" si="46"/>
        <v>86038.620000000228</v>
      </c>
      <c r="AI102" s="63"/>
      <c r="AJ102" s="63"/>
      <c r="AK102" s="62"/>
      <c r="AL102" s="60">
        <v>1433.98</v>
      </c>
      <c r="AM102" s="60">
        <v>1433.98</v>
      </c>
      <c r="AN102" s="60">
        <v>1433.98</v>
      </c>
      <c r="AO102" s="60">
        <v>1433.98</v>
      </c>
      <c r="AP102" s="60">
        <v>1433.98</v>
      </c>
      <c r="AQ102" s="60">
        <v>1433.98</v>
      </c>
      <c r="AR102" s="61">
        <f t="shared" si="43"/>
        <v>8603.8799999999992</v>
      </c>
      <c r="AS102" s="60">
        <v>1433.98</v>
      </c>
      <c r="AT102" s="60">
        <v>1433.98</v>
      </c>
      <c r="AU102" s="60">
        <v>1433.98</v>
      </c>
      <c r="AV102" s="60">
        <v>1433.98</v>
      </c>
      <c r="AW102" s="60">
        <v>1433.98</v>
      </c>
      <c r="AX102" s="60">
        <v>1433.98</v>
      </c>
      <c r="AY102" s="61">
        <f t="shared" si="44"/>
        <v>8603.8799999999992</v>
      </c>
      <c r="AZ102" s="56">
        <f t="shared" si="39"/>
        <v>17207.759999999998</v>
      </c>
      <c r="BA102" s="62">
        <f t="shared" si="47"/>
        <v>433059.6</v>
      </c>
      <c r="BB102" s="62">
        <f t="shared" si="45"/>
        <v>364228.73999999953</v>
      </c>
      <c r="BC102" s="62">
        <f t="shared" si="48"/>
        <v>68830.860000000452</v>
      </c>
      <c r="BD102" s="63"/>
      <c r="BE102" s="57"/>
      <c r="BF102" s="35" t="e">
        <f>VLOOKUP(A:A,'2023-2027'!A:G,1,+FALSE)</f>
        <v>#N/A</v>
      </c>
      <c r="BG102" s="7" t="e">
        <f t="shared" si="51"/>
        <v>#N/A</v>
      </c>
      <c r="BH102" s="35"/>
    </row>
    <row r="103" spans="1:60" ht="12" hidden="1" customHeight="1" outlineLevel="1" x14ac:dyDescent="0.2">
      <c r="A103" s="59" t="s">
        <v>382</v>
      </c>
      <c r="B103" s="59" t="s">
        <v>77</v>
      </c>
      <c r="C103" s="59" t="s">
        <v>81</v>
      </c>
      <c r="D103" s="65" t="s">
        <v>383</v>
      </c>
      <c r="E103" s="59" t="s">
        <v>260</v>
      </c>
      <c r="F103" s="60">
        <v>479000</v>
      </c>
      <c r="G103" s="60">
        <v>300173.49</v>
      </c>
      <c r="H103" s="60">
        <v>178826.51</v>
      </c>
      <c r="I103" s="59"/>
      <c r="J103" s="60">
        <v>25546.68</v>
      </c>
      <c r="K103" s="59"/>
      <c r="L103" s="59"/>
      <c r="M103" s="60">
        <v>479000</v>
      </c>
      <c r="N103" s="60">
        <v>325720.17</v>
      </c>
      <c r="O103" s="60">
        <v>153279.82999999999</v>
      </c>
      <c r="P103" s="55"/>
      <c r="Q103" s="55"/>
      <c r="R103" s="61">
        <f t="shared" si="40"/>
        <v>2128.89</v>
      </c>
      <c r="S103" s="60">
        <v>2128.89</v>
      </c>
      <c r="T103" s="60">
        <v>2128.89</v>
      </c>
      <c r="U103" s="60">
        <v>2128.89</v>
      </c>
      <c r="V103" s="60">
        <v>2128.89</v>
      </c>
      <c r="W103" s="60">
        <v>2128.89</v>
      </c>
      <c r="X103" s="61">
        <f t="shared" si="41"/>
        <v>12773.339999999998</v>
      </c>
      <c r="Y103" s="60">
        <v>2128.89</v>
      </c>
      <c r="Z103" s="60">
        <v>2128.89</v>
      </c>
      <c r="AA103" s="60">
        <v>2128.89</v>
      </c>
      <c r="AB103" s="60">
        <v>2128.89</v>
      </c>
      <c r="AC103" s="60">
        <v>2128.89</v>
      </c>
      <c r="AD103" s="60">
        <v>2128.89</v>
      </c>
      <c r="AE103" s="61">
        <f t="shared" si="42"/>
        <v>12773.339999999998</v>
      </c>
      <c r="AF103" s="62">
        <f t="shared" si="28"/>
        <v>479000</v>
      </c>
      <c r="AG103" s="62">
        <f t="shared" si="29"/>
        <v>351266.85000000015</v>
      </c>
      <c r="AH103" s="62">
        <f t="shared" si="46"/>
        <v>127733.14999999985</v>
      </c>
      <c r="AI103" s="63"/>
      <c r="AJ103" s="63"/>
      <c r="AK103" s="62"/>
      <c r="AL103" s="60">
        <v>2128.89</v>
      </c>
      <c r="AM103" s="60">
        <v>2128.89</v>
      </c>
      <c r="AN103" s="60">
        <v>2128.89</v>
      </c>
      <c r="AO103" s="60">
        <v>2128.89</v>
      </c>
      <c r="AP103" s="60">
        <v>2128.89</v>
      </c>
      <c r="AQ103" s="60">
        <v>2128.89</v>
      </c>
      <c r="AR103" s="61">
        <f t="shared" si="43"/>
        <v>12773.339999999998</v>
      </c>
      <c r="AS103" s="60">
        <v>2128.89</v>
      </c>
      <c r="AT103" s="60">
        <v>2128.89</v>
      </c>
      <c r="AU103" s="60">
        <v>2128.89</v>
      </c>
      <c r="AV103" s="60">
        <v>2128.89</v>
      </c>
      <c r="AW103" s="60">
        <v>2128.89</v>
      </c>
      <c r="AX103" s="60">
        <v>2128.89</v>
      </c>
      <c r="AY103" s="61">
        <f t="shared" si="44"/>
        <v>12773.339999999998</v>
      </c>
      <c r="AZ103" s="56">
        <f t="shared" si="39"/>
        <v>25546.679999999997</v>
      </c>
      <c r="BA103" s="62">
        <f t="shared" si="47"/>
        <v>479000</v>
      </c>
      <c r="BB103" s="62">
        <f t="shared" si="45"/>
        <v>376813.53000000032</v>
      </c>
      <c r="BC103" s="62">
        <f t="shared" si="48"/>
        <v>102186.46999999968</v>
      </c>
      <c r="BD103" s="63"/>
      <c r="BE103" s="57"/>
      <c r="BF103" s="35" t="e">
        <f>VLOOKUP(A:A,'2023-2027'!A:G,1,+FALSE)</f>
        <v>#N/A</v>
      </c>
      <c r="BG103" s="7" t="e">
        <f t="shared" si="51"/>
        <v>#N/A</v>
      </c>
      <c r="BH103" s="35"/>
    </row>
    <row r="104" spans="1:60" ht="24" hidden="1" customHeight="1" outlineLevel="1" x14ac:dyDescent="0.2">
      <c r="A104" s="59" t="s">
        <v>384</v>
      </c>
      <c r="B104" s="59" t="s">
        <v>77</v>
      </c>
      <c r="C104" s="59" t="s">
        <v>81</v>
      </c>
      <c r="D104" s="65" t="s">
        <v>385</v>
      </c>
      <c r="E104" s="59" t="s">
        <v>260</v>
      </c>
      <c r="F104" s="60">
        <v>755340</v>
      </c>
      <c r="G104" s="60">
        <v>473346.87</v>
      </c>
      <c r="H104" s="60">
        <v>281993.13</v>
      </c>
      <c r="I104" s="59"/>
      <c r="J104" s="60">
        <v>40284.720000000001</v>
      </c>
      <c r="K104" s="59"/>
      <c r="L104" s="59"/>
      <c r="M104" s="60">
        <v>755340</v>
      </c>
      <c r="N104" s="60">
        <v>513631.59</v>
      </c>
      <c r="O104" s="60">
        <v>241708.41</v>
      </c>
      <c r="P104" s="55"/>
      <c r="Q104" s="55"/>
      <c r="R104" s="61">
        <f t="shared" si="40"/>
        <v>3357.06</v>
      </c>
      <c r="S104" s="60">
        <v>3357.06</v>
      </c>
      <c r="T104" s="60">
        <v>3357.06</v>
      </c>
      <c r="U104" s="60">
        <v>3357.06</v>
      </c>
      <c r="V104" s="60">
        <v>3357.06</v>
      </c>
      <c r="W104" s="60">
        <v>3357.06</v>
      </c>
      <c r="X104" s="61">
        <f t="shared" si="41"/>
        <v>20142.36</v>
      </c>
      <c r="Y104" s="60">
        <v>3357.06</v>
      </c>
      <c r="Z104" s="60">
        <v>3357.06</v>
      </c>
      <c r="AA104" s="60">
        <v>3357.06</v>
      </c>
      <c r="AB104" s="60">
        <v>3357.06</v>
      </c>
      <c r="AC104" s="60">
        <v>3357.06</v>
      </c>
      <c r="AD104" s="60">
        <v>3357.06</v>
      </c>
      <c r="AE104" s="61">
        <f t="shared" si="42"/>
        <v>20142.36</v>
      </c>
      <c r="AF104" s="62">
        <f t="shared" si="28"/>
        <v>755340</v>
      </c>
      <c r="AG104" s="62">
        <f t="shared" si="29"/>
        <v>553916.31000000052</v>
      </c>
      <c r="AH104" s="62">
        <f t="shared" si="46"/>
        <v>201423.68999999948</v>
      </c>
      <c r="AI104" s="63"/>
      <c r="AJ104" s="63"/>
      <c r="AK104" s="62"/>
      <c r="AL104" s="60">
        <v>3357.06</v>
      </c>
      <c r="AM104" s="60">
        <v>3357.06</v>
      </c>
      <c r="AN104" s="60">
        <v>3357.06</v>
      </c>
      <c r="AO104" s="60">
        <v>3357.06</v>
      </c>
      <c r="AP104" s="60">
        <v>3357.06</v>
      </c>
      <c r="AQ104" s="60">
        <v>3357.06</v>
      </c>
      <c r="AR104" s="61">
        <f t="shared" si="43"/>
        <v>20142.36</v>
      </c>
      <c r="AS104" s="60">
        <v>3357.06</v>
      </c>
      <c r="AT104" s="60">
        <v>3357.06</v>
      </c>
      <c r="AU104" s="60">
        <v>3357.06</v>
      </c>
      <c r="AV104" s="60">
        <v>3357.06</v>
      </c>
      <c r="AW104" s="60">
        <v>3357.06</v>
      </c>
      <c r="AX104" s="60">
        <v>3357.06</v>
      </c>
      <c r="AY104" s="61">
        <f t="shared" si="44"/>
        <v>20142.36</v>
      </c>
      <c r="AZ104" s="56">
        <f t="shared" si="39"/>
        <v>40284.720000000001</v>
      </c>
      <c r="BA104" s="62">
        <f t="shared" si="47"/>
        <v>755340</v>
      </c>
      <c r="BB104" s="62">
        <f t="shared" si="45"/>
        <v>594201.03000000119</v>
      </c>
      <c r="BC104" s="62">
        <f t="shared" si="48"/>
        <v>161138.96999999881</v>
      </c>
      <c r="BD104" s="63"/>
      <c r="BE104" s="57"/>
      <c r="BF104" s="35" t="e">
        <f>VLOOKUP(A:A,'2023-2027'!A:G,1,+FALSE)</f>
        <v>#N/A</v>
      </c>
      <c r="BG104" s="7" t="e">
        <f t="shared" si="51"/>
        <v>#N/A</v>
      </c>
      <c r="BH104" s="35"/>
    </row>
    <row r="105" spans="1:60" ht="24" hidden="1" customHeight="1" outlineLevel="1" x14ac:dyDescent="0.2">
      <c r="A105" s="59" t="s">
        <v>386</v>
      </c>
      <c r="B105" s="59" t="s">
        <v>77</v>
      </c>
      <c r="C105" s="59" t="s">
        <v>81</v>
      </c>
      <c r="D105" s="65" t="s">
        <v>387</v>
      </c>
      <c r="E105" s="59" t="s">
        <v>260</v>
      </c>
      <c r="F105" s="60">
        <v>755340</v>
      </c>
      <c r="G105" s="60">
        <v>473346.87</v>
      </c>
      <c r="H105" s="60">
        <v>281993.13</v>
      </c>
      <c r="I105" s="59"/>
      <c r="J105" s="60">
        <v>40284.720000000001</v>
      </c>
      <c r="K105" s="59"/>
      <c r="L105" s="59"/>
      <c r="M105" s="60">
        <v>755340</v>
      </c>
      <c r="N105" s="60">
        <v>513631.59</v>
      </c>
      <c r="O105" s="60">
        <v>241708.41</v>
      </c>
      <c r="P105" s="55"/>
      <c r="Q105" s="55"/>
      <c r="R105" s="61">
        <f t="shared" si="40"/>
        <v>3357.06</v>
      </c>
      <c r="S105" s="60">
        <v>3357.06</v>
      </c>
      <c r="T105" s="60">
        <v>3357.06</v>
      </c>
      <c r="U105" s="60">
        <v>3357.06</v>
      </c>
      <c r="V105" s="60">
        <v>3357.06</v>
      </c>
      <c r="W105" s="60">
        <v>3357.06</v>
      </c>
      <c r="X105" s="61">
        <f t="shared" si="41"/>
        <v>20142.36</v>
      </c>
      <c r="Y105" s="60">
        <v>3357.06</v>
      </c>
      <c r="Z105" s="60">
        <v>3357.06</v>
      </c>
      <c r="AA105" s="60">
        <v>3357.06</v>
      </c>
      <c r="AB105" s="60">
        <v>3357.06</v>
      </c>
      <c r="AC105" s="60">
        <v>3357.06</v>
      </c>
      <c r="AD105" s="60">
        <v>3357.06</v>
      </c>
      <c r="AE105" s="61">
        <f t="shared" si="42"/>
        <v>20142.36</v>
      </c>
      <c r="AF105" s="62">
        <f t="shared" si="28"/>
        <v>755340</v>
      </c>
      <c r="AG105" s="62">
        <f t="shared" si="29"/>
        <v>553916.31000000052</v>
      </c>
      <c r="AH105" s="62">
        <f t="shared" si="46"/>
        <v>201423.68999999948</v>
      </c>
      <c r="AI105" s="63"/>
      <c r="AJ105" s="63"/>
      <c r="AK105" s="62"/>
      <c r="AL105" s="60">
        <v>3357.06</v>
      </c>
      <c r="AM105" s="60">
        <v>3357.06</v>
      </c>
      <c r="AN105" s="60">
        <v>3357.06</v>
      </c>
      <c r="AO105" s="60">
        <v>3357.06</v>
      </c>
      <c r="AP105" s="60">
        <v>3357.06</v>
      </c>
      <c r="AQ105" s="60">
        <v>3357.06</v>
      </c>
      <c r="AR105" s="61">
        <f t="shared" si="43"/>
        <v>20142.36</v>
      </c>
      <c r="AS105" s="60">
        <v>3357.06</v>
      </c>
      <c r="AT105" s="60">
        <v>3357.06</v>
      </c>
      <c r="AU105" s="60">
        <v>3357.06</v>
      </c>
      <c r="AV105" s="60">
        <v>3357.06</v>
      </c>
      <c r="AW105" s="60">
        <v>3357.06</v>
      </c>
      <c r="AX105" s="60">
        <v>3357.06</v>
      </c>
      <c r="AY105" s="61">
        <f t="shared" si="44"/>
        <v>20142.36</v>
      </c>
      <c r="AZ105" s="56">
        <f t="shared" si="39"/>
        <v>40284.720000000001</v>
      </c>
      <c r="BA105" s="62">
        <f t="shared" si="47"/>
        <v>755340</v>
      </c>
      <c r="BB105" s="62">
        <f t="shared" si="45"/>
        <v>594201.03000000119</v>
      </c>
      <c r="BC105" s="62">
        <f t="shared" si="48"/>
        <v>161138.96999999881</v>
      </c>
      <c r="BD105" s="63"/>
      <c r="BE105" s="57"/>
      <c r="BF105" s="35" t="e">
        <f>VLOOKUP(A:A,'2023-2027'!A:G,1,+FALSE)</f>
        <v>#N/A</v>
      </c>
      <c r="BG105" s="7" t="e">
        <f t="shared" si="51"/>
        <v>#N/A</v>
      </c>
      <c r="BH105" s="35"/>
    </row>
    <row r="106" spans="1:60" ht="24" hidden="1" customHeight="1" outlineLevel="1" x14ac:dyDescent="0.2">
      <c r="A106" s="59" t="s">
        <v>388</v>
      </c>
      <c r="B106" s="59" t="s">
        <v>77</v>
      </c>
      <c r="C106" s="59" t="s">
        <v>81</v>
      </c>
      <c r="D106" s="65" t="s">
        <v>389</v>
      </c>
      <c r="E106" s="59" t="s">
        <v>260</v>
      </c>
      <c r="F106" s="60">
        <v>755340</v>
      </c>
      <c r="G106" s="60">
        <v>473346.87</v>
      </c>
      <c r="H106" s="60">
        <v>281993.13</v>
      </c>
      <c r="I106" s="59"/>
      <c r="J106" s="60">
        <v>40284.720000000001</v>
      </c>
      <c r="K106" s="59"/>
      <c r="L106" s="59"/>
      <c r="M106" s="60">
        <v>755340</v>
      </c>
      <c r="N106" s="60">
        <v>513631.59</v>
      </c>
      <c r="O106" s="60">
        <v>241708.41</v>
      </c>
      <c r="P106" s="55"/>
      <c r="Q106" s="55"/>
      <c r="R106" s="61">
        <f t="shared" si="40"/>
        <v>3357.06</v>
      </c>
      <c r="S106" s="60">
        <v>3357.06</v>
      </c>
      <c r="T106" s="60">
        <v>3357.06</v>
      </c>
      <c r="U106" s="60">
        <v>3357.06</v>
      </c>
      <c r="V106" s="60">
        <v>3357.06</v>
      </c>
      <c r="W106" s="60">
        <v>3357.06</v>
      </c>
      <c r="X106" s="61">
        <f t="shared" si="41"/>
        <v>20142.36</v>
      </c>
      <c r="Y106" s="60">
        <v>3357.06</v>
      </c>
      <c r="Z106" s="60">
        <v>3357.06</v>
      </c>
      <c r="AA106" s="60">
        <v>3357.06</v>
      </c>
      <c r="AB106" s="60">
        <v>3357.06</v>
      </c>
      <c r="AC106" s="60">
        <v>3357.06</v>
      </c>
      <c r="AD106" s="60">
        <v>3357.06</v>
      </c>
      <c r="AE106" s="61">
        <f t="shared" si="42"/>
        <v>20142.36</v>
      </c>
      <c r="AF106" s="62">
        <f t="shared" si="28"/>
        <v>755340</v>
      </c>
      <c r="AG106" s="62">
        <f t="shared" si="29"/>
        <v>553916.31000000052</v>
      </c>
      <c r="AH106" s="62">
        <f t="shared" si="46"/>
        <v>201423.68999999948</v>
      </c>
      <c r="AI106" s="63"/>
      <c r="AJ106" s="63"/>
      <c r="AK106" s="62"/>
      <c r="AL106" s="60">
        <v>3357.06</v>
      </c>
      <c r="AM106" s="60">
        <v>3357.06</v>
      </c>
      <c r="AN106" s="60">
        <v>3357.06</v>
      </c>
      <c r="AO106" s="60">
        <v>3357.06</v>
      </c>
      <c r="AP106" s="60">
        <v>3357.06</v>
      </c>
      <c r="AQ106" s="60">
        <v>3357.06</v>
      </c>
      <c r="AR106" s="61">
        <f t="shared" si="43"/>
        <v>20142.36</v>
      </c>
      <c r="AS106" s="60">
        <v>3357.06</v>
      </c>
      <c r="AT106" s="60">
        <v>3357.06</v>
      </c>
      <c r="AU106" s="60">
        <v>3357.06</v>
      </c>
      <c r="AV106" s="60">
        <v>3357.06</v>
      </c>
      <c r="AW106" s="60">
        <v>3357.06</v>
      </c>
      <c r="AX106" s="60">
        <v>3357.06</v>
      </c>
      <c r="AY106" s="61">
        <f t="shared" si="44"/>
        <v>20142.36</v>
      </c>
      <c r="AZ106" s="56">
        <f t="shared" si="39"/>
        <v>40284.720000000001</v>
      </c>
      <c r="BA106" s="62">
        <f t="shared" si="47"/>
        <v>755340</v>
      </c>
      <c r="BB106" s="62">
        <f t="shared" si="45"/>
        <v>594201.03000000119</v>
      </c>
      <c r="BC106" s="62">
        <f t="shared" si="48"/>
        <v>161138.96999999881</v>
      </c>
      <c r="BD106" s="63"/>
      <c r="BE106" s="57"/>
      <c r="BF106" s="35" t="e">
        <f>VLOOKUP(A:A,'2023-2027'!A:G,1,+FALSE)</f>
        <v>#N/A</v>
      </c>
      <c r="BG106" s="7" t="e">
        <f t="shared" si="51"/>
        <v>#N/A</v>
      </c>
      <c r="BH106" s="35"/>
    </row>
    <row r="107" spans="1:60" ht="12" hidden="1" customHeight="1" outlineLevel="1" x14ac:dyDescent="0.2">
      <c r="A107" s="59" t="s">
        <v>390</v>
      </c>
      <c r="B107" s="59" t="s">
        <v>77</v>
      </c>
      <c r="C107" s="59" t="s">
        <v>81</v>
      </c>
      <c r="D107" s="66" t="s">
        <v>391</v>
      </c>
      <c r="E107" s="59" t="s">
        <v>229</v>
      </c>
      <c r="F107" s="60">
        <v>55891.5</v>
      </c>
      <c r="G107" s="60">
        <v>47400</v>
      </c>
      <c r="H107" s="60">
        <v>8491.5</v>
      </c>
      <c r="I107" s="59"/>
      <c r="J107" s="60">
        <v>2369.7600000000002</v>
      </c>
      <c r="K107" s="59"/>
      <c r="L107" s="59"/>
      <c r="M107" s="60">
        <v>55891.5</v>
      </c>
      <c r="N107" s="60">
        <v>49769.760000000002</v>
      </c>
      <c r="O107" s="60">
        <v>6121.74</v>
      </c>
      <c r="P107" s="55">
        <v>7306.62</v>
      </c>
      <c r="Q107" s="55">
        <f>P107*2.2%</f>
        <v>160.74564000000001</v>
      </c>
      <c r="R107" s="61">
        <f t="shared" si="40"/>
        <v>197.48000000000002</v>
      </c>
      <c r="S107" s="60">
        <v>197.48</v>
      </c>
      <c r="T107" s="60">
        <v>197.48</v>
      </c>
      <c r="U107" s="60">
        <v>197.48</v>
      </c>
      <c r="V107" s="60">
        <v>197.48</v>
      </c>
      <c r="W107" s="60">
        <v>197.48</v>
      </c>
      <c r="X107" s="61">
        <f t="shared" si="41"/>
        <v>1184.8800000000001</v>
      </c>
      <c r="Y107" s="60">
        <v>197.48</v>
      </c>
      <c r="Z107" s="60">
        <v>197.48</v>
      </c>
      <c r="AA107" s="60">
        <v>197.48</v>
      </c>
      <c r="AB107" s="60">
        <v>197.48</v>
      </c>
      <c r="AC107" s="60">
        <v>197.48</v>
      </c>
      <c r="AD107" s="60">
        <v>197.48</v>
      </c>
      <c r="AE107" s="61">
        <f t="shared" si="42"/>
        <v>1184.8799999999999</v>
      </c>
      <c r="AF107" s="62">
        <f t="shared" si="28"/>
        <v>55891.5</v>
      </c>
      <c r="AG107" s="62">
        <f t="shared" si="29"/>
        <v>52139.52000000004</v>
      </c>
      <c r="AH107" s="62">
        <f t="shared" si="46"/>
        <v>3751.9799999999595</v>
      </c>
      <c r="AI107" s="63">
        <v>4936.8600000000024</v>
      </c>
      <c r="AJ107" s="63">
        <f t="shared" ref="AJ107" si="54">AI107*2.2%</f>
        <v>108.61092000000006</v>
      </c>
      <c r="AK107" s="62"/>
      <c r="AL107" s="60">
        <v>197.48</v>
      </c>
      <c r="AM107" s="60">
        <v>197.48</v>
      </c>
      <c r="AN107" s="60">
        <v>197.48</v>
      </c>
      <c r="AO107" s="60">
        <v>197.48</v>
      </c>
      <c r="AP107" s="60">
        <v>197.48</v>
      </c>
      <c r="AQ107" s="60">
        <v>197.48</v>
      </c>
      <c r="AR107" s="61">
        <f t="shared" si="43"/>
        <v>1184.8799999999999</v>
      </c>
      <c r="AS107" s="60">
        <v>197.48</v>
      </c>
      <c r="AT107" s="60">
        <v>197.48</v>
      </c>
      <c r="AU107" s="60">
        <v>197.48</v>
      </c>
      <c r="AV107" s="60">
        <v>197.48</v>
      </c>
      <c r="AW107" s="60">
        <v>197.48</v>
      </c>
      <c r="AX107" s="60">
        <v>197.48</v>
      </c>
      <c r="AY107" s="61">
        <f t="shared" si="44"/>
        <v>1184.8799999999999</v>
      </c>
      <c r="AZ107" s="56">
        <f t="shared" si="39"/>
        <v>2369.7599999999998</v>
      </c>
      <c r="BA107" s="62">
        <f t="shared" si="47"/>
        <v>55891.5</v>
      </c>
      <c r="BB107" s="62">
        <f t="shared" si="45"/>
        <v>54509.280000000079</v>
      </c>
      <c r="BC107" s="62">
        <f t="shared" si="48"/>
        <v>1382.2199999999211</v>
      </c>
      <c r="BD107" s="63">
        <v>2567.1000000000076</v>
      </c>
      <c r="BE107" s="57">
        <f t="shared" ref="BE107" si="55">BD107*2.2%</f>
        <v>56.476200000000176</v>
      </c>
      <c r="BF107" s="35" t="str">
        <f>VLOOKUP(A:A,'2023-2027'!A:G,1,+FALSE)</f>
        <v>Пристройка к цеху ГТУ</v>
      </c>
      <c r="BG107" s="7" t="b">
        <f t="shared" si="51"/>
        <v>1</v>
      </c>
      <c r="BH107" s="35">
        <f>VLOOKUP(A:A,'2023-2027'!A:AT,43,+FALSE)</f>
        <v>232.88000000000008</v>
      </c>
    </row>
    <row r="108" spans="1:60" ht="24" hidden="1" customHeight="1" outlineLevel="1" x14ac:dyDescent="0.2">
      <c r="A108" s="59" t="s">
        <v>392</v>
      </c>
      <c r="B108" s="59" t="s">
        <v>77</v>
      </c>
      <c r="C108" s="59" t="s">
        <v>81</v>
      </c>
      <c r="D108" s="65" t="s">
        <v>393</v>
      </c>
      <c r="E108" s="59" t="s">
        <v>394</v>
      </c>
      <c r="F108" s="60">
        <v>535000</v>
      </c>
      <c r="G108" s="60">
        <v>359590.5</v>
      </c>
      <c r="H108" s="60">
        <v>175409.5</v>
      </c>
      <c r="I108" s="59"/>
      <c r="J108" s="60">
        <v>35081.879999999997</v>
      </c>
      <c r="K108" s="59"/>
      <c r="L108" s="59"/>
      <c r="M108" s="60">
        <v>535000</v>
      </c>
      <c r="N108" s="60">
        <v>394672.38</v>
      </c>
      <c r="O108" s="60">
        <v>140327.62</v>
      </c>
      <c r="P108" s="55"/>
      <c r="Q108" s="55"/>
      <c r="R108" s="61">
        <f t="shared" si="40"/>
        <v>2923.49</v>
      </c>
      <c r="S108" s="60">
        <v>2923.49</v>
      </c>
      <c r="T108" s="60">
        <v>2923.49</v>
      </c>
      <c r="U108" s="60">
        <v>2923.49</v>
      </c>
      <c r="V108" s="60">
        <v>2923.49</v>
      </c>
      <c r="W108" s="60">
        <v>2923.49</v>
      </c>
      <c r="X108" s="61">
        <f t="shared" si="41"/>
        <v>17540.939999999999</v>
      </c>
      <c r="Y108" s="60">
        <v>2923.49</v>
      </c>
      <c r="Z108" s="60">
        <v>2923.49</v>
      </c>
      <c r="AA108" s="60">
        <v>2923.49</v>
      </c>
      <c r="AB108" s="60">
        <v>2923.49</v>
      </c>
      <c r="AC108" s="60">
        <v>2923.49</v>
      </c>
      <c r="AD108" s="60">
        <v>2923.49</v>
      </c>
      <c r="AE108" s="61">
        <f t="shared" si="42"/>
        <v>17540.939999999999</v>
      </c>
      <c r="AF108" s="62">
        <f t="shared" si="28"/>
        <v>535000</v>
      </c>
      <c r="AG108" s="62">
        <f t="shared" si="29"/>
        <v>429754.25999999989</v>
      </c>
      <c r="AH108" s="62">
        <f t="shared" si="46"/>
        <v>105245.74000000011</v>
      </c>
      <c r="AI108" s="63"/>
      <c r="AJ108" s="63"/>
      <c r="AK108" s="62"/>
      <c r="AL108" s="60">
        <v>2923.49</v>
      </c>
      <c r="AM108" s="60">
        <v>2923.49</v>
      </c>
      <c r="AN108" s="60">
        <v>2923.49</v>
      </c>
      <c r="AO108" s="60">
        <v>2923.49</v>
      </c>
      <c r="AP108" s="60">
        <v>2923.49</v>
      </c>
      <c r="AQ108" s="60">
        <v>2923.49</v>
      </c>
      <c r="AR108" s="61">
        <f t="shared" si="43"/>
        <v>17540.939999999999</v>
      </c>
      <c r="AS108" s="60">
        <v>2923.49</v>
      </c>
      <c r="AT108" s="60">
        <v>2923.49</v>
      </c>
      <c r="AU108" s="60">
        <v>2923.49</v>
      </c>
      <c r="AV108" s="60">
        <v>2923.49</v>
      </c>
      <c r="AW108" s="60">
        <v>2923.49</v>
      </c>
      <c r="AX108" s="60">
        <v>2923.49</v>
      </c>
      <c r="AY108" s="61">
        <f t="shared" si="44"/>
        <v>17540.939999999999</v>
      </c>
      <c r="AZ108" s="56">
        <f t="shared" si="39"/>
        <v>35081.879999999997</v>
      </c>
      <c r="BA108" s="62">
        <f t="shared" si="47"/>
        <v>535000</v>
      </c>
      <c r="BB108" s="62">
        <f t="shared" si="45"/>
        <v>464836.13999999978</v>
      </c>
      <c r="BC108" s="62">
        <f t="shared" si="48"/>
        <v>70163.860000000219</v>
      </c>
      <c r="BD108" s="63"/>
      <c r="BE108" s="57"/>
      <c r="BF108" s="35" t="e">
        <f>VLOOKUP(A:A,'2023-2027'!A:G,1,+FALSE)</f>
        <v>#N/A</v>
      </c>
      <c r="BG108" s="7" t="e">
        <f t="shared" si="51"/>
        <v>#N/A</v>
      </c>
      <c r="BH108" s="35"/>
    </row>
    <row r="109" spans="1:60" ht="24" hidden="1" customHeight="1" outlineLevel="1" x14ac:dyDescent="0.2">
      <c r="A109" s="59" t="s">
        <v>395</v>
      </c>
      <c r="B109" s="59" t="s">
        <v>77</v>
      </c>
      <c r="C109" s="59" t="s">
        <v>81</v>
      </c>
      <c r="D109" s="65" t="s">
        <v>396</v>
      </c>
      <c r="E109" s="59" t="s">
        <v>394</v>
      </c>
      <c r="F109" s="60">
        <v>535000</v>
      </c>
      <c r="G109" s="60">
        <v>359590.5</v>
      </c>
      <c r="H109" s="60">
        <v>175409.5</v>
      </c>
      <c r="I109" s="59"/>
      <c r="J109" s="60">
        <v>35081.879999999997</v>
      </c>
      <c r="K109" s="59"/>
      <c r="L109" s="59"/>
      <c r="M109" s="60">
        <v>535000</v>
      </c>
      <c r="N109" s="60">
        <v>394672.38</v>
      </c>
      <c r="O109" s="60">
        <v>140327.62</v>
      </c>
      <c r="P109" s="55"/>
      <c r="Q109" s="55"/>
      <c r="R109" s="61">
        <f t="shared" si="40"/>
        <v>2923.49</v>
      </c>
      <c r="S109" s="60">
        <v>2923.49</v>
      </c>
      <c r="T109" s="60">
        <v>2923.49</v>
      </c>
      <c r="U109" s="60">
        <v>2923.49</v>
      </c>
      <c r="V109" s="60">
        <v>2923.49</v>
      </c>
      <c r="W109" s="60">
        <v>2923.49</v>
      </c>
      <c r="X109" s="61">
        <f t="shared" si="41"/>
        <v>17540.939999999999</v>
      </c>
      <c r="Y109" s="60">
        <v>2923.49</v>
      </c>
      <c r="Z109" s="60">
        <v>2923.49</v>
      </c>
      <c r="AA109" s="60">
        <v>2923.49</v>
      </c>
      <c r="AB109" s="60">
        <v>2923.49</v>
      </c>
      <c r="AC109" s="60">
        <v>2923.49</v>
      </c>
      <c r="AD109" s="60">
        <v>2923.49</v>
      </c>
      <c r="AE109" s="61">
        <f t="shared" si="42"/>
        <v>17540.939999999999</v>
      </c>
      <c r="AF109" s="62">
        <f t="shared" si="28"/>
        <v>535000</v>
      </c>
      <c r="AG109" s="62">
        <f t="shared" si="29"/>
        <v>429754.25999999989</v>
      </c>
      <c r="AH109" s="62">
        <f t="shared" si="46"/>
        <v>105245.74000000011</v>
      </c>
      <c r="AI109" s="63"/>
      <c r="AJ109" s="63"/>
      <c r="AK109" s="62"/>
      <c r="AL109" s="60">
        <v>2923.49</v>
      </c>
      <c r="AM109" s="60">
        <v>2923.49</v>
      </c>
      <c r="AN109" s="60">
        <v>2923.49</v>
      </c>
      <c r="AO109" s="60">
        <v>2923.49</v>
      </c>
      <c r="AP109" s="60">
        <v>2923.49</v>
      </c>
      <c r="AQ109" s="60">
        <v>2923.49</v>
      </c>
      <c r="AR109" s="61">
        <f t="shared" si="43"/>
        <v>17540.939999999999</v>
      </c>
      <c r="AS109" s="60">
        <v>2923.49</v>
      </c>
      <c r="AT109" s="60">
        <v>2923.49</v>
      </c>
      <c r="AU109" s="60">
        <v>2923.49</v>
      </c>
      <c r="AV109" s="60">
        <v>2923.49</v>
      </c>
      <c r="AW109" s="60">
        <v>2923.49</v>
      </c>
      <c r="AX109" s="60">
        <v>2923.49</v>
      </c>
      <c r="AY109" s="61">
        <f t="shared" si="44"/>
        <v>17540.939999999999</v>
      </c>
      <c r="AZ109" s="56">
        <f t="shared" si="39"/>
        <v>35081.879999999997</v>
      </c>
      <c r="BA109" s="62">
        <f t="shared" si="47"/>
        <v>535000</v>
      </c>
      <c r="BB109" s="62">
        <f t="shared" si="45"/>
        <v>464836.13999999978</v>
      </c>
      <c r="BC109" s="62">
        <f t="shared" si="48"/>
        <v>70163.860000000219</v>
      </c>
      <c r="BD109" s="63"/>
      <c r="BE109" s="57"/>
      <c r="BF109" s="35" t="e">
        <f>VLOOKUP(A:A,'2023-2027'!A:G,1,+FALSE)</f>
        <v>#N/A</v>
      </c>
      <c r="BG109" s="7" t="e">
        <f t="shared" si="51"/>
        <v>#N/A</v>
      </c>
      <c r="BH109" s="35"/>
    </row>
    <row r="110" spans="1:60" ht="12" hidden="1" customHeight="1" outlineLevel="1" x14ac:dyDescent="0.2">
      <c r="A110" s="59" t="s">
        <v>397</v>
      </c>
      <c r="B110" s="59" t="s">
        <v>77</v>
      </c>
      <c r="C110" s="59" t="s">
        <v>81</v>
      </c>
      <c r="D110" s="66" t="s">
        <v>398</v>
      </c>
      <c r="E110" s="59" t="s">
        <v>399</v>
      </c>
      <c r="F110" s="60">
        <v>182797.25</v>
      </c>
      <c r="G110" s="60">
        <v>120574.73</v>
      </c>
      <c r="H110" s="60">
        <v>62222.52</v>
      </c>
      <c r="I110" s="59"/>
      <c r="J110" s="60">
        <v>3098.16</v>
      </c>
      <c r="K110" s="59"/>
      <c r="L110" s="59"/>
      <c r="M110" s="60">
        <v>182797.25</v>
      </c>
      <c r="N110" s="60">
        <v>123672.89</v>
      </c>
      <c r="O110" s="60">
        <v>59124.36</v>
      </c>
      <c r="P110" s="55">
        <v>60673.440000000002</v>
      </c>
      <c r="Q110" s="55">
        <f>P110*2.2%</f>
        <v>1334.8156800000002</v>
      </c>
      <c r="R110" s="61">
        <f t="shared" si="40"/>
        <v>258.18</v>
      </c>
      <c r="S110" s="60">
        <v>258.18</v>
      </c>
      <c r="T110" s="60">
        <v>258.18</v>
      </c>
      <c r="U110" s="60">
        <v>258.18</v>
      </c>
      <c r="V110" s="60">
        <v>258.18</v>
      </c>
      <c r="W110" s="60">
        <v>258.18</v>
      </c>
      <c r="X110" s="61">
        <f t="shared" si="41"/>
        <v>1549.0800000000002</v>
      </c>
      <c r="Y110" s="60">
        <v>258.18</v>
      </c>
      <c r="Z110" s="60">
        <v>258.18</v>
      </c>
      <c r="AA110" s="60">
        <v>258.18</v>
      </c>
      <c r="AB110" s="60">
        <v>258.18</v>
      </c>
      <c r="AC110" s="60">
        <v>258.18</v>
      </c>
      <c r="AD110" s="60">
        <v>258.18</v>
      </c>
      <c r="AE110" s="61">
        <f t="shared" si="42"/>
        <v>1549.0800000000002</v>
      </c>
      <c r="AF110" s="62">
        <f t="shared" si="28"/>
        <v>182797.25</v>
      </c>
      <c r="AG110" s="62">
        <f t="shared" si="29"/>
        <v>126771.04999999992</v>
      </c>
      <c r="AH110" s="62">
        <f t="shared" si="46"/>
        <v>56026.200000000084</v>
      </c>
      <c r="AI110" s="63">
        <v>57575.28</v>
      </c>
      <c r="AJ110" s="63">
        <f t="shared" ref="AJ110" si="56">AI110*2.2%</f>
        <v>1266.65616</v>
      </c>
      <c r="AK110" s="62"/>
      <c r="AL110" s="60">
        <v>258.18</v>
      </c>
      <c r="AM110" s="60">
        <v>258.18</v>
      </c>
      <c r="AN110" s="60">
        <v>258.18</v>
      </c>
      <c r="AO110" s="60">
        <v>258.18</v>
      </c>
      <c r="AP110" s="60">
        <v>258.18</v>
      </c>
      <c r="AQ110" s="60">
        <v>258.18</v>
      </c>
      <c r="AR110" s="61">
        <f t="shared" si="43"/>
        <v>1549.0800000000002</v>
      </c>
      <c r="AS110" s="60">
        <v>258.18</v>
      </c>
      <c r="AT110" s="60">
        <v>258.18</v>
      </c>
      <c r="AU110" s="60">
        <v>258.18</v>
      </c>
      <c r="AV110" s="60">
        <v>258.18</v>
      </c>
      <c r="AW110" s="60">
        <v>258.18</v>
      </c>
      <c r="AX110" s="60">
        <v>258.18</v>
      </c>
      <c r="AY110" s="61">
        <f t="shared" si="44"/>
        <v>1549.0800000000002</v>
      </c>
      <c r="AZ110" s="56">
        <f t="shared" si="39"/>
        <v>3098.1600000000003</v>
      </c>
      <c r="BA110" s="62">
        <f t="shared" si="47"/>
        <v>182797.25</v>
      </c>
      <c r="BB110" s="62">
        <f t="shared" si="45"/>
        <v>129869.20999999983</v>
      </c>
      <c r="BC110" s="62">
        <f t="shared" si="48"/>
        <v>52928.040000000168</v>
      </c>
      <c r="BD110" s="63">
        <v>54477.120000000003</v>
      </c>
      <c r="BE110" s="57">
        <f t="shared" ref="BE110" si="57">BD110*2.2%</f>
        <v>1198.4966400000001</v>
      </c>
      <c r="BF110" s="35" t="str">
        <f>VLOOKUP(A:A,'2023-2027'!A:G,1,+FALSE)</f>
        <v>Пункт учета газа  1983г.</v>
      </c>
      <c r="BG110" s="7" t="b">
        <f t="shared" si="51"/>
        <v>1</v>
      </c>
      <c r="BH110" s="35">
        <f>VLOOKUP(A:A,'2023-2027'!A:AT,43,+FALSE)</f>
        <v>550.35</v>
      </c>
    </row>
    <row r="111" spans="1:60" ht="12" hidden="1" customHeight="1" outlineLevel="1" x14ac:dyDescent="0.2">
      <c r="A111" s="59" t="s">
        <v>400</v>
      </c>
      <c r="B111" s="59" t="s">
        <v>77</v>
      </c>
      <c r="C111" s="59" t="s">
        <v>81</v>
      </c>
      <c r="D111" s="65" t="s">
        <v>401</v>
      </c>
      <c r="E111" s="59" t="s">
        <v>260</v>
      </c>
      <c r="F111" s="60">
        <v>1081000</v>
      </c>
      <c r="G111" s="60">
        <v>677426.04</v>
      </c>
      <c r="H111" s="60">
        <v>403573.96</v>
      </c>
      <c r="I111" s="59"/>
      <c r="J111" s="60">
        <v>57653.4</v>
      </c>
      <c r="K111" s="59"/>
      <c r="L111" s="59"/>
      <c r="M111" s="60">
        <v>1081000</v>
      </c>
      <c r="N111" s="60">
        <v>735079.44</v>
      </c>
      <c r="O111" s="60">
        <v>345920.56</v>
      </c>
      <c r="P111" s="55"/>
      <c r="Q111" s="55"/>
      <c r="R111" s="61">
        <f t="shared" si="40"/>
        <v>4804.45</v>
      </c>
      <c r="S111" s="60">
        <v>4804.45</v>
      </c>
      <c r="T111" s="60">
        <v>4804.45</v>
      </c>
      <c r="U111" s="60">
        <v>4804.45</v>
      </c>
      <c r="V111" s="60">
        <v>4804.45</v>
      </c>
      <c r="W111" s="60">
        <v>4804.45</v>
      </c>
      <c r="X111" s="61">
        <f t="shared" si="41"/>
        <v>28826.7</v>
      </c>
      <c r="Y111" s="60">
        <v>4804.45</v>
      </c>
      <c r="Z111" s="60">
        <v>4804.45</v>
      </c>
      <c r="AA111" s="60">
        <v>4804.45</v>
      </c>
      <c r="AB111" s="60">
        <v>4804.45</v>
      </c>
      <c r="AC111" s="60">
        <v>4804.45</v>
      </c>
      <c r="AD111" s="60">
        <v>4804.45</v>
      </c>
      <c r="AE111" s="61">
        <f t="shared" si="42"/>
        <v>28826.7</v>
      </c>
      <c r="AF111" s="62">
        <f t="shared" si="28"/>
        <v>1081000</v>
      </c>
      <c r="AG111" s="62">
        <f t="shared" si="29"/>
        <v>792732.83999999939</v>
      </c>
      <c r="AH111" s="62">
        <f t="shared" si="46"/>
        <v>288267.16000000061</v>
      </c>
      <c r="AI111" s="63"/>
      <c r="AJ111" s="63"/>
      <c r="AK111" s="62"/>
      <c r="AL111" s="60">
        <v>4804.45</v>
      </c>
      <c r="AM111" s="60">
        <v>4804.45</v>
      </c>
      <c r="AN111" s="60">
        <v>4804.45</v>
      </c>
      <c r="AO111" s="60">
        <v>4804.45</v>
      </c>
      <c r="AP111" s="60">
        <v>4804.45</v>
      </c>
      <c r="AQ111" s="60">
        <v>4804.45</v>
      </c>
      <c r="AR111" s="61">
        <f t="shared" si="43"/>
        <v>28826.7</v>
      </c>
      <c r="AS111" s="60">
        <v>4804.45</v>
      </c>
      <c r="AT111" s="60">
        <v>4804.45</v>
      </c>
      <c r="AU111" s="60">
        <v>4804.45</v>
      </c>
      <c r="AV111" s="60">
        <v>4804.45</v>
      </c>
      <c r="AW111" s="60">
        <v>4804.45</v>
      </c>
      <c r="AX111" s="60">
        <v>4804.45</v>
      </c>
      <c r="AY111" s="61">
        <f t="shared" si="44"/>
        <v>28826.7</v>
      </c>
      <c r="AZ111" s="56">
        <f t="shared" si="39"/>
        <v>57653.4</v>
      </c>
      <c r="BA111" s="62">
        <f t="shared" si="47"/>
        <v>1081000</v>
      </c>
      <c r="BB111" s="62">
        <f t="shared" si="45"/>
        <v>850386.23999999883</v>
      </c>
      <c r="BC111" s="62">
        <f t="shared" si="48"/>
        <v>230613.76000000117</v>
      </c>
      <c r="BD111" s="63"/>
      <c r="BE111" s="57"/>
      <c r="BF111" s="35" t="e">
        <f>VLOOKUP(A:A,'2023-2027'!A:G,1,+FALSE)</f>
        <v>#N/A</v>
      </c>
      <c r="BG111" s="7" t="e">
        <f t="shared" si="51"/>
        <v>#N/A</v>
      </c>
      <c r="BH111" s="35"/>
    </row>
    <row r="112" spans="1:60" ht="24" hidden="1" customHeight="1" outlineLevel="1" x14ac:dyDescent="0.2">
      <c r="A112" s="59" t="s">
        <v>402</v>
      </c>
      <c r="B112" s="59" t="s">
        <v>77</v>
      </c>
      <c r="C112" s="59" t="s">
        <v>81</v>
      </c>
      <c r="D112" s="65" t="s">
        <v>403</v>
      </c>
      <c r="E112" s="59" t="s">
        <v>260</v>
      </c>
      <c r="F112" s="60">
        <v>3448000</v>
      </c>
      <c r="G112" s="60">
        <v>2160746.04</v>
      </c>
      <c r="H112" s="60">
        <v>1287253.96</v>
      </c>
      <c r="I112" s="59"/>
      <c r="J112" s="60">
        <v>183893.4</v>
      </c>
      <c r="K112" s="59"/>
      <c r="L112" s="59"/>
      <c r="M112" s="60">
        <v>3448000</v>
      </c>
      <c r="N112" s="60">
        <v>2344639.44</v>
      </c>
      <c r="O112" s="60">
        <v>1103360.56</v>
      </c>
      <c r="P112" s="55"/>
      <c r="Q112" s="55"/>
      <c r="R112" s="61">
        <f t="shared" si="40"/>
        <v>15324.449999999999</v>
      </c>
      <c r="S112" s="60">
        <v>15324.45</v>
      </c>
      <c r="T112" s="60">
        <v>15324.45</v>
      </c>
      <c r="U112" s="60">
        <v>15324.45</v>
      </c>
      <c r="V112" s="60">
        <v>15324.45</v>
      </c>
      <c r="W112" s="60">
        <v>15324.45</v>
      </c>
      <c r="X112" s="61">
        <f t="shared" si="41"/>
        <v>91946.7</v>
      </c>
      <c r="Y112" s="60">
        <v>15324.45</v>
      </c>
      <c r="Z112" s="60">
        <v>15324.45</v>
      </c>
      <c r="AA112" s="60">
        <v>15324.45</v>
      </c>
      <c r="AB112" s="60">
        <v>15324.45</v>
      </c>
      <c r="AC112" s="60">
        <v>15324.45</v>
      </c>
      <c r="AD112" s="60">
        <v>15324.45</v>
      </c>
      <c r="AE112" s="61">
        <f t="shared" si="42"/>
        <v>91946.7</v>
      </c>
      <c r="AF112" s="62">
        <f t="shared" si="28"/>
        <v>3448000</v>
      </c>
      <c r="AG112" s="62">
        <f t="shared" si="29"/>
        <v>2528532.8400000022</v>
      </c>
      <c r="AH112" s="62">
        <f t="shared" si="46"/>
        <v>919467.15999999782</v>
      </c>
      <c r="AI112" s="63"/>
      <c r="AJ112" s="63"/>
      <c r="AK112" s="62"/>
      <c r="AL112" s="60">
        <v>15324.45</v>
      </c>
      <c r="AM112" s="60">
        <v>15324.45</v>
      </c>
      <c r="AN112" s="60">
        <v>15324.45</v>
      </c>
      <c r="AO112" s="60">
        <v>15324.45</v>
      </c>
      <c r="AP112" s="60">
        <v>15324.45</v>
      </c>
      <c r="AQ112" s="60">
        <v>15324.45</v>
      </c>
      <c r="AR112" s="61">
        <f t="shared" si="43"/>
        <v>91946.7</v>
      </c>
      <c r="AS112" s="60">
        <v>15324.45</v>
      </c>
      <c r="AT112" s="60">
        <v>15324.45</v>
      </c>
      <c r="AU112" s="60">
        <v>15324.45</v>
      </c>
      <c r="AV112" s="60">
        <v>15324.45</v>
      </c>
      <c r="AW112" s="60">
        <v>15324.45</v>
      </c>
      <c r="AX112" s="60">
        <v>15324.45</v>
      </c>
      <c r="AY112" s="61">
        <f t="shared" si="44"/>
        <v>91946.7</v>
      </c>
      <c r="AZ112" s="56">
        <f t="shared" si="39"/>
        <v>183893.4</v>
      </c>
      <c r="BA112" s="62">
        <f t="shared" si="47"/>
        <v>3448000</v>
      </c>
      <c r="BB112" s="62">
        <f t="shared" si="45"/>
        <v>2712426.2400000044</v>
      </c>
      <c r="BC112" s="62">
        <f t="shared" si="48"/>
        <v>735573.75999999559</v>
      </c>
      <c r="BD112" s="63"/>
      <c r="BE112" s="57"/>
      <c r="BF112" s="35" t="e">
        <f>VLOOKUP(A:A,'2023-2027'!A:G,1,+FALSE)</f>
        <v>#N/A</v>
      </c>
      <c r="BG112" s="7" t="e">
        <f t="shared" si="51"/>
        <v>#N/A</v>
      </c>
      <c r="BH112" s="35"/>
    </row>
    <row r="113" spans="1:60" ht="12" hidden="1" customHeight="1" outlineLevel="1" x14ac:dyDescent="0.2">
      <c r="A113" s="59" t="s">
        <v>404</v>
      </c>
      <c r="B113" s="59" t="s">
        <v>77</v>
      </c>
      <c r="C113" s="59" t="s">
        <v>81</v>
      </c>
      <c r="D113" s="66" t="s">
        <v>405</v>
      </c>
      <c r="E113" s="59" t="s">
        <v>260</v>
      </c>
      <c r="F113" s="60">
        <v>310000</v>
      </c>
      <c r="G113" s="60">
        <v>242833.02</v>
      </c>
      <c r="H113" s="60">
        <v>67166.98</v>
      </c>
      <c r="I113" s="59"/>
      <c r="J113" s="60">
        <v>20666.759999999998</v>
      </c>
      <c r="K113" s="59"/>
      <c r="L113" s="59"/>
      <c r="M113" s="60">
        <v>310000</v>
      </c>
      <c r="N113" s="60">
        <v>263499.78000000003</v>
      </c>
      <c r="O113" s="60">
        <v>46500.22</v>
      </c>
      <c r="P113" s="55"/>
      <c r="Q113" s="55"/>
      <c r="R113" s="61">
        <f t="shared" si="40"/>
        <v>1722.2299999999998</v>
      </c>
      <c r="S113" s="60">
        <v>1722.23</v>
      </c>
      <c r="T113" s="60">
        <v>1722.23</v>
      </c>
      <c r="U113" s="60">
        <v>1722.23</v>
      </c>
      <c r="V113" s="60">
        <v>1722.23</v>
      </c>
      <c r="W113" s="60">
        <v>1722.23</v>
      </c>
      <c r="X113" s="61">
        <f t="shared" si="41"/>
        <v>10333.379999999999</v>
      </c>
      <c r="Y113" s="60">
        <v>1722.23</v>
      </c>
      <c r="Z113" s="60">
        <v>1722.23</v>
      </c>
      <c r="AA113" s="60">
        <v>1722.23</v>
      </c>
      <c r="AB113" s="60">
        <v>1722.23</v>
      </c>
      <c r="AC113" s="60">
        <v>1722.23</v>
      </c>
      <c r="AD113" s="60">
        <v>1722.23</v>
      </c>
      <c r="AE113" s="61">
        <f t="shared" si="42"/>
        <v>10333.379999999999</v>
      </c>
      <c r="AF113" s="62">
        <f t="shared" si="28"/>
        <v>310000</v>
      </c>
      <c r="AG113" s="62">
        <f t="shared" si="29"/>
        <v>284166.5399999998</v>
      </c>
      <c r="AH113" s="62">
        <f t="shared" si="46"/>
        <v>25833.460000000196</v>
      </c>
      <c r="AI113" s="63"/>
      <c r="AJ113" s="63"/>
      <c r="AK113" s="62"/>
      <c r="AL113" s="60">
        <v>1722.23</v>
      </c>
      <c r="AM113" s="60">
        <v>1722.23</v>
      </c>
      <c r="AN113" s="60">
        <v>1722.23</v>
      </c>
      <c r="AO113" s="60">
        <v>1722.23</v>
      </c>
      <c r="AP113" s="60">
        <v>1722.23</v>
      </c>
      <c r="AQ113" s="60">
        <v>1722.23</v>
      </c>
      <c r="AR113" s="61">
        <f t="shared" si="43"/>
        <v>10333.379999999999</v>
      </c>
      <c r="AS113" s="60">
        <v>1722.23</v>
      </c>
      <c r="AT113" s="60">
        <v>1722.23</v>
      </c>
      <c r="AU113" s="60">
        <v>1722.23</v>
      </c>
      <c r="AV113" s="60">
        <v>1722.23</v>
      </c>
      <c r="AW113" s="60">
        <v>1722.23</v>
      </c>
      <c r="AX113" s="60">
        <v>1722.23</v>
      </c>
      <c r="AY113" s="61">
        <f t="shared" si="44"/>
        <v>10333.379999999999</v>
      </c>
      <c r="AZ113" s="56">
        <f t="shared" si="39"/>
        <v>20666.759999999998</v>
      </c>
      <c r="BA113" s="62">
        <f t="shared" si="47"/>
        <v>310000</v>
      </c>
      <c r="BB113" s="62">
        <f t="shared" si="45"/>
        <v>304833.29999999958</v>
      </c>
      <c r="BC113" s="62">
        <f t="shared" si="48"/>
        <v>5166.7000000004191</v>
      </c>
      <c r="BD113" s="63"/>
      <c r="BE113" s="57"/>
      <c r="BF113" s="35" t="str">
        <f>VLOOKUP(A:A,'2023-2027'!A:G,1,+FALSE)</f>
        <v>Ресивер</v>
      </c>
      <c r="BG113" s="7" t="b">
        <f t="shared" si="51"/>
        <v>1</v>
      </c>
      <c r="BH113" s="35">
        <f>VLOOKUP(A:A,'2023-2027'!A:AT,43,+FALSE)</f>
        <v>1722.23</v>
      </c>
    </row>
    <row r="114" spans="1:60" ht="12" hidden="1" customHeight="1" outlineLevel="1" x14ac:dyDescent="0.2">
      <c r="A114" s="59" t="s">
        <v>406</v>
      </c>
      <c r="B114" s="59" t="s">
        <v>77</v>
      </c>
      <c r="C114" s="59" t="s">
        <v>81</v>
      </c>
      <c r="D114" s="65" t="s">
        <v>407</v>
      </c>
      <c r="E114" s="59" t="s">
        <v>260</v>
      </c>
      <c r="F114" s="60">
        <v>210000</v>
      </c>
      <c r="G114" s="60">
        <v>131599.53</v>
      </c>
      <c r="H114" s="60">
        <v>78400.47</v>
      </c>
      <c r="I114" s="59"/>
      <c r="J114" s="60">
        <v>11200.08</v>
      </c>
      <c r="K114" s="59"/>
      <c r="L114" s="59"/>
      <c r="M114" s="60">
        <v>210000</v>
      </c>
      <c r="N114" s="60">
        <v>142799.60999999999</v>
      </c>
      <c r="O114" s="60">
        <v>67200.39</v>
      </c>
      <c r="P114" s="55"/>
      <c r="Q114" s="55"/>
      <c r="R114" s="61">
        <f t="shared" si="40"/>
        <v>933.34</v>
      </c>
      <c r="S114" s="60">
        <v>933.34</v>
      </c>
      <c r="T114" s="60">
        <v>933.34</v>
      </c>
      <c r="U114" s="60">
        <v>933.34</v>
      </c>
      <c r="V114" s="60">
        <v>933.34</v>
      </c>
      <c r="W114" s="60">
        <v>933.34</v>
      </c>
      <c r="X114" s="61">
        <f t="shared" si="41"/>
        <v>5600.04</v>
      </c>
      <c r="Y114" s="60">
        <v>933.34</v>
      </c>
      <c r="Z114" s="60">
        <v>933.34</v>
      </c>
      <c r="AA114" s="60">
        <v>933.34</v>
      </c>
      <c r="AB114" s="60">
        <v>933.34</v>
      </c>
      <c r="AC114" s="60">
        <v>933.34</v>
      </c>
      <c r="AD114" s="60">
        <v>933.34</v>
      </c>
      <c r="AE114" s="61">
        <f t="shared" si="42"/>
        <v>5600.04</v>
      </c>
      <c r="AF114" s="62">
        <f t="shared" si="28"/>
        <v>210000</v>
      </c>
      <c r="AG114" s="62">
        <f t="shared" si="29"/>
        <v>153999.68999999994</v>
      </c>
      <c r="AH114" s="62">
        <f t="shared" si="46"/>
        <v>56000.310000000056</v>
      </c>
      <c r="AI114" s="63"/>
      <c r="AJ114" s="63"/>
      <c r="AK114" s="62"/>
      <c r="AL114" s="60">
        <v>933.34</v>
      </c>
      <c r="AM114" s="60">
        <v>933.34</v>
      </c>
      <c r="AN114" s="60">
        <v>933.34</v>
      </c>
      <c r="AO114" s="60">
        <v>933.34</v>
      </c>
      <c r="AP114" s="60">
        <v>933.34</v>
      </c>
      <c r="AQ114" s="60">
        <v>933.34</v>
      </c>
      <c r="AR114" s="61">
        <f t="shared" si="43"/>
        <v>5600.04</v>
      </c>
      <c r="AS114" s="60">
        <v>933.34</v>
      </c>
      <c r="AT114" s="60">
        <v>933.34</v>
      </c>
      <c r="AU114" s="60">
        <v>933.34</v>
      </c>
      <c r="AV114" s="60">
        <v>933.34</v>
      </c>
      <c r="AW114" s="60">
        <v>933.34</v>
      </c>
      <c r="AX114" s="60">
        <v>933.34</v>
      </c>
      <c r="AY114" s="61">
        <f t="shared" si="44"/>
        <v>5600.04</v>
      </c>
      <c r="AZ114" s="56">
        <f t="shared" si="39"/>
        <v>11200.08</v>
      </c>
      <c r="BA114" s="62">
        <f t="shared" si="47"/>
        <v>210000</v>
      </c>
      <c r="BB114" s="62">
        <f t="shared" si="45"/>
        <v>165199.7699999999</v>
      </c>
      <c r="BC114" s="62">
        <f t="shared" si="48"/>
        <v>44800.230000000098</v>
      </c>
      <c r="BD114" s="63"/>
      <c r="BE114" s="57"/>
      <c r="BF114" s="35" t="e">
        <f>VLOOKUP(A:A,'2023-2027'!A:G,1,+FALSE)</f>
        <v>#N/A</v>
      </c>
      <c r="BG114" s="7" t="e">
        <f t="shared" si="51"/>
        <v>#N/A</v>
      </c>
      <c r="BH114" s="35"/>
    </row>
    <row r="115" spans="1:60" ht="12" hidden="1" customHeight="1" outlineLevel="1" x14ac:dyDescent="0.2">
      <c r="A115" s="59" t="s">
        <v>408</v>
      </c>
      <c r="B115" s="59" t="s">
        <v>77</v>
      </c>
      <c r="C115" s="59" t="s">
        <v>81</v>
      </c>
      <c r="D115" s="65" t="s">
        <v>409</v>
      </c>
      <c r="E115" s="59" t="s">
        <v>260</v>
      </c>
      <c r="F115" s="60">
        <v>210000</v>
      </c>
      <c r="G115" s="60">
        <v>131599.53</v>
      </c>
      <c r="H115" s="60">
        <v>78400.47</v>
      </c>
      <c r="I115" s="59"/>
      <c r="J115" s="60">
        <v>11200.08</v>
      </c>
      <c r="K115" s="59"/>
      <c r="L115" s="59"/>
      <c r="M115" s="60">
        <v>210000</v>
      </c>
      <c r="N115" s="60">
        <v>142799.60999999999</v>
      </c>
      <c r="O115" s="60">
        <v>67200.39</v>
      </c>
      <c r="P115" s="55"/>
      <c r="Q115" s="55"/>
      <c r="R115" s="61">
        <f t="shared" si="40"/>
        <v>933.34</v>
      </c>
      <c r="S115" s="60">
        <v>933.34</v>
      </c>
      <c r="T115" s="60">
        <v>933.34</v>
      </c>
      <c r="U115" s="60">
        <v>933.34</v>
      </c>
      <c r="V115" s="60">
        <v>933.34</v>
      </c>
      <c r="W115" s="60">
        <v>933.34</v>
      </c>
      <c r="X115" s="61">
        <f t="shared" si="41"/>
        <v>5600.04</v>
      </c>
      <c r="Y115" s="60">
        <v>933.34</v>
      </c>
      <c r="Z115" s="60">
        <v>933.34</v>
      </c>
      <c r="AA115" s="60">
        <v>933.34</v>
      </c>
      <c r="AB115" s="60">
        <v>933.34</v>
      </c>
      <c r="AC115" s="60">
        <v>933.34</v>
      </c>
      <c r="AD115" s="60">
        <v>933.34</v>
      </c>
      <c r="AE115" s="61">
        <f t="shared" si="42"/>
        <v>5600.04</v>
      </c>
      <c r="AF115" s="62">
        <f t="shared" si="28"/>
        <v>210000</v>
      </c>
      <c r="AG115" s="62">
        <f t="shared" si="29"/>
        <v>153999.68999999994</v>
      </c>
      <c r="AH115" s="62">
        <f t="shared" si="46"/>
        <v>56000.310000000056</v>
      </c>
      <c r="AI115" s="63"/>
      <c r="AJ115" s="63"/>
      <c r="AK115" s="62"/>
      <c r="AL115" s="60">
        <v>933.34</v>
      </c>
      <c r="AM115" s="60">
        <v>933.34</v>
      </c>
      <c r="AN115" s="60">
        <v>933.34</v>
      </c>
      <c r="AO115" s="60">
        <v>933.34</v>
      </c>
      <c r="AP115" s="60">
        <v>933.34</v>
      </c>
      <c r="AQ115" s="60">
        <v>933.34</v>
      </c>
      <c r="AR115" s="61">
        <f t="shared" si="43"/>
        <v>5600.04</v>
      </c>
      <c r="AS115" s="60">
        <v>933.34</v>
      </c>
      <c r="AT115" s="60">
        <v>933.34</v>
      </c>
      <c r="AU115" s="60">
        <v>933.34</v>
      </c>
      <c r="AV115" s="60">
        <v>933.34</v>
      </c>
      <c r="AW115" s="60">
        <v>933.34</v>
      </c>
      <c r="AX115" s="60">
        <v>933.34</v>
      </c>
      <c r="AY115" s="61">
        <f t="shared" si="44"/>
        <v>5600.04</v>
      </c>
      <c r="AZ115" s="56">
        <f t="shared" si="39"/>
        <v>11200.08</v>
      </c>
      <c r="BA115" s="62">
        <f t="shared" si="47"/>
        <v>210000</v>
      </c>
      <c r="BB115" s="62">
        <f t="shared" si="45"/>
        <v>165199.7699999999</v>
      </c>
      <c r="BC115" s="62">
        <f t="shared" si="48"/>
        <v>44800.230000000098</v>
      </c>
      <c r="BD115" s="63"/>
      <c r="BE115" s="57"/>
      <c r="BF115" s="35" t="e">
        <f>VLOOKUP(A:A,'2023-2027'!A:G,1,+FALSE)</f>
        <v>#N/A</v>
      </c>
      <c r="BG115" s="7" t="e">
        <f t="shared" si="51"/>
        <v>#N/A</v>
      </c>
      <c r="BH115" s="35"/>
    </row>
    <row r="116" spans="1:60" ht="12" hidden="1" customHeight="1" outlineLevel="1" x14ac:dyDescent="0.2">
      <c r="A116" s="59" t="s">
        <v>410</v>
      </c>
      <c r="B116" s="59" t="s">
        <v>77</v>
      </c>
      <c r="C116" s="59" t="s">
        <v>81</v>
      </c>
      <c r="D116" s="65" t="s">
        <v>411</v>
      </c>
      <c r="E116" s="59" t="s">
        <v>288</v>
      </c>
      <c r="F116" s="60">
        <v>81193.2</v>
      </c>
      <c r="G116" s="60">
        <v>69685.88</v>
      </c>
      <c r="H116" s="60">
        <v>11507.32</v>
      </c>
      <c r="I116" s="59"/>
      <c r="J116" s="60">
        <v>3835.8</v>
      </c>
      <c r="K116" s="59"/>
      <c r="L116" s="59"/>
      <c r="M116" s="60">
        <v>81193.2</v>
      </c>
      <c r="N116" s="60">
        <v>73521.679999999993</v>
      </c>
      <c r="O116" s="60">
        <v>7671.52</v>
      </c>
      <c r="P116" s="55"/>
      <c r="Q116" s="55"/>
      <c r="R116" s="61">
        <f t="shared" si="40"/>
        <v>319.65000000000003</v>
      </c>
      <c r="S116" s="60">
        <v>319.64999999999998</v>
      </c>
      <c r="T116" s="60">
        <v>319.64999999999998</v>
      </c>
      <c r="U116" s="60">
        <v>319.64999999999998</v>
      </c>
      <c r="V116" s="60">
        <v>319.64999999999998</v>
      </c>
      <c r="W116" s="60">
        <v>319.64999999999998</v>
      </c>
      <c r="X116" s="61">
        <f t="shared" si="41"/>
        <v>1917.9</v>
      </c>
      <c r="Y116" s="60">
        <v>319.64999999999998</v>
      </c>
      <c r="Z116" s="60">
        <v>319.64999999999998</v>
      </c>
      <c r="AA116" s="60">
        <v>319.64999999999998</v>
      </c>
      <c r="AB116" s="60">
        <v>319.64999999999998</v>
      </c>
      <c r="AC116" s="60">
        <v>319.64999999999998</v>
      </c>
      <c r="AD116" s="60">
        <v>319.64999999999998</v>
      </c>
      <c r="AE116" s="61">
        <f t="shared" si="42"/>
        <v>1917.9</v>
      </c>
      <c r="AF116" s="62">
        <f t="shared" ref="AF116:AF155" si="58">M116</f>
        <v>81193.2</v>
      </c>
      <c r="AG116" s="62">
        <f t="shared" ref="AG116:AG155" si="59">N116+R116+S116+T116+U116+V116+W116+Y116+Z116+AA116+AB116+AC116+AD116</f>
        <v>77357.479999999923</v>
      </c>
      <c r="AH116" s="62">
        <f t="shared" si="46"/>
        <v>3835.7200000000739</v>
      </c>
      <c r="AI116" s="63"/>
      <c r="AJ116" s="63"/>
      <c r="AK116" s="62"/>
      <c r="AL116" s="60">
        <v>319.64999999999998</v>
      </c>
      <c r="AM116" s="60">
        <v>319.64999999999998</v>
      </c>
      <c r="AN116" s="60">
        <v>319.64999999999998</v>
      </c>
      <c r="AO116" s="60">
        <v>319.64999999999998</v>
      </c>
      <c r="AP116" s="60">
        <v>319.64999999999998</v>
      </c>
      <c r="AQ116" s="60">
        <v>319.64999999999998</v>
      </c>
      <c r="AR116" s="61">
        <f t="shared" si="43"/>
        <v>1917.9</v>
      </c>
      <c r="AS116" s="60">
        <v>319.64999999999998</v>
      </c>
      <c r="AT116" s="60">
        <v>319.64999999999998</v>
      </c>
      <c r="AU116" s="60">
        <v>319.64999999999998</v>
      </c>
      <c r="AV116" s="60">
        <v>319.64999999999998</v>
      </c>
      <c r="AW116" s="60">
        <v>319.64999999999998</v>
      </c>
      <c r="AX116" s="60">
        <v>319.57</v>
      </c>
      <c r="AY116" s="61">
        <f t="shared" si="44"/>
        <v>1917.82</v>
      </c>
      <c r="AZ116" s="56">
        <f t="shared" si="39"/>
        <v>3835.7200000000003</v>
      </c>
      <c r="BA116" s="62">
        <f t="shared" si="47"/>
        <v>81193.2</v>
      </c>
      <c r="BB116" s="62">
        <f t="shared" si="45"/>
        <v>81193.199999999866</v>
      </c>
      <c r="BC116" s="62">
        <f t="shared" si="48"/>
        <v>1.3096723705530167E-10</v>
      </c>
      <c r="BD116" s="63"/>
      <c r="BE116" s="57"/>
      <c r="BF116" s="35" t="e">
        <f>VLOOKUP(A:A,'2023-2027'!A:G,1,+FALSE)</f>
        <v>#N/A</v>
      </c>
      <c r="BG116" s="7" t="e">
        <f t="shared" si="51"/>
        <v>#N/A</v>
      </c>
      <c r="BH116" s="35"/>
    </row>
    <row r="117" spans="1:60" ht="36" hidden="1" customHeight="1" outlineLevel="1" x14ac:dyDescent="0.2">
      <c r="A117" s="59" t="s">
        <v>412</v>
      </c>
      <c r="B117" s="59" t="s">
        <v>77</v>
      </c>
      <c r="C117" s="59" t="s">
        <v>81</v>
      </c>
      <c r="D117" s="66" t="s">
        <v>413</v>
      </c>
      <c r="E117" s="59" t="s">
        <v>414</v>
      </c>
      <c r="F117" s="60">
        <v>41333.14</v>
      </c>
      <c r="G117" s="60">
        <v>14810.92</v>
      </c>
      <c r="H117" s="60">
        <v>26522.22</v>
      </c>
      <c r="I117" s="59"/>
      <c r="J117" s="60">
        <v>4133.3</v>
      </c>
      <c r="K117" s="59"/>
      <c r="L117" s="59"/>
      <c r="M117" s="60">
        <v>41333.14</v>
      </c>
      <c r="N117" s="60">
        <v>18944.22</v>
      </c>
      <c r="O117" s="60">
        <v>22388.92</v>
      </c>
      <c r="P117" s="55"/>
      <c r="Q117" s="55"/>
      <c r="R117" s="61">
        <f t="shared" si="40"/>
        <v>344.44166666666666</v>
      </c>
      <c r="S117" s="60">
        <v>344.44166669999998</v>
      </c>
      <c r="T117" s="60">
        <v>344.44166669999998</v>
      </c>
      <c r="U117" s="60">
        <v>344.44166669999998</v>
      </c>
      <c r="V117" s="60">
        <v>344.44166669999998</v>
      </c>
      <c r="W117" s="60">
        <v>344.44166669999998</v>
      </c>
      <c r="X117" s="61">
        <f t="shared" si="41"/>
        <v>2066.6500001666668</v>
      </c>
      <c r="Y117" s="60">
        <v>344.44166669999998</v>
      </c>
      <c r="Z117" s="60">
        <v>344.44166669999998</v>
      </c>
      <c r="AA117" s="60">
        <v>344.44166669999998</v>
      </c>
      <c r="AB117" s="60">
        <v>344.44166669999998</v>
      </c>
      <c r="AC117" s="60">
        <v>344.44166669999998</v>
      </c>
      <c r="AD117" s="60">
        <v>344.44166669999998</v>
      </c>
      <c r="AE117" s="61">
        <f t="shared" si="42"/>
        <v>2066.6500001999998</v>
      </c>
      <c r="AF117" s="62">
        <f t="shared" si="58"/>
        <v>41333.14</v>
      </c>
      <c r="AG117" s="62">
        <f t="shared" si="59"/>
        <v>23077.520000366672</v>
      </c>
      <c r="AH117" s="62">
        <f t="shared" si="46"/>
        <v>18255.619999633327</v>
      </c>
      <c r="AI117" s="63"/>
      <c r="AJ117" s="63"/>
      <c r="AK117" s="62"/>
      <c r="AL117" s="60">
        <v>344.44166669999998</v>
      </c>
      <c r="AM117" s="60">
        <v>344.44166669999998</v>
      </c>
      <c r="AN117" s="60">
        <v>344.44166669999998</v>
      </c>
      <c r="AO117" s="60">
        <v>344.44166669999998</v>
      </c>
      <c r="AP117" s="60">
        <v>344.44166669999998</v>
      </c>
      <c r="AQ117" s="60">
        <v>344.44166669999998</v>
      </c>
      <c r="AR117" s="61">
        <f t="shared" si="43"/>
        <v>2066.6500001999998</v>
      </c>
      <c r="AS117" s="60">
        <v>344.44166669999998</v>
      </c>
      <c r="AT117" s="60">
        <v>344.44166669999998</v>
      </c>
      <c r="AU117" s="60">
        <v>344.44166669999998</v>
      </c>
      <c r="AV117" s="60">
        <v>344.44166669999998</v>
      </c>
      <c r="AW117" s="60">
        <v>344.44166669999998</v>
      </c>
      <c r="AX117" s="60">
        <v>344.44166669999998</v>
      </c>
      <c r="AY117" s="61">
        <f t="shared" si="44"/>
        <v>2066.6500001999998</v>
      </c>
      <c r="AZ117" s="56">
        <f t="shared" si="39"/>
        <v>4133.3000003999996</v>
      </c>
      <c r="BA117" s="62">
        <f t="shared" si="47"/>
        <v>41333.14</v>
      </c>
      <c r="BB117" s="62">
        <f t="shared" si="45"/>
        <v>27210.820000766678</v>
      </c>
      <c r="BC117" s="62">
        <f t="shared" si="48"/>
        <v>14122.319999233321</v>
      </c>
      <c r="BD117" s="63"/>
      <c r="BE117" s="57"/>
      <c r="BF117" s="35" t="str">
        <f>VLOOKUP(A:A,'2023-2027'!A:G,1,+FALSE)</f>
        <v>Сигнализатор до взрывных концентраций в воздухе горючих газов СТМ30-12</v>
      </c>
      <c r="BG117" s="7" t="b">
        <f t="shared" si="51"/>
        <v>1</v>
      </c>
      <c r="BH117" s="35">
        <f>VLOOKUP(A:A,'2023-2027'!A:AT,43,+FALSE)</f>
        <v>344.44</v>
      </c>
    </row>
    <row r="118" spans="1:60" ht="24" hidden="1" customHeight="1" outlineLevel="1" x14ac:dyDescent="0.2">
      <c r="A118" s="59" t="s">
        <v>415</v>
      </c>
      <c r="B118" s="59" t="s">
        <v>77</v>
      </c>
      <c r="C118" s="59" t="s">
        <v>81</v>
      </c>
      <c r="D118" s="66" t="s">
        <v>416</v>
      </c>
      <c r="E118" s="59" t="s">
        <v>288</v>
      </c>
      <c r="F118" s="60">
        <v>13444250.890000001</v>
      </c>
      <c r="G118" s="60">
        <v>9672760.2799999993</v>
      </c>
      <c r="H118" s="60">
        <v>3771490.61</v>
      </c>
      <c r="I118" s="59"/>
      <c r="J118" s="60">
        <v>532445.76</v>
      </c>
      <c r="K118" s="59"/>
      <c r="L118" s="59"/>
      <c r="M118" s="60">
        <v>13444250.890000001</v>
      </c>
      <c r="N118" s="60">
        <v>10205206.039999999</v>
      </c>
      <c r="O118" s="60">
        <v>3239044.85</v>
      </c>
      <c r="P118" s="55"/>
      <c r="Q118" s="55"/>
      <c r="R118" s="61">
        <f t="shared" si="40"/>
        <v>44370.48</v>
      </c>
      <c r="S118" s="60">
        <v>44370.48</v>
      </c>
      <c r="T118" s="60">
        <v>44370.48</v>
      </c>
      <c r="U118" s="60">
        <v>44370.48</v>
      </c>
      <c r="V118" s="60">
        <v>44370.48</v>
      </c>
      <c r="W118" s="60">
        <v>44370.48</v>
      </c>
      <c r="X118" s="61">
        <f t="shared" si="41"/>
        <v>266222.88</v>
      </c>
      <c r="Y118" s="60">
        <v>44370.48</v>
      </c>
      <c r="Z118" s="60">
        <v>44370.48</v>
      </c>
      <c r="AA118" s="60">
        <v>44370.48</v>
      </c>
      <c r="AB118" s="60">
        <v>44370.48</v>
      </c>
      <c r="AC118" s="60">
        <v>44370.48</v>
      </c>
      <c r="AD118" s="60">
        <v>44370.48</v>
      </c>
      <c r="AE118" s="61">
        <f t="shared" si="42"/>
        <v>266222.88</v>
      </c>
      <c r="AF118" s="62">
        <f t="shared" si="58"/>
        <v>13444250.890000001</v>
      </c>
      <c r="AG118" s="62">
        <f t="shared" si="59"/>
        <v>10737651.800000004</v>
      </c>
      <c r="AH118" s="62">
        <f t="shared" si="46"/>
        <v>2706599.0899999961</v>
      </c>
      <c r="AI118" s="63"/>
      <c r="AJ118" s="63"/>
      <c r="AK118" s="62"/>
      <c r="AL118" s="60">
        <v>44370.48</v>
      </c>
      <c r="AM118" s="60">
        <v>44370.48</v>
      </c>
      <c r="AN118" s="60">
        <v>44370.48</v>
      </c>
      <c r="AO118" s="60">
        <v>44370.48</v>
      </c>
      <c r="AP118" s="60">
        <v>44370.48</v>
      </c>
      <c r="AQ118" s="60">
        <v>44370.48</v>
      </c>
      <c r="AR118" s="61">
        <f t="shared" si="43"/>
        <v>266222.88</v>
      </c>
      <c r="AS118" s="60">
        <v>44370.48</v>
      </c>
      <c r="AT118" s="60">
        <v>44370.48</v>
      </c>
      <c r="AU118" s="60">
        <v>44370.48</v>
      </c>
      <c r="AV118" s="60">
        <v>44370.48</v>
      </c>
      <c r="AW118" s="60">
        <v>44370.48</v>
      </c>
      <c r="AX118" s="60">
        <v>44370.48</v>
      </c>
      <c r="AY118" s="61">
        <f t="shared" si="44"/>
        <v>266222.88</v>
      </c>
      <c r="AZ118" s="56">
        <f t="shared" si="39"/>
        <v>532445.76</v>
      </c>
      <c r="BA118" s="62">
        <f t="shared" si="47"/>
        <v>13444250.890000001</v>
      </c>
      <c r="BB118" s="62">
        <f t="shared" si="45"/>
        <v>11270097.56000001</v>
      </c>
      <c r="BC118" s="62">
        <f t="shared" si="48"/>
        <v>2174153.3299999908</v>
      </c>
      <c r="BD118" s="63"/>
      <c r="BE118" s="57"/>
      <c r="BF118" s="35" t="str">
        <f>VLOOKUP(A:A,'2023-2027'!A:G,1,+FALSE)</f>
        <v>Силовое эл. оборудование (РУ-6 кв) 2003г</v>
      </c>
      <c r="BG118" s="7" t="b">
        <f t="shared" si="51"/>
        <v>1</v>
      </c>
      <c r="BH118" s="35">
        <f>VLOOKUP(A:A,'2023-2027'!A:AT,43,+FALSE)</f>
        <v>10506.040000000003</v>
      </c>
    </row>
    <row r="119" spans="1:60" ht="24" hidden="1" customHeight="1" outlineLevel="1" x14ac:dyDescent="0.2">
      <c r="A119" s="59" t="s">
        <v>417</v>
      </c>
      <c r="B119" s="59" t="s">
        <v>77</v>
      </c>
      <c r="C119" s="59" t="s">
        <v>81</v>
      </c>
      <c r="D119" s="65" t="s">
        <v>418</v>
      </c>
      <c r="E119" s="59" t="s">
        <v>260</v>
      </c>
      <c r="F119" s="60">
        <v>902759</v>
      </c>
      <c r="G119" s="60">
        <v>565728.66</v>
      </c>
      <c r="H119" s="60">
        <v>337030.34</v>
      </c>
      <c r="I119" s="59"/>
      <c r="J119" s="60">
        <v>48147.24</v>
      </c>
      <c r="K119" s="59"/>
      <c r="L119" s="59"/>
      <c r="M119" s="60">
        <v>902759</v>
      </c>
      <c r="N119" s="60">
        <v>613875.9</v>
      </c>
      <c r="O119" s="60">
        <v>288883.09999999998</v>
      </c>
      <c r="P119" s="55"/>
      <c r="Q119" s="55"/>
      <c r="R119" s="61">
        <f t="shared" si="40"/>
        <v>4012.27</v>
      </c>
      <c r="S119" s="60">
        <v>4012.27</v>
      </c>
      <c r="T119" s="60">
        <v>4012.27</v>
      </c>
      <c r="U119" s="60">
        <v>4012.27</v>
      </c>
      <c r="V119" s="60">
        <v>4012.27</v>
      </c>
      <c r="W119" s="60">
        <v>4012.27</v>
      </c>
      <c r="X119" s="61">
        <f t="shared" si="41"/>
        <v>24073.62</v>
      </c>
      <c r="Y119" s="60">
        <v>4012.27</v>
      </c>
      <c r="Z119" s="60">
        <v>4012.27</v>
      </c>
      <c r="AA119" s="60">
        <v>4012.27</v>
      </c>
      <c r="AB119" s="60">
        <v>4012.27</v>
      </c>
      <c r="AC119" s="60">
        <v>4012.27</v>
      </c>
      <c r="AD119" s="60">
        <v>4012.27</v>
      </c>
      <c r="AE119" s="61">
        <f t="shared" si="42"/>
        <v>24073.62</v>
      </c>
      <c r="AF119" s="62">
        <f t="shared" si="58"/>
        <v>902759</v>
      </c>
      <c r="AG119" s="62">
        <f t="shared" si="59"/>
        <v>662023.14000000025</v>
      </c>
      <c r="AH119" s="62">
        <f t="shared" si="46"/>
        <v>240735.85999999975</v>
      </c>
      <c r="AI119" s="63"/>
      <c r="AJ119" s="63"/>
      <c r="AK119" s="62"/>
      <c r="AL119" s="60">
        <v>4012.27</v>
      </c>
      <c r="AM119" s="60">
        <v>4012.27</v>
      </c>
      <c r="AN119" s="60">
        <v>4012.27</v>
      </c>
      <c r="AO119" s="60">
        <v>4012.27</v>
      </c>
      <c r="AP119" s="60">
        <v>4012.27</v>
      </c>
      <c r="AQ119" s="60">
        <v>4012.27</v>
      </c>
      <c r="AR119" s="61">
        <f t="shared" si="43"/>
        <v>24073.62</v>
      </c>
      <c r="AS119" s="60">
        <v>4012.27</v>
      </c>
      <c r="AT119" s="60">
        <v>4012.27</v>
      </c>
      <c r="AU119" s="60">
        <v>4012.27</v>
      </c>
      <c r="AV119" s="60">
        <v>4012.27</v>
      </c>
      <c r="AW119" s="60">
        <v>4012.27</v>
      </c>
      <c r="AX119" s="60">
        <v>4012.27</v>
      </c>
      <c r="AY119" s="61">
        <f t="shared" si="44"/>
        <v>24073.62</v>
      </c>
      <c r="AZ119" s="56">
        <f t="shared" si="39"/>
        <v>48147.24</v>
      </c>
      <c r="BA119" s="62">
        <f t="shared" si="47"/>
        <v>902759</v>
      </c>
      <c r="BB119" s="62">
        <f t="shared" si="45"/>
        <v>710170.38000000047</v>
      </c>
      <c r="BC119" s="62">
        <f t="shared" si="48"/>
        <v>192588.61999999953</v>
      </c>
      <c r="BD119" s="63"/>
      <c r="BE119" s="57"/>
      <c r="BF119" s="35" t="e">
        <f>VLOOKUP(A:A,'2023-2027'!A:G,1,+FALSE)</f>
        <v>#N/A</v>
      </c>
      <c r="BG119" s="7" t="e">
        <f t="shared" si="51"/>
        <v>#N/A</v>
      </c>
      <c r="BH119" s="35"/>
    </row>
    <row r="120" spans="1:60" ht="24" hidden="1" customHeight="1" outlineLevel="1" x14ac:dyDescent="0.2">
      <c r="A120" s="59" t="s">
        <v>419</v>
      </c>
      <c r="B120" s="59" t="s">
        <v>77</v>
      </c>
      <c r="C120" s="59" t="s">
        <v>81</v>
      </c>
      <c r="D120" s="66" t="s">
        <v>420</v>
      </c>
      <c r="E120" s="59" t="s">
        <v>421</v>
      </c>
      <c r="F120" s="60">
        <v>171157</v>
      </c>
      <c r="G120" s="60">
        <v>95087.25</v>
      </c>
      <c r="H120" s="60">
        <v>76069.75</v>
      </c>
      <c r="I120" s="59"/>
      <c r="J120" s="60">
        <v>15213.96</v>
      </c>
      <c r="K120" s="59"/>
      <c r="L120" s="59"/>
      <c r="M120" s="60">
        <v>171157</v>
      </c>
      <c r="N120" s="60">
        <v>110301.21</v>
      </c>
      <c r="O120" s="60">
        <v>60855.79</v>
      </c>
      <c r="P120" s="55"/>
      <c r="Q120" s="55"/>
      <c r="R120" s="61">
        <f t="shared" si="40"/>
        <v>1267.83</v>
      </c>
      <c r="S120" s="60">
        <v>1267.83</v>
      </c>
      <c r="T120" s="60">
        <v>1267.83</v>
      </c>
      <c r="U120" s="60">
        <v>1267.83</v>
      </c>
      <c r="V120" s="60">
        <v>1267.83</v>
      </c>
      <c r="W120" s="60">
        <v>1267.83</v>
      </c>
      <c r="X120" s="61">
        <f t="shared" si="41"/>
        <v>7606.98</v>
      </c>
      <c r="Y120" s="60">
        <v>1267.83</v>
      </c>
      <c r="Z120" s="60">
        <v>1267.83</v>
      </c>
      <c r="AA120" s="60">
        <v>1267.83</v>
      </c>
      <c r="AB120" s="60">
        <v>1267.83</v>
      </c>
      <c r="AC120" s="60">
        <v>1267.83</v>
      </c>
      <c r="AD120" s="60">
        <v>1267.83</v>
      </c>
      <c r="AE120" s="61">
        <f t="shared" si="42"/>
        <v>7606.98</v>
      </c>
      <c r="AF120" s="62">
        <f t="shared" si="58"/>
        <v>171157</v>
      </c>
      <c r="AG120" s="62">
        <f t="shared" si="59"/>
        <v>125515.17000000003</v>
      </c>
      <c r="AH120" s="62">
        <f t="shared" si="46"/>
        <v>45641.829999999973</v>
      </c>
      <c r="AI120" s="63"/>
      <c r="AJ120" s="63"/>
      <c r="AK120" s="62"/>
      <c r="AL120" s="60">
        <v>1267.83</v>
      </c>
      <c r="AM120" s="60">
        <v>1267.83</v>
      </c>
      <c r="AN120" s="60">
        <v>1267.83</v>
      </c>
      <c r="AO120" s="60">
        <v>1267.83</v>
      </c>
      <c r="AP120" s="60">
        <v>1267.83</v>
      </c>
      <c r="AQ120" s="60">
        <v>1267.83</v>
      </c>
      <c r="AR120" s="61">
        <f t="shared" si="43"/>
        <v>7606.98</v>
      </c>
      <c r="AS120" s="60">
        <v>1267.83</v>
      </c>
      <c r="AT120" s="60">
        <v>1267.83</v>
      </c>
      <c r="AU120" s="60">
        <v>1267.83</v>
      </c>
      <c r="AV120" s="60">
        <v>1267.83</v>
      </c>
      <c r="AW120" s="60">
        <v>1267.83</v>
      </c>
      <c r="AX120" s="60">
        <v>1267.83</v>
      </c>
      <c r="AY120" s="61">
        <f t="shared" si="44"/>
        <v>7606.98</v>
      </c>
      <c r="AZ120" s="56">
        <f t="shared" si="39"/>
        <v>15213.96</v>
      </c>
      <c r="BA120" s="62">
        <f t="shared" si="47"/>
        <v>171157</v>
      </c>
      <c r="BB120" s="62">
        <f t="shared" si="45"/>
        <v>140729.12999999995</v>
      </c>
      <c r="BC120" s="62">
        <f t="shared" si="48"/>
        <v>30427.870000000054</v>
      </c>
      <c r="BD120" s="63"/>
      <c r="BE120" s="57"/>
      <c r="BF120" s="35" t="str">
        <f>VLOOKUP(A:A,'2023-2027'!A:G,1,+FALSE)</f>
        <v>Система видеонаблюдения в РУ-6кВ, 0,4кВ ГТЭС-12,18</v>
      </c>
      <c r="BG120" s="7" t="b">
        <f t="shared" si="51"/>
        <v>1</v>
      </c>
      <c r="BH120" s="35">
        <f>VLOOKUP(A:A,'2023-2027'!A:AT,43,+FALSE)</f>
        <v>2037.5800000000006</v>
      </c>
    </row>
    <row r="121" spans="1:60" ht="24" hidden="1" customHeight="1" outlineLevel="1" x14ac:dyDescent="0.2">
      <c r="A121" s="59" t="s">
        <v>422</v>
      </c>
      <c r="B121" s="59" t="s">
        <v>77</v>
      </c>
      <c r="C121" s="59" t="s">
        <v>81</v>
      </c>
      <c r="D121" s="66" t="s">
        <v>423</v>
      </c>
      <c r="E121" s="59" t="s">
        <v>424</v>
      </c>
      <c r="F121" s="60">
        <v>500000</v>
      </c>
      <c r="G121" s="59"/>
      <c r="H121" s="60">
        <v>500000</v>
      </c>
      <c r="I121" s="59"/>
      <c r="J121" s="60">
        <v>50000.04</v>
      </c>
      <c r="K121" s="59"/>
      <c r="L121" s="59"/>
      <c r="M121" s="60">
        <v>500000</v>
      </c>
      <c r="N121" s="60">
        <v>50000.04</v>
      </c>
      <c r="O121" s="60">
        <v>449999.96</v>
      </c>
      <c r="P121" s="55"/>
      <c r="Q121" s="55"/>
      <c r="R121" s="61">
        <f t="shared" si="40"/>
        <v>4166.67</v>
      </c>
      <c r="S121" s="60">
        <v>4166.67</v>
      </c>
      <c r="T121" s="60">
        <v>4166.67</v>
      </c>
      <c r="U121" s="60">
        <v>4166.67</v>
      </c>
      <c r="V121" s="60">
        <v>4166.67</v>
      </c>
      <c r="W121" s="60">
        <v>4166.67</v>
      </c>
      <c r="X121" s="61">
        <f t="shared" si="41"/>
        <v>25000.019999999997</v>
      </c>
      <c r="Y121" s="60">
        <v>4166.67</v>
      </c>
      <c r="Z121" s="60">
        <v>4166.67</v>
      </c>
      <c r="AA121" s="60">
        <v>4166.67</v>
      </c>
      <c r="AB121" s="60">
        <v>4166.67</v>
      </c>
      <c r="AC121" s="60">
        <v>4166.67</v>
      </c>
      <c r="AD121" s="60">
        <v>4166.67</v>
      </c>
      <c r="AE121" s="61">
        <f t="shared" si="42"/>
        <v>25000.019999999997</v>
      </c>
      <c r="AF121" s="62">
        <f t="shared" si="58"/>
        <v>500000</v>
      </c>
      <c r="AG121" s="62">
        <f t="shared" si="59"/>
        <v>100000.07999999999</v>
      </c>
      <c r="AH121" s="62">
        <f t="shared" si="46"/>
        <v>399999.92000000004</v>
      </c>
      <c r="AI121" s="63"/>
      <c r="AJ121" s="63"/>
      <c r="AK121" s="62"/>
      <c r="AL121" s="60">
        <v>4166.67</v>
      </c>
      <c r="AM121" s="60">
        <v>4166.67</v>
      </c>
      <c r="AN121" s="60">
        <v>4166.67</v>
      </c>
      <c r="AO121" s="60">
        <v>4166.67</v>
      </c>
      <c r="AP121" s="60">
        <v>4166.67</v>
      </c>
      <c r="AQ121" s="60">
        <v>4166.67</v>
      </c>
      <c r="AR121" s="61">
        <f t="shared" si="43"/>
        <v>25000.019999999997</v>
      </c>
      <c r="AS121" s="60">
        <v>4166.67</v>
      </c>
      <c r="AT121" s="60">
        <v>4166.67</v>
      </c>
      <c r="AU121" s="60">
        <v>4166.67</v>
      </c>
      <c r="AV121" s="60">
        <v>4166.67</v>
      </c>
      <c r="AW121" s="60">
        <v>4166.67</v>
      </c>
      <c r="AX121" s="60">
        <v>4166.67</v>
      </c>
      <c r="AY121" s="61">
        <f t="shared" si="44"/>
        <v>25000.019999999997</v>
      </c>
      <c r="AZ121" s="56">
        <f t="shared" si="39"/>
        <v>50000.039999999994</v>
      </c>
      <c r="BA121" s="62">
        <f t="shared" si="47"/>
        <v>500000</v>
      </c>
      <c r="BB121" s="62">
        <f t="shared" si="45"/>
        <v>150000.12000000002</v>
      </c>
      <c r="BC121" s="62">
        <f t="shared" si="48"/>
        <v>349999.88</v>
      </c>
      <c r="BD121" s="63"/>
      <c r="BE121" s="57"/>
      <c r="BF121" s="35" t="str">
        <f>VLOOKUP(A:A,'2023-2027'!A:G,1,+FALSE)</f>
        <v>Система видеонаблюдения на ДККС</v>
      </c>
      <c r="BG121" s="7" t="b">
        <f t="shared" si="51"/>
        <v>1</v>
      </c>
      <c r="BH121" s="35">
        <f>VLOOKUP(A:A,'2023-2027'!A:AT,43,+FALSE)</f>
        <v>4166.666666666667</v>
      </c>
    </row>
    <row r="122" spans="1:60" ht="24" hidden="1" customHeight="1" outlineLevel="1" x14ac:dyDescent="0.2">
      <c r="A122" s="59" t="s">
        <v>425</v>
      </c>
      <c r="B122" s="59" t="s">
        <v>77</v>
      </c>
      <c r="C122" s="59" t="s">
        <v>81</v>
      </c>
      <c r="D122" s="65" t="s">
        <v>426</v>
      </c>
      <c r="E122" s="59" t="s">
        <v>427</v>
      </c>
      <c r="F122" s="60">
        <v>28266.67</v>
      </c>
      <c r="G122" s="60">
        <v>28266.67</v>
      </c>
      <c r="H122" s="59"/>
      <c r="I122" s="59"/>
      <c r="J122" s="59"/>
      <c r="K122" s="60">
        <v>28266.67</v>
      </c>
      <c r="L122" s="60">
        <v>28266.67</v>
      </c>
      <c r="M122" s="59"/>
      <c r="N122" s="59"/>
      <c r="O122" s="59"/>
      <c r="P122" s="67"/>
      <c r="Q122" s="67"/>
      <c r="R122" s="61">
        <f t="shared" si="40"/>
        <v>0</v>
      </c>
      <c r="S122" s="60">
        <v>0</v>
      </c>
      <c r="T122" s="60">
        <v>0</v>
      </c>
      <c r="U122" s="60">
        <v>0</v>
      </c>
      <c r="V122" s="60">
        <v>0</v>
      </c>
      <c r="W122" s="60">
        <v>0</v>
      </c>
      <c r="X122" s="61">
        <f t="shared" si="41"/>
        <v>0</v>
      </c>
      <c r="Y122" s="60">
        <v>0</v>
      </c>
      <c r="Z122" s="60">
        <v>0</v>
      </c>
      <c r="AA122" s="60">
        <v>0</v>
      </c>
      <c r="AB122" s="60">
        <v>0</v>
      </c>
      <c r="AC122" s="60">
        <v>0</v>
      </c>
      <c r="AD122" s="60">
        <v>0</v>
      </c>
      <c r="AE122" s="61">
        <f t="shared" si="42"/>
        <v>0</v>
      </c>
      <c r="AF122" s="62">
        <f t="shared" si="58"/>
        <v>0</v>
      </c>
      <c r="AG122" s="62">
        <f t="shared" si="59"/>
        <v>0</v>
      </c>
      <c r="AH122" s="62">
        <f t="shared" si="46"/>
        <v>0</v>
      </c>
      <c r="AI122" s="63"/>
      <c r="AJ122" s="63"/>
      <c r="AK122" s="62"/>
      <c r="AL122" s="60">
        <v>0</v>
      </c>
      <c r="AM122" s="60">
        <v>0</v>
      </c>
      <c r="AN122" s="60">
        <v>0</v>
      </c>
      <c r="AO122" s="60">
        <v>0</v>
      </c>
      <c r="AP122" s="60">
        <v>0</v>
      </c>
      <c r="AQ122" s="60">
        <v>0</v>
      </c>
      <c r="AR122" s="61">
        <f t="shared" si="43"/>
        <v>0</v>
      </c>
      <c r="AS122" s="60">
        <v>0</v>
      </c>
      <c r="AT122" s="60">
        <v>0</v>
      </c>
      <c r="AU122" s="60">
        <v>0</v>
      </c>
      <c r="AV122" s="60">
        <v>0</v>
      </c>
      <c r="AW122" s="60">
        <v>0</v>
      </c>
      <c r="AX122" s="60">
        <v>0</v>
      </c>
      <c r="AY122" s="61">
        <f t="shared" si="44"/>
        <v>0</v>
      </c>
      <c r="AZ122" s="56">
        <f t="shared" si="39"/>
        <v>0</v>
      </c>
      <c r="BA122" s="62">
        <f t="shared" si="47"/>
        <v>0</v>
      </c>
      <c r="BB122" s="62">
        <f t="shared" si="45"/>
        <v>0</v>
      </c>
      <c r="BC122" s="62">
        <f t="shared" si="48"/>
        <v>0</v>
      </c>
      <c r="BD122" s="63"/>
      <c r="BE122" s="57"/>
      <c r="BF122" s="35" t="e">
        <f>VLOOKUP(A:A,'2023-2027'!A:G,1,+FALSE)</f>
        <v>#N/A</v>
      </c>
      <c r="BG122" s="7" t="e">
        <f t="shared" si="51"/>
        <v>#N/A</v>
      </c>
      <c r="BH122" s="35"/>
    </row>
    <row r="123" spans="1:60" ht="24" hidden="1" customHeight="1" outlineLevel="1" x14ac:dyDescent="0.2">
      <c r="A123" s="59" t="s">
        <v>428</v>
      </c>
      <c r="B123" s="59" t="s">
        <v>77</v>
      </c>
      <c r="C123" s="59" t="s">
        <v>81</v>
      </c>
      <c r="D123" s="66" t="s">
        <v>429</v>
      </c>
      <c r="E123" s="59" t="s">
        <v>430</v>
      </c>
      <c r="F123" s="60">
        <v>1972995.34</v>
      </c>
      <c r="G123" s="60">
        <v>811120.66</v>
      </c>
      <c r="H123" s="60">
        <v>1161874.68</v>
      </c>
      <c r="I123" s="59"/>
      <c r="J123" s="60">
        <v>131532.96</v>
      </c>
      <c r="K123" s="59"/>
      <c r="L123" s="59"/>
      <c r="M123" s="60">
        <v>1972995.34</v>
      </c>
      <c r="N123" s="60">
        <v>942653.62</v>
      </c>
      <c r="O123" s="60">
        <v>1030341.72</v>
      </c>
      <c r="P123" s="55">
        <v>1096108.2</v>
      </c>
      <c r="Q123" s="55">
        <f>P123*2.2%</f>
        <v>24114.380400000002</v>
      </c>
      <c r="R123" s="61">
        <f t="shared" si="40"/>
        <v>10961.08</v>
      </c>
      <c r="S123" s="60">
        <v>10961.08</v>
      </c>
      <c r="T123" s="60">
        <v>10961.08</v>
      </c>
      <c r="U123" s="60">
        <v>10961.08</v>
      </c>
      <c r="V123" s="60">
        <v>10961.08</v>
      </c>
      <c r="W123" s="60">
        <v>10961.08</v>
      </c>
      <c r="X123" s="61">
        <f t="shared" si="41"/>
        <v>65766.48</v>
      </c>
      <c r="Y123" s="60">
        <v>10961.08</v>
      </c>
      <c r="Z123" s="60">
        <v>10961.08</v>
      </c>
      <c r="AA123" s="60">
        <v>10961.08</v>
      </c>
      <c r="AB123" s="60">
        <v>10961.08</v>
      </c>
      <c r="AC123" s="60">
        <v>10961.08</v>
      </c>
      <c r="AD123" s="60">
        <v>10961.08</v>
      </c>
      <c r="AE123" s="61">
        <f t="shared" si="42"/>
        <v>65766.48</v>
      </c>
      <c r="AF123" s="62">
        <f t="shared" si="58"/>
        <v>1972995.34</v>
      </c>
      <c r="AG123" s="62">
        <f t="shared" si="59"/>
        <v>1074186.5799999998</v>
      </c>
      <c r="AH123" s="62">
        <f t="shared" si="46"/>
        <v>898808.76000000024</v>
      </c>
      <c r="AI123" s="63">
        <v>964575.24000000104</v>
      </c>
      <c r="AJ123" s="63">
        <f t="shared" ref="AJ123" si="60">AI123*2.2%</f>
        <v>21220.655280000025</v>
      </c>
      <c r="AK123" s="62"/>
      <c r="AL123" s="60">
        <v>10961.08</v>
      </c>
      <c r="AM123" s="60">
        <v>10961.08</v>
      </c>
      <c r="AN123" s="60">
        <v>10961.08</v>
      </c>
      <c r="AO123" s="60">
        <v>10961.08</v>
      </c>
      <c r="AP123" s="60">
        <v>10961.08</v>
      </c>
      <c r="AQ123" s="60">
        <v>10961.08</v>
      </c>
      <c r="AR123" s="61">
        <f t="shared" si="43"/>
        <v>65766.48</v>
      </c>
      <c r="AS123" s="60">
        <v>10961.08</v>
      </c>
      <c r="AT123" s="60">
        <v>10961.08</v>
      </c>
      <c r="AU123" s="60">
        <v>10961.08</v>
      </c>
      <c r="AV123" s="60">
        <v>10961.08</v>
      </c>
      <c r="AW123" s="60">
        <v>10961.08</v>
      </c>
      <c r="AX123" s="60">
        <v>10961.08</v>
      </c>
      <c r="AY123" s="61">
        <f t="shared" si="44"/>
        <v>65766.48</v>
      </c>
      <c r="AZ123" s="56">
        <f t="shared" si="39"/>
        <v>131532.96</v>
      </c>
      <c r="BA123" s="62">
        <f t="shared" si="47"/>
        <v>1972995.34</v>
      </c>
      <c r="BB123" s="62">
        <f t="shared" si="45"/>
        <v>1205719.5400000007</v>
      </c>
      <c r="BC123" s="62">
        <f t="shared" si="48"/>
        <v>767275.79999999935</v>
      </c>
      <c r="BD123" s="63">
        <v>833042.28000000294</v>
      </c>
      <c r="BE123" s="57">
        <f t="shared" ref="BE123" si="61">BD123*2.2%</f>
        <v>18326.930160000065</v>
      </c>
      <c r="BF123" s="35" t="str">
        <f>VLOOKUP(A:A,'2023-2027'!A:G,1,+FALSE)</f>
        <v>Система освещения ГТЭС-12, ГТЭС-18</v>
      </c>
      <c r="BG123" s="7" t="b">
        <f t="shared" si="51"/>
        <v>1</v>
      </c>
      <c r="BH123" s="35">
        <f>VLOOKUP(A:A,'2023-2027'!A:AT,43,+FALSE)</f>
        <v>10961.08</v>
      </c>
    </row>
    <row r="124" spans="1:60" ht="24" hidden="1" customHeight="1" outlineLevel="1" x14ac:dyDescent="0.2">
      <c r="A124" s="59" t="s">
        <v>431</v>
      </c>
      <c r="B124" s="59" t="s">
        <v>77</v>
      </c>
      <c r="C124" s="59" t="s">
        <v>81</v>
      </c>
      <c r="D124" s="65" t="s">
        <v>432</v>
      </c>
      <c r="E124" s="59" t="s">
        <v>433</v>
      </c>
      <c r="F124" s="60">
        <v>211864.4</v>
      </c>
      <c r="G124" s="60">
        <v>151741.12</v>
      </c>
      <c r="H124" s="60">
        <v>60123.28</v>
      </c>
      <c r="I124" s="59"/>
      <c r="J124" s="60">
        <v>8589</v>
      </c>
      <c r="K124" s="59"/>
      <c r="L124" s="59"/>
      <c r="M124" s="60">
        <v>211864.4</v>
      </c>
      <c r="N124" s="60">
        <v>160330.12</v>
      </c>
      <c r="O124" s="60">
        <v>51534.28</v>
      </c>
      <c r="P124" s="55"/>
      <c r="Q124" s="55"/>
      <c r="R124" s="61">
        <f t="shared" si="40"/>
        <v>715.75</v>
      </c>
      <c r="S124" s="60">
        <v>715.75</v>
      </c>
      <c r="T124" s="60">
        <v>715.75</v>
      </c>
      <c r="U124" s="60">
        <v>715.75</v>
      </c>
      <c r="V124" s="60">
        <v>715.75</v>
      </c>
      <c r="W124" s="60">
        <v>715.75</v>
      </c>
      <c r="X124" s="61">
        <f t="shared" si="41"/>
        <v>4294.5</v>
      </c>
      <c r="Y124" s="60">
        <v>715.75</v>
      </c>
      <c r="Z124" s="60">
        <v>715.75</v>
      </c>
      <c r="AA124" s="60">
        <v>715.75</v>
      </c>
      <c r="AB124" s="60">
        <v>715.75</v>
      </c>
      <c r="AC124" s="60">
        <v>715.75</v>
      </c>
      <c r="AD124" s="60">
        <v>715.75</v>
      </c>
      <c r="AE124" s="61">
        <f t="shared" si="42"/>
        <v>4294.5</v>
      </c>
      <c r="AF124" s="62">
        <f t="shared" si="58"/>
        <v>211864.4</v>
      </c>
      <c r="AG124" s="62">
        <f t="shared" si="59"/>
        <v>168919.12</v>
      </c>
      <c r="AH124" s="62">
        <f t="shared" si="46"/>
        <v>42945.279999999999</v>
      </c>
      <c r="AI124" s="63"/>
      <c r="AJ124" s="63"/>
      <c r="AK124" s="62"/>
      <c r="AL124" s="60">
        <v>715.75</v>
      </c>
      <c r="AM124" s="60">
        <v>715.75</v>
      </c>
      <c r="AN124" s="60">
        <v>715.75</v>
      </c>
      <c r="AO124" s="60">
        <v>715.75</v>
      </c>
      <c r="AP124" s="60">
        <v>715.75</v>
      </c>
      <c r="AQ124" s="60">
        <v>715.75</v>
      </c>
      <c r="AR124" s="61">
        <f t="shared" si="43"/>
        <v>4294.5</v>
      </c>
      <c r="AS124" s="60">
        <v>715.75</v>
      </c>
      <c r="AT124" s="60">
        <v>715.75</v>
      </c>
      <c r="AU124" s="60">
        <v>715.75</v>
      </c>
      <c r="AV124" s="60">
        <v>715.75</v>
      </c>
      <c r="AW124" s="60">
        <v>715.75</v>
      </c>
      <c r="AX124" s="60">
        <v>715.75</v>
      </c>
      <c r="AY124" s="61">
        <f t="shared" si="44"/>
        <v>4294.5</v>
      </c>
      <c r="AZ124" s="56">
        <f t="shared" si="39"/>
        <v>8589</v>
      </c>
      <c r="BA124" s="62">
        <f t="shared" si="47"/>
        <v>211864.4</v>
      </c>
      <c r="BB124" s="62">
        <f t="shared" si="45"/>
        <v>177508.12</v>
      </c>
      <c r="BC124" s="62">
        <f t="shared" si="48"/>
        <v>34356.28</v>
      </c>
      <c r="BD124" s="63"/>
      <c r="BE124" s="57"/>
      <c r="BF124" s="35" t="e">
        <f>VLOOKUP(A:A,'2023-2027'!A:G,1,+FALSE)</f>
        <v>#N/A</v>
      </c>
      <c r="BG124" s="7" t="e">
        <f t="shared" si="51"/>
        <v>#N/A</v>
      </c>
      <c r="BH124" s="35"/>
    </row>
    <row r="125" spans="1:60" ht="36" hidden="1" customHeight="1" outlineLevel="1" x14ac:dyDescent="0.2">
      <c r="A125" s="59" t="s">
        <v>434</v>
      </c>
      <c r="B125" s="59" t="s">
        <v>77</v>
      </c>
      <c r="C125" s="59" t="s">
        <v>81</v>
      </c>
      <c r="D125" s="66" t="s">
        <v>435</v>
      </c>
      <c r="E125" s="59" t="s">
        <v>288</v>
      </c>
      <c r="F125" s="60">
        <v>157899.6</v>
      </c>
      <c r="G125" s="60">
        <v>123819.64</v>
      </c>
      <c r="H125" s="60">
        <v>34079.96</v>
      </c>
      <c r="I125" s="59"/>
      <c r="J125" s="60">
        <v>6816</v>
      </c>
      <c r="K125" s="59"/>
      <c r="L125" s="59"/>
      <c r="M125" s="60">
        <v>157899.6</v>
      </c>
      <c r="N125" s="60">
        <v>130635.64</v>
      </c>
      <c r="O125" s="60">
        <v>27263.96</v>
      </c>
      <c r="P125" s="55">
        <v>30671.96</v>
      </c>
      <c r="Q125" s="55">
        <f>P125*2.2%</f>
        <v>674.78312000000005</v>
      </c>
      <c r="R125" s="61">
        <f t="shared" si="40"/>
        <v>568</v>
      </c>
      <c r="S125" s="60">
        <v>568</v>
      </c>
      <c r="T125" s="60">
        <v>568</v>
      </c>
      <c r="U125" s="60">
        <v>568</v>
      </c>
      <c r="V125" s="60">
        <v>568</v>
      </c>
      <c r="W125" s="60">
        <v>568</v>
      </c>
      <c r="X125" s="61">
        <f t="shared" si="41"/>
        <v>3408</v>
      </c>
      <c r="Y125" s="60">
        <v>568</v>
      </c>
      <c r="Z125" s="60">
        <v>568</v>
      </c>
      <c r="AA125" s="60">
        <v>568</v>
      </c>
      <c r="AB125" s="60">
        <v>568</v>
      </c>
      <c r="AC125" s="60">
        <v>568</v>
      </c>
      <c r="AD125" s="60">
        <v>568</v>
      </c>
      <c r="AE125" s="61">
        <f t="shared" si="42"/>
        <v>3408</v>
      </c>
      <c r="AF125" s="62">
        <f t="shared" si="58"/>
        <v>157899.6</v>
      </c>
      <c r="AG125" s="62">
        <f t="shared" si="59"/>
        <v>137451.64000000001</v>
      </c>
      <c r="AH125" s="62">
        <f t="shared" si="46"/>
        <v>20447.959999999992</v>
      </c>
      <c r="AI125" s="63">
        <v>23855.96</v>
      </c>
      <c r="AJ125" s="63">
        <f t="shared" ref="AJ125" si="62">AI125*2.2%</f>
        <v>524.83112000000006</v>
      </c>
      <c r="AK125" s="62"/>
      <c r="AL125" s="60">
        <v>568</v>
      </c>
      <c r="AM125" s="60">
        <v>568</v>
      </c>
      <c r="AN125" s="60">
        <v>568</v>
      </c>
      <c r="AO125" s="60">
        <v>568</v>
      </c>
      <c r="AP125" s="60">
        <v>568</v>
      </c>
      <c r="AQ125" s="60">
        <v>568</v>
      </c>
      <c r="AR125" s="61">
        <f t="shared" si="43"/>
        <v>3408</v>
      </c>
      <c r="AS125" s="60">
        <v>568</v>
      </c>
      <c r="AT125" s="60">
        <v>568</v>
      </c>
      <c r="AU125" s="60">
        <v>568</v>
      </c>
      <c r="AV125" s="60">
        <v>568</v>
      </c>
      <c r="AW125" s="60">
        <v>568</v>
      </c>
      <c r="AX125" s="60">
        <v>568</v>
      </c>
      <c r="AY125" s="61">
        <f t="shared" si="44"/>
        <v>3408</v>
      </c>
      <c r="AZ125" s="56">
        <f t="shared" si="39"/>
        <v>6816</v>
      </c>
      <c r="BA125" s="62">
        <f t="shared" si="47"/>
        <v>157899.6</v>
      </c>
      <c r="BB125" s="62">
        <f t="shared" si="45"/>
        <v>144267.64000000001</v>
      </c>
      <c r="BC125" s="62">
        <f t="shared" si="48"/>
        <v>13631.959999999992</v>
      </c>
      <c r="BD125" s="63">
        <v>17039.959999999995</v>
      </c>
      <c r="BE125" s="57">
        <f t="shared" ref="BE125" si="63">BD125*2.2%</f>
        <v>374.87911999999994</v>
      </c>
      <c r="BF125" s="35" t="str">
        <f>VLOOKUP(A:A,'2023-2027'!A:G,1,+FALSE)</f>
        <v>Технолог-кие трубопроводы(маслоподача, КВОУ) 2003г</v>
      </c>
      <c r="BG125" s="7" t="b">
        <f t="shared" si="51"/>
        <v>1</v>
      </c>
      <c r="BH125" s="35">
        <f>VLOOKUP(A:A,'2023-2027'!A:AT,43,+FALSE)</f>
        <v>657.92</v>
      </c>
    </row>
    <row r="126" spans="1:60" ht="24" hidden="1" customHeight="1" outlineLevel="1" x14ac:dyDescent="0.2">
      <c r="A126" s="59" t="s">
        <v>436</v>
      </c>
      <c r="B126" s="59" t="s">
        <v>77</v>
      </c>
      <c r="C126" s="59" t="s">
        <v>81</v>
      </c>
      <c r="D126" s="66" t="s">
        <v>437</v>
      </c>
      <c r="E126" s="59" t="s">
        <v>260</v>
      </c>
      <c r="F126" s="60">
        <v>957000</v>
      </c>
      <c r="G126" s="60">
        <v>562237.5</v>
      </c>
      <c r="H126" s="60">
        <v>394762.5</v>
      </c>
      <c r="I126" s="59"/>
      <c r="J126" s="60">
        <v>47850</v>
      </c>
      <c r="K126" s="59"/>
      <c r="L126" s="59"/>
      <c r="M126" s="60">
        <v>957000</v>
      </c>
      <c r="N126" s="60">
        <v>610087.5</v>
      </c>
      <c r="O126" s="60">
        <v>346912.5</v>
      </c>
      <c r="P126" s="55"/>
      <c r="Q126" s="55"/>
      <c r="R126" s="61">
        <f t="shared" si="40"/>
        <v>3987.5</v>
      </c>
      <c r="S126" s="60">
        <v>3987.5</v>
      </c>
      <c r="T126" s="60">
        <v>3987.5</v>
      </c>
      <c r="U126" s="60">
        <v>3987.5</v>
      </c>
      <c r="V126" s="60">
        <v>3987.5</v>
      </c>
      <c r="W126" s="60">
        <v>3987.5</v>
      </c>
      <c r="X126" s="61">
        <f t="shared" si="41"/>
        <v>23925</v>
      </c>
      <c r="Y126" s="60">
        <v>3987.5</v>
      </c>
      <c r="Z126" s="60">
        <v>3987.5</v>
      </c>
      <c r="AA126" s="60">
        <v>3987.5</v>
      </c>
      <c r="AB126" s="60">
        <v>3987.5</v>
      </c>
      <c r="AC126" s="60">
        <v>3987.5</v>
      </c>
      <c r="AD126" s="60">
        <v>3987.5</v>
      </c>
      <c r="AE126" s="61">
        <f t="shared" si="42"/>
        <v>23925</v>
      </c>
      <c r="AF126" s="62">
        <f t="shared" si="58"/>
        <v>957000</v>
      </c>
      <c r="AG126" s="62">
        <f t="shared" si="59"/>
        <v>657937.5</v>
      </c>
      <c r="AH126" s="62">
        <f t="shared" si="46"/>
        <v>299062.5</v>
      </c>
      <c r="AI126" s="63"/>
      <c r="AJ126" s="63"/>
      <c r="AK126" s="62"/>
      <c r="AL126" s="60">
        <v>3987.5</v>
      </c>
      <c r="AM126" s="60">
        <v>3987.5</v>
      </c>
      <c r="AN126" s="60">
        <v>3987.5</v>
      </c>
      <c r="AO126" s="60">
        <v>3987.5</v>
      </c>
      <c r="AP126" s="60">
        <v>3987.5</v>
      </c>
      <c r="AQ126" s="60">
        <v>3987.5</v>
      </c>
      <c r="AR126" s="61">
        <f t="shared" si="43"/>
        <v>23925</v>
      </c>
      <c r="AS126" s="60">
        <v>3987.5</v>
      </c>
      <c r="AT126" s="60">
        <v>3987.5</v>
      </c>
      <c r="AU126" s="60">
        <v>3987.5</v>
      </c>
      <c r="AV126" s="60">
        <v>3987.5</v>
      </c>
      <c r="AW126" s="60">
        <v>3987.5</v>
      </c>
      <c r="AX126" s="60">
        <v>3987.5</v>
      </c>
      <c r="AY126" s="61">
        <f t="shared" si="44"/>
        <v>23925</v>
      </c>
      <c r="AZ126" s="56">
        <f t="shared" si="39"/>
        <v>47850</v>
      </c>
      <c r="BA126" s="62">
        <f t="shared" si="47"/>
        <v>957000</v>
      </c>
      <c r="BB126" s="62">
        <f t="shared" si="45"/>
        <v>705787.5</v>
      </c>
      <c r="BC126" s="62">
        <f t="shared" si="48"/>
        <v>251212.5</v>
      </c>
      <c r="BD126" s="63"/>
      <c r="BE126" s="57"/>
      <c r="BF126" s="35" t="str">
        <f>VLOOKUP(A:A,'2023-2027'!A:G,1,+FALSE)</f>
        <v>Трансформатор Силовой зх-фазный</v>
      </c>
      <c r="BG126" s="7" t="b">
        <f t="shared" si="51"/>
        <v>1</v>
      </c>
      <c r="BH126" s="35">
        <f>VLOOKUP(A:A,'2023-2027'!A:AT,43,+FALSE)</f>
        <v>3987.5</v>
      </c>
    </row>
    <row r="127" spans="1:60" ht="24" hidden="1" customHeight="1" outlineLevel="1" x14ac:dyDescent="0.2">
      <c r="A127" s="59" t="s">
        <v>438</v>
      </c>
      <c r="B127" s="59" t="s">
        <v>77</v>
      </c>
      <c r="C127" s="59" t="s">
        <v>81</v>
      </c>
      <c r="D127" s="65" t="s">
        <v>439</v>
      </c>
      <c r="E127" s="59" t="s">
        <v>440</v>
      </c>
      <c r="F127" s="60">
        <v>9389.83</v>
      </c>
      <c r="G127" s="60">
        <v>9389.83</v>
      </c>
      <c r="H127" s="59"/>
      <c r="I127" s="59"/>
      <c r="J127" s="59"/>
      <c r="K127" s="60">
        <v>9389.83</v>
      </c>
      <c r="L127" s="60">
        <v>9389.83</v>
      </c>
      <c r="M127" s="59"/>
      <c r="N127" s="59"/>
      <c r="O127" s="59"/>
      <c r="P127" s="67"/>
      <c r="Q127" s="67"/>
      <c r="R127" s="61">
        <f t="shared" si="40"/>
        <v>0</v>
      </c>
      <c r="S127" s="60">
        <v>0</v>
      </c>
      <c r="T127" s="60">
        <v>0</v>
      </c>
      <c r="U127" s="60">
        <v>0</v>
      </c>
      <c r="V127" s="60">
        <v>0</v>
      </c>
      <c r="W127" s="60">
        <v>0</v>
      </c>
      <c r="X127" s="61">
        <f t="shared" si="41"/>
        <v>0</v>
      </c>
      <c r="Y127" s="60">
        <v>0</v>
      </c>
      <c r="Z127" s="60">
        <v>0</v>
      </c>
      <c r="AA127" s="60">
        <v>0</v>
      </c>
      <c r="AB127" s="60">
        <v>0</v>
      </c>
      <c r="AC127" s="60">
        <v>0</v>
      </c>
      <c r="AD127" s="60">
        <v>0</v>
      </c>
      <c r="AE127" s="61">
        <f t="shared" si="42"/>
        <v>0</v>
      </c>
      <c r="AF127" s="62">
        <f t="shared" si="58"/>
        <v>0</v>
      </c>
      <c r="AG127" s="62">
        <f t="shared" si="59"/>
        <v>0</v>
      </c>
      <c r="AH127" s="62">
        <f t="shared" si="46"/>
        <v>0</v>
      </c>
      <c r="AI127" s="63"/>
      <c r="AJ127" s="63"/>
      <c r="AK127" s="62"/>
      <c r="AL127" s="60">
        <v>0</v>
      </c>
      <c r="AM127" s="60">
        <v>0</v>
      </c>
      <c r="AN127" s="60">
        <v>0</v>
      </c>
      <c r="AO127" s="60">
        <v>0</v>
      </c>
      <c r="AP127" s="60">
        <v>0</v>
      </c>
      <c r="AQ127" s="60">
        <v>0</v>
      </c>
      <c r="AR127" s="61">
        <f t="shared" si="43"/>
        <v>0</v>
      </c>
      <c r="AS127" s="60">
        <v>0</v>
      </c>
      <c r="AT127" s="60">
        <v>0</v>
      </c>
      <c r="AU127" s="60">
        <v>0</v>
      </c>
      <c r="AV127" s="60">
        <v>0</v>
      </c>
      <c r="AW127" s="60">
        <v>0</v>
      </c>
      <c r="AX127" s="60">
        <v>0</v>
      </c>
      <c r="AY127" s="61">
        <f t="shared" si="44"/>
        <v>0</v>
      </c>
      <c r="AZ127" s="56">
        <f t="shared" si="39"/>
        <v>0</v>
      </c>
      <c r="BA127" s="62">
        <f t="shared" si="47"/>
        <v>0</v>
      </c>
      <c r="BB127" s="62">
        <f t="shared" si="45"/>
        <v>0</v>
      </c>
      <c r="BC127" s="62">
        <f t="shared" si="48"/>
        <v>0</v>
      </c>
      <c r="BD127" s="63"/>
      <c r="BE127" s="57"/>
      <c r="BF127" s="35" t="e">
        <f>VLOOKUP(A:A,'2023-2027'!A:G,1,+FALSE)</f>
        <v>#N/A</v>
      </c>
      <c r="BG127" s="7" t="e">
        <f t="shared" si="51"/>
        <v>#N/A</v>
      </c>
      <c r="BH127" s="35"/>
    </row>
    <row r="128" spans="1:60" ht="24" hidden="1" customHeight="1" outlineLevel="1" x14ac:dyDescent="0.2">
      <c r="A128" s="59" t="s">
        <v>441</v>
      </c>
      <c r="B128" s="59" t="s">
        <v>77</v>
      </c>
      <c r="C128" s="59" t="s">
        <v>81</v>
      </c>
      <c r="D128" s="66" t="s">
        <v>442</v>
      </c>
      <c r="E128" s="59" t="s">
        <v>443</v>
      </c>
      <c r="F128" s="60">
        <v>81666.67</v>
      </c>
      <c r="G128" s="60">
        <v>4083.3</v>
      </c>
      <c r="H128" s="60">
        <v>77583.37</v>
      </c>
      <c r="I128" s="59"/>
      <c r="J128" s="60">
        <v>5444.4</v>
      </c>
      <c r="K128" s="59"/>
      <c r="L128" s="59"/>
      <c r="M128" s="60">
        <v>81666.67</v>
      </c>
      <c r="N128" s="60">
        <v>9527.7000000000007</v>
      </c>
      <c r="O128" s="60">
        <v>72138.97</v>
      </c>
      <c r="P128" s="55"/>
      <c r="Q128" s="55"/>
      <c r="R128" s="61">
        <f t="shared" si="40"/>
        <v>453.7</v>
      </c>
      <c r="S128" s="60">
        <v>453.7</v>
      </c>
      <c r="T128" s="60">
        <v>453.7</v>
      </c>
      <c r="U128" s="60">
        <v>453.7</v>
      </c>
      <c r="V128" s="60">
        <v>453.7</v>
      </c>
      <c r="W128" s="60">
        <v>453.7</v>
      </c>
      <c r="X128" s="61">
        <f t="shared" si="41"/>
        <v>2722.2</v>
      </c>
      <c r="Y128" s="60">
        <v>453.7</v>
      </c>
      <c r="Z128" s="60">
        <v>453.7</v>
      </c>
      <c r="AA128" s="60">
        <v>453.7</v>
      </c>
      <c r="AB128" s="60">
        <v>453.7</v>
      </c>
      <c r="AC128" s="60">
        <v>453.7</v>
      </c>
      <c r="AD128" s="60">
        <v>453.7</v>
      </c>
      <c r="AE128" s="61">
        <f t="shared" si="42"/>
        <v>2722.2</v>
      </c>
      <c r="AF128" s="62">
        <f t="shared" si="58"/>
        <v>81666.67</v>
      </c>
      <c r="AG128" s="62">
        <f t="shared" si="59"/>
        <v>14972.100000000009</v>
      </c>
      <c r="AH128" s="62">
        <f t="shared" si="46"/>
        <v>66694.569999999992</v>
      </c>
      <c r="AI128" s="63"/>
      <c r="AJ128" s="63"/>
      <c r="AK128" s="62"/>
      <c r="AL128" s="60">
        <v>453.7</v>
      </c>
      <c r="AM128" s="60">
        <v>453.7</v>
      </c>
      <c r="AN128" s="60">
        <v>453.7</v>
      </c>
      <c r="AO128" s="60">
        <v>453.7</v>
      </c>
      <c r="AP128" s="60">
        <v>453.7</v>
      </c>
      <c r="AQ128" s="60">
        <v>453.7</v>
      </c>
      <c r="AR128" s="61">
        <f t="shared" si="43"/>
        <v>2722.2</v>
      </c>
      <c r="AS128" s="60">
        <v>453.7</v>
      </c>
      <c r="AT128" s="60">
        <v>453.7</v>
      </c>
      <c r="AU128" s="60">
        <v>453.7</v>
      </c>
      <c r="AV128" s="60">
        <v>453.7</v>
      </c>
      <c r="AW128" s="60">
        <v>453.7</v>
      </c>
      <c r="AX128" s="60">
        <v>453.7</v>
      </c>
      <c r="AY128" s="61">
        <f t="shared" si="44"/>
        <v>2722.2</v>
      </c>
      <c r="AZ128" s="56">
        <f t="shared" si="39"/>
        <v>5444.4</v>
      </c>
      <c r="BA128" s="62">
        <f t="shared" si="47"/>
        <v>81666.67</v>
      </c>
      <c r="BB128" s="62">
        <f t="shared" si="45"/>
        <v>20416.500000000018</v>
      </c>
      <c r="BC128" s="62">
        <f t="shared" si="48"/>
        <v>61250.169999999984</v>
      </c>
      <c r="BD128" s="63"/>
      <c r="BE128" s="57"/>
      <c r="BF128" s="35" t="str">
        <f>VLOOKUP(A:A,'2023-2027'!A:G,1,+FALSE)</f>
        <v>Шкаф для инструмента металлический KronVuzBox 1140</v>
      </c>
      <c r="BG128" s="7" t="b">
        <f t="shared" si="51"/>
        <v>1</v>
      </c>
      <c r="BH128" s="35">
        <f>VLOOKUP(A:A,'2023-2027'!A:AT,43,+FALSE)</f>
        <v>453.69999999999993</v>
      </c>
    </row>
    <row r="129" spans="1:60" ht="24" hidden="1" customHeight="1" outlineLevel="1" x14ac:dyDescent="0.2">
      <c r="A129" s="59" t="s">
        <v>444</v>
      </c>
      <c r="B129" s="59" t="s">
        <v>77</v>
      </c>
      <c r="C129" s="59" t="s">
        <v>81</v>
      </c>
      <c r="D129" s="66" t="s">
        <v>445</v>
      </c>
      <c r="E129" s="59" t="s">
        <v>260</v>
      </c>
      <c r="F129" s="60">
        <v>784644.95</v>
      </c>
      <c r="G129" s="60">
        <v>550423.11</v>
      </c>
      <c r="H129" s="60">
        <v>234221.84</v>
      </c>
      <c r="I129" s="59"/>
      <c r="J129" s="60">
        <v>46844.4</v>
      </c>
      <c r="K129" s="59"/>
      <c r="L129" s="59"/>
      <c r="M129" s="60">
        <v>784644.95</v>
      </c>
      <c r="N129" s="60">
        <v>597267.51</v>
      </c>
      <c r="O129" s="60">
        <v>187377.44</v>
      </c>
      <c r="P129" s="55"/>
      <c r="Q129" s="55"/>
      <c r="R129" s="61">
        <f t="shared" si="40"/>
        <v>3903.7000000000003</v>
      </c>
      <c r="S129" s="60">
        <v>3903.7</v>
      </c>
      <c r="T129" s="60">
        <v>3903.7</v>
      </c>
      <c r="U129" s="60">
        <v>3903.7</v>
      </c>
      <c r="V129" s="60">
        <v>3903.7</v>
      </c>
      <c r="W129" s="60">
        <v>3903.7</v>
      </c>
      <c r="X129" s="61">
        <f t="shared" si="41"/>
        <v>23422.2</v>
      </c>
      <c r="Y129" s="60">
        <v>3903.7</v>
      </c>
      <c r="Z129" s="60">
        <v>3903.7</v>
      </c>
      <c r="AA129" s="60">
        <v>3903.7</v>
      </c>
      <c r="AB129" s="60">
        <v>3903.7</v>
      </c>
      <c r="AC129" s="60">
        <v>3903.7</v>
      </c>
      <c r="AD129" s="60">
        <v>3903.7</v>
      </c>
      <c r="AE129" s="61">
        <f t="shared" si="42"/>
        <v>23422.2</v>
      </c>
      <c r="AF129" s="62">
        <f t="shared" si="58"/>
        <v>784644.95</v>
      </c>
      <c r="AG129" s="62">
        <f t="shared" si="59"/>
        <v>644111.90999999945</v>
      </c>
      <c r="AH129" s="62">
        <f t="shared" si="46"/>
        <v>140533.0400000005</v>
      </c>
      <c r="AI129" s="63"/>
      <c r="AJ129" s="63"/>
      <c r="AK129" s="62"/>
      <c r="AL129" s="60">
        <v>3903.7</v>
      </c>
      <c r="AM129" s="60">
        <v>3903.7</v>
      </c>
      <c r="AN129" s="60">
        <v>3903.7</v>
      </c>
      <c r="AO129" s="60">
        <v>3903.7</v>
      </c>
      <c r="AP129" s="60">
        <v>3903.7</v>
      </c>
      <c r="AQ129" s="60">
        <v>3903.7</v>
      </c>
      <c r="AR129" s="61">
        <f t="shared" si="43"/>
        <v>23422.2</v>
      </c>
      <c r="AS129" s="60">
        <v>3903.7</v>
      </c>
      <c r="AT129" s="60">
        <v>3903.7</v>
      </c>
      <c r="AU129" s="60">
        <v>3903.7</v>
      </c>
      <c r="AV129" s="60">
        <v>3903.7</v>
      </c>
      <c r="AW129" s="60">
        <v>3903.7</v>
      </c>
      <c r="AX129" s="60">
        <v>3903.7</v>
      </c>
      <c r="AY129" s="61">
        <f t="shared" si="44"/>
        <v>23422.2</v>
      </c>
      <c r="AZ129" s="56">
        <f t="shared" si="39"/>
        <v>46844.4</v>
      </c>
      <c r="BA129" s="62">
        <f t="shared" si="47"/>
        <v>784644.95</v>
      </c>
      <c r="BB129" s="62">
        <f t="shared" si="45"/>
        <v>690956.30999999889</v>
      </c>
      <c r="BC129" s="62">
        <f t="shared" si="48"/>
        <v>93688.640000001062</v>
      </c>
      <c r="BD129" s="63"/>
      <c r="BE129" s="57"/>
      <c r="BF129" s="35" t="str">
        <f>VLOOKUP(A:A,'2023-2027'!A:G,1,+FALSE)</f>
        <v>Шкаф распред устройств  с ячейками КРУ №7</v>
      </c>
      <c r="BG129" s="7" t="b">
        <f t="shared" si="51"/>
        <v>1</v>
      </c>
      <c r="BH129" s="35">
        <f>VLOOKUP(A:A,'2023-2027'!A:AT,43,+FALSE)</f>
        <v>4359.1400000000003</v>
      </c>
    </row>
    <row r="130" spans="1:60" ht="24" hidden="1" customHeight="1" outlineLevel="1" x14ac:dyDescent="0.2">
      <c r="A130" s="59" t="s">
        <v>446</v>
      </c>
      <c r="B130" s="59" t="s">
        <v>77</v>
      </c>
      <c r="C130" s="59" t="s">
        <v>81</v>
      </c>
      <c r="D130" s="66" t="s">
        <v>447</v>
      </c>
      <c r="E130" s="59" t="s">
        <v>260</v>
      </c>
      <c r="F130" s="60">
        <v>784644.95</v>
      </c>
      <c r="G130" s="60">
        <v>550423.11</v>
      </c>
      <c r="H130" s="60">
        <v>234221.84</v>
      </c>
      <c r="I130" s="59"/>
      <c r="J130" s="60">
        <v>46844.4</v>
      </c>
      <c r="K130" s="59"/>
      <c r="L130" s="59"/>
      <c r="M130" s="60">
        <v>784644.95</v>
      </c>
      <c r="N130" s="60">
        <v>597267.51</v>
      </c>
      <c r="O130" s="60">
        <v>187377.44</v>
      </c>
      <c r="P130" s="55"/>
      <c r="Q130" s="55"/>
      <c r="R130" s="61">
        <f t="shared" si="40"/>
        <v>3903.7000000000003</v>
      </c>
      <c r="S130" s="60">
        <v>3903.7</v>
      </c>
      <c r="T130" s="60">
        <v>3903.7</v>
      </c>
      <c r="U130" s="60">
        <v>3903.7</v>
      </c>
      <c r="V130" s="60">
        <v>3903.7</v>
      </c>
      <c r="W130" s="60">
        <v>3903.7</v>
      </c>
      <c r="X130" s="61">
        <f t="shared" si="41"/>
        <v>23422.2</v>
      </c>
      <c r="Y130" s="60">
        <v>3903.7</v>
      </c>
      <c r="Z130" s="60">
        <v>3903.7</v>
      </c>
      <c r="AA130" s="60">
        <v>3903.7</v>
      </c>
      <c r="AB130" s="60">
        <v>3903.7</v>
      </c>
      <c r="AC130" s="60">
        <v>3903.7</v>
      </c>
      <c r="AD130" s="60">
        <v>3903.7</v>
      </c>
      <c r="AE130" s="61">
        <f t="shared" si="42"/>
        <v>23422.2</v>
      </c>
      <c r="AF130" s="62">
        <f t="shared" si="58"/>
        <v>784644.95</v>
      </c>
      <c r="AG130" s="62">
        <f t="shared" si="59"/>
        <v>644111.90999999945</v>
      </c>
      <c r="AH130" s="62">
        <f t="shared" si="46"/>
        <v>140533.0400000005</v>
      </c>
      <c r="AI130" s="63"/>
      <c r="AJ130" s="63"/>
      <c r="AK130" s="62"/>
      <c r="AL130" s="60">
        <v>3903.7</v>
      </c>
      <c r="AM130" s="60">
        <v>3903.7</v>
      </c>
      <c r="AN130" s="60">
        <v>3903.7</v>
      </c>
      <c r="AO130" s="60">
        <v>3903.7</v>
      </c>
      <c r="AP130" s="60">
        <v>3903.7</v>
      </c>
      <c r="AQ130" s="60">
        <v>3903.7</v>
      </c>
      <c r="AR130" s="61">
        <f t="shared" si="43"/>
        <v>23422.2</v>
      </c>
      <c r="AS130" s="60">
        <v>3903.7</v>
      </c>
      <c r="AT130" s="60">
        <v>3903.7</v>
      </c>
      <c r="AU130" s="60">
        <v>3903.7</v>
      </c>
      <c r="AV130" s="60">
        <v>3903.7</v>
      </c>
      <c r="AW130" s="60">
        <v>3903.7</v>
      </c>
      <c r="AX130" s="60">
        <v>3903.7</v>
      </c>
      <c r="AY130" s="61">
        <f t="shared" si="44"/>
        <v>23422.2</v>
      </c>
      <c r="AZ130" s="56">
        <f t="shared" si="39"/>
        <v>46844.4</v>
      </c>
      <c r="BA130" s="62">
        <f t="shared" si="47"/>
        <v>784644.95</v>
      </c>
      <c r="BB130" s="62">
        <f t="shared" si="45"/>
        <v>690956.30999999889</v>
      </c>
      <c r="BC130" s="62">
        <f t="shared" si="48"/>
        <v>93688.640000001062</v>
      </c>
      <c r="BD130" s="63"/>
      <c r="BE130" s="57"/>
      <c r="BF130" s="35" t="str">
        <f>VLOOKUP(A:A,'2023-2027'!A:G,1,+FALSE)</f>
        <v>Шкаф распред устройств с ячейками КРУ  №8</v>
      </c>
      <c r="BG130" s="7" t="b">
        <f t="shared" si="51"/>
        <v>1</v>
      </c>
      <c r="BH130" s="35">
        <f>VLOOKUP(A:A,'2023-2027'!A:AT,43,+FALSE)</f>
        <v>4359.1400000000003</v>
      </c>
    </row>
    <row r="131" spans="1:60" ht="24" hidden="1" customHeight="1" outlineLevel="1" x14ac:dyDescent="0.2">
      <c r="A131" s="59" t="s">
        <v>448</v>
      </c>
      <c r="B131" s="59" t="s">
        <v>77</v>
      </c>
      <c r="C131" s="59" t="s">
        <v>81</v>
      </c>
      <c r="D131" s="66" t="s">
        <v>449</v>
      </c>
      <c r="E131" s="59" t="s">
        <v>260</v>
      </c>
      <c r="F131" s="60">
        <v>784644.95</v>
      </c>
      <c r="G131" s="60">
        <v>550423.11</v>
      </c>
      <c r="H131" s="60">
        <v>234221.84</v>
      </c>
      <c r="I131" s="59"/>
      <c r="J131" s="60">
        <v>46844.4</v>
      </c>
      <c r="K131" s="59"/>
      <c r="L131" s="59"/>
      <c r="M131" s="60">
        <v>784644.95</v>
      </c>
      <c r="N131" s="60">
        <v>597267.51</v>
      </c>
      <c r="O131" s="60">
        <v>187377.44</v>
      </c>
      <c r="P131" s="55"/>
      <c r="Q131" s="55"/>
      <c r="R131" s="61">
        <f t="shared" si="40"/>
        <v>3903.7000000000003</v>
      </c>
      <c r="S131" s="60">
        <v>3903.7</v>
      </c>
      <c r="T131" s="60">
        <v>3903.7</v>
      </c>
      <c r="U131" s="60">
        <v>3903.7</v>
      </c>
      <c r="V131" s="60">
        <v>3903.7</v>
      </c>
      <c r="W131" s="60">
        <v>3903.7</v>
      </c>
      <c r="X131" s="61">
        <f t="shared" si="41"/>
        <v>23422.2</v>
      </c>
      <c r="Y131" s="60">
        <v>3903.7</v>
      </c>
      <c r="Z131" s="60">
        <v>3903.7</v>
      </c>
      <c r="AA131" s="60">
        <v>3903.7</v>
      </c>
      <c r="AB131" s="60">
        <v>3903.7</v>
      </c>
      <c r="AC131" s="60">
        <v>3903.7</v>
      </c>
      <c r="AD131" s="60">
        <v>3903.7</v>
      </c>
      <c r="AE131" s="61">
        <f t="shared" si="42"/>
        <v>23422.2</v>
      </c>
      <c r="AF131" s="62">
        <f t="shared" si="58"/>
        <v>784644.95</v>
      </c>
      <c r="AG131" s="62">
        <f t="shared" si="59"/>
        <v>644111.90999999945</v>
      </c>
      <c r="AH131" s="62">
        <f t="shared" si="46"/>
        <v>140533.0400000005</v>
      </c>
      <c r="AI131" s="63"/>
      <c r="AJ131" s="63"/>
      <c r="AK131" s="62"/>
      <c r="AL131" s="60">
        <v>3903.7</v>
      </c>
      <c r="AM131" s="60">
        <v>3903.7</v>
      </c>
      <c r="AN131" s="60">
        <v>3903.7</v>
      </c>
      <c r="AO131" s="60">
        <v>3903.7</v>
      </c>
      <c r="AP131" s="60">
        <v>3903.7</v>
      </c>
      <c r="AQ131" s="60">
        <v>3903.7</v>
      </c>
      <c r="AR131" s="61">
        <f t="shared" si="43"/>
        <v>23422.2</v>
      </c>
      <c r="AS131" s="60">
        <v>3903.7</v>
      </c>
      <c r="AT131" s="60">
        <v>3903.7</v>
      </c>
      <c r="AU131" s="60">
        <v>3903.7</v>
      </c>
      <c r="AV131" s="60">
        <v>3903.7</v>
      </c>
      <c r="AW131" s="60">
        <v>3903.7</v>
      </c>
      <c r="AX131" s="60">
        <v>3903.7</v>
      </c>
      <c r="AY131" s="61">
        <f t="shared" si="44"/>
        <v>23422.2</v>
      </c>
      <c r="AZ131" s="56">
        <f t="shared" si="39"/>
        <v>46844.4</v>
      </c>
      <c r="BA131" s="62">
        <f t="shared" si="47"/>
        <v>784644.95</v>
      </c>
      <c r="BB131" s="62">
        <f t="shared" si="45"/>
        <v>690956.30999999889</v>
      </c>
      <c r="BC131" s="62">
        <f t="shared" si="48"/>
        <v>93688.640000001062</v>
      </c>
      <c r="BD131" s="63"/>
      <c r="BE131" s="57"/>
      <c r="BF131" s="35" t="str">
        <f>VLOOKUP(A:A,'2023-2027'!A:G,1,+FALSE)</f>
        <v>Шкаф распред устройств с ячейками КРУ №10</v>
      </c>
      <c r="BG131" s="7" t="b">
        <f t="shared" si="51"/>
        <v>1</v>
      </c>
      <c r="BH131" s="35">
        <f>VLOOKUP(A:A,'2023-2027'!A:AT,43,+FALSE)</f>
        <v>4359.1400000000003</v>
      </c>
    </row>
    <row r="132" spans="1:60" ht="24" hidden="1" customHeight="1" outlineLevel="1" x14ac:dyDescent="0.2">
      <c r="A132" s="59" t="s">
        <v>450</v>
      </c>
      <c r="B132" s="59" t="s">
        <v>77</v>
      </c>
      <c r="C132" s="59" t="s">
        <v>81</v>
      </c>
      <c r="D132" s="66" t="s">
        <v>451</v>
      </c>
      <c r="E132" s="59" t="s">
        <v>260</v>
      </c>
      <c r="F132" s="60">
        <v>784644.95</v>
      </c>
      <c r="G132" s="60">
        <v>550423.11</v>
      </c>
      <c r="H132" s="60">
        <v>234221.84</v>
      </c>
      <c r="I132" s="59"/>
      <c r="J132" s="60">
        <v>46844.4</v>
      </c>
      <c r="K132" s="59"/>
      <c r="L132" s="59"/>
      <c r="M132" s="60">
        <v>784644.95</v>
      </c>
      <c r="N132" s="60">
        <v>597267.51</v>
      </c>
      <c r="O132" s="60">
        <v>187377.44</v>
      </c>
      <c r="P132" s="55"/>
      <c r="Q132" s="55"/>
      <c r="R132" s="61">
        <f t="shared" si="40"/>
        <v>3903.7000000000003</v>
      </c>
      <c r="S132" s="60">
        <v>3903.7</v>
      </c>
      <c r="T132" s="60">
        <v>3903.7</v>
      </c>
      <c r="U132" s="60">
        <v>3903.7</v>
      </c>
      <c r="V132" s="60">
        <v>3903.7</v>
      </c>
      <c r="W132" s="60">
        <v>3903.7</v>
      </c>
      <c r="X132" s="61">
        <f t="shared" si="41"/>
        <v>23422.2</v>
      </c>
      <c r="Y132" s="60">
        <v>3903.7</v>
      </c>
      <c r="Z132" s="60">
        <v>3903.7</v>
      </c>
      <c r="AA132" s="60">
        <v>3903.7</v>
      </c>
      <c r="AB132" s="60">
        <v>3903.7</v>
      </c>
      <c r="AC132" s="60">
        <v>3903.7</v>
      </c>
      <c r="AD132" s="60">
        <v>3903.7</v>
      </c>
      <c r="AE132" s="61">
        <f t="shared" si="42"/>
        <v>23422.2</v>
      </c>
      <c r="AF132" s="62">
        <f t="shared" si="58"/>
        <v>784644.95</v>
      </c>
      <c r="AG132" s="62">
        <f t="shared" si="59"/>
        <v>644111.90999999945</v>
      </c>
      <c r="AH132" s="62">
        <f t="shared" si="46"/>
        <v>140533.0400000005</v>
      </c>
      <c r="AI132" s="63"/>
      <c r="AJ132" s="63"/>
      <c r="AK132" s="62"/>
      <c r="AL132" s="60">
        <v>3903.7</v>
      </c>
      <c r="AM132" s="60">
        <v>3903.7</v>
      </c>
      <c r="AN132" s="60">
        <v>3903.7</v>
      </c>
      <c r="AO132" s="60">
        <v>3903.7</v>
      </c>
      <c r="AP132" s="60">
        <v>3903.7</v>
      </c>
      <c r="AQ132" s="60">
        <v>3903.7</v>
      </c>
      <c r="AR132" s="61">
        <f t="shared" si="43"/>
        <v>23422.2</v>
      </c>
      <c r="AS132" s="60">
        <v>3903.7</v>
      </c>
      <c r="AT132" s="60">
        <v>3903.7</v>
      </c>
      <c r="AU132" s="60">
        <v>3903.7</v>
      </c>
      <c r="AV132" s="60">
        <v>3903.7</v>
      </c>
      <c r="AW132" s="60">
        <v>3903.7</v>
      </c>
      <c r="AX132" s="60">
        <v>3903.7</v>
      </c>
      <c r="AY132" s="61">
        <f t="shared" si="44"/>
        <v>23422.2</v>
      </c>
      <c r="AZ132" s="56">
        <f t="shared" si="39"/>
        <v>46844.4</v>
      </c>
      <c r="BA132" s="62">
        <f t="shared" si="47"/>
        <v>784644.95</v>
      </c>
      <c r="BB132" s="62">
        <f t="shared" si="45"/>
        <v>690956.30999999889</v>
      </c>
      <c r="BC132" s="62">
        <f t="shared" si="48"/>
        <v>93688.640000001062</v>
      </c>
      <c r="BD132" s="63"/>
      <c r="BE132" s="57"/>
      <c r="BF132" s="35" t="str">
        <f>VLOOKUP(A:A,'2023-2027'!A:G,1,+FALSE)</f>
        <v>Шкаф распред устройств с ячейками КРУ №11</v>
      </c>
      <c r="BG132" s="7" t="b">
        <f t="shared" si="51"/>
        <v>1</v>
      </c>
      <c r="BH132" s="35">
        <f>VLOOKUP(A:A,'2023-2027'!A:AT,43,+FALSE)</f>
        <v>4359.1400000000003</v>
      </c>
    </row>
    <row r="133" spans="1:60" ht="24" hidden="1" customHeight="1" outlineLevel="1" x14ac:dyDescent="0.2">
      <c r="A133" s="59" t="s">
        <v>452</v>
      </c>
      <c r="B133" s="59" t="s">
        <v>77</v>
      </c>
      <c r="C133" s="59" t="s">
        <v>81</v>
      </c>
      <c r="D133" s="66" t="s">
        <v>453</v>
      </c>
      <c r="E133" s="59" t="s">
        <v>260</v>
      </c>
      <c r="F133" s="60">
        <v>784644.95</v>
      </c>
      <c r="G133" s="60">
        <v>550423.11</v>
      </c>
      <c r="H133" s="60">
        <v>234221.84</v>
      </c>
      <c r="I133" s="59"/>
      <c r="J133" s="60">
        <v>46844.4</v>
      </c>
      <c r="K133" s="59"/>
      <c r="L133" s="59"/>
      <c r="M133" s="60">
        <v>784644.95</v>
      </c>
      <c r="N133" s="60">
        <v>597267.51</v>
      </c>
      <c r="O133" s="60">
        <v>187377.44</v>
      </c>
      <c r="P133" s="55"/>
      <c r="Q133" s="55"/>
      <c r="R133" s="61">
        <f t="shared" si="40"/>
        <v>3903.7000000000003</v>
      </c>
      <c r="S133" s="60">
        <v>3903.7</v>
      </c>
      <c r="T133" s="60">
        <v>3903.7</v>
      </c>
      <c r="U133" s="60">
        <v>3903.7</v>
      </c>
      <c r="V133" s="60">
        <v>3903.7</v>
      </c>
      <c r="W133" s="60">
        <v>3903.7</v>
      </c>
      <c r="X133" s="61">
        <f t="shared" si="41"/>
        <v>23422.2</v>
      </c>
      <c r="Y133" s="60">
        <v>3903.7</v>
      </c>
      <c r="Z133" s="60">
        <v>3903.7</v>
      </c>
      <c r="AA133" s="60">
        <v>3903.7</v>
      </c>
      <c r="AB133" s="60">
        <v>3903.7</v>
      </c>
      <c r="AC133" s="60">
        <v>3903.7</v>
      </c>
      <c r="AD133" s="60">
        <v>3903.7</v>
      </c>
      <c r="AE133" s="61">
        <f t="shared" si="42"/>
        <v>23422.2</v>
      </c>
      <c r="AF133" s="62">
        <f t="shared" si="58"/>
        <v>784644.95</v>
      </c>
      <c r="AG133" s="62">
        <f t="shared" si="59"/>
        <v>644111.90999999945</v>
      </c>
      <c r="AH133" s="62">
        <f t="shared" si="46"/>
        <v>140533.0400000005</v>
      </c>
      <c r="AI133" s="63"/>
      <c r="AJ133" s="63"/>
      <c r="AK133" s="62"/>
      <c r="AL133" s="60">
        <v>3903.7</v>
      </c>
      <c r="AM133" s="60">
        <v>3903.7</v>
      </c>
      <c r="AN133" s="60">
        <v>3903.7</v>
      </c>
      <c r="AO133" s="60">
        <v>3903.7</v>
      </c>
      <c r="AP133" s="60">
        <v>3903.7</v>
      </c>
      <c r="AQ133" s="60">
        <v>3903.7</v>
      </c>
      <c r="AR133" s="61">
        <f t="shared" si="43"/>
        <v>23422.2</v>
      </c>
      <c r="AS133" s="60">
        <v>3903.7</v>
      </c>
      <c r="AT133" s="60">
        <v>3903.7</v>
      </c>
      <c r="AU133" s="60">
        <v>3903.7</v>
      </c>
      <c r="AV133" s="60">
        <v>3903.7</v>
      </c>
      <c r="AW133" s="60">
        <v>3903.7</v>
      </c>
      <c r="AX133" s="60">
        <v>3903.7</v>
      </c>
      <c r="AY133" s="61">
        <f t="shared" si="44"/>
        <v>23422.2</v>
      </c>
      <c r="AZ133" s="56">
        <f t="shared" si="39"/>
        <v>46844.4</v>
      </c>
      <c r="BA133" s="62">
        <f t="shared" si="47"/>
        <v>784644.95</v>
      </c>
      <c r="BB133" s="62">
        <f t="shared" si="45"/>
        <v>690956.30999999889</v>
      </c>
      <c r="BC133" s="62">
        <f t="shared" si="48"/>
        <v>93688.640000001062</v>
      </c>
      <c r="BD133" s="63"/>
      <c r="BE133" s="57"/>
      <c r="BF133" s="35" t="str">
        <f>VLOOKUP(A:A,'2023-2027'!A:G,1,+FALSE)</f>
        <v>Шкаф распред устройств с ячейками КРУ №12</v>
      </c>
      <c r="BG133" s="7" t="b">
        <f t="shared" si="51"/>
        <v>1</v>
      </c>
      <c r="BH133" s="35">
        <f>VLOOKUP(A:A,'2023-2027'!A:AT,43,+FALSE)</f>
        <v>4359.1400000000003</v>
      </c>
    </row>
    <row r="134" spans="1:60" ht="24" hidden="1" customHeight="1" outlineLevel="1" x14ac:dyDescent="0.2">
      <c r="A134" s="59" t="s">
        <v>454</v>
      </c>
      <c r="B134" s="59" t="s">
        <v>77</v>
      </c>
      <c r="C134" s="59" t="s">
        <v>81</v>
      </c>
      <c r="D134" s="66" t="s">
        <v>455</v>
      </c>
      <c r="E134" s="59" t="s">
        <v>260</v>
      </c>
      <c r="F134" s="60">
        <v>784644.95</v>
      </c>
      <c r="G134" s="60">
        <v>550423.11</v>
      </c>
      <c r="H134" s="60">
        <v>234221.84</v>
      </c>
      <c r="I134" s="59"/>
      <c r="J134" s="60">
        <v>46844.4</v>
      </c>
      <c r="K134" s="59"/>
      <c r="L134" s="59"/>
      <c r="M134" s="60">
        <v>784644.95</v>
      </c>
      <c r="N134" s="60">
        <v>597267.51</v>
      </c>
      <c r="O134" s="60">
        <v>187377.44</v>
      </c>
      <c r="P134" s="55"/>
      <c r="Q134" s="55"/>
      <c r="R134" s="61">
        <f t="shared" si="40"/>
        <v>3903.7000000000003</v>
      </c>
      <c r="S134" s="60">
        <v>3903.7</v>
      </c>
      <c r="T134" s="60">
        <v>3903.7</v>
      </c>
      <c r="U134" s="60">
        <v>3903.7</v>
      </c>
      <c r="V134" s="60">
        <v>3903.7</v>
      </c>
      <c r="W134" s="60">
        <v>3903.7</v>
      </c>
      <c r="X134" s="61">
        <f t="shared" si="41"/>
        <v>23422.2</v>
      </c>
      <c r="Y134" s="60">
        <v>3903.7</v>
      </c>
      <c r="Z134" s="60">
        <v>3903.7</v>
      </c>
      <c r="AA134" s="60">
        <v>3903.7</v>
      </c>
      <c r="AB134" s="60">
        <v>3903.7</v>
      </c>
      <c r="AC134" s="60">
        <v>3903.7</v>
      </c>
      <c r="AD134" s="60">
        <v>3903.7</v>
      </c>
      <c r="AE134" s="61">
        <f t="shared" si="42"/>
        <v>23422.2</v>
      </c>
      <c r="AF134" s="62">
        <f t="shared" si="58"/>
        <v>784644.95</v>
      </c>
      <c r="AG134" s="62">
        <f t="shared" si="59"/>
        <v>644111.90999999945</v>
      </c>
      <c r="AH134" s="62">
        <f t="shared" si="46"/>
        <v>140533.0400000005</v>
      </c>
      <c r="AI134" s="63"/>
      <c r="AJ134" s="63"/>
      <c r="AK134" s="62"/>
      <c r="AL134" s="60">
        <v>3903.7</v>
      </c>
      <c r="AM134" s="60">
        <v>3903.7</v>
      </c>
      <c r="AN134" s="60">
        <v>3903.7</v>
      </c>
      <c r="AO134" s="60">
        <v>3903.7</v>
      </c>
      <c r="AP134" s="60">
        <v>3903.7</v>
      </c>
      <c r="AQ134" s="60">
        <v>3903.7</v>
      </c>
      <c r="AR134" s="61">
        <f t="shared" si="43"/>
        <v>23422.2</v>
      </c>
      <c r="AS134" s="60">
        <v>3903.7</v>
      </c>
      <c r="AT134" s="60">
        <v>3903.7</v>
      </c>
      <c r="AU134" s="60">
        <v>3903.7</v>
      </c>
      <c r="AV134" s="60">
        <v>3903.7</v>
      </c>
      <c r="AW134" s="60">
        <v>3903.7</v>
      </c>
      <c r="AX134" s="60">
        <v>3903.7</v>
      </c>
      <c r="AY134" s="61">
        <f t="shared" si="44"/>
        <v>23422.2</v>
      </c>
      <c r="AZ134" s="56">
        <f t="shared" si="39"/>
        <v>46844.4</v>
      </c>
      <c r="BA134" s="62">
        <f t="shared" si="47"/>
        <v>784644.95</v>
      </c>
      <c r="BB134" s="62">
        <f t="shared" si="45"/>
        <v>690956.30999999889</v>
      </c>
      <c r="BC134" s="62">
        <f t="shared" si="48"/>
        <v>93688.640000001062</v>
      </c>
      <c r="BD134" s="63"/>
      <c r="BE134" s="57"/>
      <c r="BF134" s="35" t="str">
        <f>VLOOKUP(A:A,'2023-2027'!A:G,1,+FALSE)</f>
        <v>Шкаф распред устройств с ячейками КРУ №13</v>
      </c>
      <c r="BG134" s="7" t="b">
        <f t="shared" si="51"/>
        <v>1</v>
      </c>
      <c r="BH134" s="35">
        <f>VLOOKUP(A:A,'2023-2027'!A:AT,43,+FALSE)</f>
        <v>4359.1400000000003</v>
      </c>
    </row>
    <row r="135" spans="1:60" ht="24" hidden="1" customHeight="1" outlineLevel="1" x14ac:dyDescent="0.2">
      <c r="A135" s="59" t="s">
        <v>456</v>
      </c>
      <c r="B135" s="59" t="s">
        <v>77</v>
      </c>
      <c r="C135" s="59" t="s">
        <v>81</v>
      </c>
      <c r="D135" s="66" t="s">
        <v>457</v>
      </c>
      <c r="E135" s="59" t="s">
        <v>260</v>
      </c>
      <c r="F135" s="60">
        <v>784644.95</v>
      </c>
      <c r="G135" s="60">
        <v>550423.11</v>
      </c>
      <c r="H135" s="60">
        <v>234221.84</v>
      </c>
      <c r="I135" s="59"/>
      <c r="J135" s="60">
        <v>46844.4</v>
      </c>
      <c r="K135" s="59"/>
      <c r="L135" s="59"/>
      <c r="M135" s="60">
        <v>784644.95</v>
      </c>
      <c r="N135" s="60">
        <v>597267.51</v>
      </c>
      <c r="O135" s="60">
        <v>187377.44</v>
      </c>
      <c r="P135" s="55"/>
      <c r="Q135" s="55"/>
      <c r="R135" s="61">
        <f t="shared" si="40"/>
        <v>3903.7000000000003</v>
      </c>
      <c r="S135" s="60">
        <v>3903.7</v>
      </c>
      <c r="T135" s="60">
        <v>3903.7</v>
      </c>
      <c r="U135" s="60">
        <v>3903.7</v>
      </c>
      <c r="V135" s="60">
        <v>3903.7</v>
      </c>
      <c r="W135" s="60">
        <v>3903.7</v>
      </c>
      <c r="X135" s="61">
        <f t="shared" si="41"/>
        <v>23422.2</v>
      </c>
      <c r="Y135" s="60">
        <v>3903.7</v>
      </c>
      <c r="Z135" s="60">
        <v>3903.7</v>
      </c>
      <c r="AA135" s="60">
        <v>3903.7</v>
      </c>
      <c r="AB135" s="60">
        <v>3903.7</v>
      </c>
      <c r="AC135" s="60">
        <v>3903.7</v>
      </c>
      <c r="AD135" s="60">
        <v>3903.7</v>
      </c>
      <c r="AE135" s="61">
        <f t="shared" si="42"/>
        <v>23422.2</v>
      </c>
      <c r="AF135" s="62">
        <f t="shared" si="58"/>
        <v>784644.95</v>
      </c>
      <c r="AG135" s="62">
        <f t="shared" si="59"/>
        <v>644111.90999999945</v>
      </c>
      <c r="AH135" s="62">
        <f t="shared" si="46"/>
        <v>140533.0400000005</v>
      </c>
      <c r="AI135" s="63"/>
      <c r="AJ135" s="63"/>
      <c r="AK135" s="62"/>
      <c r="AL135" s="60">
        <v>3903.7</v>
      </c>
      <c r="AM135" s="60">
        <v>3903.7</v>
      </c>
      <c r="AN135" s="60">
        <v>3903.7</v>
      </c>
      <c r="AO135" s="60">
        <v>3903.7</v>
      </c>
      <c r="AP135" s="60">
        <v>3903.7</v>
      </c>
      <c r="AQ135" s="60">
        <v>3903.7</v>
      </c>
      <c r="AR135" s="61">
        <f t="shared" si="43"/>
        <v>23422.2</v>
      </c>
      <c r="AS135" s="60">
        <v>3903.7</v>
      </c>
      <c r="AT135" s="60">
        <v>3903.7</v>
      </c>
      <c r="AU135" s="60">
        <v>3903.7</v>
      </c>
      <c r="AV135" s="60">
        <v>3903.7</v>
      </c>
      <c r="AW135" s="60">
        <v>3903.7</v>
      </c>
      <c r="AX135" s="60">
        <v>3903.7</v>
      </c>
      <c r="AY135" s="61">
        <f t="shared" si="44"/>
        <v>23422.2</v>
      </c>
      <c r="AZ135" s="56">
        <f t="shared" si="39"/>
        <v>46844.4</v>
      </c>
      <c r="BA135" s="62">
        <f t="shared" si="47"/>
        <v>784644.95</v>
      </c>
      <c r="BB135" s="62">
        <f t="shared" si="45"/>
        <v>690956.30999999889</v>
      </c>
      <c r="BC135" s="62">
        <f t="shared" si="48"/>
        <v>93688.640000001062</v>
      </c>
      <c r="BD135" s="63"/>
      <c r="BE135" s="57"/>
      <c r="BF135" s="35" t="str">
        <f>VLOOKUP(A:A,'2023-2027'!A:G,1,+FALSE)</f>
        <v>Шкаф распред устройств с ячейками КРУ №14</v>
      </c>
      <c r="BG135" s="7" t="b">
        <f t="shared" si="51"/>
        <v>1</v>
      </c>
      <c r="BH135" s="35">
        <f>VLOOKUP(A:A,'2023-2027'!A:AT,43,+FALSE)</f>
        <v>4359.1400000000003</v>
      </c>
    </row>
    <row r="136" spans="1:60" ht="24" hidden="1" customHeight="1" outlineLevel="1" x14ac:dyDescent="0.2">
      <c r="A136" s="59" t="s">
        <v>458</v>
      </c>
      <c r="B136" s="59" t="s">
        <v>77</v>
      </c>
      <c r="C136" s="59" t="s">
        <v>81</v>
      </c>
      <c r="D136" s="66" t="s">
        <v>459</v>
      </c>
      <c r="E136" s="59" t="s">
        <v>260</v>
      </c>
      <c r="F136" s="60">
        <v>784644.95</v>
      </c>
      <c r="G136" s="60">
        <v>550423.11</v>
      </c>
      <c r="H136" s="60">
        <v>234221.84</v>
      </c>
      <c r="I136" s="59"/>
      <c r="J136" s="60">
        <v>46844.4</v>
      </c>
      <c r="K136" s="59"/>
      <c r="L136" s="59"/>
      <c r="M136" s="60">
        <v>784644.95</v>
      </c>
      <c r="N136" s="60">
        <v>597267.51</v>
      </c>
      <c r="O136" s="60">
        <v>187377.44</v>
      </c>
      <c r="P136" s="55"/>
      <c r="Q136" s="55"/>
      <c r="R136" s="61">
        <f t="shared" si="40"/>
        <v>3903.7000000000003</v>
      </c>
      <c r="S136" s="60">
        <v>3903.7</v>
      </c>
      <c r="T136" s="60">
        <v>3903.7</v>
      </c>
      <c r="U136" s="60">
        <v>3903.7</v>
      </c>
      <c r="V136" s="60">
        <v>3903.7</v>
      </c>
      <c r="W136" s="60">
        <v>3903.7</v>
      </c>
      <c r="X136" s="61">
        <f t="shared" si="41"/>
        <v>23422.2</v>
      </c>
      <c r="Y136" s="60">
        <v>3903.7</v>
      </c>
      <c r="Z136" s="60">
        <v>3903.7</v>
      </c>
      <c r="AA136" s="60">
        <v>3903.7</v>
      </c>
      <c r="AB136" s="60">
        <v>3903.7</v>
      </c>
      <c r="AC136" s="60">
        <v>3903.7</v>
      </c>
      <c r="AD136" s="60">
        <v>3903.7</v>
      </c>
      <c r="AE136" s="61">
        <f t="shared" si="42"/>
        <v>23422.2</v>
      </c>
      <c r="AF136" s="62">
        <f t="shared" si="58"/>
        <v>784644.95</v>
      </c>
      <c r="AG136" s="62">
        <f t="shared" si="59"/>
        <v>644111.90999999945</v>
      </c>
      <c r="AH136" s="62">
        <f t="shared" si="46"/>
        <v>140533.0400000005</v>
      </c>
      <c r="AI136" s="63"/>
      <c r="AJ136" s="63"/>
      <c r="AK136" s="62"/>
      <c r="AL136" s="60">
        <v>3903.7</v>
      </c>
      <c r="AM136" s="60">
        <v>3903.7</v>
      </c>
      <c r="AN136" s="60">
        <v>3903.7</v>
      </c>
      <c r="AO136" s="60">
        <v>3903.7</v>
      </c>
      <c r="AP136" s="60">
        <v>3903.7</v>
      </c>
      <c r="AQ136" s="60">
        <v>3903.7</v>
      </c>
      <c r="AR136" s="61">
        <f t="shared" si="43"/>
        <v>23422.2</v>
      </c>
      <c r="AS136" s="60">
        <v>3903.7</v>
      </c>
      <c r="AT136" s="60">
        <v>3903.7</v>
      </c>
      <c r="AU136" s="60">
        <v>3903.7</v>
      </c>
      <c r="AV136" s="60">
        <v>3903.7</v>
      </c>
      <c r="AW136" s="60">
        <v>3903.7</v>
      </c>
      <c r="AX136" s="60">
        <v>3903.7</v>
      </c>
      <c r="AY136" s="61">
        <f t="shared" si="44"/>
        <v>23422.2</v>
      </c>
      <c r="AZ136" s="56">
        <f t="shared" si="39"/>
        <v>46844.4</v>
      </c>
      <c r="BA136" s="62">
        <f t="shared" si="47"/>
        <v>784644.95</v>
      </c>
      <c r="BB136" s="62">
        <f t="shared" si="45"/>
        <v>690956.30999999889</v>
      </c>
      <c r="BC136" s="62">
        <f t="shared" si="48"/>
        <v>93688.640000001062</v>
      </c>
      <c r="BD136" s="63"/>
      <c r="BE136" s="57"/>
      <c r="BF136" s="35" t="str">
        <f>VLOOKUP(A:A,'2023-2027'!A:G,1,+FALSE)</f>
        <v>Шкаф распред устройств с ячейками КРУ №15</v>
      </c>
      <c r="BG136" s="7" t="b">
        <f t="shared" si="51"/>
        <v>1</v>
      </c>
      <c r="BH136" s="35">
        <f>VLOOKUP(A:A,'2023-2027'!A:AT,43,+FALSE)</f>
        <v>4359.1400000000003</v>
      </c>
    </row>
    <row r="137" spans="1:60" ht="24" hidden="1" customHeight="1" outlineLevel="1" x14ac:dyDescent="0.2">
      <c r="A137" s="59" t="s">
        <v>460</v>
      </c>
      <c r="B137" s="59" t="s">
        <v>77</v>
      </c>
      <c r="C137" s="59" t="s">
        <v>81</v>
      </c>
      <c r="D137" s="66" t="s">
        <v>461</v>
      </c>
      <c r="E137" s="59" t="s">
        <v>260</v>
      </c>
      <c r="F137" s="60">
        <v>784644.95</v>
      </c>
      <c r="G137" s="60">
        <v>550423.11</v>
      </c>
      <c r="H137" s="60">
        <v>234221.84</v>
      </c>
      <c r="I137" s="59"/>
      <c r="J137" s="60">
        <v>46844.4</v>
      </c>
      <c r="K137" s="59"/>
      <c r="L137" s="59"/>
      <c r="M137" s="60">
        <v>784644.95</v>
      </c>
      <c r="N137" s="60">
        <v>597267.51</v>
      </c>
      <c r="O137" s="60">
        <v>187377.44</v>
      </c>
      <c r="P137" s="55"/>
      <c r="Q137" s="55"/>
      <c r="R137" s="61">
        <f t="shared" si="40"/>
        <v>3903.7000000000003</v>
      </c>
      <c r="S137" s="60">
        <v>3903.7</v>
      </c>
      <c r="T137" s="60">
        <v>3903.7</v>
      </c>
      <c r="U137" s="60">
        <v>3903.7</v>
      </c>
      <c r="V137" s="60">
        <v>3903.7</v>
      </c>
      <c r="W137" s="60">
        <v>3903.7</v>
      </c>
      <c r="X137" s="61">
        <f t="shared" si="41"/>
        <v>23422.2</v>
      </c>
      <c r="Y137" s="60">
        <v>3903.7</v>
      </c>
      <c r="Z137" s="60">
        <v>3903.7</v>
      </c>
      <c r="AA137" s="60">
        <v>3903.7</v>
      </c>
      <c r="AB137" s="60">
        <v>3903.7</v>
      </c>
      <c r="AC137" s="60">
        <v>3903.7</v>
      </c>
      <c r="AD137" s="60">
        <v>3903.7</v>
      </c>
      <c r="AE137" s="61">
        <f t="shared" si="42"/>
        <v>23422.2</v>
      </c>
      <c r="AF137" s="62">
        <f t="shared" si="58"/>
        <v>784644.95</v>
      </c>
      <c r="AG137" s="62">
        <f t="shared" si="59"/>
        <v>644111.90999999945</v>
      </c>
      <c r="AH137" s="62">
        <f t="shared" si="46"/>
        <v>140533.0400000005</v>
      </c>
      <c r="AI137" s="63"/>
      <c r="AJ137" s="63"/>
      <c r="AK137" s="62"/>
      <c r="AL137" s="60">
        <v>3903.7</v>
      </c>
      <c r="AM137" s="60">
        <v>3903.7</v>
      </c>
      <c r="AN137" s="60">
        <v>3903.7</v>
      </c>
      <c r="AO137" s="60">
        <v>3903.7</v>
      </c>
      <c r="AP137" s="60">
        <v>3903.7</v>
      </c>
      <c r="AQ137" s="60">
        <v>3903.7</v>
      </c>
      <c r="AR137" s="61">
        <f t="shared" si="43"/>
        <v>23422.2</v>
      </c>
      <c r="AS137" s="60">
        <v>3903.7</v>
      </c>
      <c r="AT137" s="60">
        <v>3903.7</v>
      </c>
      <c r="AU137" s="60">
        <v>3903.7</v>
      </c>
      <c r="AV137" s="60">
        <v>3903.7</v>
      </c>
      <c r="AW137" s="60">
        <v>3903.7</v>
      </c>
      <c r="AX137" s="60">
        <v>3903.7</v>
      </c>
      <c r="AY137" s="61">
        <f t="shared" si="44"/>
        <v>23422.2</v>
      </c>
      <c r="AZ137" s="56">
        <f t="shared" si="39"/>
        <v>46844.4</v>
      </c>
      <c r="BA137" s="62">
        <f t="shared" si="47"/>
        <v>784644.95</v>
      </c>
      <c r="BB137" s="62">
        <f t="shared" si="45"/>
        <v>690956.30999999889</v>
      </c>
      <c r="BC137" s="62">
        <f t="shared" si="48"/>
        <v>93688.640000001062</v>
      </c>
      <c r="BD137" s="63"/>
      <c r="BE137" s="57"/>
      <c r="BF137" s="35" t="str">
        <f>VLOOKUP(A:A,'2023-2027'!A:G,1,+FALSE)</f>
        <v>Шкаф распред устройств с ячейками КРУ №16</v>
      </c>
      <c r="BG137" s="7" t="b">
        <f t="shared" si="51"/>
        <v>1</v>
      </c>
      <c r="BH137" s="35">
        <f>VLOOKUP(A:A,'2023-2027'!A:AT,43,+FALSE)</f>
        <v>4359.1400000000003</v>
      </c>
    </row>
    <row r="138" spans="1:60" ht="24" hidden="1" customHeight="1" outlineLevel="1" x14ac:dyDescent="0.2">
      <c r="A138" s="59" t="s">
        <v>462</v>
      </c>
      <c r="B138" s="59" t="s">
        <v>77</v>
      </c>
      <c r="C138" s="59" t="s">
        <v>81</v>
      </c>
      <c r="D138" s="66" t="s">
        <v>463</v>
      </c>
      <c r="E138" s="59" t="s">
        <v>260</v>
      </c>
      <c r="F138" s="60">
        <v>784644.95</v>
      </c>
      <c r="G138" s="60">
        <v>550423.11</v>
      </c>
      <c r="H138" s="60">
        <v>234221.84</v>
      </c>
      <c r="I138" s="59"/>
      <c r="J138" s="60">
        <v>46844.4</v>
      </c>
      <c r="K138" s="59"/>
      <c r="L138" s="59"/>
      <c r="M138" s="60">
        <v>784644.95</v>
      </c>
      <c r="N138" s="60">
        <v>597267.51</v>
      </c>
      <c r="O138" s="60">
        <v>187377.44</v>
      </c>
      <c r="P138" s="55"/>
      <c r="Q138" s="55"/>
      <c r="R138" s="61">
        <f t="shared" si="40"/>
        <v>3903.7000000000003</v>
      </c>
      <c r="S138" s="60">
        <v>3903.7</v>
      </c>
      <c r="T138" s="60">
        <v>3903.7</v>
      </c>
      <c r="U138" s="60">
        <v>3903.7</v>
      </c>
      <c r="V138" s="60">
        <v>3903.7</v>
      </c>
      <c r="W138" s="60">
        <v>3903.7</v>
      </c>
      <c r="X138" s="61">
        <f t="shared" si="41"/>
        <v>23422.2</v>
      </c>
      <c r="Y138" s="60">
        <v>3903.7</v>
      </c>
      <c r="Z138" s="60">
        <v>3903.7</v>
      </c>
      <c r="AA138" s="60">
        <v>3903.7</v>
      </c>
      <c r="AB138" s="60">
        <v>3903.7</v>
      </c>
      <c r="AC138" s="60">
        <v>3903.7</v>
      </c>
      <c r="AD138" s="60">
        <v>3903.7</v>
      </c>
      <c r="AE138" s="61">
        <f t="shared" si="42"/>
        <v>23422.2</v>
      </c>
      <c r="AF138" s="62">
        <f t="shared" si="58"/>
        <v>784644.95</v>
      </c>
      <c r="AG138" s="62">
        <f t="shared" si="59"/>
        <v>644111.90999999945</v>
      </c>
      <c r="AH138" s="62">
        <f t="shared" si="46"/>
        <v>140533.0400000005</v>
      </c>
      <c r="AI138" s="63"/>
      <c r="AJ138" s="63"/>
      <c r="AK138" s="62"/>
      <c r="AL138" s="60">
        <v>3903.7</v>
      </c>
      <c r="AM138" s="60">
        <v>3903.7</v>
      </c>
      <c r="AN138" s="60">
        <v>3903.7</v>
      </c>
      <c r="AO138" s="60">
        <v>3903.7</v>
      </c>
      <c r="AP138" s="60">
        <v>3903.7</v>
      </c>
      <c r="AQ138" s="60">
        <v>3903.7</v>
      </c>
      <c r="AR138" s="61">
        <f t="shared" si="43"/>
        <v>23422.2</v>
      </c>
      <c r="AS138" s="60">
        <v>3903.7</v>
      </c>
      <c r="AT138" s="60">
        <v>3903.7</v>
      </c>
      <c r="AU138" s="60">
        <v>3903.7</v>
      </c>
      <c r="AV138" s="60">
        <v>3903.7</v>
      </c>
      <c r="AW138" s="60">
        <v>3903.7</v>
      </c>
      <c r="AX138" s="60">
        <v>3903.7</v>
      </c>
      <c r="AY138" s="61">
        <f t="shared" si="44"/>
        <v>23422.2</v>
      </c>
      <c r="AZ138" s="56">
        <f t="shared" ref="AZ138:AZ201" si="64">AR138+AY138</f>
        <v>46844.4</v>
      </c>
      <c r="BA138" s="62">
        <f t="shared" si="47"/>
        <v>784644.95</v>
      </c>
      <c r="BB138" s="62">
        <f t="shared" si="45"/>
        <v>690956.30999999889</v>
      </c>
      <c r="BC138" s="62">
        <f t="shared" si="48"/>
        <v>93688.640000001062</v>
      </c>
      <c r="BD138" s="63"/>
      <c r="BE138" s="57"/>
      <c r="BF138" s="35" t="str">
        <f>VLOOKUP(A:A,'2023-2027'!A:G,1,+FALSE)</f>
        <v>Шкаф распред устройств с ячейками КРУ №17</v>
      </c>
      <c r="BG138" s="7" t="b">
        <f t="shared" si="51"/>
        <v>1</v>
      </c>
      <c r="BH138" s="35">
        <f>VLOOKUP(A:A,'2023-2027'!A:AT,43,+FALSE)</f>
        <v>4359.1400000000003</v>
      </c>
    </row>
    <row r="139" spans="1:60" ht="24" hidden="1" customHeight="1" outlineLevel="1" x14ac:dyDescent="0.2">
      <c r="A139" s="59" t="s">
        <v>464</v>
      </c>
      <c r="B139" s="59" t="s">
        <v>77</v>
      </c>
      <c r="C139" s="59" t="s">
        <v>81</v>
      </c>
      <c r="D139" s="66" t="s">
        <v>465</v>
      </c>
      <c r="E139" s="59" t="s">
        <v>260</v>
      </c>
      <c r="F139" s="60">
        <v>784644.95</v>
      </c>
      <c r="G139" s="60">
        <v>550423.11</v>
      </c>
      <c r="H139" s="60">
        <v>234221.84</v>
      </c>
      <c r="I139" s="59"/>
      <c r="J139" s="60">
        <v>46844.4</v>
      </c>
      <c r="K139" s="59"/>
      <c r="L139" s="59"/>
      <c r="M139" s="60">
        <v>784644.95</v>
      </c>
      <c r="N139" s="60">
        <v>597267.51</v>
      </c>
      <c r="O139" s="60">
        <v>187377.44</v>
      </c>
      <c r="P139" s="55"/>
      <c r="Q139" s="55"/>
      <c r="R139" s="61">
        <f t="shared" ref="R139:R202" si="65">J139/12</f>
        <v>3903.7000000000003</v>
      </c>
      <c r="S139" s="60">
        <v>3903.7</v>
      </c>
      <c r="T139" s="60">
        <v>3903.7</v>
      </c>
      <c r="U139" s="60">
        <v>3903.7</v>
      </c>
      <c r="V139" s="60">
        <v>3903.7</v>
      </c>
      <c r="W139" s="60">
        <v>3903.7</v>
      </c>
      <c r="X139" s="61">
        <f t="shared" ref="X139:X202" si="66">R139+S139+T139+U139+V139+W139</f>
        <v>23422.2</v>
      </c>
      <c r="Y139" s="60">
        <v>3903.7</v>
      </c>
      <c r="Z139" s="60">
        <v>3903.7</v>
      </c>
      <c r="AA139" s="60">
        <v>3903.7</v>
      </c>
      <c r="AB139" s="60">
        <v>3903.7</v>
      </c>
      <c r="AC139" s="60">
        <v>3903.7</v>
      </c>
      <c r="AD139" s="60">
        <v>3903.7</v>
      </c>
      <c r="AE139" s="61">
        <f t="shared" ref="AE139:AE202" si="67">Y139+Z139+AA139+AB139+AC139+AD139</f>
        <v>23422.2</v>
      </c>
      <c r="AF139" s="62">
        <f t="shared" si="58"/>
        <v>784644.95</v>
      </c>
      <c r="AG139" s="62">
        <f t="shared" si="59"/>
        <v>644111.90999999945</v>
      </c>
      <c r="AH139" s="62">
        <f t="shared" si="46"/>
        <v>140533.0400000005</v>
      </c>
      <c r="AI139" s="63"/>
      <c r="AJ139" s="63"/>
      <c r="AK139" s="62"/>
      <c r="AL139" s="60">
        <v>3903.7</v>
      </c>
      <c r="AM139" s="60">
        <v>3903.7</v>
      </c>
      <c r="AN139" s="60">
        <v>3903.7</v>
      </c>
      <c r="AO139" s="60">
        <v>3903.7</v>
      </c>
      <c r="AP139" s="60">
        <v>3903.7</v>
      </c>
      <c r="AQ139" s="60">
        <v>3903.7</v>
      </c>
      <c r="AR139" s="61">
        <f t="shared" ref="AR139:AR202" si="68">AL139+AM139+AN139+AO139+AP139+AQ139</f>
        <v>23422.2</v>
      </c>
      <c r="AS139" s="60">
        <v>3903.7</v>
      </c>
      <c r="AT139" s="60">
        <v>3903.7</v>
      </c>
      <c r="AU139" s="60">
        <v>3903.7</v>
      </c>
      <c r="AV139" s="60">
        <v>3903.7</v>
      </c>
      <c r="AW139" s="60">
        <v>3903.7</v>
      </c>
      <c r="AX139" s="60">
        <v>3903.7</v>
      </c>
      <c r="AY139" s="61">
        <f t="shared" ref="AY139:AY202" si="69">AS139+AT139+AU139+AV139+AW139+AX139</f>
        <v>23422.2</v>
      </c>
      <c r="AZ139" s="56">
        <f t="shared" si="64"/>
        <v>46844.4</v>
      </c>
      <c r="BA139" s="62">
        <f t="shared" si="47"/>
        <v>784644.95</v>
      </c>
      <c r="BB139" s="62">
        <f t="shared" ref="BB139:BB202" si="70">AG139+AL139+AM139+AN139+AO139+AP139+AQ139+AS139+AT139+AU139+AV139+AW139+AX139</f>
        <v>690956.30999999889</v>
      </c>
      <c r="BC139" s="62">
        <f t="shared" si="48"/>
        <v>93688.640000001062</v>
      </c>
      <c r="BD139" s="63"/>
      <c r="BE139" s="57"/>
      <c r="BF139" s="35" t="str">
        <f>VLOOKUP(A:A,'2023-2027'!A:G,1,+FALSE)</f>
        <v>Шкаф распред устройств с ячейками КРУ №18</v>
      </c>
      <c r="BG139" s="7" t="b">
        <f t="shared" si="51"/>
        <v>1</v>
      </c>
      <c r="BH139" s="35">
        <f>VLOOKUP(A:A,'2023-2027'!A:AT,43,+FALSE)</f>
        <v>4359.1400000000003</v>
      </c>
    </row>
    <row r="140" spans="1:60" ht="24" hidden="1" customHeight="1" outlineLevel="1" x14ac:dyDescent="0.2">
      <c r="A140" s="59" t="s">
        <v>466</v>
      </c>
      <c r="B140" s="59" t="s">
        <v>77</v>
      </c>
      <c r="C140" s="59" t="s">
        <v>81</v>
      </c>
      <c r="D140" s="66" t="s">
        <v>467</v>
      </c>
      <c r="E140" s="59" t="s">
        <v>260</v>
      </c>
      <c r="F140" s="60">
        <v>784644.95</v>
      </c>
      <c r="G140" s="60">
        <v>550423.11</v>
      </c>
      <c r="H140" s="60">
        <v>234221.84</v>
      </c>
      <c r="I140" s="59"/>
      <c r="J140" s="60">
        <v>46844.4</v>
      </c>
      <c r="K140" s="59"/>
      <c r="L140" s="59"/>
      <c r="M140" s="60">
        <v>784644.95</v>
      </c>
      <c r="N140" s="60">
        <v>597267.51</v>
      </c>
      <c r="O140" s="60">
        <v>187377.44</v>
      </c>
      <c r="P140" s="55"/>
      <c r="Q140" s="55"/>
      <c r="R140" s="61">
        <f t="shared" si="65"/>
        <v>3903.7000000000003</v>
      </c>
      <c r="S140" s="60">
        <v>3903.7</v>
      </c>
      <c r="T140" s="60">
        <v>3903.7</v>
      </c>
      <c r="U140" s="60">
        <v>3903.7</v>
      </c>
      <c r="V140" s="60">
        <v>3903.7</v>
      </c>
      <c r="W140" s="60">
        <v>3903.7</v>
      </c>
      <c r="X140" s="61">
        <f t="shared" si="66"/>
        <v>23422.2</v>
      </c>
      <c r="Y140" s="60">
        <v>3903.7</v>
      </c>
      <c r="Z140" s="60">
        <v>3903.7</v>
      </c>
      <c r="AA140" s="60">
        <v>3903.7</v>
      </c>
      <c r="AB140" s="60">
        <v>3903.7</v>
      </c>
      <c r="AC140" s="60">
        <v>3903.7</v>
      </c>
      <c r="AD140" s="60">
        <v>3903.7</v>
      </c>
      <c r="AE140" s="61">
        <f t="shared" si="67"/>
        <v>23422.2</v>
      </c>
      <c r="AF140" s="62">
        <f t="shared" si="58"/>
        <v>784644.95</v>
      </c>
      <c r="AG140" s="62">
        <f t="shared" si="59"/>
        <v>644111.90999999945</v>
      </c>
      <c r="AH140" s="62">
        <f t="shared" si="46"/>
        <v>140533.0400000005</v>
      </c>
      <c r="AI140" s="63"/>
      <c r="AJ140" s="63"/>
      <c r="AK140" s="62"/>
      <c r="AL140" s="60">
        <v>3903.7</v>
      </c>
      <c r="AM140" s="60">
        <v>3903.7</v>
      </c>
      <c r="AN140" s="60">
        <v>3903.7</v>
      </c>
      <c r="AO140" s="60">
        <v>3903.7</v>
      </c>
      <c r="AP140" s="60">
        <v>3903.7</v>
      </c>
      <c r="AQ140" s="60">
        <v>3903.7</v>
      </c>
      <c r="AR140" s="61">
        <f t="shared" si="68"/>
        <v>23422.2</v>
      </c>
      <c r="AS140" s="60">
        <v>3903.7</v>
      </c>
      <c r="AT140" s="60">
        <v>3903.7</v>
      </c>
      <c r="AU140" s="60">
        <v>3903.7</v>
      </c>
      <c r="AV140" s="60">
        <v>3903.7</v>
      </c>
      <c r="AW140" s="60">
        <v>3903.7</v>
      </c>
      <c r="AX140" s="60">
        <v>3903.7</v>
      </c>
      <c r="AY140" s="61">
        <f t="shared" si="69"/>
        <v>23422.2</v>
      </c>
      <c r="AZ140" s="56">
        <f t="shared" si="64"/>
        <v>46844.4</v>
      </c>
      <c r="BA140" s="62">
        <f t="shared" si="47"/>
        <v>784644.95</v>
      </c>
      <c r="BB140" s="62">
        <f t="shared" si="70"/>
        <v>690956.30999999889</v>
      </c>
      <c r="BC140" s="62">
        <f t="shared" si="48"/>
        <v>93688.640000001062</v>
      </c>
      <c r="BD140" s="63"/>
      <c r="BE140" s="57"/>
      <c r="BF140" s="35" t="str">
        <f>VLOOKUP(A:A,'2023-2027'!A:G,1,+FALSE)</f>
        <v>Шкаф распред устройств с ячейками КРУ №19</v>
      </c>
      <c r="BG140" s="7" t="b">
        <f t="shared" si="51"/>
        <v>1</v>
      </c>
      <c r="BH140" s="35">
        <f>VLOOKUP(A:A,'2023-2027'!A:AT,43,+FALSE)</f>
        <v>4359.1400000000003</v>
      </c>
    </row>
    <row r="141" spans="1:60" ht="24" hidden="1" customHeight="1" outlineLevel="1" x14ac:dyDescent="0.2">
      <c r="A141" s="59" t="s">
        <v>468</v>
      </c>
      <c r="B141" s="59" t="s">
        <v>77</v>
      </c>
      <c r="C141" s="59" t="s">
        <v>81</v>
      </c>
      <c r="D141" s="66" t="s">
        <v>469</v>
      </c>
      <c r="E141" s="59" t="s">
        <v>260</v>
      </c>
      <c r="F141" s="60">
        <v>784644.95</v>
      </c>
      <c r="G141" s="60">
        <v>550423.11</v>
      </c>
      <c r="H141" s="60">
        <v>234221.84</v>
      </c>
      <c r="I141" s="59"/>
      <c r="J141" s="60">
        <v>46844.4</v>
      </c>
      <c r="K141" s="59"/>
      <c r="L141" s="59"/>
      <c r="M141" s="60">
        <v>784644.95</v>
      </c>
      <c r="N141" s="60">
        <v>597267.51</v>
      </c>
      <c r="O141" s="60">
        <v>187377.44</v>
      </c>
      <c r="P141" s="55"/>
      <c r="Q141" s="55"/>
      <c r="R141" s="61">
        <f t="shared" si="65"/>
        <v>3903.7000000000003</v>
      </c>
      <c r="S141" s="60">
        <v>3903.7</v>
      </c>
      <c r="T141" s="60">
        <v>3903.7</v>
      </c>
      <c r="U141" s="60">
        <v>3903.7</v>
      </c>
      <c r="V141" s="60">
        <v>3903.7</v>
      </c>
      <c r="W141" s="60">
        <v>3903.7</v>
      </c>
      <c r="X141" s="61">
        <f t="shared" si="66"/>
        <v>23422.2</v>
      </c>
      <c r="Y141" s="60">
        <v>3903.7</v>
      </c>
      <c r="Z141" s="60">
        <v>3903.7</v>
      </c>
      <c r="AA141" s="60">
        <v>3903.7</v>
      </c>
      <c r="AB141" s="60">
        <v>3903.7</v>
      </c>
      <c r="AC141" s="60">
        <v>3903.7</v>
      </c>
      <c r="AD141" s="60">
        <v>3903.7</v>
      </c>
      <c r="AE141" s="61">
        <f t="shared" si="67"/>
        <v>23422.2</v>
      </c>
      <c r="AF141" s="62">
        <f t="shared" si="58"/>
        <v>784644.95</v>
      </c>
      <c r="AG141" s="62">
        <f t="shared" si="59"/>
        <v>644111.90999999945</v>
      </c>
      <c r="AH141" s="62">
        <f t="shared" si="46"/>
        <v>140533.0400000005</v>
      </c>
      <c r="AI141" s="63"/>
      <c r="AJ141" s="63"/>
      <c r="AK141" s="62"/>
      <c r="AL141" s="60">
        <v>3903.7</v>
      </c>
      <c r="AM141" s="60">
        <v>3903.7</v>
      </c>
      <c r="AN141" s="60">
        <v>3903.7</v>
      </c>
      <c r="AO141" s="60">
        <v>3903.7</v>
      </c>
      <c r="AP141" s="60">
        <v>3903.7</v>
      </c>
      <c r="AQ141" s="60">
        <v>3903.7</v>
      </c>
      <c r="AR141" s="61">
        <f t="shared" si="68"/>
        <v>23422.2</v>
      </c>
      <c r="AS141" s="60">
        <v>3903.7</v>
      </c>
      <c r="AT141" s="60">
        <v>3903.7</v>
      </c>
      <c r="AU141" s="60">
        <v>3903.7</v>
      </c>
      <c r="AV141" s="60">
        <v>3903.7</v>
      </c>
      <c r="AW141" s="60">
        <v>3903.7</v>
      </c>
      <c r="AX141" s="60">
        <v>3903.7</v>
      </c>
      <c r="AY141" s="61">
        <f t="shared" si="69"/>
        <v>23422.2</v>
      </c>
      <c r="AZ141" s="56">
        <f t="shared" si="64"/>
        <v>46844.4</v>
      </c>
      <c r="BA141" s="62">
        <f t="shared" si="47"/>
        <v>784644.95</v>
      </c>
      <c r="BB141" s="62">
        <f t="shared" si="70"/>
        <v>690956.30999999889</v>
      </c>
      <c r="BC141" s="62">
        <f t="shared" si="48"/>
        <v>93688.640000001062</v>
      </c>
      <c r="BD141" s="63"/>
      <c r="BE141" s="57"/>
      <c r="BF141" s="35" t="str">
        <f>VLOOKUP(A:A,'2023-2027'!A:G,1,+FALSE)</f>
        <v>Шкаф распред устройств с ячейками КРУ №20</v>
      </c>
      <c r="BG141" s="7" t="b">
        <f t="shared" si="51"/>
        <v>1</v>
      </c>
      <c r="BH141" s="35">
        <f>VLOOKUP(A:A,'2023-2027'!A:AT,43,+FALSE)</f>
        <v>4359.1400000000003</v>
      </c>
    </row>
    <row r="142" spans="1:60" ht="24" hidden="1" customHeight="1" outlineLevel="1" x14ac:dyDescent="0.2">
      <c r="A142" s="59" t="s">
        <v>470</v>
      </c>
      <c r="B142" s="59" t="s">
        <v>77</v>
      </c>
      <c r="C142" s="59" t="s">
        <v>81</v>
      </c>
      <c r="D142" s="66" t="s">
        <v>471</v>
      </c>
      <c r="E142" s="59" t="s">
        <v>260</v>
      </c>
      <c r="F142" s="60">
        <v>784644.95</v>
      </c>
      <c r="G142" s="60">
        <v>550423.11</v>
      </c>
      <c r="H142" s="60">
        <v>234221.84</v>
      </c>
      <c r="I142" s="59"/>
      <c r="J142" s="60">
        <v>46844.4</v>
      </c>
      <c r="K142" s="59"/>
      <c r="L142" s="59"/>
      <c r="M142" s="60">
        <v>784644.95</v>
      </c>
      <c r="N142" s="60">
        <v>597267.51</v>
      </c>
      <c r="O142" s="60">
        <v>187377.44</v>
      </c>
      <c r="P142" s="55"/>
      <c r="Q142" s="55"/>
      <c r="R142" s="61">
        <f t="shared" si="65"/>
        <v>3903.7000000000003</v>
      </c>
      <c r="S142" s="60">
        <v>3903.7</v>
      </c>
      <c r="T142" s="60">
        <v>3903.7</v>
      </c>
      <c r="U142" s="60">
        <v>3903.7</v>
      </c>
      <c r="V142" s="60">
        <v>3903.7</v>
      </c>
      <c r="W142" s="60">
        <v>3903.7</v>
      </c>
      <c r="X142" s="61">
        <f t="shared" si="66"/>
        <v>23422.2</v>
      </c>
      <c r="Y142" s="60">
        <v>3903.7</v>
      </c>
      <c r="Z142" s="60">
        <v>3903.7</v>
      </c>
      <c r="AA142" s="60">
        <v>3903.7</v>
      </c>
      <c r="AB142" s="60">
        <v>3903.7</v>
      </c>
      <c r="AC142" s="60">
        <v>3903.7</v>
      </c>
      <c r="AD142" s="60">
        <v>3903.7</v>
      </c>
      <c r="AE142" s="61">
        <f t="shared" si="67"/>
        <v>23422.2</v>
      </c>
      <c r="AF142" s="62">
        <f t="shared" si="58"/>
        <v>784644.95</v>
      </c>
      <c r="AG142" s="62">
        <f t="shared" si="59"/>
        <v>644111.90999999945</v>
      </c>
      <c r="AH142" s="62">
        <f t="shared" ref="AH142:AH205" si="71">AF142-AG142</f>
        <v>140533.0400000005</v>
      </c>
      <c r="AI142" s="63"/>
      <c r="AJ142" s="63"/>
      <c r="AK142" s="62"/>
      <c r="AL142" s="60">
        <v>3903.7</v>
      </c>
      <c r="AM142" s="60">
        <v>3903.7</v>
      </c>
      <c r="AN142" s="60">
        <v>3903.7</v>
      </c>
      <c r="AO142" s="60">
        <v>3903.7</v>
      </c>
      <c r="AP142" s="60">
        <v>3903.7</v>
      </c>
      <c r="AQ142" s="60">
        <v>3903.7</v>
      </c>
      <c r="AR142" s="61">
        <f t="shared" si="68"/>
        <v>23422.2</v>
      </c>
      <c r="AS142" s="60">
        <v>3903.7</v>
      </c>
      <c r="AT142" s="60">
        <v>3903.7</v>
      </c>
      <c r="AU142" s="60">
        <v>3903.7</v>
      </c>
      <c r="AV142" s="60">
        <v>3903.7</v>
      </c>
      <c r="AW142" s="60">
        <v>3903.7</v>
      </c>
      <c r="AX142" s="60">
        <v>3903.7</v>
      </c>
      <c r="AY142" s="61">
        <f t="shared" si="69"/>
        <v>23422.2</v>
      </c>
      <c r="AZ142" s="56">
        <f t="shared" si="64"/>
        <v>46844.4</v>
      </c>
      <c r="BA142" s="62">
        <f t="shared" ref="BA142:BA181" si="72">AF142</f>
        <v>784644.95</v>
      </c>
      <c r="BB142" s="62">
        <f t="shared" si="70"/>
        <v>690956.30999999889</v>
      </c>
      <c r="BC142" s="62">
        <f t="shared" ref="BC142:BC181" si="73">BA142-BB142</f>
        <v>93688.640000001062</v>
      </c>
      <c r="BD142" s="63"/>
      <c r="BE142" s="57"/>
      <c r="BF142" s="35" t="str">
        <f>VLOOKUP(A:A,'2023-2027'!A:G,1,+FALSE)</f>
        <v>Шкаф распред устройств с ячейками КРУ №21</v>
      </c>
      <c r="BG142" s="7" t="b">
        <f t="shared" si="51"/>
        <v>1</v>
      </c>
      <c r="BH142" s="35">
        <f>VLOOKUP(A:A,'2023-2027'!A:AT,43,+FALSE)</f>
        <v>4359.1400000000003</v>
      </c>
    </row>
    <row r="143" spans="1:60" ht="24" hidden="1" customHeight="1" outlineLevel="1" x14ac:dyDescent="0.2">
      <c r="A143" s="59" t="s">
        <v>472</v>
      </c>
      <c r="B143" s="59" t="s">
        <v>77</v>
      </c>
      <c r="C143" s="59" t="s">
        <v>81</v>
      </c>
      <c r="D143" s="66" t="s">
        <v>473</v>
      </c>
      <c r="E143" s="59" t="s">
        <v>260</v>
      </c>
      <c r="F143" s="60">
        <v>784644.95</v>
      </c>
      <c r="G143" s="60">
        <v>550423.11</v>
      </c>
      <c r="H143" s="60">
        <v>234221.84</v>
      </c>
      <c r="I143" s="59"/>
      <c r="J143" s="60">
        <v>46844.4</v>
      </c>
      <c r="K143" s="59"/>
      <c r="L143" s="59"/>
      <c r="M143" s="60">
        <v>784644.95</v>
      </c>
      <c r="N143" s="60">
        <v>597267.51</v>
      </c>
      <c r="O143" s="60">
        <v>187377.44</v>
      </c>
      <c r="P143" s="55"/>
      <c r="Q143" s="55"/>
      <c r="R143" s="61">
        <f t="shared" si="65"/>
        <v>3903.7000000000003</v>
      </c>
      <c r="S143" s="60">
        <v>3903.7</v>
      </c>
      <c r="T143" s="60">
        <v>3903.7</v>
      </c>
      <c r="U143" s="60">
        <v>3903.7</v>
      </c>
      <c r="V143" s="60">
        <v>3903.7</v>
      </c>
      <c r="W143" s="60">
        <v>3903.7</v>
      </c>
      <c r="X143" s="61">
        <f t="shared" si="66"/>
        <v>23422.2</v>
      </c>
      <c r="Y143" s="60">
        <v>3903.7</v>
      </c>
      <c r="Z143" s="60">
        <v>3903.7</v>
      </c>
      <c r="AA143" s="60">
        <v>3903.7</v>
      </c>
      <c r="AB143" s="60">
        <v>3903.7</v>
      </c>
      <c r="AC143" s="60">
        <v>3903.7</v>
      </c>
      <c r="AD143" s="60">
        <v>3903.7</v>
      </c>
      <c r="AE143" s="61">
        <f t="shared" si="67"/>
        <v>23422.2</v>
      </c>
      <c r="AF143" s="62">
        <f t="shared" si="58"/>
        <v>784644.95</v>
      </c>
      <c r="AG143" s="62">
        <f t="shared" si="59"/>
        <v>644111.90999999945</v>
      </c>
      <c r="AH143" s="62">
        <f t="shared" si="71"/>
        <v>140533.0400000005</v>
      </c>
      <c r="AI143" s="63"/>
      <c r="AJ143" s="63"/>
      <c r="AK143" s="62"/>
      <c r="AL143" s="60">
        <v>3903.7</v>
      </c>
      <c r="AM143" s="60">
        <v>3903.7</v>
      </c>
      <c r="AN143" s="60">
        <v>3903.7</v>
      </c>
      <c r="AO143" s="60">
        <v>3903.7</v>
      </c>
      <c r="AP143" s="60">
        <v>3903.7</v>
      </c>
      <c r="AQ143" s="60">
        <v>3903.7</v>
      </c>
      <c r="AR143" s="61">
        <f t="shared" si="68"/>
        <v>23422.2</v>
      </c>
      <c r="AS143" s="60">
        <v>3903.7</v>
      </c>
      <c r="AT143" s="60">
        <v>3903.7</v>
      </c>
      <c r="AU143" s="60">
        <v>3903.7</v>
      </c>
      <c r="AV143" s="60">
        <v>3903.7</v>
      </c>
      <c r="AW143" s="60">
        <v>3903.7</v>
      </c>
      <c r="AX143" s="60">
        <v>3903.7</v>
      </c>
      <c r="AY143" s="61">
        <f t="shared" si="69"/>
        <v>23422.2</v>
      </c>
      <c r="AZ143" s="56">
        <f t="shared" si="64"/>
        <v>46844.4</v>
      </c>
      <c r="BA143" s="62">
        <f t="shared" si="72"/>
        <v>784644.95</v>
      </c>
      <c r="BB143" s="62">
        <f t="shared" si="70"/>
        <v>690956.30999999889</v>
      </c>
      <c r="BC143" s="62">
        <f t="shared" si="73"/>
        <v>93688.640000001062</v>
      </c>
      <c r="BD143" s="63"/>
      <c r="BE143" s="57"/>
      <c r="BF143" s="35" t="str">
        <f>VLOOKUP(A:A,'2023-2027'!A:G,1,+FALSE)</f>
        <v>Шкаф распред устройств с ячейками КРУ №22</v>
      </c>
      <c r="BG143" s="7" t="b">
        <f t="shared" si="51"/>
        <v>1</v>
      </c>
      <c r="BH143" s="35">
        <f>VLOOKUP(A:A,'2023-2027'!A:AT,43,+FALSE)</f>
        <v>4359.1400000000003</v>
      </c>
    </row>
    <row r="144" spans="1:60" ht="24" hidden="1" customHeight="1" outlineLevel="1" x14ac:dyDescent="0.2">
      <c r="A144" s="59" t="s">
        <v>474</v>
      </c>
      <c r="B144" s="59" t="s">
        <v>77</v>
      </c>
      <c r="C144" s="59" t="s">
        <v>81</v>
      </c>
      <c r="D144" s="66" t="s">
        <v>475</v>
      </c>
      <c r="E144" s="59" t="s">
        <v>260</v>
      </c>
      <c r="F144" s="60">
        <v>784644.95</v>
      </c>
      <c r="G144" s="60">
        <v>550423.11</v>
      </c>
      <c r="H144" s="60">
        <v>234221.84</v>
      </c>
      <c r="I144" s="59"/>
      <c r="J144" s="60">
        <v>46844.4</v>
      </c>
      <c r="K144" s="59"/>
      <c r="L144" s="59"/>
      <c r="M144" s="60">
        <v>784644.95</v>
      </c>
      <c r="N144" s="60">
        <v>597267.51</v>
      </c>
      <c r="O144" s="60">
        <v>187377.44</v>
      </c>
      <c r="P144" s="55"/>
      <c r="Q144" s="55"/>
      <c r="R144" s="61">
        <f t="shared" si="65"/>
        <v>3903.7000000000003</v>
      </c>
      <c r="S144" s="60">
        <v>3903.7</v>
      </c>
      <c r="T144" s="60">
        <v>3903.7</v>
      </c>
      <c r="U144" s="60">
        <v>3903.7</v>
      </c>
      <c r="V144" s="60">
        <v>3903.7</v>
      </c>
      <c r="W144" s="60">
        <v>3903.7</v>
      </c>
      <c r="X144" s="61">
        <f t="shared" si="66"/>
        <v>23422.2</v>
      </c>
      <c r="Y144" s="60">
        <v>3903.7</v>
      </c>
      <c r="Z144" s="60">
        <v>3903.7</v>
      </c>
      <c r="AA144" s="60">
        <v>3903.7</v>
      </c>
      <c r="AB144" s="60">
        <v>3903.7</v>
      </c>
      <c r="AC144" s="60">
        <v>3903.7</v>
      </c>
      <c r="AD144" s="60">
        <v>3903.7</v>
      </c>
      <c r="AE144" s="61">
        <f t="shared" si="67"/>
        <v>23422.2</v>
      </c>
      <c r="AF144" s="62">
        <f t="shared" si="58"/>
        <v>784644.95</v>
      </c>
      <c r="AG144" s="62">
        <f t="shared" si="59"/>
        <v>644111.90999999945</v>
      </c>
      <c r="AH144" s="62">
        <f t="shared" si="71"/>
        <v>140533.0400000005</v>
      </c>
      <c r="AI144" s="63"/>
      <c r="AJ144" s="63"/>
      <c r="AK144" s="62"/>
      <c r="AL144" s="60">
        <v>3903.7</v>
      </c>
      <c r="AM144" s="60">
        <v>3903.7</v>
      </c>
      <c r="AN144" s="60">
        <v>3903.7</v>
      </c>
      <c r="AO144" s="60">
        <v>3903.7</v>
      </c>
      <c r="AP144" s="60">
        <v>3903.7</v>
      </c>
      <c r="AQ144" s="60">
        <v>3903.7</v>
      </c>
      <c r="AR144" s="61">
        <f t="shared" si="68"/>
        <v>23422.2</v>
      </c>
      <c r="AS144" s="60">
        <v>3903.7</v>
      </c>
      <c r="AT144" s="60">
        <v>3903.7</v>
      </c>
      <c r="AU144" s="60">
        <v>3903.7</v>
      </c>
      <c r="AV144" s="60">
        <v>3903.7</v>
      </c>
      <c r="AW144" s="60">
        <v>3903.7</v>
      </c>
      <c r="AX144" s="60">
        <v>3903.7</v>
      </c>
      <c r="AY144" s="61">
        <f t="shared" si="69"/>
        <v>23422.2</v>
      </c>
      <c r="AZ144" s="56">
        <f t="shared" si="64"/>
        <v>46844.4</v>
      </c>
      <c r="BA144" s="62">
        <f t="shared" si="72"/>
        <v>784644.95</v>
      </c>
      <c r="BB144" s="62">
        <f t="shared" si="70"/>
        <v>690956.30999999889</v>
      </c>
      <c r="BC144" s="62">
        <f t="shared" si="73"/>
        <v>93688.640000001062</v>
      </c>
      <c r="BD144" s="63"/>
      <c r="BE144" s="57"/>
      <c r="BF144" s="35" t="str">
        <f>VLOOKUP(A:A,'2023-2027'!A:G,1,+FALSE)</f>
        <v>Шкаф распред устройств с ячейками КРУ №23</v>
      </c>
      <c r="BG144" s="7" t="b">
        <f t="shared" si="51"/>
        <v>1</v>
      </c>
      <c r="BH144" s="35">
        <f>VLOOKUP(A:A,'2023-2027'!A:AT,43,+FALSE)</f>
        <v>4359.1400000000003</v>
      </c>
    </row>
    <row r="145" spans="1:60" ht="24" hidden="1" customHeight="1" outlineLevel="1" x14ac:dyDescent="0.2">
      <c r="A145" s="59" t="s">
        <v>476</v>
      </c>
      <c r="B145" s="59" t="s">
        <v>77</v>
      </c>
      <c r="C145" s="59" t="s">
        <v>81</v>
      </c>
      <c r="D145" s="66" t="s">
        <v>477</v>
      </c>
      <c r="E145" s="59" t="s">
        <v>260</v>
      </c>
      <c r="F145" s="60">
        <v>784644.95</v>
      </c>
      <c r="G145" s="60">
        <v>550423.11</v>
      </c>
      <c r="H145" s="60">
        <v>234221.84</v>
      </c>
      <c r="I145" s="59"/>
      <c r="J145" s="60">
        <v>46844.4</v>
      </c>
      <c r="K145" s="59"/>
      <c r="L145" s="59"/>
      <c r="M145" s="60">
        <v>784644.95</v>
      </c>
      <c r="N145" s="60">
        <v>597267.51</v>
      </c>
      <c r="O145" s="60">
        <v>187377.44</v>
      </c>
      <c r="P145" s="55"/>
      <c r="Q145" s="55"/>
      <c r="R145" s="61">
        <f t="shared" si="65"/>
        <v>3903.7000000000003</v>
      </c>
      <c r="S145" s="60">
        <v>3903.7</v>
      </c>
      <c r="T145" s="60">
        <v>3903.7</v>
      </c>
      <c r="U145" s="60">
        <v>3903.7</v>
      </c>
      <c r="V145" s="60">
        <v>3903.7</v>
      </c>
      <c r="W145" s="60">
        <v>3903.7</v>
      </c>
      <c r="X145" s="61">
        <f t="shared" si="66"/>
        <v>23422.2</v>
      </c>
      <c r="Y145" s="60">
        <v>3903.7</v>
      </c>
      <c r="Z145" s="60">
        <v>3903.7</v>
      </c>
      <c r="AA145" s="60">
        <v>3903.7</v>
      </c>
      <c r="AB145" s="60">
        <v>3903.7</v>
      </c>
      <c r="AC145" s="60">
        <v>3903.7</v>
      </c>
      <c r="AD145" s="60">
        <v>3903.7</v>
      </c>
      <c r="AE145" s="61">
        <f t="shared" si="67"/>
        <v>23422.2</v>
      </c>
      <c r="AF145" s="62">
        <f t="shared" si="58"/>
        <v>784644.95</v>
      </c>
      <c r="AG145" s="62">
        <f t="shared" si="59"/>
        <v>644111.90999999945</v>
      </c>
      <c r="AH145" s="62">
        <f t="shared" si="71"/>
        <v>140533.0400000005</v>
      </c>
      <c r="AI145" s="63"/>
      <c r="AJ145" s="63"/>
      <c r="AK145" s="62"/>
      <c r="AL145" s="60">
        <v>3903.7</v>
      </c>
      <c r="AM145" s="60">
        <v>3903.7</v>
      </c>
      <c r="AN145" s="60">
        <v>3903.7</v>
      </c>
      <c r="AO145" s="60">
        <v>3903.7</v>
      </c>
      <c r="AP145" s="60">
        <v>3903.7</v>
      </c>
      <c r="AQ145" s="60">
        <v>3903.7</v>
      </c>
      <c r="AR145" s="61">
        <f t="shared" si="68"/>
        <v>23422.2</v>
      </c>
      <c r="AS145" s="60">
        <v>3903.7</v>
      </c>
      <c r="AT145" s="60">
        <v>3903.7</v>
      </c>
      <c r="AU145" s="60">
        <v>3903.7</v>
      </c>
      <c r="AV145" s="60">
        <v>3903.7</v>
      </c>
      <c r="AW145" s="60">
        <v>3903.7</v>
      </c>
      <c r="AX145" s="60">
        <v>3903.7</v>
      </c>
      <c r="AY145" s="61">
        <f t="shared" si="69"/>
        <v>23422.2</v>
      </c>
      <c r="AZ145" s="56">
        <f t="shared" si="64"/>
        <v>46844.4</v>
      </c>
      <c r="BA145" s="62">
        <f t="shared" si="72"/>
        <v>784644.95</v>
      </c>
      <c r="BB145" s="62">
        <f t="shared" si="70"/>
        <v>690956.30999999889</v>
      </c>
      <c r="BC145" s="62">
        <f t="shared" si="73"/>
        <v>93688.640000001062</v>
      </c>
      <c r="BD145" s="63"/>
      <c r="BE145" s="57"/>
      <c r="BF145" s="35" t="str">
        <f>VLOOKUP(A:A,'2023-2027'!A:G,1,+FALSE)</f>
        <v>Шкаф распред устройств с ячейками КРУ №24</v>
      </c>
      <c r="BG145" s="7" t="b">
        <f t="shared" si="51"/>
        <v>1</v>
      </c>
      <c r="BH145" s="35">
        <f>VLOOKUP(A:A,'2023-2027'!A:AT,43,+FALSE)</f>
        <v>4359.1400000000003</v>
      </c>
    </row>
    <row r="146" spans="1:60" ht="24" hidden="1" customHeight="1" outlineLevel="1" x14ac:dyDescent="0.2">
      <c r="A146" s="59" t="s">
        <v>478</v>
      </c>
      <c r="B146" s="59" t="s">
        <v>77</v>
      </c>
      <c r="C146" s="59" t="s">
        <v>81</v>
      </c>
      <c r="D146" s="66" t="s">
        <v>479</v>
      </c>
      <c r="E146" s="59" t="s">
        <v>260</v>
      </c>
      <c r="F146" s="60">
        <v>784644.95</v>
      </c>
      <c r="G146" s="60">
        <v>550423.11</v>
      </c>
      <c r="H146" s="60">
        <v>234221.84</v>
      </c>
      <c r="I146" s="59"/>
      <c r="J146" s="60">
        <v>46844.4</v>
      </c>
      <c r="K146" s="59"/>
      <c r="L146" s="59"/>
      <c r="M146" s="60">
        <v>784644.95</v>
      </c>
      <c r="N146" s="60">
        <v>597267.51</v>
      </c>
      <c r="O146" s="60">
        <v>187377.44</v>
      </c>
      <c r="P146" s="55"/>
      <c r="Q146" s="55"/>
      <c r="R146" s="61">
        <f t="shared" si="65"/>
        <v>3903.7000000000003</v>
      </c>
      <c r="S146" s="60">
        <v>3903.7</v>
      </c>
      <c r="T146" s="60">
        <v>3903.7</v>
      </c>
      <c r="U146" s="60">
        <v>3903.7</v>
      </c>
      <c r="V146" s="60">
        <v>3903.7</v>
      </c>
      <c r="W146" s="60">
        <v>3903.7</v>
      </c>
      <c r="X146" s="61">
        <f t="shared" si="66"/>
        <v>23422.2</v>
      </c>
      <c r="Y146" s="60">
        <v>3903.7</v>
      </c>
      <c r="Z146" s="60">
        <v>3903.7</v>
      </c>
      <c r="AA146" s="60">
        <v>3903.7</v>
      </c>
      <c r="AB146" s="60">
        <v>3903.7</v>
      </c>
      <c r="AC146" s="60">
        <v>3903.7</v>
      </c>
      <c r="AD146" s="60">
        <v>3903.7</v>
      </c>
      <c r="AE146" s="61">
        <f t="shared" si="67"/>
        <v>23422.2</v>
      </c>
      <c r="AF146" s="62">
        <f t="shared" si="58"/>
        <v>784644.95</v>
      </c>
      <c r="AG146" s="62">
        <f t="shared" si="59"/>
        <v>644111.90999999945</v>
      </c>
      <c r="AH146" s="62">
        <f t="shared" si="71"/>
        <v>140533.0400000005</v>
      </c>
      <c r="AI146" s="63"/>
      <c r="AJ146" s="63"/>
      <c r="AK146" s="62"/>
      <c r="AL146" s="60">
        <v>3903.7</v>
      </c>
      <c r="AM146" s="60">
        <v>3903.7</v>
      </c>
      <c r="AN146" s="60">
        <v>3903.7</v>
      </c>
      <c r="AO146" s="60">
        <v>3903.7</v>
      </c>
      <c r="AP146" s="60">
        <v>3903.7</v>
      </c>
      <c r="AQ146" s="60">
        <v>3903.7</v>
      </c>
      <c r="AR146" s="61">
        <f t="shared" si="68"/>
        <v>23422.2</v>
      </c>
      <c r="AS146" s="60">
        <v>3903.7</v>
      </c>
      <c r="AT146" s="60">
        <v>3903.7</v>
      </c>
      <c r="AU146" s="60">
        <v>3903.7</v>
      </c>
      <c r="AV146" s="60">
        <v>3903.7</v>
      </c>
      <c r="AW146" s="60">
        <v>3903.7</v>
      </c>
      <c r="AX146" s="60">
        <v>3903.7</v>
      </c>
      <c r="AY146" s="61">
        <f t="shared" si="69"/>
        <v>23422.2</v>
      </c>
      <c r="AZ146" s="56">
        <f t="shared" si="64"/>
        <v>46844.4</v>
      </c>
      <c r="BA146" s="62">
        <f t="shared" si="72"/>
        <v>784644.95</v>
      </c>
      <c r="BB146" s="62">
        <f t="shared" si="70"/>
        <v>690956.30999999889</v>
      </c>
      <c r="BC146" s="62">
        <f t="shared" si="73"/>
        <v>93688.640000001062</v>
      </c>
      <c r="BD146" s="63"/>
      <c r="BE146" s="57"/>
      <c r="BF146" s="35" t="str">
        <f>VLOOKUP(A:A,'2023-2027'!A:G,1,+FALSE)</f>
        <v>Шкаф распред устройств с ячейками КРУ №25</v>
      </c>
      <c r="BG146" s="7" t="b">
        <f t="shared" si="51"/>
        <v>1</v>
      </c>
      <c r="BH146" s="35">
        <f>VLOOKUP(A:A,'2023-2027'!A:AT,43,+FALSE)</f>
        <v>4359.1400000000003</v>
      </c>
    </row>
    <row r="147" spans="1:60" ht="24" hidden="1" customHeight="1" outlineLevel="1" x14ac:dyDescent="0.2">
      <c r="A147" s="59" t="s">
        <v>480</v>
      </c>
      <c r="B147" s="59" t="s">
        <v>77</v>
      </c>
      <c r="C147" s="59" t="s">
        <v>81</v>
      </c>
      <c r="D147" s="66" t="s">
        <v>481</v>
      </c>
      <c r="E147" s="59" t="s">
        <v>260</v>
      </c>
      <c r="F147" s="60">
        <v>784644.95</v>
      </c>
      <c r="G147" s="60">
        <v>550423.11</v>
      </c>
      <c r="H147" s="60">
        <v>234221.84</v>
      </c>
      <c r="I147" s="59"/>
      <c r="J147" s="60">
        <v>46844.4</v>
      </c>
      <c r="K147" s="59"/>
      <c r="L147" s="59"/>
      <c r="M147" s="60">
        <v>784644.95</v>
      </c>
      <c r="N147" s="60">
        <v>597267.51</v>
      </c>
      <c r="O147" s="60">
        <v>187377.44</v>
      </c>
      <c r="P147" s="55"/>
      <c r="Q147" s="55"/>
      <c r="R147" s="61">
        <f t="shared" si="65"/>
        <v>3903.7000000000003</v>
      </c>
      <c r="S147" s="60">
        <v>3903.7</v>
      </c>
      <c r="T147" s="60">
        <v>3903.7</v>
      </c>
      <c r="U147" s="60">
        <v>3903.7</v>
      </c>
      <c r="V147" s="60">
        <v>3903.7</v>
      </c>
      <c r="W147" s="60">
        <v>3903.7</v>
      </c>
      <c r="X147" s="61">
        <f t="shared" si="66"/>
        <v>23422.2</v>
      </c>
      <c r="Y147" s="60">
        <v>3903.7</v>
      </c>
      <c r="Z147" s="60">
        <v>3903.7</v>
      </c>
      <c r="AA147" s="60">
        <v>3903.7</v>
      </c>
      <c r="AB147" s="60">
        <v>3903.7</v>
      </c>
      <c r="AC147" s="60">
        <v>3903.7</v>
      </c>
      <c r="AD147" s="60">
        <v>3903.7</v>
      </c>
      <c r="AE147" s="61">
        <f t="shared" si="67"/>
        <v>23422.2</v>
      </c>
      <c r="AF147" s="62">
        <f t="shared" si="58"/>
        <v>784644.95</v>
      </c>
      <c r="AG147" s="62">
        <f t="shared" si="59"/>
        <v>644111.90999999945</v>
      </c>
      <c r="AH147" s="62">
        <f t="shared" si="71"/>
        <v>140533.0400000005</v>
      </c>
      <c r="AI147" s="63"/>
      <c r="AJ147" s="63"/>
      <c r="AK147" s="62"/>
      <c r="AL147" s="60">
        <v>3903.7</v>
      </c>
      <c r="AM147" s="60">
        <v>3903.7</v>
      </c>
      <c r="AN147" s="60">
        <v>3903.7</v>
      </c>
      <c r="AO147" s="60">
        <v>3903.7</v>
      </c>
      <c r="AP147" s="60">
        <v>3903.7</v>
      </c>
      <c r="AQ147" s="60">
        <v>3903.7</v>
      </c>
      <c r="AR147" s="61">
        <f t="shared" si="68"/>
        <v>23422.2</v>
      </c>
      <c r="AS147" s="60">
        <v>3903.7</v>
      </c>
      <c r="AT147" s="60">
        <v>3903.7</v>
      </c>
      <c r="AU147" s="60">
        <v>3903.7</v>
      </c>
      <c r="AV147" s="60">
        <v>3903.7</v>
      </c>
      <c r="AW147" s="60">
        <v>3903.7</v>
      </c>
      <c r="AX147" s="60">
        <v>3903.7</v>
      </c>
      <c r="AY147" s="61">
        <f t="shared" si="69"/>
        <v>23422.2</v>
      </c>
      <c r="AZ147" s="56">
        <f t="shared" si="64"/>
        <v>46844.4</v>
      </c>
      <c r="BA147" s="62">
        <f t="shared" si="72"/>
        <v>784644.95</v>
      </c>
      <c r="BB147" s="62">
        <f t="shared" si="70"/>
        <v>690956.30999999889</v>
      </c>
      <c r="BC147" s="62">
        <f t="shared" si="73"/>
        <v>93688.640000001062</v>
      </c>
      <c r="BD147" s="63"/>
      <c r="BE147" s="57"/>
      <c r="BF147" s="35" t="str">
        <f>VLOOKUP(A:A,'2023-2027'!A:G,1,+FALSE)</f>
        <v>Шкаф распред устройств с ячейками КРУ №5</v>
      </c>
      <c r="BG147" s="7" t="b">
        <f t="shared" si="51"/>
        <v>1</v>
      </c>
      <c r="BH147" s="35">
        <f>VLOOKUP(A:A,'2023-2027'!A:AT,43,+FALSE)</f>
        <v>4359.1400000000003</v>
      </c>
    </row>
    <row r="148" spans="1:60" ht="24" hidden="1" customHeight="1" outlineLevel="1" x14ac:dyDescent="0.2">
      <c r="A148" s="59" t="s">
        <v>482</v>
      </c>
      <c r="B148" s="59" t="s">
        <v>77</v>
      </c>
      <c r="C148" s="59" t="s">
        <v>81</v>
      </c>
      <c r="D148" s="66" t="s">
        <v>483</v>
      </c>
      <c r="E148" s="59" t="s">
        <v>260</v>
      </c>
      <c r="F148" s="60">
        <v>784644.95</v>
      </c>
      <c r="G148" s="60">
        <v>550423.11</v>
      </c>
      <c r="H148" s="60">
        <v>234221.84</v>
      </c>
      <c r="I148" s="59"/>
      <c r="J148" s="60">
        <v>46844.4</v>
      </c>
      <c r="K148" s="59"/>
      <c r="L148" s="59"/>
      <c r="M148" s="60">
        <v>784644.95</v>
      </c>
      <c r="N148" s="60">
        <v>597267.51</v>
      </c>
      <c r="O148" s="60">
        <v>187377.44</v>
      </c>
      <c r="P148" s="55"/>
      <c r="Q148" s="55"/>
      <c r="R148" s="61">
        <f t="shared" si="65"/>
        <v>3903.7000000000003</v>
      </c>
      <c r="S148" s="60">
        <v>3903.7</v>
      </c>
      <c r="T148" s="60">
        <v>3903.7</v>
      </c>
      <c r="U148" s="60">
        <v>3903.7</v>
      </c>
      <c r="V148" s="60">
        <v>3903.7</v>
      </c>
      <c r="W148" s="60">
        <v>3903.7</v>
      </c>
      <c r="X148" s="61">
        <f t="shared" si="66"/>
        <v>23422.2</v>
      </c>
      <c r="Y148" s="60">
        <v>3903.7</v>
      </c>
      <c r="Z148" s="60">
        <v>3903.7</v>
      </c>
      <c r="AA148" s="60">
        <v>3903.7</v>
      </c>
      <c r="AB148" s="60">
        <v>3903.7</v>
      </c>
      <c r="AC148" s="60">
        <v>3903.7</v>
      </c>
      <c r="AD148" s="60">
        <v>3903.7</v>
      </c>
      <c r="AE148" s="61">
        <f t="shared" si="67"/>
        <v>23422.2</v>
      </c>
      <c r="AF148" s="62">
        <f t="shared" si="58"/>
        <v>784644.95</v>
      </c>
      <c r="AG148" s="62">
        <f t="shared" si="59"/>
        <v>644111.90999999945</v>
      </c>
      <c r="AH148" s="62">
        <f t="shared" si="71"/>
        <v>140533.0400000005</v>
      </c>
      <c r="AI148" s="63"/>
      <c r="AJ148" s="63"/>
      <c r="AK148" s="62"/>
      <c r="AL148" s="60">
        <v>3903.7</v>
      </c>
      <c r="AM148" s="60">
        <v>3903.7</v>
      </c>
      <c r="AN148" s="60">
        <v>3903.7</v>
      </c>
      <c r="AO148" s="60">
        <v>3903.7</v>
      </c>
      <c r="AP148" s="60">
        <v>3903.7</v>
      </c>
      <c r="AQ148" s="60">
        <v>3903.7</v>
      </c>
      <c r="AR148" s="61">
        <f t="shared" si="68"/>
        <v>23422.2</v>
      </c>
      <c r="AS148" s="60">
        <v>3903.7</v>
      </c>
      <c r="AT148" s="60">
        <v>3903.7</v>
      </c>
      <c r="AU148" s="60">
        <v>3903.7</v>
      </c>
      <c r="AV148" s="60">
        <v>3903.7</v>
      </c>
      <c r="AW148" s="60">
        <v>3903.7</v>
      </c>
      <c r="AX148" s="60">
        <v>3903.7</v>
      </c>
      <c r="AY148" s="61">
        <f t="shared" si="69"/>
        <v>23422.2</v>
      </c>
      <c r="AZ148" s="56">
        <f t="shared" si="64"/>
        <v>46844.4</v>
      </c>
      <c r="BA148" s="62">
        <f t="shared" si="72"/>
        <v>784644.95</v>
      </c>
      <c r="BB148" s="62">
        <f t="shared" si="70"/>
        <v>690956.30999999889</v>
      </c>
      <c r="BC148" s="62">
        <f t="shared" si="73"/>
        <v>93688.640000001062</v>
      </c>
      <c r="BD148" s="63"/>
      <c r="BE148" s="57"/>
      <c r="BF148" s="35" t="str">
        <f>VLOOKUP(A:A,'2023-2027'!A:G,1,+FALSE)</f>
        <v>Шкаф распред устройств с ячейками КРУ №6</v>
      </c>
      <c r="BG148" s="7" t="b">
        <f t="shared" si="51"/>
        <v>1</v>
      </c>
      <c r="BH148" s="35">
        <f>VLOOKUP(A:A,'2023-2027'!A:AT,43,+FALSE)</f>
        <v>4359.1400000000003</v>
      </c>
    </row>
    <row r="149" spans="1:60" ht="24" hidden="1" customHeight="1" outlineLevel="1" x14ac:dyDescent="0.2">
      <c r="A149" s="59" t="s">
        <v>484</v>
      </c>
      <c r="B149" s="59" t="s">
        <v>77</v>
      </c>
      <c r="C149" s="59" t="s">
        <v>81</v>
      </c>
      <c r="D149" s="66" t="s">
        <v>485</v>
      </c>
      <c r="E149" s="59" t="s">
        <v>260</v>
      </c>
      <c r="F149" s="60">
        <v>784644.95</v>
      </c>
      <c r="G149" s="60">
        <v>550423.11</v>
      </c>
      <c r="H149" s="60">
        <v>234221.84</v>
      </c>
      <c r="I149" s="59"/>
      <c r="J149" s="60">
        <v>46844.4</v>
      </c>
      <c r="K149" s="59"/>
      <c r="L149" s="59"/>
      <c r="M149" s="60">
        <v>784644.95</v>
      </c>
      <c r="N149" s="60">
        <v>597267.51</v>
      </c>
      <c r="O149" s="60">
        <v>187377.44</v>
      </c>
      <c r="P149" s="55"/>
      <c r="Q149" s="55"/>
      <c r="R149" s="61">
        <f t="shared" si="65"/>
        <v>3903.7000000000003</v>
      </c>
      <c r="S149" s="60">
        <v>3903.7</v>
      </c>
      <c r="T149" s="60">
        <v>3903.7</v>
      </c>
      <c r="U149" s="60">
        <v>3903.7</v>
      </c>
      <c r="V149" s="60">
        <v>3903.7</v>
      </c>
      <c r="W149" s="60">
        <v>3903.7</v>
      </c>
      <c r="X149" s="61">
        <f t="shared" si="66"/>
        <v>23422.2</v>
      </c>
      <c r="Y149" s="60">
        <v>3903.7</v>
      </c>
      <c r="Z149" s="60">
        <v>3903.7</v>
      </c>
      <c r="AA149" s="60">
        <v>3903.7</v>
      </c>
      <c r="AB149" s="60">
        <v>3903.7</v>
      </c>
      <c r="AC149" s="60">
        <v>3903.7</v>
      </c>
      <c r="AD149" s="60">
        <v>3903.7</v>
      </c>
      <c r="AE149" s="61">
        <f t="shared" si="67"/>
        <v>23422.2</v>
      </c>
      <c r="AF149" s="62">
        <f t="shared" si="58"/>
        <v>784644.95</v>
      </c>
      <c r="AG149" s="62">
        <f t="shared" si="59"/>
        <v>644111.90999999945</v>
      </c>
      <c r="AH149" s="62">
        <f t="shared" si="71"/>
        <v>140533.0400000005</v>
      </c>
      <c r="AI149" s="63"/>
      <c r="AJ149" s="63"/>
      <c r="AK149" s="62"/>
      <c r="AL149" s="60">
        <v>3903.7</v>
      </c>
      <c r="AM149" s="60">
        <v>3903.7</v>
      </c>
      <c r="AN149" s="60">
        <v>3903.7</v>
      </c>
      <c r="AO149" s="60">
        <v>3903.7</v>
      </c>
      <c r="AP149" s="60">
        <v>3903.7</v>
      </c>
      <c r="AQ149" s="60">
        <v>3903.7</v>
      </c>
      <c r="AR149" s="61">
        <f t="shared" si="68"/>
        <v>23422.2</v>
      </c>
      <c r="AS149" s="60">
        <v>3903.7</v>
      </c>
      <c r="AT149" s="60">
        <v>3903.7</v>
      </c>
      <c r="AU149" s="60">
        <v>3903.7</v>
      </c>
      <c r="AV149" s="60">
        <v>3903.7</v>
      </c>
      <c r="AW149" s="60">
        <v>3903.7</v>
      </c>
      <c r="AX149" s="60">
        <v>3903.7</v>
      </c>
      <c r="AY149" s="61">
        <f t="shared" si="69"/>
        <v>23422.2</v>
      </c>
      <c r="AZ149" s="56">
        <f t="shared" si="64"/>
        <v>46844.4</v>
      </c>
      <c r="BA149" s="62">
        <f t="shared" si="72"/>
        <v>784644.95</v>
      </c>
      <c r="BB149" s="62">
        <f t="shared" si="70"/>
        <v>690956.30999999889</v>
      </c>
      <c r="BC149" s="62">
        <f t="shared" si="73"/>
        <v>93688.640000001062</v>
      </c>
      <c r="BD149" s="63"/>
      <c r="BE149" s="57"/>
      <c r="BF149" s="35" t="str">
        <f>VLOOKUP(A:A,'2023-2027'!A:G,1,+FALSE)</f>
        <v>Шкаф распред устройств с ячейками КРУ №9</v>
      </c>
      <c r="BG149" s="7" t="b">
        <f t="shared" si="51"/>
        <v>1</v>
      </c>
      <c r="BH149" s="35">
        <f>VLOOKUP(A:A,'2023-2027'!A:AT,43,+FALSE)</f>
        <v>4359.1400000000003</v>
      </c>
    </row>
    <row r="150" spans="1:60" ht="12" hidden="1" customHeight="1" outlineLevel="1" x14ac:dyDescent="0.2">
      <c r="A150" s="59" t="s">
        <v>486</v>
      </c>
      <c r="B150" s="59" t="s">
        <v>77</v>
      </c>
      <c r="C150" s="59" t="s">
        <v>81</v>
      </c>
      <c r="D150" s="65" t="s">
        <v>487</v>
      </c>
      <c r="E150" s="59" t="s">
        <v>260</v>
      </c>
      <c r="F150" s="60">
        <v>189607.12</v>
      </c>
      <c r="G150" s="60">
        <v>118820.7</v>
      </c>
      <c r="H150" s="60">
        <v>70786.42</v>
      </c>
      <c r="I150" s="59"/>
      <c r="J150" s="60">
        <v>10112.379999999999</v>
      </c>
      <c r="K150" s="59"/>
      <c r="L150" s="59"/>
      <c r="M150" s="60">
        <v>189607.12</v>
      </c>
      <c r="N150" s="60">
        <v>128933.08</v>
      </c>
      <c r="O150" s="60">
        <v>60674.04</v>
      </c>
      <c r="P150" s="55"/>
      <c r="Q150" s="55"/>
      <c r="R150" s="61">
        <f t="shared" si="65"/>
        <v>842.69833333333327</v>
      </c>
      <c r="S150" s="60">
        <v>842.69833329999994</v>
      </c>
      <c r="T150" s="60">
        <v>842.69833329999994</v>
      </c>
      <c r="U150" s="60">
        <v>842.69833329999994</v>
      </c>
      <c r="V150" s="60">
        <v>842.69833329999994</v>
      </c>
      <c r="W150" s="60">
        <v>842.69833329999994</v>
      </c>
      <c r="X150" s="61">
        <f t="shared" si="66"/>
        <v>5056.1899998333329</v>
      </c>
      <c r="Y150" s="60">
        <v>842.69833329999994</v>
      </c>
      <c r="Z150" s="60">
        <v>842.69833329999994</v>
      </c>
      <c r="AA150" s="60">
        <v>842.69833329999994</v>
      </c>
      <c r="AB150" s="60">
        <v>842.69833329999994</v>
      </c>
      <c r="AC150" s="60">
        <v>842.69833329999994</v>
      </c>
      <c r="AD150" s="60">
        <v>842.69833329999994</v>
      </c>
      <c r="AE150" s="61">
        <f t="shared" si="67"/>
        <v>5056.1899997999999</v>
      </c>
      <c r="AF150" s="62">
        <f t="shared" si="58"/>
        <v>189607.12</v>
      </c>
      <c r="AG150" s="62">
        <f t="shared" si="59"/>
        <v>139045.45999963343</v>
      </c>
      <c r="AH150" s="62">
        <f t="shared" si="71"/>
        <v>50561.660000366566</v>
      </c>
      <c r="AI150" s="63"/>
      <c r="AJ150" s="63"/>
      <c r="AK150" s="62"/>
      <c r="AL150" s="60">
        <v>842.69833329999994</v>
      </c>
      <c r="AM150" s="60">
        <v>842.69833329999994</v>
      </c>
      <c r="AN150" s="60">
        <v>842.69833329999994</v>
      </c>
      <c r="AO150" s="60">
        <v>842.69833329999994</v>
      </c>
      <c r="AP150" s="60">
        <v>842.69833329999994</v>
      </c>
      <c r="AQ150" s="60">
        <v>842.69833329999994</v>
      </c>
      <c r="AR150" s="61">
        <f t="shared" si="68"/>
        <v>5056.1899997999999</v>
      </c>
      <c r="AS150" s="60">
        <v>842.69833329999994</v>
      </c>
      <c r="AT150" s="60">
        <v>842.69833329999994</v>
      </c>
      <c r="AU150" s="60">
        <v>842.69833329999994</v>
      </c>
      <c r="AV150" s="60">
        <v>842.69833329999994</v>
      </c>
      <c r="AW150" s="60">
        <v>842.69833329999994</v>
      </c>
      <c r="AX150" s="60">
        <v>842.69833329999994</v>
      </c>
      <c r="AY150" s="61">
        <f t="shared" si="69"/>
        <v>5056.1899997999999</v>
      </c>
      <c r="AZ150" s="56">
        <f t="shared" si="64"/>
        <v>10112.3799996</v>
      </c>
      <c r="BA150" s="62">
        <f t="shared" si="72"/>
        <v>189607.12</v>
      </c>
      <c r="BB150" s="62">
        <f t="shared" si="70"/>
        <v>149157.83999923355</v>
      </c>
      <c r="BC150" s="62">
        <f t="shared" si="73"/>
        <v>40449.280000766448</v>
      </c>
      <c r="BD150" s="63"/>
      <c r="BE150" s="57"/>
      <c r="BF150" s="35" t="e">
        <f>VLOOKUP(A:A,'2023-2027'!A:G,1,+FALSE)</f>
        <v>#N/A</v>
      </c>
      <c r="BG150" s="7" t="e">
        <f t="shared" ref="BG150:BG213" si="74">OR(EXACT(BF150,$A$4:$A$1071))</f>
        <v>#N/A</v>
      </c>
      <c r="BH150" s="35"/>
    </row>
    <row r="151" spans="1:60" ht="12" hidden="1" customHeight="1" outlineLevel="1" x14ac:dyDescent="0.2">
      <c r="A151" s="59" t="s">
        <v>488</v>
      </c>
      <c r="B151" s="59" t="s">
        <v>77</v>
      </c>
      <c r="C151" s="59" t="s">
        <v>81</v>
      </c>
      <c r="D151" s="65" t="s">
        <v>489</v>
      </c>
      <c r="E151" s="59" t="s">
        <v>260</v>
      </c>
      <c r="F151" s="60">
        <v>189607.12</v>
      </c>
      <c r="G151" s="60">
        <v>118820.7</v>
      </c>
      <c r="H151" s="60">
        <v>70786.42</v>
      </c>
      <c r="I151" s="59"/>
      <c r="J151" s="60">
        <v>10112.379999999999</v>
      </c>
      <c r="K151" s="59"/>
      <c r="L151" s="59"/>
      <c r="M151" s="60">
        <v>189607.12</v>
      </c>
      <c r="N151" s="60">
        <v>128933.08</v>
      </c>
      <c r="O151" s="60">
        <v>60674.04</v>
      </c>
      <c r="P151" s="55"/>
      <c r="Q151" s="55"/>
      <c r="R151" s="61">
        <f t="shared" si="65"/>
        <v>842.69833333333327</v>
      </c>
      <c r="S151" s="60">
        <v>842.69833329999994</v>
      </c>
      <c r="T151" s="60">
        <v>842.69833329999994</v>
      </c>
      <c r="U151" s="60">
        <v>842.69833329999994</v>
      </c>
      <c r="V151" s="60">
        <v>842.69833329999994</v>
      </c>
      <c r="W151" s="60">
        <v>842.69833329999994</v>
      </c>
      <c r="X151" s="61">
        <f t="shared" si="66"/>
        <v>5056.1899998333329</v>
      </c>
      <c r="Y151" s="60">
        <v>842.69833329999994</v>
      </c>
      <c r="Z151" s="60">
        <v>842.69833329999994</v>
      </c>
      <c r="AA151" s="60">
        <v>842.69833329999994</v>
      </c>
      <c r="AB151" s="60">
        <v>842.69833329999994</v>
      </c>
      <c r="AC151" s="60">
        <v>842.69833329999994</v>
      </c>
      <c r="AD151" s="60">
        <v>842.69833329999994</v>
      </c>
      <c r="AE151" s="61">
        <f t="shared" si="67"/>
        <v>5056.1899997999999</v>
      </c>
      <c r="AF151" s="62">
        <f t="shared" si="58"/>
        <v>189607.12</v>
      </c>
      <c r="AG151" s="62">
        <f t="shared" si="59"/>
        <v>139045.45999963343</v>
      </c>
      <c r="AH151" s="62">
        <f t="shared" si="71"/>
        <v>50561.660000366566</v>
      </c>
      <c r="AI151" s="63"/>
      <c r="AJ151" s="63"/>
      <c r="AK151" s="62"/>
      <c r="AL151" s="60">
        <v>842.69833329999994</v>
      </c>
      <c r="AM151" s="60">
        <v>842.69833329999994</v>
      </c>
      <c r="AN151" s="60">
        <v>842.69833329999994</v>
      </c>
      <c r="AO151" s="60">
        <v>842.69833329999994</v>
      </c>
      <c r="AP151" s="60">
        <v>842.69833329999994</v>
      </c>
      <c r="AQ151" s="60">
        <v>842.69833329999994</v>
      </c>
      <c r="AR151" s="61">
        <f t="shared" si="68"/>
        <v>5056.1899997999999</v>
      </c>
      <c r="AS151" s="60">
        <v>842.69833329999994</v>
      </c>
      <c r="AT151" s="60">
        <v>842.69833329999994</v>
      </c>
      <c r="AU151" s="60">
        <v>842.69833329999994</v>
      </c>
      <c r="AV151" s="60">
        <v>842.69833329999994</v>
      </c>
      <c r="AW151" s="60">
        <v>842.69833329999994</v>
      </c>
      <c r="AX151" s="60">
        <v>842.69833329999994</v>
      </c>
      <c r="AY151" s="61">
        <f t="shared" si="69"/>
        <v>5056.1899997999999</v>
      </c>
      <c r="AZ151" s="56">
        <f t="shared" si="64"/>
        <v>10112.3799996</v>
      </c>
      <c r="BA151" s="62">
        <f t="shared" si="72"/>
        <v>189607.12</v>
      </c>
      <c r="BB151" s="62">
        <f t="shared" si="70"/>
        <v>149157.83999923355</v>
      </c>
      <c r="BC151" s="62">
        <f t="shared" si="73"/>
        <v>40449.280000766448</v>
      </c>
      <c r="BD151" s="63"/>
      <c r="BE151" s="57"/>
      <c r="BF151" s="35" t="e">
        <f>VLOOKUP(A:A,'2023-2027'!A:G,1,+FALSE)</f>
        <v>#N/A</v>
      </c>
      <c r="BG151" s="7" t="e">
        <f t="shared" si="74"/>
        <v>#N/A</v>
      </c>
      <c r="BH151" s="35"/>
    </row>
    <row r="152" spans="1:60" ht="36" hidden="1" customHeight="1" outlineLevel="1" x14ac:dyDescent="0.2">
      <c r="A152" s="59" t="s">
        <v>490</v>
      </c>
      <c r="B152" s="59" t="s">
        <v>77</v>
      </c>
      <c r="C152" s="59" t="s">
        <v>81</v>
      </c>
      <c r="D152" s="66" t="s">
        <v>491</v>
      </c>
      <c r="E152" s="59" t="s">
        <v>492</v>
      </c>
      <c r="F152" s="60">
        <v>410338.98</v>
      </c>
      <c r="G152" s="60">
        <v>256462</v>
      </c>
      <c r="H152" s="60">
        <v>153876.98000000001</v>
      </c>
      <c r="I152" s="59"/>
      <c r="J152" s="60">
        <v>30775.439999999999</v>
      </c>
      <c r="K152" s="59"/>
      <c r="L152" s="59"/>
      <c r="M152" s="60">
        <v>410338.98</v>
      </c>
      <c r="N152" s="60">
        <v>287237.44</v>
      </c>
      <c r="O152" s="60">
        <v>123101.54</v>
      </c>
      <c r="P152" s="55"/>
      <c r="Q152" s="55"/>
      <c r="R152" s="61">
        <f t="shared" si="65"/>
        <v>2564.62</v>
      </c>
      <c r="S152" s="60">
        <v>2564.62</v>
      </c>
      <c r="T152" s="60">
        <v>2564.62</v>
      </c>
      <c r="U152" s="60">
        <v>2564.62</v>
      </c>
      <c r="V152" s="60">
        <v>2564.62</v>
      </c>
      <c r="W152" s="60">
        <v>2564.62</v>
      </c>
      <c r="X152" s="61">
        <f t="shared" si="66"/>
        <v>15387.719999999998</v>
      </c>
      <c r="Y152" s="60">
        <v>2564.62</v>
      </c>
      <c r="Z152" s="60">
        <v>2564.62</v>
      </c>
      <c r="AA152" s="60">
        <v>2564.62</v>
      </c>
      <c r="AB152" s="60">
        <v>2564.62</v>
      </c>
      <c r="AC152" s="60">
        <v>2564.62</v>
      </c>
      <c r="AD152" s="60">
        <v>2564.62</v>
      </c>
      <c r="AE152" s="61">
        <f t="shared" si="67"/>
        <v>15387.719999999998</v>
      </c>
      <c r="AF152" s="62">
        <f t="shared" si="58"/>
        <v>410338.98</v>
      </c>
      <c r="AG152" s="62">
        <f t="shared" si="59"/>
        <v>318012.87999999995</v>
      </c>
      <c r="AH152" s="62">
        <f t="shared" si="71"/>
        <v>92326.100000000035</v>
      </c>
      <c r="AI152" s="63"/>
      <c r="AJ152" s="63"/>
      <c r="AK152" s="62"/>
      <c r="AL152" s="60">
        <v>2564.62</v>
      </c>
      <c r="AM152" s="60">
        <v>2564.62</v>
      </c>
      <c r="AN152" s="60">
        <v>2564.62</v>
      </c>
      <c r="AO152" s="60">
        <v>2564.62</v>
      </c>
      <c r="AP152" s="60">
        <v>2564.62</v>
      </c>
      <c r="AQ152" s="60">
        <v>2564.62</v>
      </c>
      <c r="AR152" s="61">
        <f t="shared" si="68"/>
        <v>15387.719999999998</v>
      </c>
      <c r="AS152" s="60">
        <v>2564.62</v>
      </c>
      <c r="AT152" s="60">
        <v>2564.62</v>
      </c>
      <c r="AU152" s="60">
        <v>2564.62</v>
      </c>
      <c r="AV152" s="60">
        <v>2564.62</v>
      </c>
      <c r="AW152" s="60">
        <v>2564.62</v>
      </c>
      <c r="AX152" s="60">
        <v>2564.62</v>
      </c>
      <c r="AY152" s="61">
        <f t="shared" si="69"/>
        <v>15387.719999999998</v>
      </c>
      <c r="AZ152" s="56">
        <f t="shared" si="64"/>
        <v>30775.439999999995</v>
      </c>
      <c r="BA152" s="62">
        <f t="shared" si="72"/>
        <v>410338.98</v>
      </c>
      <c r="BB152" s="62">
        <f t="shared" si="70"/>
        <v>348788.31999999989</v>
      </c>
      <c r="BC152" s="62">
        <f t="shared" si="73"/>
        <v>61550.660000000091</v>
      </c>
      <c r="BD152" s="63"/>
      <c r="BE152" s="57"/>
      <c r="BF152" s="35" t="str">
        <f>VLOOKUP(A:A,'2023-2027'!A:G,1,+FALSE)</f>
        <v>Электродвигатель ВАО2-315М-2, У2,5, 1ExdIBT4, 250 кВт, 3000 об/мин, 380/660В, IM1001</v>
      </c>
      <c r="BG152" s="7" t="b">
        <f t="shared" si="74"/>
        <v>1</v>
      </c>
      <c r="BH152" s="35">
        <f>VLOOKUP(A:A,'2023-2027'!A:AT,43,+FALSE)</f>
        <v>3419.49</v>
      </c>
    </row>
    <row r="153" spans="1:60" ht="24" hidden="1" customHeight="1" outlineLevel="1" x14ac:dyDescent="0.2">
      <c r="A153" s="59" t="s">
        <v>493</v>
      </c>
      <c r="B153" s="59" t="s">
        <v>77</v>
      </c>
      <c r="C153" s="59" t="s">
        <v>81</v>
      </c>
      <c r="D153" s="65" t="s">
        <v>494</v>
      </c>
      <c r="E153" s="59" t="s">
        <v>275</v>
      </c>
      <c r="F153" s="60">
        <v>1460949.8</v>
      </c>
      <c r="G153" s="60">
        <v>903132.48</v>
      </c>
      <c r="H153" s="60">
        <v>557817.31999999995</v>
      </c>
      <c r="I153" s="59"/>
      <c r="J153" s="60">
        <v>79688.160000000003</v>
      </c>
      <c r="K153" s="59"/>
      <c r="L153" s="59"/>
      <c r="M153" s="60">
        <v>1460949.8</v>
      </c>
      <c r="N153" s="60">
        <v>982820.64</v>
      </c>
      <c r="O153" s="60">
        <v>478129.16</v>
      </c>
      <c r="P153" s="55"/>
      <c r="Q153" s="55"/>
      <c r="R153" s="61">
        <f t="shared" si="65"/>
        <v>6640.68</v>
      </c>
      <c r="S153" s="60">
        <v>6640.68</v>
      </c>
      <c r="T153" s="60">
        <v>6640.68</v>
      </c>
      <c r="U153" s="60">
        <v>6640.68</v>
      </c>
      <c r="V153" s="60">
        <v>6640.68</v>
      </c>
      <c r="W153" s="60">
        <v>6640.68</v>
      </c>
      <c r="X153" s="61">
        <f t="shared" si="66"/>
        <v>39844.080000000002</v>
      </c>
      <c r="Y153" s="60">
        <v>6640.68</v>
      </c>
      <c r="Z153" s="60">
        <v>6640.68</v>
      </c>
      <c r="AA153" s="60">
        <v>6640.68</v>
      </c>
      <c r="AB153" s="60">
        <v>6640.68</v>
      </c>
      <c r="AC153" s="60">
        <v>6640.68</v>
      </c>
      <c r="AD153" s="60">
        <v>6640.68</v>
      </c>
      <c r="AE153" s="61">
        <f t="shared" si="67"/>
        <v>39844.080000000002</v>
      </c>
      <c r="AF153" s="62">
        <f t="shared" si="58"/>
        <v>1460949.8</v>
      </c>
      <c r="AG153" s="62">
        <f t="shared" si="59"/>
        <v>1062508.8000000003</v>
      </c>
      <c r="AH153" s="62">
        <f t="shared" si="71"/>
        <v>398440.99999999977</v>
      </c>
      <c r="AI153" s="63"/>
      <c r="AJ153" s="63"/>
      <c r="AK153" s="62"/>
      <c r="AL153" s="60">
        <v>6640.68</v>
      </c>
      <c r="AM153" s="60">
        <v>6640.68</v>
      </c>
      <c r="AN153" s="60">
        <v>6640.68</v>
      </c>
      <c r="AO153" s="60">
        <v>6640.68</v>
      </c>
      <c r="AP153" s="60">
        <v>6640.68</v>
      </c>
      <c r="AQ153" s="60">
        <v>6640.68</v>
      </c>
      <c r="AR153" s="61">
        <f t="shared" si="68"/>
        <v>39844.080000000002</v>
      </c>
      <c r="AS153" s="60">
        <v>6640.68</v>
      </c>
      <c r="AT153" s="60">
        <v>6640.68</v>
      </c>
      <c r="AU153" s="60">
        <v>6640.68</v>
      </c>
      <c r="AV153" s="60">
        <v>6640.68</v>
      </c>
      <c r="AW153" s="60">
        <v>6640.68</v>
      </c>
      <c r="AX153" s="60">
        <v>6640.68</v>
      </c>
      <c r="AY153" s="61">
        <f t="shared" si="69"/>
        <v>39844.080000000002</v>
      </c>
      <c r="AZ153" s="56">
        <f t="shared" si="64"/>
        <v>79688.160000000003</v>
      </c>
      <c r="BA153" s="62">
        <f t="shared" si="72"/>
        <v>1460949.8</v>
      </c>
      <c r="BB153" s="62">
        <f t="shared" si="70"/>
        <v>1142196.9599999995</v>
      </c>
      <c r="BC153" s="62">
        <f t="shared" si="73"/>
        <v>318752.84000000055</v>
      </c>
      <c r="BD153" s="63"/>
      <c r="BE153" s="57"/>
      <c r="BF153" s="35" t="e">
        <f>VLOOKUP(A:A,'2023-2027'!A:G,1,+FALSE)</f>
        <v>#N/A</v>
      </c>
      <c r="BG153" s="7" t="e">
        <f t="shared" si="74"/>
        <v>#N/A</v>
      </c>
      <c r="BH153" s="35"/>
    </row>
    <row r="154" spans="1:60" ht="24" hidden="1" customHeight="1" outlineLevel="1" x14ac:dyDescent="0.2">
      <c r="A154" s="59" t="s">
        <v>495</v>
      </c>
      <c r="B154" s="59" t="s">
        <v>77</v>
      </c>
      <c r="C154" s="59" t="s">
        <v>81</v>
      </c>
      <c r="D154" s="66" t="s">
        <v>496</v>
      </c>
      <c r="E154" s="59" t="s">
        <v>497</v>
      </c>
      <c r="F154" s="60">
        <v>2852111.23</v>
      </c>
      <c r="G154" s="60">
        <v>1315139.98</v>
      </c>
      <c r="H154" s="60">
        <v>1536971.25</v>
      </c>
      <c r="I154" s="59"/>
      <c r="J154" s="60">
        <v>190140.73</v>
      </c>
      <c r="K154" s="59"/>
      <c r="L154" s="59"/>
      <c r="M154" s="60">
        <v>2852111.23</v>
      </c>
      <c r="N154" s="60">
        <v>1505280.71</v>
      </c>
      <c r="O154" s="60">
        <v>1346830.52</v>
      </c>
      <c r="P154" s="55"/>
      <c r="Q154" s="55"/>
      <c r="R154" s="61">
        <f t="shared" si="65"/>
        <v>15845.060833333335</v>
      </c>
      <c r="S154" s="60">
        <v>15845.06083</v>
      </c>
      <c r="T154" s="60">
        <v>15845.06083</v>
      </c>
      <c r="U154" s="60">
        <v>15845.06083</v>
      </c>
      <c r="V154" s="60">
        <v>15845.06083</v>
      </c>
      <c r="W154" s="60">
        <v>15845.06083</v>
      </c>
      <c r="X154" s="61">
        <f t="shared" si="66"/>
        <v>95070.364983333333</v>
      </c>
      <c r="Y154" s="60">
        <v>15845.06083</v>
      </c>
      <c r="Z154" s="60">
        <v>15845.06083</v>
      </c>
      <c r="AA154" s="60">
        <v>15845.06083</v>
      </c>
      <c r="AB154" s="60">
        <v>15845.06083</v>
      </c>
      <c r="AC154" s="60">
        <v>15845.06083</v>
      </c>
      <c r="AD154" s="60">
        <v>15845.06083</v>
      </c>
      <c r="AE154" s="61">
        <f t="shared" si="67"/>
        <v>95070.364979999998</v>
      </c>
      <c r="AF154" s="62">
        <f t="shared" si="58"/>
        <v>2852111.23</v>
      </c>
      <c r="AG154" s="62">
        <f t="shared" si="59"/>
        <v>1695421.4399633342</v>
      </c>
      <c r="AH154" s="62">
        <f t="shared" si="71"/>
        <v>1156689.7900366657</v>
      </c>
      <c r="AI154" s="63"/>
      <c r="AJ154" s="63"/>
      <c r="AK154" s="62"/>
      <c r="AL154" s="60">
        <v>15845.06083</v>
      </c>
      <c r="AM154" s="60">
        <v>15845.06083</v>
      </c>
      <c r="AN154" s="60">
        <v>15845.06083</v>
      </c>
      <c r="AO154" s="60">
        <v>15845.06083</v>
      </c>
      <c r="AP154" s="60">
        <v>15845.06083</v>
      </c>
      <c r="AQ154" s="60">
        <v>15845.06083</v>
      </c>
      <c r="AR154" s="61">
        <f t="shared" si="68"/>
        <v>95070.364979999998</v>
      </c>
      <c r="AS154" s="60">
        <v>15845.06083</v>
      </c>
      <c r="AT154" s="60">
        <v>15845.06083</v>
      </c>
      <c r="AU154" s="60">
        <v>15845.06083</v>
      </c>
      <c r="AV154" s="60">
        <v>15845.06083</v>
      </c>
      <c r="AW154" s="60">
        <v>15845.06083</v>
      </c>
      <c r="AX154" s="60">
        <v>15845.06083</v>
      </c>
      <c r="AY154" s="61">
        <f t="shared" si="69"/>
        <v>95070.364979999998</v>
      </c>
      <c r="AZ154" s="56">
        <f t="shared" si="64"/>
        <v>190140.72996</v>
      </c>
      <c r="BA154" s="62">
        <f t="shared" si="72"/>
        <v>2852111.23</v>
      </c>
      <c r="BB154" s="62">
        <f t="shared" si="70"/>
        <v>1885562.1699233353</v>
      </c>
      <c r="BC154" s="62">
        <f t="shared" si="73"/>
        <v>966549.06007666467</v>
      </c>
      <c r="BD154" s="63"/>
      <c r="BE154" s="57"/>
      <c r="BF154" s="35" t="str">
        <f>VLOOKUP(A:A,'2023-2027'!A:G,1,+FALSE)</f>
        <v>Ячейка генераторного выключателя КРУ СЭЩ-70</v>
      </c>
      <c r="BG154" s="7" t="b">
        <f t="shared" si="74"/>
        <v>1</v>
      </c>
      <c r="BH154" s="35">
        <f>VLOOKUP(A:A,'2023-2027'!A:AT,43,+FALSE)</f>
        <v>15845.06</v>
      </c>
    </row>
    <row r="155" spans="1:60" ht="24" hidden="1" customHeight="1" outlineLevel="1" x14ac:dyDescent="0.2">
      <c r="A155" s="59" t="s">
        <v>498</v>
      </c>
      <c r="B155" s="59" t="s">
        <v>77</v>
      </c>
      <c r="C155" s="59" t="s">
        <v>81</v>
      </c>
      <c r="D155" s="66" t="s">
        <v>499</v>
      </c>
      <c r="E155" s="59" t="s">
        <v>497</v>
      </c>
      <c r="F155" s="60">
        <v>2276497.89</v>
      </c>
      <c r="G155" s="60">
        <v>1049718.43</v>
      </c>
      <c r="H155" s="60">
        <v>1226779.46</v>
      </c>
      <c r="I155" s="59"/>
      <c r="J155" s="60">
        <v>151766.51999999999</v>
      </c>
      <c r="K155" s="59"/>
      <c r="L155" s="59"/>
      <c r="M155" s="60">
        <v>2276497.89</v>
      </c>
      <c r="N155" s="60">
        <v>1201484.95</v>
      </c>
      <c r="O155" s="60">
        <v>1075012.94</v>
      </c>
      <c r="P155" s="55"/>
      <c r="Q155" s="55"/>
      <c r="R155" s="61">
        <f t="shared" si="65"/>
        <v>12647.21</v>
      </c>
      <c r="S155" s="60">
        <v>12647.21</v>
      </c>
      <c r="T155" s="60">
        <v>12647.21</v>
      </c>
      <c r="U155" s="60">
        <v>12647.21</v>
      </c>
      <c r="V155" s="60">
        <v>12647.21</v>
      </c>
      <c r="W155" s="60">
        <v>12647.21</v>
      </c>
      <c r="X155" s="61">
        <f t="shared" si="66"/>
        <v>75883.259999999995</v>
      </c>
      <c r="Y155" s="60">
        <v>12647.21</v>
      </c>
      <c r="Z155" s="60">
        <v>12647.21</v>
      </c>
      <c r="AA155" s="60">
        <v>12647.21</v>
      </c>
      <c r="AB155" s="60">
        <v>12647.21</v>
      </c>
      <c r="AC155" s="60">
        <v>12647.21</v>
      </c>
      <c r="AD155" s="60">
        <v>12647.21</v>
      </c>
      <c r="AE155" s="61">
        <f t="shared" si="67"/>
        <v>75883.259999999995</v>
      </c>
      <c r="AF155" s="62">
        <f t="shared" si="58"/>
        <v>2276497.89</v>
      </c>
      <c r="AG155" s="62">
        <f t="shared" si="59"/>
        <v>1353251.4699999995</v>
      </c>
      <c r="AH155" s="62">
        <f t="shared" si="71"/>
        <v>923246.42000000062</v>
      </c>
      <c r="AI155" s="63"/>
      <c r="AJ155" s="63"/>
      <c r="AK155" s="62"/>
      <c r="AL155" s="60">
        <v>12647.21</v>
      </c>
      <c r="AM155" s="60">
        <v>12647.21</v>
      </c>
      <c r="AN155" s="60">
        <v>12647.21</v>
      </c>
      <c r="AO155" s="60">
        <v>12647.21</v>
      </c>
      <c r="AP155" s="60">
        <v>12647.21</v>
      </c>
      <c r="AQ155" s="60">
        <v>12647.21</v>
      </c>
      <c r="AR155" s="61">
        <f t="shared" si="68"/>
        <v>75883.259999999995</v>
      </c>
      <c r="AS155" s="60">
        <v>12647.21</v>
      </c>
      <c r="AT155" s="60">
        <v>12647.21</v>
      </c>
      <c r="AU155" s="60">
        <v>12647.21</v>
      </c>
      <c r="AV155" s="60">
        <v>12647.21</v>
      </c>
      <c r="AW155" s="60">
        <v>12647.21</v>
      </c>
      <c r="AX155" s="60">
        <v>12647.21</v>
      </c>
      <c r="AY155" s="61">
        <f t="shared" si="69"/>
        <v>75883.259999999995</v>
      </c>
      <c r="AZ155" s="56">
        <f t="shared" si="64"/>
        <v>151766.51999999999</v>
      </c>
      <c r="BA155" s="62">
        <f t="shared" si="72"/>
        <v>2276497.89</v>
      </c>
      <c r="BB155" s="62">
        <f t="shared" si="70"/>
        <v>1505017.9899999991</v>
      </c>
      <c r="BC155" s="62">
        <f t="shared" si="73"/>
        <v>771479.90000000107</v>
      </c>
      <c r="BD155" s="63"/>
      <c r="BE155" s="57"/>
      <c r="BF155" s="35" t="str">
        <f>VLOOKUP(A:A,'2023-2027'!A:G,1,+FALSE)</f>
        <v>Ячейка трансформатора напряжения КРУ СЭЩ-70</v>
      </c>
      <c r="BG155" s="7" t="b">
        <f t="shared" si="74"/>
        <v>1</v>
      </c>
      <c r="BH155" s="35">
        <f>VLOOKUP(A:A,'2023-2027'!A:AT,43,+FALSE)</f>
        <v>12647.209999999997</v>
      </c>
    </row>
    <row r="156" spans="1:60" s="58" customFormat="1" ht="13.15" hidden="1" customHeight="1" x14ac:dyDescent="0.2">
      <c r="A156" s="323" t="s">
        <v>78</v>
      </c>
      <c r="B156" s="323"/>
      <c r="C156" s="323"/>
      <c r="D156" s="323"/>
      <c r="E156" s="323"/>
      <c r="F156" s="53">
        <v>40073010.43</v>
      </c>
      <c r="G156" s="53">
        <v>3394991.42</v>
      </c>
      <c r="H156" s="53">
        <v>36678019.009999998</v>
      </c>
      <c r="I156" s="54"/>
      <c r="J156" s="53">
        <v>1579409.25</v>
      </c>
      <c r="K156" s="54"/>
      <c r="L156" s="54"/>
      <c r="M156" s="53">
        <v>40073010.43</v>
      </c>
      <c r="N156" s="53">
        <v>4974400.67</v>
      </c>
      <c r="O156" s="53">
        <v>35098609.759999998</v>
      </c>
      <c r="P156" s="64">
        <v>35857558.959999993</v>
      </c>
      <c r="Q156" s="64">
        <f>Q157+Q158+Q160+Q161+Q162+Q163+Q164+Q165+Q166+Q167+Q168+Q169+Q170+Q171+Q172+Q173+Q174+Q175+Q176</f>
        <v>788866.25196000014</v>
      </c>
      <c r="R156" s="56">
        <f>R157+R158+R159+R160+R161+R162+R163+R164+R165+R166+R167+R168+R169+R170+R171+R172+R173+R174+R175+R176</f>
        <v>131617.43749999997</v>
      </c>
      <c r="S156" s="56">
        <f t="shared" ref="S156:BE156" si="75">S157+S158+S159+S160+S161+S162+S163+S164+S165+S166+S167+S168+S169+S170+S171+S172+S173+S174+S175+S176</f>
        <v>131617.43749999997</v>
      </c>
      <c r="T156" s="56">
        <f t="shared" si="75"/>
        <v>131617.43749999997</v>
      </c>
      <c r="U156" s="56">
        <f t="shared" si="75"/>
        <v>131617.43749999997</v>
      </c>
      <c r="V156" s="56">
        <f t="shared" si="75"/>
        <v>131617.43749999997</v>
      </c>
      <c r="W156" s="56">
        <f t="shared" si="75"/>
        <v>131617.43749999997</v>
      </c>
      <c r="X156" s="56">
        <f t="shared" si="75"/>
        <v>789704.62500000012</v>
      </c>
      <c r="Y156" s="56">
        <f t="shared" si="75"/>
        <v>131617.43749999997</v>
      </c>
      <c r="Z156" s="56">
        <f t="shared" si="75"/>
        <v>131617.43749999997</v>
      </c>
      <c r="AA156" s="56">
        <f t="shared" si="75"/>
        <v>131617.43749999997</v>
      </c>
      <c r="AB156" s="56">
        <f t="shared" si="75"/>
        <v>131617.43749999997</v>
      </c>
      <c r="AC156" s="56">
        <f t="shared" si="75"/>
        <v>131617.43749999997</v>
      </c>
      <c r="AD156" s="56">
        <f t="shared" si="75"/>
        <v>131617.43749999997</v>
      </c>
      <c r="AE156" s="56">
        <f t="shared" si="75"/>
        <v>789704.62500000012</v>
      </c>
      <c r="AF156" s="56">
        <f t="shared" si="75"/>
        <v>40073010.430000007</v>
      </c>
      <c r="AG156" s="56">
        <f t="shared" si="75"/>
        <v>6553809.9199999981</v>
      </c>
      <c r="AH156" s="56">
        <f t="shared" si="75"/>
        <v>33519200.510000005</v>
      </c>
      <c r="AI156" s="57">
        <v>34284624.710000001</v>
      </c>
      <c r="AJ156" s="57">
        <f t="shared" si="75"/>
        <v>754261.7436200002</v>
      </c>
      <c r="AK156" s="56"/>
      <c r="AL156" s="56">
        <f t="shared" si="75"/>
        <v>131617.43749999997</v>
      </c>
      <c r="AM156" s="56">
        <f t="shared" si="75"/>
        <v>131617.43749999997</v>
      </c>
      <c r="AN156" s="56">
        <f t="shared" si="75"/>
        <v>131617.43749999997</v>
      </c>
      <c r="AO156" s="56">
        <f t="shared" si="75"/>
        <v>131617.43749999997</v>
      </c>
      <c r="AP156" s="56">
        <f t="shared" si="75"/>
        <v>131617.43749999997</v>
      </c>
      <c r="AQ156" s="56">
        <f t="shared" si="75"/>
        <v>131617.43749999997</v>
      </c>
      <c r="AR156" s="56">
        <f t="shared" si="75"/>
        <v>789704.62500000012</v>
      </c>
      <c r="AS156" s="56">
        <f t="shared" si="75"/>
        <v>131617.43749999997</v>
      </c>
      <c r="AT156" s="56">
        <f t="shared" si="75"/>
        <v>131617.43749999997</v>
      </c>
      <c r="AU156" s="56">
        <f t="shared" si="75"/>
        <v>131617.43749999997</v>
      </c>
      <c r="AV156" s="56">
        <f t="shared" si="75"/>
        <v>131617.43749999997</v>
      </c>
      <c r="AW156" s="56">
        <f t="shared" si="75"/>
        <v>131617.43749999997</v>
      </c>
      <c r="AX156" s="56">
        <f t="shared" si="75"/>
        <v>131617.43749999997</v>
      </c>
      <c r="AY156" s="56">
        <f t="shared" si="75"/>
        <v>789704.62500000012</v>
      </c>
      <c r="AZ156" s="56">
        <f t="shared" si="64"/>
        <v>1579409.2500000002</v>
      </c>
      <c r="BA156" s="56">
        <f t="shared" si="75"/>
        <v>40073010.430000007</v>
      </c>
      <c r="BB156" s="56">
        <f t="shared" si="75"/>
        <v>8133219.1699999981</v>
      </c>
      <c r="BC156" s="56">
        <f t="shared" si="75"/>
        <v>31939791.260000005</v>
      </c>
      <c r="BD156" s="57">
        <v>32711690.150000002</v>
      </c>
      <c r="BE156" s="57">
        <f t="shared" si="75"/>
        <v>719657.18330000015</v>
      </c>
      <c r="BF156" s="35" t="e">
        <f>VLOOKUP(A:A,'2023-2027'!A:G,1,+FALSE)</f>
        <v>#N/A</v>
      </c>
      <c r="BG156" s="7" t="e">
        <f t="shared" si="74"/>
        <v>#N/A</v>
      </c>
      <c r="BH156" s="35"/>
    </row>
    <row r="157" spans="1:60" ht="24" hidden="1" customHeight="1" outlineLevel="1" x14ac:dyDescent="0.2">
      <c r="A157" s="59" t="s">
        <v>500</v>
      </c>
      <c r="B157" s="59" t="s">
        <v>78</v>
      </c>
      <c r="C157" s="59" t="s">
        <v>81</v>
      </c>
      <c r="D157" s="66" t="s">
        <v>501</v>
      </c>
      <c r="E157" s="59" t="s">
        <v>502</v>
      </c>
      <c r="F157" s="60">
        <v>205964.57</v>
      </c>
      <c r="G157" s="68">
        <v>858.18</v>
      </c>
      <c r="H157" s="60">
        <v>205106.39</v>
      </c>
      <c r="I157" s="59"/>
      <c r="J157" s="60">
        <v>5149.08</v>
      </c>
      <c r="K157" s="59"/>
      <c r="L157" s="59"/>
      <c r="M157" s="60">
        <v>205964.57</v>
      </c>
      <c r="N157" s="60">
        <v>6007.26</v>
      </c>
      <c r="O157" s="60">
        <v>199957.31</v>
      </c>
      <c r="P157" s="55">
        <v>202531.85</v>
      </c>
      <c r="Q157" s="55">
        <f t="shared" ref="Q157:Q158" si="76">P157*2.2%</f>
        <v>4455.7007000000003</v>
      </c>
      <c r="R157" s="61">
        <f t="shared" si="65"/>
        <v>429.09</v>
      </c>
      <c r="S157" s="60">
        <v>429.09</v>
      </c>
      <c r="T157" s="60">
        <v>429.09</v>
      </c>
      <c r="U157" s="60">
        <v>429.09</v>
      </c>
      <c r="V157" s="60">
        <v>429.09</v>
      </c>
      <c r="W157" s="60">
        <v>429.09</v>
      </c>
      <c r="X157" s="61">
        <f t="shared" si="66"/>
        <v>2574.54</v>
      </c>
      <c r="Y157" s="60">
        <v>429.09</v>
      </c>
      <c r="Z157" s="60">
        <v>429.09</v>
      </c>
      <c r="AA157" s="60">
        <v>429.09</v>
      </c>
      <c r="AB157" s="60">
        <v>429.09</v>
      </c>
      <c r="AC157" s="60">
        <v>429.09</v>
      </c>
      <c r="AD157" s="60">
        <v>429.09</v>
      </c>
      <c r="AE157" s="61">
        <f t="shared" si="67"/>
        <v>2574.54</v>
      </c>
      <c r="AF157" s="62">
        <f t="shared" ref="AF157:AF176" si="77">M157</f>
        <v>205964.57</v>
      </c>
      <c r="AG157" s="62">
        <f t="shared" ref="AG157:AG176" si="78">N157+R157+S157+T157+U157+V157+W157+Y157+Z157+AA157+AB157+AC157+AD157</f>
        <v>11156.340000000002</v>
      </c>
      <c r="AH157" s="62">
        <f t="shared" si="71"/>
        <v>194808.23</v>
      </c>
      <c r="AI157" s="63">
        <v>197382.76999999984</v>
      </c>
      <c r="AJ157" s="63">
        <f t="shared" ref="AJ157:AJ158" si="79">AI157*2.2%</f>
        <v>4342.4209399999972</v>
      </c>
      <c r="AK157" s="62"/>
      <c r="AL157" s="60">
        <v>429.09</v>
      </c>
      <c r="AM157" s="60">
        <v>429.09</v>
      </c>
      <c r="AN157" s="60">
        <v>429.09</v>
      </c>
      <c r="AO157" s="60">
        <v>429.09</v>
      </c>
      <c r="AP157" s="60">
        <v>429.09</v>
      </c>
      <c r="AQ157" s="60">
        <v>429.09</v>
      </c>
      <c r="AR157" s="61">
        <f t="shared" si="68"/>
        <v>2574.54</v>
      </c>
      <c r="AS157" s="60">
        <v>429.09</v>
      </c>
      <c r="AT157" s="60">
        <v>429.09</v>
      </c>
      <c r="AU157" s="60">
        <v>429.09</v>
      </c>
      <c r="AV157" s="60">
        <v>429.09</v>
      </c>
      <c r="AW157" s="60">
        <v>429.09</v>
      </c>
      <c r="AX157" s="60">
        <v>429.09</v>
      </c>
      <c r="AY157" s="61">
        <f t="shared" si="69"/>
        <v>2574.54</v>
      </c>
      <c r="AZ157" s="56">
        <f t="shared" si="64"/>
        <v>5149.08</v>
      </c>
      <c r="BA157" s="62">
        <f t="shared" si="72"/>
        <v>205964.57</v>
      </c>
      <c r="BB157" s="62">
        <f t="shared" si="70"/>
        <v>16305.420000000004</v>
      </c>
      <c r="BC157" s="62">
        <f t="shared" si="73"/>
        <v>189659.15</v>
      </c>
      <c r="BD157" s="63">
        <v>192233.68999999951</v>
      </c>
      <c r="BE157" s="57">
        <f t="shared" ref="BE157:BE158" si="80">BD157*2.2%</f>
        <v>4229.1411799999896</v>
      </c>
      <c r="BF157" s="35" t="str">
        <f>VLOOKUP(A:A,'2023-2027'!A:G,1,+FALSE)</f>
        <v>Воздушная линия 0,4 кВ (ТУ 487 от 02.07.20)</v>
      </c>
      <c r="BG157" s="7" t="b">
        <f t="shared" si="74"/>
        <v>1</v>
      </c>
      <c r="BH157" s="35">
        <f>VLOOKUP(A:A,'2023-2027'!A:AT,43,+FALSE)</f>
        <v>429.09</v>
      </c>
    </row>
    <row r="158" spans="1:60" ht="24" hidden="1" customHeight="1" outlineLevel="1" x14ac:dyDescent="0.2">
      <c r="A158" s="59" t="s">
        <v>503</v>
      </c>
      <c r="B158" s="59" t="s">
        <v>78</v>
      </c>
      <c r="C158" s="59" t="s">
        <v>81</v>
      </c>
      <c r="D158" s="66" t="s">
        <v>504</v>
      </c>
      <c r="E158" s="59" t="s">
        <v>505</v>
      </c>
      <c r="F158" s="60">
        <v>2315429.2200000002</v>
      </c>
      <c r="G158" s="60">
        <v>77181</v>
      </c>
      <c r="H158" s="60">
        <v>2238248.2200000002</v>
      </c>
      <c r="I158" s="59"/>
      <c r="J158" s="60">
        <v>77181</v>
      </c>
      <c r="K158" s="59"/>
      <c r="L158" s="59"/>
      <c r="M158" s="60">
        <v>2315429.2200000002</v>
      </c>
      <c r="N158" s="60">
        <v>154362</v>
      </c>
      <c r="O158" s="60">
        <v>2161067.2200000002</v>
      </c>
      <c r="P158" s="55">
        <v>2199657.7200000002</v>
      </c>
      <c r="Q158" s="55">
        <f t="shared" si="76"/>
        <v>48392.469840000012</v>
      </c>
      <c r="R158" s="61">
        <f t="shared" si="65"/>
        <v>6431.75</v>
      </c>
      <c r="S158" s="60">
        <v>6431.75</v>
      </c>
      <c r="T158" s="60">
        <v>6431.75</v>
      </c>
      <c r="U158" s="60">
        <v>6431.75</v>
      </c>
      <c r="V158" s="60">
        <v>6431.75</v>
      </c>
      <c r="W158" s="60">
        <v>6431.75</v>
      </c>
      <c r="X158" s="61">
        <f t="shared" si="66"/>
        <v>38590.5</v>
      </c>
      <c r="Y158" s="60">
        <v>6431.75</v>
      </c>
      <c r="Z158" s="60">
        <v>6431.75</v>
      </c>
      <c r="AA158" s="60">
        <v>6431.75</v>
      </c>
      <c r="AB158" s="60">
        <v>6431.75</v>
      </c>
      <c r="AC158" s="60">
        <v>6431.75</v>
      </c>
      <c r="AD158" s="60">
        <v>6431.75</v>
      </c>
      <c r="AE158" s="61">
        <f t="shared" si="67"/>
        <v>38590.5</v>
      </c>
      <c r="AF158" s="62">
        <f t="shared" si="77"/>
        <v>2315429.2200000002</v>
      </c>
      <c r="AG158" s="62">
        <f t="shared" si="78"/>
        <v>231543</v>
      </c>
      <c r="AH158" s="62">
        <f t="shared" si="71"/>
        <v>2083886.2200000002</v>
      </c>
      <c r="AI158" s="63">
        <v>2122476.7199999997</v>
      </c>
      <c r="AJ158" s="63">
        <f t="shared" si="79"/>
        <v>46694.487840000002</v>
      </c>
      <c r="AK158" s="62"/>
      <c r="AL158" s="60">
        <v>6431.75</v>
      </c>
      <c r="AM158" s="60">
        <v>6431.75</v>
      </c>
      <c r="AN158" s="60">
        <v>6431.75</v>
      </c>
      <c r="AO158" s="60">
        <v>6431.75</v>
      </c>
      <c r="AP158" s="60">
        <v>6431.75</v>
      </c>
      <c r="AQ158" s="60">
        <v>6431.75</v>
      </c>
      <c r="AR158" s="61">
        <f t="shared" si="68"/>
        <v>38590.5</v>
      </c>
      <c r="AS158" s="60">
        <v>6431.75</v>
      </c>
      <c r="AT158" s="60">
        <v>6431.75</v>
      </c>
      <c r="AU158" s="60">
        <v>6431.75</v>
      </c>
      <c r="AV158" s="60">
        <v>6431.75</v>
      </c>
      <c r="AW158" s="60">
        <v>6431.75</v>
      </c>
      <c r="AX158" s="60">
        <v>6431.75</v>
      </c>
      <c r="AY158" s="61">
        <f t="shared" si="69"/>
        <v>38590.5</v>
      </c>
      <c r="AZ158" s="56">
        <f t="shared" si="64"/>
        <v>77181</v>
      </c>
      <c r="BA158" s="62">
        <f t="shared" si="72"/>
        <v>2315429.2200000002</v>
      </c>
      <c r="BB158" s="62">
        <f t="shared" si="70"/>
        <v>308724</v>
      </c>
      <c r="BC158" s="62">
        <f t="shared" si="73"/>
        <v>2006705.2200000002</v>
      </c>
      <c r="BD158" s="63">
        <v>2045295.72</v>
      </c>
      <c r="BE158" s="57">
        <f t="shared" si="80"/>
        <v>44996.505840000005</v>
      </c>
      <c r="BF158" s="35" t="str">
        <f>VLOOKUP(A:A,'2023-2027'!A:G,1,+FALSE)</f>
        <v>Дизельная электростанция АДК 500.2-Baltic</v>
      </c>
      <c r="BG158" s="7" t="b">
        <f t="shared" si="74"/>
        <v>1</v>
      </c>
      <c r="BH158" s="35">
        <f>VLOOKUP(A:A,'2023-2027'!A:AT,43,+FALSE)</f>
        <v>6431.75</v>
      </c>
    </row>
    <row r="159" spans="1:60" ht="48" hidden="1" customHeight="1" outlineLevel="1" x14ac:dyDescent="0.2">
      <c r="A159" s="59" t="s">
        <v>2444</v>
      </c>
      <c r="B159" s="59" t="s">
        <v>78</v>
      </c>
      <c r="C159" s="59" t="s">
        <v>81</v>
      </c>
      <c r="D159" s="66" t="s">
        <v>506</v>
      </c>
      <c r="E159" s="59" t="s">
        <v>208</v>
      </c>
      <c r="F159" s="60">
        <v>45323.25</v>
      </c>
      <c r="G159" s="60">
        <v>11330.76</v>
      </c>
      <c r="H159" s="60">
        <v>33992.49</v>
      </c>
      <c r="I159" s="59"/>
      <c r="J159" s="60">
        <v>6474.72</v>
      </c>
      <c r="K159" s="59"/>
      <c r="L159" s="59"/>
      <c r="M159" s="60">
        <v>45323.25</v>
      </c>
      <c r="N159" s="60">
        <v>17805.48</v>
      </c>
      <c r="O159" s="60">
        <v>27517.77</v>
      </c>
      <c r="P159" s="55"/>
      <c r="Q159" s="55"/>
      <c r="R159" s="61">
        <f t="shared" si="65"/>
        <v>539.56000000000006</v>
      </c>
      <c r="S159" s="60">
        <v>539.55999999999995</v>
      </c>
      <c r="T159" s="60">
        <v>539.55999999999995</v>
      </c>
      <c r="U159" s="60">
        <v>539.55999999999995</v>
      </c>
      <c r="V159" s="60">
        <v>539.55999999999995</v>
      </c>
      <c r="W159" s="60">
        <v>539.55999999999995</v>
      </c>
      <c r="X159" s="61">
        <f t="shared" si="66"/>
        <v>3237.3599999999997</v>
      </c>
      <c r="Y159" s="60">
        <v>539.55999999999995</v>
      </c>
      <c r="Z159" s="60">
        <v>539.55999999999995</v>
      </c>
      <c r="AA159" s="60">
        <v>539.55999999999995</v>
      </c>
      <c r="AB159" s="60">
        <v>539.55999999999995</v>
      </c>
      <c r="AC159" s="60">
        <v>539.55999999999995</v>
      </c>
      <c r="AD159" s="60">
        <v>539.55999999999995</v>
      </c>
      <c r="AE159" s="61">
        <f t="shared" si="67"/>
        <v>3237.3599999999997</v>
      </c>
      <c r="AF159" s="62">
        <f t="shared" si="77"/>
        <v>45323.25</v>
      </c>
      <c r="AG159" s="62">
        <f t="shared" si="78"/>
        <v>24280.200000000015</v>
      </c>
      <c r="AH159" s="62">
        <f t="shared" si="71"/>
        <v>21043.049999999985</v>
      </c>
      <c r="AI159" s="63"/>
      <c r="AJ159" s="63"/>
      <c r="AK159" s="62"/>
      <c r="AL159" s="60">
        <v>539.55999999999995</v>
      </c>
      <c r="AM159" s="60">
        <v>539.55999999999995</v>
      </c>
      <c r="AN159" s="60">
        <v>539.55999999999995</v>
      </c>
      <c r="AO159" s="60">
        <v>539.55999999999995</v>
      </c>
      <c r="AP159" s="60">
        <v>539.55999999999995</v>
      </c>
      <c r="AQ159" s="60">
        <v>539.55999999999995</v>
      </c>
      <c r="AR159" s="61">
        <f t="shared" si="68"/>
        <v>3237.3599999999997</v>
      </c>
      <c r="AS159" s="60">
        <v>539.55999999999995</v>
      </c>
      <c r="AT159" s="60">
        <v>539.55999999999995</v>
      </c>
      <c r="AU159" s="60">
        <v>539.55999999999995</v>
      </c>
      <c r="AV159" s="60">
        <v>539.55999999999995</v>
      </c>
      <c r="AW159" s="60">
        <v>539.55999999999995</v>
      </c>
      <c r="AX159" s="60">
        <v>539.55999999999995</v>
      </c>
      <c r="AY159" s="61">
        <f t="shared" si="69"/>
        <v>3237.3599999999997</v>
      </c>
      <c r="AZ159" s="56">
        <f t="shared" si="64"/>
        <v>6474.7199999999993</v>
      </c>
      <c r="BA159" s="62">
        <f t="shared" si="72"/>
        <v>45323.25</v>
      </c>
      <c r="BB159" s="62">
        <f t="shared" si="70"/>
        <v>30754.920000000031</v>
      </c>
      <c r="BC159" s="62">
        <f t="shared" si="73"/>
        <v>14568.329999999969</v>
      </c>
      <c r="BD159" s="63"/>
      <c r="BE159" s="57"/>
      <c r="BF159" s="35" t="str">
        <f>VLOOKUP(A:A,'2023-2027'!A:G,1,+FALSE)</f>
        <v xml:space="preserve">Комплект трассо-дефектоискателя Поиск-510 Мастер (с генератором МК-510) </v>
      </c>
      <c r="BG159" s="7" t="b">
        <f t="shared" si="74"/>
        <v>1</v>
      </c>
      <c r="BH159" s="35">
        <f>VLOOKUP(A:A,'2023-2027'!A:AT,43,+FALSE)</f>
        <v>539.55999999999983</v>
      </c>
    </row>
    <row r="160" spans="1:60" ht="36" hidden="1" customHeight="1" outlineLevel="1" x14ac:dyDescent="0.2">
      <c r="A160" s="59" t="s">
        <v>507</v>
      </c>
      <c r="B160" s="59" t="s">
        <v>78</v>
      </c>
      <c r="C160" s="59" t="s">
        <v>81</v>
      </c>
      <c r="D160" s="66" t="s">
        <v>508</v>
      </c>
      <c r="E160" s="59" t="s">
        <v>505</v>
      </c>
      <c r="F160" s="60">
        <v>19015901.02</v>
      </c>
      <c r="G160" s="60">
        <v>633863.4</v>
      </c>
      <c r="H160" s="60">
        <v>18382037.620000001</v>
      </c>
      <c r="I160" s="59"/>
      <c r="J160" s="60">
        <v>633863.4</v>
      </c>
      <c r="K160" s="59"/>
      <c r="L160" s="59"/>
      <c r="M160" s="60">
        <v>19015901.02</v>
      </c>
      <c r="N160" s="60">
        <v>1267726.8</v>
      </c>
      <c r="O160" s="60">
        <v>17748174.219999999</v>
      </c>
      <c r="P160" s="55">
        <v>18065105.899999999</v>
      </c>
      <c r="Q160" s="55">
        <v>397432.32000000001</v>
      </c>
      <c r="R160" s="61">
        <f t="shared" si="65"/>
        <v>52821.950000000004</v>
      </c>
      <c r="S160" s="60">
        <v>52821.95</v>
      </c>
      <c r="T160" s="60">
        <v>52821.95</v>
      </c>
      <c r="U160" s="60">
        <v>52821.95</v>
      </c>
      <c r="V160" s="60">
        <v>52821.95</v>
      </c>
      <c r="W160" s="60">
        <v>52821.95</v>
      </c>
      <c r="X160" s="61">
        <f t="shared" si="66"/>
        <v>316931.7</v>
      </c>
      <c r="Y160" s="60">
        <v>52821.95</v>
      </c>
      <c r="Z160" s="60">
        <v>52821.95</v>
      </c>
      <c r="AA160" s="60">
        <v>52821.95</v>
      </c>
      <c r="AB160" s="60">
        <v>52821.95</v>
      </c>
      <c r="AC160" s="60">
        <v>52821.95</v>
      </c>
      <c r="AD160" s="60">
        <v>52821.95</v>
      </c>
      <c r="AE160" s="61">
        <f t="shared" si="67"/>
        <v>316931.7</v>
      </c>
      <c r="AF160" s="62">
        <f t="shared" si="77"/>
        <v>19015901.02</v>
      </c>
      <c r="AG160" s="62">
        <f t="shared" si="78"/>
        <v>1901590.1999999995</v>
      </c>
      <c r="AH160" s="62">
        <f t="shared" si="71"/>
        <v>17114310.82</v>
      </c>
      <c r="AI160" s="63">
        <v>17431242.520000003</v>
      </c>
      <c r="AJ160" s="63">
        <f t="shared" ref="AJ160:AJ176" si="81">AI160*2.2%</f>
        <v>383487.33544000011</v>
      </c>
      <c r="AK160" s="62"/>
      <c r="AL160" s="60">
        <v>52821.95</v>
      </c>
      <c r="AM160" s="60">
        <v>52821.95</v>
      </c>
      <c r="AN160" s="60">
        <v>52821.95</v>
      </c>
      <c r="AO160" s="60">
        <v>52821.95</v>
      </c>
      <c r="AP160" s="60">
        <v>52821.95</v>
      </c>
      <c r="AQ160" s="60">
        <v>52821.95</v>
      </c>
      <c r="AR160" s="61">
        <f t="shared" si="68"/>
        <v>316931.7</v>
      </c>
      <c r="AS160" s="60">
        <v>52821.95</v>
      </c>
      <c r="AT160" s="60">
        <v>52821.95</v>
      </c>
      <c r="AU160" s="60">
        <v>52821.95</v>
      </c>
      <c r="AV160" s="60">
        <v>52821.95</v>
      </c>
      <c r="AW160" s="60">
        <v>52821.95</v>
      </c>
      <c r="AX160" s="60">
        <v>52821.95</v>
      </c>
      <c r="AY160" s="61">
        <f t="shared" si="69"/>
        <v>316931.7</v>
      </c>
      <c r="AZ160" s="56">
        <f t="shared" si="64"/>
        <v>633863.4</v>
      </c>
      <c r="BA160" s="62">
        <f t="shared" si="72"/>
        <v>19015901.02</v>
      </c>
      <c r="BB160" s="62">
        <f t="shared" si="70"/>
        <v>2535453.600000001</v>
      </c>
      <c r="BC160" s="62">
        <f t="shared" si="73"/>
        <v>16480447.419999998</v>
      </c>
      <c r="BD160" s="63">
        <v>16797379.120000008</v>
      </c>
      <c r="BE160" s="57">
        <f t="shared" ref="BE160:BE176" si="82">BD160*2.2%</f>
        <v>369542.34064000024</v>
      </c>
      <c r="BF160" s="35" t="str">
        <f>VLOOKUP(A:A,'2023-2027'!A:G,1,+FALSE)</f>
        <v>Комплектная трансформаторная подстанция 2КТП(М)-630-6/0,4-УХЛ1</v>
      </c>
      <c r="BG160" s="7" t="b">
        <f t="shared" si="74"/>
        <v>1</v>
      </c>
      <c r="BH160" s="35">
        <f>VLOOKUP(A:A,'2023-2027'!A:AT,43,+FALSE)</f>
        <v>52821.94999999999</v>
      </c>
    </row>
    <row r="161" spans="1:60" ht="24" hidden="1" customHeight="1" outlineLevel="1" x14ac:dyDescent="0.2">
      <c r="A161" s="59" t="s">
        <v>509</v>
      </c>
      <c r="B161" s="59" t="s">
        <v>78</v>
      </c>
      <c r="C161" s="59" t="s">
        <v>81</v>
      </c>
      <c r="D161" s="66" t="s">
        <v>510</v>
      </c>
      <c r="E161" s="59" t="s">
        <v>505</v>
      </c>
      <c r="F161" s="60">
        <v>1566507.35</v>
      </c>
      <c r="G161" s="60">
        <v>52216.92</v>
      </c>
      <c r="H161" s="60">
        <v>1514290.43</v>
      </c>
      <c r="I161" s="59"/>
      <c r="J161" s="60">
        <v>52216.92</v>
      </c>
      <c r="K161" s="59"/>
      <c r="L161" s="59"/>
      <c r="M161" s="60">
        <v>1566507.35</v>
      </c>
      <c r="N161" s="60">
        <v>104433.84</v>
      </c>
      <c r="O161" s="60">
        <v>1462073.51</v>
      </c>
      <c r="P161" s="55">
        <v>1488181.97</v>
      </c>
      <c r="Q161" s="55">
        <f t="shared" ref="Q161:Q175" si="83">P161*2.2%</f>
        <v>32740.003340000003</v>
      </c>
      <c r="R161" s="61">
        <f t="shared" si="65"/>
        <v>4351.41</v>
      </c>
      <c r="S161" s="60">
        <v>4351.41</v>
      </c>
      <c r="T161" s="60">
        <v>4351.41</v>
      </c>
      <c r="U161" s="60">
        <v>4351.41</v>
      </c>
      <c r="V161" s="60">
        <v>4351.41</v>
      </c>
      <c r="W161" s="60">
        <v>4351.41</v>
      </c>
      <c r="X161" s="61">
        <f t="shared" si="66"/>
        <v>26108.46</v>
      </c>
      <c r="Y161" s="60">
        <v>4351.41</v>
      </c>
      <c r="Z161" s="60">
        <v>4351.41</v>
      </c>
      <c r="AA161" s="60">
        <v>4351.41</v>
      </c>
      <c r="AB161" s="60">
        <v>4351.41</v>
      </c>
      <c r="AC161" s="60">
        <v>4351.41</v>
      </c>
      <c r="AD161" s="60">
        <v>4351.41</v>
      </c>
      <c r="AE161" s="61">
        <f t="shared" si="67"/>
        <v>26108.46</v>
      </c>
      <c r="AF161" s="62">
        <f t="shared" si="77"/>
        <v>1566507.35</v>
      </c>
      <c r="AG161" s="62">
        <f t="shared" si="78"/>
        <v>156650.76000000004</v>
      </c>
      <c r="AH161" s="62">
        <f t="shared" si="71"/>
        <v>1409856.59</v>
      </c>
      <c r="AI161" s="63">
        <v>1435965.0500000005</v>
      </c>
      <c r="AJ161" s="63">
        <f t="shared" si="81"/>
        <v>31591.231100000015</v>
      </c>
      <c r="AK161" s="62"/>
      <c r="AL161" s="60">
        <v>4351.41</v>
      </c>
      <c r="AM161" s="60">
        <v>4351.41</v>
      </c>
      <c r="AN161" s="60">
        <v>4351.41</v>
      </c>
      <c r="AO161" s="60">
        <v>4351.41</v>
      </c>
      <c r="AP161" s="60">
        <v>4351.41</v>
      </c>
      <c r="AQ161" s="60">
        <v>4351.41</v>
      </c>
      <c r="AR161" s="61">
        <f t="shared" si="68"/>
        <v>26108.46</v>
      </c>
      <c r="AS161" s="60">
        <v>4351.41</v>
      </c>
      <c r="AT161" s="60">
        <v>4351.41</v>
      </c>
      <c r="AU161" s="60">
        <v>4351.41</v>
      </c>
      <c r="AV161" s="60">
        <v>4351.41</v>
      </c>
      <c r="AW161" s="60">
        <v>4351.41</v>
      </c>
      <c r="AX161" s="60">
        <v>4351.41</v>
      </c>
      <c r="AY161" s="61">
        <f t="shared" si="69"/>
        <v>26108.46</v>
      </c>
      <c r="AZ161" s="56">
        <f t="shared" si="64"/>
        <v>52216.92</v>
      </c>
      <c r="BA161" s="62">
        <f t="shared" si="72"/>
        <v>1566507.35</v>
      </c>
      <c r="BB161" s="62">
        <f t="shared" si="70"/>
        <v>208867.68000000008</v>
      </c>
      <c r="BC161" s="62">
        <f t="shared" si="73"/>
        <v>1357639.67</v>
      </c>
      <c r="BD161" s="63">
        <v>1383748.1300000015</v>
      </c>
      <c r="BE161" s="57">
        <f t="shared" si="82"/>
        <v>30442.458860000035</v>
      </c>
      <c r="BF161" s="35" t="str">
        <f>VLOOKUP(A:A,'2023-2027'!A:G,1,+FALSE)</f>
        <v>Молниеотвод с прожекторами, МОГК</v>
      </c>
      <c r="BG161" s="7" t="b">
        <f t="shared" si="74"/>
        <v>1</v>
      </c>
      <c r="BH161" s="35">
        <f>VLOOKUP(A:A,'2023-2027'!A:AT,43,+FALSE)</f>
        <v>4351.4100000000008</v>
      </c>
    </row>
    <row r="162" spans="1:60" ht="24" hidden="1" customHeight="1" outlineLevel="1" x14ac:dyDescent="0.2">
      <c r="A162" s="59" t="s">
        <v>511</v>
      </c>
      <c r="B162" s="59" t="s">
        <v>78</v>
      </c>
      <c r="C162" s="59" t="s">
        <v>81</v>
      </c>
      <c r="D162" s="66" t="s">
        <v>512</v>
      </c>
      <c r="E162" s="59" t="s">
        <v>513</v>
      </c>
      <c r="F162" s="60">
        <v>40883.46</v>
      </c>
      <c r="G162" s="60">
        <v>16126.23</v>
      </c>
      <c r="H162" s="60">
        <v>24757.23</v>
      </c>
      <c r="I162" s="59"/>
      <c r="J162" s="60">
        <v>2725.56</v>
      </c>
      <c r="K162" s="59"/>
      <c r="L162" s="59"/>
      <c r="M162" s="60">
        <v>40883.46</v>
      </c>
      <c r="N162" s="60">
        <v>18851.79</v>
      </c>
      <c r="O162" s="60">
        <v>22031.67</v>
      </c>
      <c r="P162" s="55">
        <v>23394.45</v>
      </c>
      <c r="Q162" s="55">
        <f t="shared" si="83"/>
        <v>514.67790000000002</v>
      </c>
      <c r="R162" s="61">
        <f t="shared" si="65"/>
        <v>227.13</v>
      </c>
      <c r="S162" s="60">
        <v>227.13</v>
      </c>
      <c r="T162" s="60">
        <v>227.13</v>
      </c>
      <c r="U162" s="60">
        <v>227.13</v>
      </c>
      <c r="V162" s="60">
        <v>227.13</v>
      </c>
      <c r="W162" s="60">
        <v>227.13</v>
      </c>
      <c r="X162" s="61">
        <f t="shared" si="66"/>
        <v>1362.7800000000002</v>
      </c>
      <c r="Y162" s="60">
        <v>227.13</v>
      </c>
      <c r="Z162" s="60">
        <v>227.13</v>
      </c>
      <c r="AA162" s="60">
        <v>227.13</v>
      </c>
      <c r="AB162" s="60">
        <v>227.13</v>
      </c>
      <c r="AC162" s="60">
        <v>227.13</v>
      </c>
      <c r="AD162" s="60">
        <v>227.13</v>
      </c>
      <c r="AE162" s="61">
        <f t="shared" si="67"/>
        <v>1362.7800000000002</v>
      </c>
      <c r="AF162" s="62">
        <f t="shared" si="77"/>
        <v>40883.46</v>
      </c>
      <c r="AG162" s="62">
        <f t="shared" si="78"/>
        <v>21577.350000000013</v>
      </c>
      <c r="AH162" s="62">
        <f t="shared" si="71"/>
        <v>19306.109999999986</v>
      </c>
      <c r="AI162" s="63">
        <v>20668.889999999992</v>
      </c>
      <c r="AJ162" s="63">
        <f t="shared" si="81"/>
        <v>454.71557999999987</v>
      </c>
      <c r="AK162" s="62"/>
      <c r="AL162" s="60">
        <v>227.13</v>
      </c>
      <c r="AM162" s="60">
        <v>227.13</v>
      </c>
      <c r="AN162" s="60">
        <v>227.13</v>
      </c>
      <c r="AO162" s="60">
        <v>227.13</v>
      </c>
      <c r="AP162" s="60">
        <v>227.13</v>
      </c>
      <c r="AQ162" s="60">
        <v>227.13</v>
      </c>
      <c r="AR162" s="61">
        <f t="shared" si="68"/>
        <v>1362.7800000000002</v>
      </c>
      <c r="AS162" s="60">
        <v>227.13</v>
      </c>
      <c r="AT162" s="60">
        <v>227.13</v>
      </c>
      <c r="AU162" s="60">
        <v>227.13</v>
      </c>
      <c r="AV162" s="60">
        <v>227.13</v>
      </c>
      <c r="AW162" s="60">
        <v>227.13</v>
      </c>
      <c r="AX162" s="60">
        <v>227.13</v>
      </c>
      <c r="AY162" s="61">
        <f t="shared" si="69"/>
        <v>1362.7800000000002</v>
      </c>
      <c r="AZ162" s="56">
        <f t="shared" si="64"/>
        <v>2725.5600000000004</v>
      </c>
      <c r="BA162" s="62">
        <f t="shared" si="72"/>
        <v>40883.46</v>
      </c>
      <c r="BB162" s="62">
        <f t="shared" si="70"/>
        <v>24302.910000000025</v>
      </c>
      <c r="BC162" s="62">
        <f t="shared" si="73"/>
        <v>16580.549999999974</v>
      </c>
      <c r="BD162" s="63">
        <v>17943.329999999976</v>
      </c>
      <c r="BE162" s="57">
        <f t="shared" si="82"/>
        <v>394.7532599999995</v>
      </c>
      <c r="BF162" s="35" t="str">
        <f>VLOOKUP(A:A,'2023-2027'!A:G,1,+FALSE)</f>
        <v>Наружные сети электроснабжения (п. Красное)</v>
      </c>
      <c r="BG162" s="7" t="b">
        <f t="shared" si="74"/>
        <v>1</v>
      </c>
      <c r="BH162" s="35">
        <f>VLOOKUP(A:A,'2023-2027'!A:AT,43,+FALSE)</f>
        <v>227.13000000000008</v>
      </c>
    </row>
    <row r="163" spans="1:60" ht="36" hidden="1" customHeight="1" outlineLevel="1" x14ac:dyDescent="0.2">
      <c r="A163" s="59" t="s">
        <v>514</v>
      </c>
      <c r="B163" s="59" t="s">
        <v>78</v>
      </c>
      <c r="C163" s="59" t="s">
        <v>81</v>
      </c>
      <c r="D163" s="66" t="s">
        <v>515</v>
      </c>
      <c r="E163" s="59" t="s">
        <v>516</v>
      </c>
      <c r="F163" s="60">
        <v>239099</v>
      </c>
      <c r="G163" s="60">
        <v>87669.78</v>
      </c>
      <c r="H163" s="60">
        <v>151429.22</v>
      </c>
      <c r="I163" s="59"/>
      <c r="J163" s="60">
        <v>15939.96</v>
      </c>
      <c r="K163" s="59"/>
      <c r="L163" s="59"/>
      <c r="M163" s="60">
        <v>239099</v>
      </c>
      <c r="N163" s="60">
        <v>103609.74</v>
      </c>
      <c r="O163" s="60">
        <v>135489.26</v>
      </c>
      <c r="P163" s="55">
        <v>143459.24</v>
      </c>
      <c r="Q163" s="55">
        <f t="shared" si="83"/>
        <v>3156.1032800000003</v>
      </c>
      <c r="R163" s="61">
        <f t="shared" si="65"/>
        <v>1328.33</v>
      </c>
      <c r="S163" s="60">
        <v>1328.33</v>
      </c>
      <c r="T163" s="60">
        <v>1328.33</v>
      </c>
      <c r="U163" s="60">
        <v>1328.33</v>
      </c>
      <c r="V163" s="60">
        <v>1328.33</v>
      </c>
      <c r="W163" s="60">
        <v>1328.33</v>
      </c>
      <c r="X163" s="61">
        <f t="shared" si="66"/>
        <v>7969.98</v>
      </c>
      <c r="Y163" s="60">
        <v>1328.33</v>
      </c>
      <c r="Z163" s="60">
        <v>1328.33</v>
      </c>
      <c r="AA163" s="60">
        <v>1328.33</v>
      </c>
      <c r="AB163" s="60">
        <v>1328.33</v>
      </c>
      <c r="AC163" s="60">
        <v>1328.33</v>
      </c>
      <c r="AD163" s="60">
        <v>1328.33</v>
      </c>
      <c r="AE163" s="61">
        <f t="shared" si="67"/>
        <v>7969.98</v>
      </c>
      <c r="AF163" s="62">
        <f t="shared" si="77"/>
        <v>239099</v>
      </c>
      <c r="AG163" s="62">
        <f t="shared" si="78"/>
        <v>119549.70000000003</v>
      </c>
      <c r="AH163" s="62">
        <f t="shared" si="71"/>
        <v>119549.29999999997</v>
      </c>
      <c r="AI163" s="63">
        <v>127519.28000000009</v>
      </c>
      <c r="AJ163" s="63">
        <f t="shared" si="81"/>
        <v>2805.4241600000023</v>
      </c>
      <c r="AK163" s="62"/>
      <c r="AL163" s="60">
        <v>1328.33</v>
      </c>
      <c r="AM163" s="60">
        <v>1328.33</v>
      </c>
      <c r="AN163" s="60">
        <v>1328.33</v>
      </c>
      <c r="AO163" s="60">
        <v>1328.33</v>
      </c>
      <c r="AP163" s="60">
        <v>1328.33</v>
      </c>
      <c r="AQ163" s="60">
        <v>1328.33</v>
      </c>
      <c r="AR163" s="61">
        <f t="shared" si="68"/>
        <v>7969.98</v>
      </c>
      <c r="AS163" s="60">
        <v>1328.33</v>
      </c>
      <c r="AT163" s="60">
        <v>1328.33</v>
      </c>
      <c r="AU163" s="60">
        <v>1328.33</v>
      </c>
      <c r="AV163" s="60">
        <v>1328.33</v>
      </c>
      <c r="AW163" s="60">
        <v>1328.33</v>
      </c>
      <c r="AX163" s="60">
        <v>1328.33</v>
      </c>
      <c r="AY163" s="61">
        <f t="shared" si="69"/>
        <v>7969.98</v>
      </c>
      <c r="AZ163" s="56">
        <f t="shared" si="64"/>
        <v>15939.96</v>
      </c>
      <c r="BA163" s="62">
        <f t="shared" si="72"/>
        <v>239099</v>
      </c>
      <c r="BB163" s="62">
        <f t="shared" si="70"/>
        <v>135489.66</v>
      </c>
      <c r="BC163" s="62">
        <f t="shared" si="73"/>
        <v>103609.34</v>
      </c>
      <c r="BD163" s="63">
        <v>111579.32000000023</v>
      </c>
      <c r="BE163" s="57">
        <f t="shared" si="82"/>
        <v>2454.7450400000052</v>
      </c>
      <c r="BF163" s="35" t="str">
        <f>VLOOKUP(A:A,'2023-2027'!A:G,1,+FALSE)</f>
        <v>Наружные сети электроснабжения 0,4 кВ ( НАО п. Красное)</v>
      </c>
      <c r="BG163" s="7" t="b">
        <f t="shared" si="74"/>
        <v>1</v>
      </c>
      <c r="BH163" s="35">
        <f>VLOOKUP(A:A,'2023-2027'!A:AT,43,+FALSE)</f>
        <v>1328.33</v>
      </c>
    </row>
    <row r="164" spans="1:60" ht="36" hidden="1" customHeight="1" outlineLevel="1" x14ac:dyDescent="0.2">
      <c r="A164" s="59" t="s">
        <v>514</v>
      </c>
      <c r="B164" s="59" t="s">
        <v>78</v>
      </c>
      <c r="C164" s="59" t="s">
        <v>81</v>
      </c>
      <c r="D164" s="66" t="s">
        <v>517</v>
      </c>
      <c r="E164" s="59" t="s">
        <v>516</v>
      </c>
      <c r="F164" s="60">
        <v>87099</v>
      </c>
      <c r="G164" s="60">
        <v>31936.080000000002</v>
      </c>
      <c r="H164" s="60">
        <v>55162.92</v>
      </c>
      <c r="I164" s="59"/>
      <c r="J164" s="60">
        <v>5806.65</v>
      </c>
      <c r="K164" s="59"/>
      <c r="L164" s="59"/>
      <c r="M164" s="60">
        <v>87099</v>
      </c>
      <c r="N164" s="60">
        <v>37742.730000000003</v>
      </c>
      <c r="O164" s="60">
        <v>49356.27</v>
      </c>
      <c r="P164" s="55">
        <v>52259.59</v>
      </c>
      <c r="Q164" s="55">
        <f t="shared" si="83"/>
        <v>1149.7109800000001</v>
      </c>
      <c r="R164" s="61">
        <f t="shared" si="65"/>
        <v>483.88749999999999</v>
      </c>
      <c r="S164" s="60">
        <v>483.88749999999999</v>
      </c>
      <c r="T164" s="60">
        <v>483.88749999999999</v>
      </c>
      <c r="U164" s="60">
        <v>483.88749999999999</v>
      </c>
      <c r="V164" s="60">
        <v>483.88749999999999</v>
      </c>
      <c r="W164" s="60">
        <v>483.88749999999999</v>
      </c>
      <c r="X164" s="61">
        <f t="shared" si="66"/>
        <v>2903.3249999999998</v>
      </c>
      <c r="Y164" s="60">
        <v>483.88749999999999</v>
      </c>
      <c r="Z164" s="60">
        <v>483.88749999999999</v>
      </c>
      <c r="AA164" s="60">
        <v>483.88749999999999</v>
      </c>
      <c r="AB164" s="60">
        <v>483.88749999999999</v>
      </c>
      <c r="AC164" s="60">
        <v>483.88749999999999</v>
      </c>
      <c r="AD164" s="60">
        <v>483.88749999999999</v>
      </c>
      <c r="AE164" s="61">
        <f t="shared" si="67"/>
        <v>2903.3249999999998</v>
      </c>
      <c r="AF164" s="62">
        <f t="shared" si="77"/>
        <v>87099</v>
      </c>
      <c r="AG164" s="62">
        <f t="shared" si="78"/>
        <v>43549.379999999968</v>
      </c>
      <c r="AH164" s="62">
        <f t="shared" si="71"/>
        <v>43549.620000000032</v>
      </c>
      <c r="AI164" s="63">
        <v>46452.93</v>
      </c>
      <c r="AJ164" s="63">
        <f t="shared" si="81"/>
        <v>1021.9644600000001</v>
      </c>
      <c r="AK164" s="72">
        <f t="shared" ref="AK164:AK169" si="84">AI164*2.2%</f>
        <v>1021.9644600000001</v>
      </c>
      <c r="AL164" s="60">
        <v>483.88749999999999</v>
      </c>
      <c r="AM164" s="60">
        <v>483.88749999999999</v>
      </c>
      <c r="AN164" s="60">
        <v>483.88749999999999</v>
      </c>
      <c r="AO164" s="60">
        <v>483.88749999999999</v>
      </c>
      <c r="AP164" s="60">
        <v>483.88749999999999</v>
      </c>
      <c r="AQ164" s="60">
        <v>483.88749999999999</v>
      </c>
      <c r="AR164" s="61">
        <f t="shared" si="68"/>
        <v>2903.3249999999998</v>
      </c>
      <c r="AS164" s="60">
        <v>483.88749999999999</v>
      </c>
      <c r="AT164" s="60">
        <v>483.88749999999999</v>
      </c>
      <c r="AU164" s="60">
        <v>483.88749999999999</v>
      </c>
      <c r="AV164" s="60">
        <v>483.88749999999999</v>
      </c>
      <c r="AW164" s="60">
        <v>483.88749999999999</v>
      </c>
      <c r="AX164" s="60">
        <v>483.88749999999999</v>
      </c>
      <c r="AY164" s="61">
        <f t="shared" si="69"/>
        <v>2903.3249999999998</v>
      </c>
      <c r="AZ164" s="56">
        <f t="shared" si="64"/>
        <v>5806.65</v>
      </c>
      <c r="BA164" s="62">
        <f t="shared" si="72"/>
        <v>87099</v>
      </c>
      <c r="BB164" s="62">
        <f t="shared" si="70"/>
        <v>49356.029999999933</v>
      </c>
      <c r="BC164" s="62">
        <f t="shared" si="73"/>
        <v>37742.970000000067</v>
      </c>
      <c r="BD164" s="63">
        <v>40646.250000000007</v>
      </c>
      <c r="BE164" s="57">
        <f t="shared" si="82"/>
        <v>894.2175000000002</v>
      </c>
      <c r="BF164" s="35" t="str">
        <f>VLOOKUP(A:A,'2023-2027'!A:G,1,+FALSE)</f>
        <v>Наружные сети электроснабжения 0,4 кВ ( НАО п. Красное)</v>
      </c>
      <c r="BG164" s="7" t="b">
        <f t="shared" si="74"/>
        <v>1</v>
      </c>
      <c r="BH164" s="35">
        <f>VLOOKUP(A:A,'2023-2027'!A:AT,43,+FALSE)</f>
        <v>1328.33</v>
      </c>
    </row>
    <row r="165" spans="1:60" ht="36" hidden="1" customHeight="1" outlineLevel="1" x14ac:dyDescent="0.2">
      <c r="A165" s="59" t="s">
        <v>518</v>
      </c>
      <c r="B165" s="59" t="s">
        <v>78</v>
      </c>
      <c r="C165" s="59" t="s">
        <v>81</v>
      </c>
      <c r="D165" s="66" t="s">
        <v>519</v>
      </c>
      <c r="E165" s="59" t="s">
        <v>520</v>
      </c>
      <c r="F165" s="60">
        <v>25447</v>
      </c>
      <c r="G165" s="60">
        <v>9330.42</v>
      </c>
      <c r="H165" s="60">
        <v>16116.58</v>
      </c>
      <c r="I165" s="59"/>
      <c r="J165" s="60">
        <v>1696.44</v>
      </c>
      <c r="K165" s="59"/>
      <c r="L165" s="59"/>
      <c r="M165" s="60">
        <v>25447</v>
      </c>
      <c r="N165" s="60">
        <v>11026.86</v>
      </c>
      <c r="O165" s="60">
        <v>14420.14</v>
      </c>
      <c r="P165" s="55">
        <v>15268.36</v>
      </c>
      <c r="Q165" s="55">
        <f t="shared" si="83"/>
        <v>335.90392000000003</v>
      </c>
      <c r="R165" s="61">
        <f t="shared" si="65"/>
        <v>141.37</v>
      </c>
      <c r="S165" s="60">
        <v>141.37</v>
      </c>
      <c r="T165" s="60">
        <v>141.37</v>
      </c>
      <c r="U165" s="60">
        <v>141.37</v>
      </c>
      <c r="V165" s="60">
        <v>141.37</v>
      </c>
      <c r="W165" s="60">
        <v>141.37</v>
      </c>
      <c r="X165" s="61">
        <f t="shared" si="66"/>
        <v>848.22</v>
      </c>
      <c r="Y165" s="60">
        <v>141.37</v>
      </c>
      <c r="Z165" s="60">
        <v>141.37</v>
      </c>
      <c r="AA165" s="60">
        <v>141.37</v>
      </c>
      <c r="AB165" s="60">
        <v>141.37</v>
      </c>
      <c r="AC165" s="60">
        <v>141.37</v>
      </c>
      <c r="AD165" s="60">
        <v>141.37</v>
      </c>
      <c r="AE165" s="61">
        <f t="shared" si="67"/>
        <v>848.22</v>
      </c>
      <c r="AF165" s="62">
        <f t="shared" si="77"/>
        <v>25447</v>
      </c>
      <c r="AG165" s="62">
        <f t="shared" si="78"/>
        <v>12723.30000000001</v>
      </c>
      <c r="AH165" s="62">
        <f t="shared" si="71"/>
        <v>12723.69999999999</v>
      </c>
      <c r="AI165" s="63">
        <v>13571.919999999995</v>
      </c>
      <c r="AJ165" s="63">
        <f t="shared" si="81"/>
        <v>298.5822399999999</v>
      </c>
      <c r="AK165" s="72">
        <f t="shared" si="84"/>
        <v>298.5822399999999</v>
      </c>
      <c r="AL165" s="60">
        <v>141.37</v>
      </c>
      <c r="AM165" s="60">
        <v>141.37</v>
      </c>
      <c r="AN165" s="60">
        <v>141.37</v>
      </c>
      <c r="AO165" s="60">
        <v>141.37</v>
      </c>
      <c r="AP165" s="60">
        <v>141.37</v>
      </c>
      <c r="AQ165" s="60">
        <v>141.37</v>
      </c>
      <c r="AR165" s="61">
        <f t="shared" si="68"/>
        <v>848.22</v>
      </c>
      <c r="AS165" s="60">
        <v>141.37</v>
      </c>
      <c r="AT165" s="60">
        <v>141.37</v>
      </c>
      <c r="AU165" s="60">
        <v>141.37</v>
      </c>
      <c r="AV165" s="60">
        <v>141.37</v>
      </c>
      <c r="AW165" s="60">
        <v>141.37</v>
      </c>
      <c r="AX165" s="60">
        <v>141.37</v>
      </c>
      <c r="AY165" s="61">
        <f t="shared" si="69"/>
        <v>848.22</v>
      </c>
      <c r="AZ165" s="56">
        <f t="shared" si="64"/>
        <v>1696.44</v>
      </c>
      <c r="BA165" s="62">
        <f t="shared" si="72"/>
        <v>25447</v>
      </c>
      <c r="BB165" s="62">
        <f t="shared" si="70"/>
        <v>14419.74000000002</v>
      </c>
      <c r="BC165" s="62">
        <f t="shared" si="73"/>
        <v>11027.25999999998</v>
      </c>
      <c r="BD165" s="63">
        <v>11875.479999999983</v>
      </c>
      <c r="BE165" s="57">
        <f t="shared" si="82"/>
        <v>261.26055999999966</v>
      </c>
      <c r="BF165" s="35" t="str">
        <f>VLOOKUP(A:A,'2023-2027'!A:G,1,+FALSE)</f>
        <v>Наружные сети электроснабжения 0,4 кВ (НАО, п. Красное)</v>
      </c>
      <c r="BG165" s="7" t="b">
        <f t="shared" si="74"/>
        <v>1</v>
      </c>
      <c r="BH165" s="35">
        <f>VLOOKUP(A:A,'2023-2027'!A:AT,43,+FALSE)</f>
        <v>141.37</v>
      </c>
    </row>
    <row r="166" spans="1:60" ht="36" hidden="1" customHeight="1" outlineLevel="1" x14ac:dyDescent="0.2">
      <c r="A166" s="59" t="s">
        <v>518</v>
      </c>
      <c r="B166" s="59" t="s">
        <v>78</v>
      </c>
      <c r="C166" s="59" t="s">
        <v>81</v>
      </c>
      <c r="D166" s="66" t="s">
        <v>521</v>
      </c>
      <c r="E166" s="59" t="s">
        <v>520</v>
      </c>
      <c r="F166" s="60">
        <v>36352</v>
      </c>
      <c r="G166" s="60">
        <v>13329.36</v>
      </c>
      <c r="H166" s="60">
        <v>23022.639999999999</v>
      </c>
      <c r="I166" s="59"/>
      <c r="J166" s="60">
        <v>2423.4</v>
      </c>
      <c r="K166" s="59"/>
      <c r="L166" s="59"/>
      <c r="M166" s="60">
        <v>36352</v>
      </c>
      <c r="N166" s="60">
        <v>15752.76</v>
      </c>
      <c r="O166" s="60">
        <v>20599.240000000002</v>
      </c>
      <c r="P166" s="55">
        <v>21810.94</v>
      </c>
      <c r="Q166" s="55">
        <f t="shared" si="83"/>
        <v>479.84068000000002</v>
      </c>
      <c r="R166" s="61">
        <f t="shared" si="65"/>
        <v>201.95000000000002</v>
      </c>
      <c r="S166" s="60">
        <v>201.95</v>
      </c>
      <c r="T166" s="60">
        <v>201.95</v>
      </c>
      <c r="U166" s="60">
        <v>201.95</v>
      </c>
      <c r="V166" s="60">
        <v>201.95</v>
      </c>
      <c r="W166" s="60">
        <v>201.95</v>
      </c>
      <c r="X166" s="61">
        <f t="shared" si="66"/>
        <v>1211.7</v>
      </c>
      <c r="Y166" s="60">
        <v>201.95</v>
      </c>
      <c r="Z166" s="60">
        <v>201.95</v>
      </c>
      <c r="AA166" s="60">
        <v>201.95</v>
      </c>
      <c r="AB166" s="60">
        <v>201.95</v>
      </c>
      <c r="AC166" s="60">
        <v>201.95</v>
      </c>
      <c r="AD166" s="60">
        <v>201.95</v>
      </c>
      <c r="AE166" s="61">
        <f t="shared" si="67"/>
        <v>1211.7</v>
      </c>
      <c r="AF166" s="62">
        <f t="shared" si="77"/>
        <v>36352</v>
      </c>
      <c r="AG166" s="62">
        <f t="shared" si="78"/>
        <v>18176.160000000007</v>
      </c>
      <c r="AH166" s="62">
        <f t="shared" si="71"/>
        <v>18175.839999999993</v>
      </c>
      <c r="AI166" s="63">
        <v>19387.54</v>
      </c>
      <c r="AJ166" s="63">
        <f t="shared" si="81"/>
        <v>426.52588000000009</v>
      </c>
      <c r="AK166" s="72">
        <f t="shared" si="84"/>
        <v>426.52588000000009</v>
      </c>
      <c r="AL166" s="60">
        <v>201.95</v>
      </c>
      <c r="AM166" s="60">
        <v>201.95</v>
      </c>
      <c r="AN166" s="60">
        <v>201.95</v>
      </c>
      <c r="AO166" s="60">
        <v>201.95</v>
      </c>
      <c r="AP166" s="60">
        <v>201.95</v>
      </c>
      <c r="AQ166" s="60">
        <v>201.95</v>
      </c>
      <c r="AR166" s="61">
        <f t="shared" si="68"/>
        <v>1211.7</v>
      </c>
      <c r="AS166" s="60">
        <v>201.95</v>
      </c>
      <c r="AT166" s="60">
        <v>201.95</v>
      </c>
      <c r="AU166" s="60">
        <v>201.95</v>
      </c>
      <c r="AV166" s="60">
        <v>201.95</v>
      </c>
      <c r="AW166" s="60">
        <v>201.95</v>
      </c>
      <c r="AX166" s="60">
        <v>201.95</v>
      </c>
      <c r="AY166" s="61">
        <f t="shared" si="69"/>
        <v>1211.7</v>
      </c>
      <c r="AZ166" s="56">
        <f t="shared" si="64"/>
        <v>2423.4</v>
      </c>
      <c r="BA166" s="62">
        <f t="shared" si="72"/>
        <v>36352</v>
      </c>
      <c r="BB166" s="62">
        <f t="shared" si="70"/>
        <v>20599.560000000016</v>
      </c>
      <c r="BC166" s="62">
        <f t="shared" si="73"/>
        <v>15752.439999999984</v>
      </c>
      <c r="BD166" s="63">
        <v>16964.139999999989</v>
      </c>
      <c r="BE166" s="57">
        <f t="shared" si="82"/>
        <v>373.21107999999981</v>
      </c>
      <c r="BF166" s="35" t="str">
        <f>VLOOKUP(A:A,'2023-2027'!A:G,1,+FALSE)</f>
        <v>Наружные сети электроснабжения 0,4 кВ (НАО, п. Красное)</v>
      </c>
      <c r="BG166" s="7" t="b">
        <f t="shared" si="74"/>
        <v>1</v>
      </c>
      <c r="BH166" s="35">
        <f>VLOOKUP(A:A,'2023-2027'!A:AT,43,+FALSE)</f>
        <v>141.37</v>
      </c>
    </row>
    <row r="167" spans="1:60" ht="36" hidden="1" customHeight="1" outlineLevel="1" x14ac:dyDescent="0.2">
      <c r="A167" s="59" t="s">
        <v>522</v>
      </c>
      <c r="B167" s="59" t="s">
        <v>78</v>
      </c>
      <c r="C167" s="59" t="s">
        <v>81</v>
      </c>
      <c r="D167" s="66" t="s">
        <v>523</v>
      </c>
      <c r="E167" s="59" t="s">
        <v>513</v>
      </c>
      <c r="F167" s="60">
        <v>347860.46</v>
      </c>
      <c r="G167" s="60">
        <v>137211.76</v>
      </c>
      <c r="H167" s="60">
        <v>210648.7</v>
      </c>
      <c r="I167" s="59"/>
      <c r="J167" s="60">
        <v>23190.720000000001</v>
      </c>
      <c r="K167" s="59"/>
      <c r="L167" s="59"/>
      <c r="M167" s="60">
        <v>347860.46</v>
      </c>
      <c r="N167" s="60">
        <v>160402.48000000001</v>
      </c>
      <c r="O167" s="60">
        <v>187457.98</v>
      </c>
      <c r="P167" s="55">
        <v>199053.34</v>
      </c>
      <c r="Q167" s="55">
        <f t="shared" si="83"/>
        <v>4379.1734800000004</v>
      </c>
      <c r="R167" s="61">
        <f t="shared" si="65"/>
        <v>1932.5600000000002</v>
      </c>
      <c r="S167" s="60">
        <v>1932.56</v>
      </c>
      <c r="T167" s="60">
        <v>1932.56</v>
      </c>
      <c r="U167" s="60">
        <v>1932.56</v>
      </c>
      <c r="V167" s="60">
        <v>1932.56</v>
      </c>
      <c r="W167" s="60">
        <v>1932.56</v>
      </c>
      <c r="X167" s="61">
        <f t="shared" si="66"/>
        <v>11595.359999999999</v>
      </c>
      <c r="Y167" s="60">
        <v>1932.56</v>
      </c>
      <c r="Z167" s="60">
        <v>1932.56</v>
      </c>
      <c r="AA167" s="60">
        <v>1932.56</v>
      </c>
      <c r="AB167" s="60">
        <v>1932.56</v>
      </c>
      <c r="AC167" s="60">
        <v>1932.56</v>
      </c>
      <c r="AD167" s="60">
        <v>1932.56</v>
      </c>
      <c r="AE167" s="61">
        <f t="shared" si="67"/>
        <v>11595.359999999999</v>
      </c>
      <c r="AF167" s="62">
        <f t="shared" si="77"/>
        <v>347860.46</v>
      </c>
      <c r="AG167" s="62">
        <f t="shared" si="78"/>
        <v>183593.19999999998</v>
      </c>
      <c r="AH167" s="62">
        <f t="shared" si="71"/>
        <v>164267.26000000004</v>
      </c>
      <c r="AI167" s="63">
        <v>175862.62000000005</v>
      </c>
      <c r="AJ167" s="63">
        <f t="shared" si="81"/>
        <v>3868.9776400000014</v>
      </c>
      <c r="AK167" s="72">
        <f t="shared" si="84"/>
        <v>3868.9776400000014</v>
      </c>
      <c r="AL167" s="60">
        <v>1932.56</v>
      </c>
      <c r="AM167" s="60">
        <v>1932.56</v>
      </c>
      <c r="AN167" s="60">
        <v>1932.56</v>
      </c>
      <c r="AO167" s="60">
        <v>1932.56</v>
      </c>
      <c r="AP167" s="60">
        <v>1932.56</v>
      </c>
      <c r="AQ167" s="60">
        <v>1932.56</v>
      </c>
      <c r="AR167" s="61">
        <f t="shared" si="68"/>
        <v>11595.359999999999</v>
      </c>
      <c r="AS167" s="60">
        <v>1932.56</v>
      </c>
      <c r="AT167" s="60">
        <v>1932.56</v>
      </c>
      <c r="AU167" s="60">
        <v>1932.56</v>
      </c>
      <c r="AV167" s="60">
        <v>1932.56</v>
      </c>
      <c r="AW167" s="60">
        <v>1932.56</v>
      </c>
      <c r="AX167" s="60">
        <v>1932.56</v>
      </c>
      <c r="AY167" s="61">
        <f t="shared" si="69"/>
        <v>11595.359999999999</v>
      </c>
      <c r="AZ167" s="56">
        <f t="shared" si="64"/>
        <v>23190.719999999998</v>
      </c>
      <c r="BA167" s="62">
        <f t="shared" si="72"/>
        <v>347860.46</v>
      </c>
      <c r="BB167" s="62">
        <f t="shared" si="70"/>
        <v>206783.91999999995</v>
      </c>
      <c r="BC167" s="62">
        <f t="shared" si="73"/>
        <v>141076.54000000007</v>
      </c>
      <c r="BD167" s="63">
        <v>152671.90000000005</v>
      </c>
      <c r="BE167" s="57">
        <f t="shared" si="82"/>
        <v>3358.7818000000016</v>
      </c>
      <c r="BF167" s="35" t="str">
        <f>VLOOKUP(A:A,'2023-2027'!A:G,1,+FALSE)</f>
        <v>Наружные сети электроснабжения 0,4 кВ п. Красное</v>
      </c>
      <c r="BG167" s="7" t="b">
        <f t="shared" si="74"/>
        <v>1</v>
      </c>
      <c r="BH167" s="35">
        <f>VLOOKUP(A:A,'2023-2027'!A:AT,43,+FALSE)</f>
        <v>1932.56</v>
      </c>
    </row>
    <row r="168" spans="1:60" ht="36" hidden="1" customHeight="1" outlineLevel="1" x14ac:dyDescent="0.2">
      <c r="A168" s="59" t="s">
        <v>522</v>
      </c>
      <c r="B168" s="59" t="s">
        <v>78</v>
      </c>
      <c r="C168" s="59" t="s">
        <v>81</v>
      </c>
      <c r="D168" s="66" t="s">
        <v>524</v>
      </c>
      <c r="E168" s="59" t="s">
        <v>513</v>
      </c>
      <c r="F168" s="60">
        <v>65865.240000000005</v>
      </c>
      <c r="G168" s="60">
        <v>25980.32</v>
      </c>
      <c r="H168" s="60">
        <v>39884.92</v>
      </c>
      <c r="I168" s="59"/>
      <c r="J168" s="60">
        <v>4391.04</v>
      </c>
      <c r="K168" s="59"/>
      <c r="L168" s="59"/>
      <c r="M168" s="60">
        <v>65865.240000000005</v>
      </c>
      <c r="N168" s="60">
        <v>30371.360000000001</v>
      </c>
      <c r="O168" s="60">
        <v>35493.879999999997</v>
      </c>
      <c r="P168" s="55">
        <v>37689.4</v>
      </c>
      <c r="Q168" s="55">
        <f t="shared" si="83"/>
        <v>829.16680000000008</v>
      </c>
      <c r="R168" s="61">
        <f t="shared" si="65"/>
        <v>365.92</v>
      </c>
      <c r="S168" s="60">
        <v>365.92</v>
      </c>
      <c r="T168" s="60">
        <v>365.92</v>
      </c>
      <c r="U168" s="60">
        <v>365.92</v>
      </c>
      <c r="V168" s="60">
        <v>365.92</v>
      </c>
      <c r="W168" s="60">
        <v>365.92</v>
      </c>
      <c r="X168" s="61">
        <f t="shared" si="66"/>
        <v>2195.52</v>
      </c>
      <c r="Y168" s="60">
        <v>365.92</v>
      </c>
      <c r="Z168" s="60">
        <v>365.92</v>
      </c>
      <c r="AA168" s="60">
        <v>365.92</v>
      </c>
      <c r="AB168" s="60">
        <v>365.92</v>
      </c>
      <c r="AC168" s="60">
        <v>365.92</v>
      </c>
      <c r="AD168" s="60">
        <v>365.92</v>
      </c>
      <c r="AE168" s="61">
        <f t="shared" si="67"/>
        <v>2195.52</v>
      </c>
      <c r="AF168" s="62">
        <f t="shared" si="77"/>
        <v>65865.240000000005</v>
      </c>
      <c r="AG168" s="62">
        <f t="shared" si="78"/>
        <v>34762.39999999998</v>
      </c>
      <c r="AH168" s="62">
        <f t="shared" si="71"/>
        <v>31102.840000000026</v>
      </c>
      <c r="AI168" s="63">
        <v>33298.360000000008</v>
      </c>
      <c r="AJ168" s="63">
        <f t="shared" si="81"/>
        <v>732.56392000000028</v>
      </c>
      <c r="AK168" s="72">
        <f t="shared" si="84"/>
        <v>732.56392000000028</v>
      </c>
      <c r="AL168" s="60">
        <v>365.92</v>
      </c>
      <c r="AM168" s="60">
        <v>365.92</v>
      </c>
      <c r="AN168" s="60">
        <v>365.92</v>
      </c>
      <c r="AO168" s="60">
        <v>365.92</v>
      </c>
      <c r="AP168" s="60">
        <v>365.92</v>
      </c>
      <c r="AQ168" s="60">
        <v>365.92</v>
      </c>
      <c r="AR168" s="61">
        <f t="shared" si="68"/>
        <v>2195.52</v>
      </c>
      <c r="AS168" s="60">
        <v>365.92</v>
      </c>
      <c r="AT168" s="60">
        <v>365.92</v>
      </c>
      <c r="AU168" s="60">
        <v>365.92</v>
      </c>
      <c r="AV168" s="60">
        <v>365.92</v>
      </c>
      <c r="AW168" s="60">
        <v>365.92</v>
      </c>
      <c r="AX168" s="60">
        <v>365.92</v>
      </c>
      <c r="AY168" s="61">
        <f t="shared" si="69"/>
        <v>2195.52</v>
      </c>
      <c r="AZ168" s="56">
        <f t="shared" si="64"/>
        <v>4391.04</v>
      </c>
      <c r="BA168" s="62">
        <f t="shared" si="72"/>
        <v>65865.240000000005</v>
      </c>
      <c r="BB168" s="62">
        <f t="shared" si="70"/>
        <v>39153.439999999959</v>
      </c>
      <c r="BC168" s="62">
        <f t="shared" si="73"/>
        <v>26711.800000000047</v>
      </c>
      <c r="BD168" s="63">
        <v>28907.320000000029</v>
      </c>
      <c r="BE168" s="57">
        <f t="shared" si="82"/>
        <v>635.96104000000071</v>
      </c>
      <c r="BF168" s="35" t="str">
        <f>VLOOKUP(A:A,'2023-2027'!A:G,1,+FALSE)</f>
        <v>Наружные сети электроснабжения 0,4 кВ п. Красное</v>
      </c>
      <c r="BG168" s="7" t="b">
        <f t="shared" si="74"/>
        <v>1</v>
      </c>
      <c r="BH168" s="35">
        <f>VLOOKUP(A:A,'2023-2027'!A:AT,43,+FALSE)</f>
        <v>1932.56</v>
      </c>
    </row>
    <row r="169" spans="1:60" ht="48" hidden="1" customHeight="1" outlineLevel="1" x14ac:dyDescent="0.2">
      <c r="A169" s="59" t="s">
        <v>525</v>
      </c>
      <c r="B169" s="59" t="s">
        <v>78</v>
      </c>
      <c r="C169" s="59" t="s">
        <v>81</v>
      </c>
      <c r="D169" s="66" t="s">
        <v>526</v>
      </c>
      <c r="E169" s="59" t="s">
        <v>527</v>
      </c>
      <c r="F169" s="60">
        <v>2193414</v>
      </c>
      <c r="G169" s="60">
        <v>261991.26</v>
      </c>
      <c r="H169" s="60">
        <v>1931422.74</v>
      </c>
      <c r="I169" s="59"/>
      <c r="J169" s="60">
        <v>73113.84</v>
      </c>
      <c r="K169" s="59"/>
      <c r="L169" s="59"/>
      <c r="M169" s="60">
        <v>2193414</v>
      </c>
      <c r="N169" s="60">
        <v>335105.09999999998</v>
      </c>
      <c r="O169" s="60">
        <v>1858308.9</v>
      </c>
      <c r="P169" s="55">
        <v>1894865.82</v>
      </c>
      <c r="Q169" s="55">
        <f t="shared" si="83"/>
        <v>41687.048040000009</v>
      </c>
      <c r="R169" s="61">
        <f t="shared" si="65"/>
        <v>6092.82</v>
      </c>
      <c r="S169" s="60">
        <v>6092.82</v>
      </c>
      <c r="T169" s="60">
        <v>6092.82</v>
      </c>
      <c r="U169" s="60">
        <v>6092.82</v>
      </c>
      <c r="V169" s="60">
        <v>6092.82</v>
      </c>
      <c r="W169" s="60">
        <v>6092.82</v>
      </c>
      <c r="X169" s="61">
        <f t="shared" si="66"/>
        <v>36556.92</v>
      </c>
      <c r="Y169" s="60">
        <v>6092.82</v>
      </c>
      <c r="Z169" s="60">
        <v>6092.82</v>
      </c>
      <c r="AA169" s="60">
        <v>6092.82</v>
      </c>
      <c r="AB169" s="60">
        <v>6092.82</v>
      </c>
      <c r="AC169" s="60">
        <v>6092.82</v>
      </c>
      <c r="AD169" s="60">
        <v>6092.82</v>
      </c>
      <c r="AE169" s="61">
        <f t="shared" si="67"/>
        <v>36556.92</v>
      </c>
      <c r="AF169" s="62">
        <f t="shared" si="77"/>
        <v>2193414</v>
      </c>
      <c r="AG169" s="62">
        <f t="shared" si="78"/>
        <v>408218.94000000006</v>
      </c>
      <c r="AH169" s="62">
        <f t="shared" si="71"/>
        <v>1785195.06</v>
      </c>
      <c r="AI169" s="63">
        <v>1821751.9799999995</v>
      </c>
      <c r="AJ169" s="63">
        <f t="shared" si="81"/>
        <v>40078.543559999991</v>
      </c>
      <c r="AK169" s="72">
        <f t="shared" si="84"/>
        <v>40078.543559999991</v>
      </c>
      <c r="AL169" s="60">
        <v>6092.82</v>
      </c>
      <c r="AM169" s="60">
        <v>6092.82</v>
      </c>
      <c r="AN169" s="60">
        <v>6092.82</v>
      </c>
      <c r="AO169" s="60">
        <v>6092.82</v>
      </c>
      <c r="AP169" s="60">
        <v>6092.82</v>
      </c>
      <c r="AQ169" s="60">
        <v>6092.82</v>
      </c>
      <c r="AR169" s="61">
        <f t="shared" si="68"/>
        <v>36556.92</v>
      </c>
      <c r="AS169" s="60">
        <v>6092.82</v>
      </c>
      <c r="AT169" s="60">
        <v>6092.82</v>
      </c>
      <c r="AU169" s="60">
        <v>6092.82</v>
      </c>
      <c r="AV169" s="60">
        <v>6092.82</v>
      </c>
      <c r="AW169" s="60">
        <v>6092.82</v>
      </c>
      <c r="AX169" s="60">
        <v>6092.82</v>
      </c>
      <c r="AY169" s="61">
        <f t="shared" si="69"/>
        <v>36556.92</v>
      </c>
      <c r="AZ169" s="56">
        <f t="shared" si="64"/>
        <v>73113.84</v>
      </c>
      <c r="BA169" s="62">
        <f t="shared" si="72"/>
        <v>2193414</v>
      </c>
      <c r="BB169" s="62">
        <f t="shared" si="70"/>
        <v>481332.78000000014</v>
      </c>
      <c r="BC169" s="62">
        <f t="shared" si="73"/>
        <v>1712081.2199999997</v>
      </c>
      <c r="BD169" s="63">
        <v>1748638.139999999</v>
      </c>
      <c r="BE169" s="57">
        <f t="shared" si="82"/>
        <v>38470.03907999998</v>
      </c>
      <c r="BF169" s="35" t="str">
        <f>VLOOKUP(A:A,'2023-2027'!A:G,1,+FALSE)</f>
        <v>Наружные сети электроснабжения 6 кВт, адрес: Ненецкий АО, Заполярный р-н, Красное п, Мира ул</v>
      </c>
      <c r="BG169" s="7" t="b">
        <f t="shared" si="74"/>
        <v>1</v>
      </c>
      <c r="BH169" s="35">
        <f>VLOOKUP(A:A,'2023-2027'!A:AT,43,+FALSE)</f>
        <v>6092.82</v>
      </c>
    </row>
    <row r="170" spans="1:60" ht="12" hidden="1" customHeight="1" outlineLevel="1" x14ac:dyDescent="0.2">
      <c r="A170" s="59" t="s">
        <v>528</v>
      </c>
      <c r="B170" s="59" t="s">
        <v>78</v>
      </c>
      <c r="C170" s="59" t="s">
        <v>81</v>
      </c>
      <c r="D170" s="66" t="s">
        <v>529</v>
      </c>
      <c r="E170" s="59" t="s">
        <v>505</v>
      </c>
      <c r="F170" s="60">
        <v>1044745.03</v>
      </c>
      <c r="G170" s="60">
        <v>69649.679999999993</v>
      </c>
      <c r="H170" s="60">
        <v>975095.35</v>
      </c>
      <c r="I170" s="59"/>
      <c r="J170" s="60">
        <v>69649.679999999993</v>
      </c>
      <c r="K170" s="59"/>
      <c r="L170" s="59"/>
      <c r="M170" s="60">
        <v>1044745.03</v>
      </c>
      <c r="N170" s="60">
        <v>139299.35999999999</v>
      </c>
      <c r="O170" s="60">
        <v>905445.67</v>
      </c>
      <c r="P170" s="55">
        <v>940270.46</v>
      </c>
      <c r="Q170" s="55">
        <f t="shared" si="83"/>
        <v>20685.950120000001</v>
      </c>
      <c r="R170" s="61">
        <f t="shared" si="65"/>
        <v>5804.1399999999994</v>
      </c>
      <c r="S170" s="60">
        <v>5804.14</v>
      </c>
      <c r="T170" s="60">
        <v>5804.14</v>
      </c>
      <c r="U170" s="60">
        <v>5804.14</v>
      </c>
      <c r="V170" s="60">
        <v>5804.14</v>
      </c>
      <c r="W170" s="60">
        <v>5804.14</v>
      </c>
      <c r="X170" s="61">
        <f t="shared" si="66"/>
        <v>34824.839999999997</v>
      </c>
      <c r="Y170" s="60">
        <v>5804.14</v>
      </c>
      <c r="Z170" s="60">
        <v>5804.14</v>
      </c>
      <c r="AA170" s="60">
        <v>5804.14</v>
      </c>
      <c r="AB170" s="60">
        <v>5804.14</v>
      </c>
      <c r="AC170" s="60">
        <v>5804.14</v>
      </c>
      <c r="AD170" s="60">
        <v>5804.14</v>
      </c>
      <c r="AE170" s="61">
        <f t="shared" si="67"/>
        <v>34824.840000000004</v>
      </c>
      <c r="AF170" s="62">
        <f t="shared" si="77"/>
        <v>1044745.03</v>
      </c>
      <c r="AG170" s="62">
        <f t="shared" si="78"/>
        <v>208949.04000000015</v>
      </c>
      <c r="AH170" s="62">
        <f t="shared" si="71"/>
        <v>835795.98999999987</v>
      </c>
      <c r="AI170" s="63">
        <v>870620.82999999984</v>
      </c>
      <c r="AJ170" s="63">
        <f t="shared" si="81"/>
        <v>19153.65826</v>
      </c>
      <c r="AK170" s="62"/>
      <c r="AL170" s="60">
        <v>5804.14</v>
      </c>
      <c r="AM170" s="60">
        <v>5804.14</v>
      </c>
      <c r="AN170" s="60">
        <v>5804.14</v>
      </c>
      <c r="AO170" s="60">
        <v>5804.14</v>
      </c>
      <c r="AP170" s="60">
        <v>5804.14</v>
      </c>
      <c r="AQ170" s="60">
        <v>5804.14</v>
      </c>
      <c r="AR170" s="61">
        <f t="shared" si="68"/>
        <v>34824.840000000004</v>
      </c>
      <c r="AS170" s="60">
        <v>5804.14</v>
      </c>
      <c r="AT170" s="60">
        <v>5804.14</v>
      </c>
      <c r="AU170" s="60">
        <v>5804.14</v>
      </c>
      <c r="AV170" s="60">
        <v>5804.14</v>
      </c>
      <c r="AW170" s="60">
        <v>5804.14</v>
      </c>
      <c r="AX170" s="60">
        <v>5804.14</v>
      </c>
      <c r="AY170" s="61">
        <f t="shared" si="69"/>
        <v>34824.840000000004</v>
      </c>
      <c r="AZ170" s="56">
        <f t="shared" si="64"/>
        <v>69649.680000000008</v>
      </c>
      <c r="BA170" s="62">
        <f t="shared" si="72"/>
        <v>1044745.03</v>
      </c>
      <c r="BB170" s="62">
        <f t="shared" si="70"/>
        <v>278598.72000000032</v>
      </c>
      <c r="BC170" s="62">
        <f t="shared" si="73"/>
        <v>766146.30999999971</v>
      </c>
      <c r="BD170" s="63">
        <v>800971.14999999979</v>
      </c>
      <c r="BE170" s="57">
        <f t="shared" si="82"/>
        <v>17621.365299999998</v>
      </c>
      <c r="BF170" s="35" t="str">
        <f>VLOOKUP(A:A,'2023-2027'!A:G,1,+FALSE)</f>
        <v>Насосная дизельного топлива</v>
      </c>
      <c r="BG170" s="7" t="b">
        <f t="shared" si="74"/>
        <v>1</v>
      </c>
      <c r="BH170" s="35">
        <f>VLOOKUP(A:A,'2023-2027'!A:AT,43,+FALSE)</f>
        <v>5804.14</v>
      </c>
    </row>
    <row r="171" spans="1:60" ht="24" hidden="1" customHeight="1" outlineLevel="1" x14ac:dyDescent="0.2">
      <c r="A171" s="59" t="s">
        <v>530</v>
      </c>
      <c r="B171" s="59" t="s">
        <v>78</v>
      </c>
      <c r="C171" s="59" t="s">
        <v>81</v>
      </c>
      <c r="D171" s="66" t="s">
        <v>531</v>
      </c>
      <c r="E171" s="59" t="s">
        <v>505</v>
      </c>
      <c r="F171" s="60">
        <v>2322997.36</v>
      </c>
      <c r="G171" s="60">
        <v>116149.92</v>
      </c>
      <c r="H171" s="60">
        <v>2206847.44</v>
      </c>
      <c r="I171" s="59"/>
      <c r="J171" s="60">
        <v>116149.92</v>
      </c>
      <c r="K171" s="59"/>
      <c r="L171" s="59"/>
      <c r="M171" s="60">
        <v>2322997.36</v>
      </c>
      <c r="N171" s="60">
        <v>232299.84</v>
      </c>
      <c r="O171" s="60">
        <v>2090697.52</v>
      </c>
      <c r="P171" s="55">
        <v>2148772.36</v>
      </c>
      <c r="Q171" s="55">
        <f t="shared" si="83"/>
        <v>47272.99192</v>
      </c>
      <c r="R171" s="61">
        <f t="shared" si="65"/>
        <v>9679.16</v>
      </c>
      <c r="S171" s="60">
        <v>9679.16</v>
      </c>
      <c r="T171" s="60">
        <v>9679.16</v>
      </c>
      <c r="U171" s="60">
        <v>9679.16</v>
      </c>
      <c r="V171" s="60">
        <v>9679.16</v>
      </c>
      <c r="W171" s="60">
        <v>9679.16</v>
      </c>
      <c r="X171" s="61">
        <f t="shared" si="66"/>
        <v>58074.960000000006</v>
      </c>
      <c r="Y171" s="60">
        <v>9679.16</v>
      </c>
      <c r="Z171" s="60">
        <v>9679.16</v>
      </c>
      <c r="AA171" s="60">
        <v>9679.16</v>
      </c>
      <c r="AB171" s="60">
        <v>9679.16</v>
      </c>
      <c r="AC171" s="60">
        <v>9679.16</v>
      </c>
      <c r="AD171" s="60">
        <v>9679.16</v>
      </c>
      <c r="AE171" s="61">
        <f t="shared" si="67"/>
        <v>58074.960000000006</v>
      </c>
      <c r="AF171" s="62">
        <f t="shared" si="77"/>
        <v>2322997.36</v>
      </c>
      <c r="AG171" s="62">
        <f t="shared" si="78"/>
        <v>348449.75999999978</v>
      </c>
      <c r="AH171" s="62">
        <f t="shared" si="71"/>
        <v>1974547.6</v>
      </c>
      <c r="AI171" s="63">
        <v>2032622.5599999989</v>
      </c>
      <c r="AJ171" s="63">
        <f t="shared" si="81"/>
        <v>44717.696319999981</v>
      </c>
      <c r="AK171" s="62"/>
      <c r="AL171" s="60">
        <v>9679.16</v>
      </c>
      <c r="AM171" s="60">
        <v>9679.16</v>
      </c>
      <c r="AN171" s="60">
        <v>9679.16</v>
      </c>
      <c r="AO171" s="60">
        <v>9679.16</v>
      </c>
      <c r="AP171" s="60">
        <v>9679.16</v>
      </c>
      <c r="AQ171" s="60">
        <v>9679.16</v>
      </c>
      <c r="AR171" s="61">
        <f t="shared" si="68"/>
        <v>58074.960000000006</v>
      </c>
      <c r="AS171" s="60">
        <v>9679.16</v>
      </c>
      <c r="AT171" s="60">
        <v>9679.16</v>
      </c>
      <c r="AU171" s="60">
        <v>9679.16</v>
      </c>
      <c r="AV171" s="60">
        <v>9679.16</v>
      </c>
      <c r="AW171" s="60">
        <v>9679.16</v>
      </c>
      <c r="AX171" s="60">
        <v>9679.16</v>
      </c>
      <c r="AY171" s="61">
        <f t="shared" si="69"/>
        <v>58074.960000000006</v>
      </c>
      <c r="AZ171" s="56">
        <f t="shared" si="64"/>
        <v>116149.92000000001</v>
      </c>
      <c r="BA171" s="62">
        <f t="shared" si="72"/>
        <v>2322997.36</v>
      </c>
      <c r="BB171" s="62">
        <f t="shared" si="70"/>
        <v>464599.67999999947</v>
      </c>
      <c r="BC171" s="62">
        <f t="shared" si="73"/>
        <v>1858397.6800000004</v>
      </c>
      <c r="BD171" s="63">
        <v>1916472.6399999971</v>
      </c>
      <c r="BE171" s="57">
        <f t="shared" si="82"/>
        <v>42162.398079999941</v>
      </c>
      <c r="BF171" s="35" t="str">
        <f>VLOOKUP(A:A,'2023-2027'!A:G,1,+FALSE)</f>
        <v>Пункт персонала энергокомплекса</v>
      </c>
      <c r="BG171" s="7" t="b">
        <f t="shared" si="74"/>
        <v>1</v>
      </c>
      <c r="BH171" s="35">
        <f>VLOOKUP(A:A,'2023-2027'!A:AT,43,+FALSE)</f>
        <v>9679.1600000000017</v>
      </c>
    </row>
    <row r="172" spans="1:60" ht="24" hidden="1" customHeight="1" outlineLevel="1" x14ac:dyDescent="0.2">
      <c r="A172" s="59" t="s">
        <v>532</v>
      </c>
      <c r="B172" s="59" t="s">
        <v>78</v>
      </c>
      <c r="C172" s="59" t="s">
        <v>81</v>
      </c>
      <c r="D172" s="66" t="s">
        <v>533</v>
      </c>
      <c r="E172" s="59" t="s">
        <v>505</v>
      </c>
      <c r="F172" s="60">
        <v>688417.26</v>
      </c>
      <c r="G172" s="60">
        <v>45894.48</v>
      </c>
      <c r="H172" s="60">
        <v>642522.78</v>
      </c>
      <c r="I172" s="59"/>
      <c r="J172" s="60">
        <v>45894.48</v>
      </c>
      <c r="K172" s="59"/>
      <c r="L172" s="59"/>
      <c r="M172" s="60">
        <v>688417.26</v>
      </c>
      <c r="N172" s="60">
        <v>91788.96</v>
      </c>
      <c r="O172" s="60">
        <v>596628.30000000005</v>
      </c>
      <c r="P172" s="55">
        <v>619575.5</v>
      </c>
      <c r="Q172" s="55">
        <f t="shared" si="83"/>
        <v>13630.661000000002</v>
      </c>
      <c r="R172" s="61">
        <f t="shared" si="65"/>
        <v>3824.5400000000004</v>
      </c>
      <c r="S172" s="60">
        <v>3824.54</v>
      </c>
      <c r="T172" s="60">
        <v>3824.54</v>
      </c>
      <c r="U172" s="60">
        <v>3824.54</v>
      </c>
      <c r="V172" s="60">
        <v>3824.54</v>
      </c>
      <c r="W172" s="60">
        <v>3824.54</v>
      </c>
      <c r="X172" s="61">
        <f t="shared" si="66"/>
        <v>22947.24</v>
      </c>
      <c r="Y172" s="60">
        <v>3824.54</v>
      </c>
      <c r="Z172" s="60">
        <v>3824.54</v>
      </c>
      <c r="AA172" s="60">
        <v>3824.54</v>
      </c>
      <c r="AB172" s="60">
        <v>3824.54</v>
      </c>
      <c r="AC172" s="60">
        <v>3824.54</v>
      </c>
      <c r="AD172" s="60">
        <v>3824.54</v>
      </c>
      <c r="AE172" s="61">
        <f t="shared" si="67"/>
        <v>22947.24</v>
      </c>
      <c r="AF172" s="62">
        <f t="shared" si="77"/>
        <v>688417.26</v>
      </c>
      <c r="AG172" s="62">
        <f t="shared" si="78"/>
        <v>137683.43999999994</v>
      </c>
      <c r="AH172" s="62">
        <f t="shared" si="71"/>
        <v>550733.82000000007</v>
      </c>
      <c r="AI172" s="63">
        <v>573681.05999999971</v>
      </c>
      <c r="AJ172" s="63">
        <f t="shared" si="81"/>
        <v>12620.983319999994</v>
      </c>
      <c r="AK172" s="62"/>
      <c r="AL172" s="60">
        <v>3824.54</v>
      </c>
      <c r="AM172" s="60">
        <v>3824.54</v>
      </c>
      <c r="AN172" s="60">
        <v>3824.54</v>
      </c>
      <c r="AO172" s="60">
        <v>3824.54</v>
      </c>
      <c r="AP172" s="60">
        <v>3824.54</v>
      </c>
      <c r="AQ172" s="60">
        <v>3824.54</v>
      </c>
      <c r="AR172" s="61">
        <f t="shared" si="68"/>
        <v>22947.24</v>
      </c>
      <c r="AS172" s="60">
        <v>3824.54</v>
      </c>
      <c r="AT172" s="60">
        <v>3824.54</v>
      </c>
      <c r="AU172" s="60">
        <v>3824.54</v>
      </c>
      <c r="AV172" s="60">
        <v>3824.54</v>
      </c>
      <c r="AW172" s="60">
        <v>3824.54</v>
      </c>
      <c r="AX172" s="60">
        <v>3824.54</v>
      </c>
      <c r="AY172" s="61">
        <f t="shared" si="69"/>
        <v>22947.24</v>
      </c>
      <c r="AZ172" s="56">
        <f t="shared" si="64"/>
        <v>45894.48</v>
      </c>
      <c r="BA172" s="62">
        <f t="shared" si="72"/>
        <v>688417.26</v>
      </c>
      <c r="BB172" s="62">
        <f t="shared" si="70"/>
        <v>183577.92000000004</v>
      </c>
      <c r="BC172" s="62">
        <f t="shared" si="73"/>
        <v>504839.33999999997</v>
      </c>
      <c r="BD172" s="63">
        <v>527786.57999999926</v>
      </c>
      <c r="BE172" s="57">
        <f t="shared" si="82"/>
        <v>11611.304759999985</v>
      </c>
      <c r="BF172" s="35" t="str">
        <f>VLOOKUP(A:A,'2023-2027'!A:G,1,+FALSE)</f>
        <v>Резервуар горизонтальный стальной, РГСН-10м3</v>
      </c>
      <c r="BG172" s="7" t="b">
        <f t="shared" si="74"/>
        <v>1</v>
      </c>
      <c r="BH172" s="35">
        <f>VLOOKUP(A:A,'2023-2027'!A:AT,43,+FALSE)</f>
        <v>3824.5400000000004</v>
      </c>
    </row>
    <row r="173" spans="1:60" ht="12" hidden="1" customHeight="1" outlineLevel="1" x14ac:dyDescent="0.2">
      <c r="A173" s="59" t="s">
        <v>534</v>
      </c>
      <c r="B173" s="59" t="s">
        <v>78</v>
      </c>
      <c r="C173" s="59" t="s">
        <v>81</v>
      </c>
      <c r="D173" s="66" t="s">
        <v>535</v>
      </c>
      <c r="E173" s="59" t="s">
        <v>505</v>
      </c>
      <c r="F173" s="60">
        <v>561601.46</v>
      </c>
      <c r="G173" s="60">
        <v>37440.120000000003</v>
      </c>
      <c r="H173" s="60">
        <v>524161.34</v>
      </c>
      <c r="I173" s="59"/>
      <c r="J173" s="60">
        <v>37440.120000000003</v>
      </c>
      <c r="K173" s="59"/>
      <c r="L173" s="59"/>
      <c r="M173" s="60">
        <v>561601.46</v>
      </c>
      <c r="N173" s="60">
        <v>74880.240000000005</v>
      </c>
      <c r="O173" s="60">
        <v>486721.22</v>
      </c>
      <c r="P173" s="55">
        <v>505441.25</v>
      </c>
      <c r="Q173" s="55">
        <v>11119.68</v>
      </c>
      <c r="R173" s="61">
        <f t="shared" si="65"/>
        <v>3120.01</v>
      </c>
      <c r="S173" s="60">
        <v>3120.01</v>
      </c>
      <c r="T173" s="60">
        <v>3120.01</v>
      </c>
      <c r="U173" s="60">
        <v>3120.01</v>
      </c>
      <c r="V173" s="60">
        <v>3120.01</v>
      </c>
      <c r="W173" s="60">
        <v>3120.01</v>
      </c>
      <c r="X173" s="61">
        <f t="shared" si="66"/>
        <v>18720.060000000001</v>
      </c>
      <c r="Y173" s="60">
        <v>3120.01</v>
      </c>
      <c r="Z173" s="60">
        <v>3120.01</v>
      </c>
      <c r="AA173" s="60">
        <v>3120.01</v>
      </c>
      <c r="AB173" s="60">
        <v>3120.01</v>
      </c>
      <c r="AC173" s="60">
        <v>3120.01</v>
      </c>
      <c r="AD173" s="60">
        <v>3120.01</v>
      </c>
      <c r="AE173" s="61">
        <f t="shared" si="67"/>
        <v>18720.060000000001</v>
      </c>
      <c r="AF173" s="62">
        <f t="shared" si="77"/>
        <v>561601.46</v>
      </c>
      <c r="AG173" s="62">
        <f t="shared" si="78"/>
        <v>112320.35999999994</v>
      </c>
      <c r="AH173" s="62">
        <f t="shared" si="71"/>
        <v>449281.10000000003</v>
      </c>
      <c r="AI173" s="63">
        <v>468001.16000000003</v>
      </c>
      <c r="AJ173" s="63">
        <f t="shared" si="81"/>
        <v>10296.025520000001</v>
      </c>
      <c r="AK173" s="62"/>
      <c r="AL173" s="60">
        <v>3120.01</v>
      </c>
      <c r="AM173" s="60">
        <v>3120.01</v>
      </c>
      <c r="AN173" s="60">
        <v>3120.01</v>
      </c>
      <c r="AO173" s="60">
        <v>3120.01</v>
      </c>
      <c r="AP173" s="60">
        <v>3120.01</v>
      </c>
      <c r="AQ173" s="60">
        <v>3120.01</v>
      </c>
      <c r="AR173" s="61">
        <f t="shared" si="68"/>
        <v>18720.060000000001</v>
      </c>
      <c r="AS173" s="60">
        <v>3120.01</v>
      </c>
      <c r="AT173" s="60">
        <v>3120.01</v>
      </c>
      <c r="AU173" s="60">
        <v>3120.01</v>
      </c>
      <c r="AV173" s="60">
        <v>3120.01</v>
      </c>
      <c r="AW173" s="60">
        <v>3120.01</v>
      </c>
      <c r="AX173" s="60">
        <v>3120.01</v>
      </c>
      <c r="AY173" s="61">
        <f t="shared" si="69"/>
        <v>18720.060000000001</v>
      </c>
      <c r="AZ173" s="56">
        <f t="shared" si="64"/>
        <v>37440.120000000003</v>
      </c>
      <c r="BA173" s="62">
        <f t="shared" si="72"/>
        <v>561601.46</v>
      </c>
      <c r="BB173" s="62">
        <f t="shared" si="70"/>
        <v>149760.47999999995</v>
      </c>
      <c r="BC173" s="62">
        <f t="shared" si="73"/>
        <v>411840.98</v>
      </c>
      <c r="BD173" s="63">
        <v>430561.03999999992</v>
      </c>
      <c r="BE173" s="57">
        <f t="shared" si="82"/>
        <v>9472.3428799999983</v>
      </c>
      <c r="BF173" s="35" t="str">
        <f>VLOOKUP(A:A,'2023-2027'!A:G,1,+FALSE)</f>
        <v>Септик FloTenk STA 1,5</v>
      </c>
      <c r="BG173" s="7" t="b">
        <f t="shared" si="74"/>
        <v>1</v>
      </c>
      <c r="BH173" s="35">
        <f>VLOOKUP(A:A,'2023-2027'!A:AT,43,+FALSE)</f>
        <v>3120.0100000000007</v>
      </c>
    </row>
    <row r="174" spans="1:60" ht="12" hidden="1" customHeight="1" outlineLevel="1" x14ac:dyDescent="0.2">
      <c r="A174" s="59" t="s">
        <v>536</v>
      </c>
      <c r="B174" s="59" t="s">
        <v>78</v>
      </c>
      <c r="C174" s="59" t="s">
        <v>81</v>
      </c>
      <c r="D174" s="66" t="s">
        <v>537</v>
      </c>
      <c r="E174" s="59" t="s">
        <v>505</v>
      </c>
      <c r="F174" s="60">
        <v>570753.76</v>
      </c>
      <c r="G174" s="60">
        <v>38050.199999999997</v>
      </c>
      <c r="H174" s="60">
        <v>532703.56000000006</v>
      </c>
      <c r="I174" s="59"/>
      <c r="J174" s="60">
        <v>38050.199999999997</v>
      </c>
      <c r="K174" s="59"/>
      <c r="L174" s="59"/>
      <c r="M174" s="60">
        <v>570753.76</v>
      </c>
      <c r="N174" s="60">
        <v>76100.399999999994</v>
      </c>
      <c r="O174" s="60">
        <v>494653.36</v>
      </c>
      <c r="P174" s="55">
        <v>513678.43</v>
      </c>
      <c r="Q174" s="55">
        <f t="shared" si="83"/>
        <v>11300.92546</v>
      </c>
      <c r="R174" s="61">
        <f t="shared" si="65"/>
        <v>3170.85</v>
      </c>
      <c r="S174" s="60">
        <v>3170.85</v>
      </c>
      <c r="T174" s="60">
        <v>3170.85</v>
      </c>
      <c r="U174" s="60">
        <v>3170.85</v>
      </c>
      <c r="V174" s="60">
        <v>3170.85</v>
      </c>
      <c r="W174" s="60">
        <v>3170.85</v>
      </c>
      <c r="X174" s="61">
        <f t="shared" si="66"/>
        <v>19025.099999999999</v>
      </c>
      <c r="Y174" s="60">
        <v>3170.85</v>
      </c>
      <c r="Z174" s="60">
        <v>3170.85</v>
      </c>
      <c r="AA174" s="60">
        <v>3170.85</v>
      </c>
      <c r="AB174" s="60">
        <v>3170.85</v>
      </c>
      <c r="AC174" s="60">
        <v>3170.85</v>
      </c>
      <c r="AD174" s="60">
        <v>3170.85</v>
      </c>
      <c r="AE174" s="61">
        <f t="shared" si="67"/>
        <v>19025.099999999999</v>
      </c>
      <c r="AF174" s="62">
        <f t="shared" si="77"/>
        <v>570753.76</v>
      </c>
      <c r="AG174" s="62">
        <f t="shared" si="78"/>
        <v>114150.60000000006</v>
      </c>
      <c r="AH174" s="62">
        <f t="shared" si="71"/>
        <v>456603.15999999992</v>
      </c>
      <c r="AI174" s="63">
        <v>475628.25999999943</v>
      </c>
      <c r="AJ174" s="63">
        <f t="shared" si="81"/>
        <v>10463.821719999989</v>
      </c>
      <c r="AK174" s="62"/>
      <c r="AL174" s="60">
        <v>3170.85</v>
      </c>
      <c r="AM174" s="60">
        <v>3170.85</v>
      </c>
      <c r="AN174" s="60">
        <v>3170.85</v>
      </c>
      <c r="AO174" s="60">
        <v>3170.85</v>
      </c>
      <c r="AP174" s="60">
        <v>3170.85</v>
      </c>
      <c r="AQ174" s="60">
        <v>3170.85</v>
      </c>
      <c r="AR174" s="61">
        <f t="shared" si="68"/>
        <v>19025.099999999999</v>
      </c>
      <c r="AS174" s="60">
        <v>3170.85</v>
      </c>
      <c r="AT174" s="60">
        <v>3170.85</v>
      </c>
      <c r="AU174" s="60">
        <v>3170.85</v>
      </c>
      <c r="AV174" s="60">
        <v>3170.85</v>
      </c>
      <c r="AW174" s="60">
        <v>3170.85</v>
      </c>
      <c r="AX174" s="60">
        <v>3170.85</v>
      </c>
      <c r="AY174" s="61">
        <f t="shared" si="69"/>
        <v>19025.099999999999</v>
      </c>
      <c r="AZ174" s="56">
        <f t="shared" si="64"/>
        <v>38050.199999999997</v>
      </c>
      <c r="BA174" s="62">
        <f t="shared" si="72"/>
        <v>570753.76</v>
      </c>
      <c r="BB174" s="62">
        <f t="shared" si="70"/>
        <v>152200.80000000013</v>
      </c>
      <c r="BC174" s="62">
        <f t="shared" si="73"/>
        <v>418552.95999999985</v>
      </c>
      <c r="BD174" s="63">
        <v>437578.05999999831</v>
      </c>
      <c r="BE174" s="57">
        <f t="shared" si="82"/>
        <v>9626.7173199999634</v>
      </c>
      <c r="BF174" s="35" t="str">
        <f>VLOOKUP(A:A,'2023-2027'!A:G,1,+FALSE)</f>
        <v>Топливопровод</v>
      </c>
      <c r="BG174" s="7" t="b">
        <f t="shared" si="74"/>
        <v>1</v>
      </c>
      <c r="BH174" s="35">
        <f>VLOOKUP(A:A,'2023-2027'!A:AT,43,+FALSE)</f>
        <v>3170.849999999999</v>
      </c>
    </row>
    <row r="175" spans="1:60" ht="12" hidden="1" customHeight="1" outlineLevel="1" x14ac:dyDescent="0.2">
      <c r="A175" s="59" t="s">
        <v>538</v>
      </c>
      <c r="B175" s="59" t="s">
        <v>78</v>
      </c>
      <c r="C175" s="59" t="s">
        <v>81</v>
      </c>
      <c r="D175" s="66" t="s">
        <v>539</v>
      </c>
      <c r="E175" s="59" t="s">
        <v>540</v>
      </c>
      <c r="F175" s="60">
        <v>2007810.99</v>
      </c>
      <c r="G175" s="60">
        <v>769660.96</v>
      </c>
      <c r="H175" s="60">
        <v>1238150.03</v>
      </c>
      <c r="I175" s="59"/>
      <c r="J175" s="60">
        <v>100390.56</v>
      </c>
      <c r="K175" s="59"/>
      <c r="L175" s="59"/>
      <c r="M175" s="60">
        <v>2007810.99</v>
      </c>
      <c r="N175" s="60">
        <v>870051.52</v>
      </c>
      <c r="O175" s="60">
        <v>1137759.47</v>
      </c>
      <c r="P175" s="55">
        <v>1187954.75</v>
      </c>
      <c r="Q175" s="55">
        <f t="shared" si="83"/>
        <v>26135.004500000003</v>
      </c>
      <c r="R175" s="61">
        <f t="shared" si="65"/>
        <v>8365.8799999999992</v>
      </c>
      <c r="S175" s="60">
        <v>8365.8799999999992</v>
      </c>
      <c r="T175" s="60">
        <v>8365.8799999999992</v>
      </c>
      <c r="U175" s="60">
        <v>8365.8799999999992</v>
      </c>
      <c r="V175" s="60">
        <v>8365.8799999999992</v>
      </c>
      <c r="W175" s="60">
        <v>8365.8799999999992</v>
      </c>
      <c r="X175" s="61">
        <f t="shared" si="66"/>
        <v>50195.279999999992</v>
      </c>
      <c r="Y175" s="60">
        <v>8365.8799999999992</v>
      </c>
      <c r="Z175" s="60">
        <v>8365.8799999999992</v>
      </c>
      <c r="AA175" s="60">
        <v>8365.8799999999992</v>
      </c>
      <c r="AB175" s="60">
        <v>8365.8799999999992</v>
      </c>
      <c r="AC175" s="60">
        <v>8365.8799999999992</v>
      </c>
      <c r="AD175" s="60">
        <v>8365.8799999999992</v>
      </c>
      <c r="AE175" s="61">
        <f t="shared" si="67"/>
        <v>50195.279999999992</v>
      </c>
      <c r="AF175" s="62">
        <f t="shared" si="77"/>
        <v>2007810.99</v>
      </c>
      <c r="AG175" s="62">
        <f t="shared" si="78"/>
        <v>970442.08000000007</v>
      </c>
      <c r="AH175" s="62">
        <f t="shared" si="71"/>
        <v>1037368.9099999999</v>
      </c>
      <c r="AI175" s="63">
        <v>1087564.1899999992</v>
      </c>
      <c r="AJ175" s="63">
        <f t="shared" si="81"/>
        <v>23926.412179999985</v>
      </c>
      <c r="AK175" s="62"/>
      <c r="AL175" s="60">
        <v>8365.8799999999992</v>
      </c>
      <c r="AM175" s="60">
        <v>8365.8799999999992</v>
      </c>
      <c r="AN175" s="60">
        <v>8365.8799999999992</v>
      </c>
      <c r="AO175" s="60">
        <v>8365.8799999999992</v>
      </c>
      <c r="AP175" s="60">
        <v>8365.8799999999992</v>
      </c>
      <c r="AQ175" s="60">
        <v>8365.8799999999992</v>
      </c>
      <c r="AR175" s="61">
        <f t="shared" si="68"/>
        <v>50195.279999999992</v>
      </c>
      <c r="AS175" s="60">
        <v>8365.8799999999992</v>
      </c>
      <c r="AT175" s="60">
        <v>8365.8799999999992</v>
      </c>
      <c r="AU175" s="60">
        <v>8365.8799999999992</v>
      </c>
      <c r="AV175" s="60">
        <v>8365.8799999999992</v>
      </c>
      <c r="AW175" s="60">
        <v>8365.8799999999992</v>
      </c>
      <c r="AX175" s="60">
        <v>8365.8799999999992</v>
      </c>
      <c r="AY175" s="61">
        <f t="shared" si="69"/>
        <v>50195.279999999992</v>
      </c>
      <c r="AZ175" s="56">
        <f t="shared" si="64"/>
        <v>100390.55999999998</v>
      </c>
      <c r="BA175" s="62">
        <f t="shared" si="72"/>
        <v>2007810.99</v>
      </c>
      <c r="BB175" s="62">
        <f t="shared" si="70"/>
        <v>1070832.6399999999</v>
      </c>
      <c r="BC175" s="62">
        <f t="shared" si="73"/>
        <v>936978.35000000009</v>
      </c>
      <c r="BD175" s="63">
        <v>987173.62999999791</v>
      </c>
      <c r="BE175" s="57">
        <f t="shared" si="82"/>
        <v>21717.819859999956</v>
      </c>
      <c r="BF175" s="35" t="str">
        <f>VLOOKUP(A:A,'2023-2027'!A:G,1,+FALSE)</f>
        <v>ТП "Амбулатория" п.Красное</v>
      </c>
      <c r="BG175" s="7" t="b">
        <f t="shared" si="74"/>
        <v>1</v>
      </c>
      <c r="BH175" s="35">
        <f>VLOOKUP(A:A,'2023-2027'!A:AT,43,+FALSE)</f>
        <v>8365.880000000001</v>
      </c>
    </row>
    <row r="176" spans="1:60" ht="48" hidden="1" customHeight="1" outlineLevel="1" x14ac:dyDescent="0.2">
      <c r="A176" s="59" t="s">
        <v>541</v>
      </c>
      <c r="B176" s="59" t="s">
        <v>78</v>
      </c>
      <c r="C176" s="59" t="s">
        <v>81</v>
      </c>
      <c r="D176" s="66" t="s">
        <v>542</v>
      </c>
      <c r="E176" s="59" t="s">
        <v>527</v>
      </c>
      <c r="F176" s="60">
        <v>6691539</v>
      </c>
      <c r="G176" s="60">
        <v>959120.59</v>
      </c>
      <c r="H176" s="60">
        <v>5732418.4100000001</v>
      </c>
      <c r="I176" s="59"/>
      <c r="J176" s="60">
        <v>267661.56</v>
      </c>
      <c r="K176" s="59"/>
      <c r="L176" s="59"/>
      <c r="M176" s="60">
        <v>6691539</v>
      </c>
      <c r="N176" s="60">
        <v>1226782.1499999999</v>
      </c>
      <c r="O176" s="60">
        <v>5464756.8499999996</v>
      </c>
      <c r="P176" s="55">
        <v>5598587.6299999999</v>
      </c>
      <c r="Q176" s="55">
        <v>123168.92</v>
      </c>
      <c r="R176" s="61">
        <f t="shared" si="65"/>
        <v>22305.13</v>
      </c>
      <c r="S176" s="60">
        <v>22305.13</v>
      </c>
      <c r="T176" s="60">
        <v>22305.13</v>
      </c>
      <c r="U176" s="60">
        <v>22305.13</v>
      </c>
      <c r="V176" s="60">
        <v>22305.13</v>
      </c>
      <c r="W176" s="60">
        <v>22305.13</v>
      </c>
      <c r="X176" s="61">
        <f t="shared" si="66"/>
        <v>133830.78</v>
      </c>
      <c r="Y176" s="60">
        <v>22305.13</v>
      </c>
      <c r="Z176" s="60">
        <v>22305.13</v>
      </c>
      <c r="AA176" s="60">
        <v>22305.13</v>
      </c>
      <c r="AB176" s="60">
        <v>22305.13</v>
      </c>
      <c r="AC176" s="60">
        <v>22305.13</v>
      </c>
      <c r="AD176" s="60">
        <v>22305.13</v>
      </c>
      <c r="AE176" s="61">
        <f t="shared" si="67"/>
        <v>133830.78</v>
      </c>
      <c r="AF176" s="62">
        <f t="shared" si="77"/>
        <v>6691539</v>
      </c>
      <c r="AG176" s="62">
        <f t="shared" si="78"/>
        <v>1494443.7099999986</v>
      </c>
      <c r="AH176" s="62">
        <f t="shared" si="71"/>
        <v>5197095.290000001</v>
      </c>
      <c r="AI176" s="63">
        <v>5330926.0700000012</v>
      </c>
      <c r="AJ176" s="63">
        <f t="shared" si="81"/>
        <v>117280.37354000004</v>
      </c>
      <c r="AK176" s="62"/>
      <c r="AL176" s="60">
        <v>22305.13</v>
      </c>
      <c r="AM176" s="60">
        <v>22305.13</v>
      </c>
      <c r="AN176" s="60">
        <v>22305.13</v>
      </c>
      <c r="AO176" s="60">
        <v>22305.13</v>
      </c>
      <c r="AP176" s="60">
        <v>22305.13</v>
      </c>
      <c r="AQ176" s="60">
        <v>22305.13</v>
      </c>
      <c r="AR176" s="61">
        <f t="shared" si="68"/>
        <v>133830.78</v>
      </c>
      <c r="AS176" s="60">
        <v>22305.13</v>
      </c>
      <c r="AT176" s="60">
        <v>22305.13</v>
      </c>
      <c r="AU176" s="60">
        <v>22305.13</v>
      </c>
      <c r="AV176" s="60">
        <v>22305.13</v>
      </c>
      <c r="AW176" s="60">
        <v>22305.13</v>
      </c>
      <c r="AX176" s="60">
        <v>22305.13</v>
      </c>
      <c r="AY176" s="61">
        <f t="shared" si="69"/>
        <v>133830.78</v>
      </c>
      <c r="AZ176" s="56">
        <f t="shared" si="64"/>
        <v>267661.56</v>
      </c>
      <c r="BA176" s="62">
        <f t="shared" si="72"/>
        <v>6691539</v>
      </c>
      <c r="BB176" s="62">
        <f t="shared" si="70"/>
        <v>1762105.2699999972</v>
      </c>
      <c r="BC176" s="62">
        <f t="shared" si="73"/>
        <v>4929433.7300000023</v>
      </c>
      <c r="BD176" s="63">
        <v>5063264.5100000016</v>
      </c>
      <c r="BE176" s="57">
        <f t="shared" si="82"/>
        <v>111391.81922000005</v>
      </c>
      <c r="BF176" s="35" t="str">
        <f>VLOOKUP(A:A,'2023-2027'!A:G,1,+FALSE)</f>
        <v>Трансформаторная подстанция, адрес: Ненецкий АО, Заполярный р-н, Красное п, Мира ул</v>
      </c>
      <c r="BG176" s="7" t="b">
        <f t="shared" si="74"/>
        <v>1</v>
      </c>
      <c r="BH176" s="35">
        <f>VLOOKUP(A:A,'2023-2027'!A:AT,43,+FALSE)</f>
        <v>22305.13</v>
      </c>
    </row>
    <row r="177" spans="1:60" s="58" customFormat="1" ht="13.15" hidden="1" customHeight="1" x14ac:dyDescent="0.2">
      <c r="A177" s="323" t="s">
        <v>25</v>
      </c>
      <c r="B177" s="323"/>
      <c r="C177" s="323"/>
      <c r="D177" s="323"/>
      <c r="E177" s="323"/>
      <c r="F177" s="53">
        <v>49873016.799999997</v>
      </c>
      <c r="G177" s="53">
        <v>8946859.75</v>
      </c>
      <c r="H177" s="53">
        <v>40926157.049999997</v>
      </c>
      <c r="I177" s="53">
        <v>668541.32999999996</v>
      </c>
      <c r="J177" s="53">
        <v>2651647.4900000002</v>
      </c>
      <c r="K177" s="53">
        <v>521636.64</v>
      </c>
      <c r="L177" s="53">
        <v>517936.64000000001</v>
      </c>
      <c r="M177" s="53">
        <v>50019921.490000002</v>
      </c>
      <c r="N177" s="53">
        <v>11080570.6</v>
      </c>
      <c r="O177" s="53">
        <v>38939350.890000001</v>
      </c>
      <c r="P177" s="64">
        <v>23505127.710000001</v>
      </c>
      <c r="Q177" s="64">
        <f>Q179+Q181+Q182+Q207+Q258</f>
        <v>517112.80961999996</v>
      </c>
      <c r="R177" s="56">
        <f>R178+R179+R180+R181+R182+R183+R184+R185+R186+R187+R188+R189+R190+R191+R192+R193+R194+R195+R196+R197+R198+R199+R200+R201+R202+R203+R204+R205+R206+R208+R207+R209+R210+R211+R212+R213+R214+R215+R216+R217+R218+R219+R220+R221+R222+R223+R224+R225+R226+R227+R228+R229+R230+R231+R232+R233+R234+R235+R236+R237+R238+R239+R240+R241+R242+R243+R244+R245+R246+R247+R248+R249+R250+R251+R252+R253+R254+R255+R256+R257+R258+R259</f>
        <v>220669.49333333323</v>
      </c>
      <c r="S177" s="56">
        <f t="shared" ref="S177:BE177" si="85">S178+S179+S180+S181+S182+S183+S184+S185+S186+S187+S188+S189+S190+S191+S192+S193+S194+S195+S196+S197+S198+S199+S200+S201+S202+S203+S204+S205+S206+S208+S207+S209+S210+S211+S212+S213+S214+S215+S216+S217+S218+S219+S220+S221+S222+S223+S224+S225+S226+S227+S228+S229+S230+S231+S232+S233+S234+S235+S236+S237+S238+S239+S240+S241+S242+S243+S244+S245+S246+S247+S248+S249+S250+S251+S252+S253+S254+S255+S256+S257+S258+S259</f>
        <v>220669.49333619993</v>
      </c>
      <c r="T177" s="56">
        <f t="shared" si="85"/>
        <v>220669.49333619993</v>
      </c>
      <c r="U177" s="56">
        <f t="shared" si="85"/>
        <v>220669.49333619993</v>
      </c>
      <c r="V177" s="56">
        <f t="shared" si="85"/>
        <v>220669.49333619993</v>
      </c>
      <c r="W177" s="56">
        <f t="shared" si="85"/>
        <v>219785.68416949993</v>
      </c>
      <c r="X177" s="56">
        <f t="shared" si="85"/>
        <v>1323133.1508476341</v>
      </c>
      <c r="Y177" s="56">
        <f t="shared" si="85"/>
        <v>219785.66416949994</v>
      </c>
      <c r="Z177" s="56">
        <f t="shared" si="85"/>
        <v>219785.66416949994</v>
      </c>
      <c r="AA177" s="56">
        <f t="shared" si="85"/>
        <v>219785.66416949994</v>
      </c>
      <c r="AB177" s="56">
        <f t="shared" si="85"/>
        <v>219785.66416949994</v>
      </c>
      <c r="AC177" s="56">
        <f t="shared" si="85"/>
        <v>219785.66416949994</v>
      </c>
      <c r="AD177" s="56">
        <f t="shared" si="85"/>
        <v>219785.66416949994</v>
      </c>
      <c r="AE177" s="56">
        <f t="shared" si="85"/>
        <v>1318713.9850170007</v>
      </c>
      <c r="AF177" s="56">
        <f t="shared" si="85"/>
        <v>50019921.490000002</v>
      </c>
      <c r="AG177" s="56">
        <f t="shared" si="85"/>
        <v>13722417.735864639</v>
      </c>
      <c r="AH177" s="56">
        <f t="shared" si="85"/>
        <v>36298387.619968839</v>
      </c>
      <c r="AI177" s="57">
        <v>22769903.849999998</v>
      </c>
      <c r="AJ177" s="57">
        <f t="shared" si="85"/>
        <v>500937.88469999988</v>
      </c>
      <c r="AK177" s="56"/>
      <c r="AL177" s="56">
        <f t="shared" si="85"/>
        <v>209144.58666949996</v>
      </c>
      <c r="AM177" s="56">
        <f t="shared" si="85"/>
        <v>209144.51666949995</v>
      </c>
      <c r="AN177" s="56">
        <f t="shared" si="85"/>
        <v>209144.51666949995</v>
      </c>
      <c r="AO177" s="56">
        <f t="shared" si="85"/>
        <v>209144.51666949995</v>
      </c>
      <c r="AP177" s="56">
        <f t="shared" si="85"/>
        <v>209144.51666949995</v>
      </c>
      <c r="AQ177" s="56">
        <f t="shared" si="85"/>
        <v>209144.51666949995</v>
      </c>
      <c r="AR177" s="56">
        <f t="shared" si="85"/>
        <v>1254867.1700170008</v>
      </c>
      <c r="AS177" s="56">
        <f t="shared" si="85"/>
        <v>209144.51666949995</v>
      </c>
      <c r="AT177" s="56">
        <f t="shared" si="85"/>
        <v>209144.51666949995</v>
      </c>
      <c r="AU177" s="56">
        <f t="shared" si="85"/>
        <v>209144.51666949995</v>
      </c>
      <c r="AV177" s="56">
        <f t="shared" si="85"/>
        <v>209144.51666949995</v>
      </c>
      <c r="AW177" s="56">
        <f t="shared" si="85"/>
        <v>209144.61666949996</v>
      </c>
      <c r="AX177" s="56">
        <f t="shared" si="85"/>
        <v>202528.16666949994</v>
      </c>
      <c r="AY177" s="56">
        <f t="shared" si="85"/>
        <v>1248250.8500170007</v>
      </c>
      <c r="AZ177" s="56">
        <f t="shared" si="64"/>
        <v>2503118.0200340012</v>
      </c>
      <c r="BA177" s="56">
        <f t="shared" si="85"/>
        <v>50019921.490000002</v>
      </c>
      <c r="BB177" s="56">
        <f t="shared" si="85"/>
        <v>16225535.755898632</v>
      </c>
      <c r="BC177" s="56">
        <f t="shared" si="85"/>
        <v>33795269.599934824</v>
      </c>
      <c r="BD177" s="57">
        <v>22043210.264999982</v>
      </c>
      <c r="BE177" s="57">
        <f t="shared" si="85"/>
        <v>484950.62582999968</v>
      </c>
      <c r="BF177" s="35" t="str">
        <f>VLOOKUP(A:A,'2023-2027'!A:G,1,+FALSE)</f>
        <v>ОБЩЕПРОИЗВОДСТВЕННЫЕ РАСХОДЫ</v>
      </c>
      <c r="BG177" s="7" t="b">
        <f t="shared" si="74"/>
        <v>0</v>
      </c>
      <c r="BH177" s="35">
        <f>VLOOKUP(A:A,'2023-2027'!A:AT,43,+FALSE)</f>
        <v>0</v>
      </c>
    </row>
    <row r="178" spans="1:60" ht="12" hidden="1" customHeight="1" outlineLevel="1" x14ac:dyDescent="0.2">
      <c r="A178" s="59" t="s">
        <v>543</v>
      </c>
      <c r="B178" s="61" t="s">
        <v>25</v>
      </c>
      <c r="C178" s="61" t="s">
        <v>25</v>
      </c>
      <c r="D178" s="65" t="s">
        <v>544</v>
      </c>
      <c r="E178" s="59" t="s">
        <v>237</v>
      </c>
      <c r="F178" s="60">
        <v>46120</v>
      </c>
      <c r="G178" s="60">
        <v>18447.599999999999</v>
      </c>
      <c r="H178" s="60">
        <v>27672.400000000001</v>
      </c>
      <c r="I178" s="59"/>
      <c r="J178" s="60">
        <v>1844.88</v>
      </c>
      <c r="K178" s="59"/>
      <c r="L178" s="59"/>
      <c r="M178" s="60">
        <v>46120</v>
      </c>
      <c r="N178" s="60">
        <v>20292.48</v>
      </c>
      <c r="O178" s="60">
        <v>25827.52</v>
      </c>
      <c r="P178" s="55"/>
      <c r="Q178" s="55"/>
      <c r="R178" s="61">
        <f t="shared" si="65"/>
        <v>153.74</v>
      </c>
      <c r="S178" s="60">
        <v>153.74</v>
      </c>
      <c r="T178" s="60">
        <v>153.74</v>
      </c>
      <c r="U178" s="60">
        <v>153.74</v>
      </c>
      <c r="V178" s="60">
        <v>153.74</v>
      </c>
      <c r="W178" s="60">
        <v>153.74</v>
      </c>
      <c r="X178" s="61">
        <f t="shared" si="66"/>
        <v>922.44</v>
      </c>
      <c r="Y178" s="60">
        <v>153.74</v>
      </c>
      <c r="Z178" s="60">
        <v>153.74</v>
      </c>
      <c r="AA178" s="60">
        <v>153.74</v>
      </c>
      <c r="AB178" s="60">
        <v>153.74</v>
      </c>
      <c r="AC178" s="60">
        <v>153.74</v>
      </c>
      <c r="AD178" s="60">
        <v>153.74</v>
      </c>
      <c r="AE178" s="61">
        <f t="shared" si="67"/>
        <v>922.44</v>
      </c>
      <c r="AF178" s="62">
        <f>M178</f>
        <v>46120</v>
      </c>
      <c r="AG178" s="62">
        <f t="shared" ref="AG178:AG241" si="86">N178+R178+S178+T178+U178+V178+W178+Y178+Z178+AA178+AB178+AC178+AD178</f>
        <v>22137.360000000019</v>
      </c>
      <c r="AH178" s="62">
        <f t="shared" si="71"/>
        <v>23982.639999999981</v>
      </c>
      <c r="AI178" s="63"/>
      <c r="AJ178" s="63"/>
      <c r="AK178" s="62"/>
      <c r="AL178" s="60">
        <v>153.74</v>
      </c>
      <c r="AM178" s="60">
        <v>153.74</v>
      </c>
      <c r="AN178" s="60">
        <v>153.74</v>
      </c>
      <c r="AO178" s="60">
        <v>153.74</v>
      </c>
      <c r="AP178" s="60">
        <v>153.74</v>
      </c>
      <c r="AQ178" s="60">
        <v>153.74</v>
      </c>
      <c r="AR178" s="61">
        <f t="shared" si="68"/>
        <v>922.44</v>
      </c>
      <c r="AS178" s="60">
        <v>153.74</v>
      </c>
      <c r="AT178" s="60">
        <v>153.74</v>
      </c>
      <c r="AU178" s="60">
        <v>153.74</v>
      </c>
      <c r="AV178" s="60">
        <v>153.74</v>
      </c>
      <c r="AW178" s="60">
        <v>153.74</v>
      </c>
      <c r="AX178" s="60">
        <v>153.74</v>
      </c>
      <c r="AY178" s="61">
        <f t="shared" si="69"/>
        <v>922.44</v>
      </c>
      <c r="AZ178" s="56">
        <f t="shared" si="64"/>
        <v>1844.88</v>
      </c>
      <c r="BA178" s="62">
        <f t="shared" si="72"/>
        <v>46120</v>
      </c>
      <c r="BB178" s="62">
        <f t="shared" si="70"/>
        <v>23982.240000000038</v>
      </c>
      <c r="BC178" s="62">
        <f t="shared" si="73"/>
        <v>22137.759999999962</v>
      </c>
      <c r="BD178" s="63"/>
      <c r="BE178" s="57"/>
      <c r="BF178" s="35" t="e">
        <f>VLOOKUP(A:A,'2023-2027'!A:G,1,+FALSE)</f>
        <v>#N/A</v>
      </c>
      <c r="BG178" s="7" t="e">
        <f t="shared" si="74"/>
        <v>#N/A</v>
      </c>
      <c r="BH178" s="35"/>
    </row>
    <row r="179" spans="1:60" ht="12" hidden="1" customHeight="1" outlineLevel="1" x14ac:dyDescent="0.2">
      <c r="A179" s="59" t="s">
        <v>545</v>
      </c>
      <c r="B179" s="61" t="s">
        <v>25</v>
      </c>
      <c r="C179" s="61" t="s">
        <v>25</v>
      </c>
      <c r="D179" s="66" t="s">
        <v>546</v>
      </c>
      <c r="E179" s="59" t="s">
        <v>547</v>
      </c>
      <c r="F179" s="60">
        <v>24720373.289999999</v>
      </c>
      <c r="G179" s="60">
        <v>1236018.72</v>
      </c>
      <c r="H179" s="60">
        <v>23484354.57</v>
      </c>
      <c r="I179" s="59"/>
      <c r="J179" s="60">
        <v>618009.36</v>
      </c>
      <c r="K179" s="59"/>
      <c r="L179" s="59"/>
      <c r="M179" s="60">
        <v>24720373.289999999</v>
      </c>
      <c r="N179" s="60">
        <v>1854028.08</v>
      </c>
      <c r="O179" s="60">
        <v>22866345.210000001</v>
      </c>
      <c r="P179" s="55">
        <v>23175349.84</v>
      </c>
      <c r="Q179" s="55">
        <f t="shared" ref="Q179:Q182" si="87">P179*2.2%</f>
        <v>509857.69648000004</v>
      </c>
      <c r="R179" s="61">
        <f t="shared" si="65"/>
        <v>51500.78</v>
      </c>
      <c r="S179" s="60">
        <v>51500.78</v>
      </c>
      <c r="T179" s="60">
        <v>51500.78</v>
      </c>
      <c r="U179" s="60">
        <v>51500.78</v>
      </c>
      <c r="V179" s="60">
        <v>51500.78</v>
      </c>
      <c r="W179" s="60">
        <v>51500.78</v>
      </c>
      <c r="X179" s="61">
        <f t="shared" si="66"/>
        <v>309004.68</v>
      </c>
      <c r="Y179" s="60">
        <v>51500.78</v>
      </c>
      <c r="Z179" s="60">
        <v>51500.78</v>
      </c>
      <c r="AA179" s="60">
        <v>51500.78</v>
      </c>
      <c r="AB179" s="60">
        <v>51500.78</v>
      </c>
      <c r="AC179" s="60">
        <v>51500.78</v>
      </c>
      <c r="AD179" s="60">
        <v>51500.78</v>
      </c>
      <c r="AE179" s="61">
        <f t="shared" si="67"/>
        <v>309004.68</v>
      </c>
      <c r="AF179" s="62">
        <f>M179</f>
        <v>24720373.289999999</v>
      </c>
      <c r="AG179" s="62">
        <f t="shared" si="86"/>
        <v>2472037.4399999985</v>
      </c>
      <c r="AH179" s="62">
        <f t="shared" si="71"/>
        <v>22248335.850000001</v>
      </c>
      <c r="AI179" s="63">
        <v>22557340.529999994</v>
      </c>
      <c r="AJ179" s="63">
        <f t="shared" ref="AJ179" si="88">AI179*2.2%</f>
        <v>496261.49165999988</v>
      </c>
      <c r="AK179" s="62"/>
      <c r="AL179" s="60">
        <v>51500.78</v>
      </c>
      <c r="AM179" s="60">
        <v>51500.78</v>
      </c>
      <c r="AN179" s="60">
        <v>51500.78</v>
      </c>
      <c r="AO179" s="60">
        <v>51500.78</v>
      </c>
      <c r="AP179" s="60">
        <v>51500.78</v>
      </c>
      <c r="AQ179" s="60">
        <v>51500.78</v>
      </c>
      <c r="AR179" s="61">
        <f t="shared" si="68"/>
        <v>309004.68</v>
      </c>
      <c r="AS179" s="60">
        <v>51500.78</v>
      </c>
      <c r="AT179" s="60">
        <v>51500.78</v>
      </c>
      <c r="AU179" s="60">
        <v>51500.78</v>
      </c>
      <c r="AV179" s="60">
        <v>51500.78</v>
      </c>
      <c r="AW179" s="60">
        <v>51500.78</v>
      </c>
      <c r="AX179" s="60">
        <v>51500.78</v>
      </c>
      <c r="AY179" s="61">
        <f t="shared" si="69"/>
        <v>309004.68</v>
      </c>
      <c r="AZ179" s="56">
        <f t="shared" si="64"/>
        <v>618009.36</v>
      </c>
      <c r="BA179" s="62">
        <f t="shared" si="72"/>
        <v>24720373.289999999</v>
      </c>
      <c r="BB179" s="62">
        <f t="shared" si="70"/>
        <v>3090046.7999999961</v>
      </c>
      <c r="BC179" s="62">
        <f t="shared" si="73"/>
        <v>21630326.490000002</v>
      </c>
      <c r="BD179" s="63">
        <v>21939331.169999983</v>
      </c>
      <c r="BE179" s="57">
        <f t="shared" ref="BE179" si="89">BD179*2.2%</f>
        <v>482665.28573999967</v>
      </c>
      <c r="BF179" s="35" t="str">
        <f>VLOOKUP(A:A,'2023-2027'!A:G,1,+FALSE)</f>
        <v>Ангар для складских помещений</v>
      </c>
      <c r="BG179" s="7" t="b">
        <f t="shared" si="74"/>
        <v>1</v>
      </c>
      <c r="BH179" s="35">
        <f>VLOOKUP(A:A,'2023-2027'!A:AT,43,+FALSE)</f>
        <v>51500.780000000006</v>
      </c>
    </row>
    <row r="180" spans="1:60" ht="24" hidden="1" customHeight="1" outlineLevel="1" x14ac:dyDescent="0.2">
      <c r="A180" s="59" t="s">
        <v>548</v>
      </c>
      <c r="B180" s="61" t="s">
        <v>25</v>
      </c>
      <c r="C180" s="61" t="s">
        <v>25</v>
      </c>
      <c r="D180" s="65" t="s">
        <v>549</v>
      </c>
      <c r="E180" s="59" t="s">
        <v>550</v>
      </c>
      <c r="F180" s="60">
        <v>47500</v>
      </c>
      <c r="G180" s="60">
        <v>29461.74</v>
      </c>
      <c r="H180" s="60">
        <v>18038.259999999998</v>
      </c>
      <c r="I180" s="59"/>
      <c r="J180" s="60">
        <v>3607.68</v>
      </c>
      <c r="K180" s="59"/>
      <c r="L180" s="59"/>
      <c r="M180" s="60">
        <v>47500</v>
      </c>
      <c r="N180" s="60">
        <v>33069.42</v>
      </c>
      <c r="O180" s="60">
        <v>14430.58</v>
      </c>
      <c r="P180" s="55"/>
      <c r="Q180" s="55">
        <f t="shared" si="87"/>
        <v>0</v>
      </c>
      <c r="R180" s="61">
        <f t="shared" si="65"/>
        <v>300.64</v>
      </c>
      <c r="S180" s="60">
        <v>300.64</v>
      </c>
      <c r="T180" s="60">
        <v>300.64</v>
      </c>
      <c r="U180" s="60">
        <v>300.64</v>
      </c>
      <c r="V180" s="60">
        <v>300.64</v>
      </c>
      <c r="W180" s="60">
        <v>300.64</v>
      </c>
      <c r="X180" s="61">
        <f t="shared" si="66"/>
        <v>1803.8399999999997</v>
      </c>
      <c r="Y180" s="60">
        <v>300.64</v>
      </c>
      <c r="Z180" s="60">
        <v>300.64</v>
      </c>
      <c r="AA180" s="60">
        <v>300.64</v>
      </c>
      <c r="AB180" s="60">
        <v>300.64</v>
      </c>
      <c r="AC180" s="60">
        <v>300.64</v>
      </c>
      <c r="AD180" s="60">
        <v>300.64</v>
      </c>
      <c r="AE180" s="61">
        <f t="shared" si="67"/>
        <v>1803.8399999999997</v>
      </c>
      <c r="AF180" s="62">
        <f>M180</f>
        <v>47500</v>
      </c>
      <c r="AG180" s="62">
        <f t="shared" si="86"/>
        <v>36677.099999999991</v>
      </c>
      <c r="AH180" s="62">
        <f t="shared" si="71"/>
        <v>10822.900000000009</v>
      </c>
      <c r="AI180" s="63"/>
      <c r="AJ180" s="63"/>
      <c r="AK180" s="62"/>
      <c r="AL180" s="60">
        <v>300.64</v>
      </c>
      <c r="AM180" s="60">
        <v>300.64</v>
      </c>
      <c r="AN180" s="60">
        <v>300.64</v>
      </c>
      <c r="AO180" s="60">
        <v>300.64</v>
      </c>
      <c r="AP180" s="60">
        <v>300.64</v>
      </c>
      <c r="AQ180" s="60">
        <v>300.64</v>
      </c>
      <c r="AR180" s="61">
        <f t="shared" si="68"/>
        <v>1803.8399999999997</v>
      </c>
      <c r="AS180" s="60">
        <v>300.64</v>
      </c>
      <c r="AT180" s="60">
        <v>300.64</v>
      </c>
      <c r="AU180" s="60">
        <v>300.64</v>
      </c>
      <c r="AV180" s="60">
        <v>300.64</v>
      </c>
      <c r="AW180" s="60">
        <v>300.64</v>
      </c>
      <c r="AX180" s="60">
        <v>300.64</v>
      </c>
      <c r="AY180" s="61">
        <f t="shared" si="69"/>
        <v>1803.8399999999997</v>
      </c>
      <c r="AZ180" s="56">
        <f t="shared" si="64"/>
        <v>3607.6799999999994</v>
      </c>
      <c r="BA180" s="62">
        <f t="shared" si="72"/>
        <v>47500</v>
      </c>
      <c r="BB180" s="62">
        <f t="shared" si="70"/>
        <v>40284.779999999984</v>
      </c>
      <c r="BC180" s="62">
        <f t="shared" si="73"/>
        <v>7215.2200000000157</v>
      </c>
      <c r="BD180" s="63"/>
      <c r="BE180" s="57"/>
      <c r="BF180" s="35" t="e">
        <f>VLOOKUP(A:A,'2023-2027'!A:G,1,+FALSE)</f>
        <v>#N/A</v>
      </c>
      <c r="BG180" s="7" t="e">
        <f t="shared" si="74"/>
        <v>#N/A</v>
      </c>
      <c r="BH180" s="35"/>
    </row>
    <row r="181" spans="1:60" ht="12" hidden="1" customHeight="1" outlineLevel="1" x14ac:dyDescent="0.2">
      <c r="A181" s="59" t="s">
        <v>551</v>
      </c>
      <c r="B181" s="61" t="s">
        <v>25</v>
      </c>
      <c r="C181" s="61" t="s">
        <v>25</v>
      </c>
      <c r="D181" s="66" t="s">
        <v>552</v>
      </c>
      <c r="E181" s="59" t="s">
        <v>553</v>
      </c>
      <c r="F181" s="60">
        <v>129495.26</v>
      </c>
      <c r="G181" s="60">
        <v>100595.81</v>
      </c>
      <c r="H181" s="60">
        <v>28899.45</v>
      </c>
      <c r="I181" s="59"/>
      <c r="J181" s="60">
        <v>1937.4</v>
      </c>
      <c r="K181" s="59"/>
      <c r="L181" s="59"/>
      <c r="M181" s="60">
        <v>129495.26</v>
      </c>
      <c r="N181" s="60">
        <v>102533.21</v>
      </c>
      <c r="O181" s="60">
        <v>26962.05</v>
      </c>
      <c r="P181" s="55">
        <v>27930.75</v>
      </c>
      <c r="Q181" s="55">
        <f t="shared" si="87"/>
        <v>614.4765000000001</v>
      </c>
      <c r="R181" s="61">
        <f t="shared" si="65"/>
        <v>161.45000000000002</v>
      </c>
      <c r="S181" s="60">
        <v>161.44999999999999</v>
      </c>
      <c r="T181" s="60">
        <v>161.44999999999999</v>
      </c>
      <c r="U181" s="60">
        <v>161.44999999999999</v>
      </c>
      <c r="V181" s="60">
        <v>161.44999999999999</v>
      </c>
      <c r="W181" s="60">
        <v>161.44999999999999</v>
      </c>
      <c r="X181" s="61">
        <f t="shared" si="66"/>
        <v>968.7</v>
      </c>
      <c r="Y181" s="60">
        <v>161.44999999999999</v>
      </c>
      <c r="Z181" s="60">
        <v>161.44999999999999</v>
      </c>
      <c r="AA181" s="60">
        <v>161.44999999999999</v>
      </c>
      <c r="AB181" s="60">
        <v>161.44999999999999</v>
      </c>
      <c r="AC181" s="60">
        <v>161.44999999999999</v>
      </c>
      <c r="AD181" s="60">
        <v>161.44999999999999</v>
      </c>
      <c r="AE181" s="61">
        <f t="shared" si="67"/>
        <v>968.7</v>
      </c>
      <c r="AF181" s="62">
        <f>M181</f>
        <v>129495.26</v>
      </c>
      <c r="AG181" s="62">
        <f t="shared" si="86"/>
        <v>104470.60999999997</v>
      </c>
      <c r="AH181" s="62">
        <f t="shared" si="71"/>
        <v>25024.650000000023</v>
      </c>
      <c r="AI181" s="63">
        <v>25993.349999999991</v>
      </c>
      <c r="AJ181" s="63">
        <f t="shared" ref="AJ181:AJ182" si="90">AI181*2.2%</f>
        <v>571.85369999999989</v>
      </c>
      <c r="AK181" s="62"/>
      <c r="AL181" s="60">
        <v>161.44999999999999</v>
      </c>
      <c r="AM181" s="60">
        <v>161.44999999999999</v>
      </c>
      <c r="AN181" s="60">
        <v>161.44999999999999</v>
      </c>
      <c r="AO181" s="60">
        <v>161.44999999999999</v>
      </c>
      <c r="AP181" s="60">
        <v>161.44999999999999</v>
      </c>
      <c r="AQ181" s="60">
        <v>161.44999999999999</v>
      </c>
      <c r="AR181" s="61">
        <f t="shared" si="68"/>
        <v>968.7</v>
      </c>
      <c r="AS181" s="60">
        <v>161.44999999999999</v>
      </c>
      <c r="AT181" s="60">
        <v>161.44999999999999</v>
      </c>
      <c r="AU181" s="60">
        <v>161.44999999999999</v>
      </c>
      <c r="AV181" s="60">
        <v>161.44999999999999</v>
      </c>
      <c r="AW181" s="60">
        <v>161.44999999999999</v>
      </c>
      <c r="AX181" s="60">
        <v>161.44999999999999</v>
      </c>
      <c r="AY181" s="61">
        <f t="shared" si="69"/>
        <v>968.7</v>
      </c>
      <c r="AZ181" s="56">
        <f t="shared" si="64"/>
        <v>1937.4</v>
      </c>
      <c r="BA181" s="62">
        <f t="shared" si="72"/>
        <v>129495.26</v>
      </c>
      <c r="BB181" s="62">
        <f t="shared" si="70"/>
        <v>106408.00999999994</v>
      </c>
      <c r="BC181" s="62">
        <f t="shared" si="73"/>
        <v>23087.250000000058</v>
      </c>
      <c r="BD181" s="63">
        <v>24055.94999999999</v>
      </c>
      <c r="BE181" s="57">
        <f t="shared" ref="BE181:BE182" si="91">BD181*2.2%</f>
        <v>529.23089999999979</v>
      </c>
      <c r="BF181" s="35" t="str">
        <f>VLOOKUP(A:A,'2023-2027'!A:G,1,+FALSE)</f>
        <v>Здание лаборатории  1970г.</v>
      </c>
      <c r="BG181" s="7" t="b">
        <f t="shared" si="74"/>
        <v>1</v>
      </c>
      <c r="BH181" s="35">
        <f>VLOOKUP(A:A,'2023-2027'!A:AT,43,+FALSE)</f>
        <v>595.07000000000005</v>
      </c>
    </row>
    <row r="182" spans="1:60" ht="12" hidden="1" customHeight="1" outlineLevel="1" x14ac:dyDescent="0.2">
      <c r="A182" s="59" t="s">
        <v>554</v>
      </c>
      <c r="B182" s="61" t="s">
        <v>25</v>
      </c>
      <c r="C182" s="61" t="s">
        <v>25</v>
      </c>
      <c r="D182" s="65" t="s">
        <v>555</v>
      </c>
      <c r="E182" s="59" t="s">
        <v>556</v>
      </c>
      <c r="F182" s="60">
        <v>227366.5</v>
      </c>
      <c r="G182" s="60">
        <v>220052.93</v>
      </c>
      <c r="H182" s="60">
        <v>7313.57</v>
      </c>
      <c r="I182" s="59"/>
      <c r="J182" s="60">
        <v>3613.57</v>
      </c>
      <c r="K182" s="60">
        <v>227366.5</v>
      </c>
      <c r="L182" s="60">
        <v>223666.5</v>
      </c>
      <c r="M182" s="59"/>
      <c r="N182" s="59"/>
      <c r="O182" s="59"/>
      <c r="P182" s="73">
        <v>5222.17</v>
      </c>
      <c r="Q182" s="55">
        <f t="shared" si="87"/>
        <v>114.88774000000001</v>
      </c>
      <c r="R182" s="61"/>
      <c r="S182" s="60"/>
      <c r="T182" s="60"/>
      <c r="U182" s="60"/>
      <c r="V182" s="60"/>
      <c r="W182" s="60"/>
      <c r="X182" s="61">
        <f t="shared" si="66"/>
        <v>0</v>
      </c>
      <c r="Y182" s="60"/>
      <c r="Z182" s="60"/>
      <c r="AA182" s="60"/>
      <c r="AB182" s="60"/>
      <c r="AC182" s="60"/>
      <c r="AD182" s="60"/>
      <c r="AE182" s="61">
        <f t="shared" si="67"/>
        <v>0</v>
      </c>
      <c r="AF182" s="62"/>
      <c r="AG182" s="62">
        <f t="shared" si="86"/>
        <v>0</v>
      </c>
      <c r="AH182" s="62"/>
      <c r="AI182" s="63">
        <v>0</v>
      </c>
      <c r="AJ182" s="63">
        <f t="shared" si="90"/>
        <v>0</v>
      </c>
      <c r="AK182" s="62"/>
      <c r="AL182" s="60"/>
      <c r="AM182" s="60"/>
      <c r="AN182" s="60"/>
      <c r="AO182" s="60"/>
      <c r="AP182" s="60"/>
      <c r="AQ182" s="60"/>
      <c r="AR182" s="61">
        <f t="shared" si="68"/>
        <v>0</v>
      </c>
      <c r="AS182" s="60"/>
      <c r="AT182" s="60"/>
      <c r="AU182" s="60"/>
      <c r="AV182" s="60"/>
      <c r="AW182" s="60"/>
      <c r="AX182" s="60"/>
      <c r="AY182" s="61">
        <f t="shared" si="69"/>
        <v>0</v>
      </c>
      <c r="AZ182" s="56">
        <f t="shared" si="64"/>
        <v>0</v>
      </c>
      <c r="BA182" s="62"/>
      <c r="BB182" s="62">
        <f t="shared" si="70"/>
        <v>0</v>
      </c>
      <c r="BC182" s="62"/>
      <c r="BD182" s="63">
        <v>0</v>
      </c>
      <c r="BE182" s="57">
        <f t="shared" si="91"/>
        <v>0</v>
      </c>
      <c r="BF182" s="35" t="e">
        <f>VLOOKUP(A:A,'2023-2027'!A:G,1,+FALSE)</f>
        <v>#N/A</v>
      </c>
      <c r="BG182" s="7" t="e">
        <f t="shared" si="74"/>
        <v>#N/A</v>
      </c>
      <c r="BH182" s="35"/>
    </row>
    <row r="183" spans="1:60" ht="12" hidden="1" customHeight="1" outlineLevel="1" x14ac:dyDescent="0.2">
      <c r="A183" s="59" t="s">
        <v>2501</v>
      </c>
      <c r="B183" s="61" t="s">
        <v>25</v>
      </c>
      <c r="C183" s="61" t="s">
        <v>25</v>
      </c>
      <c r="D183" s="66" t="s">
        <v>557</v>
      </c>
      <c r="E183" s="59" t="s">
        <v>558</v>
      </c>
      <c r="F183" s="60">
        <v>213239.76</v>
      </c>
      <c r="G183" s="60">
        <v>18954.72</v>
      </c>
      <c r="H183" s="60">
        <v>194285.04</v>
      </c>
      <c r="I183" s="59"/>
      <c r="J183" s="60">
        <v>14215.96</v>
      </c>
      <c r="K183" s="59"/>
      <c r="L183" s="59"/>
      <c r="M183" s="60">
        <v>213239.76</v>
      </c>
      <c r="N183" s="60">
        <v>33170.68</v>
      </c>
      <c r="O183" s="60">
        <v>180069.08</v>
      </c>
      <c r="P183" s="55"/>
      <c r="Q183" s="55"/>
      <c r="R183" s="61">
        <f t="shared" si="65"/>
        <v>1184.6633333333332</v>
      </c>
      <c r="S183" s="60">
        <v>1184.663333</v>
      </c>
      <c r="T183" s="60">
        <v>1184.663333</v>
      </c>
      <c r="U183" s="60">
        <v>1184.663333</v>
      </c>
      <c r="V183" s="60">
        <v>1184.663333</v>
      </c>
      <c r="W183" s="60">
        <v>1184.663333</v>
      </c>
      <c r="X183" s="61">
        <f t="shared" si="66"/>
        <v>7107.9799983333342</v>
      </c>
      <c r="Y183" s="60">
        <v>1184.663333</v>
      </c>
      <c r="Z183" s="60">
        <v>1184.663333</v>
      </c>
      <c r="AA183" s="60">
        <v>1184.663333</v>
      </c>
      <c r="AB183" s="60">
        <v>1184.663333</v>
      </c>
      <c r="AC183" s="60">
        <v>1184.663333</v>
      </c>
      <c r="AD183" s="60">
        <v>1184.663333</v>
      </c>
      <c r="AE183" s="61">
        <f t="shared" si="67"/>
        <v>7107.9799980000007</v>
      </c>
      <c r="AF183" s="62">
        <f t="shared" ref="AF183:AF246" si="92">M183</f>
        <v>213239.76</v>
      </c>
      <c r="AG183" s="62">
        <f t="shared" si="86"/>
        <v>47386.639996333295</v>
      </c>
      <c r="AH183" s="62">
        <f t="shared" si="71"/>
        <v>165853.12000366673</v>
      </c>
      <c r="AI183" s="63"/>
      <c r="AJ183" s="63"/>
      <c r="AK183" s="62"/>
      <c r="AL183" s="60">
        <v>1184.663333</v>
      </c>
      <c r="AM183" s="60">
        <v>1184.663333</v>
      </c>
      <c r="AN183" s="60">
        <v>1184.663333</v>
      </c>
      <c r="AO183" s="60">
        <v>1184.663333</v>
      </c>
      <c r="AP183" s="60">
        <v>1184.663333</v>
      </c>
      <c r="AQ183" s="60">
        <v>1184.663333</v>
      </c>
      <c r="AR183" s="61">
        <f t="shared" si="68"/>
        <v>7107.9799980000007</v>
      </c>
      <c r="AS183" s="60">
        <v>1184.663333</v>
      </c>
      <c r="AT183" s="60">
        <v>1184.663333</v>
      </c>
      <c r="AU183" s="60">
        <v>1184.663333</v>
      </c>
      <c r="AV183" s="60">
        <v>1184.663333</v>
      </c>
      <c r="AW183" s="60">
        <v>1184.663333</v>
      </c>
      <c r="AX183" s="60">
        <v>1184.663333</v>
      </c>
      <c r="AY183" s="61">
        <f t="shared" si="69"/>
        <v>7107.9799980000007</v>
      </c>
      <c r="AZ183" s="56">
        <f t="shared" si="64"/>
        <v>14215.959996000001</v>
      </c>
      <c r="BA183" s="62">
        <f t="shared" ref="BA183:BA246" si="93">AF183</f>
        <v>213239.76</v>
      </c>
      <c r="BB183" s="62">
        <f t="shared" si="70"/>
        <v>61602.599992333257</v>
      </c>
      <c r="BC183" s="62">
        <f t="shared" ref="BC183:BC246" si="94">BA183-BB183</f>
        <v>151637.16000766674</v>
      </c>
      <c r="BD183" s="63"/>
      <c r="BE183" s="57"/>
      <c r="BF183" s="35" t="str">
        <f>VLOOKUP(A:A,'2023-2027'!A:G,1,+FALSE)</f>
        <v xml:space="preserve">Комплект складских стеллажей </v>
      </c>
      <c r="BG183" s="7" t="b">
        <f t="shared" si="74"/>
        <v>1</v>
      </c>
      <c r="BH183" s="35">
        <f>VLOOKUP(A:A,'2023-2027'!A:AT,43,+FALSE)</f>
        <v>1184.663333</v>
      </c>
    </row>
    <row r="184" spans="1:60" ht="24" hidden="1" customHeight="1" outlineLevel="1" x14ac:dyDescent="0.2">
      <c r="A184" s="59" t="s">
        <v>559</v>
      </c>
      <c r="B184" s="61" t="s">
        <v>25</v>
      </c>
      <c r="C184" s="61" t="s">
        <v>25</v>
      </c>
      <c r="D184" s="66" t="s">
        <v>560</v>
      </c>
      <c r="E184" s="59" t="s">
        <v>561</v>
      </c>
      <c r="F184" s="60">
        <v>394092.87</v>
      </c>
      <c r="G184" s="60">
        <v>43788</v>
      </c>
      <c r="H184" s="60">
        <v>350304.87</v>
      </c>
      <c r="I184" s="59"/>
      <c r="J184" s="60">
        <v>26272.92</v>
      </c>
      <c r="K184" s="59"/>
      <c r="L184" s="59"/>
      <c r="M184" s="60">
        <v>394092.87</v>
      </c>
      <c r="N184" s="60">
        <v>70060.92</v>
      </c>
      <c r="O184" s="60">
        <v>324031.95</v>
      </c>
      <c r="P184" s="55"/>
      <c r="Q184" s="55"/>
      <c r="R184" s="61">
        <f t="shared" si="65"/>
        <v>2189.41</v>
      </c>
      <c r="S184" s="60">
        <v>2189.41</v>
      </c>
      <c r="T184" s="60">
        <v>2189.41</v>
      </c>
      <c r="U184" s="60">
        <v>2189.41</v>
      </c>
      <c r="V184" s="60">
        <v>2189.41</v>
      </c>
      <c r="W184" s="60">
        <v>2189.41</v>
      </c>
      <c r="X184" s="61">
        <f t="shared" si="66"/>
        <v>13136.46</v>
      </c>
      <c r="Y184" s="60">
        <v>2189.41</v>
      </c>
      <c r="Z184" s="60">
        <v>2189.41</v>
      </c>
      <c r="AA184" s="60">
        <v>2189.41</v>
      </c>
      <c r="AB184" s="60">
        <v>2189.41</v>
      </c>
      <c r="AC184" s="60">
        <v>2189.41</v>
      </c>
      <c r="AD184" s="60">
        <v>2189.41</v>
      </c>
      <c r="AE184" s="61">
        <f t="shared" si="67"/>
        <v>13136.46</v>
      </c>
      <c r="AF184" s="62">
        <f t="shared" si="92"/>
        <v>394092.87</v>
      </c>
      <c r="AG184" s="62">
        <f t="shared" si="86"/>
        <v>96333.84000000004</v>
      </c>
      <c r="AH184" s="62">
        <f t="shared" si="71"/>
        <v>297759.02999999997</v>
      </c>
      <c r="AI184" s="63"/>
      <c r="AJ184" s="63"/>
      <c r="AK184" s="62"/>
      <c r="AL184" s="60">
        <v>2189.41</v>
      </c>
      <c r="AM184" s="60">
        <v>2189.41</v>
      </c>
      <c r="AN184" s="60">
        <v>2189.41</v>
      </c>
      <c r="AO184" s="60">
        <v>2189.41</v>
      </c>
      <c r="AP184" s="60">
        <v>2189.41</v>
      </c>
      <c r="AQ184" s="60">
        <v>2189.41</v>
      </c>
      <c r="AR184" s="61">
        <f t="shared" si="68"/>
        <v>13136.46</v>
      </c>
      <c r="AS184" s="60">
        <v>2189.41</v>
      </c>
      <c r="AT184" s="60">
        <v>2189.41</v>
      </c>
      <c r="AU184" s="60">
        <v>2189.41</v>
      </c>
      <c r="AV184" s="60">
        <v>2189.41</v>
      </c>
      <c r="AW184" s="60">
        <v>2189.41</v>
      </c>
      <c r="AX184" s="60">
        <v>2189.41</v>
      </c>
      <c r="AY184" s="61">
        <f t="shared" si="69"/>
        <v>13136.46</v>
      </c>
      <c r="AZ184" s="56">
        <f t="shared" si="64"/>
        <v>26272.92</v>
      </c>
      <c r="BA184" s="62">
        <f t="shared" si="93"/>
        <v>394092.87</v>
      </c>
      <c r="BB184" s="62">
        <f t="shared" si="70"/>
        <v>122606.76000000008</v>
      </c>
      <c r="BC184" s="62">
        <f t="shared" si="94"/>
        <v>271486.10999999993</v>
      </c>
      <c r="BD184" s="63"/>
      <c r="BE184" s="57"/>
      <c r="BF184" s="35" t="str">
        <f>VLOOKUP(A:A,'2023-2027'!A:G,1,+FALSE)</f>
        <v>Комплект среднегрузовых стеллажей</v>
      </c>
      <c r="BG184" s="7" t="b">
        <f t="shared" si="74"/>
        <v>1</v>
      </c>
      <c r="BH184" s="35">
        <f>VLOOKUP(A:A,'2023-2027'!A:AT,43,+FALSE)</f>
        <v>2189.41</v>
      </c>
    </row>
    <row r="185" spans="1:60" ht="12" hidden="1" customHeight="1" outlineLevel="1" x14ac:dyDescent="0.2">
      <c r="A185" s="59" t="s">
        <v>2502</v>
      </c>
      <c r="B185" s="61" t="s">
        <v>25</v>
      </c>
      <c r="C185" s="61" t="s">
        <v>25</v>
      </c>
      <c r="D185" s="66" t="s">
        <v>562</v>
      </c>
      <c r="E185" s="59" t="s">
        <v>563</v>
      </c>
      <c r="F185" s="60">
        <v>347993.63</v>
      </c>
      <c r="G185" s="60">
        <v>34799.4</v>
      </c>
      <c r="H185" s="60">
        <v>313194.23</v>
      </c>
      <c r="I185" s="59"/>
      <c r="J185" s="60">
        <v>23199.599999999999</v>
      </c>
      <c r="K185" s="59"/>
      <c r="L185" s="59"/>
      <c r="M185" s="60">
        <v>347993.63</v>
      </c>
      <c r="N185" s="60">
        <v>57999</v>
      </c>
      <c r="O185" s="60">
        <v>289994.63</v>
      </c>
      <c r="P185" s="55"/>
      <c r="Q185" s="55"/>
      <c r="R185" s="61">
        <f t="shared" si="65"/>
        <v>1933.3</v>
      </c>
      <c r="S185" s="60">
        <v>1933.3</v>
      </c>
      <c r="T185" s="60">
        <v>1933.3</v>
      </c>
      <c r="U185" s="60">
        <v>1933.3</v>
      </c>
      <c r="V185" s="60">
        <v>1933.3</v>
      </c>
      <c r="W185" s="60">
        <v>1933.3</v>
      </c>
      <c r="X185" s="61">
        <f t="shared" si="66"/>
        <v>11599.8</v>
      </c>
      <c r="Y185" s="60">
        <v>1933.3</v>
      </c>
      <c r="Z185" s="60">
        <v>1933.3</v>
      </c>
      <c r="AA185" s="60">
        <v>1933.3</v>
      </c>
      <c r="AB185" s="60">
        <v>1933.3</v>
      </c>
      <c r="AC185" s="60">
        <v>1933.3</v>
      </c>
      <c r="AD185" s="60">
        <v>1933.3</v>
      </c>
      <c r="AE185" s="61">
        <f t="shared" si="67"/>
        <v>11599.8</v>
      </c>
      <c r="AF185" s="62">
        <f t="shared" si="92"/>
        <v>347993.63</v>
      </c>
      <c r="AG185" s="62">
        <f t="shared" si="86"/>
        <v>81198.600000000035</v>
      </c>
      <c r="AH185" s="62">
        <f t="shared" si="71"/>
        <v>266795.02999999997</v>
      </c>
      <c r="AI185" s="63"/>
      <c r="AJ185" s="63"/>
      <c r="AK185" s="62"/>
      <c r="AL185" s="60">
        <v>1933.3</v>
      </c>
      <c r="AM185" s="60">
        <v>1933.3</v>
      </c>
      <c r="AN185" s="60">
        <v>1933.3</v>
      </c>
      <c r="AO185" s="60">
        <v>1933.3</v>
      </c>
      <c r="AP185" s="60">
        <v>1933.3</v>
      </c>
      <c r="AQ185" s="60">
        <v>1933.3</v>
      </c>
      <c r="AR185" s="61">
        <f t="shared" si="68"/>
        <v>11599.8</v>
      </c>
      <c r="AS185" s="60">
        <v>1933.3</v>
      </c>
      <c r="AT185" s="60">
        <v>1933.3</v>
      </c>
      <c r="AU185" s="60">
        <v>1933.3</v>
      </c>
      <c r="AV185" s="60">
        <v>1933.3</v>
      </c>
      <c r="AW185" s="60">
        <v>1933.3</v>
      </c>
      <c r="AX185" s="60">
        <v>1933.3</v>
      </c>
      <c r="AY185" s="61">
        <f t="shared" si="69"/>
        <v>11599.8</v>
      </c>
      <c r="AZ185" s="56">
        <f t="shared" si="64"/>
        <v>23199.599999999999</v>
      </c>
      <c r="BA185" s="62">
        <f t="shared" si="93"/>
        <v>347993.63</v>
      </c>
      <c r="BB185" s="62">
        <f t="shared" si="70"/>
        <v>104398.20000000007</v>
      </c>
      <c r="BC185" s="62">
        <f t="shared" si="94"/>
        <v>243595.42999999993</v>
      </c>
      <c r="BD185" s="63"/>
      <c r="BE185" s="57"/>
      <c r="BF185" s="35" t="str">
        <f>VLOOKUP(A:A,'2023-2027'!A:G,1,+FALSE)</f>
        <v xml:space="preserve">Комплект стеллажей </v>
      </c>
      <c r="BG185" s="7" t="b">
        <f t="shared" si="74"/>
        <v>1</v>
      </c>
      <c r="BH185" s="35">
        <f>VLOOKUP(A:A,'2023-2027'!A:AT,43,+FALSE)</f>
        <v>1933.2999999999995</v>
      </c>
    </row>
    <row r="186" spans="1:60" ht="12" hidden="1" customHeight="1" outlineLevel="1" x14ac:dyDescent="0.2">
      <c r="A186" s="59" t="s">
        <v>564</v>
      </c>
      <c r="B186" s="61" t="s">
        <v>25</v>
      </c>
      <c r="C186" s="61" t="s">
        <v>25</v>
      </c>
      <c r="D186" s="65" t="s">
        <v>565</v>
      </c>
      <c r="E186" s="59" t="s">
        <v>260</v>
      </c>
      <c r="F186" s="60">
        <v>29947.439999999999</v>
      </c>
      <c r="G186" s="60">
        <v>29947.439999999999</v>
      </c>
      <c r="H186" s="59"/>
      <c r="I186" s="59"/>
      <c r="J186" s="59"/>
      <c r="K186" s="60">
        <v>29947.439999999999</v>
      </c>
      <c r="L186" s="60">
        <v>29947.439999999999</v>
      </c>
      <c r="M186" s="59"/>
      <c r="N186" s="59"/>
      <c r="O186" s="59"/>
      <c r="P186" s="67"/>
      <c r="Q186" s="67"/>
      <c r="R186" s="61">
        <f t="shared" si="65"/>
        <v>0</v>
      </c>
      <c r="S186" s="60">
        <v>0</v>
      </c>
      <c r="T186" s="60">
        <v>0</v>
      </c>
      <c r="U186" s="60">
        <v>0</v>
      </c>
      <c r="V186" s="60">
        <v>0</v>
      </c>
      <c r="W186" s="60">
        <v>0</v>
      </c>
      <c r="X186" s="61">
        <f t="shared" si="66"/>
        <v>0</v>
      </c>
      <c r="Y186" s="60">
        <v>0</v>
      </c>
      <c r="Z186" s="60">
        <v>0</v>
      </c>
      <c r="AA186" s="60">
        <v>0</v>
      </c>
      <c r="AB186" s="60">
        <v>0</v>
      </c>
      <c r="AC186" s="60">
        <v>0</v>
      </c>
      <c r="AD186" s="60">
        <v>0</v>
      </c>
      <c r="AE186" s="61">
        <f t="shared" si="67"/>
        <v>0</v>
      </c>
      <c r="AF186" s="62">
        <f t="shared" si="92"/>
        <v>0</v>
      </c>
      <c r="AG186" s="62">
        <f t="shared" si="86"/>
        <v>0</v>
      </c>
      <c r="AH186" s="62">
        <f t="shared" si="71"/>
        <v>0</v>
      </c>
      <c r="AI186" s="63"/>
      <c r="AJ186" s="63"/>
      <c r="AK186" s="62"/>
      <c r="AL186" s="60">
        <v>0</v>
      </c>
      <c r="AM186" s="60">
        <v>0</v>
      </c>
      <c r="AN186" s="60">
        <v>0</v>
      </c>
      <c r="AO186" s="60">
        <v>0</v>
      </c>
      <c r="AP186" s="60">
        <v>0</v>
      </c>
      <c r="AQ186" s="60">
        <v>0</v>
      </c>
      <c r="AR186" s="61">
        <f t="shared" si="68"/>
        <v>0</v>
      </c>
      <c r="AS186" s="60">
        <v>0</v>
      </c>
      <c r="AT186" s="60">
        <v>0</v>
      </c>
      <c r="AU186" s="60">
        <v>0</v>
      </c>
      <c r="AV186" s="60">
        <v>0</v>
      </c>
      <c r="AW186" s="60">
        <v>0</v>
      </c>
      <c r="AX186" s="60">
        <v>0</v>
      </c>
      <c r="AY186" s="61">
        <f t="shared" si="69"/>
        <v>0</v>
      </c>
      <c r="AZ186" s="56">
        <f t="shared" si="64"/>
        <v>0</v>
      </c>
      <c r="BA186" s="62">
        <f t="shared" si="93"/>
        <v>0</v>
      </c>
      <c r="BB186" s="62">
        <f t="shared" si="70"/>
        <v>0</v>
      </c>
      <c r="BC186" s="62">
        <f t="shared" si="94"/>
        <v>0</v>
      </c>
      <c r="BD186" s="63"/>
      <c r="BE186" s="57"/>
      <c r="BF186" s="35" t="e">
        <f>VLOOKUP(A:A,'2023-2027'!A:G,1,+FALSE)</f>
        <v>#N/A</v>
      </c>
      <c r="BG186" s="7" t="e">
        <f t="shared" si="74"/>
        <v>#N/A</v>
      </c>
      <c r="BH186" s="35"/>
    </row>
    <row r="187" spans="1:60" ht="12" hidden="1" customHeight="1" outlineLevel="1" x14ac:dyDescent="0.2">
      <c r="A187" s="59" t="s">
        <v>566</v>
      </c>
      <c r="B187" s="61" t="s">
        <v>25</v>
      </c>
      <c r="C187" s="61" t="s">
        <v>25</v>
      </c>
      <c r="D187" s="65" t="s">
        <v>567</v>
      </c>
      <c r="E187" s="59" t="s">
        <v>260</v>
      </c>
      <c r="F187" s="60">
        <v>34829.67</v>
      </c>
      <c r="G187" s="60">
        <v>34829.67</v>
      </c>
      <c r="H187" s="59"/>
      <c r="I187" s="59"/>
      <c r="J187" s="59"/>
      <c r="K187" s="60">
        <v>34829.67</v>
      </c>
      <c r="L187" s="60">
        <v>34829.67</v>
      </c>
      <c r="M187" s="59"/>
      <c r="N187" s="59"/>
      <c r="O187" s="59"/>
      <c r="P187" s="67"/>
      <c r="Q187" s="67"/>
      <c r="R187" s="61">
        <f t="shared" si="65"/>
        <v>0</v>
      </c>
      <c r="S187" s="60">
        <v>0</v>
      </c>
      <c r="T187" s="60">
        <v>0</v>
      </c>
      <c r="U187" s="60">
        <v>0</v>
      </c>
      <c r="V187" s="60">
        <v>0</v>
      </c>
      <c r="W187" s="60">
        <v>0</v>
      </c>
      <c r="X187" s="61">
        <f t="shared" si="66"/>
        <v>0</v>
      </c>
      <c r="Y187" s="60">
        <v>0</v>
      </c>
      <c r="Z187" s="60">
        <v>0</v>
      </c>
      <c r="AA187" s="60">
        <v>0</v>
      </c>
      <c r="AB187" s="60">
        <v>0</v>
      </c>
      <c r="AC187" s="60">
        <v>0</v>
      </c>
      <c r="AD187" s="60">
        <v>0</v>
      </c>
      <c r="AE187" s="61">
        <f t="shared" si="67"/>
        <v>0</v>
      </c>
      <c r="AF187" s="62">
        <f t="shared" si="92"/>
        <v>0</v>
      </c>
      <c r="AG187" s="62">
        <f t="shared" si="86"/>
        <v>0</v>
      </c>
      <c r="AH187" s="62">
        <f t="shared" si="71"/>
        <v>0</v>
      </c>
      <c r="AI187" s="63"/>
      <c r="AJ187" s="63"/>
      <c r="AK187" s="62"/>
      <c r="AL187" s="60">
        <v>0</v>
      </c>
      <c r="AM187" s="60">
        <v>0</v>
      </c>
      <c r="AN187" s="60">
        <v>0</v>
      </c>
      <c r="AO187" s="60">
        <v>0</v>
      </c>
      <c r="AP187" s="60">
        <v>0</v>
      </c>
      <c r="AQ187" s="60">
        <v>0</v>
      </c>
      <c r="AR187" s="61">
        <f t="shared" si="68"/>
        <v>0</v>
      </c>
      <c r="AS187" s="60">
        <v>0</v>
      </c>
      <c r="AT187" s="60">
        <v>0</v>
      </c>
      <c r="AU187" s="60">
        <v>0</v>
      </c>
      <c r="AV187" s="60">
        <v>0</v>
      </c>
      <c r="AW187" s="60">
        <v>0</v>
      </c>
      <c r="AX187" s="60">
        <v>0</v>
      </c>
      <c r="AY187" s="61">
        <f t="shared" si="69"/>
        <v>0</v>
      </c>
      <c r="AZ187" s="56">
        <f t="shared" si="64"/>
        <v>0</v>
      </c>
      <c r="BA187" s="62">
        <f t="shared" si="93"/>
        <v>0</v>
      </c>
      <c r="BB187" s="62">
        <f t="shared" si="70"/>
        <v>0</v>
      </c>
      <c r="BC187" s="62">
        <f t="shared" si="94"/>
        <v>0</v>
      </c>
      <c r="BD187" s="63"/>
      <c r="BE187" s="57"/>
      <c r="BF187" s="35" t="e">
        <f>VLOOKUP(A:A,'2023-2027'!A:G,1,+FALSE)</f>
        <v>#N/A</v>
      </c>
      <c r="BG187" s="7" t="e">
        <f t="shared" si="74"/>
        <v>#N/A</v>
      </c>
      <c r="BH187" s="35"/>
    </row>
    <row r="188" spans="1:60" ht="24" hidden="1" customHeight="1" outlineLevel="1" x14ac:dyDescent="0.2">
      <c r="A188" s="59" t="s">
        <v>2503</v>
      </c>
      <c r="B188" s="61" t="s">
        <v>25</v>
      </c>
      <c r="C188" s="61" t="s">
        <v>25</v>
      </c>
      <c r="D188" s="66" t="s">
        <v>568</v>
      </c>
      <c r="E188" s="59" t="s">
        <v>569</v>
      </c>
      <c r="F188" s="60">
        <v>69433.33</v>
      </c>
      <c r="G188" s="60">
        <v>26450.880000000001</v>
      </c>
      <c r="H188" s="60">
        <v>42982.45</v>
      </c>
      <c r="I188" s="59"/>
      <c r="J188" s="60">
        <v>9919.0499999999993</v>
      </c>
      <c r="K188" s="59"/>
      <c r="L188" s="59"/>
      <c r="M188" s="60">
        <v>69433.33</v>
      </c>
      <c r="N188" s="60">
        <v>36369.93</v>
      </c>
      <c r="O188" s="60">
        <v>33063.4</v>
      </c>
      <c r="P188" s="55"/>
      <c r="Q188" s="55"/>
      <c r="R188" s="61">
        <f t="shared" si="65"/>
        <v>826.58749999999998</v>
      </c>
      <c r="S188" s="60">
        <v>826.58749999999998</v>
      </c>
      <c r="T188" s="60">
        <v>826.58749999999998</v>
      </c>
      <c r="U188" s="60">
        <v>826.58749999999998</v>
      </c>
      <c r="V188" s="60">
        <v>826.58749999999998</v>
      </c>
      <c r="W188" s="60">
        <v>826.58749999999998</v>
      </c>
      <c r="X188" s="61">
        <f t="shared" si="66"/>
        <v>4959.5249999999996</v>
      </c>
      <c r="Y188" s="60">
        <v>826.58749999999998</v>
      </c>
      <c r="Z188" s="60">
        <v>826.58749999999998</v>
      </c>
      <c r="AA188" s="60">
        <v>826.58749999999998</v>
      </c>
      <c r="AB188" s="60">
        <v>826.58749999999998</v>
      </c>
      <c r="AC188" s="60">
        <v>826.58749999999998</v>
      </c>
      <c r="AD188" s="60">
        <v>826.58749999999998</v>
      </c>
      <c r="AE188" s="61">
        <f t="shared" si="67"/>
        <v>4959.5249999999996</v>
      </c>
      <c r="AF188" s="62">
        <f t="shared" si="92"/>
        <v>69433.33</v>
      </c>
      <c r="AG188" s="62">
        <f t="shared" si="86"/>
        <v>46288.980000000018</v>
      </c>
      <c r="AH188" s="62">
        <f t="shared" si="71"/>
        <v>23144.349999999984</v>
      </c>
      <c r="AI188" s="63"/>
      <c r="AJ188" s="63"/>
      <c r="AK188" s="62"/>
      <c r="AL188" s="60">
        <v>826.58749999999998</v>
      </c>
      <c r="AM188" s="60">
        <v>826.58749999999998</v>
      </c>
      <c r="AN188" s="60">
        <v>826.58749999999998</v>
      </c>
      <c r="AO188" s="60">
        <v>826.58749999999998</v>
      </c>
      <c r="AP188" s="60">
        <v>826.58749999999998</v>
      </c>
      <c r="AQ188" s="60">
        <v>826.58749999999998</v>
      </c>
      <c r="AR188" s="61">
        <f t="shared" si="68"/>
        <v>4959.5249999999996</v>
      </c>
      <c r="AS188" s="60">
        <v>826.58749999999998</v>
      </c>
      <c r="AT188" s="60">
        <v>826.58749999999998</v>
      </c>
      <c r="AU188" s="60">
        <v>826.58749999999998</v>
      </c>
      <c r="AV188" s="60">
        <v>826.58749999999998</v>
      </c>
      <c r="AW188" s="60">
        <v>826.58749999999998</v>
      </c>
      <c r="AX188" s="60">
        <v>826.58749999999998</v>
      </c>
      <c r="AY188" s="61">
        <f t="shared" si="69"/>
        <v>4959.5249999999996</v>
      </c>
      <c r="AZ188" s="56">
        <f t="shared" si="64"/>
        <v>9919.0499999999993</v>
      </c>
      <c r="BA188" s="62">
        <f t="shared" si="93"/>
        <v>69433.33</v>
      </c>
      <c r="BB188" s="62">
        <f t="shared" si="70"/>
        <v>56208.030000000035</v>
      </c>
      <c r="BC188" s="62">
        <f t="shared" si="94"/>
        <v>13225.299999999967</v>
      </c>
      <c r="BD188" s="63"/>
      <c r="BE188" s="57"/>
      <c r="BF188" s="35" t="str">
        <f>VLOOKUP(A:A,'2023-2027'!A:G,1,+FALSE)</f>
        <v>Компьютер в сборе: Intel Core i5 7400 (Soc-1151-v.2v Gigabyte Soc-1151H31M S2V/ DEEPCOOL THETA 21PWM)</v>
      </c>
      <c r="BG188" s="7" t="b">
        <f t="shared" si="74"/>
        <v>1</v>
      </c>
      <c r="BH188" s="35">
        <f>VLOOKUP(A:A,'2023-2027'!A:AT,43,+FALSE)</f>
        <v>0</v>
      </c>
    </row>
    <row r="189" spans="1:60" ht="24" hidden="1" customHeight="1" outlineLevel="1" x14ac:dyDescent="0.2">
      <c r="A189" s="59" t="s">
        <v>2503</v>
      </c>
      <c r="B189" s="61" t="s">
        <v>25</v>
      </c>
      <c r="C189" s="61" t="s">
        <v>25</v>
      </c>
      <c r="D189" s="66" t="s">
        <v>570</v>
      </c>
      <c r="E189" s="59" t="s">
        <v>569</v>
      </c>
      <c r="F189" s="60">
        <v>69433.33</v>
      </c>
      <c r="G189" s="60">
        <v>26450.880000000001</v>
      </c>
      <c r="H189" s="60">
        <v>42982.45</v>
      </c>
      <c r="I189" s="59"/>
      <c r="J189" s="60">
        <v>9919.0499999999993</v>
      </c>
      <c r="K189" s="59"/>
      <c r="L189" s="59"/>
      <c r="M189" s="60">
        <v>69433.33</v>
      </c>
      <c r="N189" s="60">
        <v>36369.93</v>
      </c>
      <c r="O189" s="60">
        <v>33063.4</v>
      </c>
      <c r="P189" s="55"/>
      <c r="Q189" s="55"/>
      <c r="R189" s="61">
        <f t="shared" si="65"/>
        <v>826.58749999999998</v>
      </c>
      <c r="S189" s="60">
        <v>826.58749999999998</v>
      </c>
      <c r="T189" s="60">
        <v>826.58749999999998</v>
      </c>
      <c r="U189" s="60">
        <v>826.58749999999998</v>
      </c>
      <c r="V189" s="60">
        <v>826.58749999999998</v>
      </c>
      <c r="W189" s="60">
        <v>826.58749999999998</v>
      </c>
      <c r="X189" s="61">
        <f t="shared" si="66"/>
        <v>4959.5249999999996</v>
      </c>
      <c r="Y189" s="60">
        <v>826.58749999999998</v>
      </c>
      <c r="Z189" s="60">
        <v>826.58749999999998</v>
      </c>
      <c r="AA189" s="60">
        <v>826.58749999999998</v>
      </c>
      <c r="AB189" s="60">
        <v>826.58749999999998</v>
      </c>
      <c r="AC189" s="60">
        <v>826.58749999999998</v>
      </c>
      <c r="AD189" s="60">
        <v>826.58749999999998</v>
      </c>
      <c r="AE189" s="61">
        <f t="shared" si="67"/>
        <v>4959.5249999999996</v>
      </c>
      <c r="AF189" s="62">
        <f t="shared" si="92"/>
        <v>69433.33</v>
      </c>
      <c r="AG189" s="62">
        <f t="shared" si="86"/>
        <v>46288.980000000018</v>
      </c>
      <c r="AH189" s="62">
        <f t="shared" si="71"/>
        <v>23144.349999999984</v>
      </c>
      <c r="AI189" s="63"/>
      <c r="AJ189" s="63"/>
      <c r="AK189" s="62"/>
      <c r="AL189" s="60">
        <v>826.58749999999998</v>
      </c>
      <c r="AM189" s="60">
        <v>826.58749999999998</v>
      </c>
      <c r="AN189" s="60">
        <v>826.58749999999998</v>
      </c>
      <c r="AO189" s="60">
        <v>826.58749999999998</v>
      </c>
      <c r="AP189" s="60">
        <v>826.58749999999998</v>
      </c>
      <c r="AQ189" s="60">
        <v>826.58749999999998</v>
      </c>
      <c r="AR189" s="61">
        <f t="shared" si="68"/>
        <v>4959.5249999999996</v>
      </c>
      <c r="AS189" s="60">
        <v>826.58749999999998</v>
      </c>
      <c r="AT189" s="60">
        <v>826.58749999999998</v>
      </c>
      <c r="AU189" s="60">
        <v>826.58749999999998</v>
      </c>
      <c r="AV189" s="60">
        <v>826.58749999999998</v>
      </c>
      <c r="AW189" s="60">
        <v>826.58749999999998</v>
      </c>
      <c r="AX189" s="60">
        <v>826.58749999999998</v>
      </c>
      <c r="AY189" s="61">
        <f t="shared" si="69"/>
        <v>4959.5249999999996</v>
      </c>
      <c r="AZ189" s="56">
        <f t="shared" si="64"/>
        <v>9919.0499999999993</v>
      </c>
      <c r="BA189" s="62">
        <f t="shared" si="93"/>
        <v>69433.33</v>
      </c>
      <c r="BB189" s="62">
        <f t="shared" si="70"/>
        <v>56208.030000000035</v>
      </c>
      <c r="BC189" s="62">
        <f t="shared" si="94"/>
        <v>13225.299999999967</v>
      </c>
      <c r="BD189" s="63"/>
      <c r="BE189" s="57"/>
      <c r="BF189" s="35" t="str">
        <f>VLOOKUP(A:A,'2023-2027'!A:G,1,+FALSE)</f>
        <v>Компьютер в сборе: Intel Core i5 7400 (Soc-1151-v.2v Gigabyte Soc-1151H31M S2V/ DEEPCOOL THETA 21PWM)</v>
      </c>
      <c r="BG189" s="7" t="b">
        <f t="shared" si="74"/>
        <v>1</v>
      </c>
      <c r="BH189" s="35">
        <f>VLOOKUP(A:A,'2023-2027'!A:AT,43,+FALSE)</f>
        <v>0</v>
      </c>
    </row>
    <row r="190" spans="1:60" ht="24" hidden="1" customHeight="1" outlineLevel="1" x14ac:dyDescent="0.2">
      <c r="A190" s="59" t="s">
        <v>2503</v>
      </c>
      <c r="B190" s="61" t="s">
        <v>25</v>
      </c>
      <c r="C190" s="61" t="s">
        <v>25</v>
      </c>
      <c r="D190" s="66" t="s">
        <v>571</v>
      </c>
      <c r="E190" s="59" t="s">
        <v>569</v>
      </c>
      <c r="F190" s="60">
        <v>69433.33</v>
      </c>
      <c r="G190" s="60">
        <v>26450.880000000001</v>
      </c>
      <c r="H190" s="60">
        <v>42982.45</v>
      </c>
      <c r="I190" s="59"/>
      <c r="J190" s="60">
        <v>9919.0499999999993</v>
      </c>
      <c r="K190" s="59"/>
      <c r="L190" s="59"/>
      <c r="M190" s="60">
        <v>69433.33</v>
      </c>
      <c r="N190" s="60">
        <v>36369.93</v>
      </c>
      <c r="O190" s="60">
        <v>33063.4</v>
      </c>
      <c r="P190" s="55"/>
      <c r="Q190" s="55"/>
      <c r="R190" s="61">
        <f t="shared" si="65"/>
        <v>826.58749999999998</v>
      </c>
      <c r="S190" s="60">
        <v>826.58749999999998</v>
      </c>
      <c r="T190" s="60">
        <v>826.58749999999998</v>
      </c>
      <c r="U190" s="60">
        <v>826.58749999999998</v>
      </c>
      <c r="V190" s="60">
        <v>826.58749999999998</v>
      </c>
      <c r="W190" s="60">
        <v>826.58749999999998</v>
      </c>
      <c r="X190" s="61">
        <f t="shared" si="66"/>
        <v>4959.5249999999996</v>
      </c>
      <c r="Y190" s="60">
        <v>826.58749999999998</v>
      </c>
      <c r="Z190" s="60">
        <v>826.58749999999998</v>
      </c>
      <c r="AA190" s="60">
        <v>826.58749999999998</v>
      </c>
      <c r="AB190" s="60">
        <v>826.58749999999998</v>
      </c>
      <c r="AC190" s="60">
        <v>826.58749999999998</v>
      </c>
      <c r="AD190" s="60">
        <v>826.58749999999998</v>
      </c>
      <c r="AE190" s="61">
        <f t="shared" si="67"/>
        <v>4959.5249999999996</v>
      </c>
      <c r="AF190" s="62">
        <f t="shared" si="92"/>
        <v>69433.33</v>
      </c>
      <c r="AG190" s="62">
        <f t="shared" si="86"/>
        <v>46288.980000000018</v>
      </c>
      <c r="AH190" s="62">
        <f t="shared" si="71"/>
        <v>23144.349999999984</v>
      </c>
      <c r="AI190" s="63"/>
      <c r="AJ190" s="63"/>
      <c r="AK190" s="62"/>
      <c r="AL190" s="60">
        <v>826.58749999999998</v>
      </c>
      <c r="AM190" s="60">
        <v>826.58749999999998</v>
      </c>
      <c r="AN190" s="60">
        <v>826.58749999999998</v>
      </c>
      <c r="AO190" s="60">
        <v>826.58749999999998</v>
      </c>
      <c r="AP190" s="60">
        <v>826.58749999999998</v>
      </c>
      <c r="AQ190" s="60">
        <v>826.58749999999998</v>
      </c>
      <c r="AR190" s="61">
        <f t="shared" si="68"/>
        <v>4959.5249999999996</v>
      </c>
      <c r="AS190" s="60">
        <v>826.58749999999998</v>
      </c>
      <c r="AT190" s="60">
        <v>826.58749999999998</v>
      </c>
      <c r="AU190" s="60">
        <v>826.58749999999998</v>
      </c>
      <c r="AV190" s="60">
        <v>826.58749999999998</v>
      </c>
      <c r="AW190" s="60">
        <v>826.58749999999998</v>
      </c>
      <c r="AX190" s="60">
        <v>826.58749999999998</v>
      </c>
      <c r="AY190" s="61">
        <f t="shared" si="69"/>
        <v>4959.5249999999996</v>
      </c>
      <c r="AZ190" s="56">
        <f t="shared" si="64"/>
        <v>9919.0499999999993</v>
      </c>
      <c r="BA190" s="62">
        <f t="shared" si="93"/>
        <v>69433.33</v>
      </c>
      <c r="BB190" s="62">
        <f t="shared" si="70"/>
        <v>56208.030000000035</v>
      </c>
      <c r="BC190" s="62">
        <f t="shared" si="94"/>
        <v>13225.299999999967</v>
      </c>
      <c r="BD190" s="63"/>
      <c r="BE190" s="57"/>
      <c r="BF190" s="35" t="str">
        <f>VLOOKUP(A:A,'2023-2027'!A:G,1,+FALSE)</f>
        <v>Компьютер в сборе: Intel Core i5 7400 (Soc-1151-v.2v Gigabyte Soc-1151H31M S2V/ DEEPCOOL THETA 21PWM)</v>
      </c>
      <c r="BG190" s="7" t="b">
        <f t="shared" si="74"/>
        <v>1</v>
      </c>
      <c r="BH190" s="35">
        <f>VLOOKUP(A:A,'2023-2027'!A:AT,43,+FALSE)</f>
        <v>0</v>
      </c>
    </row>
    <row r="191" spans="1:60" ht="24" hidden="1" customHeight="1" outlineLevel="1" x14ac:dyDescent="0.2">
      <c r="A191" s="59" t="s">
        <v>2503</v>
      </c>
      <c r="B191" s="61" t="s">
        <v>25</v>
      </c>
      <c r="C191" s="61" t="s">
        <v>25</v>
      </c>
      <c r="D191" s="66" t="s">
        <v>572</v>
      </c>
      <c r="E191" s="59" t="s">
        <v>569</v>
      </c>
      <c r="F191" s="60">
        <v>69433.34</v>
      </c>
      <c r="G191" s="60">
        <v>26450.880000000001</v>
      </c>
      <c r="H191" s="60">
        <v>42982.46</v>
      </c>
      <c r="I191" s="59"/>
      <c r="J191" s="60">
        <v>9919.06</v>
      </c>
      <c r="K191" s="59"/>
      <c r="L191" s="59"/>
      <c r="M191" s="60">
        <v>69433.34</v>
      </c>
      <c r="N191" s="60">
        <v>36369.94</v>
      </c>
      <c r="O191" s="60">
        <v>33063.4</v>
      </c>
      <c r="P191" s="55"/>
      <c r="Q191" s="55"/>
      <c r="R191" s="61">
        <f t="shared" si="65"/>
        <v>826.58833333333325</v>
      </c>
      <c r="S191" s="60">
        <v>826.58833330000004</v>
      </c>
      <c r="T191" s="60">
        <v>826.58833330000004</v>
      </c>
      <c r="U191" s="60">
        <v>826.58833330000004</v>
      </c>
      <c r="V191" s="60">
        <v>826.58833330000004</v>
      </c>
      <c r="W191" s="60">
        <v>826.58833330000004</v>
      </c>
      <c r="X191" s="61">
        <f t="shared" si="66"/>
        <v>4959.5299998333339</v>
      </c>
      <c r="Y191" s="60">
        <v>826.58833330000004</v>
      </c>
      <c r="Z191" s="60">
        <v>826.58833330000004</v>
      </c>
      <c r="AA191" s="60">
        <v>826.58833330000004</v>
      </c>
      <c r="AB191" s="60">
        <v>826.58833330000004</v>
      </c>
      <c r="AC191" s="60">
        <v>826.58833330000004</v>
      </c>
      <c r="AD191" s="60">
        <v>826.58833330000004</v>
      </c>
      <c r="AE191" s="61">
        <f t="shared" si="67"/>
        <v>4959.5299998</v>
      </c>
      <c r="AF191" s="62">
        <f t="shared" si="92"/>
        <v>69433.34</v>
      </c>
      <c r="AG191" s="62">
        <f t="shared" si="86"/>
        <v>46288.999999633357</v>
      </c>
      <c r="AH191" s="62">
        <f t="shared" si="71"/>
        <v>23144.340000366639</v>
      </c>
      <c r="AI191" s="63"/>
      <c r="AJ191" s="63"/>
      <c r="AK191" s="62"/>
      <c r="AL191" s="60">
        <v>826.58833330000004</v>
      </c>
      <c r="AM191" s="60">
        <v>826.58833330000004</v>
      </c>
      <c r="AN191" s="60">
        <v>826.58833330000004</v>
      </c>
      <c r="AO191" s="60">
        <v>826.58833330000004</v>
      </c>
      <c r="AP191" s="60">
        <v>826.58833330000004</v>
      </c>
      <c r="AQ191" s="60">
        <v>826.58833330000004</v>
      </c>
      <c r="AR191" s="61">
        <f t="shared" si="68"/>
        <v>4959.5299998</v>
      </c>
      <c r="AS191" s="60">
        <v>826.58833330000004</v>
      </c>
      <c r="AT191" s="60">
        <v>826.58833330000004</v>
      </c>
      <c r="AU191" s="60">
        <v>826.58833330000004</v>
      </c>
      <c r="AV191" s="60">
        <v>826.58833330000004</v>
      </c>
      <c r="AW191" s="60">
        <v>826.58833330000004</v>
      </c>
      <c r="AX191" s="60">
        <v>826.58833330000004</v>
      </c>
      <c r="AY191" s="61">
        <f t="shared" si="69"/>
        <v>4959.5299998</v>
      </c>
      <c r="AZ191" s="56">
        <f t="shared" si="64"/>
        <v>9919.0599996000001</v>
      </c>
      <c r="BA191" s="62">
        <f t="shared" si="93"/>
        <v>69433.34</v>
      </c>
      <c r="BB191" s="62">
        <f t="shared" si="70"/>
        <v>56208.059999233381</v>
      </c>
      <c r="BC191" s="62">
        <f t="shared" si="94"/>
        <v>13225.280000766616</v>
      </c>
      <c r="BD191" s="63"/>
      <c r="BE191" s="57"/>
      <c r="BF191" s="35" t="str">
        <f>VLOOKUP(A:A,'2023-2027'!A:G,1,+FALSE)</f>
        <v>Компьютер в сборе: Intel Core i5 7400 (Soc-1151-v.2v Gigabyte Soc-1151H31M S2V/ DEEPCOOL THETA 21PWM)</v>
      </c>
      <c r="BG191" s="7" t="b">
        <f t="shared" si="74"/>
        <v>1</v>
      </c>
      <c r="BH191" s="35">
        <f>VLOOKUP(A:A,'2023-2027'!A:AT,43,+FALSE)</f>
        <v>0</v>
      </c>
    </row>
    <row r="192" spans="1:60" ht="12" hidden="1" customHeight="1" outlineLevel="1" x14ac:dyDescent="0.2">
      <c r="A192" s="59" t="s">
        <v>573</v>
      </c>
      <c r="B192" s="61" t="s">
        <v>25</v>
      </c>
      <c r="C192" s="61" t="s">
        <v>25</v>
      </c>
      <c r="D192" s="65" t="s">
        <v>574</v>
      </c>
      <c r="E192" s="59" t="s">
        <v>575</v>
      </c>
      <c r="F192" s="60">
        <v>17750</v>
      </c>
      <c r="G192" s="60">
        <v>17750</v>
      </c>
      <c r="H192" s="59"/>
      <c r="I192" s="59"/>
      <c r="J192" s="59"/>
      <c r="K192" s="60">
        <v>17750</v>
      </c>
      <c r="L192" s="60">
        <v>17750</v>
      </c>
      <c r="M192" s="59"/>
      <c r="N192" s="59"/>
      <c r="O192" s="59"/>
      <c r="P192" s="67"/>
      <c r="Q192" s="67"/>
      <c r="R192" s="61">
        <f t="shared" si="65"/>
        <v>0</v>
      </c>
      <c r="S192" s="60">
        <v>0</v>
      </c>
      <c r="T192" s="60">
        <v>0</v>
      </c>
      <c r="U192" s="60">
        <v>0</v>
      </c>
      <c r="V192" s="60">
        <v>0</v>
      </c>
      <c r="W192" s="60">
        <v>0</v>
      </c>
      <c r="X192" s="61">
        <f t="shared" si="66"/>
        <v>0</v>
      </c>
      <c r="Y192" s="60">
        <v>0</v>
      </c>
      <c r="Z192" s="60">
        <v>0</v>
      </c>
      <c r="AA192" s="60">
        <v>0</v>
      </c>
      <c r="AB192" s="60">
        <v>0</v>
      </c>
      <c r="AC192" s="60">
        <v>0</v>
      </c>
      <c r="AD192" s="60">
        <v>0</v>
      </c>
      <c r="AE192" s="61">
        <f t="shared" si="67"/>
        <v>0</v>
      </c>
      <c r="AF192" s="62">
        <f t="shared" si="92"/>
        <v>0</v>
      </c>
      <c r="AG192" s="62">
        <f t="shared" si="86"/>
        <v>0</v>
      </c>
      <c r="AH192" s="62">
        <f t="shared" si="71"/>
        <v>0</v>
      </c>
      <c r="AI192" s="63"/>
      <c r="AJ192" s="63"/>
      <c r="AK192" s="62"/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0</v>
      </c>
      <c r="AR192" s="61">
        <f t="shared" si="68"/>
        <v>0</v>
      </c>
      <c r="AS192" s="60">
        <v>0</v>
      </c>
      <c r="AT192" s="60">
        <v>0</v>
      </c>
      <c r="AU192" s="60">
        <v>0</v>
      </c>
      <c r="AV192" s="60">
        <v>0</v>
      </c>
      <c r="AW192" s="60">
        <v>0</v>
      </c>
      <c r="AX192" s="60">
        <v>0</v>
      </c>
      <c r="AY192" s="61">
        <f t="shared" si="69"/>
        <v>0</v>
      </c>
      <c r="AZ192" s="56">
        <f t="shared" si="64"/>
        <v>0</v>
      </c>
      <c r="BA192" s="62">
        <f t="shared" si="93"/>
        <v>0</v>
      </c>
      <c r="BB192" s="62">
        <f t="shared" si="70"/>
        <v>0</v>
      </c>
      <c r="BC192" s="62">
        <f t="shared" si="94"/>
        <v>0</v>
      </c>
      <c r="BD192" s="63"/>
      <c r="BE192" s="57"/>
      <c r="BF192" s="35" t="e">
        <f>VLOOKUP(A:A,'2023-2027'!A:G,1,+FALSE)</f>
        <v>#N/A</v>
      </c>
      <c r="BG192" s="7" t="e">
        <f t="shared" si="74"/>
        <v>#N/A</v>
      </c>
      <c r="BH192" s="35"/>
    </row>
    <row r="193" spans="1:60" ht="24" hidden="1" customHeight="1" outlineLevel="1" x14ac:dyDescent="0.2">
      <c r="A193" s="59" t="s">
        <v>576</v>
      </c>
      <c r="B193" s="61" t="s">
        <v>25</v>
      </c>
      <c r="C193" s="61" t="s">
        <v>25</v>
      </c>
      <c r="D193" s="65" t="s">
        <v>577</v>
      </c>
      <c r="E193" s="59" t="s">
        <v>578</v>
      </c>
      <c r="F193" s="60">
        <v>27330.51</v>
      </c>
      <c r="G193" s="60">
        <v>27330.51</v>
      </c>
      <c r="H193" s="59"/>
      <c r="I193" s="59"/>
      <c r="J193" s="59"/>
      <c r="K193" s="60">
        <v>27330.51</v>
      </c>
      <c r="L193" s="60">
        <v>27330.51</v>
      </c>
      <c r="M193" s="59"/>
      <c r="N193" s="59"/>
      <c r="O193" s="59"/>
      <c r="P193" s="67"/>
      <c r="Q193" s="67"/>
      <c r="R193" s="61">
        <f t="shared" si="65"/>
        <v>0</v>
      </c>
      <c r="S193" s="60">
        <v>0</v>
      </c>
      <c r="T193" s="60">
        <v>0</v>
      </c>
      <c r="U193" s="60">
        <v>0</v>
      </c>
      <c r="V193" s="60">
        <v>0</v>
      </c>
      <c r="W193" s="60">
        <v>0</v>
      </c>
      <c r="X193" s="61">
        <f t="shared" si="66"/>
        <v>0</v>
      </c>
      <c r="Y193" s="60">
        <v>0</v>
      </c>
      <c r="Z193" s="60">
        <v>0</v>
      </c>
      <c r="AA193" s="60">
        <v>0</v>
      </c>
      <c r="AB193" s="60">
        <v>0</v>
      </c>
      <c r="AC193" s="60">
        <v>0</v>
      </c>
      <c r="AD193" s="60">
        <v>0</v>
      </c>
      <c r="AE193" s="61">
        <f t="shared" si="67"/>
        <v>0</v>
      </c>
      <c r="AF193" s="62">
        <f t="shared" si="92"/>
        <v>0</v>
      </c>
      <c r="AG193" s="62">
        <f t="shared" si="86"/>
        <v>0</v>
      </c>
      <c r="AH193" s="62">
        <f t="shared" si="71"/>
        <v>0</v>
      </c>
      <c r="AI193" s="63"/>
      <c r="AJ193" s="63"/>
      <c r="AK193" s="62"/>
      <c r="AL193" s="60">
        <v>0</v>
      </c>
      <c r="AM193" s="60">
        <v>0</v>
      </c>
      <c r="AN193" s="60">
        <v>0</v>
      </c>
      <c r="AO193" s="60">
        <v>0</v>
      </c>
      <c r="AP193" s="60">
        <v>0</v>
      </c>
      <c r="AQ193" s="60">
        <v>0</v>
      </c>
      <c r="AR193" s="61">
        <f t="shared" si="68"/>
        <v>0</v>
      </c>
      <c r="AS193" s="60">
        <v>0</v>
      </c>
      <c r="AT193" s="60">
        <v>0</v>
      </c>
      <c r="AU193" s="60">
        <v>0</v>
      </c>
      <c r="AV193" s="60">
        <v>0</v>
      </c>
      <c r="AW193" s="60">
        <v>0</v>
      </c>
      <c r="AX193" s="60">
        <v>0</v>
      </c>
      <c r="AY193" s="61">
        <f t="shared" si="69"/>
        <v>0</v>
      </c>
      <c r="AZ193" s="56">
        <f t="shared" si="64"/>
        <v>0</v>
      </c>
      <c r="BA193" s="62">
        <f t="shared" si="93"/>
        <v>0</v>
      </c>
      <c r="BB193" s="62">
        <f t="shared" si="70"/>
        <v>0</v>
      </c>
      <c r="BC193" s="62">
        <f t="shared" si="94"/>
        <v>0</v>
      </c>
      <c r="BD193" s="63"/>
      <c r="BE193" s="57"/>
      <c r="BF193" s="35" t="e">
        <f>VLOOKUP(A:A,'2023-2027'!A:G,1,+FALSE)</f>
        <v>#N/A</v>
      </c>
      <c r="BG193" s="7" t="e">
        <f t="shared" si="74"/>
        <v>#N/A</v>
      </c>
      <c r="BH193" s="35"/>
    </row>
    <row r="194" spans="1:60" ht="24" hidden="1" customHeight="1" outlineLevel="1" x14ac:dyDescent="0.2">
      <c r="A194" s="59" t="s">
        <v>579</v>
      </c>
      <c r="B194" s="61" t="s">
        <v>25</v>
      </c>
      <c r="C194" s="61" t="s">
        <v>25</v>
      </c>
      <c r="D194" s="65" t="s">
        <v>580</v>
      </c>
      <c r="E194" s="59" t="s">
        <v>578</v>
      </c>
      <c r="F194" s="60">
        <v>27330.51</v>
      </c>
      <c r="G194" s="60">
        <v>27330.51</v>
      </c>
      <c r="H194" s="59"/>
      <c r="I194" s="59"/>
      <c r="J194" s="59"/>
      <c r="K194" s="60">
        <v>27330.51</v>
      </c>
      <c r="L194" s="60">
        <v>27330.51</v>
      </c>
      <c r="M194" s="59"/>
      <c r="N194" s="59"/>
      <c r="O194" s="59"/>
      <c r="P194" s="67"/>
      <c r="Q194" s="67"/>
      <c r="R194" s="61">
        <f t="shared" si="65"/>
        <v>0</v>
      </c>
      <c r="S194" s="60">
        <v>0</v>
      </c>
      <c r="T194" s="60">
        <v>0</v>
      </c>
      <c r="U194" s="60">
        <v>0</v>
      </c>
      <c r="V194" s="60">
        <v>0</v>
      </c>
      <c r="W194" s="60">
        <v>0</v>
      </c>
      <c r="X194" s="61">
        <f t="shared" si="66"/>
        <v>0</v>
      </c>
      <c r="Y194" s="60">
        <v>0</v>
      </c>
      <c r="Z194" s="60">
        <v>0</v>
      </c>
      <c r="AA194" s="60">
        <v>0</v>
      </c>
      <c r="AB194" s="60">
        <v>0</v>
      </c>
      <c r="AC194" s="60">
        <v>0</v>
      </c>
      <c r="AD194" s="60">
        <v>0</v>
      </c>
      <c r="AE194" s="61">
        <f t="shared" si="67"/>
        <v>0</v>
      </c>
      <c r="AF194" s="62">
        <f t="shared" si="92"/>
        <v>0</v>
      </c>
      <c r="AG194" s="62">
        <f t="shared" si="86"/>
        <v>0</v>
      </c>
      <c r="AH194" s="62">
        <f t="shared" si="71"/>
        <v>0</v>
      </c>
      <c r="AI194" s="63"/>
      <c r="AJ194" s="63"/>
      <c r="AK194" s="62"/>
      <c r="AL194" s="60">
        <v>0</v>
      </c>
      <c r="AM194" s="60">
        <v>0</v>
      </c>
      <c r="AN194" s="60">
        <v>0</v>
      </c>
      <c r="AO194" s="60">
        <v>0</v>
      </c>
      <c r="AP194" s="60">
        <v>0</v>
      </c>
      <c r="AQ194" s="60">
        <v>0</v>
      </c>
      <c r="AR194" s="61">
        <f t="shared" si="68"/>
        <v>0</v>
      </c>
      <c r="AS194" s="60">
        <v>0</v>
      </c>
      <c r="AT194" s="60">
        <v>0</v>
      </c>
      <c r="AU194" s="60">
        <v>0</v>
      </c>
      <c r="AV194" s="60">
        <v>0</v>
      </c>
      <c r="AW194" s="60">
        <v>0</v>
      </c>
      <c r="AX194" s="60">
        <v>0</v>
      </c>
      <c r="AY194" s="61">
        <f t="shared" si="69"/>
        <v>0</v>
      </c>
      <c r="AZ194" s="56">
        <f t="shared" si="64"/>
        <v>0</v>
      </c>
      <c r="BA194" s="62">
        <f t="shared" si="93"/>
        <v>0</v>
      </c>
      <c r="BB194" s="62">
        <f t="shared" si="70"/>
        <v>0</v>
      </c>
      <c r="BC194" s="62">
        <f t="shared" si="94"/>
        <v>0</v>
      </c>
      <c r="BD194" s="63"/>
      <c r="BE194" s="57"/>
      <c r="BF194" s="35" t="e">
        <f>VLOOKUP(A:A,'2023-2027'!A:G,1,+FALSE)</f>
        <v>#N/A</v>
      </c>
      <c r="BG194" s="7" t="e">
        <f t="shared" si="74"/>
        <v>#N/A</v>
      </c>
      <c r="BH194" s="35"/>
    </row>
    <row r="195" spans="1:60" ht="24" hidden="1" customHeight="1" outlineLevel="1" x14ac:dyDescent="0.2">
      <c r="A195" s="59" t="s">
        <v>579</v>
      </c>
      <c r="B195" s="61" t="s">
        <v>25</v>
      </c>
      <c r="C195" s="61" t="s">
        <v>25</v>
      </c>
      <c r="D195" s="65" t="s">
        <v>581</v>
      </c>
      <c r="E195" s="59" t="s">
        <v>578</v>
      </c>
      <c r="F195" s="60">
        <v>27330.51</v>
      </c>
      <c r="G195" s="60">
        <v>27330.51</v>
      </c>
      <c r="H195" s="59"/>
      <c r="I195" s="59"/>
      <c r="J195" s="59"/>
      <c r="K195" s="60">
        <v>27330.51</v>
      </c>
      <c r="L195" s="60">
        <v>27330.51</v>
      </c>
      <c r="M195" s="59"/>
      <c r="N195" s="59"/>
      <c r="O195" s="59"/>
      <c r="P195" s="67"/>
      <c r="Q195" s="67"/>
      <c r="R195" s="61">
        <f t="shared" si="65"/>
        <v>0</v>
      </c>
      <c r="S195" s="60">
        <v>0</v>
      </c>
      <c r="T195" s="60">
        <v>0</v>
      </c>
      <c r="U195" s="60">
        <v>0</v>
      </c>
      <c r="V195" s="60">
        <v>0</v>
      </c>
      <c r="W195" s="60">
        <v>0</v>
      </c>
      <c r="X195" s="61">
        <f t="shared" si="66"/>
        <v>0</v>
      </c>
      <c r="Y195" s="60">
        <v>0</v>
      </c>
      <c r="Z195" s="60">
        <v>0</v>
      </c>
      <c r="AA195" s="60">
        <v>0</v>
      </c>
      <c r="AB195" s="60">
        <v>0</v>
      </c>
      <c r="AC195" s="60">
        <v>0</v>
      </c>
      <c r="AD195" s="60">
        <v>0</v>
      </c>
      <c r="AE195" s="61">
        <f t="shared" si="67"/>
        <v>0</v>
      </c>
      <c r="AF195" s="62">
        <f t="shared" si="92"/>
        <v>0</v>
      </c>
      <c r="AG195" s="62">
        <f t="shared" si="86"/>
        <v>0</v>
      </c>
      <c r="AH195" s="62">
        <f t="shared" si="71"/>
        <v>0</v>
      </c>
      <c r="AI195" s="63"/>
      <c r="AJ195" s="63"/>
      <c r="AK195" s="62"/>
      <c r="AL195" s="60">
        <v>0</v>
      </c>
      <c r="AM195" s="60">
        <v>0</v>
      </c>
      <c r="AN195" s="60">
        <v>0</v>
      </c>
      <c r="AO195" s="60">
        <v>0</v>
      </c>
      <c r="AP195" s="60">
        <v>0</v>
      </c>
      <c r="AQ195" s="60">
        <v>0</v>
      </c>
      <c r="AR195" s="61">
        <f t="shared" si="68"/>
        <v>0</v>
      </c>
      <c r="AS195" s="60">
        <v>0</v>
      </c>
      <c r="AT195" s="60">
        <v>0</v>
      </c>
      <c r="AU195" s="60">
        <v>0</v>
      </c>
      <c r="AV195" s="60">
        <v>0</v>
      </c>
      <c r="AW195" s="60">
        <v>0</v>
      </c>
      <c r="AX195" s="60">
        <v>0</v>
      </c>
      <c r="AY195" s="61">
        <f t="shared" si="69"/>
        <v>0</v>
      </c>
      <c r="AZ195" s="56">
        <f t="shared" si="64"/>
        <v>0</v>
      </c>
      <c r="BA195" s="62">
        <f t="shared" si="93"/>
        <v>0</v>
      </c>
      <c r="BB195" s="62">
        <f t="shared" si="70"/>
        <v>0</v>
      </c>
      <c r="BC195" s="62">
        <f t="shared" si="94"/>
        <v>0</v>
      </c>
      <c r="BD195" s="63"/>
      <c r="BE195" s="57"/>
      <c r="BF195" s="35" t="e">
        <f>VLOOKUP(A:A,'2023-2027'!A:G,1,+FALSE)</f>
        <v>#N/A</v>
      </c>
      <c r="BG195" s="7" t="e">
        <f t="shared" si="74"/>
        <v>#N/A</v>
      </c>
      <c r="BH195" s="35"/>
    </row>
    <row r="196" spans="1:60" ht="12" hidden="1" customHeight="1" outlineLevel="1" x14ac:dyDescent="0.2">
      <c r="A196" s="59" t="s">
        <v>582</v>
      </c>
      <c r="B196" s="61" t="s">
        <v>25</v>
      </c>
      <c r="C196" s="61" t="s">
        <v>25</v>
      </c>
      <c r="D196" s="65" t="s">
        <v>583</v>
      </c>
      <c r="E196" s="59" t="s">
        <v>584</v>
      </c>
      <c r="F196" s="60">
        <v>29788.12</v>
      </c>
      <c r="G196" s="60">
        <v>29788.12</v>
      </c>
      <c r="H196" s="59"/>
      <c r="I196" s="59"/>
      <c r="J196" s="59"/>
      <c r="K196" s="60">
        <v>29788.12</v>
      </c>
      <c r="L196" s="60">
        <v>29788.12</v>
      </c>
      <c r="M196" s="59"/>
      <c r="N196" s="59"/>
      <c r="O196" s="59"/>
      <c r="P196" s="67"/>
      <c r="Q196" s="67"/>
      <c r="R196" s="61">
        <f t="shared" si="65"/>
        <v>0</v>
      </c>
      <c r="S196" s="60">
        <v>0</v>
      </c>
      <c r="T196" s="60">
        <v>0</v>
      </c>
      <c r="U196" s="60">
        <v>0</v>
      </c>
      <c r="V196" s="60">
        <v>0</v>
      </c>
      <c r="W196" s="60">
        <v>0</v>
      </c>
      <c r="X196" s="61">
        <f t="shared" si="66"/>
        <v>0</v>
      </c>
      <c r="Y196" s="60">
        <v>0</v>
      </c>
      <c r="Z196" s="60">
        <v>0</v>
      </c>
      <c r="AA196" s="60">
        <v>0</v>
      </c>
      <c r="AB196" s="60">
        <v>0</v>
      </c>
      <c r="AC196" s="60">
        <v>0</v>
      </c>
      <c r="AD196" s="60">
        <v>0</v>
      </c>
      <c r="AE196" s="61">
        <f t="shared" si="67"/>
        <v>0</v>
      </c>
      <c r="AF196" s="62">
        <f t="shared" si="92"/>
        <v>0</v>
      </c>
      <c r="AG196" s="62">
        <f t="shared" si="86"/>
        <v>0</v>
      </c>
      <c r="AH196" s="62">
        <f t="shared" si="71"/>
        <v>0</v>
      </c>
      <c r="AI196" s="63"/>
      <c r="AJ196" s="63"/>
      <c r="AK196" s="62"/>
      <c r="AL196" s="60">
        <v>0</v>
      </c>
      <c r="AM196" s="60">
        <v>0</v>
      </c>
      <c r="AN196" s="60">
        <v>0</v>
      </c>
      <c r="AO196" s="60">
        <v>0</v>
      </c>
      <c r="AP196" s="60">
        <v>0</v>
      </c>
      <c r="AQ196" s="60">
        <v>0</v>
      </c>
      <c r="AR196" s="61">
        <f t="shared" si="68"/>
        <v>0</v>
      </c>
      <c r="AS196" s="60">
        <v>0</v>
      </c>
      <c r="AT196" s="60">
        <v>0</v>
      </c>
      <c r="AU196" s="60">
        <v>0</v>
      </c>
      <c r="AV196" s="60">
        <v>0</v>
      </c>
      <c r="AW196" s="60">
        <v>0</v>
      </c>
      <c r="AX196" s="60">
        <v>0</v>
      </c>
      <c r="AY196" s="61">
        <f t="shared" si="69"/>
        <v>0</v>
      </c>
      <c r="AZ196" s="56">
        <f t="shared" si="64"/>
        <v>0</v>
      </c>
      <c r="BA196" s="62">
        <f t="shared" si="93"/>
        <v>0</v>
      </c>
      <c r="BB196" s="62">
        <f t="shared" si="70"/>
        <v>0</v>
      </c>
      <c r="BC196" s="62">
        <f t="shared" si="94"/>
        <v>0</v>
      </c>
      <c r="BD196" s="63"/>
      <c r="BE196" s="57"/>
      <c r="BF196" s="35" t="e">
        <f>VLOOKUP(A:A,'2023-2027'!A:G,1,+FALSE)</f>
        <v>#N/A</v>
      </c>
      <c r="BG196" s="7" t="e">
        <f t="shared" si="74"/>
        <v>#N/A</v>
      </c>
      <c r="BH196" s="35"/>
    </row>
    <row r="197" spans="1:60" ht="12" hidden="1" customHeight="1" outlineLevel="1" x14ac:dyDescent="0.2">
      <c r="A197" s="59" t="s">
        <v>585</v>
      </c>
      <c r="B197" s="61" t="s">
        <v>25</v>
      </c>
      <c r="C197" s="61" t="s">
        <v>25</v>
      </c>
      <c r="D197" s="66" t="s">
        <v>586</v>
      </c>
      <c r="E197" s="59" t="s">
        <v>587</v>
      </c>
      <c r="F197" s="60">
        <v>50847.46</v>
      </c>
      <c r="G197" s="60">
        <v>29378.959999999999</v>
      </c>
      <c r="H197" s="60">
        <v>21468.5</v>
      </c>
      <c r="I197" s="59"/>
      <c r="J197" s="60">
        <v>3389.76</v>
      </c>
      <c r="K197" s="59"/>
      <c r="L197" s="59"/>
      <c r="M197" s="60">
        <v>50847.46</v>
      </c>
      <c r="N197" s="60">
        <v>32768.720000000001</v>
      </c>
      <c r="O197" s="60">
        <v>18078.740000000002</v>
      </c>
      <c r="P197" s="55"/>
      <c r="Q197" s="55"/>
      <c r="R197" s="61">
        <f t="shared" si="65"/>
        <v>282.48</v>
      </c>
      <c r="S197" s="60">
        <v>282.48</v>
      </c>
      <c r="T197" s="60">
        <v>282.48</v>
      </c>
      <c r="U197" s="60">
        <v>282.48</v>
      </c>
      <c r="V197" s="60">
        <v>282.48</v>
      </c>
      <c r="W197" s="60">
        <v>282.48</v>
      </c>
      <c r="X197" s="61">
        <f t="shared" si="66"/>
        <v>1694.88</v>
      </c>
      <c r="Y197" s="60">
        <v>282.48</v>
      </c>
      <c r="Z197" s="60">
        <v>282.48</v>
      </c>
      <c r="AA197" s="60">
        <v>282.48</v>
      </c>
      <c r="AB197" s="60">
        <v>282.48</v>
      </c>
      <c r="AC197" s="60">
        <v>282.48</v>
      </c>
      <c r="AD197" s="60">
        <v>282.48</v>
      </c>
      <c r="AE197" s="61">
        <f t="shared" si="67"/>
        <v>1694.88</v>
      </c>
      <c r="AF197" s="62">
        <f t="shared" si="92"/>
        <v>50847.46</v>
      </c>
      <c r="AG197" s="62">
        <f t="shared" si="86"/>
        <v>36158.48000000004</v>
      </c>
      <c r="AH197" s="62">
        <f t="shared" si="71"/>
        <v>14688.97999999996</v>
      </c>
      <c r="AI197" s="63"/>
      <c r="AJ197" s="63"/>
      <c r="AK197" s="62"/>
      <c r="AL197" s="60">
        <v>282.48</v>
      </c>
      <c r="AM197" s="60">
        <v>282.48</v>
      </c>
      <c r="AN197" s="60">
        <v>282.48</v>
      </c>
      <c r="AO197" s="60">
        <v>282.48</v>
      </c>
      <c r="AP197" s="60">
        <v>282.48</v>
      </c>
      <c r="AQ197" s="60">
        <v>282.48</v>
      </c>
      <c r="AR197" s="61">
        <f t="shared" si="68"/>
        <v>1694.88</v>
      </c>
      <c r="AS197" s="60">
        <v>282.48</v>
      </c>
      <c r="AT197" s="60">
        <v>282.48</v>
      </c>
      <c r="AU197" s="60">
        <v>282.48</v>
      </c>
      <c r="AV197" s="60">
        <v>282.48</v>
      </c>
      <c r="AW197" s="60">
        <v>282.48</v>
      </c>
      <c r="AX197" s="60">
        <v>282.48</v>
      </c>
      <c r="AY197" s="61">
        <f t="shared" si="69"/>
        <v>1694.88</v>
      </c>
      <c r="AZ197" s="56">
        <f t="shared" si="64"/>
        <v>3389.76</v>
      </c>
      <c r="BA197" s="62">
        <f t="shared" si="93"/>
        <v>50847.46</v>
      </c>
      <c r="BB197" s="62">
        <f t="shared" si="70"/>
        <v>39548.240000000078</v>
      </c>
      <c r="BC197" s="62">
        <f t="shared" si="94"/>
        <v>11299.219999999921</v>
      </c>
      <c r="BD197" s="63"/>
      <c r="BE197" s="57"/>
      <c r="BF197" s="35" t="str">
        <f>VLOOKUP(A:A,'2023-2027'!A:G,1,+FALSE)</f>
        <v>Контейнер 20 ф №1</v>
      </c>
      <c r="BG197" s="7" t="b">
        <f t="shared" si="74"/>
        <v>1</v>
      </c>
      <c r="BH197" s="35">
        <f>VLOOKUP(A:A,'2023-2027'!A:AT,43,+FALSE)</f>
        <v>0</v>
      </c>
    </row>
    <row r="198" spans="1:60" ht="24" hidden="1" customHeight="1" outlineLevel="1" x14ac:dyDescent="0.2">
      <c r="A198" s="59" t="s">
        <v>588</v>
      </c>
      <c r="B198" s="61" t="s">
        <v>25</v>
      </c>
      <c r="C198" s="61" t="s">
        <v>25</v>
      </c>
      <c r="D198" s="65" t="s">
        <v>589</v>
      </c>
      <c r="E198" s="59" t="s">
        <v>590</v>
      </c>
      <c r="F198" s="60">
        <v>43220.34</v>
      </c>
      <c r="G198" s="60">
        <v>29714.52</v>
      </c>
      <c r="H198" s="60">
        <v>13505.82</v>
      </c>
      <c r="I198" s="59"/>
      <c r="J198" s="60">
        <v>2701.2</v>
      </c>
      <c r="K198" s="59"/>
      <c r="L198" s="59"/>
      <c r="M198" s="60">
        <v>43220.34</v>
      </c>
      <c r="N198" s="60">
        <v>32415.72</v>
      </c>
      <c r="O198" s="60">
        <v>10804.62</v>
      </c>
      <c r="P198" s="55"/>
      <c r="Q198" s="55"/>
      <c r="R198" s="61">
        <f t="shared" si="65"/>
        <v>225.1</v>
      </c>
      <c r="S198" s="60">
        <v>225.1</v>
      </c>
      <c r="T198" s="60">
        <v>225.1</v>
      </c>
      <c r="U198" s="60">
        <v>225.1</v>
      </c>
      <c r="V198" s="60">
        <v>225.1</v>
      </c>
      <c r="W198" s="60">
        <v>225.1</v>
      </c>
      <c r="X198" s="61">
        <f t="shared" si="66"/>
        <v>1350.6</v>
      </c>
      <c r="Y198" s="60">
        <v>225.1</v>
      </c>
      <c r="Z198" s="60">
        <v>225.1</v>
      </c>
      <c r="AA198" s="60">
        <v>225.1</v>
      </c>
      <c r="AB198" s="60">
        <v>225.1</v>
      </c>
      <c r="AC198" s="60">
        <v>225.1</v>
      </c>
      <c r="AD198" s="60">
        <v>225.1</v>
      </c>
      <c r="AE198" s="61">
        <f t="shared" si="67"/>
        <v>1350.6</v>
      </c>
      <c r="AF198" s="62">
        <f t="shared" si="92"/>
        <v>43220.34</v>
      </c>
      <c r="AG198" s="62">
        <f t="shared" si="86"/>
        <v>35116.919999999984</v>
      </c>
      <c r="AH198" s="62">
        <f t="shared" si="71"/>
        <v>8103.4200000000128</v>
      </c>
      <c r="AI198" s="63"/>
      <c r="AJ198" s="63"/>
      <c r="AK198" s="62"/>
      <c r="AL198" s="60">
        <v>225.1</v>
      </c>
      <c r="AM198" s="60">
        <v>225.1</v>
      </c>
      <c r="AN198" s="60">
        <v>225.1</v>
      </c>
      <c r="AO198" s="60">
        <v>225.1</v>
      </c>
      <c r="AP198" s="60">
        <v>225.1</v>
      </c>
      <c r="AQ198" s="60">
        <v>225.1</v>
      </c>
      <c r="AR198" s="61">
        <f t="shared" si="68"/>
        <v>1350.6</v>
      </c>
      <c r="AS198" s="60">
        <v>225.1</v>
      </c>
      <c r="AT198" s="60">
        <v>225.1</v>
      </c>
      <c r="AU198" s="60">
        <v>225.1</v>
      </c>
      <c r="AV198" s="60">
        <v>225.1</v>
      </c>
      <c r="AW198" s="60">
        <v>225.1</v>
      </c>
      <c r="AX198" s="60">
        <v>225.1</v>
      </c>
      <c r="AY198" s="61">
        <f t="shared" si="69"/>
        <v>1350.6</v>
      </c>
      <c r="AZ198" s="56">
        <f t="shared" si="64"/>
        <v>2701.2</v>
      </c>
      <c r="BA198" s="62">
        <f t="shared" si="93"/>
        <v>43220.34</v>
      </c>
      <c r="BB198" s="62">
        <f t="shared" si="70"/>
        <v>37818.119999999966</v>
      </c>
      <c r="BC198" s="62">
        <f t="shared" si="94"/>
        <v>5402.2200000000303</v>
      </c>
      <c r="BD198" s="63"/>
      <c r="BE198" s="57"/>
      <c r="BF198" s="35" t="e">
        <f>VLOOKUP(A:A,'2023-2027'!A:G,1,+FALSE)</f>
        <v>#N/A</v>
      </c>
      <c r="BG198" s="7" t="e">
        <f t="shared" si="74"/>
        <v>#N/A</v>
      </c>
      <c r="BH198" s="35"/>
    </row>
    <row r="199" spans="1:60" ht="24" hidden="1" customHeight="1" outlineLevel="1" x14ac:dyDescent="0.2">
      <c r="A199" s="59" t="s">
        <v>591</v>
      </c>
      <c r="B199" s="61" t="s">
        <v>25</v>
      </c>
      <c r="C199" s="61" t="s">
        <v>25</v>
      </c>
      <c r="D199" s="65" t="s">
        <v>592</v>
      </c>
      <c r="E199" s="59" t="s">
        <v>590</v>
      </c>
      <c r="F199" s="60">
        <v>43220.34</v>
      </c>
      <c r="G199" s="60">
        <v>29714.52</v>
      </c>
      <c r="H199" s="60">
        <v>13505.82</v>
      </c>
      <c r="I199" s="59"/>
      <c r="J199" s="60">
        <v>2701.2</v>
      </c>
      <c r="K199" s="59"/>
      <c r="L199" s="59"/>
      <c r="M199" s="60">
        <v>43220.34</v>
      </c>
      <c r="N199" s="60">
        <v>32415.72</v>
      </c>
      <c r="O199" s="60">
        <v>10804.62</v>
      </c>
      <c r="P199" s="55"/>
      <c r="Q199" s="55"/>
      <c r="R199" s="61">
        <f t="shared" si="65"/>
        <v>225.1</v>
      </c>
      <c r="S199" s="60">
        <v>225.1</v>
      </c>
      <c r="T199" s="60">
        <v>225.1</v>
      </c>
      <c r="U199" s="60">
        <v>225.1</v>
      </c>
      <c r="V199" s="60">
        <v>225.1</v>
      </c>
      <c r="W199" s="60">
        <v>225.1</v>
      </c>
      <c r="X199" s="61">
        <f t="shared" si="66"/>
        <v>1350.6</v>
      </c>
      <c r="Y199" s="60">
        <v>225.1</v>
      </c>
      <c r="Z199" s="60">
        <v>225.1</v>
      </c>
      <c r="AA199" s="60">
        <v>225.1</v>
      </c>
      <c r="AB199" s="60">
        <v>225.1</v>
      </c>
      <c r="AC199" s="60">
        <v>225.1</v>
      </c>
      <c r="AD199" s="60">
        <v>225.1</v>
      </c>
      <c r="AE199" s="61">
        <f t="shared" si="67"/>
        <v>1350.6</v>
      </c>
      <c r="AF199" s="62">
        <f t="shared" si="92"/>
        <v>43220.34</v>
      </c>
      <c r="AG199" s="62">
        <f t="shared" si="86"/>
        <v>35116.919999999984</v>
      </c>
      <c r="AH199" s="62">
        <f t="shared" si="71"/>
        <v>8103.4200000000128</v>
      </c>
      <c r="AI199" s="63"/>
      <c r="AJ199" s="63"/>
      <c r="AK199" s="62"/>
      <c r="AL199" s="60">
        <v>225.1</v>
      </c>
      <c r="AM199" s="60">
        <v>225.1</v>
      </c>
      <c r="AN199" s="60">
        <v>225.1</v>
      </c>
      <c r="AO199" s="60">
        <v>225.1</v>
      </c>
      <c r="AP199" s="60">
        <v>225.1</v>
      </c>
      <c r="AQ199" s="60">
        <v>225.1</v>
      </c>
      <c r="AR199" s="61">
        <f t="shared" si="68"/>
        <v>1350.6</v>
      </c>
      <c r="AS199" s="60">
        <v>225.1</v>
      </c>
      <c r="AT199" s="60">
        <v>225.1</v>
      </c>
      <c r="AU199" s="60">
        <v>225.1</v>
      </c>
      <c r="AV199" s="60">
        <v>225.1</v>
      </c>
      <c r="AW199" s="60">
        <v>225.1</v>
      </c>
      <c r="AX199" s="60">
        <v>225.1</v>
      </c>
      <c r="AY199" s="61">
        <f t="shared" si="69"/>
        <v>1350.6</v>
      </c>
      <c r="AZ199" s="56">
        <f t="shared" si="64"/>
        <v>2701.2</v>
      </c>
      <c r="BA199" s="62">
        <f t="shared" si="93"/>
        <v>43220.34</v>
      </c>
      <c r="BB199" s="62">
        <f t="shared" si="70"/>
        <v>37818.119999999966</v>
      </c>
      <c r="BC199" s="62">
        <f t="shared" si="94"/>
        <v>5402.2200000000303</v>
      </c>
      <c r="BD199" s="63"/>
      <c r="BE199" s="57"/>
      <c r="BF199" s="35" t="e">
        <f>VLOOKUP(A:A,'2023-2027'!A:G,1,+FALSE)</f>
        <v>#N/A</v>
      </c>
      <c r="BG199" s="7" t="e">
        <f t="shared" si="74"/>
        <v>#N/A</v>
      </c>
      <c r="BH199" s="35"/>
    </row>
    <row r="200" spans="1:60" ht="24" hidden="1" customHeight="1" outlineLevel="1" x14ac:dyDescent="0.2">
      <c r="A200" s="59" t="s">
        <v>593</v>
      </c>
      <c r="B200" s="61" t="s">
        <v>25</v>
      </c>
      <c r="C200" s="61" t="s">
        <v>25</v>
      </c>
      <c r="D200" s="65" t="s">
        <v>594</v>
      </c>
      <c r="E200" s="59" t="s">
        <v>595</v>
      </c>
      <c r="F200" s="60">
        <v>1201844.3</v>
      </c>
      <c r="G200" s="60">
        <v>466021.74</v>
      </c>
      <c r="H200" s="60">
        <v>735822.56</v>
      </c>
      <c r="I200" s="59"/>
      <c r="J200" s="60">
        <v>49054.8</v>
      </c>
      <c r="K200" s="59"/>
      <c r="L200" s="59"/>
      <c r="M200" s="60">
        <v>1201844.3</v>
      </c>
      <c r="N200" s="60">
        <v>515076.54</v>
      </c>
      <c r="O200" s="60">
        <v>686767.76</v>
      </c>
      <c r="P200" s="55"/>
      <c r="Q200" s="55"/>
      <c r="R200" s="61">
        <f t="shared" si="65"/>
        <v>4087.9</v>
      </c>
      <c r="S200" s="60">
        <v>4087.9</v>
      </c>
      <c r="T200" s="60">
        <v>4087.9</v>
      </c>
      <c r="U200" s="60">
        <v>4087.9</v>
      </c>
      <c r="V200" s="60">
        <v>4087.9</v>
      </c>
      <c r="W200" s="60">
        <v>4087.9</v>
      </c>
      <c r="X200" s="61">
        <f t="shared" si="66"/>
        <v>24527.4</v>
      </c>
      <c r="Y200" s="60">
        <v>4087.9</v>
      </c>
      <c r="Z200" s="60">
        <v>4087.9</v>
      </c>
      <c r="AA200" s="60">
        <v>4087.9</v>
      </c>
      <c r="AB200" s="60">
        <v>4087.9</v>
      </c>
      <c r="AC200" s="60">
        <v>4087.9</v>
      </c>
      <c r="AD200" s="60">
        <v>4087.9</v>
      </c>
      <c r="AE200" s="61">
        <f t="shared" si="67"/>
        <v>24527.4</v>
      </c>
      <c r="AF200" s="62">
        <f t="shared" si="92"/>
        <v>1201844.3</v>
      </c>
      <c r="AG200" s="62">
        <f t="shared" si="86"/>
        <v>564131.3400000002</v>
      </c>
      <c r="AH200" s="62">
        <f t="shared" si="71"/>
        <v>637712.95999999985</v>
      </c>
      <c r="AI200" s="63"/>
      <c r="AJ200" s="63"/>
      <c r="AK200" s="62"/>
      <c r="AL200" s="60">
        <v>4087.9</v>
      </c>
      <c r="AM200" s="60">
        <v>4087.9</v>
      </c>
      <c r="AN200" s="60">
        <v>4087.9</v>
      </c>
      <c r="AO200" s="60">
        <v>4087.9</v>
      </c>
      <c r="AP200" s="60">
        <v>4087.9</v>
      </c>
      <c r="AQ200" s="60">
        <v>4087.9</v>
      </c>
      <c r="AR200" s="61">
        <f t="shared" si="68"/>
        <v>24527.4</v>
      </c>
      <c r="AS200" s="60">
        <v>4087.9</v>
      </c>
      <c r="AT200" s="60">
        <v>4087.9</v>
      </c>
      <c r="AU200" s="60">
        <v>4087.9</v>
      </c>
      <c r="AV200" s="60">
        <v>4087.9</v>
      </c>
      <c r="AW200" s="60">
        <v>4087.9</v>
      </c>
      <c r="AX200" s="60">
        <v>4087.9</v>
      </c>
      <c r="AY200" s="61">
        <f t="shared" si="69"/>
        <v>24527.4</v>
      </c>
      <c r="AZ200" s="56">
        <f t="shared" si="64"/>
        <v>49054.8</v>
      </c>
      <c r="BA200" s="62">
        <f t="shared" si="93"/>
        <v>1201844.3</v>
      </c>
      <c r="BB200" s="62">
        <f t="shared" si="70"/>
        <v>613186.14000000048</v>
      </c>
      <c r="BC200" s="62">
        <f t="shared" si="94"/>
        <v>588658.15999999957</v>
      </c>
      <c r="BD200" s="63"/>
      <c r="BE200" s="57"/>
      <c r="BF200" s="35" t="e">
        <f>VLOOKUP(A:A,'2023-2027'!A:G,1,+FALSE)</f>
        <v>#N/A</v>
      </c>
      <c r="BG200" s="7" t="e">
        <f t="shared" si="74"/>
        <v>#N/A</v>
      </c>
      <c r="BH200" s="35"/>
    </row>
    <row r="201" spans="1:60" ht="12" hidden="1" customHeight="1" outlineLevel="1" x14ac:dyDescent="0.2">
      <c r="A201" s="59" t="s">
        <v>596</v>
      </c>
      <c r="B201" s="61" t="s">
        <v>25</v>
      </c>
      <c r="C201" s="61" t="s">
        <v>25</v>
      </c>
      <c r="D201" s="66" t="s">
        <v>597</v>
      </c>
      <c r="E201" s="59" t="s">
        <v>598</v>
      </c>
      <c r="F201" s="60">
        <v>717369.78</v>
      </c>
      <c r="G201" s="60">
        <v>23912.34</v>
      </c>
      <c r="H201" s="60">
        <v>693457.44</v>
      </c>
      <c r="I201" s="59"/>
      <c r="J201" s="60">
        <v>47824.68</v>
      </c>
      <c r="K201" s="59"/>
      <c r="L201" s="59"/>
      <c r="M201" s="60">
        <v>717369.78</v>
      </c>
      <c r="N201" s="60">
        <v>71737.02</v>
      </c>
      <c r="O201" s="60">
        <v>645632.76</v>
      </c>
      <c r="P201" s="55"/>
      <c r="Q201" s="55"/>
      <c r="R201" s="61">
        <f t="shared" si="65"/>
        <v>3985.39</v>
      </c>
      <c r="S201" s="60">
        <v>3985.39</v>
      </c>
      <c r="T201" s="60">
        <v>3985.39</v>
      </c>
      <c r="U201" s="60">
        <v>3985.39</v>
      </c>
      <c r="V201" s="60">
        <v>3985.39</v>
      </c>
      <c r="W201" s="60">
        <v>3985.39</v>
      </c>
      <c r="X201" s="61">
        <f t="shared" si="66"/>
        <v>23912.34</v>
      </c>
      <c r="Y201" s="60">
        <v>3985.39</v>
      </c>
      <c r="Z201" s="60">
        <v>3985.39</v>
      </c>
      <c r="AA201" s="60">
        <v>3985.39</v>
      </c>
      <c r="AB201" s="60">
        <v>3985.39</v>
      </c>
      <c r="AC201" s="60">
        <v>3985.39</v>
      </c>
      <c r="AD201" s="60">
        <v>3985.39</v>
      </c>
      <c r="AE201" s="61">
        <f t="shared" si="67"/>
        <v>23912.34</v>
      </c>
      <c r="AF201" s="62">
        <f t="shared" si="92"/>
        <v>717369.78</v>
      </c>
      <c r="AG201" s="62">
        <f t="shared" si="86"/>
        <v>119561.7</v>
      </c>
      <c r="AH201" s="62">
        <f t="shared" si="71"/>
        <v>597808.08000000007</v>
      </c>
      <c r="AI201" s="63"/>
      <c r="AJ201" s="63"/>
      <c r="AK201" s="62"/>
      <c r="AL201" s="60">
        <v>3985.39</v>
      </c>
      <c r="AM201" s="60">
        <v>3985.39</v>
      </c>
      <c r="AN201" s="60">
        <v>3985.39</v>
      </c>
      <c r="AO201" s="60">
        <v>3985.39</v>
      </c>
      <c r="AP201" s="60">
        <v>3985.39</v>
      </c>
      <c r="AQ201" s="60">
        <v>3985.39</v>
      </c>
      <c r="AR201" s="61">
        <f t="shared" si="68"/>
        <v>23912.34</v>
      </c>
      <c r="AS201" s="60">
        <v>3985.39</v>
      </c>
      <c r="AT201" s="60">
        <v>3985.39</v>
      </c>
      <c r="AU201" s="60">
        <v>3985.39</v>
      </c>
      <c r="AV201" s="60">
        <v>3985.39</v>
      </c>
      <c r="AW201" s="60">
        <v>3985.39</v>
      </c>
      <c r="AX201" s="60">
        <v>3985.39</v>
      </c>
      <c r="AY201" s="61">
        <f t="shared" si="69"/>
        <v>23912.34</v>
      </c>
      <c r="AZ201" s="56">
        <f t="shared" si="64"/>
        <v>47824.68</v>
      </c>
      <c r="BA201" s="62">
        <f t="shared" si="93"/>
        <v>717369.78</v>
      </c>
      <c r="BB201" s="62">
        <f t="shared" si="70"/>
        <v>167386.38000000012</v>
      </c>
      <c r="BC201" s="62">
        <f t="shared" si="94"/>
        <v>549983.39999999991</v>
      </c>
      <c r="BD201" s="63"/>
      <c r="BE201" s="57"/>
      <c r="BF201" s="35" t="str">
        <f>VLOOKUP(A:A,'2023-2027'!A:G,1,+FALSE)</f>
        <v>Мезонин на основе колонн №1</v>
      </c>
      <c r="BG201" s="7" t="b">
        <f t="shared" si="74"/>
        <v>1</v>
      </c>
      <c r="BH201" s="35">
        <f>VLOOKUP(A:A,'2023-2027'!A:AT,43,+FALSE)</f>
        <v>3985.39</v>
      </c>
    </row>
    <row r="202" spans="1:60" ht="12" hidden="1" customHeight="1" outlineLevel="1" x14ac:dyDescent="0.2">
      <c r="A202" s="59" t="s">
        <v>599</v>
      </c>
      <c r="B202" s="61" t="s">
        <v>25</v>
      </c>
      <c r="C202" s="61" t="s">
        <v>25</v>
      </c>
      <c r="D202" s="66" t="s">
        <v>600</v>
      </c>
      <c r="E202" s="59" t="s">
        <v>598</v>
      </c>
      <c r="F202" s="60">
        <v>727902.42</v>
      </c>
      <c r="G202" s="60">
        <v>24263.4</v>
      </c>
      <c r="H202" s="60">
        <v>703639.02</v>
      </c>
      <c r="I202" s="59"/>
      <c r="J202" s="60">
        <v>48526.8</v>
      </c>
      <c r="K202" s="59"/>
      <c r="L202" s="59"/>
      <c r="M202" s="60">
        <v>727902.42</v>
      </c>
      <c r="N202" s="60">
        <v>72790.2</v>
      </c>
      <c r="O202" s="60">
        <v>655112.22</v>
      </c>
      <c r="P202" s="55"/>
      <c r="Q202" s="55"/>
      <c r="R202" s="61">
        <f t="shared" si="65"/>
        <v>4043.9</v>
      </c>
      <c r="S202" s="60">
        <v>4043.9</v>
      </c>
      <c r="T202" s="60">
        <v>4043.9</v>
      </c>
      <c r="U202" s="60">
        <v>4043.9</v>
      </c>
      <c r="V202" s="60">
        <v>4043.9</v>
      </c>
      <c r="W202" s="60">
        <v>4043.9</v>
      </c>
      <c r="X202" s="61">
        <f t="shared" si="66"/>
        <v>24263.4</v>
      </c>
      <c r="Y202" s="60">
        <v>4043.9</v>
      </c>
      <c r="Z202" s="60">
        <v>4043.9</v>
      </c>
      <c r="AA202" s="60">
        <v>4043.9</v>
      </c>
      <c r="AB202" s="60">
        <v>4043.9</v>
      </c>
      <c r="AC202" s="60">
        <v>4043.9</v>
      </c>
      <c r="AD202" s="60">
        <v>4043.9</v>
      </c>
      <c r="AE202" s="61">
        <f t="shared" si="67"/>
        <v>24263.4</v>
      </c>
      <c r="AF202" s="62">
        <f t="shared" si="92"/>
        <v>727902.42</v>
      </c>
      <c r="AG202" s="62">
        <f t="shared" si="86"/>
        <v>121316.99999999993</v>
      </c>
      <c r="AH202" s="62">
        <f t="shared" si="71"/>
        <v>606585.42000000016</v>
      </c>
      <c r="AI202" s="63"/>
      <c r="AJ202" s="63"/>
      <c r="AK202" s="62"/>
      <c r="AL202" s="60">
        <v>4043.9</v>
      </c>
      <c r="AM202" s="60">
        <v>4043.9</v>
      </c>
      <c r="AN202" s="60">
        <v>4043.9</v>
      </c>
      <c r="AO202" s="60">
        <v>4043.9</v>
      </c>
      <c r="AP202" s="60">
        <v>4043.9</v>
      </c>
      <c r="AQ202" s="60">
        <v>4043.9</v>
      </c>
      <c r="AR202" s="61">
        <f t="shared" si="68"/>
        <v>24263.4</v>
      </c>
      <c r="AS202" s="60">
        <v>4043.9</v>
      </c>
      <c r="AT202" s="60">
        <v>4043.9</v>
      </c>
      <c r="AU202" s="60">
        <v>4043.9</v>
      </c>
      <c r="AV202" s="60">
        <v>4043.9</v>
      </c>
      <c r="AW202" s="60">
        <v>4043.9</v>
      </c>
      <c r="AX202" s="60">
        <v>4043.9</v>
      </c>
      <c r="AY202" s="61">
        <f t="shared" si="69"/>
        <v>24263.4</v>
      </c>
      <c r="AZ202" s="56">
        <f t="shared" ref="AZ202:AZ265" si="95">AR202+AY202</f>
        <v>48526.8</v>
      </c>
      <c r="BA202" s="62">
        <f t="shared" si="93"/>
        <v>727902.42</v>
      </c>
      <c r="BB202" s="62">
        <f t="shared" si="70"/>
        <v>169843.79999999987</v>
      </c>
      <c r="BC202" s="62">
        <f t="shared" si="94"/>
        <v>558058.62000000011</v>
      </c>
      <c r="BD202" s="63"/>
      <c r="BE202" s="57"/>
      <c r="BF202" s="35" t="str">
        <f>VLOOKUP(A:A,'2023-2027'!A:G,1,+FALSE)</f>
        <v>Мезонин на основе колонн №2</v>
      </c>
      <c r="BG202" s="7" t="b">
        <f t="shared" si="74"/>
        <v>1</v>
      </c>
      <c r="BH202" s="35">
        <f>VLOOKUP(A:A,'2023-2027'!A:AT,43,+FALSE)</f>
        <v>4043.9</v>
      </c>
    </row>
    <row r="203" spans="1:60" ht="24" hidden="1" customHeight="1" outlineLevel="1" x14ac:dyDescent="0.2">
      <c r="A203" s="59" t="s">
        <v>601</v>
      </c>
      <c r="B203" s="61" t="s">
        <v>25</v>
      </c>
      <c r="C203" s="61" t="s">
        <v>25</v>
      </c>
      <c r="D203" s="66" t="s">
        <v>602</v>
      </c>
      <c r="E203" s="59" t="s">
        <v>603</v>
      </c>
      <c r="F203" s="60">
        <v>525332.43000000005</v>
      </c>
      <c r="G203" s="60">
        <v>61288.71</v>
      </c>
      <c r="H203" s="60">
        <v>464043.72</v>
      </c>
      <c r="I203" s="59"/>
      <c r="J203" s="60">
        <v>35022.120000000003</v>
      </c>
      <c r="K203" s="59"/>
      <c r="L203" s="59"/>
      <c r="M203" s="60">
        <v>525332.43000000005</v>
      </c>
      <c r="N203" s="60">
        <v>96310.83</v>
      </c>
      <c r="O203" s="60">
        <v>429021.6</v>
      </c>
      <c r="P203" s="55"/>
      <c r="Q203" s="55"/>
      <c r="R203" s="61">
        <f t="shared" ref="R203:R266" si="96">J203/12</f>
        <v>2918.51</v>
      </c>
      <c r="S203" s="60">
        <v>2918.51</v>
      </c>
      <c r="T203" s="60">
        <v>2918.51</v>
      </c>
      <c r="U203" s="60">
        <v>2918.51</v>
      </c>
      <c r="V203" s="60">
        <v>2918.51</v>
      </c>
      <c r="W203" s="60">
        <v>2918.51</v>
      </c>
      <c r="X203" s="61">
        <f t="shared" ref="X203:X266" si="97">R203+S203+T203+U203+V203+W203</f>
        <v>17511.060000000001</v>
      </c>
      <c r="Y203" s="60">
        <v>2918.51</v>
      </c>
      <c r="Z203" s="60">
        <v>2918.51</v>
      </c>
      <c r="AA203" s="60">
        <v>2918.51</v>
      </c>
      <c r="AB203" s="60">
        <v>2918.51</v>
      </c>
      <c r="AC203" s="60">
        <v>2918.51</v>
      </c>
      <c r="AD203" s="60">
        <v>2918.51</v>
      </c>
      <c r="AE203" s="61">
        <f t="shared" ref="AE203:AE266" si="98">Y203+Z203+AA203+AB203+AC203+AD203</f>
        <v>17511.060000000001</v>
      </c>
      <c r="AF203" s="62">
        <f t="shared" si="92"/>
        <v>525332.43000000005</v>
      </c>
      <c r="AG203" s="62">
        <f t="shared" si="86"/>
        <v>131332.94999999995</v>
      </c>
      <c r="AH203" s="62">
        <f t="shared" si="71"/>
        <v>393999.4800000001</v>
      </c>
      <c r="AI203" s="63"/>
      <c r="AJ203" s="63"/>
      <c r="AK203" s="62"/>
      <c r="AL203" s="60">
        <v>2918.51</v>
      </c>
      <c r="AM203" s="60">
        <v>2918.51</v>
      </c>
      <c r="AN203" s="60">
        <v>2918.51</v>
      </c>
      <c r="AO203" s="60">
        <v>2918.51</v>
      </c>
      <c r="AP203" s="60">
        <v>2918.51</v>
      </c>
      <c r="AQ203" s="60">
        <v>2918.51</v>
      </c>
      <c r="AR203" s="61">
        <f t="shared" ref="AR203:AR266" si="99">AL203+AM203+AN203+AO203+AP203+AQ203</f>
        <v>17511.060000000001</v>
      </c>
      <c r="AS203" s="60">
        <v>2918.51</v>
      </c>
      <c r="AT203" s="60">
        <v>2918.51</v>
      </c>
      <c r="AU203" s="60">
        <v>2918.51</v>
      </c>
      <c r="AV203" s="60">
        <v>2918.51</v>
      </c>
      <c r="AW203" s="60">
        <v>2918.51</v>
      </c>
      <c r="AX203" s="60">
        <v>2918.51</v>
      </c>
      <c r="AY203" s="61">
        <f t="shared" ref="AY203:AY266" si="100">AS203+AT203+AU203+AV203+AW203+AX203</f>
        <v>17511.060000000001</v>
      </c>
      <c r="AZ203" s="56">
        <f t="shared" si="95"/>
        <v>35022.120000000003</v>
      </c>
      <c r="BA203" s="62">
        <f t="shared" si="93"/>
        <v>525332.43000000005</v>
      </c>
      <c r="BB203" s="62">
        <f t="shared" ref="BB203:BB266" si="101">AG203+AL203+AM203+AN203+AO203+AP203+AQ203+AS203+AT203+AU203+AV203+AW203+AX203</f>
        <v>166355.07000000007</v>
      </c>
      <c r="BC203" s="62">
        <f t="shared" si="94"/>
        <v>358977.36</v>
      </c>
      <c r="BD203" s="63"/>
      <c r="BE203" s="57"/>
      <c r="BF203" s="35" t="str">
        <f>VLOOKUP(A:A,'2023-2027'!A:G,1,+FALSE)</f>
        <v>Металлический стеллаж (складской мезонин)</v>
      </c>
      <c r="BG203" s="7" t="b">
        <f t="shared" si="74"/>
        <v>1</v>
      </c>
      <c r="BH203" s="35">
        <f>VLOOKUP(A:A,'2023-2027'!A:AT,43,+FALSE)</f>
        <v>2918.5100000000007</v>
      </c>
    </row>
    <row r="204" spans="1:60" ht="12" hidden="1" customHeight="1" outlineLevel="1" x14ac:dyDescent="0.2">
      <c r="A204" s="59" t="s">
        <v>92</v>
      </c>
      <c r="B204" s="61" t="s">
        <v>25</v>
      </c>
      <c r="C204" s="61" t="s">
        <v>25</v>
      </c>
      <c r="D204" s="66" t="s">
        <v>604</v>
      </c>
      <c r="E204" s="59" t="s">
        <v>605</v>
      </c>
      <c r="F204" s="59"/>
      <c r="G204" s="59"/>
      <c r="H204" s="59"/>
      <c r="I204" s="60">
        <v>453458.33</v>
      </c>
      <c r="J204" s="60">
        <v>7557.64</v>
      </c>
      <c r="K204" s="59"/>
      <c r="L204" s="59"/>
      <c r="M204" s="60">
        <v>453458.33</v>
      </c>
      <c r="N204" s="60">
        <v>7557.64</v>
      </c>
      <c r="O204" s="60">
        <v>445900.69</v>
      </c>
      <c r="P204" s="55"/>
      <c r="Q204" s="55"/>
      <c r="R204" s="61">
        <f t="shared" si="96"/>
        <v>629.8033333333334</v>
      </c>
      <c r="S204" s="60">
        <v>629.80333329999996</v>
      </c>
      <c r="T204" s="60">
        <v>629.80333329999996</v>
      </c>
      <c r="U204" s="60">
        <v>629.80333329999996</v>
      </c>
      <c r="V204" s="60">
        <v>629.80333329999996</v>
      </c>
      <c r="W204" s="60">
        <v>629.80333329999996</v>
      </c>
      <c r="X204" s="61">
        <f t="shared" si="97"/>
        <v>3778.819999833333</v>
      </c>
      <c r="Y204" s="60">
        <v>629.80333329999996</v>
      </c>
      <c r="Z204" s="60">
        <v>629.80333329999996</v>
      </c>
      <c r="AA204" s="60">
        <v>629.80333329999996</v>
      </c>
      <c r="AB204" s="60">
        <v>629.80333329999996</v>
      </c>
      <c r="AC204" s="60">
        <v>629.80333329999996</v>
      </c>
      <c r="AD204" s="60">
        <v>629.80333329999996</v>
      </c>
      <c r="AE204" s="61">
        <f t="shared" si="98"/>
        <v>3778.8199997999996</v>
      </c>
      <c r="AF204" s="62">
        <f t="shared" si="92"/>
        <v>453458.33</v>
      </c>
      <c r="AG204" s="62">
        <f t="shared" si="86"/>
        <v>15115.279999633336</v>
      </c>
      <c r="AH204" s="62">
        <f t="shared" si="71"/>
        <v>438343.0500003667</v>
      </c>
      <c r="AI204" s="63"/>
      <c r="AJ204" s="63"/>
      <c r="AK204" s="62"/>
      <c r="AL204" s="60">
        <v>629.80333329999996</v>
      </c>
      <c r="AM204" s="60">
        <v>629.80333329999996</v>
      </c>
      <c r="AN204" s="60">
        <v>629.80333329999996</v>
      </c>
      <c r="AO204" s="60">
        <v>629.80333329999996</v>
      </c>
      <c r="AP204" s="60">
        <v>629.80333329999996</v>
      </c>
      <c r="AQ204" s="60">
        <v>629.80333329999996</v>
      </c>
      <c r="AR204" s="61">
        <f t="shared" si="99"/>
        <v>3778.8199997999996</v>
      </c>
      <c r="AS204" s="60">
        <v>629.80333329999996</v>
      </c>
      <c r="AT204" s="60">
        <v>629.80333329999996</v>
      </c>
      <c r="AU204" s="60">
        <v>629.80333329999996</v>
      </c>
      <c r="AV204" s="60">
        <v>629.80333329999996</v>
      </c>
      <c r="AW204" s="60">
        <v>629.80333329999996</v>
      </c>
      <c r="AX204" s="60">
        <v>629.80333329999996</v>
      </c>
      <c r="AY204" s="61">
        <f t="shared" si="100"/>
        <v>3778.8199997999996</v>
      </c>
      <c r="AZ204" s="56">
        <f t="shared" si="95"/>
        <v>7557.6399995999991</v>
      </c>
      <c r="BA204" s="62">
        <f t="shared" si="93"/>
        <v>453458.33</v>
      </c>
      <c r="BB204" s="62">
        <f t="shared" si="101"/>
        <v>22672.919999233323</v>
      </c>
      <c r="BC204" s="62">
        <f t="shared" si="94"/>
        <v>430785.41000076669</v>
      </c>
      <c r="BD204" s="63"/>
      <c r="BE204" s="57"/>
      <c r="BF204" s="35" t="str">
        <f>VLOOKUP(A:A,'2023-2027'!A:G,1,+FALSE)</f>
        <v>Мфу Kyocera ECOSYS M8130cidn</v>
      </c>
      <c r="BG204" s="7" t="b">
        <f t="shared" si="74"/>
        <v>1</v>
      </c>
      <c r="BH204" s="35">
        <f>VLOOKUP(A:A,'2023-2027'!A:AT,43,+FALSE)</f>
        <v>7557.64</v>
      </c>
    </row>
    <row r="205" spans="1:60" ht="36" hidden="1" customHeight="1" outlineLevel="1" x14ac:dyDescent="0.2">
      <c r="A205" s="59" t="s">
        <v>606</v>
      </c>
      <c r="B205" s="61" t="s">
        <v>25</v>
      </c>
      <c r="C205" s="61" t="s">
        <v>25</v>
      </c>
      <c r="D205" s="65" t="s">
        <v>607</v>
      </c>
      <c r="E205" s="59" t="s">
        <v>608</v>
      </c>
      <c r="F205" s="60">
        <v>56144.07</v>
      </c>
      <c r="G205" s="60">
        <v>36210.89</v>
      </c>
      <c r="H205" s="60">
        <v>19933.18</v>
      </c>
      <c r="I205" s="59"/>
      <c r="J205" s="60">
        <v>3986.64</v>
      </c>
      <c r="K205" s="59"/>
      <c r="L205" s="59"/>
      <c r="M205" s="60">
        <v>56144.07</v>
      </c>
      <c r="N205" s="60">
        <v>40197.53</v>
      </c>
      <c r="O205" s="60">
        <v>15946.54</v>
      </c>
      <c r="P205" s="55"/>
      <c r="Q205" s="55"/>
      <c r="R205" s="61">
        <f t="shared" si="96"/>
        <v>332.21999999999997</v>
      </c>
      <c r="S205" s="60">
        <v>332.22</v>
      </c>
      <c r="T205" s="60">
        <v>332.22</v>
      </c>
      <c r="U205" s="60">
        <v>332.22</v>
      </c>
      <c r="V205" s="60">
        <v>332.22</v>
      </c>
      <c r="W205" s="60">
        <v>332.22</v>
      </c>
      <c r="X205" s="61">
        <f t="shared" si="97"/>
        <v>1993.3200000000002</v>
      </c>
      <c r="Y205" s="60">
        <v>332.22</v>
      </c>
      <c r="Z205" s="60">
        <v>332.22</v>
      </c>
      <c r="AA205" s="60">
        <v>332.22</v>
      </c>
      <c r="AB205" s="60">
        <v>332.22</v>
      </c>
      <c r="AC205" s="60">
        <v>332.22</v>
      </c>
      <c r="AD205" s="60">
        <v>332.22</v>
      </c>
      <c r="AE205" s="61">
        <f t="shared" si="98"/>
        <v>1993.3200000000002</v>
      </c>
      <c r="AF205" s="62">
        <f t="shared" si="92"/>
        <v>56144.07</v>
      </c>
      <c r="AG205" s="62">
        <f t="shared" si="86"/>
        <v>44184.170000000013</v>
      </c>
      <c r="AH205" s="62">
        <f t="shared" si="71"/>
        <v>11959.899999999987</v>
      </c>
      <c r="AI205" s="63"/>
      <c r="AJ205" s="63"/>
      <c r="AK205" s="62"/>
      <c r="AL205" s="60">
        <v>332.22</v>
      </c>
      <c r="AM205" s="60">
        <v>332.22</v>
      </c>
      <c r="AN205" s="60">
        <v>332.22</v>
      </c>
      <c r="AO205" s="60">
        <v>332.22</v>
      </c>
      <c r="AP205" s="60">
        <v>332.22</v>
      </c>
      <c r="AQ205" s="60">
        <v>332.22</v>
      </c>
      <c r="AR205" s="61">
        <f t="shared" si="99"/>
        <v>1993.3200000000002</v>
      </c>
      <c r="AS205" s="60">
        <v>332.22</v>
      </c>
      <c r="AT205" s="60">
        <v>332.22</v>
      </c>
      <c r="AU205" s="60">
        <v>332.22</v>
      </c>
      <c r="AV205" s="60">
        <v>332.22</v>
      </c>
      <c r="AW205" s="60">
        <v>332.22</v>
      </c>
      <c r="AX205" s="60">
        <v>332.22</v>
      </c>
      <c r="AY205" s="61">
        <f t="shared" si="100"/>
        <v>1993.3200000000002</v>
      </c>
      <c r="AZ205" s="56">
        <f t="shared" si="95"/>
        <v>3986.6400000000003</v>
      </c>
      <c r="BA205" s="62">
        <f t="shared" si="93"/>
        <v>56144.07</v>
      </c>
      <c r="BB205" s="62">
        <f t="shared" si="101"/>
        <v>48170.810000000027</v>
      </c>
      <c r="BC205" s="62">
        <f t="shared" si="94"/>
        <v>7973.2599999999729</v>
      </c>
      <c r="BD205" s="63"/>
      <c r="BE205" s="57"/>
      <c r="BF205" s="35" t="e">
        <f>VLOOKUP(A:A,'2023-2027'!A:G,1,+FALSE)</f>
        <v>#N/A</v>
      </c>
      <c r="BG205" s="7" t="e">
        <f t="shared" si="74"/>
        <v>#N/A</v>
      </c>
      <c r="BH205" s="35"/>
    </row>
    <row r="206" spans="1:60" ht="12" hidden="1" customHeight="1" outlineLevel="1" x14ac:dyDescent="0.2">
      <c r="A206" s="59" t="s">
        <v>609</v>
      </c>
      <c r="B206" s="61" t="s">
        <v>25</v>
      </c>
      <c r="C206" s="61" t="s">
        <v>25</v>
      </c>
      <c r="D206" s="65" t="s">
        <v>610</v>
      </c>
      <c r="E206" s="59" t="s">
        <v>611</v>
      </c>
      <c r="F206" s="60">
        <v>47900</v>
      </c>
      <c r="G206" s="60">
        <v>42236.84</v>
      </c>
      <c r="H206" s="60">
        <v>5663.16</v>
      </c>
      <c r="I206" s="59"/>
      <c r="J206" s="60">
        <v>2831.58</v>
      </c>
      <c r="K206" s="59"/>
      <c r="L206" s="59"/>
      <c r="M206" s="60">
        <v>47900</v>
      </c>
      <c r="N206" s="60">
        <v>45068.42</v>
      </c>
      <c r="O206" s="60">
        <v>2831.58</v>
      </c>
      <c r="P206" s="55"/>
      <c r="Q206" s="55"/>
      <c r="R206" s="61">
        <f t="shared" si="96"/>
        <v>235.965</v>
      </c>
      <c r="S206" s="60">
        <v>235.965</v>
      </c>
      <c r="T206" s="60">
        <v>235.965</v>
      </c>
      <c r="U206" s="60">
        <v>235.965</v>
      </c>
      <c r="V206" s="60">
        <v>235.965</v>
      </c>
      <c r="W206" s="60">
        <v>235.965</v>
      </c>
      <c r="X206" s="61">
        <f t="shared" si="97"/>
        <v>1415.79</v>
      </c>
      <c r="Y206" s="60">
        <v>235.965</v>
      </c>
      <c r="Z206" s="60">
        <v>235.965</v>
      </c>
      <c r="AA206" s="60">
        <v>235.965</v>
      </c>
      <c r="AB206" s="60">
        <v>235.965</v>
      </c>
      <c r="AC206" s="60">
        <v>235.965</v>
      </c>
      <c r="AD206" s="60">
        <v>235.965</v>
      </c>
      <c r="AE206" s="61">
        <f t="shared" si="98"/>
        <v>1415.79</v>
      </c>
      <c r="AF206" s="62">
        <f t="shared" si="92"/>
        <v>47900</v>
      </c>
      <c r="AG206" s="62">
        <f t="shared" si="86"/>
        <v>47899.999999999956</v>
      </c>
      <c r="AH206" s="62">
        <f t="shared" ref="AH206:AH269" si="102">AF206-AG206</f>
        <v>0</v>
      </c>
      <c r="AI206" s="63"/>
      <c r="AJ206" s="63"/>
      <c r="AK206" s="62"/>
      <c r="AL206" s="60"/>
      <c r="AM206" s="60"/>
      <c r="AN206" s="60"/>
      <c r="AO206" s="60"/>
      <c r="AP206" s="60"/>
      <c r="AQ206" s="60"/>
      <c r="AR206" s="61">
        <f t="shared" si="99"/>
        <v>0</v>
      </c>
      <c r="AS206" s="60"/>
      <c r="AT206" s="60"/>
      <c r="AU206" s="60"/>
      <c r="AV206" s="60"/>
      <c r="AW206" s="60"/>
      <c r="AX206" s="60"/>
      <c r="AY206" s="61">
        <f t="shared" si="100"/>
        <v>0</v>
      </c>
      <c r="AZ206" s="56">
        <f t="shared" si="95"/>
        <v>0</v>
      </c>
      <c r="BA206" s="62">
        <f t="shared" si="93"/>
        <v>47900</v>
      </c>
      <c r="BB206" s="62">
        <f t="shared" si="101"/>
        <v>47899.999999999956</v>
      </c>
      <c r="BC206" s="62">
        <f t="shared" si="94"/>
        <v>0</v>
      </c>
      <c r="BD206" s="63"/>
      <c r="BE206" s="57"/>
      <c r="BF206" s="35" t="e">
        <f>VLOOKUP(A:A,'2023-2027'!A:G,1,+FALSE)</f>
        <v>#N/A</v>
      </c>
      <c r="BG206" s="7" t="e">
        <f t="shared" si="74"/>
        <v>#N/A</v>
      </c>
      <c r="BH206" s="35"/>
    </row>
    <row r="207" spans="1:60" ht="12" hidden="1" customHeight="1" outlineLevel="1" x14ac:dyDescent="0.2">
      <c r="A207" s="59" t="s">
        <v>612</v>
      </c>
      <c r="B207" s="61" t="s">
        <v>25</v>
      </c>
      <c r="C207" s="61" t="s">
        <v>25</v>
      </c>
      <c r="D207" s="66" t="s">
        <v>613</v>
      </c>
      <c r="E207" s="59" t="s">
        <v>614</v>
      </c>
      <c r="F207" s="60">
        <v>459881.8</v>
      </c>
      <c r="G207" s="60">
        <v>339801.7</v>
      </c>
      <c r="H207" s="60">
        <v>120080.1</v>
      </c>
      <c r="I207" s="59"/>
      <c r="J207" s="60">
        <v>30658.78</v>
      </c>
      <c r="K207" s="59"/>
      <c r="L207" s="59"/>
      <c r="M207" s="60">
        <v>459881.8</v>
      </c>
      <c r="N207" s="60">
        <v>370460.48</v>
      </c>
      <c r="O207" s="60">
        <v>89421.32</v>
      </c>
      <c r="P207" s="55">
        <v>104750.7</v>
      </c>
      <c r="Q207" s="55">
        <f>P207*2.2%</f>
        <v>2304.5154000000002</v>
      </c>
      <c r="R207" s="61">
        <f t="shared" si="96"/>
        <v>2554.8983333333331</v>
      </c>
      <c r="S207" s="60">
        <v>2554.8983330000001</v>
      </c>
      <c r="T207" s="60">
        <v>2554.8983330000001</v>
      </c>
      <c r="U207" s="60">
        <v>2554.8983330000001</v>
      </c>
      <c r="V207" s="60">
        <v>2554.8983330000001</v>
      </c>
      <c r="W207" s="60">
        <v>2554.8983330000001</v>
      </c>
      <c r="X207" s="61">
        <f t="shared" si="97"/>
        <v>15329.389998333336</v>
      </c>
      <c r="Y207" s="60">
        <v>2554.8983330000001</v>
      </c>
      <c r="Z207" s="60">
        <v>2554.8983330000001</v>
      </c>
      <c r="AA207" s="60">
        <v>2554.8983330000001</v>
      </c>
      <c r="AB207" s="60">
        <v>2554.8983330000001</v>
      </c>
      <c r="AC207" s="60">
        <v>2554.8983330000001</v>
      </c>
      <c r="AD207" s="60">
        <v>2554.8983330000001</v>
      </c>
      <c r="AE207" s="61">
        <f t="shared" si="98"/>
        <v>15329.389998000002</v>
      </c>
      <c r="AF207" s="62">
        <f t="shared" si="92"/>
        <v>459881.8</v>
      </c>
      <c r="AG207" s="62">
        <f t="shared" si="86"/>
        <v>401119.25999633351</v>
      </c>
      <c r="AH207" s="62">
        <f t="shared" si="102"/>
        <v>58762.54000366648</v>
      </c>
      <c r="AI207" s="63">
        <v>74091.919999999955</v>
      </c>
      <c r="AJ207" s="63">
        <f t="shared" ref="AJ207" si="103">AI207*2.2%</f>
        <v>1630.0222399999991</v>
      </c>
      <c r="AK207" s="62"/>
      <c r="AL207" s="60">
        <v>2554.8983330000001</v>
      </c>
      <c r="AM207" s="60">
        <v>2554.8983330000001</v>
      </c>
      <c r="AN207" s="60">
        <v>2554.8983330000001</v>
      </c>
      <c r="AO207" s="60">
        <v>2554.8983330000001</v>
      </c>
      <c r="AP207" s="60">
        <v>2554.8983330000001</v>
      </c>
      <c r="AQ207" s="60">
        <v>2554.8983330000001</v>
      </c>
      <c r="AR207" s="61">
        <f t="shared" si="99"/>
        <v>15329.389998000002</v>
      </c>
      <c r="AS207" s="60">
        <v>2554.8983330000001</v>
      </c>
      <c r="AT207" s="60">
        <v>2554.8983330000001</v>
      </c>
      <c r="AU207" s="60">
        <v>2554.8983330000001</v>
      </c>
      <c r="AV207" s="60">
        <v>2554.8983330000001</v>
      </c>
      <c r="AW207" s="60">
        <v>2554.8983330000001</v>
      </c>
      <c r="AX207" s="60">
        <v>2554.8983330000001</v>
      </c>
      <c r="AY207" s="61">
        <f t="shared" si="100"/>
        <v>15329.389998000002</v>
      </c>
      <c r="AZ207" s="56">
        <f t="shared" si="95"/>
        <v>30658.779996000005</v>
      </c>
      <c r="BA207" s="62">
        <f t="shared" si="93"/>
        <v>459881.8</v>
      </c>
      <c r="BB207" s="62">
        <f t="shared" si="101"/>
        <v>431778.03999233374</v>
      </c>
      <c r="BC207" s="62">
        <f t="shared" si="94"/>
        <v>28103.760007666249</v>
      </c>
      <c r="BD207" s="63">
        <v>43433.119999999843</v>
      </c>
      <c r="BE207" s="57">
        <f t="shared" ref="BE207" si="104">BD207*2.2%</f>
        <v>955.52863999999659</v>
      </c>
      <c r="BF207" s="35" t="str">
        <f>VLOOKUP(A:A,'2023-2027'!A:G,1,+FALSE)</f>
        <v>Ограждение (сайдинг) 69м 2010г</v>
      </c>
      <c r="BG207" s="7" t="b">
        <f t="shared" si="74"/>
        <v>1</v>
      </c>
      <c r="BH207" s="35">
        <f>VLOOKUP(A:A,'2023-2027'!A:AT,43,+FALSE)</f>
        <v>2554.9000000000005</v>
      </c>
    </row>
    <row r="208" spans="1:60" ht="24" hidden="1" customHeight="1" outlineLevel="1" x14ac:dyDescent="0.2">
      <c r="A208" s="59" t="s">
        <v>615</v>
      </c>
      <c r="B208" s="61" t="s">
        <v>25</v>
      </c>
      <c r="C208" s="61" t="s">
        <v>25</v>
      </c>
      <c r="D208" s="66" t="s">
        <v>616</v>
      </c>
      <c r="E208" s="59" t="s">
        <v>617</v>
      </c>
      <c r="F208" s="60">
        <v>63791.67</v>
      </c>
      <c r="G208" s="60">
        <v>18226.080000000002</v>
      </c>
      <c r="H208" s="60">
        <v>45565.59</v>
      </c>
      <c r="I208" s="59"/>
      <c r="J208" s="60">
        <v>9113.16</v>
      </c>
      <c r="K208" s="59"/>
      <c r="L208" s="59"/>
      <c r="M208" s="60">
        <v>63791.67</v>
      </c>
      <c r="N208" s="60">
        <v>27339.24</v>
      </c>
      <c r="O208" s="60">
        <v>36452.43</v>
      </c>
      <c r="P208" s="55"/>
      <c r="Q208" s="55"/>
      <c r="R208" s="61">
        <f t="shared" si="96"/>
        <v>759.43</v>
      </c>
      <c r="S208" s="60">
        <v>759.43</v>
      </c>
      <c r="T208" s="60">
        <v>759.43</v>
      </c>
      <c r="U208" s="60">
        <v>759.43</v>
      </c>
      <c r="V208" s="60">
        <v>759.43</v>
      </c>
      <c r="W208" s="60">
        <v>759.43</v>
      </c>
      <c r="X208" s="61">
        <f t="shared" si="97"/>
        <v>4556.58</v>
      </c>
      <c r="Y208" s="60">
        <v>759.43</v>
      </c>
      <c r="Z208" s="60">
        <v>759.43</v>
      </c>
      <c r="AA208" s="60">
        <v>759.43</v>
      </c>
      <c r="AB208" s="60">
        <v>759.43</v>
      </c>
      <c r="AC208" s="60">
        <v>759.43</v>
      </c>
      <c r="AD208" s="60">
        <v>759.43</v>
      </c>
      <c r="AE208" s="61">
        <f t="shared" si="98"/>
        <v>4556.58</v>
      </c>
      <c r="AF208" s="62">
        <f t="shared" si="92"/>
        <v>63791.67</v>
      </c>
      <c r="AG208" s="62">
        <f t="shared" si="86"/>
        <v>36452.400000000001</v>
      </c>
      <c r="AH208" s="62">
        <f t="shared" si="102"/>
        <v>27339.269999999997</v>
      </c>
      <c r="AI208" s="63"/>
      <c r="AJ208" s="63"/>
      <c r="AK208" s="62"/>
      <c r="AL208" s="60">
        <v>759.43</v>
      </c>
      <c r="AM208" s="60">
        <v>759.43</v>
      </c>
      <c r="AN208" s="60">
        <v>759.43</v>
      </c>
      <c r="AO208" s="60">
        <v>759.43</v>
      </c>
      <c r="AP208" s="60">
        <v>759.43</v>
      </c>
      <c r="AQ208" s="60">
        <v>759.43</v>
      </c>
      <c r="AR208" s="61">
        <f t="shared" si="99"/>
        <v>4556.58</v>
      </c>
      <c r="AS208" s="60">
        <v>759.43</v>
      </c>
      <c r="AT208" s="60">
        <v>759.43</v>
      </c>
      <c r="AU208" s="60">
        <v>759.43</v>
      </c>
      <c r="AV208" s="60">
        <v>759.43</v>
      </c>
      <c r="AW208" s="60">
        <v>759.43</v>
      </c>
      <c r="AX208" s="60">
        <v>759.43</v>
      </c>
      <c r="AY208" s="61">
        <f t="shared" si="100"/>
        <v>4556.58</v>
      </c>
      <c r="AZ208" s="56">
        <f t="shared" si="95"/>
        <v>9113.16</v>
      </c>
      <c r="BA208" s="62">
        <f t="shared" si="93"/>
        <v>63791.67</v>
      </c>
      <c r="BB208" s="62">
        <f t="shared" si="101"/>
        <v>45565.560000000005</v>
      </c>
      <c r="BC208" s="62">
        <f t="shared" si="94"/>
        <v>18226.109999999993</v>
      </c>
      <c r="BD208" s="63"/>
      <c r="BE208" s="57"/>
      <c r="BF208" s="35" t="str">
        <f>VLOOKUP(A:A,'2023-2027'!A:G,1,+FALSE)</f>
        <v>Персональный компьютер (ExeGate special, AOS 27")</v>
      </c>
      <c r="BG208" s="7" t="b">
        <f t="shared" si="74"/>
        <v>1</v>
      </c>
      <c r="BH208" s="35">
        <f>VLOOKUP(A:A,'2023-2027'!A:AT,43,+FALSE)</f>
        <v>1771.9899999999977</v>
      </c>
    </row>
    <row r="209" spans="1:60" ht="24" hidden="1" customHeight="1" outlineLevel="1" x14ac:dyDescent="0.2">
      <c r="A209" s="59" t="s">
        <v>615</v>
      </c>
      <c r="B209" s="61" t="s">
        <v>25</v>
      </c>
      <c r="C209" s="61" t="s">
        <v>25</v>
      </c>
      <c r="D209" s="66" t="s">
        <v>618</v>
      </c>
      <c r="E209" s="59" t="s">
        <v>617</v>
      </c>
      <c r="F209" s="60">
        <v>63791.67</v>
      </c>
      <c r="G209" s="60">
        <v>18226.080000000002</v>
      </c>
      <c r="H209" s="60">
        <v>45565.59</v>
      </c>
      <c r="I209" s="59"/>
      <c r="J209" s="60">
        <v>9113.16</v>
      </c>
      <c r="K209" s="59"/>
      <c r="L209" s="59"/>
      <c r="M209" s="60">
        <v>63791.67</v>
      </c>
      <c r="N209" s="60">
        <v>27339.24</v>
      </c>
      <c r="O209" s="60">
        <v>36452.43</v>
      </c>
      <c r="P209" s="55"/>
      <c r="Q209" s="55"/>
      <c r="R209" s="61">
        <f t="shared" si="96"/>
        <v>759.43</v>
      </c>
      <c r="S209" s="60">
        <v>759.43</v>
      </c>
      <c r="T209" s="60">
        <v>759.43</v>
      </c>
      <c r="U209" s="60">
        <v>759.43</v>
      </c>
      <c r="V209" s="60">
        <v>759.43</v>
      </c>
      <c r="W209" s="60">
        <v>759.43</v>
      </c>
      <c r="X209" s="61">
        <f t="shared" si="97"/>
        <v>4556.58</v>
      </c>
      <c r="Y209" s="60">
        <v>759.43</v>
      </c>
      <c r="Z209" s="60">
        <v>759.43</v>
      </c>
      <c r="AA209" s="60">
        <v>759.43</v>
      </c>
      <c r="AB209" s="60">
        <v>759.43</v>
      </c>
      <c r="AC209" s="60">
        <v>759.43</v>
      </c>
      <c r="AD209" s="60">
        <v>759.43</v>
      </c>
      <c r="AE209" s="61">
        <f t="shared" si="98"/>
        <v>4556.58</v>
      </c>
      <c r="AF209" s="62">
        <f t="shared" si="92"/>
        <v>63791.67</v>
      </c>
      <c r="AG209" s="62">
        <f t="shared" si="86"/>
        <v>36452.400000000001</v>
      </c>
      <c r="AH209" s="62">
        <f t="shared" si="102"/>
        <v>27339.269999999997</v>
      </c>
      <c r="AI209" s="63"/>
      <c r="AJ209" s="63"/>
      <c r="AK209" s="62"/>
      <c r="AL209" s="60">
        <v>759.43</v>
      </c>
      <c r="AM209" s="60">
        <v>759.43</v>
      </c>
      <c r="AN209" s="60">
        <v>759.43</v>
      </c>
      <c r="AO209" s="60">
        <v>759.43</v>
      </c>
      <c r="AP209" s="60">
        <v>759.43</v>
      </c>
      <c r="AQ209" s="60">
        <v>759.43</v>
      </c>
      <c r="AR209" s="61">
        <f t="shared" si="99"/>
        <v>4556.58</v>
      </c>
      <c r="AS209" s="60">
        <v>759.43</v>
      </c>
      <c r="AT209" s="60">
        <v>759.43</v>
      </c>
      <c r="AU209" s="60">
        <v>759.43</v>
      </c>
      <c r="AV209" s="60">
        <v>759.43</v>
      </c>
      <c r="AW209" s="60">
        <v>759.43</v>
      </c>
      <c r="AX209" s="60">
        <v>759.43</v>
      </c>
      <c r="AY209" s="61">
        <f t="shared" si="100"/>
        <v>4556.58</v>
      </c>
      <c r="AZ209" s="56">
        <f t="shared" si="95"/>
        <v>9113.16</v>
      </c>
      <c r="BA209" s="62">
        <f t="shared" si="93"/>
        <v>63791.67</v>
      </c>
      <c r="BB209" s="62">
        <f t="shared" si="101"/>
        <v>45565.560000000005</v>
      </c>
      <c r="BC209" s="62">
        <f t="shared" si="94"/>
        <v>18226.109999999993</v>
      </c>
      <c r="BD209" s="63"/>
      <c r="BE209" s="57"/>
      <c r="BF209" s="35" t="str">
        <f>VLOOKUP(A:A,'2023-2027'!A:G,1,+FALSE)</f>
        <v>Персональный компьютер (ExeGate special, AOS 27")</v>
      </c>
      <c r="BG209" s="7" t="b">
        <f t="shared" si="74"/>
        <v>1</v>
      </c>
      <c r="BH209" s="35">
        <f>VLOOKUP(A:A,'2023-2027'!A:AT,43,+FALSE)</f>
        <v>1771.9899999999977</v>
      </c>
    </row>
    <row r="210" spans="1:60" ht="24" hidden="1" customHeight="1" outlineLevel="1" x14ac:dyDescent="0.2">
      <c r="A210" s="59" t="s">
        <v>615</v>
      </c>
      <c r="B210" s="61" t="s">
        <v>25</v>
      </c>
      <c r="C210" s="61" t="s">
        <v>25</v>
      </c>
      <c r="D210" s="66" t="s">
        <v>619</v>
      </c>
      <c r="E210" s="59" t="s">
        <v>617</v>
      </c>
      <c r="F210" s="60">
        <v>63791.67</v>
      </c>
      <c r="G210" s="60">
        <v>18226.080000000002</v>
      </c>
      <c r="H210" s="60">
        <v>45565.59</v>
      </c>
      <c r="I210" s="59"/>
      <c r="J210" s="60">
        <v>9113.16</v>
      </c>
      <c r="K210" s="59"/>
      <c r="L210" s="59"/>
      <c r="M210" s="60">
        <v>63791.67</v>
      </c>
      <c r="N210" s="60">
        <v>27339.24</v>
      </c>
      <c r="O210" s="60">
        <v>36452.43</v>
      </c>
      <c r="P210" s="55"/>
      <c r="Q210" s="55"/>
      <c r="R210" s="61">
        <f t="shared" si="96"/>
        <v>759.43</v>
      </c>
      <c r="S210" s="60">
        <v>759.43</v>
      </c>
      <c r="T210" s="60">
        <v>759.43</v>
      </c>
      <c r="U210" s="60">
        <v>759.43</v>
      </c>
      <c r="V210" s="60">
        <v>759.43</v>
      </c>
      <c r="W210" s="60">
        <v>759.43</v>
      </c>
      <c r="X210" s="61">
        <f t="shared" si="97"/>
        <v>4556.58</v>
      </c>
      <c r="Y210" s="60">
        <v>759.43</v>
      </c>
      <c r="Z210" s="60">
        <v>759.43</v>
      </c>
      <c r="AA210" s="60">
        <v>759.43</v>
      </c>
      <c r="AB210" s="60">
        <v>759.43</v>
      </c>
      <c r="AC210" s="60">
        <v>759.43</v>
      </c>
      <c r="AD210" s="60">
        <v>759.43</v>
      </c>
      <c r="AE210" s="61">
        <f t="shared" si="98"/>
        <v>4556.58</v>
      </c>
      <c r="AF210" s="62">
        <f t="shared" si="92"/>
        <v>63791.67</v>
      </c>
      <c r="AG210" s="62">
        <f t="shared" si="86"/>
        <v>36452.400000000001</v>
      </c>
      <c r="AH210" s="62">
        <f t="shared" si="102"/>
        <v>27339.269999999997</v>
      </c>
      <c r="AI210" s="63"/>
      <c r="AJ210" s="63"/>
      <c r="AK210" s="62"/>
      <c r="AL210" s="60">
        <v>759.43</v>
      </c>
      <c r="AM210" s="60">
        <v>759.43</v>
      </c>
      <c r="AN210" s="60">
        <v>759.43</v>
      </c>
      <c r="AO210" s="60">
        <v>759.43</v>
      </c>
      <c r="AP210" s="60">
        <v>759.43</v>
      </c>
      <c r="AQ210" s="60">
        <v>759.43</v>
      </c>
      <c r="AR210" s="61">
        <f t="shared" si="99"/>
        <v>4556.58</v>
      </c>
      <c r="AS210" s="60">
        <v>759.43</v>
      </c>
      <c r="AT210" s="60">
        <v>759.43</v>
      </c>
      <c r="AU210" s="60">
        <v>759.43</v>
      </c>
      <c r="AV210" s="60">
        <v>759.43</v>
      </c>
      <c r="AW210" s="60">
        <v>759.43</v>
      </c>
      <c r="AX210" s="60">
        <v>759.43</v>
      </c>
      <c r="AY210" s="61">
        <f t="shared" si="100"/>
        <v>4556.58</v>
      </c>
      <c r="AZ210" s="56">
        <f t="shared" si="95"/>
        <v>9113.16</v>
      </c>
      <c r="BA210" s="62">
        <f t="shared" si="93"/>
        <v>63791.67</v>
      </c>
      <c r="BB210" s="62">
        <f t="shared" si="101"/>
        <v>45565.560000000005</v>
      </c>
      <c r="BC210" s="62">
        <f t="shared" si="94"/>
        <v>18226.109999999993</v>
      </c>
      <c r="BD210" s="63"/>
      <c r="BE210" s="57"/>
      <c r="BF210" s="35" t="str">
        <f>VLOOKUP(A:A,'2023-2027'!A:G,1,+FALSE)</f>
        <v>Персональный компьютер (ExeGate special, AOS 27")</v>
      </c>
      <c r="BG210" s="7" t="b">
        <f t="shared" si="74"/>
        <v>1</v>
      </c>
      <c r="BH210" s="35">
        <f>VLOOKUP(A:A,'2023-2027'!A:AT,43,+FALSE)</f>
        <v>1771.9899999999977</v>
      </c>
    </row>
    <row r="211" spans="1:60" ht="24" hidden="1" customHeight="1" outlineLevel="1" x14ac:dyDescent="0.2">
      <c r="A211" s="59" t="s">
        <v>615</v>
      </c>
      <c r="B211" s="61" t="s">
        <v>25</v>
      </c>
      <c r="C211" s="61" t="s">
        <v>25</v>
      </c>
      <c r="D211" s="66" t="s">
        <v>620</v>
      </c>
      <c r="E211" s="59" t="s">
        <v>617</v>
      </c>
      <c r="F211" s="60">
        <v>63791.67</v>
      </c>
      <c r="G211" s="60">
        <v>18226.080000000002</v>
      </c>
      <c r="H211" s="60">
        <v>45565.59</v>
      </c>
      <c r="I211" s="59"/>
      <c r="J211" s="60">
        <v>9113.16</v>
      </c>
      <c r="K211" s="59"/>
      <c r="L211" s="59"/>
      <c r="M211" s="60">
        <v>63791.67</v>
      </c>
      <c r="N211" s="60">
        <v>27339.24</v>
      </c>
      <c r="O211" s="60">
        <v>36452.43</v>
      </c>
      <c r="P211" s="55"/>
      <c r="Q211" s="55"/>
      <c r="R211" s="61">
        <f t="shared" si="96"/>
        <v>759.43</v>
      </c>
      <c r="S211" s="60">
        <v>759.43</v>
      </c>
      <c r="T211" s="60">
        <v>759.43</v>
      </c>
      <c r="U211" s="60">
        <v>759.43</v>
      </c>
      <c r="V211" s="60">
        <v>759.43</v>
      </c>
      <c r="W211" s="60">
        <v>759.43</v>
      </c>
      <c r="X211" s="61">
        <f t="shared" si="97"/>
        <v>4556.58</v>
      </c>
      <c r="Y211" s="60">
        <v>759.43</v>
      </c>
      <c r="Z211" s="60">
        <v>759.43</v>
      </c>
      <c r="AA211" s="60">
        <v>759.43</v>
      </c>
      <c r="AB211" s="60">
        <v>759.43</v>
      </c>
      <c r="AC211" s="60">
        <v>759.43</v>
      </c>
      <c r="AD211" s="60">
        <v>759.43</v>
      </c>
      <c r="AE211" s="61">
        <f t="shared" si="98"/>
        <v>4556.58</v>
      </c>
      <c r="AF211" s="62">
        <f t="shared" si="92"/>
        <v>63791.67</v>
      </c>
      <c r="AG211" s="62">
        <f t="shared" si="86"/>
        <v>36452.400000000001</v>
      </c>
      <c r="AH211" s="62">
        <f t="shared" si="102"/>
        <v>27339.269999999997</v>
      </c>
      <c r="AI211" s="63"/>
      <c r="AJ211" s="63"/>
      <c r="AK211" s="62"/>
      <c r="AL211" s="60">
        <v>759.43</v>
      </c>
      <c r="AM211" s="60">
        <v>759.43</v>
      </c>
      <c r="AN211" s="60">
        <v>759.43</v>
      </c>
      <c r="AO211" s="60">
        <v>759.43</v>
      </c>
      <c r="AP211" s="60">
        <v>759.43</v>
      </c>
      <c r="AQ211" s="60">
        <v>759.43</v>
      </c>
      <c r="AR211" s="61">
        <f t="shared" si="99"/>
        <v>4556.58</v>
      </c>
      <c r="AS211" s="60">
        <v>759.43</v>
      </c>
      <c r="AT211" s="60">
        <v>759.43</v>
      </c>
      <c r="AU211" s="60">
        <v>759.43</v>
      </c>
      <c r="AV211" s="60">
        <v>759.43</v>
      </c>
      <c r="AW211" s="60">
        <v>759.43</v>
      </c>
      <c r="AX211" s="60">
        <v>759.43</v>
      </c>
      <c r="AY211" s="61">
        <f t="shared" si="100"/>
        <v>4556.58</v>
      </c>
      <c r="AZ211" s="56">
        <f t="shared" si="95"/>
        <v>9113.16</v>
      </c>
      <c r="BA211" s="62">
        <f t="shared" si="93"/>
        <v>63791.67</v>
      </c>
      <c r="BB211" s="62">
        <f t="shared" si="101"/>
        <v>45565.560000000005</v>
      </c>
      <c r="BC211" s="62">
        <f t="shared" si="94"/>
        <v>18226.109999999993</v>
      </c>
      <c r="BD211" s="63"/>
      <c r="BE211" s="57"/>
      <c r="BF211" s="35" t="str">
        <f>VLOOKUP(A:A,'2023-2027'!A:G,1,+FALSE)</f>
        <v>Персональный компьютер (ExeGate special, AOS 27")</v>
      </c>
      <c r="BG211" s="7" t="b">
        <f t="shared" si="74"/>
        <v>1</v>
      </c>
      <c r="BH211" s="35">
        <f>VLOOKUP(A:A,'2023-2027'!A:AT,43,+FALSE)</f>
        <v>1771.9899999999977</v>
      </c>
    </row>
    <row r="212" spans="1:60" ht="24" hidden="1" customHeight="1" outlineLevel="1" x14ac:dyDescent="0.2">
      <c r="A212" s="59" t="s">
        <v>615</v>
      </c>
      <c r="B212" s="61" t="s">
        <v>25</v>
      </c>
      <c r="C212" s="61" t="s">
        <v>25</v>
      </c>
      <c r="D212" s="66" t="s">
        <v>621</v>
      </c>
      <c r="E212" s="59" t="s">
        <v>617</v>
      </c>
      <c r="F212" s="60">
        <v>63791.67</v>
      </c>
      <c r="G212" s="60">
        <v>18226.080000000002</v>
      </c>
      <c r="H212" s="60">
        <v>45565.59</v>
      </c>
      <c r="I212" s="59"/>
      <c r="J212" s="60">
        <v>9113.16</v>
      </c>
      <c r="K212" s="59"/>
      <c r="L212" s="59"/>
      <c r="M212" s="60">
        <v>63791.67</v>
      </c>
      <c r="N212" s="60">
        <v>27339.24</v>
      </c>
      <c r="O212" s="60">
        <v>36452.43</v>
      </c>
      <c r="P212" s="55"/>
      <c r="Q212" s="55"/>
      <c r="R212" s="61">
        <f t="shared" si="96"/>
        <v>759.43</v>
      </c>
      <c r="S212" s="60">
        <v>759.43</v>
      </c>
      <c r="T212" s="60">
        <v>759.43</v>
      </c>
      <c r="U212" s="60">
        <v>759.43</v>
      </c>
      <c r="V212" s="60">
        <v>759.43</v>
      </c>
      <c r="W212" s="60">
        <v>759.43</v>
      </c>
      <c r="X212" s="61">
        <f t="shared" si="97"/>
        <v>4556.58</v>
      </c>
      <c r="Y212" s="60">
        <v>759.43</v>
      </c>
      <c r="Z212" s="60">
        <v>759.43</v>
      </c>
      <c r="AA212" s="60">
        <v>759.43</v>
      </c>
      <c r="AB212" s="60">
        <v>759.43</v>
      </c>
      <c r="AC212" s="60">
        <v>759.43</v>
      </c>
      <c r="AD212" s="60">
        <v>759.43</v>
      </c>
      <c r="AE212" s="61">
        <f t="shared" si="98"/>
        <v>4556.58</v>
      </c>
      <c r="AF212" s="62">
        <f t="shared" si="92"/>
        <v>63791.67</v>
      </c>
      <c r="AG212" s="62">
        <f t="shared" si="86"/>
        <v>36452.400000000001</v>
      </c>
      <c r="AH212" s="62">
        <f t="shared" si="102"/>
        <v>27339.269999999997</v>
      </c>
      <c r="AI212" s="63"/>
      <c r="AJ212" s="63"/>
      <c r="AK212" s="62"/>
      <c r="AL212" s="60">
        <v>759.43</v>
      </c>
      <c r="AM212" s="60">
        <v>759.43</v>
      </c>
      <c r="AN212" s="60">
        <v>759.43</v>
      </c>
      <c r="AO212" s="60">
        <v>759.43</v>
      </c>
      <c r="AP212" s="60">
        <v>759.43</v>
      </c>
      <c r="AQ212" s="60">
        <v>759.43</v>
      </c>
      <c r="AR212" s="61">
        <f t="shared" si="99"/>
        <v>4556.58</v>
      </c>
      <c r="AS212" s="60">
        <v>759.43</v>
      </c>
      <c r="AT212" s="60">
        <v>759.43</v>
      </c>
      <c r="AU212" s="60">
        <v>759.43</v>
      </c>
      <c r="AV212" s="60">
        <v>759.43</v>
      </c>
      <c r="AW212" s="60">
        <v>759.43</v>
      </c>
      <c r="AX212" s="60">
        <v>759.43</v>
      </c>
      <c r="AY212" s="61">
        <f t="shared" si="100"/>
        <v>4556.58</v>
      </c>
      <c r="AZ212" s="56">
        <f t="shared" si="95"/>
        <v>9113.16</v>
      </c>
      <c r="BA212" s="62">
        <f t="shared" si="93"/>
        <v>63791.67</v>
      </c>
      <c r="BB212" s="62">
        <f t="shared" si="101"/>
        <v>45565.560000000005</v>
      </c>
      <c r="BC212" s="62">
        <f t="shared" si="94"/>
        <v>18226.109999999993</v>
      </c>
      <c r="BD212" s="63"/>
      <c r="BE212" s="57"/>
      <c r="BF212" s="35" t="str">
        <f>VLOOKUP(A:A,'2023-2027'!A:G,1,+FALSE)</f>
        <v>Персональный компьютер (ExeGate special, AOS 27")</v>
      </c>
      <c r="BG212" s="7" t="b">
        <f t="shared" si="74"/>
        <v>1</v>
      </c>
      <c r="BH212" s="35">
        <f>VLOOKUP(A:A,'2023-2027'!A:AT,43,+FALSE)</f>
        <v>1771.9899999999977</v>
      </c>
    </row>
    <row r="213" spans="1:60" ht="24" hidden="1" customHeight="1" outlineLevel="1" x14ac:dyDescent="0.2">
      <c r="A213" s="59" t="s">
        <v>615</v>
      </c>
      <c r="B213" s="61" t="s">
        <v>25</v>
      </c>
      <c r="C213" s="61" t="s">
        <v>25</v>
      </c>
      <c r="D213" s="66" t="s">
        <v>622</v>
      </c>
      <c r="E213" s="59" t="s">
        <v>617</v>
      </c>
      <c r="F213" s="60">
        <v>63791.67</v>
      </c>
      <c r="G213" s="60">
        <v>18226.080000000002</v>
      </c>
      <c r="H213" s="60">
        <v>45565.59</v>
      </c>
      <c r="I213" s="59"/>
      <c r="J213" s="60">
        <v>9113.16</v>
      </c>
      <c r="K213" s="59"/>
      <c r="L213" s="59"/>
      <c r="M213" s="60">
        <v>63791.67</v>
      </c>
      <c r="N213" s="60">
        <v>27339.24</v>
      </c>
      <c r="O213" s="60">
        <v>36452.43</v>
      </c>
      <c r="P213" s="55"/>
      <c r="Q213" s="55"/>
      <c r="R213" s="61">
        <f t="shared" si="96"/>
        <v>759.43</v>
      </c>
      <c r="S213" s="60">
        <v>759.43</v>
      </c>
      <c r="T213" s="60">
        <v>759.43</v>
      </c>
      <c r="U213" s="60">
        <v>759.43</v>
      </c>
      <c r="V213" s="60">
        <v>759.43</v>
      </c>
      <c r="W213" s="60">
        <v>759.43</v>
      </c>
      <c r="X213" s="61">
        <f t="shared" si="97"/>
        <v>4556.58</v>
      </c>
      <c r="Y213" s="60">
        <v>759.43</v>
      </c>
      <c r="Z213" s="60">
        <v>759.43</v>
      </c>
      <c r="AA213" s="60">
        <v>759.43</v>
      </c>
      <c r="AB213" s="60">
        <v>759.43</v>
      </c>
      <c r="AC213" s="60">
        <v>759.43</v>
      </c>
      <c r="AD213" s="60">
        <v>759.43</v>
      </c>
      <c r="AE213" s="61">
        <f t="shared" si="98"/>
        <v>4556.58</v>
      </c>
      <c r="AF213" s="62">
        <f t="shared" si="92"/>
        <v>63791.67</v>
      </c>
      <c r="AG213" s="62">
        <f t="shared" si="86"/>
        <v>36452.400000000001</v>
      </c>
      <c r="AH213" s="62">
        <f t="shared" si="102"/>
        <v>27339.269999999997</v>
      </c>
      <c r="AI213" s="63"/>
      <c r="AJ213" s="63"/>
      <c r="AK213" s="62"/>
      <c r="AL213" s="60">
        <v>759.43</v>
      </c>
      <c r="AM213" s="60">
        <v>759.43</v>
      </c>
      <c r="AN213" s="60">
        <v>759.43</v>
      </c>
      <c r="AO213" s="60">
        <v>759.43</v>
      </c>
      <c r="AP213" s="60">
        <v>759.43</v>
      </c>
      <c r="AQ213" s="60">
        <v>759.43</v>
      </c>
      <c r="AR213" s="61">
        <f t="shared" si="99"/>
        <v>4556.58</v>
      </c>
      <c r="AS213" s="60">
        <v>759.43</v>
      </c>
      <c r="AT213" s="60">
        <v>759.43</v>
      </c>
      <c r="AU213" s="60">
        <v>759.43</v>
      </c>
      <c r="AV213" s="60">
        <v>759.43</v>
      </c>
      <c r="AW213" s="60">
        <v>759.43</v>
      </c>
      <c r="AX213" s="60">
        <v>759.43</v>
      </c>
      <c r="AY213" s="61">
        <f t="shared" si="100"/>
        <v>4556.58</v>
      </c>
      <c r="AZ213" s="56">
        <f t="shared" si="95"/>
        <v>9113.16</v>
      </c>
      <c r="BA213" s="62">
        <f t="shared" si="93"/>
        <v>63791.67</v>
      </c>
      <c r="BB213" s="62">
        <f t="shared" si="101"/>
        <v>45565.560000000005</v>
      </c>
      <c r="BC213" s="62">
        <f t="shared" si="94"/>
        <v>18226.109999999993</v>
      </c>
      <c r="BD213" s="63"/>
      <c r="BE213" s="57"/>
      <c r="BF213" s="35" t="str">
        <f>VLOOKUP(A:A,'2023-2027'!A:G,1,+FALSE)</f>
        <v>Персональный компьютер (ExeGate special, AOS 27")</v>
      </c>
      <c r="BG213" s="7" t="b">
        <f t="shared" si="74"/>
        <v>1</v>
      </c>
      <c r="BH213" s="35">
        <f>VLOOKUP(A:A,'2023-2027'!A:AT,43,+FALSE)</f>
        <v>1771.9899999999977</v>
      </c>
    </row>
    <row r="214" spans="1:60" ht="24" hidden="1" customHeight="1" outlineLevel="1" x14ac:dyDescent="0.2">
      <c r="A214" s="59" t="s">
        <v>615</v>
      </c>
      <c r="B214" s="61" t="s">
        <v>25</v>
      </c>
      <c r="C214" s="61" t="s">
        <v>25</v>
      </c>
      <c r="D214" s="66" t="s">
        <v>623</v>
      </c>
      <c r="E214" s="59" t="s">
        <v>617</v>
      </c>
      <c r="F214" s="60">
        <v>63791.67</v>
      </c>
      <c r="G214" s="60">
        <v>18226.080000000002</v>
      </c>
      <c r="H214" s="60">
        <v>45565.59</v>
      </c>
      <c r="I214" s="59"/>
      <c r="J214" s="60">
        <v>9113.16</v>
      </c>
      <c r="K214" s="59"/>
      <c r="L214" s="59"/>
      <c r="M214" s="60">
        <v>63791.67</v>
      </c>
      <c r="N214" s="60">
        <v>27339.24</v>
      </c>
      <c r="O214" s="60">
        <v>36452.43</v>
      </c>
      <c r="P214" s="55"/>
      <c r="Q214" s="55"/>
      <c r="R214" s="61">
        <f t="shared" si="96"/>
        <v>759.43</v>
      </c>
      <c r="S214" s="60">
        <v>759.43</v>
      </c>
      <c r="T214" s="60">
        <v>759.43</v>
      </c>
      <c r="U214" s="60">
        <v>759.43</v>
      </c>
      <c r="V214" s="60">
        <v>759.43</v>
      </c>
      <c r="W214" s="60">
        <v>759.43</v>
      </c>
      <c r="X214" s="61">
        <f t="shared" si="97"/>
        <v>4556.58</v>
      </c>
      <c r="Y214" s="60">
        <v>759.43</v>
      </c>
      <c r="Z214" s="60">
        <v>759.43</v>
      </c>
      <c r="AA214" s="60">
        <v>759.43</v>
      </c>
      <c r="AB214" s="60">
        <v>759.43</v>
      </c>
      <c r="AC214" s="60">
        <v>759.43</v>
      </c>
      <c r="AD214" s="60">
        <v>759.43</v>
      </c>
      <c r="AE214" s="61">
        <f t="shared" si="98"/>
        <v>4556.58</v>
      </c>
      <c r="AF214" s="62">
        <f t="shared" si="92"/>
        <v>63791.67</v>
      </c>
      <c r="AG214" s="62">
        <f t="shared" si="86"/>
        <v>36452.400000000001</v>
      </c>
      <c r="AH214" s="62">
        <f t="shared" si="102"/>
        <v>27339.269999999997</v>
      </c>
      <c r="AI214" s="63"/>
      <c r="AJ214" s="63"/>
      <c r="AK214" s="62"/>
      <c r="AL214" s="60">
        <v>759.43</v>
      </c>
      <c r="AM214" s="60">
        <v>759.43</v>
      </c>
      <c r="AN214" s="60">
        <v>759.43</v>
      </c>
      <c r="AO214" s="60">
        <v>759.43</v>
      </c>
      <c r="AP214" s="60">
        <v>759.43</v>
      </c>
      <c r="AQ214" s="60">
        <v>759.43</v>
      </c>
      <c r="AR214" s="61">
        <f t="shared" si="99"/>
        <v>4556.58</v>
      </c>
      <c r="AS214" s="60">
        <v>759.43</v>
      </c>
      <c r="AT214" s="60">
        <v>759.43</v>
      </c>
      <c r="AU214" s="60">
        <v>759.43</v>
      </c>
      <c r="AV214" s="60">
        <v>759.43</v>
      </c>
      <c r="AW214" s="60">
        <v>759.43</v>
      </c>
      <c r="AX214" s="60">
        <v>759.43</v>
      </c>
      <c r="AY214" s="61">
        <f t="shared" si="100"/>
        <v>4556.58</v>
      </c>
      <c r="AZ214" s="56">
        <f t="shared" si="95"/>
        <v>9113.16</v>
      </c>
      <c r="BA214" s="62">
        <f t="shared" si="93"/>
        <v>63791.67</v>
      </c>
      <c r="BB214" s="62">
        <f t="shared" si="101"/>
        <v>45565.560000000005</v>
      </c>
      <c r="BC214" s="62">
        <f t="shared" si="94"/>
        <v>18226.109999999993</v>
      </c>
      <c r="BD214" s="63"/>
      <c r="BE214" s="57"/>
      <c r="BF214" s="35" t="str">
        <f>VLOOKUP(A:A,'2023-2027'!A:G,1,+FALSE)</f>
        <v>Персональный компьютер (ExeGate special, AOS 27")</v>
      </c>
      <c r="BG214" s="7" t="b">
        <f t="shared" ref="BG214:BG277" si="105">OR(EXACT(BF214,$A$4:$A$1071))</f>
        <v>1</v>
      </c>
      <c r="BH214" s="35">
        <f>VLOOKUP(A:A,'2023-2027'!A:AT,43,+FALSE)</f>
        <v>1771.9899999999977</v>
      </c>
    </row>
    <row r="215" spans="1:60" ht="24" hidden="1" customHeight="1" outlineLevel="1" x14ac:dyDescent="0.2">
      <c r="A215" s="59" t="s">
        <v>615</v>
      </c>
      <c r="B215" s="61" t="s">
        <v>25</v>
      </c>
      <c r="C215" s="61" t="s">
        <v>25</v>
      </c>
      <c r="D215" s="66" t="s">
        <v>624</v>
      </c>
      <c r="E215" s="59" t="s">
        <v>617</v>
      </c>
      <c r="F215" s="60">
        <v>63791.67</v>
      </c>
      <c r="G215" s="60">
        <v>18226.080000000002</v>
      </c>
      <c r="H215" s="60">
        <v>45565.59</v>
      </c>
      <c r="I215" s="59"/>
      <c r="J215" s="60">
        <v>9113.16</v>
      </c>
      <c r="K215" s="59"/>
      <c r="L215" s="59"/>
      <c r="M215" s="60">
        <v>63791.67</v>
      </c>
      <c r="N215" s="60">
        <v>27339.24</v>
      </c>
      <c r="O215" s="60">
        <v>36452.43</v>
      </c>
      <c r="P215" s="55"/>
      <c r="Q215" s="55"/>
      <c r="R215" s="61">
        <f t="shared" si="96"/>
        <v>759.43</v>
      </c>
      <c r="S215" s="60">
        <v>759.43</v>
      </c>
      <c r="T215" s="60">
        <v>759.43</v>
      </c>
      <c r="U215" s="60">
        <v>759.43</v>
      </c>
      <c r="V215" s="60">
        <v>759.43</v>
      </c>
      <c r="W215" s="60">
        <v>759.43</v>
      </c>
      <c r="X215" s="61">
        <f t="shared" si="97"/>
        <v>4556.58</v>
      </c>
      <c r="Y215" s="60">
        <v>759.43</v>
      </c>
      <c r="Z215" s="60">
        <v>759.43</v>
      </c>
      <c r="AA215" s="60">
        <v>759.43</v>
      </c>
      <c r="AB215" s="60">
        <v>759.43</v>
      </c>
      <c r="AC215" s="60">
        <v>759.43</v>
      </c>
      <c r="AD215" s="60">
        <v>759.43</v>
      </c>
      <c r="AE215" s="61">
        <f t="shared" si="98"/>
        <v>4556.58</v>
      </c>
      <c r="AF215" s="62">
        <f t="shared" si="92"/>
        <v>63791.67</v>
      </c>
      <c r="AG215" s="62">
        <f t="shared" si="86"/>
        <v>36452.400000000001</v>
      </c>
      <c r="AH215" s="62">
        <f t="shared" si="102"/>
        <v>27339.269999999997</v>
      </c>
      <c r="AI215" s="63"/>
      <c r="AJ215" s="63"/>
      <c r="AK215" s="62"/>
      <c r="AL215" s="60">
        <v>759.43</v>
      </c>
      <c r="AM215" s="60">
        <v>759.43</v>
      </c>
      <c r="AN215" s="60">
        <v>759.43</v>
      </c>
      <c r="AO215" s="60">
        <v>759.43</v>
      </c>
      <c r="AP215" s="60">
        <v>759.43</v>
      </c>
      <c r="AQ215" s="60">
        <v>759.43</v>
      </c>
      <c r="AR215" s="61">
        <f t="shared" si="99"/>
        <v>4556.58</v>
      </c>
      <c r="AS215" s="60">
        <v>759.43</v>
      </c>
      <c r="AT215" s="60">
        <v>759.43</v>
      </c>
      <c r="AU215" s="60">
        <v>759.43</v>
      </c>
      <c r="AV215" s="60">
        <v>759.43</v>
      </c>
      <c r="AW215" s="60">
        <v>759.43</v>
      </c>
      <c r="AX215" s="60">
        <v>759.43</v>
      </c>
      <c r="AY215" s="61">
        <f t="shared" si="100"/>
        <v>4556.58</v>
      </c>
      <c r="AZ215" s="56">
        <f t="shared" si="95"/>
        <v>9113.16</v>
      </c>
      <c r="BA215" s="62">
        <f t="shared" si="93"/>
        <v>63791.67</v>
      </c>
      <c r="BB215" s="62">
        <f t="shared" si="101"/>
        <v>45565.560000000005</v>
      </c>
      <c r="BC215" s="62">
        <f t="shared" si="94"/>
        <v>18226.109999999993</v>
      </c>
      <c r="BD215" s="63"/>
      <c r="BE215" s="57"/>
      <c r="BF215" s="35" t="str">
        <f>VLOOKUP(A:A,'2023-2027'!A:G,1,+FALSE)</f>
        <v>Персональный компьютер (ExeGate special, AOS 27")</v>
      </c>
      <c r="BG215" s="7" t="b">
        <f t="shared" si="105"/>
        <v>1</v>
      </c>
      <c r="BH215" s="35">
        <f>VLOOKUP(A:A,'2023-2027'!A:AT,43,+FALSE)</f>
        <v>1771.9899999999977</v>
      </c>
    </row>
    <row r="216" spans="1:60" ht="24" hidden="1" customHeight="1" outlineLevel="1" x14ac:dyDescent="0.2">
      <c r="A216" s="59" t="s">
        <v>615</v>
      </c>
      <c r="B216" s="61" t="s">
        <v>25</v>
      </c>
      <c r="C216" s="61" t="s">
        <v>25</v>
      </c>
      <c r="D216" s="66" t="s">
        <v>625</v>
      </c>
      <c r="E216" s="59" t="s">
        <v>617</v>
      </c>
      <c r="F216" s="60">
        <v>63791.68</v>
      </c>
      <c r="G216" s="60">
        <v>18226.080000000002</v>
      </c>
      <c r="H216" s="60">
        <v>45565.599999999999</v>
      </c>
      <c r="I216" s="59"/>
      <c r="J216" s="60">
        <v>9113.16</v>
      </c>
      <c r="K216" s="59"/>
      <c r="L216" s="59"/>
      <c r="M216" s="60">
        <v>63791.68</v>
      </c>
      <c r="N216" s="60">
        <v>27339.24</v>
      </c>
      <c r="O216" s="60">
        <v>36452.44</v>
      </c>
      <c r="P216" s="55"/>
      <c r="Q216" s="55"/>
      <c r="R216" s="61">
        <f t="shared" si="96"/>
        <v>759.43</v>
      </c>
      <c r="S216" s="60">
        <v>759.43</v>
      </c>
      <c r="T216" s="60">
        <v>759.43</v>
      </c>
      <c r="U216" s="60">
        <v>759.43</v>
      </c>
      <c r="V216" s="60">
        <v>759.43</v>
      </c>
      <c r="W216" s="60">
        <v>759.43</v>
      </c>
      <c r="X216" s="61">
        <f t="shared" si="97"/>
        <v>4556.58</v>
      </c>
      <c r="Y216" s="60">
        <v>759.43</v>
      </c>
      <c r="Z216" s="60">
        <v>759.43</v>
      </c>
      <c r="AA216" s="60">
        <v>759.43</v>
      </c>
      <c r="AB216" s="60">
        <v>759.43</v>
      </c>
      <c r="AC216" s="60">
        <v>759.43</v>
      </c>
      <c r="AD216" s="60">
        <v>759.43</v>
      </c>
      <c r="AE216" s="61">
        <f t="shared" si="98"/>
        <v>4556.58</v>
      </c>
      <c r="AF216" s="62">
        <f t="shared" si="92"/>
        <v>63791.68</v>
      </c>
      <c r="AG216" s="62">
        <f t="shared" si="86"/>
        <v>36452.400000000001</v>
      </c>
      <c r="AH216" s="62">
        <f t="shared" si="102"/>
        <v>27339.279999999999</v>
      </c>
      <c r="AI216" s="63"/>
      <c r="AJ216" s="63"/>
      <c r="AK216" s="62"/>
      <c r="AL216" s="60">
        <v>759.43</v>
      </c>
      <c r="AM216" s="60">
        <v>759.43</v>
      </c>
      <c r="AN216" s="60">
        <v>759.43</v>
      </c>
      <c r="AO216" s="60">
        <v>759.43</v>
      </c>
      <c r="AP216" s="60">
        <v>759.43</v>
      </c>
      <c r="AQ216" s="60">
        <v>759.43</v>
      </c>
      <c r="AR216" s="61">
        <f t="shared" si="99"/>
        <v>4556.58</v>
      </c>
      <c r="AS216" s="60">
        <v>759.43</v>
      </c>
      <c r="AT216" s="60">
        <v>759.43</v>
      </c>
      <c r="AU216" s="60">
        <v>759.43</v>
      </c>
      <c r="AV216" s="60">
        <v>759.43</v>
      </c>
      <c r="AW216" s="60">
        <v>759.43</v>
      </c>
      <c r="AX216" s="60">
        <v>759.43</v>
      </c>
      <c r="AY216" s="61">
        <f t="shared" si="100"/>
        <v>4556.58</v>
      </c>
      <c r="AZ216" s="56">
        <f t="shared" si="95"/>
        <v>9113.16</v>
      </c>
      <c r="BA216" s="62">
        <f t="shared" si="93"/>
        <v>63791.68</v>
      </c>
      <c r="BB216" s="62">
        <f t="shared" si="101"/>
        <v>45565.560000000005</v>
      </c>
      <c r="BC216" s="62">
        <f t="shared" si="94"/>
        <v>18226.119999999995</v>
      </c>
      <c r="BD216" s="63"/>
      <c r="BE216" s="57"/>
      <c r="BF216" s="35" t="str">
        <f>VLOOKUP(A:A,'2023-2027'!A:G,1,+FALSE)</f>
        <v>Персональный компьютер (ExeGate special, AOS 27")</v>
      </c>
      <c r="BG216" s="7" t="b">
        <f t="shared" si="105"/>
        <v>1</v>
      </c>
      <c r="BH216" s="35">
        <f>VLOOKUP(A:A,'2023-2027'!A:AT,43,+FALSE)</f>
        <v>1771.9899999999977</v>
      </c>
    </row>
    <row r="217" spans="1:60" ht="24" hidden="1" customHeight="1" outlineLevel="1" x14ac:dyDescent="0.2">
      <c r="A217" s="59" t="s">
        <v>615</v>
      </c>
      <c r="B217" s="61" t="s">
        <v>25</v>
      </c>
      <c r="C217" s="61" t="s">
        <v>25</v>
      </c>
      <c r="D217" s="66" t="s">
        <v>626</v>
      </c>
      <c r="E217" s="59" t="s">
        <v>617</v>
      </c>
      <c r="F217" s="60">
        <v>63791.68</v>
      </c>
      <c r="G217" s="60">
        <v>18226.080000000002</v>
      </c>
      <c r="H217" s="60">
        <v>45565.599999999999</v>
      </c>
      <c r="I217" s="59"/>
      <c r="J217" s="60">
        <v>9113.16</v>
      </c>
      <c r="K217" s="59"/>
      <c r="L217" s="59"/>
      <c r="M217" s="60">
        <v>63791.68</v>
      </c>
      <c r="N217" s="60">
        <v>27339.24</v>
      </c>
      <c r="O217" s="60">
        <v>36452.44</v>
      </c>
      <c r="P217" s="55"/>
      <c r="Q217" s="55"/>
      <c r="R217" s="61">
        <f t="shared" si="96"/>
        <v>759.43</v>
      </c>
      <c r="S217" s="60">
        <v>759.43</v>
      </c>
      <c r="T217" s="60">
        <v>759.43</v>
      </c>
      <c r="U217" s="60">
        <v>759.43</v>
      </c>
      <c r="V217" s="60">
        <v>759.43</v>
      </c>
      <c r="W217" s="60">
        <v>759.43</v>
      </c>
      <c r="X217" s="61">
        <f t="shared" si="97"/>
        <v>4556.58</v>
      </c>
      <c r="Y217" s="60">
        <v>759.43</v>
      </c>
      <c r="Z217" s="60">
        <v>759.43</v>
      </c>
      <c r="AA217" s="60">
        <v>759.43</v>
      </c>
      <c r="AB217" s="60">
        <v>759.43</v>
      </c>
      <c r="AC217" s="60">
        <v>759.43</v>
      </c>
      <c r="AD217" s="60">
        <v>759.43</v>
      </c>
      <c r="AE217" s="61">
        <f t="shared" si="98"/>
        <v>4556.58</v>
      </c>
      <c r="AF217" s="62">
        <f t="shared" si="92"/>
        <v>63791.68</v>
      </c>
      <c r="AG217" s="62">
        <f t="shared" si="86"/>
        <v>36452.400000000001</v>
      </c>
      <c r="AH217" s="62">
        <f t="shared" si="102"/>
        <v>27339.279999999999</v>
      </c>
      <c r="AI217" s="63"/>
      <c r="AJ217" s="63"/>
      <c r="AK217" s="62"/>
      <c r="AL217" s="60">
        <v>759.43</v>
      </c>
      <c r="AM217" s="60">
        <v>759.43</v>
      </c>
      <c r="AN217" s="60">
        <v>759.43</v>
      </c>
      <c r="AO217" s="60">
        <v>759.43</v>
      </c>
      <c r="AP217" s="60">
        <v>759.43</v>
      </c>
      <c r="AQ217" s="60">
        <v>759.43</v>
      </c>
      <c r="AR217" s="61">
        <f t="shared" si="99"/>
        <v>4556.58</v>
      </c>
      <c r="AS217" s="60">
        <v>759.43</v>
      </c>
      <c r="AT217" s="60">
        <v>759.43</v>
      </c>
      <c r="AU217" s="60">
        <v>759.43</v>
      </c>
      <c r="AV217" s="60">
        <v>759.43</v>
      </c>
      <c r="AW217" s="60">
        <v>759.43</v>
      </c>
      <c r="AX217" s="60">
        <v>759.43</v>
      </c>
      <c r="AY217" s="61">
        <f t="shared" si="100"/>
        <v>4556.58</v>
      </c>
      <c r="AZ217" s="56">
        <f t="shared" si="95"/>
        <v>9113.16</v>
      </c>
      <c r="BA217" s="62">
        <f t="shared" si="93"/>
        <v>63791.68</v>
      </c>
      <c r="BB217" s="62">
        <f t="shared" si="101"/>
        <v>45565.560000000005</v>
      </c>
      <c r="BC217" s="62">
        <f t="shared" si="94"/>
        <v>18226.119999999995</v>
      </c>
      <c r="BD217" s="63"/>
      <c r="BE217" s="57"/>
      <c r="BF217" s="35" t="str">
        <f>VLOOKUP(A:A,'2023-2027'!A:G,1,+FALSE)</f>
        <v>Персональный компьютер (ExeGate special, AOS 27")</v>
      </c>
      <c r="BG217" s="7" t="b">
        <f t="shared" si="105"/>
        <v>1</v>
      </c>
      <c r="BH217" s="35">
        <f>VLOOKUP(A:A,'2023-2027'!A:AT,43,+FALSE)</f>
        <v>1771.9899999999977</v>
      </c>
    </row>
    <row r="218" spans="1:60" ht="24" hidden="1" customHeight="1" outlineLevel="1" x14ac:dyDescent="0.2">
      <c r="A218" s="59" t="s">
        <v>627</v>
      </c>
      <c r="B218" s="61" t="s">
        <v>25</v>
      </c>
      <c r="C218" s="61" t="s">
        <v>25</v>
      </c>
      <c r="D218" s="66" t="s">
        <v>628</v>
      </c>
      <c r="E218" s="59" t="s">
        <v>617</v>
      </c>
      <c r="F218" s="60">
        <v>51958.33</v>
      </c>
      <c r="G218" s="60">
        <v>14845.2</v>
      </c>
      <c r="H218" s="60">
        <v>37113.129999999997</v>
      </c>
      <c r="I218" s="59"/>
      <c r="J218" s="60">
        <v>7422.6</v>
      </c>
      <c r="K218" s="59"/>
      <c r="L218" s="59"/>
      <c r="M218" s="60">
        <v>51958.33</v>
      </c>
      <c r="N218" s="60">
        <v>22267.8</v>
      </c>
      <c r="O218" s="60">
        <v>29690.53</v>
      </c>
      <c r="P218" s="55"/>
      <c r="Q218" s="55"/>
      <c r="R218" s="61">
        <f t="shared" si="96"/>
        <v>618.55000000000007</v>
      </c>
      <c r="S218" s="60">
        <v>618.54999999999995</v>
      </c>
      <c r="T218" s="60">
        <v>618.54999999999995</v>
      </c>
      <c r="U218" s="60">
        <v>618.54999999999995</v>
      </c>
      <c r="V218" s="60">
        <v>618.54999999999995</v>
      </c>
      <c r="W218" s="60">
        <v>618.54999999999995</v>
      </c>
      <c r="X218" s="61">
        <f t="shared" si="97"/>
        <v>3711.3</v>
      </c>
      <c r="Y218" s="60">
        <v>618.54999999999995</v>
      </c>
      <c r="Z218" s="60">
        <v>618.54999999999995</v>
      </c>
      <c r="AA218" s="60">
        <v>618.54999999999995</v>
      </c>
      <c r="AB218" s="60">
        <v>618.54999999999995</v>
      </c>
      <c r="AC218" s="60">
        <v>618.54999999999995</v>
      </c>
      <c r="AD218" s="60">
        <v>618.54999999999995</v>
      </c>
      <c r="AE218" s="61">
        <f t="shared" si="98"/>
        <v>3711.3</v>
      </c>
      <c r="AF218" s="62">
        <f t="shared" si="92"/>
        <v>51958.33</v>
      </c>
      <c r="AG218" s="62">
        <f t="shared" si="86"/>
        <v>29690.399999999991</v>
      </c>
      <c r="AH218" s="62">
        <f t="shared" si="102"/>
        <v>22267.930000000011</v>
      </c>
      <c r="AI218" s="63"/>
      <c r="AJ218" s="63"/>
      <c r="AK218" s="62"/>
      <c r="AL218" s="60">
        <v>618.54999999999995</v>
      </c>
      <c r="AM218" s="60">
        <v>618.54999999999995</v>
      </c>
      <c r="AN218" s="60">
        <v>618.54999999999995</v>
      </c>
      <c r="AO218" s="60">
        <v>618.54999999999995</v>
      </c>
      <c r="AP218" s="60">
        <v>618.54999999999995</v>
      </c>
      <c r="AQ218" s="60">
        <v>618.54999999999995</v>
      </c>
      <c r="AR218" s="61">
        <f t="shared" si="99"/>
        <v>3711.3</v>
      </c>
      <c r="AS218" s="60">
        <v>618.54999999999995</v>
      </c>
      <c r="AT218" s="60">
        <v>618.54999999999995</v>
      </c>
      <c r="AU218" s="60">
        <v>618.54999999999995</v>
      </c>
      <c r="AV218" s="60">
        <v>618.54999999999995</v>
      </c>
      <c r="AW218" s="60">
        <v>618.54999999999995</v>
      </c>
      <c r="AX218" s="60">
        <v>618.54999999999995</v>
      </c>
      <c r="AY218" s="61">
        <f t="shared" si="100"/>
        <v>3711.3</v>
      </c>
      <c r="AZ218" s="56">
        <f t="shared" si="95"/>
        <v>7422.6</v>
      </c>
      <c r="BA218" s="62">
        <f t="shared" si="93"/>
        <v>51958.33</v>
      </c>
      <c r="BB218" s="62">
        <f t="shared" si="101"/>
        <v>37113.000000000007</v>
      </c>
      <c r="BC218" s="62">
        <f t="shared" si="94"/>
        <v>14845.329999999994</v>
      </c>
      <c r="BD218" s="63"/>
      <c r="BE218" s="57"/>
      <c r="BF218" s="35" t="str">
        <f>VLOOKUP(A:A,'2023-2027'!A:G,1,+FALSE)</f>
        <v>Персональный компьютер (ExeGate special)</v>
      </c>
      <c r="BG218" s="7" t="b">
        <f t="shared" si="105"/>
        <v>1</v>
      </c>
      <c r="BH218" s="35">
        <f>VLOOKUP(A:A,'2023-2027'!A:AT,43,+FALSE)</f>
        <v>0</v>
      </c>
    </row>
    <row r="219" spans="1:60" ht="24" hidden="1" customHeight="1" outlineLevel="1" x14ac:dyDescent="0.2">
      <c r="A219" s="59" t="s">
        <v>627</v>
      </c>
      <c r="B219" s="61" t="s">
        <v>25</v>
      </c>
      <c r="C219" s="61" t="s">
        <v>25</v>
      </c>
      <c r="D219" s="66" t="s">
        <v>629</v>
      </c>
      <c r="E219" s="59" t="s">
        <v>617</v>
      </c>
      <c r="F219" s="60">
        <v>51958.34</v>
      </c>
      <c r="G219" s="60">
        <v>14845.2</v>
      </c>
      <c r="H219" s="60">
        <v>37113.14</v>
      </c>
      <c r="I219" s="59"/>
      <c r="J219" s="60">
        <v>7422.6</v>
      </c>
      <c r="K219" s="59"/>
      <c r="L219" s="59"/>
      <c r="M219" s="60">
        <v>51958.34</v>
      </c>
      <c r="N219" s="60">
        <v>22267.8</v>
      </c>
      <c r="O219" s="60">
        <v>29690.54</v>
      </c>
      <c r="P219" s="55"/>
      <c r="Q219" s="55"/>
      <c r="R219" s="61">
        <f t="shared" si="96"/>
        <v>618.55000000000007</v>
      </c>
      <c r="S219" s="60">
        <v>618.54999999999995</v>
      </c>
      <c r="T219" s="60">
        <v>618.54999999999995</v>
      </c>
      <c r="U219" s="60">
        <v>618.54999999999995</v>
      </c>
      <c r="V219" s="60">
        <v>618.54999999999995</v>
      </c>
      <c r="W219" s="60">
        <v>618.54999999999995</v>
      </c>
      <c r="X219" s="61">
        <f t="shared" si="97"/>
        <v>3711.3</v>
      </c>
      <c r="Y219" s="60">
        <v>618.54999999999995</v>
      </c>
      <c r="Z219" s="60">
        <v>618.54999999999995</v>
      </c>
      <c r="AA219" s="60">
        <v>618.54999999999995</v>
      </c>
      <c r="AB219" s="60">
        <v>618.54999999999995</v>
      </c>
      <c r="AC219" s="60">
        <v>618.54999999999995</v>
      </c>
      <c r="AD219" s="60">
        <v>618.54999999999995</v>
      </c>
      <c r="AE219" s="61">
        <f t="shared" si="98"/>
        <v>3711.3</v>
      </c>
      <c r="AF219" s="62">
        <f t="shared" si="92"/>
        <v>51958.34</v>
      </c>
      <c r="AG219" s="62">
        <f t="shared" si="86"/>
        <v>29690.399999999991</v>
      </c>
      <c r="AH219" s="62">
        <f t="shared" si="102"/>
        <v>22267.940000000006</v>
      </c>
      <c r="AI219" s="63"/>
      <c r="AJ219" s="63"/>
      <c r="AK219" s="62"/>
      <c r="AL219" s="60">
        <v>618.54999999999995</v>
      </c>
      <c r="AM219" s="60">
        <v>618.54999999999995</v>
      </c>
      <c r="AN219" s="60">
        <v>618.54999999999995</v>
      </c>
      <c r="AO219" s="60">
        <v>618.54999999999995</v>
      </c>
      <c r="AP219" s="60">
        <v>618.54999999999995</v>
      </c>
      <c r="AQ219" s="60">
        <v>618.54999999999995</v>
      </c>
      <c r="AR219" s="61">
        <f t="shared" si="99"/>
        <v>3711.3</v>
      </c>
      <c r="AS219" s="60">
        <v>618.54999999999995</v>
      </c>
      <c r="AT219" s="60">
        <v>618.54999999999995</v>
      </c>
      <c r="AU219" s="60">
        <v>618.54999999999995</v>
      </c>
      <c r="AV219" s="60">
        <v>618.54999999999995</v>
      </c>
      <c r="AW219" s="60">
        <v>618.54999999999995</v>
      </c>
      <c r="AX219" s="60">
        <v>618.54999999999995</v>
      </c>
      <c r="AY219" s="61">
        <f t="shared" si="100"/>
        <v>3711.3</v>
      </c>
      <c r="AZ219" s="56">
        <f t="shared" si="95"/>
        <v>7422.6</v>
      </c>
      <c r="BA219" s="62">
        <f t="shared" si="93"/>
        <v>51958.34</v>
      </c>
      <c r="BB219" s="62">
        <f t="shared" si="101"/>
        <v>37113.000000000007</v>
      </c>
      <c r="BC219" s="62">
        <f t="shared" si="94"/>
        <v>14845.339999999989</v>
      </c>
      <c r="BD219" s="63"/>
      <c r="BE219" s="57"/>
      <c r="BF219" s="35" t="str">
        <f>VLOOKUP(A:A,'2023-2027'!A:G,1,+FALSE)</f>
        <v>Персональный компьютер (ExeGate special)</v>
      </c>
      <c r="BG219" s="7" t="b">
        <f t="shared" si="105"/>
        <v>1</v>
      </c>
      <c r="BH219" s="35">
        <f>VLOOKUP(A:A,'2023-2027'!A:AT,43,+FALSE)</f>
        <v>0</v>
      </c>
    </row>
    <row r="220" spans="1:60" ht="24" hidden="1" customHeight="1" outlineLevel="1" x14ac:dyDescent="0.2">
      <c r="A220" s="59" t="s">
        <v>627</v>
      </c>
      <c r="B220" s="61" t="s">
        <v>25</v>
      </c>
      <c r="C220" s="61" t="s">
        <v>25</v>
      </c>
      <c r="D220" s="66" t="s">
        <v>630</v>
      </c>
      <c r="E220" s="59" t="s">
        <v>617</v>
      </c>
      <c r="F220" s="60">
        <v>51958.34</v>
      </c>
      <c r="G220" s="60">
        <v>14845.2</v>
      </c>
      <c r="H220" s="60">
        <v>37113.14</v>
      </c>
      <c r="I220" s="59"/>
      <c r="J220" s="60">
        <v>7422.6</v>
      </c>
      <c r="K220" s="59"/>
      <c r="L220" s="59"/>
      <c r="M220" s="60">
        <v>51958.34</v>
      </c>
      <c r="N220" s="60">
        <v>22267.8</v>
      </c>
      <c r="O220" s="60">
        <v>29690.54</v>
      </c>
      <c r="P220" s="55"/>
      <c r="Q220" s="55"/>
      <c r="R220" s="61">
        <f t="shared" si="96"/>
        <v>618.55000000000007</v>
      </c>
      <c r="S220" s="60">
        <v>618.54999999999995</v>
      </c>
      <c r="T220" s="60">
        <v>618.54999999999995</v>
      </c>
      <c r="U220" s="60">
        <v>618.54999999999995</v>
      </c>
      <c r="V220" s="60">
        <v>618.54999999999995</v>
      </c>
      <c r="W220" s="60">
        <v>618.54999999999995</v>
      </c>
      <c r="X220" s="61">
        <f t="shared" si="97"/>
        <v>3711.3</v>
      </c>
      <c r="Y220" s="60">
        <v>618.54999999999995</v>
      </c>
      <c r="Z220" s="60">
        <v>618.54999999999995</v>
      </c>
      <c r="AA220" s="60">
        <v>618.54999999999995</v>
      </c>
      <c r="AB220" s="60">
        <v>618.54999999999995</v>
      </c>
      <c r="AC220" s="60">
        <v>618.54999999999995</v>
      </c>
      <c r="AD220" s="60">
        <v>618.54999999999995</v>
      </c>
      <c r="AE220" s="61">
        <f t="shared" si="98"/>
        <v>3711.3</v>
      </c>
      <c r="AF220" s="62">
        <f t="shared" si="92"/>
        <v>51958.34</v>
      </c>
      <c r="AG220" s="62">
        <f t="shared" si="86"/>
        <v>29690.399999999991</v>
      </c>
      <c r="AH220" s="62">
        <f t="shared" si="102"/>
        <v>22267.940000000006</v>
      </c>
      <c r="AI220" s="63"/>
      <c r="AJ220" s="63"/>
      <c r="AK220" s="62"/>
      <c r="AL220" s="60">
        <v>618.54999999999995</v>
      </c>
      <c r="AM220" s="60">
        <v>618.54999999999995</v>
      </c>
      <c r="AN220" s="60">
        <v>618.54999999999995</v>
      </c>
      <c r="AO220" s="60">
        <v>618.54999999999995</v>
      </c>
      <c r="AP220" s="60">
        <v>618.54999999999995</v>
      </c>
      <c r="AQ220" s="60">
        <v>618.54999999999995</v>
      </c>
      <c r="AR220" s="61">
        <f t="shared" si="99"/>
        <v>3711.3</v>
      </c>
      <c r="AS220" s="60">
        <v>618.54999999999995</v>
      </c>
      <c r="AT220" s="60">
        <v>618.54999999999995</v>
      </c>
      <c r="AU220" s="60">
        <v>618.54999999999995</v>
      </c>
      <c r="AV220" s="60">
        <v>618.54999999999995</v>
      </c>
      <c r="AW220" s="60">
        <v>618.54999999999995</v>
      </c>
      <c r="AX220" s="60">
        <v>618.54999999999995</v>
      </c>
      <c r="AY220" s="61">
        <f t="shared" si="100"/>
        <v>3711.3</v>
      </c>
      <c r="AZ220" s="56">
        <f t="shared" si="95"/>
        <v>7422.6</v>
      </c>
      <c r="BA220" s="62">
        <f t="shared" si="93"/>
        <v>51958.34</v>
      </c>
      <c r="BB220" s="62">
        <f t="shared" si="101"/>
        <v>37113.000000000007</v>
      </c>
      <c r="BC220" s="62">
        <f t="shared" si="94"/>
        <v>14845.339999999989</v>
      </c>
      <c r="BD220" s="63"/>
      <c r="BE220" s="57"/>
      <c r="BF220" s="35" t="str">
        <f>VLOOKUP(A:A,'2023-2027'!A:G,1,+FALSE)</f>
        <v>Персональный компьютер (ExeGate special)</v>
      </c>
      <c r="BG220" s="7" t="b">
        <f t="shared" si="105"/>
        <v>1</v>
      </c>
      <c r="BH220" s="35">
        <f>VLOOKUP(A:A,'2023-2027'!A:AT,43,+FALSE)</f>
        <v>0</v>
      </c>
    </row>
    <row r="221" spans="1:60" ht="24" hidden="1" customHeight="1" outlineLevel="1" x14ac:dyDescent="0.2">
      <c r="A221" s="59" t="s">
        <v>627</v>
      </c>
      <c r="B221" s="61" t="s">
        <v>25</v>
      </c>
      <c r="C221" s="61" t="s">
        <v>25</v>
      </c>
      <c r="D221" s="66" t="s">
        <v>631</v>
      </c>
      <c r="E221" s="59" t="s">
        <v>617</v>
      </c>
      <c r="F221" s="60">
        <v>51958.34</v>
      </c>
      <c r="G221" s="60">
        <v>14845.2</v>
      </c>
      <c r="H221" s="60">
        <v>37113.14</v>
      </c>
      <c r="I221" s="59"/>
      <c r="J221" s="60">
        <v>7422.6</v>
      </c>
      <c r="K221" s="59"/>
      <c r="L221" s="59"/>
      <c r="M221" s="60">
        <v>51958.34</v>
      </c>
      <c r="N221" s="60">
        <v>22267.8</v>
      </c>
      <c r="O221" s="60">
        <v>29690.54</v>
      </c>
      <c r="P221" s="55"/>
      <c r="Q221" s="55"/>
      <c r="R221" s="61">
        <f t="shared" si="96"/>
        <v>618.55000000000007</v>
      </c>
      <c r="S221" s="60">
        <v>618.54999999999995</v>
      </c>
      <c r="T221" s="60">
        <v>618.54999999999995</v>
      </c>
      <c r="U221" s="60">
        <v>618.54999999999995</v>
      </c>
      <c r="V221" s="60">
        <v>618.54999999999995</v>
      </c>
      <c r="W221" s="60">
        <v>618.54999999999995</v>
      </c>
      <c r="X221" s="61">
        <f t="shared" si="97"/>
        <v>3711.3</v>
      </c>
      <c r="Y221" s="60">
        <v>618.54999999999995</v>
      </c>
      <c r="Z221" s="60">
        <v>618.54999999999995</v>
      </c>
      <c r="AA221" s="60">
        <v>618.54999999999995</v>
      </c>
      <c r="AB221" s="60">
        <v>618.54999999999995</v>
      </c>
      <c r="AC221" s="60">
        <v>618.54999999999995</v>
      </c>
      <c r="AD221" s="60">
        <v>618.54999999999995</v>
      </c>
      <c r="AE221" s="61">
        <f t="shared" si="98"/>
        <v>3711.3</v>
      </c>
      <c r="AF221" s="62">
        <f t="shared" si="92"/>
        <v>51958.34</v>
      </c>
      <c r="AG221" s="62">
        <f t="shared" si="86"/>
        <v>29690.399999999991</v>
      </c>
      <c r="AH221" s="62">
        <f t="shared" si="102"/>
        <v>22267.940000000006</v>
      </c>
      <c r="AI221" s="63"/>
      <c r="AJ221" s="63"/>
      <c r="AK221" s="62"/>
      <c r="AL221" s="60">
        <v>618.54999999999995</v>
      </c>
      <c r="AM221" s="60">
        <v>618.54999999999995</v>
      </c>
      <c r="AN221" s="60">
        <v>618.54999999999995</v>
      </c>
      <c r="AO221" s="60">
        <v>618.54999999999995</v>
      </c>
      <c r="AP221" s="60">
        <v>618.54999999999995</v>
      </c>
      <c r="AQ221" s="60">
        <v>618.54999999999995</v>
      </c>
      <c r="AR221" s="61">
        <f t="shared" si="99"/>
        <v>3711.3</v>
      </c>
      <c r="AS221" s="60">
        <v>618.54999999999995</v>
      </c>
      <c r="AT221" s="60">
        <v>618.54999999999995</v>
      </c>
      <c r="AU221" s="60">
        <v>618.54999999999995</v>
      </c>
      <c r="AV221" s="60">
        <v>618.54999999999995</v>
      </c>
      <c r="AW221" s="60">
        <v>618.54999999999995</v>
      </c>
      <c r="AX221" s="60">
        <v>618.54999999999995</v>
      </c>
      <c r="AY221" s="61">
        <f t="shared" si="100"/>
        <v>3711.3</v>
      </c>
      <c r="AZ221" s="56">
        <f t="shared" si="95"/>
        <v>7422.6</v>
      </c>
      <c r="BA221" s="62">
        <f t="shared" si="93"/>
        <v>51958.34</v>
      </c>
      <c r="BB221" s="62">
        <f t="shared" si="101"/>
        <v>37113.000000000007</v>
      </c>
      <c r="BC221" s="62">
        <f t="shared" si="94"/>
        <v>14845.339999999989</v>
      </c>
      <c r="BD221" s="63"/>
      <c r="BE221" s="57"/>
      <c r="BF221" s="35" t="str">
        <f>VLOOKUP(A:A,'2023-2027'!A:G,1,+FALSE)</f>
        <v>Персональный компьютер (ExeGate special)</v>
      </c>
      <c r="BG221" s="7" t="b">
        <f t="shared" si="105"/>
        <v>1</v>
      </c>
      <c r="BH221" s="35">
        <f>VLOOKUP(A:A,'2023-2027'!A:AT,43,+FALSE)</f>
        <v>0</v>
      </c>
    </row>
    <row r="222" spans="1:60" ht="24" hidden="1" customHeight="1" outlineLevel="1" x14ac:dyDescent="0.2">
      <c r="A222" s="59" t="s">
        <v>627</v>
      </c>
      <c r="B222" s="61" t="s">
        <v>25</v>
      </c>
      <c r="C222" s="61" t="s">
        <v>25</v>
      </c>
      <c r="D222" s="66" t="s">
        <v>632</v>
      </c>
      <c r="E222" s="59" t="s">
        <v>617</v>
      </c>
      <c r="F222" s="60">
        <v>51958.34</v>
      </c>
      <c r="G222" s="60">
        <v>14845.2</v>
      </c>
      <c r="H222" s="60">
        <v>37113.14</v>
      </c>
      <c r="I222" s="59"/>
      <c r="J222" s="60">
        <v>7422.6</v>
      </c>
      <c r="K222" s="59"/>
      <c r="L222" s="59"/>
      <c r="M222" s="60">
        <v>51958.34</v>
      </c>
      <c r="N222" s="60">
        <v>22267.8</v>
      </c>
      <c r="O222" s="60">
        <v>29690.54</v>
      </c>
      <c r="P222" s="55"/>
      <c r="Q222" s="55"/>
      <c r="R222" s="61">
        <f t="shared" si="96"/>
        <v>618.55000000000007</v>
      </c>
      <c r="S222" s="60">
        <v>618.54999999999995</v>
      </c>
      <c r="T222" s="60">
        <v>618.54999999999995</v>
      </c>
      <c r="U222" s="60">
        <v>618.54999999999995</v>
      </c>
      <c r="V222" s="60">
        <v>618.54999999999995</v>
      </c>
      <c r="W222" s="60">
        <v>618.54999999999995</v>
      </c>
      <c r="X222" s="61">
        <f t="shared" si="97"/>
        <v>3711.3</v>
      </c>
      <c r="Y222" s="60">
        <v>618.54999999999995</v>
      </c>
      <c r="Z222" s="60">
        <v>618.54999999999995</v>
      </c>
      <c r="AA222" s="60">
        <v>618.54999999999995</v>
      </c>
      <c r="AB222" s="60">
        <v>618.54999999999995</v>
      </c>
      <c r="AC222" s="60">
        <v>618.54999999999995</v>
      </c>
      <c r="AD222" s="60">
        <v>618.54999999999995</v>
      </c>
      <c r="AE222" s="61">
        <f t="shared" si="98"/>
        <v>3711.3</v>
      </c>
      <c r="AF222" s="62">
        <f t="shared" si="92"/>
        <v>51958.34</v>
      </c>
      <c r="AG222" s="62">
        <f t="shared" si="86"/>
        <v>29690.399999999991</v>
      </c>
      <c r="AH222" s="62">
        <f t="shared" si="102"/>
        <v>22267.940000000006</v>
      </c>
      <c r="AI222" s="63"/>
      <c r="AJ222" s="63"/>
      <c r="AK222" s="62"/>
      <c r="AL222" s="60">
        <v>618.54999999999995</v>
      </c>
      <c r="AM222" s="60">
        <v>618.54999999999995</v>
      </c>
      <c r="AN222" s="60">
        <v>618.54999999999995</v>
      </c>
      <c r="AO222" s="60">
        <v>618.54999999999995</v>
      </c>
      <c r="AP222" s="60">
        <v>618.54999999999995</v>
      </c>
      <c r="AQ222" s="60">
        <v>618.54999999999995</v>
      </c>
      <c r="AR222" s="61">
        <f t="shared" si="99"/>
        <v>3711.3</v>
      </c>
      <c r="AS222" s="60">
        <v>618.54999999999995</v>
      </c>
      <c r="AT222" s="60">
        <v>618.54999999999995</v>
      </c>
      <c r="AU222" s="60">
        <v>618.54999999999995</v>
      </c>
      <c r="AV222" s="60">
        <v>618.54999999999995</v>
      </c>
      <c r="AW222" s="60">
        <v>618.54999999999995</v>
      </c>
      <c r="AX222" s="60">
        <v>618.54999999999995</v>
      </c>
      <c r="AY222" s="61">
        <f t="shared" si="100"/>
        <v>3711.3</v>
      </c>
      <c r="AZ222" s="56">
        <f t="shared" si="95"/>
        <v>7422.6</v>
      </c>
      <c r="BA222" s="62">
        <f t="shared" si="93"/>
        <v>51958.34</v>
      </c>
      <c r="BB222" s="62">
        <f t="shared" si="101"/>
        <v>37113.000000000007</v>
      </c>
      <c r="BC222" s="62">
        <f t="shared" si="94"/>
        <v>14845.339999999989</v>
      </c>
      <c r="BD222" s="63"/>
      <c r="BE222" s="57"/>
      <c r="BF222" s="35" t="str">
        <f>VLOOKUP(A:A,'2023-2027'!A:G,1,+FALSE)</f>
        <v>Персональный компьютер (ExeGate special)</v>
      </c>
      <c r="BG222" s="7" t="b">
        <f t="shared" si="105"/>
        <v>1</v>
      </c>
      <c r="BH222" s="35">
        <f>VLOOKUP(A:A,'2023-2027'!A:AT,43,+FALSE)</f>
        <v>0</v>
      </c>
    </row>
    <row r="223" spans="1:60" ht="24" hidden="1" customHeight="1" outlineLevel="1" x14ac:dyDescent="0.2">
      <c r="A223" s="59" t="s">
        <v>627</v>
      </c>
      <c r="B223" s="61" t="s">
        <v>25</v>
      </c>
      <c r="C223" s="61" t="s">
        <v>25</v>
      </c>
      <c r="D223" s="66" t="s">
        <v>633</v>
      </c>
      <c r="E223" s="59" t="s">
        <v>617</v>
      </c>
      <c r="F223" s="60">
        <v>51958.34</v>
      </c>
      <c r="G223" s="60">
        <v>14845.2</v>
      </c>
      <c r="H223" s="60">
        <v>37113.14</v>
      </c>
      <c r="I223" s="59"/>
      <c r="J223" s="60">
        <v>7422.6</v>
      </c>
      <c r="K223" s="59"/>
      <c r="L223" s="59"/>
      <c r="M223" s="60">
        <v>51958.34</v>
      </c>
      <c r="N223" s="60">
        <v>22267.8</v>
      </c>
      <c r="O223" s="60">
        <v>29690.54</v>
      </c>
      <c r="P223" s="55"/>
      <c r="Q223" s="55"/>
      <c r="R223" s="61">
        <f t="shared" si="96"/>
        <v>618.55000000000007</v>
      </c>
      <c r="S223" s="60">
        <v>618.54999999999995</v>
      </c>
      <c r="T223" s="60">
        <v>618.54999999999995</v>
      </c>
      <c r="U223" s="60">
        <v>618.54999999999995</v>
      </c>
      <c r="V223" s="60">
        <v>618.54999999999995</v>
      </c>
      <c r="W223" s="60">
        <v>618.54999999999995</v>
      </c>
      <c r="X223" s="61">
        <f t="shared" si="97"/>
        <v>3711.3</v>
      </c>
      <c r="Y223" s="60">
        <v>618.54999999999995</v>
      </c>
      <c r="Z223" s="60">
        <v>618.54999999999995</v>
      </c>
      <c r="AA223" s="60">
        <v>618.54999999999995</v>
      </c>
      <c r="AB223" s="60">
        <v>618.54999999999995</v>
      </c>
      <c r="AC223" s="60">
        <v>618.54999999999995</v>
      </c>
      <c r="AD223" s="60">
        <v>618.54999999999995</v>
      </c>
      <c r="AE223" s="61">
        <f t="shared" si="98"/>
        <v>3711.3</v>
      </c>
      <c r="AF223" s="62">
        <f t="shared" si="92"/>
        <v>51958.34</v>
      </c>
      <c r="AG223" s="62">
        <f t="shared" si="86"/>
        <v>29690.399999999991</v>
      </c>
      <c r="AH223" s="62">
        <f t="shared" si="102"/>
        <v>22267.940000000006</v>
      </c>
      <c r="AI223" s="63"/>
      <c r="AJ223" s="63"/>
      <c r="AK223" s="62"/>
      <c r="AL223" s="60">
        <v>618.54999999999995</v>
      </c>
      <c r="AM223" s="60">
        <v>618.54999999999995</v>
      </c>
      <c r="AN223" s="60">
        <v>618.54999999999995</v>
      </c>
      <c r="AO223" s="60">
        <v>618.54999999999995</v>
      </c>
      <c r="AP223" s="60">
        <v>618.54999999999995</v>
      </c>
      <c r="AQ223" s="60">
        <v>618.54999999999995</v>
      </c>
      <c r="AR223" s="61">
        <f t="shared" si="99"/>
        <v>3711.3</v>
      </c>
      <c r="AS223" s="60">
        <v>618.54999999999995</v>
      </c>
      <c r="AT223" s="60">
        <v>618.54999999999995</v>
      </c>
      <c r="AU223" s="60">
        <v>618.54999999999995</v>
      </c>
      <c r="AV223" s="60">
        <v>618.54999999999995</v>
      </c>
      <c r="AW223" s="60">
        <v>618.54999999999995</v>
      </c>
      <c r="AX223" s="60">
        <v>618.54999999999995</v>
      </c>
      <c r="AY223" s="61">
        <f t="shared" si="100"/>
        <v>3711.3</v>
      </c>
      <c r="AZ223" s="56">
        <f t="shared" si="95"/>
        <v>7422.6</v>
      </c>
      <c r="BA223" s="62">
        <f t="shared" si="93"/>
        <v>51958.34</v>
      </c>
      <c r="BB223" s="62">
        <f t="shared" si="101"/>
        <v>37113.000000000007</v>
      </c>
      <c r="BC223" s="62">
        <f t="shared" si="94"/>
        <v>14845.339999999989</v>
      </c>
      <c r="BD223" s="63"/>
      <c r="BE223" s="57"/>
      <c r="BF223" s="35" t="str">
        <f>VLOOKUP(A:A,'2023-2027'!A:G,1,+FALSE)</f>
        <v>Персональный компьютер (ExeGate special)</v>
      </c>
      <c r="BG223" s="7" t="b">
        <f t="shared" si="105"/>
        <v>1</v>
      </c>
      <c r="BH223" s="35">
        <f>VLOOKUP(A:A,'2023-2027'!A:AT,43,+FALSE)</f>
        <v>0</v>
      </c>
    </row>
    <row r="224" spans="1:60" ht="24" hidden="1" customHeight="1" outlineLevel="1" x14ac:dyDescent="0.2">
      <c r="A224" s="59" t="s">
        <v>634</v>
      </c>
      <c r="B224" s="61" t="s">
        <v>25</v>
      </c>
      <c r="C224" s="61" t="s">
        <v>25</v>
      </c>
      <c r="D224" s="66" t="s">
        <v>635</v>
      </c>
      <c r="E224" s="59" t="s">
        <v>636</v>
      </c>
      <c r="F224" s="60">
        <v>80975</v>
      </c>
      <c r="G224" s="60">
        <v>17351.82</v>
      </c>
      <c r="H224" s="60">
        <v>63623.18</v>
      </c>
      <c r="I224" s="59"/>
      <c r="J224" s="60">
        <v>11567.88</v>
      </c>
      <c r="K224" s="59"/>
      <c r="L224" s="59"/>
      <c r="M224" s="60">
        <v>80975</v>
      </c>
      <c r="N224" s="60">
        <v>28919.7</v>
      </c>
      <c r="O224" s="60">
        <v>52055.3</v>
      </c>
      <c r="P224" s="55"/>
      <c r="Q224" s="55"/>
      <c r="R224" s="61">
        <f t="shared" si="96"/>
        <v>963.9899999999999</v>
      </c>
      <c r="S224" s="60">
        <v>963.99</v>
      </c>
      <c r="T224" s="60">
        <v>963.99</v>
      </c>
      <c r="U224" s="60">
        <v>963.99</v>
      </c>
      <c r="V224" s="60">
        <v>963.99</v>
      </c>
      <c r="W224" s="60">
        <v>963.99</v>
      </c>
      <c r="X224" s="61">
        <f t="shared" si="97"/>
        <v>5783.94</v>
      </c>
      <c r="Y224" s="60">
        <v>963.99</v>
      </c>
      <c r="Z224" s="60">
        <v>963.99</v>
      </c>
      <c r="AA224" s="60">
        <v>963.99</v>
      </c>
      <c r="AB224" s="60">
        <v>963.99</v>
      </c>
      <c r="AC224" s="60">
        <v>963.99</v>
      </c>
      <c r="AD224" s="60">
        <v>963.99</v>
      </c>
      <c r="AE224" s="61">
        <f t="shared" si="98"/>
        <v>5783.94</v>
      </c>
      <c r="AF224" s="62">
        <f t="shared" si="92"/>
        <v>80975</v>
      </c>
      <c r="AG224" s="62">
        <f t="shared" si="86"/>
        <v>40487.579999999987</v>
      </c>
      <c r="AH224" s="62">
        <f t="shared" si="102"/>
        <v>40487.420000000013</v>
      </c>
      <c r="AI224" s="63"/>
      <c r="AJ224" s="63"/>
      <c r="AK224" s="62"/>
      <c r="AL224" s="60">
        <v>963.99</v>
      </c>
      <c r="AM224" s="60">
        <v>963.99</v>
      </c>
      <c r="AN224" s="60">
        <v>963.99</v>
      </c>
      <c r="AO224" s="60">
        <v>963.99</v>
      </c>
      <c r="AP224" s="60">
        <v>963.99</v>
      </c>
      <c r="AQ224" s="60">
        <v>963.99</v>
      </c>
      <c r="AR224" s="61">
        <f t="shared" si="99"/>
        <v>5783.94</v>
      </c>
      <c r="AS224" s="60">
        <v>963.99</v>
      </c>
      <c r="AT224" s="60">
        <v>963.99</v>
      </c>
      <c r="AU224" s="60">
        <v>963.99</v>
      </c>
      <c r="AV224" s="60">
        <v>963.99</v>
      </c>
      <c r="AW224" s="60">
        <v>963.99</v>
      </c>
      <c r="AX224" s="60">
        <v>963.99</v>
      </c>
      <c r="AY224" s="61">
        <f t="shared" si="100"/>
        <v>5783.94</v>
      </c>
      <c r="AZ224" s="56">
        <f t="shared" si="95"/>
        <v>11567.88</v>
      </c>
      <c r="BA224" s="62">
        <f t="shared" si="93"/>
        <v>80975</v>
      </c>
      <c r="BB224" s="62">
        <f t="shared" si="101"/>
        <v>52055.459999999963</v>
      </c>
      <c r="BC224" s="62">
        <f t="shared" si="94"/>
        <v>28919.540000000037</v>
      </c>
      <c r="BD224" s="63"/>
      <c r="BE224" s="57"/>
      <c r="BF224" s="35" t="str">
        <f>VLOOKUP(A:A,'2023-2027'!A:G,1,+FALSE)</f>
        <v>Персональный компьютер (ExeGate, PHILIPS 27")</v>
      </c>
      <c r="BG224" s="7" t="b">
        <f t="shared" si="105"/>
        <v>1</v>
      </c>
      <c r="BH224" s="35">
        <f>VLOOKUP(A:A,'2023-2027'!A:AT,43,+FALSE)</f>
        <v>2249.3099999999995</v>
      </c>
    </row>
    <row r="225" spans="1:60" ht="24" hidden="1" customHeight="1" outlineLevel="1" x14ac:dyDescent="0.2">
      <c r="A225" s="59" t="s">
        <v>634</v>
      </c>
      <c r="B225" s="61" t="s">
        <v>25</v>
      </c>
      <c r="C225" s="61" t="s">
        <v>25</v>
      </c>
      <c r="D225" s="66" t="s">
        <v>637</v>
      </c>
      <c r="E225" s="59" t="s">
        <v>636</v>
      </c>
      <c r="F225" s="60">
        <v>80975</v>
      </c>
      <c r="G225" s="60">
        <v>17351.82</v>
      </c>
      <c r="H225" s="60">
        <v>63623.18</v>
      </c>
      <c r="I225" s="59"/>
      <c r="J225" s="60">
        <v>11567.88</v>
      </c>
      <c r="K225" s="59"/>
      <c r="L225" s="59"/>
      <c r="M225" s="60">
        <v>80975</v>
      </c>
      <c r="N225" s="60">
        <v>28919.7</v>
      </c>
      <c r="O225" s="60">
        <v>52055.3</v>
      </c>
      <c r="P225" s="55"/>
      <c r="Q225" s="55"/>
      <c r="R225" s="61">
        <f t="shared" si="96"/>
        <v>963.9899999999999</v>
      </c>
      <c r="S225" s="60">
        <v>963.99</v>
      </c>
      <c r="T225" s="60">
        <v>963.99</v>
      </c>
      <c r="U225" s="60">
        <v>963.99</v>
      </c>
      <c r="V225" s="60">
        <v>963.99</v>
      </c>
      <c r="W225" s="60">
        <v>963.99</v>
      </c>
      <c r="X225" s="61">
        <f t="shared" si="97"/>
        <v>5783.94</v>
      </c>
      <c r="Y225" s="60">
        <v>963.99</v>
      </c>
      <c r="Z225" s="60">
        <v>963.99</v>
      </c>
      <c r="AA225" s="60">
        <v>963.99</v>
      </c>
      <c r="AB225" s="60">
        <v>963.99</v>
      </c>
      <c r="AC225" s="60">
        <v>963.99</v>
      </c>
      <c r="AD225" s="60">
        <v>963.99</v>
      </c>
      <c r="AE225" s="61">
        <f t="shared" si="98"/>
        <v>5783.94</v>
      </c>
      <c r="AF225" s="62">
        <f t="shared" si="92"/>
        <v>80975</v>
      </c>
      <c r="AG225" s="62">
        <f t="shared" si="86"/>
        <v>40487.579999999987</v>
      </c>
      <c r="AH225" s="62">
        <f t="shared" si="102"/>
        <v>40487.420000000013</v>
      </c>
      <c r="AI225" s="63"/>
      <c r="AJ225" s="63"/>
      <c r="AK225" s="62"/>
      <c r="AL225" s="60">
        <v>963.99</v>
      </c>
      <c r="AM225" s="60">
        <v>963.99</v>
      </c>
      <c r="AN225" s="60">
        <v>963.99</v>
      </c>
      <c r="AO225" s="60">
        <v>963.99</v>
      </c>
      <c r="AP225" s="60">
        <v>963.99</v>
      </c>
      <c r="AQ225" s="60">
        <v>963.99</v>
      </c>
      <c r="AR225" s="61">
        <f t="shared" si="99"/>
        <v>5783.94</v>
      </c>
      <c r="AS225" s="60">
        <v>963.99</v>
      </c>
      <c r="AT225" s="60">
        <v>963.99</v>
      </c>
      <c r="AU225" s="60">
        <v>963.99</v>
      </c>
      <c r="AV225" s="60">
        <v>963.99</v>
      </c>
      <c r="AW225" s="60">
        <v>963.99</v>
      </c>
      <c r="AX225" s="60">
        <v>963.99</v>
      </c>
      <c r="AY225" s="61">
        <f t="shared" si="100"/>
        <v>5783.94</v>
      </c>
      <c r="AZ225" s="56">
        <f t="shared" si="95"/>
        <v>11567.88</v>
      </c>
      <c r="BA225" s="62">
        <f t="shared" si="93"/>
        <v>80975</v>
      </c>
      <c r="BB225" s="62">
        <f t="shared" si="101"/>
        <v>52055.459999999963</v>
      </c>
      <c r="BC225" s="62">
        <f t="shared" si="94"/>
        <v>28919.540000000037</v>
      </c>
      <c r="BD225" s="63"/>
      <c r="BE225" s="57"/>
      <c r="BF225" s="35" t="str">
        <f>VLOOKUP(A:A,'2023-2027'!A:G,1,+FALSE)</f>
        <v>Персональный компьютер (ExeGate, PHILIPS 27")</v>
      </c>
      <c r="BG225" s="7" t="b">
        <f t="shared" si="105"/>
        <v>1</v>
      </c>
      <c r="BH225" s="35">
        <f>VLOOKUP(A:A,'2023-2027'!A:AT,43,+FALSE)</f>
        <v>2249.3099999999995</v>
      </c>
    </row>
    <row r="226" spans="1:60" ht="24" hidden="1" customHeight="1" outlineLevel="1" x14ac:dyDescent="0.2">
      <c r="A226" s="59" t="s">
        <v>638</v>
      </c>
      <c r="B226" s="61" t="s">
        <v>25</v>
      </c>
      <c r="C226" s="61" t="s">
        <v>25</v>
      </c>
      <c r="D226" s="66" t="s">
        <v>639</v>
      </c>
      <c r="E226" s="59" t="s">
        <v>636</v>
      </c>
      <c r="F226" s="60">
        <v>93033.34</v>
      </c>
      <c r="G226" s="60">
        <v>19935.72</v>
      </c>
      <c r="H226" s="60">
        <v>73097.62</v>
      </c>
      <c r="I226" s="59"/>
      <c r="J226" s="60">
        <v>13290.48</v>
      </c>
      <c r="K226" s="59"/>
      <c r="L226" s="59"/>
      <c r="M226" s="60">
        <v>93033.34</v>
      </c>
      <c r="N226" s="60">
        <v>33226.199999999997</v>
      </c>
      <c r="O226" s="60">
        <v>59807.14</v>
      </c>
      <c r="P226" s="55"/>
      <c r="Q226" s="55"/>
      <c r="R226" s="61">
        <f t="shared" si="96"/>
        <v>1107.54</v>
      </c>
      <c r="S226" s="60">
        <v>1107.54</v>
      </c>
      <c r="T226" s="60">
        <v>1107.54</v>
      </c>
      <c r="U226" s="60">
        <v>1107.54</v>
      </c>
      <c r="V226" s="60">
        <v>1107.54</v>
      </c>
      <c r="W226" s="60">
        <v>1107.54</v>
      </c>
      <c r="X226" s="61">
        <f t="shared" si="97"/>
        <v>6645.24</v>
      </c>
      <c r="Y226" s="60">
        <v>1107.54</v>
      </c>
      <c r="Z226" s="60">
        <v>1107.54</v>
      </c>
      <c r="AA226" s="60">
        <v>1107.54</v>
      </c>
      <c r="AB226" s="60">
        <v>1107.54</v>
      </c>
      <c r="AC226" s="60">
        <v>1107.54</v>
      </c>
      <c r="AD226" s="60">
        <v>1107.54</v>
      </c>
      <c r="AE226" s="61">
        <f t="shared" si="98"/>
        <v>6645.24</v>
      </c>
      <c r="AF226" s="62">
        <f t="shared" si="92"/>
        <v>93033.34</v>
      </c>
      <c r="AG226" s="62">
        <f t="shared" si="86"/>
        <v>46516.680000000008</v>
      </c>
      <c r="AH226" s="62">
        <f t="shared" si="102"/>
        <v>46516.659999999989</v>
      </c>
      <c r="AI226" s="63"/>
      <c r="AJ226" s="63"/>
      <c r="AK226" s="62"/>
      <c r="AL226" s="60">
        <v>1107.54</v>
      </c>
      <c r="AM226" s="60">
        <v>1107.54</v>
      </c>
      <c r="AN226" s="60">
        <v>1107.54</v>
      </c>
      <c r="AO226" s="60">
        <v>1107.54</v>
      </c>
      <c r="AP226" s="60">
        <v>1107.54</v>
      </c>
      <c r="AQ226" s="60">
        <v>1107.54</v>
      </c>
      <c r="AR226" s="61">
        <f t="shared" si="99"/>
        <v>6645.24</v>
      </c>
      <c r="AS226" s="60">
        <v>1107.54</v>
      </c>
      <c r="AT226" s="60">
        <v>1107.54</v>
      </c>
      <c r="AU226" s="60">
        <v>1107.54</v>
      </c>
      <c r="AV226" s="60">
        <v>1107.54</v>
      </c>
      <c r="AW226" s="60">
        <v>1107.54</v>
      </c>
      <c r="AX226" s="60">
        <v>1107.54</v>
      </c>
      <c r="AY226" s="61">
        <f t="shared" si="100"/>
        <v>6645.24</v>
      </c>
      <c r="AZ226" s="56">
        <f t="shared" si="95"/>
        <v>13290.48</v>
      </c>
      <c r="BA226" s="62">
        <f t="shared" si="93"/>
        <v>93033.34</v>
      </c>
      <c r="BB226" s="62">
        <f t="shared" si="101"/>
        <v>59807.160000000018</v>
      </c>
      <c r="BC226" s="62">
        <f t="shared" si="94"/>
        <v>33226.179999999978</v>
      </c>
      <c r="BD226" s="63"/>
      <c r="BE226" s="57"/>
      <c r="BF226" s="35" t="str">
        <f>VLOOKUP(A:A,'2023-2027'!A:G,1,+FALSE)</f>
        <v>Персональный компьютер (ExeGate, VIEWSONIK 32")</v>
      </c>
      <c r="BG226" s="7" t="b">
        <f t="shared" si="105"/>
        <v>1</v>
      </c>
      <c r="BH226" s="35">
        <f>VLOOKUP(A:A,'2023-2027'!A:AT,43,+FALSE)</f>
        <v>0</v>
      </c>
    </row>
    <row r="227" spans="1:60" ht="48" hidden="1" customHeight="1" outlineLevel="1" x14ac:dyDescent="0.2">
      <c r="A227" s="59" t="s">
        <v>20</v>
      </c>
      <c r="B227" s="61" t="s">
        <v>25</v>
      </c>
      <c r="C227" s="61" t="s">
        <v>25</v>
      </c>
      <c r="D227" s="66" t="s">
        <v>21</v>
      </c>
      <c r="E227" s="59" t="s">
        <v>24</v>
      </c>
      <c r="F227" s="59"/>
      <c r="G227" s="59"/>
      <c r="H227" s="59"/>
      <c r="I227" s="60">
        <v>89916.67</v>
      </c>
      <c r="J227" s="60">
        <v>5619.78</v>
      </c>
      <c r="K227" s="59"/>
      <c r="L227" s="59"/>
      <c r="M227" s="60">
        <v>89916.67</v>
      </c>
      <c r="N227" s="60">
        <v>5619.78</v>
      </c>
      <c r="O227" s="60">
        <v>84296.89</v>
      </c>
      <c r="P227" s="55"/>
      <c r="Q227" s="55"/>
      <c r="R227" s="61">
        <f t="shared" si="96"/>
        <v>468.315</v>
      </c>
      <c r="S227" s="60">
        <v>468.315</v>
      </c>
      <c r="T227" s="60">
        <v>468.315</v>
      </c>
      <c r="U227" s="60">
        <v>468.315</v>
      </c>
      <c r="V227" s="60">
        <v>468.315</v>
      </c>
      <c r="W227" s="60">
        <v>468.315</v>
      </c>
      <c r="X227" s="61">
        <f t="shared" si="97"/>
        <v>2809.89</v>
      </c>
      <c r="Y227" s="60">
        <v>468.315</v>
      </c>
      <c r="Z227" s="60">
        <v>468.315</v>
      </c>
      <c r="AA227" s="60">
        <v>468.315</v>
      </c>
      <c r="AB227" s="60">
        <v>468.315</v>
      </c>
      <c r="AC227" s="60">
        <v>468.315</v>
      </c>
      <c r="AD227" s="60">
        <v>468.315</v>
      </c>
      <c r="AE227" s="61">
        <f t="shared" si="98"/>
        <v>2809.89</v>
      </c>
      <c r="AF227" s="62">
        <f t="shared" si="92"/>
        <v>89916.67</v>
      </c>
      <c r="AG227" s="62">
        <f t="shared" si="86"/>
        <v>11239.560000000001</v>
      </c>
      <c r="AH227" s="62">
        <f t="shared" si="102"/>
        <v>78677.11</v>
      </c>
      <c r="AI227" s="63"/>
      <c r="AJ227" s="63"/>
      <c r="AK227" s="62"/>
      <c r="AL227" s="60">
        <v>468.315</v>
      </c>
      <c r="AM227" s="60">
        <v>468.315</v>
      </c>
      <c r="AN227" s="60">
        <v>468.315</v>
      </c>
      <c r="AO227" s="60">
        <v>468.315</v>
      </c>
      <c r="AP227" s="60">
        <v>468.315</v>
      </c>
      <c r="AQ227" s="60">
        <v>468.315</v>
      </c>
      <c r="AR227" s="61">
        <f t="shared" si="99"/>
        <v>2809.89</v>
      </c>
      <c r="AS227" s="60">
        <v>468.315</v>
      </c>
      <c r="AT227" s="60">
        <v>468.315</v>
      </c>
      <c r="AU227" s="60">
        <v>468.315</v>
      </c>
      <c r="AV227" s="60">
        <v>468.315</v>
      </c>
      <c r="AW227" s="60">
        <v>468.315</v>
      </c>
      <c r="AX227" s="60">
        <v>468.315</v>
      </c>
      <c r="AY227" s="61">
        <f t="shared" si="100"/>
        <v>2809.89</v>
      </c>
      <c r="AZ227" s="56">
        <f t="shared" si="95"/>
        <v>5619.78</v>
      </c>
      <c r="BA227" s="62">
        <f t="shared" si="93"/>
        <v>89916.67</v>
      </c>
      <c r="BB227" s="62">
        <f t="shared" si="101"/>
        <v>16859.340000000004</v>
      </c>
      <c r="BC227" s="62">
        <f t="shared" si="94"/>
        <v>73057.329999999987</v>
      </c>
      <c r="BD227" s="63"/>
      <c r="BE227" s="57"/>
      <c r="BF227" s="35" t="str">
        <f>VLOOKUP(A:A,'2023-2027'!A:G,1,+FALSE)</f>
        <v>Персональный компьютер (ПК) высокой производительности с клавиатурой и мышью + 2 монитора (`27)</v>
      </c>
      <c r="BG227" s="7" t="b">
        <f t="shared" si="105"/>
        <v>1</v>
      </c>
      <c r="BH227" s="35">
        <f>VLOOKUP(A:A,'2023-2027'!A:AT,43,+FALSE)</f>
        <v>2497.69</v>
      </c>
    </row>
    <row r="228" spans="1:60" ht="24" hidden="1" customHeight="1" outlineLevel="1" x14ac:dyDescent="0.2">
      <c r="A228" s="59" t="s">
        <v>640</v>
      </c>
      <c r="B228" s="61" t="s">
        <v>25</v>
      </c>
      <c r="C228" s="61" t="s">
        <v>25</v>
      </c>
      <c r="D228" s="66" t="s">
        <v>641</v>
      </c>
      <c r="E228" s="59" t="s">
        <v>642</v>
      </c>
      <c r="F228" s="60">
        <v>68983.05</v>
      </c>
      <c r="G228" s="60">
        <v>31206.74</v>
      </c>
      <c r="H228" s="60">
        <v>37776.31</v>
      </c>
      <c r="I228" s="59"/>
      <c r="J228" s="60">
        <v>9854.66</v>
      </c>
      <c r="K228" s="59"/>
      <c r="L228" s="59"/>
      <c r="M228" s="60">
        <v>68983.05</v>
      </c>
      <c r="N228" s="60">
        <v>41061.4</v>
      </c>
      <c r="O228" s="60">
        <v>27921.65</v>
      </c>
      <c r="P228" s="55"/>
      <c r="Q228" s="55"/>
      <c r="R228" s="61">
        <f t="shared" si="96"/>
        <v>821.22166666666669</v>
      </c>
      <c r="S228" s="60">
        <v>821.22166670000001</v>
      </c>
      <c r="T228" s="60">
        <v>821.22166670000001</v>
      </c>
      <c r="U228" s="60">
        <v>821.22166670000001</v>
      </c>
      <c r="V228" s="60">
        <v>821.22166670000001</v>
      </c>
      <c r="W228" s="60">
        <v>821.22166670000001</v>
      </c>
      <c r="X228" s="61">
        <f t="shared" si="97"/>
        <v>4927.3300001666676</v>
      </c>
      <c r="Y228" s="60">
        <v>821.22166670000001</v>
      </c>
      <c r="Z228" s="60">
        <v>821.22166670000001</v>
      </c>
      <c r="AA228" s="60">
        <v>821.22166670000001</v>
      </c>
      <c r="AB228" s="60">
        <v>821.22166670000001</v>
      </c>
      <c r="AC228" s="60">
        <v>821.22166670000001</v>
      </c>
      <c r="AD228" s="60">
        <v>821.22166670000001</v>
      </c>
      <c r="AE228" s="61">
        <f t="shared" si="98"/>
        <v>4927.3300002000005</v>
      </c>
      <c r="AF228" s="62">
        <f t="shared" si="92"/>
        <v>68983.05</v>
      </c>
      <c r="AG228" s="62">
        <f t="shared" si="86"/>
        <v>50916.060000366699</v>
      </c>
      <c r="AH228" s="62">
        <f t="shared" si="102"/>
        <v>18066.989999633304</v>
      </c>
      <c r="AI228" s="63"/>
      <c r="AJ228" s="63"/>
      <c r="AK228" s="62"/>
      <c r="AL228" s="60">
        <v>821.22166670000001</v>
      </c>
      <c r="AM228" s="60">
        <v>821.22166670000001</v>
      </c>
      <c r="AN228" s="60">
        <v>821.22166670000001</v>
      </c>
      <c r="AO228" s="60">
        <v>821.22166670000001</v>
      </c>
      <c r="AP228" s="60">
        <v>821.22166670000001</v>
      </c>
      <c r="AQ228" s="60">
        <v>821.22166670000001</v>
      </c>
      <c r="AR228" s="61">
        <f t="shared" si="99"/>
        <v>4927.3300002000005</v>
      </c>
      <c r="AS228" s="60">
        <v>821.22166670000001</v>
      </c>
      <c r="AT228" s="60">
        <v>821.22166670000001</v>
      </c>
      <c r="AU228" s="60">
        <v>821.22166670000001</v>
      </c>
      <c r="AV228" s="60">
        <v>821.22166670000001</v>
      </c>
      <c r="AW228" s="60">
        <v>821.22166670000001</v>
      </c>
      <c r="AX228" s="60">
        <v>821.22166670000001</v>
      </c>
      <c r="AY228" s="61">
        <f t="shared" si="100"/>
        <v>4927.3300002000005</v>
      </c>
      <c r="AZ228" s="56">
        <f t="shared" si="95"/>
        <v>9854.6600004000011</v>
      </c>
      <c r="BA228" s="62">
        <f t="shared" si="93"/>
        <v>68983.05</v>
      </c>
      <c r="BB228" s="62">
        <f t="shared" si="101"/>
        <v>60770.720000766734</v>
      </c>
      <c r="BC228" s="62">
        <f t="shared" si="94"/>
        <v>8212.3299992332686</v>
      </c>
      <c r="BD228" s="63"/>
      <c r="BE228" s="57"/>
      <c r="BF228" s="35" t="str">
        <f>VLOOKUP(A:A,'2023-2027'!A:G,1,+FALSE)</f>
        <v>Персональный компьютер (ПК) с высокой производительностью</v>
      </c>
      <c r="BG228" s="7" t="b">
        <f t="shared" si="105"/>
        <v>1</v>
      </c>
      <c r="BH228" s="35">
        <f>VLOOKUP(A:A,'2023-2027'!A:AT,43,+FALSE)</f>
        <v>0</v>
      </c>
    </row>
    <row r="229" spans="1:60" ht="24" hidden="1" customHeight="1" outlineLevel="1" x14ac:dyDescent="0.2">
      <c r="A229" s="59" t="s">
        <v>640</v>
      </c>
      <c r="B229" s="61" t="s">
        <v>25</v>
      </c>
      <c r="C229" s="61" t="s">
        <v>25</v>
      </c>
      <c r="D229" s="66" t="s">
        <v>643</v>
      </c>
      <c r="E229" s="59" t="s">
        <v>642</v>
      </c>
      <c r="F229" s="60">
        <v>68983.05</v>
      </c>
      <c r="G229" s="60">
        <v>31206.74</v>
      </c>
      <c r="H229" s="60">
        <v>37776.31</v>
      </c>
      <c r="I229" s="59"/>
      <c r="J229" s="60">
        <v>9854.66</v>
      </c>
      <c r="K229" s="59"/>
      <c r="L229" s="59"/>
      <c r="M229" s="60">
        <v>68983.05</v>
      </c>
      <c r="N229" s="60">
        <v>41061.4</v>
      </c>
      <c r="O229" s="60">
        <v>27921.65</v>
      </c>
      <c r="P229" s="55"/>
      <c r="Q229" s="55"/>
      <c r="R229" s="61">
        <f t="shared" si="96"/>
        <v>821.22166666666669</v>
      </c>
      <c r="S229" s="60">
        <v>821.22166670000001</v>
      </c>
      <c r="T229" s="60">
        <v>821.22166670000001</v>
      </c>
      <c r="U229" s="60">
        <v>821.22166670000001</v>
      </c>
      <c r="V229" s="60">
        <v>821.22166670000001</v>
      </c>
      <c r="W229" s="60">
        <v>821.22166670000001</v>
      </c>
      <c r="X229" s="61">
        <f t="shared" si="97"/>
        <v>4927.3300001666676</v>
      </c>
      <c r="Y229" s="60">
        <v>821.22166670000001</v>
      </c>
      <c r="Z229" s="60">
        <v>821.22166670000001</v>
      </c>
      <c r="AA229" s="60">
        <v>821.22166670000001</v>
      </c>
      <c r="AB229" s="60">
        <v>821.22166670000001</v>
      </c>
      <c r="AC229" s="60">
        <v>821.22166670000001</v>
      </c>
      <c r="AD229" s="60">
        <v>821.22166670000001</v>
      </c>
      <c r="AE229" s="61">
        <f t="shared" si="98"/>
        <v>4927.3300002000005</v>
      </c>
      <c r="AF229" s="62">
        <f t="shared" si="92"/>
        <v>68983.05</v>
      </c>
      <c r="AG229" s="62">
        <f t="shared" si="86"/>
        <v>50916.060000366699</v>
      </c>
      <c r="AH229" s="62">
        <f t="shared" si="102"/>
        <v>18066.989999633304</v>
      </c>
      <c r="AI229" s="63"/>
      <c r="AJ229" s="63"/>
      <c r="AK229" s="62"/>
      <c r="AL229" s="60">
        <v>821.22166670000001</v>
      </c>
      <c r="AM229" s="60">
        <v>821.22166670000001</v>
      </c>
      <c r="AN229" s="60">
        <v>821.22166670000001</v>
      </c>
      <c r="AO229" s="60">
        <v>821.22166670000001</v>
      </c>
      <c r="AP229" s="60">
        <v>821.22166670000001</v>
      </c>
      <c r="AQ229" s="60">
        <v>821.22166670000001</v>
      </c>
      <c r="AR229" s="61">
        <f t="shared" si="99"/>
        <v>4927.3300002000005</v>
      </c>
      <c r="AS229" s="60">
        <v>821.22166670000001</v>
      </c>
      <c r="AT229" s="60">
        <v>821.22166670000001</v>
      </c>
      <c r="AU229" s="60">
        <v>821.22166670000001</v>
      </c>
      <c r="AV229" s="60">
        <v>821.22166670000001</v>
      </c>
      <c r="AW229" s="60">
        <v>821.22166670000001</v>
      </c>
      <c r="AX229" s="60">
        <v>821.22166670000001</v>
      </c>
      <c r="AY229" s="61">
        <f t="shared" si="100"/>
        <v>4927.3300002000005</v>
      </c>
      <c r="AZ229" s="56">
        <f t="shared" si="95"/>
        <v>9854.6600004000011</v>
      </c>
      <c r="BA229" s="62">
        <f t="shared" si="93"/>
        <v>68983.05</v>
      </c>
      <c r="BB229" s="62">
        <f t="shared" si="101"/>
        <v>60770.720000766734</v>
      </c>
      <c r="BC229" s="62">
        <f t="shared" si="94"/>
        <v>8212.3299992332686</v>
      </c>
      <c r="BD229" s="63"/>
      <c r="BE229" s="57"/>
      <c r="BF229" s="35" t="str">
        <f>VLOOKUP(A:A,'2023-2027'!A:G,1,+FALSE)</f>
        <v>Персональный компьютер (ПК) с высокой производительностью</v>
      </c>
      <c r="BG229" s="7" t="b">
        <f t="shared" si="105"/>
        <v>1</v>
      </c>
      <c r="BH229" s="35">
        <f>VLOOKUP(A:A,'2023-2027'!A:AT,43,+FALSE)</f>
        <v>0</v>
      </c>
    </row>
    <row r="230" spans="1:60" ht="24" hidden="1" customHeight="1" outlineLevel="1" x14ac:dyDescent="0.2">
      <c r="A230" s="59" t="s">
        <v>640</v>
      </c>
      <c r="B230" s="61" t="s">
        <v>25</v>
      </c>
      <c r="C230" s="61" t="s">
        <v>25</v>
      </c>
      <c r="D230" s="66" t="s">
        <v>644</v>
      </c>
      <c r="E230" s="59" t="s">
        <v>642</v>
      </c>
      <c r="F230" s="60">
        <v>68983.05</v>
      </c>
      <c r="G230" s="60">
        <v>31206.74</v>
      </c>
      <c r="H230" s="60">
        <v>37776.31</v>
      </c>
      <c r="I230" s="59"/>
      <c r="J230" s="60">
        <v>9854.66</v>
      </c>
      <c r="K230" s="59"/>
      <c r="L230" s="59"/>
      <c r="M230" s="60">
        <v>68983.05</v>
      </c>
      <c r="N230" s="60">
        <v>41061.4</v>
      </c>
      <c r="O230" s="60">
        <v>27921.65</v>
      </c>
      <c r="P230" s="55"/>
      <c r="Q230" s="55"/>
      <c r="R230" s="61">
        <f t="shared" si="96"/>
        <v>821.22166666666669</v>
      </c>
      <c r="S230" s="60">
        <v>821.22166670000001</v>
      </c>
      <c r="T230" s="60">
        <v>821.22166670000001</v>
      </c>
      <c r="U230" s="60">
        <v>821.22166670000001</v>
      </c>
      <c r="V230" s="60">
        <v>821.22166670000001</v>
      </c>
      <c r="W230" s="60">
        <v>821.22166670000001</v>
      </c>
      <c r="X230" s="61">
        <f t="shared" si="97"/>
        <v>4927.3300001666676</v>
      </c>
      <c r="Y230" s="60">
        <v>821.22166670000001</v>
      </c>
      <c r="Z230" s="60">
        <v>821.22166670000001</v>
      </c>
      <c r="AA230" s="60">
        <v>821.22166670000001</v>
      </c>
      <c r="AB230" s="60">
        <v>821.22166670000001</v>
      </c>
      <c r="AC230" s="60">
        <v>821.22166670000001</v>
      </c>
      <c r="AD230" s="60">
        <v>821.22166670000001</v>
      </c>
      <c r="AE230" s="61">
        <f t="shared" si="98"/>
        <v>4927.3300002000005</v>
      </c>
      <c r="AF230" s="62">
        <f t="shared" si="92"/>
        <v>68983.05</v>
      </c>
      <c r="AG230" s="62">
        <f t="shared" si="86"/>
        <v>50916.060000366699</v>
      </c>
      <c r="AH230" s="62">
        <f t="shared" si="102"/>
        <v>18066.989999633304</v>
      </c>
      <c r="AI230" s="63"/>
      <c r="AJ230" s="63"/>
      <c r="AK230" s="62"/>
      <c r="AL230" s="60">
        <v>821.22166670000001</v>
      </c>
      <c r="AM230" s="60">
        <v>821.22166670000001</v>
      </c>
      <c r="AN230" s="60">
        <v>821.22166670000001</v>
      </c>
      <c r="AO230" s="60">
        <v>821.22166670000001</v>
      </c>
      <c r="AP230" s="60">
        <v>821.22166670000001</v>
      </c>
      <c r="AQ230" s="60">
        <v>821.22166670000001</v>
      </c>
      <c r="AR230" s="61">
        <f t="shared" si="99"/>
        <v>4927.3300002000005</v>
      </c>
      <c r="AS230" s="60">
        <v>821.22166670000001</v>
      </c>
      <c r="AT230" s="60">
        <v>821.22166670000001</v>
      </c>
      <c r="AU230" s="60">
        <v>821.22166670000001</v>
      </c>
      <c r="AV230" s="60">
        <v>821.22166670000001</v>
      </c>
      <c r="AW230" s="60">
        <v>821.22166670000001</v>
      </c>
      <c r="AX230" s="60">
        <v>821.22166670000001</v>
      </c>
      <c r="AY230" s="61">
        <f t="shared" si="100"/>
        <v>4927.3300002000005</v>
      </c>
      <c r="AZ230" s="56">
        <f t="shared" si="95"/>
        <v>9854.6600004000011</v>
      </c>
      <c r="BA230" s="62">
        <f t="shared" si="93"/>
        <v>68983.05</v>
      </c>
      <c r="BB230" s="62">
        <f t="shared" si="101"/>
        <v>60770.720000766734</v>
      </c>
      <c r="BC230" s="62">
        <f t="shared" si="94"/>
        <v>8212.3299992332686</v>
      </c>
      <c r="BD230" s="63"/>
      <c r="BE230" s="57"/>
      <c r="BF230" s="35" t="str">
        <f>VLOOKUP(A:A,'2023-2027'!A:G,1,+FALSE)</f>
        <v>Персональный компьютер (ПК) с высокой производительностью</v>
      </c>
      <c r="BG230" s="7" t="b">
        <f t="shared" si="105"/>
        <v>1</v>
      </c>
      <c r="BH230" s="35">
        <f>VLOOKUP(A:A,'2023-2027'!A:AT,43,+FALSE)</f>
        <v>0</v>
      </c>
    </row>
    <row r="231" spans="1:60" ht="24" hidden="1" customHeight="1" outlineLevel="1" x14ac:dyDescent="0.2">
      <c r="A231" s="59" t="s">
        <v>640</v>
      </c>
      <c r="B231" s="61" t="s">
        <v>25</v>
      </c>
      <c r="C231" s="61" t="s">
        <v>25</v>
      </c>
      <c r="D231" s="66" t="s">
        <v>645</v>
      </c>
      <c r="E231" s="59" t="s">
        <v>642</v>
      </c>
      <c r="F231" s="60">
        <v>68983.05</v>
      </c>
      <c r="G231" s="60">
        <v>31206.74</v>
      </c>
      <c r="H231" s="60">
        <v>37776.31</v>
      </c>
      <c r="I231" s="59"/>
      <c r="J231" s="60">
        <v>9854.66</v>
      </c>
      <c r="K231" s="59"/>
      <c r="L231" s="59"/>
      <c r="M231" s="60">
        <v>68983.05</v>
      </c>
      <c r="N231" s="60">
        <v>41061.4</v>
      </c>
      <c r="O231" s="60">
        <v>27921.65</v>
      </c>
      <c r="P231" s="55"/>
      <c r="Q231" s="55"/>
      <c r="R231" s="61">
        <f t="shared" si="96"/>
        <v>821.22166666666669</v>
      </c>
      <c r="S231" s="60">
        <v>821.22166670000001</v>
      </c>
      <c r="T231" s="60">
        <v>821.22166670000001</v>
      </c>
      <c r="U231" s="60">
        <v>821.22166670000001</v>
      </c>
      <c r="V231" s="60">
        <v>821.22166670000001</v>
      </c>
      <c r="W231" s="60">
        <v>821.22166670000001</v>
      </c>
      <c r="X231" s="61">
        <f t="shared" si="97"/>
        <v>4927.3300001666676</v>
      </c>
      <c r="Y231" s="60">
        <v>821.22166670000001</v>
      </c>
      <c r="Z231" s="60">
        <v>821.22166670000001</v>
      </c>
      <c r="AA231" s="60">
        <v>821.22166670000001</v>
      </c>
      <c r="AB231" s="60">
        <v>821.22166670000001</v>
      </c>
      <c r="AC231" s="60">
        <v>821.22166670000001</v>
      </c>
      <c r="AD231" s="60">
        <v>821.22166670000001</v>
      </c>
      <c r="AE231" s="61">
        <f t="shared" si="98"/>
        <v>4927.3300002000005</v>
      </c>
      <c r="AF231" s="62">
        <f t="shared" si="92"/>
        <v>68983.05</v>
      </c>
      <c r="AG231" s="62">
        <f t="shared" si="86"/>
        <v>50916.060000366699</v>
      </c>
      <c r="AH231" s="62">
        <f t="shared" si="102"/>
        <v>18066.989999633304</v>
      </c>
      <c r="AI231" s="63"/>
      <c r="AJ231" s="63"/>
      <c r="AK231" s="62"/>
      <c r="AL231" s="60">
        <v>821.22166670000001</v>
      </c>
      <c r="AM231" s="60">
        <v>821.22166670000001</v>
      </c>
      <c r="AN231" s="60">
        <v>821.22166670000001</v>
      </c>
      <c r="AO231" s="60">
        <v>821.22166670000001</v>
      </c>
      <c r="AP231" s="60">
        <v>821.22166670000001</v>
      </c>
      <c r="AQ231" s="60">
        <v>821.22166670000001</v>
      </c>
      <c r="AR231" s="61">
        <f t="shared" si="99"/>
        <v>4927.3300002000005</v>
      </c>
      <c r="AS231" s="60">
        <v>821.22166670000001</v>
      </c>
      <c r="AT231" s="60">
        <v>821.22166670000001</v>
      </c>
      <c r="AU231" s="60">
        <v>821.22166670000001</v>
      </c>
      <c r="AV231" s="60">
        <v>821.22166670000001</v>
      </c>
      <c r="AW231" s="60">
        <v>821.22166670000001</v>
      </c>
      <c r="AX231" s="60">
        <v>821.22166670000001</v>
      </c>
      <c r="AY231" s="61">
        <f t="shared" si="100"/>
        <v>4927.3300002000005</v>
      </c>
      <c r="AZ231" s="56">
        <f t="shared" si="95"/>
        <v>9854.6600004000011</v>
      </c>
      <c r="BA231" s="62">
        <f t="shared" si="93"/>
        <v>68983.05</v>
      </c>
      <c r="BB231" s="62">
        <f t="shared" si="101"/>
        <v>60770.720000766734</v>
      </c>
      <c r="BC231" s="62">
        <f t="shared" si="94"/>
        <v>8212.3299992332686</v>
      </c>
      <c r="BD231" s="63"/>
      <c r="BE231" s="57"/>
      <c r="BF231" s="35" t="str">
        <f>VLOOKUP(A:A,'2023-2027'!A:G,1,+FALSE)</f>
        <v>Персональный компьютер (ПК) с высокой производительностью</v>
      </c>
      <c r="BG231" s="7" t="b">
        <f t="shared" si="105"/>
        <v>1</v>
      </c>
      <c r="BH231" s="35">
        <f>VLOOKUP(A:A,'2023-2027'!A:AT,43,+FALSE)</f>
        <v>0</v>
      </c>
    </row>
    <row r="232" spans="1:60" ht="24" hidden="1" customHeight="1" outlineLevel="1" x14ac:dyDescent="0.2">
      <c r="A232" s="59" t="s">
        <v>640</v>
      </c>
      <c r="B232" s="61" t="s">
        <v>25</v>
      </c>
      <c r="C232" s="61" t="s">
        <v>25</v>
      </c>
      <c r="D232" s="66" t="s">
        <v>646</v>
      </c>
      <c r="E232" s="59" t="s">
        <v>642</v>
      </c>
      <c r="F232" s="60">
        <v>68983.06</v>
      </c>
      <c r="G232" s="60">
        <v>31206.74</v>
      </c>
      <c r="H232" s="60">
        <v>37776.32</v>
      </c>
      <c r="I232" s="59"/>
      <c r="J232" s="60">
        <v>9854.67</v>
      </c>
      <c r="K232" s="59"/>
      <c r="L232" s="59"/>
      <c r="M232" s="60">
        <v>68983.06</v>
      </c>
      <c r="N232" s="60">
        <v>41061.410000000003</v>
      </c>
      <c r="O232" s="60">
        <v>27921.65</v>
      </c>
      <c r="P232" s="55"/>
      <c r="Q232" s="55"/>
      <c r="R232" s="61">
        <f t="shared" si="96"/>
        <v>821.22249999999997</v>
      </c>
      <c r="S232" s="60">
        <v>821.22249999999997</v>
      </c>
      <c r="T232" s="60">
        <v>821.22249999999997</v>
      </c>
      <c r="U232" s="60">
        <v>821.22249999999997</v>
      </c>
      <c r="V232" s="60">
        <v>821.22249999999997</v>
      </c>
      <c r="W232" s="60">
        <v>821.22249999999997</v>
      </c>
      <c r="X232" s="61">
        <f t="shared" si="97"/>
        <v>4927.335</v>
      </c>
      <c r="Y232" s="60">
        <v>821.22249999999997</v>
      </c>
      <c r="Z232" s="60">
        <v>821.22249999999997</v>
      </c>
      <c r="AA232" s="60">
        <v>821.22249999999997</v>
      </c>
      <c r="AB232" s="60">
        <v>821.22249999999997</v>
      </c>
      <c r="AC232" s="60">
        <v>821.22249999999997</v>
      </c>
      <c r="AD232" s="60">
        <v>821.22249999999997</v>
      </c>
      <c r="AE232" s="61">
        <f t="shared" si="98"/>
        <v>4927.335</v>
      </c>
      <c r="AF232" s="62">
        <f t="shared" si="92"/>
        <v>68983.06</v>
      </c>
      <c r="AG232" s="62">
        <f t="shared" si="86"/>
        <v>50916.080000000045</v>
      </c>
      <c r="AH232" s="62">
        <f t="shared" si="102"/>
        <v>18066.979999999952</v>
      </c>
      <c r="AI232" s="63"/>
      <c r="AJ232" s="63"/>
      <c r="AK232" s="62"/>
      <c r="AL232" s="60">
        <v>821.22249999999997</v>
      </c>
      <c r="AM232" s="60">
        <v>821.22249999999997</v>
      </c>
      <c r="AN232" s="60">
        <v>821.22249999999997</v>
      </c>
      <c r="AO232" s="60">
        <v>821.22249999999997</v>
      </c>
      <c r="AP232" s="60">
        <v>821.22249999999997</v>
      </c>
      <c r="AQ232" s="60">
        <v>821.22249999999997</v>
      </c>
      <c r="AR232" s="61">
        <f t="shared" si="99"/>
        <v>4927.335</v>
      </c>
      <c r="AS232" s="60">
        <v>821.22249999999997</v>
      </c>
      <c r="AT232" s="60">
        <v>821.22249999999997</v>
      </c>
      <c r="AU232" s="60">
        <v>821.22249999999997</v>
      </c>
      <c r="AV232" s="60">
        <v>821.22249999999997</v>
      </c>
      <c r="AW232" s="60">
        <v>821.22249999999997</v>
      </c>
      <c r="AX232" s="60">
        <v>821.22249999999997</v>
      </c>
      <c r="AY232" s="61">
        <f t="shared" si="100"/>
        <v>4927.335</v>
      </c>
      <c r="AZ232" s="56">
        <f t="shared" si="95"/>
        <v>9854.67</v>
      </c>
      <c r="BA232" s="62">
        <f t="shared" si="93"/>
        <v>68983.06</v>
      </c>
      <c r="BB232" s="62">
        <f t="shared" si="101"/>
        <v>60770.750000000087</v>
      </c>
      <c r="BC232" s="62">
        <f t="shared" si="94"/>
        <v>8212.3099999999104</v>
      </c>
      <c r="BD232" s="63"/>
      <c r="BE232" s="57"/>
      <c r="BF232" s="35" t="str">
        <f>VLOOKUP(A:A,'2023-2027'!A:G,1,+FALSE)</f>
        <v>Персональный компьютер (ПК) с высокой производительностью</v>
      </c>
      <c r="BG232" s="7" t="b">
        <f t="shared" si="105"/>
        <v>1</v>
      </c>
      <c r="BH232" s="35">
        <f>VLOOKUP(A:A,'2023-2027'!A:AT,43,+FALSE)</f>
        <v>0</v>
      </c>
    </row>
    <row r="233" spans="1:60" ht="24" hidden="1" customHeight="1" outlineLevel="1" x14ac:dyDescent="0.2">
      <c r="A233" s="59" t="s">
        <v>640</v>
      </c>
      <c r="B233" s="61" t="s">
        <v>25</v>
      </c>
      <c r="C233" s="61" t="s">
        <v>25</v>
      </c>
      <c r="D233" s="66" t="s">
        <v>647</v>
      </c>
      <c r="E233" s="59" t="s">
        <v>642</v>
      </c>
      <c r="F233" s="60">
        <v>68983.06</v>
      </c>
      <c r="G233" s="60">
        <v>31206.74</v>
      </c>
      <c r="H233" s="60">
        <v>37776.32</v>
      </c>
      <c r="I233" s="59"/>
      <c r="J233" s="60">
        <v>9854.67</v>
      </c>
      <c r="K233" s="59"/>
      <c r="L233" s="59"/>
      <c r="M233" s="60">
        <v>68983.06</v>
      </c>
      <c r="N233" s="60">
        <v>41061.410000000003</v>
      </c>
      <c r="O233" s="60">
        <v>27921.65</v>
      </c>
      <c r="P233" s="55"/>
      <c r="Q233" s="55"/>
      <c r="R233" s="61">
        <f t="shared" si="96"/>
        <v>821.22249999999997</v>
      </c>
      <c r="S233" s="60">
        <v>821.22249999999997</v>
      </c>
      <c r="T233" s="60">
        <v>821.22249999999997</v>
      </c>
      <c r="U233" s="60">
        <v>821.22249999999997</v>
      </c>
      <c r="V233" s="60">
        <v>821.22249999999997</v>
      </c>
      <c r="W233" s="60">
        <v>821.22249999999997</v>
      </c>
      <c r="X233" s="61">
        <f t="shared" si="97"/>
        <v>4927.335</v>
      </c>
      <c r="Y233" s="60">
        <v>821.22249999999997</v>
      </c>
      <c r="Z233" s="60">
        <v>821.22249999999997</v>
      </c>
      <c r="AA233" s="60">
        <v>821.22249999999997</v>
      </c>
      <c r="AB233" s="60">
        <v>821.22249999999997</v>
      </c>
      <c r="AC233" s="60">
        <v>821.22249999999997</v>
      </c>
      <c r="AD233" s="60">
        <v>821.22249999999997</v>
      </c>
      <c r="AE233" s="61">
        <f t="shared" si="98"/>
        <v>4927.335</v>
      </c>
      <c r="AF233" s="62">
        <f t="shared" si="92"/>
        <v>68983.06</v>
      </c>
      <c r="AG233" s="62">
        <f t="shared" si="86"/>
        <v>50916.080000000045</v>
      </c>
      <c r="AH233" s="62">
        <f t="shared" si="102"/>
        <v>18066.979999999952</v>
      </c>
      <c r="AI233" s="63"/>
      <c r="AJ233" s="63"/>
      <c r="AK233" s="62"/>
      <c r="AL233" s="60">
        <v>821.22249999999997</v>
      </c>
      <c r="AM233" s="60">
        <v>821.22249999999997</v>
      </c>
      <c r="AN233" s="60">
        <v>821.22249999999997</v>
      </c>
      <c r="AO233" s="60">
        <v>821.22249999999997</v>
      </c>
      <c r="AP233" s="60">
        <v>821.22249999999997</v>
      </c>
      <c r="AQ233" s="60">
        <v>821.22249999999997</v>
      </c>
      <c r="AR233" s="61">
        <f t="shared" si="99"/>
        <v>4927.335</v>
      </c>
      <c r="AS233" s="60">
        <v>821.22249999999997</v>
      </c>
      <c r="AT233" s="60">
        <v>821.22249999999997</v>
      </c>
      <c r="AU233" s="60">
        <v>821.22249999999997</v>
      </c>
      <c r="AV233" s="60">
        <v>821.22249999999997</v>
      </c>
      <c r="AW233" s="60">
        <v>821.22249999999997</v>
      </c>
      <c r="AX233" s="60">
        <v>821.22249999999997</v>
      </c>
      <c r="AY233" s="61">
        <f t="shared" si="100"/>
        <v>4927.335</v>
      </c>
      <c r="AZ233" s="56">
        <f t="shared" si="95"/>
        <v>9854.67</v>
      </c>
      <c r="BA233" s="62">
        <f t="shared" si="93"/>
        <v>68983.06</v>
      </c>
      <c r="BB233" s="62">
        <f t="shared" si="101"/>
        <v>60770.750000000087</v>
      </c>
      <c r="BC233" s="62">
        <f t="shared" si="94"/>
        <v>8212.3099999999104</v>
      </c>
      <c r="BD233" s="63"/>
      <c r="BE233" s="57"/>
      <c r="BF233" s="35" t="str">
        <f>VLOOKUP(A:A,'2023-2027'!A:G,1,+FALSE)</f>
        <v>Персональный компьютер (ПК) с высокой производительностью</v>
      </c>
      <c r="BG233" s="7" t="b">
        <f t="shared" si="105"/>
        <v>1</v>
      </c>
      <c r="BH233" s="35">
        <f>VLOOKUP(A:A,'2023-2027'!A:AT,43,+FALSE)</f>
        <v>0</v>
      </c>
    </row>
    <row r="234" spans="1:60" ht="36" hidden="1" customHeight="1" outlineLevel="1" x14ac:dyDescent="0.2">
      <c r="A234" s="59" t="s">
        <v>26</v>
      </c>
      <c r="B234" s="61" t="s">
        <v>25</v>
      </c>
      <c r="C234" s="61" t="s">
        <v>25</v>
      </c>
      <c r="D234" s="66" t="s">
        <v>27</v>
      </c>
      <c r="E234" s="59" t="s">
        <v>24</v>
      </c>
      <c r="F234" s="59"/>
      <c r="G234" s="59"/>
      <c r="H234" s="59"/>
      <c r="I234" s="60">
        <v>64391.66</v>
      </c>
      <c r="J234" s="60">
        <v>4024.5</v>
      </c>
      <c r="K234" s="59"/>
      <c r="L234" s="59"/>
      <c r="M234" s="60">
        <v>64391.66</v>
      </c>
      <c r="N234" s="60">
        <v>4024.5</v>
      </c>
      <c r="O234" s="60">
        <v>60367.16</v>
      </c>
      <c r="P234" s="55"/>
      <c r="Q234" s="55"/>
      <c r="R234" s="61">
        <f t="shared" si="96"/>
        <v>335.375</v>
      </c>
      <c r="S234" s="60">
        <v>335.375</v>
      </c>
      <c r="T234" s="60">
        <v>335.375</v>
      </c>
      <c r="U234" s="60">
        <v>335.375</v>
      </c>
      <c r="V234" s="60">
        <v>335.375</v>
      </c>
      <c r="W234" s="60">
        <v>335.375</v>
      </c>
      <c r="X234" s="61">
        <f t="shared" si="97"/>
        <v>2012.25</v>
      </c>
      <c r="Y234" s="60">
        <v>335.375</v>
      </c>
      <c r="Z234" s="60">
        <v>335.375</v>
      </c>
      <c r="AA234" s="60">
        <v>335.375</v>
      </c>
      <c r="AB234" s="60">
        <v>335.375</v>
      </c>
      <c r="AC234" s="60">
        <v>335.375</v>
      </c>
      <c r="AD234" s="60">
        <v>335.375</v>
      </c>
      <c r="AE234" s="61">
        <f t="shared" si="98"/>
        <v>2012.25</v>
      </c>
      <c r="AF234" s="62">
        <f t="shared" si="92"/>
        <v>64391.66</v>
      </c>
      <c r="AG234" s="62">
        <f t="shared" si="86"/>
        <v>8049</v>
      </c>
      <c r="AH234" s="62">
        <f t="shared" si="102"/>
        <v>56342.66</v>
      </c>
      <c r="AI234" s="63"/>
      <c r="AJ234" s="63"/>
      <c r="AK234" s="62"/>
      <c r="AL234" s="60">
        <v>335.375</v>
      </c>
      <c r="AM234" s="60">
        <v>335.375</v>
      </c>
      <c r="AN234" s="60">
        <v>335.375</v>
      </c>
      <c r="AO234" s="60">
        <v>335.375</v>
      </c>
      <c r="AP234" s="60">
        <v>335.375</v>
      </c>
      <c r="AQ234" s="60">
        <v>335.375</v>
      </c>
      <c r="AR234" s="61">
        <f t="shared" si="99"/>
        <v>2012.25</v>
      </c>
      <c r="AS234" s="60">
        <v>335.375</v>
      </c>
      <c r="AT234" s="60">
        <v>335.375</v>
      </c>
      <c r="AU234" s="60">
        <v>335.375</v>
      </c>
      <c r="AV234" s="60">
        <v>335.375</v>
      </c>
      <c r="AW234" s="60">
        <v>335.375</v>
      </c>
      <c r="AX234" s="60">
        <v>335.375</v>
      </c>
      <c r="AY234" s="61">
        <f t="shared" si="100"/>
        <v>2012.25</v>
      </c>
      <c r="AZ234" s="56">
        <f t="shared" si="95"/>
        <v>4024.5</v>
      </c>
      <c r="BA234" s="62">
        <f t="shared" si="93"/>
        <v>64391.66</v>
      </c>
      <c r="BB234" s="62">
        <f t="shared" si="101"/>
        <v>12073.5</v>
      </c>
      <c r="BC234" s="62">
        <f t="shared" si="94"/>
        <v>52318.16</v>
      </c>
      <c r="BD234" s="63"/>
      <c r="BE234" s="57"/>
      <c r="BF234" s="35" t="str">
        <f>VLOOKUP(A:A,'2023-2027'!A:G,1,+FALSE)</f>
        <v>Персональный компьютер (ПК) с клавиатурой и мышью + 2 монитора (`27)</v>
      </c>
      <c r="BG234" s="7" t="b">
        <f t="shared" si="105"/>
        <v>1</v>
      </c>
      <c r="BH234" s="35">
        <f>VLOOKUP(A:A,'2023-2027'!A:AT,43,+FALSE)</f>
        <v>1788.66</v>
      </c>
    </row>
    <row r="235" spans="1:60" ht="24" hidden="1" customHeight="1" outlineLevel="1" x14ac:dyDescent="0.2">
      <c r="A235" s="59" t="s">
        <v>86</v>
      </c>
      <c r="B235" s="61" t="s">
        <v>25</v>
      </c>
      <c r="C235" s="61" t="s">
        <v>25</v>
      </c>
      <c r="D235" s="66" t="s">
        <v>648</v>
      </c>
      <c r="E235" s="59" t="s">
        <v>649</v>
      </c>
      <c r="F235" s="60">
        <v>84400</v>
      </c>
      <c r="G235" s="60">
        <v>6028.56</v>
      </c>
      <c r="H235" s="60">
        <v>78371.44</v>
      </c>
      <c r="I235" s="59"/>
      <c r="J235" s="60">
        <v>12057.12</v>
      </c>
      <c r="K235" s="59"/>
      <c r="L235" s="59"/>
      <c r="M235" s="60">
        <v>84400</v>
      </c>
      <c r="N235" s="60">
        <v>18085.68</v>
      </c>
      <c r="O235" s="60">
        <v>66314.320000000007</v>
      </c>
      <c r="P235" s="55"/>
      <c r="Q235" s="55"/>
      <c r="R235" s="61">
        <f t="shared" si="96"/>
        <v>1004.7600000000001</v>
      </c>
      <c r="S235" s="60">
        <v>1004.76</v>
      </c>
      <c r="T235" s="60">
        <v>1004.76</v>
      </c>
      <c r="U235" s="60">
        <v>1004.76</v>
      </c>
      <c r="V235" s="60">
        <v>1004.76</v>
      </c>
      <c r="W235" s="60">
        <v>1004.76</v>
      </c>
      <c r="X235" s="61">
        <f t="shared" si="97"/>
        <v>6028.56</v>
      </c>
      <c r="Y235" s="60">
        <v>1004.76</v>
      </c>
      <c r="Z235" s="60">
        <v>1004.76</v>
      </c>
      <c r="AA235" s="60">
        <v>1004.76</v>
      </c>
      <c r="AB235" s="60">
        <v>1004.76</v>
      </c>
      <c r="AC235" s="60">
        <v>1004.76</v>
      </c>
      <c r="AD235" s="60">
        <v>1004.76</v>
      </c>
      <c r="AE235" s="61">
        <f t="shared" si="98"/>
        <v>6028.56</v>
      </c>
      <c r="AF235" s="62">
        <f t="shared" si="92"/>
        <v>84400</v>
      </c>
      <c r="AG235" s="62">
        <f t="shared" si="86"/>
        <v>30142.799999999981</v>
      </c>
      <c r="AH235" s="62">
        <f t="shared" si="102"/>
        <v>54257.200000000019</v>
      </c>
      <c r="AI235" s="63"/>
      <c r="AJ235" s="63"/>
      <c r="AK235" s="62"/>
      <c r="AL235" s="60">
        <v>1004.76</v>
      </c>
      <c r="AM235" s="60">
        <v>1004.76</v>
      </c>
      <c r="AN235" s="60">
        <v>1004.76</v>
      </c>
      <c r="AO235" s="60">
        <v>1004.76</v>
      </c>
      <c r="AP235" s="60">
        <v>1004.76</v>
      </c>
      <c r="AQ235" s="60">
        <v>1004.76</v>
      </c>
      <c r="AR235" s="61">
        <f t="shared" si="99"/>
        <v>6028.56</v>
      </c>
      <c r="AS235" s="60">
        <v>1004.76</v>
      </c>
      <c r="AT235" s="60">
        <v>1004.76</v>
      </c>
      <c r="AU235" s="60">
        <v>1004.76</v>
      </c>
      <c r="AV235" s="60">
        <v>1004.76</v>
      </c>
      <c r="AW235" s="60">
        <v>1004.76</v>
      </c>
      <c r="AX235" s="60">
        <v>1004.76</v>
      </c>
      <c r="AY235" s="61">
        <f t="shared" si="100"/>
        <v>6028.56</v>
      </c>
      <c r="AZ235" s="56">
        <f t="shared" si="95"/>
        <v>12057.12</v>
      </c>
      <c r="BA235" s="62">
        <f t="shared" si="93"/>
        <v>84400</v>
      </c>
      <c r="BB235" s="62">
        <f t="shared" si="101"/>
        <v>42199.92</v>
      </c>
      <c r="BC235" s="62">
        <f t="shared" si="94"/>
        <v>42200.08</v>
      </c>
      <c r="BD235" s="63"/>
      <c r="BE235" s="57"/>
      <c r="BF235" s="35" t="str">
        <f>VLOOKUP(A:A,'2023-2027'!A:G,1,+FALSE)</f>
        <v>Персональный компьютер высокой производительности</v>
      </c>
      <c r="BG235" s="7" t="b">
        <f t="shared" si="105"/>
        <v>1</v>
      </c>
      <c r="BH235" s="35">
        <f>VLOOKUP(A:A,'2023-2027'!A:AT,43,+FALSE)</f>
        <v>2344.4399999999996</v>
      </c>
    </row>
    <row r="236" spans="1:60" ht="24" hidden="1" customHeight="1" outlineLevel="1" x14ac:dyDescent="0.2">
      <c r="A236" s="59" t="s">
        <v>86</v>
      </c>
      <c r="B236" s="61" t="s">
        <v>25</v>
      </c>
      <c r="C236" s="61" t="s">
        <v>25</v>
      </c>
      <c r="D236" s="66" t="s">
        <v>650</v>
      </c>
      <c r="E236" s="59" t="s">
        <v>651</v>
      </c>
      <c r="F236" s="60">
        <v>84400</v>
      </c>
      <c r="G236" s="60">
        <v>4019.04</v>
      </c>
      <c r="H236" s="60">
        <v>80380.960000000006</v>
      </c>
      <c r="I236" s="59"/>
      <c r="J236" s="60">
        <v>12057.12</v>
      </c>
      <c r="K236" s="59"/>
      <c r="L236" s="59"/>
      <c r="M236" s="60">
        <v>84400</v>
      </c>
      <c r="N236" s="60">
        <v>16076.16</v>
      </c>
      <c r="O236" s="60">
        <v>68323.839999999997</v>
      </c>
      <c r="P236" s="55"/>
      <c r="Q236" s="55"/>
      <c r="R236" s="61">
        <f t="shared" si="96"/>
        <v>1004.7600000000001</v>
      </c>
      <c r="S236" s="60">
        <v>1004.76</v>
      </c>
      <c r="T236" s="60">
        <v>1004.76</v>
      </c>
      <c r="U236" s="60">
        <v>1004.76</v>
      </c>
      <c r="V236" s="60">
        <v>1004.76</v>
      </c>
      <c r="W236" s="60">
        <v>1004.76</v>
      </c>
      <c r="X236" s="61">
        <f t="shared" si="97"/>
        <v>6028.56</v>
      </c>
      <c r="Y236" s="60">
        <v>1004.76</v>
      </c>
      <c r="Z236" s="60">
        <v>1004.76</v>
      </c>
      <c r="AA236" s="60">
        <v>1004.76</v>
      </c>
      <c r="AB236" s="60">
        <v>1004.76</v>
      </c>
      <c r="AC236" s="60">
        <v>1004.76</v>
      </c>
      <c r="AD236" s="60">
        <v>1004.76</v>
      </c>
      <c r="AE236" s="61">
        <f t="shared" si="98"/>
        <v>6028.56</v>
      </c>
      <c r="AF236" s="62">
        <f t="shared" si="92"/>
        <v>84400</v>
      </c>
      <c r="AG236" s="62">
        <f t="shared" si="86"/>
        <v>28133.279999999981</v>
      </c>
      <c r="AH236" s="62">
        <f t="shared" si="102"/>
        <v>56266.720000000016</v>
      </c>
      <c r="AI236" s="63"/>
      <c r="AJ236" s="63"/>
      <c r="AK236" s="62"/>
      <c r="AL236" s="60">
        <v>1004.76</v>
      </c>
      <c r="AM236" s="60">
        <v>1004.76</v>
      </c>
      <c r="AN236" s="60">
        <v>1004.76</v>
      </c>
      <c r="AO236" s="60">
        <v>1004.76</v>
      </c>
      <c r="AP236" s="60">
        <v>1004.76</v>
      </c>
      <c r="AQ236" s="60">
        <v>1004.76</v>
      </c>
      <c r="AR236" s="61">
        <f t="shared" si="99"/>
        <v>6028.56</v>
      </c>
      <c r="AS236" s="60">
        <v>1004.76</v>
      </c>
      <c r="AT236" s="60">
        <v>1004.76</v>
      </c>
      <c r="AU236" s="60">
        <v>1004.76</v>
      </c>
      <c r="AV236" s="60">
        <v>1004.76</v>
      </c>
      <c r="AW236" s="60">
        <v>1004.76</v>
      </c>
      <c r="AX236" s="60">
        <v>1004.76</v>
      </c>
      <c r="AY236" s="61">
        <f t="shared" si="100"/>
        <v>6028.56</v>
      </c>
      <c r="AZ236" s="56">
        <f t="shared" si="95"/>
        <v>12057.12</v>
      </c>
      <c r="BA236" s="62">
        <f t="shared" si="93"/>
        <v>84400</v>
      </c>
      <c r="BB236" s="62">
        <f t="shared" si="101"/>
        <v>40190.399999999987</v>
      </c>
      <c r="BC236" s="62">
        <f t="shared" si="94"/>
        <v>44209.600000000013</v>
      </c>
      <c r="BD236" s="63"/>
      <c r="BE236" s="57"/>
      <c r="BF236" s="35" t="str">
        <f>VLOOKUP(A:A,'2023-2027'!A:G,1,+FALSE)</f>
        <v>Персональный компьютер высокой производительности</v>
      </c>
      <c r="BG236" s="7" t="b">
        <f t="shared" si="105"/>
        <v>1</v>
      </c>
      <c r="BH236" s="35">
        <f>VLOOKUP(A:A,'2023-2027'!A:AT,43,+FALSE)</f>
        <v>2344.4399999999996</v>
      </c>
    </row>
    <row r="237" spans="1:60" ht="36" hidden="1" customHeight="1" outlineLevel="1" x14ac:dyDescent="0.2">
      <c r="A237" s="59" t="s">
        <v>652</v>
      </c>
      <c r="B237" s="61" t="s">
        <v>25</v>
      </c>
      <c r="C237" s="61" t="s">
        <v>25</v>
      </c>
      <c r="D237" s="66" t="s">
        <v>653</v>
      </c>
      <c r="E237" s="59" t="s">
        <v>654</v>
      </c>
      <c r="F237" s="60">
        <v>99990</v>
      </c>
      <c r="G237" s="60">
        <v>8332.52</v>
      </c>
      <c r="H237" s="60">
        <v>91657.48</v>
      </c>
      <c r="I237" s="59"/>
      <c r="J237" s="60">
        <v>14284.32</v>
      </c>
      <c r="K237" s="59"/>
      <c r="L237" s="59"/>
      <c r="M237" s="60">
        <v>99990</v>
      </c>
      <c r="N237" s="60">
        <v>22616.84</v>
      </c>
      <c r="O237" s="60">
        <v>77373.16</v>
      </c>
      <c r="P237" s="55"/>
      <c r="Q237" s="55"/>
      <c r="R237" s="61">
        <f t="shared" si="96"/>
        <v>1190.3599999999999</v>
      </c>
      <c r="S237" s="60">
        <v>1190.3599999999999</v>
      </c>
      <c r="T237" s="60">
        <v>1190.3599999999999</v>
      </c>
      <c r="U237" s="60">
        <v>1190.3599999999999</v>
      </c>
      <c r="V237" s="60">
        <v>1190.3599999999999</v>
      </c>
      <c r="W237" s="60">
        <v>1190.3599999999999</v>
      </c>
      <c r="X237" s="61">
        <f t="shared" si="97"/>
        <v>7142.1599999999989</v>
      </c>
      <c r="Y237" s="60">
        <v>1190.3599999999999</v>
      </c>
      <c r="Z237" s="60">
        <v>1190.3599999999999</v>
      </c>
      <c r="AA237" s="60">
        <v>1190.3599999999999</v>
      </c>
      <c r="AB237" s="60">
        <v>1190.3599999999999</v>
      </c>
      <c r="AC237" s="60">
        <v>1190.3599999999999</v>
      </c>
      <c r="AD237" s="60">
        <v>1190.3599999999999</v>
      </c>
      <c r="AE237" s="61">
        <f t="shared" si="98"/>
        <v>7142.1599999999989</v>
      </c>
      <c r="AF237" s="62">
        <f t="shared" si="92"/>
        <v>99990</v>
      </c>
      <c r="AG237" s="62">
        <f t="shared" si="86"/>
        <v>36901.160000000003</v>
      </c>
      <c r="AH237" s="62">
        <f t="shared" si="102"/>
        <v>63088.84</v>
      </c>
      <c r="AI237" s="63"/>
      <c r="AJ237" s="63"/>
      <c r="AK237" s="62"/>
      <c r="AL237" s="60">
        <v>1190.3599999999999</v>
      </c>
      <c r="AM237" s="60">
        <v>1190.3599999999999</v>
      </c>
      <c r="AN237" s="60">
        <v>1190.3599999999999</v>
      </c>
      <c r="AO237" s="60">
        <v>1190.3599999999999</v>
      </c>
      <c r="AP237" s="60">
        <v>1190.3599999999999</v>
      </c>
      <c r="AQ237" s="60">
        <v>1190.3599999999999</v>
      </c>
      <c r="AR237" s="61">
        <f t="shared" si="99"/>
        <v>7142.1599999999989</v>
      </c>
      <c r="AS237" s="60">
        <v>1190.3599999999999</v>
      </c>
      <c r="AT237" s="60">
        <v>1190.3599999999999</v>
      </c>
      <c r="AU237" s="60">
        <v>1190.3599999999999</v>
      </c>
      <c r="AV237" s="60">
        <v>1190.3599999999999</v>
      </c>
      <c r="AW237" s="60">
        <v>1190.3599999999999</v>
      </c>
      <c r="AX237" s="60">
        <v>1190.3599999999999</v>
      </c>
      <c r="AY237" s="61">
        <f t="shared" si="100"/>
        <v>7142.1599999999989</v>
      </c>
      <c r="AZ237" s="56">
        <f t="shared" si="95"/>
        <v>14284.319999999998</v>
      </c>
      <c r="BA237" s="62">
        <f t="shared" si="93"/>
        <v>99990</v>
      </c>
      <c r="BB237" s="62">
        <f t="shared" si="101"/>
        <v>51185.48000000001</v>
      </c>
      <c r="BC237" s="62">
        <f t="shared" si="94"/>
        <v>48804.51999999999</v>
      </c>
      <c r="BD237" s="63"/>
      <c r="BE237" s="57"/>
      <c r="BF237" s="35" t="str">
        <f>VLOOKUP(A:A,'2023-2027'!A:G,1,+FALSE)</f>
        <v>Персональный компьютер высокой производительности c 2-мя мониторами</v>
      </c>
      <c r="BG237" s="7" t="b">
        <f t="shared" si="105"/>
        <v>1</v>
      </c>
      <c r="BH237" s="35">
        <f>VLOOKUP(A:A,'2023-2027'!A:AT,43,+FALSE)</f>
        <v>2777.5</v>
      </c>
    </row>
    <row r="238" spans="1:60" ht="36" hidden="1" customHeight="1" outlineLevel="1" x14ac:dyDescent="0.2">
      <c r="A238" s="59" t="s">
        <v>655</v>
      </c>
      <c r="B238" s="61" t="s">
        <v>25</v>
      </c>
      <c r="C238" s="61" t="s">
        <v>25</v>
      </c>
      <c r="D238" s="65" t="s">
        <v>656</v>
      </c>
      <c r="E238" s="59" t="s">
        <v>657</v>
      </c>
      <c r="F238" s="60">
        <v>55266.1</v>
      </c>
      <c r="G238" s="60">
        <v>43631.1</v>
      </c>
      <c r="H238" s="60">
        <v>11635</v>
      </c>
      <c r="I238" s="59"/>
      <c r="J238" s="60">
        <v>5817.48</v>
      </c>
      <c r="K238" s="59"/>
      <c r="L238" s="59"/>
      <c r="M238" s="60">
        <v>55266.1</v>
      </c>
      <c r="N238" s="60">
        <v>49448.58</v>
      </c>
      <c r="O238" s="60">
        <v>5817.52</v>
      </c>
      <c r="P238" s="55"/>
      <c r="Q238" s="55"/>
      <c r="R238" s="61">
        <f t="shared" si="96"/>
        <v>484.78999999999996</v>
      </c>
      <c r="S238" s="60">
        <v>484.79</v>
      </c>
      <c r="T238" s="60">
        <v>484.79</v>
      </c>
      <c r="U238" s="60">
        <v>484.79</v>
      </c>
      <c r="V238" s="60">
        <v>484.79</v>
      </c>
      <c r="W238" s="60">
        <v>484.79</v>
      </c>
      <c r="X238" s="61">
        <f t="shared" si="97"/>
        <v>2908.74</v>
      </c>
      <c r="Y238" s="60">
        <v>484.79</v>
      </c>
      <c r="Z238" s="60">
        <v>484.79</v>
      </c>
      <c r="AA238" s="60">
        <v>484.79</v>
      </c>
      <c r="AB238" s="60">
        <v>484.79</v>
      </c>
      <c r="AC238" s="60">
        <v>484.79</v>
      </c>
      <c r="AD238" s="60">
        <v>484.79</v>
      </c>
      <c r="AE238" s="61">
        <f t="shared" si="98"/>
        <v>2908.7400000000002</v>
      </c>
      <c r="AF238" s="62">
        <f t="shared" si="92"/>
        <v>55266.1</v>
      </c>
      <c r="AG238" s="62">
        <f t="shared" si="86"/>
        <v>55266.060000000012</v>
      </c>
      <c r="AH238" s="62">
        <f t="shared" si="102"/>
        <v>3.99999999863212E-2</v>
      </c>
      <c r="AI238" s="63"/>
      <c r="AJ238" s="63"/>
      <c r="AK238" s="62"/>
      <c r="AL238" s="60">
        <v>0.04</v>
      </c>
      <c r="AM238" s="60"/>
      <c r="AN238" s="60"/>
      <c r="AO238" s="60"/>
      <c r="AP238" s="60"/>
      <c r="AQ238" s="60"/>
      <c r="AR238" s="61">
        <f t="shared" si="99"/>
        <v>0.04</v>
      </c>
      <c r="AS238" s="60"/>
      <c r="AT238" s="60"/>
      <c r="AU238" s="60"/>
      <c r="AV238" s="60"/>
      <c r="AW238" s="60"/>
      <c r="AX238" s="60"/>
      <c r="AY238" s="61">
        <f t="shared" si="100"/>
        <v>0</v>
      </c>
      <c r="AZ238" s="56">
        <f t="shared" si="95"/>
        <v>0.04</v>
      </c>
      <c r="BA238" s="62">
        <f t="shared" si="93"/>
        <v>55266.1</v>
      </c>
      <c r="BB238" s="62">
        <f t="shared" si="101"/>
        <v>55266.100000000013</v>
      </c>
      <c r="BC238" s="62">
        <f t="shared" si="94"/>
        <v>0</v>
      </c>
      <c r="BD238" s="63"/>
      <c r="BE238" s="57"/>
      <c r="BF238" s="35" t="e">
        <f>VLOOKUP(A:A,'2023-2027'!A:G,1,+FALSE)</f>
        <v>#N/A</v>
      </c>
      <c r="BG238" s="7" t="e">
        <f t="shared" si="105"/>
        <v>#N/A</v>
      </c>
      <c r="BH238" s="35"/>
    </row>
    <row r="239" spans="1:60" ht="12" hidden="1" customHeight="1" outlineLevel="1" x14ac:dyDescent="0.2">
      <c r="A239" s="59" t="s">
        <v>658</v>
      </c>
      <c r="B239" s="61" t="s">
        <v>25</v>
      </c>
      <c r="C239" s="61" t="s">
        <v>25</v>
      </c>
      <c r="D239" s="65" t="s">
        <v>659</v>
      </c>
      <c r="E239" s="59" t="s">
        <v>162</v>
      </c>
      <c r="F239" s="60">
        <v>24658.83</v>
      </c>
      <c r="G239" s="59"/>
      <c r="H239" s="60">
        <v>24658.83</v>
      </c>
      <c r="I239" s="59"/>
      <c r="J239" s="60">
        <v>3969.53</v>
      </c>
      <c r="K239" s="59"/>
      <c r="L239" s="59"/>
      <c r="M239" s="60">
        <v>24658.83</v>
      </c>
      <c r="N239" s="60">
        <v>3969.53</v>
      </c>
      <c r="O239" s="60">
        <v>20689.3</v>
      </c>
      <c r="P239" s="55"/>
      <c r="Q239" s="55"/>
      <c r="R239" s="61">
        <f t="shared" si="96"/>
        <v>330.79416666666668</v>
      </c>
      <c r="S239" s="60">
        <v>330.79416670000001</v>
      </c>
      <c r="T239" s="60">
        <v>330.79416670000001</v>
      </c>
      <c r="U239" s="60">
        <v>330.79416670000001</v>
      </c>
      <c r="V239" s="60">
        <v>330.79416670000001</v>
      </c>
      <c r="W239" s="60">
        <v>330.79416670000001</v>
      </c>
      <c r="X239" s="61">
        <f t="shared" si="97"/>
        <v>1984.7650001666666</v>
      </c>
      <c r="Y239" s="60">
        <v>330.79416670000001</v>
      </c>
      <c r="Z239" s="60">
        <v>330.79416670000001</v>
      </c>
      <c r="AA239" s="60">
        <v>330.79416670000001</v>
      </c>
      <c r="AB239" s="60">
        <v>330.79416670000001</v>
      </c>
      <c r="AC239" s="60">
        <v>330.79416670000001</v>
      </c>
      <c r="AD239" s="60">
        <v>330.79416670000001</v>
      </c>
      <c r="AE239" s="61">
        <f t="shared" si="98"/>
        <v>1984.7650002</v>
      </c>
      <c r="AF239" s="62">
        <f t="shared" si="92"/>
        <v>24658.83</v>
      </c>
      <c r="AG239" s="62">
        <f t="shared" si="86"/>
        <v>7939.0600003666623</v>
      </c>
      <c r="AH239" s="62">
        <f t="shared" si="102"/>
        <v>16719.769999633339</v>
      </c>
      <c r="AI239" s="63"/>
      <c r="AJ239" s="63"/>
      <c r="AK239" s="62"/>
      <c r="AL239" s="60">
        <v>330.79416670000001</v>
      </c>
      <c r="AM239" s="60">
        <v>330.79416670000001</v>
      </c>
      <c r="AN239" s="60">
        <v>330.79416670000001</v>
      </c>
      <c r="AO239" s="60">
        <v>330.79416670000001</v>
      </c>
      <c r="AP239" s="60">
        <v>330.79416670000001</v>
      </c>
      <c r="AQ239" s="60">
        <v>330.79416670000001</v>
      </c>
      <c r="AR239" s="61">
        <f t="shared" si="99"/>
        <v>1984.7650002</v>
      </c>
      <c r="AS239" s="60">
        <v>330.79416670000001</v>
      </c>
      <c r="AT239" s="60">
        <v>330.79416670000001</v>
      </c>
      <c r="AU239" s="60">
        <v>330.79416670000001</v>
      </c>
      <c r="AV239" s="60">
        <v>330.79416670000001</v>
      </c>
      <c r="AW239" s="60">
        <v>330.79416670000001</v>
      </c>
      <c r="AX239" s="60">
        <v>330.79416670000001</v>
      </c>
      <c r="AY239" s="61">
        <f t="shared" si="100"/>
        <v>1984.7650002</v>
      </c>
      <c r="AZ239" s="56">
        <f t="shared" si="95"/>
        <v>3969.5300004000001</v>
      </c>
      <c r="BA239" s="62">
        <f t="shared" si="93"/>
        <v>24658.83</v>
      </c>
      <c r="BB239" s="62">
        <f t="shared" si="101"/>
        <v>11908.590000766657</v>
      </c>
      <c r="BC239" s="62">
        <f t="shared" si="94"/>
        <v>12750.239999233345</v>
      </c>
      <c r="BD239" s="63"/>
      <c r="BE239" s="57"/>
      <c r="BF239" s="35" t="e">
        <f>VLOOKUP(A:A,'2023-2027'!A:G,1,+FALSE)</f>
        <v>#N/A</v>
      </c>
      <c r="BG239" s="7" t="e">
        <f t="shared" si="105"/>
        <v>#N/A</v>
      </c>
      <c r="BH239" s="35"/>
    </row>
    <row r="240" spans="1:60" ht="12" hidden="1" customHeight="1" outlineLevel="1" x14ac:dyDescent="0.2">
      <c r="A240" s="59" t="s">
        <v>660</v>
      </c>
      <c r="B240" s="61" t="s">
        <v>25</v>
      </c>
      <c r="C240" s="61" t="s">
        <v>25</v>
      </c>
      <c r="D240" s="65" t="s">
        <v>661</v>
      </c>
      <c r="E240" s="59" t="s">
        <v>162</v>
      </c>
      <c r="F240" s="60">
        <v>5472794.1900000004</v>
      </c>
      <c r="G240" s="59"/>
      <c r="H240" s="60">
        <v>5472794.1900000004</v>
      </c>
      <c r="I240" s="59"/>
      <c r="J240" s="60">
        <v>237951.17</v>
      </c>
      <c r="K240" s="59"/>
      <c r="L240" s="59"/>
      <c r="M240" s="60">
        <v>5472794.1900000004</v>
      </c>
      <c r="N240" s="60">
        <v>237951.17</v>
      </c>
      <c r="O240" s="60">
        <v>5234843.0199999996</v>
      </c>
      <c r="P240" s="55"/>
      <c r="Q240" s="55"/>
      <c r="R240" s="61">
        <f t="shared" si="96"/>
        <v>19829.264166666668</v>
      </c>
      <c r="S240" s="60">
        <v>19829.264169999999</v>
      </c>
      <c r="T240" s="60">
        <v>19829.264169999999</v>
      </c>
      <c r="U240" s="60">
        <v>19829.264169999999</v>
      </c>
      <c r="V240" s="60">
        <v>19829.264169999999</v>
      </c>
      <c r="W240" s="60">
        <v>19829.264169999999</v>
      </c>
      <c r="X240" s="61">
        <f t="shared" si="97"/>
        <v>118975.58501666665</v>
      </c>
      <c r="Y240" s="60">
        <v>19829.264169999999</v>
      </c>
      <c r="Z240" s="60">
        <v>19829.264169999999</v>
      </c>
      <c r="AA240" s="60">
        <v>19829.264169999999</v>
      </c>
      <c r="AB240" s="60">
        <v>19829.264169999999</v>
      </c>
      <c r="AC240" s="60">
        <v>19829.264169999999</v>
      </c>
      <c r="AD240" s="60">
        <v>19829.264169999999</v>
      </c>
      <c r="AE240" s="61">
        <f t="shared" si="98"/>
        <v>118975.58501999998</v>
      </c>
      <c r="AF240" s="62">
        <f t="shared" si="92"/>
        <v>5472794.1900000004</v>
      </c>
      <c r="AG240" s="62">
        <f t="shared" si="86"/>
        <v>475902.34003666649</v>
      </c>
      <c r="AH240" s="62">
        <f t="shared" si="102"/>
        <v>4996891.8499633335</v>
      </c>
      <c r="AI240" s="63"/>
      <c r="AJ240" s="63"/>
      <c r="AK240" s="62"/>
      <c r="AL240" s="60">
        <v>19829.264169999999</v>
      </c>
      <c r="AM240" s="60">
        <v>19829.264169999999</v>
      </c>
      <c r="AN240" s="60">
        <v>19829.264169999999</v>
      </c>
      <c r="AO240" s="60">
        <v>19829.264169999999</v>
      </c>
      <c r="AP240" s="60">
        <v>19829.264169999999</v>
      </c>
      <c r="AQ240" s="60">
        <v>19829.264169999999</v>
      </c>
      <c r="AR240" s="61">
        <f t="shared" si="99"/>
        <v>118975.58501999998</v>
      </c>
      <c r="AS240" s="60">
        <v>19829.264169999999</v>
      </c>
      <c r="AT240" s="60">
        <v>19829.264169999999</v>
      </c>
      <c r="AU240" s="60">
        <v>19829.264169999999</v>
      </c>
      <c r="AV240" s="60">
        <v>19829.264169999999</v>
      </c>
      <c r="AW240" s="60">
        <v>19829.264169999999</v>
      </c>
      <c r="AX240" s="60">
        <v>19829.264169999999</v>
      </c>
      <c r="AY240" s="61">
        <f t="shared" si="100"/>
        <v>118975.58501999998</v>
      </c>
      <c r="AZ240" s="56">
        <f t="shared" si="95"/>
        <v>237951.17003999997</v>
      </c>
      <c r="BA240" s="62">
        <f t="shared" si="93"/>
        <v>5472794.1900000004</v>
      </c>
      <c r="BB240" s="62">
        <f t="shared" si="101"/>
        <v>713853.51007666625</v>
      </c>
      <c r="BC240" s="62">
        <f t="shared" si="94"/>
        <v>4758940.6799233342</v>
      </c>
      <c r="BD240" s="63"/>
      <c r="BE240" s="57"/>
      <c r="BF240" s="35" t="e">
        <f>VLOOKUP(A:A,'2023-2027'!A:G,1,+FALSE)</f>
        <v>#N/A</v>
      </c>
      <c r="BG240" s="7" t="e">
        <f t="shared" si="105"/>
        <v>#N/A</v>
      </c>
      <c r="BH240" s="35"/>
    </row>
    <row r="241" spans="1:60" ht="12" hidden="1" customHeight="1" outlineLevel="1" x14ac:dyDescent="0.2">
      <c r="A241" s="59" t="s">
        <v>662</v>
      </c>
      <c r="B241" s="61" t="s">
        <v>25</v>
      </c>
      <c r="C241" s="61" t="s">
        <v>25</v>
      </c>
      <c r="D241" s="65" t="s">
        <v>663</v>
      </c>
      <c r="E241" s="59" t="s">
        <v>162</v>
      </c>
      <c r="F241" s="60">
        <v>52489.440000000002</v>
      </c>
      <c r="G241" s="59"/>
      <c r="H241" s="60">
        <v>52489.440000000002</v>
      </c>
      <c r="I241" s="59"/>
      <c r="J241" s="60">
        <v>8449.65</v>
      </c>
      <c r="K241" s="59"/>
      <c r="L241" s="59"/>
      <c r="M241" s="60">
        <v>52489.440000000002</v>
      </c>
      <c r="N241" s="60">
        <v>8449.65</v>
      </c>
      <c r="O241" s="60">
        <v>44039.79</v>
      </c>
      <c r="P241" s="55"/>
      <c r="Q241" s="55"/>
      <c r="R241" s="61">
        <f t="shared" si="96"/>
        <v>704.13749999999993</v>
      </c>
      <c r="S241" s="60">
        <v>704.13750000000005</v>
      </c>
      <c r="T241" s="60">
        <v>704.13750000000005</v>
      </c>
      <c r="U241" s="60">
        <v>704.13750000000005</v>
      </c>
      <c r="V241" s="60">
        <v>704.13750000000005</v>
      </c>
      <c r="W241" s="60">
        <v>704.13750000000005</v>
      </c>
      <c r="X241" s="61">
        <f t="shared" si="97"/>
        <v>4224.8249999999998</v>
      </c>
      <c r="Y241" s="60">
        <v>704.13750000000005</v>
      </c>
      <c r="Z241" s="60">
        <v>704.13750000000005</v>
      </c>
      <c r="AA241" s="60">
        <v>704.13750000000005</v>
      </c>
      <c r="AB241" s="60">
        <v>704.13750000000005</v>
      </c>
      <c r="AC241" s="60">
        <v>704.13750000000005</v>
      </c>
      <c r="AD241" s="60">
        <v>704.13750000000005</v>
      </c>
      <c r="AE241" s="61">
        <f t="shared" si="98"/>
        <v>4224.8249999999998</v>
      </c>
      <c r="AF241" s="62">
        <f t="shared" si="92"/>
        <v>52489.440000000002</v>
      </c>
      <c r="AG241" s="62">
        <f t="shared" si="86"/>
        <v>16899.300000000007</v>
      </c>
      <c r="AH241" s="62">
        <f t="shared" si="102"/>
        <v>35590.14</v>
      </c>
      <c r="AI241" s="63"/>
      <c r="AJ241" s="63"/>
      <c r="AK241" s="62"/>
      <c r="AL241" s="60">
        <v>704.13750000000005</v>
      </c>
      <c r="AM241" s="60">
        <v>704.13750000000005</v>
      </c>
      <c r="AN241" s="60">
        <v>704.13750000000005</v>
      </c>
      <c r="AO241" s="60">
        <v>704.13750000000005</v>
      </c>
      <c r="AP241" s="60">
        <v>704.13750000000005</v>
      </c>
      <c r="AQ241" s="60">
        <v>704.13750000000005</v>
      </c>
      <c r="AR241" s="61">
        <f t="shared" si="99"/>
        <v>4224.8249999999998</v>
      </c>
      <c r="AS241" s="60">
        <v>704.13750000000005</v>
      </c>
      <c r="AT241" s="60">
        <v>704.13750000000005</v>
      </c>
      <c r="AU241" s="60">
        <v>704.13750000000005</v>
      </c>
      <c r="AV241" s="60">
        <v>704.13750000000005</v>
      </c>
      <c r="AW241" s="60">
        <v>704.13750000000005</v>
      </c>
      <c r="AX241" s="60">
        <v>704.13750000000005</v>
      </c>
      <c r="AY241" s="61">
        <f t="shared" si="100"/>
        <v>4224.8249999999998</v>
      </c>
      <c r="AZ241" s="56">
        <f t="shared" si="95"/>
        <v>8449.65</v>
      </c>
      <c r="BA241" s="62">
        <f t="shared" si="93"/>
        <v>52489.440000000002</v>
      </c>
      <c r="BB241" s="62">
        <f t="shared" si="101"/>
        <v>25348.950000000015</v>
      </c>
      <c r="BC241" s="62">
        <f t="shared" si="94"/>
        <v>27140.489999999987</v>
      </c>
      <c r="BD241" s="63"/>
      <c r="BE241" s="57"/>
      <c r="BF241" s="35" t="e">
        <f>VLOOKUP(A:A,'2023-2027'!A:G,1,+FALSE)</f>
        <v>#N/A</v>
      </c>
      <c r="BG241" s="7" t="e">
        <f t="shared" si="105"/>
        <v>#N/A</v>
      </c>
      <c r="BH241" s="35"/>
    </row>
    <row r="242" spans="1:60" ht="12" hidden="1" customHeight="1" outlineLevel="1" x14ac:dyDescent="0.2">
      <c r="A242" s="59" t="s">
        <v>664</v>
      </c>
      <c r="B242" s="61" t="s">
        <v>25</v>
      </c>
      <c r="C242" s="61" t="s">
        <v>25</v>
      </c>
      <c r="D242" s="65" t="s">
        <v>665</v>
      </c>
      <c r="E242" s="59" t="s">
        <v>666</v>
      </c>
      <c r="F242" s="60">
        <v>10127.120000000001</v>
      </c>
      <c r="G242" s="60">
        <v>10127.120000000001</v>
      </c>
      <c r="H242" s="59"/>
      <c r="I242" s="59"/>
      <c r="J242" s="59"/>
      <c r="K242" s="60">
        <v>10127.120000000001</v>
      </c>
      <c r="L242" s="60">
        <v>10127.120000000001</v>
      </c>
      <c r="M242" s="59"/>
      <c r="N242" s="59"/>
      <c r="O242" s="59"/>
      <c r="P242" s="67"/>
      <c r="Q242" s="67"/>
      <c r="R242" s="61">
        <f t="shared" si="96"/>
        <v>0</v>
      </c>
      <c r="S242" s="60">
        <v>0</v>
      </c>
      <c r="T242" s="60">
        <v>0</v>
      </c>
      <c r="U242" s="60">
        <v>0</v>
      </c>
      <c r="V242" s="60">
        <v>0</v>
      </c>
      <c r="W242" s="60">
        <v>0</v>
      </c>
      <c r="X242" s="61">
        <f t="shared" si="97"/>
        <v>0</v>
      </c>
      <c r="Y242" s="60">
        <v>0</v>
      </c>
      <c r="Z242" s="60">
        <v>0</v>
      </c>
      <c r="AA242" s="60">
        <v>0</v>
      </c>
      <c r="AB242" s="60">
        <v>0</v>
      </c>
      <c r="AC242" s="60">
        <v>0</v>
      </c>
      <c r="AD242" s="60">
        <v>0</v>
      </c>
      <c r="AE242" s="61">
        <f t="shared" si="98"/>
        <v>0</v>
      </c>
      <c r="AF242" s="62">
        <f t="shared" si="92"/>
        <v>0</v>
      </c>
      <c r="AG242" s="62">
        <f t="shared" ref="AG242:AG259" si="106">N242+R242+S242+T242+U242+V242+W242+Y242+Z242+AA242+AB242+AC242+AD242</f>
        <v>0</v>
      </c>
      <c r="AH242" s="62">
        <f t="shared" si="102"/>
        <v>0</v>
      </c>
      <c r="AI242" s="63"/>
      <c r="AJ242" s="63"/>
      <c r="AK242" s="62"/>
      <c r="AL242" s="60">
        <v>0</v>
      </c>
      <c r="AM242" s="60">
        <v>0</v>
      </c>
      <c r="AN242" s="60">
        <v>0</v>
      </c>
      <c r="AO242" s="60">
        <v>0</v>
      </c>
      <c r="AP242" s="60">
        <v>0</v>
      </c>
      <c r="AQ242" s="60">
        <v>0</v>
      </c>
      <c r="AR242" s="61">
        <f t="shared" si="99"/>
        <v>0</v>
      </c>
      <c r="AS242" s="60">
        <v>0</v>
      </c>
      <c r="AT242" s="60">
        <v>0</v>
      </c>
      <c r="AU242" s="60">
        <v>0</v>
      </c>
      <c r="AV242" s="60">
        <v>0</v>
      </c>
      <c r="AW242" s="60">
        <v>0</v>
      </c>
      <c r="AX242" s="60">
        <v>0</v>
      </c>
      <c r="AY242" s="61">
        <f t="shared" si="100"/>
        <v>0</v>
      </c>
      <c r="AZ242" s="56">
        <f t="shared" si="95"/>
        <v>0</v>
      </c>
      <c r="BA242" s="62">
        <f t="shared" si="93"/>
        <v>0</v>
      </c>
      <c r="BB242" s="62">
        <f t="shared" si="101"/>
        <v>0</v>
      </c>
      <c r="BC242" s="62">
        <f t="shared" si="94"/>
        <v>0</v>
      </c>
      <c r="BD242" s="63"/>
      <c r="BE242" s="57"/>
      <c r="BF242" s="35" t="e">
        <f>VLOOKUP(A:A,'2023-2027'!A:G,1,+FALSE)</f>
        <v>#N/A</v>
      </c>
      <c r="BG242" s="7" t="e">
        <f t="shared" si="105"/>
        <v>#N/A</v>
      </c>
      <c r="BH242" s="35"/>
    </row>
    <row r="243" spans="1:60" ht="24" hidden="1" customHeight="1" outlineLevel="1" x14ac:dyDescent="0.2">
      <c r="A243" s="59" t="s">
        <v>667</v>
      </c>
      <c r="B243" s="61" t="s">
        <v>25</v>
      </c>
      <c r="C243" s="61" t="s">
        <v>25</v>
      </c>
      <c r="D243" s="65" t="s">
        <v>668</v>
      </c>
      <c r="E243" s="59" t="s">
        <v>657</v>
      </c>
      <c r="F243" s="60">
        <v>63686.44</v>
      </c>
      <c r="G243" s="60">
        <v>38212.199999999997</v>
      </c>
      <c r="H243" s="60">
        <v>25474.240000000002</v>
      </c>
      <c r="I243" s="59"/>
      <c r="J243" s="60">
        <v>5094.84</v>
      </c>
      <c r="K243" s="59"/>
      <c r="L243" s="59"/>
      <c r="M243" s="60">
        <v>63686.44</v>
      </c>
      <c r="N243" s="60">
        <v>43307.040000000001</v>
      </c>
      <c r="O243" s="60">
        <v>20379.400000000001</v>
      </c>
      <c r="P243" s="55"/>
      <c r="Q243" s="55"/>
      <c r="R243" s="61">
        <f t="shared" si="96"/>
        <v>424.57</v>
      </c>
      <c r="S243" s="60">
        <v>424.57</v>
      </c>
      <c r="T243" s="60">
        <v>424.57</v>
      </c>
      <c r="U243" s="60">
        <v>424.57</v>
      </c>
      <c r="V243" s="60">
        <v>424.57</v>
      </c>
      <c r="W243" s="60">
        <v>424.57</v>
      </c>
      <c r="X243" s="61">
        <f t="shared" si="97"/>
        <v>2547.42</v>
      </c>
      <c r="Y243" s="60">
        <v>424.57</v>
      </c>
      <c r="Z243" s="60">
        <v>424.57</v>
      </c>
      <c r="AA243" s="60">
        <v>424.57</v>
      </c>
      <c r="AB243" s="60">
        <v>424.57</v>
      </c>
      <c r="AC243" s="60">
        <v>424.57</v>
      </c>
      <c r="AD243" s="60">
        <v>424.57</v>
      </c>
      <c r="AE243" s="61">
        <f t="shared" si="98"/>
        <v>2547.42</v>
      </c>
      <c r="AF243" s="62">
        <f t="shared" si="92"/>
        <v>63686.44</v>
      </c>
      <c r="AG243" s="62">
        <f t="shared" si="106"/>
        <v>48401.88</v>
      </c>
      <c r="AH243" s="62">
        <f t="shared" si="102"/>
        <v>15284.560000000005</v>
      </c>
      <c r="AI243" s="63"/>
      <c r="AJ243" s="63"/>
      <c r="AK243" s="62"/>
      <c r="AL243" s="60">
        <v>424.57</v>
      </c>
      <c r="AM243" s="60">
        <v>424.57</v>
      </c>
      <c r="AN243" s="60">
        <v>424.57</v>
      </c>
      <c r="AO243" s="60">
        <v>424.57</v>
      </c>
      <c r="AP243" s="60">
        <v>424.57</v>
      </c>
      <c r="AQ243" s="60">
        <v>424.57</v>
      </c>
      <c r="AR243" s="61">
        <f t="shared" si="99"/>
        <v>2547.42</v>
      </c>
      <c r="AS243" s="60">
        <v>424.57</v>
      </c>
      <c r="AT243" s="60">
        <v>424.57</v>
      </c>
      <c r="AU243" s="60">
        <v>424.57</v>
      </c>
      <c r="AV243" s="60">
        <v>424.57</v>
      </c>
      <c r="AW243" s="60">
        <v>424.57</v>
      </c>
      <c r="AX243" s="60">
        <v>424.57</v>
      </c>
      <c r="AY243" s="61">
        <f t="shared" si="100"/>
        <v>2547.42</v>
      </c>
      <c r="AZ243" s="56">
        <f t="shared" si="95"/>
        <v>5094.84</v>
      </c>
      <c r="BA243" s="62">
        <f t="shared" si="93"/>
        <v>63686.44</v>
      </c>
      <c r="BB243" s="62">
        <f t="shared" si="101"/>
        <v>53496.719999999994</v>
      </c>
      <c r="BC243" s="62">
        <f t="shared" si="94"/>
        <v>10189.720000000008</v>
      </c>
      <c r="BD243" s="63"/>
      <c r="BE243" s="57"/>
      <c r="BF243" s="35" t="e">
        <f>VLOOKUP(A:A,'2023-2027'!A:G,1,+FALSE)</f>
        <v>#N/A</v>
      </c>
      <c r="BG243" s="7" t="e">
        <f t="shared" si="105"/>
        <v>#N/A</v>
      </c>
      <c r="BH243" s="35"/>
    </row>
    <row r="244" spans="1:60" ht="36" hidden="1" customHeight="1" outlineLevel="1" x14ac:dyDescent="0.2">
      <c r="A244" s="59" t="s">
        <v>669</v>
      </c>
      <c r="B244" s="61" t="s">
        <v>25</v>
      </c>
      <c r="C244" s="61" t="s">
        <v>25</v>
      </c>
      <c r="D244" s="66" t="s">
        <v>670</v>
      </c>
      <c r="E244" s="59" t="s">
        <v>671</v>
      </c>
      <c r="F244" s="60">
        <v>2359797.04</v>
      </c>
      <c r="G244" s="60">
        <v>58994.94</v>
      </c>
      <c r="H244" s="60">
        <v>2300802.1</v>
      </c>
      <c r="I244" s="59"/>
      <c r="J244" s="60">
        <v>235979.73</v>
      </c>
      <c r="K244" s="59"/>
      <c r="L244" s="59"/>
      <c r="M244" s="60">
        <v>2359797.04</v>
      </c>
      <c r="N244" s="60">
        <v>294974.67</v>
      </c>
      <c r="O244" s="60">
        <v>2064822.37</v>
      </c>
      <c r="P244" s="55"/>
      <c r="Q244" s="55"/>
      <c r="R244" s="61">
        <f t="shared" si="96"/>
        <v>19664.977500000001</v>
      </c>
      <c r="S244" s="60">
        <v>19664.977500000001</v>
      </c>
      <c r="T244" s="60">
        <v>19664.977500000001</v>
      </c>
      <c r="U244" s="60">
        <v>19664.977500000001</v>
      </c>
      <c r="V244" s="60">
        <v>19664.977500000001</v>
      </c>
      <c r="W244" s="60">
        <v>19664.977500000001</v>
      </c>
      <c r="X244" s="61">
        <f t="shared" si="97"/>
        <v>117989.86500000002</v>
      </c>
      <c r="Y244" s="60">
        <v>19664.977500000001</v>
      </c>
      <c r="Z244" s="60">
        <v>19664.977500000001</v>
      </c>
      <c r="AA244" s="60">
        <v>19664.977500000001</v>
      </c>
      <c r="AB244" s="60">
        <v>19664.977500000001</v>
      </c>
      <c r="AC244" s="60">
        <v>19664.977500000001</v>
      </c>
      <c r="AD244" s="60">
        <v>19664.977500000001</v>
      </c>
      <c r="AE244" s="61">
        <f t="shared" si="98"/>
        <v>117989.86500000002</v>
      </c>
      <c r="AF244" s="62">
        <f t="shared" si="92"/>
        <v>2359797.04</v>
      </c>
      <c r="AG244" s="62">
        <f t="shared" si="106"/>
        <v>530954.39999999979</v>
      </c>
      <c r="AH244" s="62">
        <f t="shared" si="102"/>
        <v>1828842.6400000001</v>
      </c>
      <c r="AI244" s="63"/>
      <c r="AJ244" s="63"/>
      <c r="AK244" s="62"/>
      <c r="AL244" s="60">
        <v>19664.977500000001</v>
      </c>
      <c r="AM244" s="60">
        <v>19664.977500000001</v>
      </c>
      <c r="AN244" s="60">
        <v>19664.977500000001</v>
      </c>
      <c r="AO244" s="60">
        <v>19664.977500000001</v>
      </c>
      <c r="AP244" s="60">
        <v>19664.977500000001</v>
      </c>
      <c r="AQ244" s="60">
        <v>19664.977500000001</v>
      </c>
      <c r="AR244" s="61">
        <f t="shared" si="99"/>
        <v>117989.86500000002</v>
      </c>
      <c r="AS244" s="60">
        <v>19664.977500000001</v>
      </c>
      <c r="AT244" s="60">
        <v>19664.977500000001</v>
      </c>
      <c r="AU244" s="60">
        <v>19664.977500000001</v>
      </c>
      <c r="AV244" s="60">
        <v>19664.977500000001</v>
      </c>
      <c r="AW244" s="60">
        <v>19664.977500000001</v>
      </c>
      <c r="AX244" s="60">
        <v>19664.977500000001</v>
      </c>
      <c r="AY244" s="61">
        <f t="shared" si="100"/>
        <v>117989.86500000002</v>
      </c>
      <c r="AZ244" s="69">
        <f t="shared" si="95"/>
        <v>235979.73000000004</v>
      </c>
      <c r="BA244" s="62">
        <f t="shared" si="93"/>
        <v>2359797.04</v>
      </c>
      <c r="BB244" s="62">
        <f t="shared" si="101"/>
        <v>766934.13000000024</v>
      </c>
      <c r="BC244" s="62">
        <f t="shared" si="94"/>
        <v>1592862.9099999997</v>
      </c>
      <c r="BD244" s="63"/>
      <c r="BE244" s="57"/>
      <c r="BF244" s="35" t="str">
        <f>VLOOKUP(A:A,'2023-2027'!A:G,1,+FALSE)</f>
        <v>Противотаранное устройство при въезде на территорию предприятия</v>
      </c>
      <c r="BG244" s="7" t="b">
        <f t="shared" si="105"/>
        <v>1</v>
      </c>
      <c r="BH244" s="35">
        <f>VLOOKUP(A:A,'2023-2027'!A:AT,43,+FALSE)</f>
        <v>19664.98</v>
      </c>
    </row>
    <row r="245" spans="1:60" ht="24" hidden="1" customHeight="1" outlineLevel="1" x14ac:dyDescent="0.2">
      <c r="A245" s="59" t="s">
        <v>672</v>
      </c>
      <c r="B245" s="61" t="s">
        <v>25</v>
      </c>
      <c r="C245" s="61" t="s">
        <v>25</v>
      </c>
      <c r="D245" s="66" t="s">
        <v>673</v>
      </c>
      <c r="E245" s="59" t="s">
        <v>674</v>
      </c>
      <c r="F245" s="60">
        <v>236534.39999999999</v>
      </c>
      <c r="G245" s="60">
        <v>126518.39999999999</v>
      </c>
      <c r="H245" s="60">
        <v>110016</v>
      </c>
      <c r="I245" s="59"/>
      <c r="J245" s="60">
        <v>11001.6</v>
      </c>
      <c r="K245" s="59"/>
      <c r="L245" s="59"/>
      <c r="M245" s="60">
        <v>236534.39999999999</v>
      </c>
      <c r="N245" s="60">
        <v>137520</v>
      </c>
      <c r="O245" s="60">
        <v>99014.399999999994</v>
      </c>
      <c r="P245" s="55"/>
      <c r="Q245" s="55"/>
      <c r="R245" s="61">
        <f t="shared" si="96"/>
        <v>916.80000000000007</v>
      </c>
      <c r="S245" s="60">
        <v>916.8</v>
      </c>
      <c r="T245" s="60">
        <v>916.8</v>
      </c>
      <c r="U245" s="60">
        <v>916.8</v>
      </c>
      <c r="V245" s="60">
        <v>916.8</v>
      </c>
      <c r="W245" s="60">
        <v>916.8</v>
      </c>
      <c r="X245" s="61">
        <f t="shared" si="97"/>
        <v>5500.8</v>
      </c>
      <c r="Y245" s="60">
        <v>916.8</v>
      </c>
      <c r="Z245" s="60">
        <v>916.8</v>
      </c>
      <c r="AA245" s="60">
        <v>916.8</v>
      </c>
      <c r="AB245" s="60">
        <v>916.8</v>
      </c>
      <c r="AC245" s="60">
        <v>916.8</v>
      </c>
      <c r="AD245" s="60">
        <v>916.8</v>
      </c>
      <c r="AE245" s="61">
        <f t="shared" si="98"/>
        <v>5500.8</v>
      </c>
      <c r="AF245" s="62">
        <f t="shared" si="92"/>
        <v>236534.39999999999</v>
      </c>
      <c r="AG245" s="62">
        <f t="shared" si="106"/>
        <v>148521.59999999986</v>
      </c>
      <c r="AH245" s="62">
        <f t="shared" si="102"/>
        <v>88012.800000000134</v>
      </c>
      <c r="AI245" s="63"/>
      <c r="AJ245" s="63"/>
      <c r="AK245" s="62"/>
      <c r="AL245" s="60">
        <v>916.8</v>
      </c>
      <c r="AM245" s="60">
        <v>916.8</v>
      </c>
      <c r="AN245" s="60">
        <v>916.8</v>
      </c>
      <c r="AO245" s="60">
        <v>916.8</v>
      </c>
      <c r="AP245" s="60">
        <v>916.8</v>
      </c>
      <c r="AQ245" s="60">
        <v>916.8</v>
      </c>
      <c r="AR245" s="61">
        <f t="shared" si="99"/>
        <v>5500.8</v>
      </c>
      <c r="AS245" s="60">
        <v>916.8</v>
      </c>
      <c r="AT245" s="60">
        <v>916.8</v>
      </c>
      <c r="AU245" s="60">
        <v>916.8</v>
      </c>
      <c r="AV245" s="60">
        <v>916.8</v>
      </c>
      <c r="AW245" s="60">
        <v>916.8</v>
      </c>
      <c r="AX245" s="60">
        <v>916.8</v>
      </c>
      <c r="AY245" s="61">
        <f t="shared" si="100"/>
        <v>5500.8</v>
      </c>
      <c r="AZ245" s="56">
        <f t="shared" si="95"/>
        <v>11001.6</v>
      </c>
      <c r="BA245" s="62">
        <f t="shared" si="93"/>
        <v>236534.39999999999</v>
      </c>
      <c r="BB245" s="62">
        <f t="shared" si="101"/>
        <v>159523.19999999972</v>
      </c>
      <c r="BC245" s="62">
        <f t="shared" si="94"/>
        <v>77011.200000000274</v>
      </c>
      <c r="BD245" s="63"/>
      <c r="BE245" s="57"/>
      <c r="BF245" s="35" t="str">
        <f>VLOOKUP(A:A,'2023-2027'!A:G,1,+FALSE)</f>
        <v>Сетевой сервер DEPO Storm 3300K</v>
      </c>
      <c r="BG245" s="7" t="b">
        <f t="shared" si="105"/>
        <v>1</v>
      </c>
      <c r="BH245" s="35">
        <f>VLOOKUP(A:A,'2023-2027'!A:AT,43,+FALSE)</f>
        <v>2037.7142857142858</v>
      </c>
    </row>
    <row r="246" spans="1:60" ht="36" hidden="1" customHeight="1" outlineLevel="1" x14ac:dyDescent="0.2">
      <c r="A246" s="59" t="s">
        <v>675</v>
      </c>
      <c r="B246" s="61" t="s">
        <v>25</v>
      </c>
      <c r="C246" s="61" t="s">
        <v>25</v>
      </c>
      <c r="D246" s="66" t="s">
        <v>676</v>
      </c>
      <c r="E246" s="59" t="s">
        <v>677</v>
      </c>
      <c r="F246" s="60">
        <v>98908</v>
      </c>
      <c r="G246" s="60">
        <v>34467.800000000003</v>
      </c>
      <c r="H246" s="60">
        <v>64440.2</v>
      </c>
      <c r="I246" s="60">
        <v>15072.32</v>
      </c>
      <c r="J246" s="60">
        <v>9764.57</v>
      </c>
      <c r="K246" s="59"/>
      <c r="L246" s="59"/>
      <c r="M246" s="60">
        <v>113980.32</v>
      </c>
      <c r="N246" s="60">
        <v>44232.37</v>
      </c>
      <c r="O246" s="60">
        <v>69747.95</v>
      </c>
      <c r="P246" s="55"/>
      <c r="Q246" s="55"/>
      <c r="R246" s="61">
        <f t="shared" si="96"/>
        <v>813.71416666666664</v>
      </c>
      <c r="S246" s="60">
        <v>813.71416669999996</v>
      </c>
      <c r="T246" s="60">
        <v>813.71416669999996</v>
      </c>
      <c r="U246" s="60">
        <v>813.71416669999996</v>
      </c>
      <c r="V246" s="60">
        <v>813.71416669999996</v>
      </c>
      <c r="W246" s="60">
        <v>813.71416669999996</v>
      </c>
      <c r="X246" s="61">
        <f t="shared" si="97"/>
        <v>4882.2850001666666</v>
      </c>
      <c r="Y246" s="60">
        <v>813.71416669999996</v>
      </c>
      <c r="Z246" s="60">
        <v>813.71416669999996</v>
      </c>
      <c r="AA246" s="60">
        <v>813.71416669999996</v>
      </c>
      <c r="AB246" s="60">
        <v>813.71416669999996</v>
      </c>
      <c r="AC246" s="60">
        <v>813.71416669999996</v>
      </c>
      <c r="AD246" s="60">
        <v>813.71416669999996</v>
      </c>
      <c r="AE246" s="61">
        <f t="shared" si="98"/>
        <v>4882.2850001999996</v>
      </c>
      <c r="AF246" s="62">
        <f t="shared" si="92"/>
        <v>113980.32</v>
      </c>
      <c r="AG246" s="62">
        <f t="shared" si="106"/>
        <v>53996.940000366703</v>
      </c>
      <c r="AH246" s="62">
        <f t="shared" si="102"/>
        <v>59983.379999633304</v>
      </c>
      <c r="AI246" s="63"/>
      <c r="AJ246" s="63"/>
      <c r="AK246" s="62"/>
      <c r="AL246" s="60">
        <v>813.71416669999996</v>
      </c>
      <c r="AM246" s="60">
        <v>813.71416669999996</v>
      </c>
      <c r="AN246" s="60">
        <v>813.71416669999996</v>
      </c>
      <c r="AO246" s="60">
        <v>813.71416669999996</v>
      </c>
      <c r="AP246" s="60">
        <v>813.71416669999996</v>
      </c>
      <c r="AQ246" s="60">
        <v>813.71416669999996</v>
      </c>
      <c r="AR246" s="61">
        <f t="shared" si="99"/>
        <v>4882.2850001999996</v>
      </c>
      <c r="AS246" s="60">
        <v>813.71416669999996</v>
      </c>
      <c r="AT246" s="60">
        <v>813.71416669999996</v>
      </c>
      <c r="AU246" s="60">
        <v>813.71416669999996</v>
      </c>
      <c r="AV246" s="60">
        <v>813.71416669999996</v>
      </c>
      <c r="AW246" s="60">
        <v>813.71416669999996</v>
      </c>
      <c r="AX246" s="60">
        <v>813.71416669999996</v>
      </c>
      <c r="AY246" s="61">
        <f t="shared" si="100"/>
        <v>4882.2850001999996</v>
      </c>
      <c r="AZ246" s="56">
        <f t="shared" si="95"/>
        <v>9764.5700003999991</v>
      </c>
      <c r="BA246" s="62">
        <f t="shared" si="93"/>
        <v>113980.32</v>
      </c>
      <c r="BB246" s="62">
        <f t="shared" si="101"/>
        <v>63761.510000766742</v>
      </c>
      <c r="BC246" s="62">
        <f t="shared" si="94"/>
        <v>50218.809999233265</v>
      </c>
      <c r="BD246" s="63"/>
      <c r="BE246" s="57"/>
      <c r="BF246" s="35" t="str">
        <f>VLOOKUP(A:A,'2023-2027'!A:G,1,+FALSE)</f>
        <v>Система контроля и управления доступом на 4 точки прохода (двери)</v>
      </c>
      <c r="BG246" s="7" t="b">
        <f t="shared" si="105"/>
        <v>1</v>
      </c>
      <c r="BH246" s="35">
        <f>VLOOKUP(A:A,'2023-2027'!A:AT,43,+FALSE)</f>
        <v>669.11047619047633</v>
      </c>
    </row>
    <row r="247" spans="1:60" ht="24" hidden="1" customHeight="1" outlineLevel="1" x14ac:dyDescent="0.2">
      <c r="A247" s="59" t="s">
        <v>678</v>
      </c>
      <c r="B247" s="61" t="s">
        <v>25</v>
      </c>
      <c r="C247" s="61" t="s">
        <v>25</v>
      </c>
      <c r="D247" s="65" t="s">
        <v>679</v>
      </c>
      <c r="E247" s="59" t="s">
        <v>237</v>
      </c>
      <c r="F247" s="60">
        <v>1428535.05</v>
      </c>
      <c r="G247" s="60">
        <v>1190445.6000000001</v>
      </c>
      <c r="H247" s="60">
        <v>238089.45</v>
      </c>
      <c r="I247" s="59"/>
      <c r="J247" s="60">
        <v>119044.71</v>
      </c>
      <c r="K247" s="59"/>
      <c r="L247" s="59"/>
      <c r="M247" s="60">
        <v>1428535.05</v>
      </c>
      <c r="N247" s="60">
        <v>1309490.31</v>
      </c>
      <c r="O247" s="60">
        <v>119044.74</v>
      </c>
      <c r="P247" s="55"/>
      <c r="Q247" s="55"/>
      <c r="R247" s="61">
        <f t="shared" si="96"/>
        <v>9920.3924999999999</v>
      </c>
      <c r="S247" s="60">
        <v>9920.3924999999999</v>
      </c>
      <c r="T247" s="60">
        <v>9920.3924999999999</v>
      </c>
      <c r="U247" s="60">
        <v>9920.3924999999999</v>
      </c>
      <c r="V247" s="60">
        <v>9920.3924999999999</v>
      </c>
      <c r="W247" s="60">
        <v>9920.3924999999999</v>
      </c>
      <c r="X247" s="61">
        <f t="shared" si="97"/>
        <v>59522.355000000003</v>
      </c>
      <c r="Y247" s="60">
        <v>9920.3924999999999</v>
      </c>
      <c r="Z247" s="60">
        <v>9920.3924999999999</v>
      </c>
      <c r="AA247" s="60">
        <v>9920.3924999999999</v>
      </c>
      <c r="AB247" s="60">
        <v>9920.3924999999999</v>
      </c>
      <c r="AC247" s="60">
        <v>9920.3924999999999</v>
      </c>
      <c r="AD247" s="60">
        <v>9920.3924999999999</v>
      </c>
      <c r="AE247" s="61">
        <f t="shared" si="98"/>
        <v>59522.355000000003</v>
      </c>
      <c r="AF247" s="62">
        <f t="shared" ref="AF247:AF259" si="107">M247</f>
        <v>1428535.05</v>
      </c>
      <c r="AG247" s="62">
        <f t="shared" si="106"/>
        <v>1428535.0200000009</v>
      </c>
      <c r="AH247" s="62">
        <f t="shared" si="102"/>
        <v>2.9999999096617103E-2</v>
      </c>
      <c r="AI247" s="63"/>
      <c r="AJ247" s="63"/>
      <c r="AK247" s="62"/>
      <c r="AL247" s="60">
        <v>0.03</v>
      </c>
      <c r="AM247" s="60"/>
      <c r="AN247" s="60"/>
      <c r="AO247" s="60"/>
      <c r="AP247" s="60"/>
      <c r="AQ247" s="60"/>
      <c r="AR247" s="61">
        <f t="shared" si="99"/>
        <v>0.03</v>
      </c>
      <c r="AS247" s="60"/>
      <c r="AT247" s="60"/>
      <c r="AU247" s="60"/>
      <c r="AV247" s="60"/>
      <c r="AW247" s="60"/>
      <c r="AX247" s="60"/>
      <c r="AY247" s="61">
        <f t="shared" si="100"/>
        <v>0</v>
      </c>
      <c r="AZ247" s="56">
        <f t="shared" si="95"/>
        <v>0.03</v>
      </c>
      <c r="BA247" s="62">
        <f t="shared" ref="BA247:BA310" si="108">AF247</f>
        <v>1428535.05</v>
      </c>
      <c r="BB247" s="62">
        <f t="shared" si="101"/>
        <v>1428535.050000001</v>
      </c>
      <c r="BC247" s="62">
        <f t="shared" ref="BC247:BC256" si="109">BA247-BB247</f>
        <v>0</v>
      </c>
      <c r="BD247" s="63"/>
      <c r="BE247" s="57"/>
      <c r="BF247" s="35" t="e">
        <f>VLOOKUP(A:A,'2023-2027'!A:G,1,+FALSE)</f>
        <v>#N/A</v>
      </c>
      <c r="BG247" s="7" t="e">
        <f t="shared" si="105"/>
        <v>#N/A</v>
      </c>
      <c r="BH247" s="35"/>
    </row>
    <row r="248" spans="1:60" ht="24" hidden="1" customHeight="1" outlineLevel="1" x14ac:dyDescent="0.2">
      <c r="A248" s="59" t="s">
        <v>680</v>
      </c>
      <c r="B248" s="61" t="s">
        <v>25</v>
      </c>
      <c r="C248" s="61" t="s">
        <v>25</v>
      </c>
      <c r="D248" s="66" t="s">
        <v>681</v>
      </c>
      <c r="E248" s="59" t="s">
        <v>682</v>
      </c>
      <c r="F248" s="60">
        <v>4836509.93</v>
      </c>
      <c r="G248" s="60">
        <v>2418254.7999999998</v>
      </c>
      <c r="H248" s="60">
        <v>2418255.13</v>
      </c>
      <c r="I248" s="59"/>
      <c r="J248" s="60">
        <v>558058.92000000004</v>
      </c>
      <c r="K248" s="59"/>
      <c r="L248" s="59"/>
      <c r="M248" s="60">
        <v>4836509.93</v>
      </c>
      <c r="N248" s="60">
        <v>2976313.72</v>
      </c>
      <c r="O248" s="60">
        <v>1860196.21</v>
      </c>
      <c r="P248" s="55"/>
      <c r="Q248" s="55"/>
      <c r="R248" s="61">
        <f t="shared" si="96"/>
        <v>46504.91</v>
      </c>
      <c r="S248" s="60">
        <v>46504.91</v>
      </c>
      <c r="T248" s="60">
        <v>46504.91</v>
      </c>
      <c r="U248" s="60">
        <v>46504.91</v>
      </c>
      <c r="V248" s="60">
        <v>46504.91</v>
      </c>
      <c r="W248" s="60">
        <v>46504.91</v>
      </c>
      <c r="X248" s="61">
        <f t="shared" si="97"/>
        <v>279029.46000000002</v>
      </c>
      <c r="Y248" s="60">
        <v>46504.91</v>
      </c>
      <c r="Z248" s="60">
        <v>46504.91</v>
      </c>
      <c r="AA248" s="60">
        <v>46504.91</v>
      </c>
      <c r="AB248" s="60">
        <v>46504.91</v>
      </c>
      <c r="AC248" s="60">
        <v>46504.91</v>
      </c>
      <c r="AD248" s="60">
        <v>46504.91</v>
      </c>
      <c r="AE248" s="61">
        <f t="shared" si="98"/>
        <v>279029.46000000002</v>
      </c>
      <c r="AF248" s="62">
        <f t="shared" si="107"/>
        <v>4836509.93</v>
      </c>
      <c r="AG248" s="62">
        <f t="shared" si="106"/>
        <v>3534372.640000002</v>
      </c>
      <c r="AH248" s="62">
        <f t="shared" si="102"/>
        <v>1302137.2899999977</v>
      </c>
      <c r="AI248" s="63"/>
      <c r="AJ248" s="63"/>
      <c r="AK248" s="62"/>
      <c r="AL248" s="60">
        <v>46504.91</v>
      </c>
      <c r="AM248" s="60">
        <v>46504.91</v>
      </c>
      <c r="AN248" s="60">
        <v>46504.91</v>
      </c>
      <c r="AO248" s="60">
        <v>46504.91</v>
      </c>
      <c r="AP248" s="60">
        <v>46504.91</v>
      </c>
      <c r="AQ248" s="60">
        <v>46504.91</v>
      </c>
      <c r="AR248" s="61">
        <f t="shared" si="99"/>
        <v>279029.46000000002</v>
      </c>
      <c r="AS248" s="60">
        <v>46504.91</v>
      </c>
      <c r="AT248" s="60">
        <v>46504.91</v>
      </c>
      <c r="AU248" s="60">
        <v>46504.91</v>
      </c>
      <c r="AV248" s="60">
        <v>46504.91</v>
      </c>
      <c r="AW248" s="60">
        <v>46504.91</v>
      </c>
      <c r="AX248" s="60">
        <v>46504.91</v>
      </c>
      <c r="AY248" s="61">
        <f t="shared" si="100"/>
        <v>279029.46000000002</v>
      </c>
      <c r="AZ248" s="56">
        <f t="shared" si="95"/>
        <v>558058.92000000004</v>
      </c>
      <c r="BA248" s="62">
        <f t="shared" si="108"/>
        <v>4836509.93</v>
      </c>
      <c r="BB248" s="62">
        <f t="shared" si="101"/>
        <v>4092431.5600000038</v>
      </c>
      <c r="BC248" s="62">
        <f t="shared" si="109"/>
        <v>744078.36999999592</v>
      </c>
      <c r="BD248" s="63"/>
      <c r="BE248" s="57"/>
      <c r="BF248" s="35" t="str">
        <f>VLOOKUP(A:A,'2023-2027'!A:G,1,+FALSE)</f>
        <v>Система охраны периметра и охранного телевидения</v>
      </c>
      <c r="BG248" s="7" t="b">
        <f t="shared" si="105"/>
        <v>1</v>
      </c>
      <c r="BH248" s="35">
        <f>VLOOKUP(A:A,'2023-2027'!A:AT,43,+FALSE)</f>
        <v>57577.5</v>
      </c>
    </row>
    <row r="249" spans="1:60" ht="12" hidden="1" customHeight="1" outlineLevel="1" x14ac:dyDescent="0.2">
      <c r="A249" s="59" t="s">
        <v>683</v>
      </c>
      <c r="B249" s="61" t="s">
        <v>25</v>
      </c>
      <c r="C249" s="61" t="s">
        <v>25</v>
      </c>
      <c r="D249" s="65" t="s">
        <v>684</v>
      </c>
      <c r="E249" s="59" t="s">
        <v>260</v>
      </c>
      <c r="F249" s="60">
        <v>21508.47</v>
      </c>
      <c r="G249" s="60">
        <v>21508.47</v>
      </c>
      <c r="H249" s="59"/>
      <c r="I249" s="59"/>
      <c r="J249" s="59"/>
      <c r="K249" s="60">
        <v>21508.47</v>
      </c>
      <c r="L249" s="60">
        <v>21508.47</v>
      </c>
      <c r="M249" s="59"/>
      <c r="N249" s="59"/>
      <c r="O249" s="59"/>
      <c r="P249" s="67"/>
      <c r="Q249" s="67"/>
      <c r="R249" s="61">
        <f t="shared" si="96"/>
        <v>0</v>
      </c>
      <c r="S249" s="60">
        <v>0</v>
      </c>
      <c r="T249" s="60">
        <v>0</v>
      </c>
      <c r="U249" s="60">
        <v>0</v>
      </c>
      <c r="V249" s="60">
        <v>0</v>
      </c>
      <c r="W249" s="60">
        <v>0</v>
      </c>
      <c r="X249" s="61">
        <f t="shared" si="97"/>
        <v>0</v>
      </c>
      <c r="Y249" s="60">
        <v>0</v>
      </c>
      <c r="Z249" s="60">
        <v>0</v>
      </c>
      <c r="AA249" s="60">
        <v>0</v>
      </c>
      <c r="AB249" s="60">
        <v>0</v>
      </c>
      <c r="AC249" s="60">
        <v>0</v>
      </c>
      <c r="AD249" s="60">
        <v>0</v>
      </c>
      <c r="AE249" s="61">
        <f t="shared" si="98"/>
        <v>0</v>
      </c>
      <c r="AF249" s="62">
        <f t="shared" si="107"/>
        <v>0</v>
      </c>
      <c r="AG249" s="62">
        <f t="shared" si="106"/>
        <v>0</v>
      </c>
      <c r="AH249" s="62">
        <f t="shared" si="102"/>
        <v>0</v>
      </c>
      <c r="AI249" s="63"/>
      <c r="AJ249" s="63"/>
      <c r="AK249" s="62"/>
      <c r="AL249" s="60">
        <v>0</v>
      </c>
      <c r="AM249" s="60">
        <v>0</v>
      </c>
      <c r="AN249" s="60">
        <v>0</v>
      </c>
      <c r="AO249" s="60">
        <v>0</v>
      </c>
      <c r="AP249" s="60">
        <v>0</v>
      </c>
      <c r="AQ249" s="60">
        <v>0</v>
      </c>
      <c r="AR249" s="61">
        <f t="shared" si="99"/>
        <v>0</v>
      </c>
      <c r="AS249" s="60">
        <v>0</v>
      </c>
      <c r="AT249" s="60">
        <v>0</v>
      </c>
      <c r="AU249" s="60">
        <v>0</v>
      </c>
      <c r="AV249" s="60">
        <v>0</v>
      </c>
      <c r="AW249" s="60">
        <v>0</v>
      </c>
      <c r="AX249" s="60">
        <v>0</v>
      </c>
      <c r="AY249" s="61">
        <f t="shared" si="100"/>
        <v>0</v>
      </c>
      <c r="AZ249" s="56">
        <f t="shared" si="95"/>
        <v>0</v>
      </c>
      <c r="BA249" s="62">
        <f t="shared" si="108"/>
        <v>0</v>
      </c>
      <c r="BB249" s="62">
        <f t="shared" si="101"/>
        <v>0</v>
      </c>
      <c r="BC249" s="62">
        <f t="shared" si="109"/>
        <v>0</v>
      </c>
      <c r="BD249" s="63"/>
      <c r="BE249" s="57"/>
      <c r="BF249" s="35" t="e">
        <f>VLOOKUP(A:A,'2023-2027'!A:G,1,+FALSE)</f>
        <v>#N/A</v>
      </c>
      <c r="BG249" s="7" t="e">
        <f t="shared" si="105"/>
        <v>#N/A</v>
      </c>
      <c r="BH249" s="35"/>
    </row>
    <row r="250" spans="1:60" ht="24" hidden="1" customHeight="1" outlineLevel="1" x14ac:dyDescent="0.2">
      <c r="A250" s="59" t="s">
        <v>685</v>
      </c>
      <c r="B250" s="61" t="s">
        <v>25</v>
      </c>
      <c r="C250" s="61" t="s">
        <v>25</v>
      </c>
      <c r="D250" s="65" t="s">
        <v>686</v>
      </c>
      <c r="E250" s="59" t="s">
        <v>674</v>
      </c>
      <c r="F250" s="60">
        <v>24186.44</v>
      </c>
      <c r="G250" s="60">
        <v>24186.44</v>
      </c>
      <c r="H250" s="59"/>
      <c r="I250" s="59"/>
      <c r="J250" s="59"/>
      <c r="K250" s="60">
        <v>24186.44</v>
      </c>
      <c r="L250" s="60">
        <v>24186.44</v>
      </c>
      <c r="M250" s="59"/>
      <c r="N250" s="59"/>
      <c r="O250" s="59"/>
      <c r="P250" s="67"/>
      <c r="Q250" s="67"/>
      <c r="R250" s="61">
        <f t="shared" si="96"/>
        <v>0</v>
      </c>
      <c r="S250" s="60">
        <v>0</v>
      </c>
      <c r="T250" s="60">
        <v>0</v>
      </c>
      <c r="U250" s="60">
        <v>0</v>
      </c>
      <c r="V250" s="60">
        <v>0</v>
      </c>
      <c r="W250" s="60">
        <v>0</v>
      </c>
      <c r="X250" s="61">
        <f t="shared" si="97"/>
        <v>0</v>
      </c>
      <c r="Y250" s="60">
        <v>0</v>
      </c>
      <c r="Z250" s="60">
        <v>0</v>
      </c>
      <c r="AA250" s="60">
        <v>0</v>
      </c>
      <c r="AB250" s="60">
        <v>0</v>
      </c>
      <c r="AC250" s="60">
        <v>0</v>
      </c>
      <c r="AD250" s="60">
        <v>0</v>
      </c>
      <c r="AE250" s="61">
        <f t="shared" si="98"/>
        <v>0</v>
      </c>
      <c r="AF250" s="62">
        <f t="shared" si="107"/>
        <v>0</v>
      </c>
      <c r="AG250" s="62">
        <f t="shared" si="106"/>
        <v>0</v>
      </c>
      <c r="AH250" s="62">
        <f t="shared" si="102"/>
        <v>0</v>
      </c>
      <c r="AI250" s="63"/>
      <c r="AJ250" s="63"/>
      <c r="AK250" s="62"/>
      <c r="AL250" s="60">
        <v>0</v>
      </c>
      <c r="AM250" s="60">
        <v>0</v>
      </c>
      <c r="AN250" s="60">
        <v>0</v>
      </c>
      <c r="AO250" s="60">
        <v>0</v>
      </c>
      <c r="AP250" s="60">
        <v>0</v>
      </c>
      <c r="AQ250" s="60">
        <v>0</v>
      </c>
      <c r="AR250" s="61">
        <f t="shared" si="99"/>
        <v>0</v>
      </c>
      <c r="AS250" s="60">
        <v>0</v>
      </c>
      <c r="AT250" s="60">
        <v>0</v>
      </c>
      <c r="AU250" s="60">
        <v>0</v>
      </c>
      <c r="AV250" s="60">
        <v>0</v>
      </c>
      <c r="AW250" s="60">
        <v>0</v>
      </c>
      <c r="AX250" s="60">
        <v>0</v>
      </c>
      <c r="AY250" s="61">
        <f t="shared" si="100"/>
        <v>0</v>
      </c>
      <c r="AZ250" s="56">
        <f t="shared" si="95"/>
        <v>0</v>
      </c>
      <c r="BA250" s="62">
        <f t="shared" si="108"/>
        <v>0</v>
      </c>
      <c r="BB250" s="62">
        <f t="shared" si="101"/>
        <v>0</v>
      </c>
      <c r="BC250" s="62">
        <f t="shared" si="109"/>
        <v>0</v>
      </c>
      <c r="BD250" s="63"/>
      <c r="BE250" s="57"/>
      <c r="BF250" s="35" t="e">
        <f>VLOOKUP(A:A,'2023-2027'!A:G,1,+FALSE)</f>
        <v>#N/A</v>
      </c>
      <c r="BG250" s="7" t="e">
        <f t="shared" si="105"/>
        <v>#N/A</v>
      </c>
      <c r="BH250" s="35"/>
    </row>
    <row r="251" spans="1:60" ht="24" hidden="1" customHeight="1" outlineLevel="1" x14ac:dyDescent="0.2">
      <c r="A251" s="59" t="s">
        <v>687</v>
      </c>
      <c r="B251" s="61" t="s">
        <v>25</v>
      </c>
      <c r="C251" s="61" t="s">
        <v>25</v>
      </c>
      <c r="D251" s="65" t="s">
        <v>688</v>
      </c>
      <c r="E251" s="59" t="s">
        <v>226</v>
      </c>
      <c r="F251" s="60">
        <v>21836.27</v>
      </c>
      <c r="G251" s="60">
        <v>21836.27</v>
      </c>
      <c r="H251" s="59"/>
      <c r="I251" s="59"/>
      <c r="J251" s="59"/>
      <c r="K251" s="60">
        <v>21836.27</v>
      </c>
      <c r="L251" s="60">
        <v>21836.27</v>
      </c>
      <c r="M251" s="59"/>
      <c r="N251" s="59"/>
      <c r="O251" s="59"/>
      <c r="P251" s="67"/>
      <c r="Q251" s="67"/>
      <c r="R251" s="61">
        <f t="shared" si="96"/>
        <v>0</v>
      </c>
      <c r="S251" s="60">
        <v>0</v>
      </c>
      <c r="T251" s="60">
        <v>0</v>
      </c>
      <c r="U251" s="60">
        <v>0</v>
      </c>
      <c r="V251" s="60">
        <v>0</v>
      </c>
      <c r="W251" s="60">
        <v>0</v>
      </c>
      <c r="X251" s="61">
        <f t="shared" si="97"/>
        <v>0</v>
      </c>
      <c r="Y251" s="60">
        <v>0</v>
      </c>
      <c r="Z251" s="60">
        <v>0</v>
      </c>
      <c r="AA251" s="60">
        <v>0</v>
      </c>
      <c r="AB251" s="60">
        <v>0</v>
      </c>
      <c r="AC251" s="60">
        <v>0</v>
      </c>
      <c r="AD251" s="60">
        <v>0</v>
      </c>
      <c r="AE251" s="61">
        <f t="shared" si="98"/>
        <v>0</v>
      </c>
      <c r="AF251" s="62">
        <f t="shared" si="107"/>
        <v>0</v>
      </c>
      <c r="AG251" s="62">
        <f t="shared" si="106"/>
        <v>0</v>
      </c>
      <c r="AH251" s="62">
        <f t="shared" si="102"/>
        <v>0</v>
      </c>
      <c r="AI251" s="63"/>
      <c r="AJ251" s="63"/>
      <c r="AK251" s="62"/>
      <c r="AL251" s="60">
        <v>0</v>
      </c>
      <c r="AM251" s="60">
        <v>0</v>
      </c>
      <c r="AN251" s="60">
        <v>0</v>
      </c>
      <c r="AO251" s="60">
        <v>0</v>
      </c>
      <c r="AP251" s="60">
        <v>0</v>
      </c>
      <c r="AQ251" s="60">
        <v>0</v>
      </c>
      <c r="AR251" s="61">
        <f t="shared" si="99"/>
        <v>0</v>
      </c>
      <c r="AS251" s="60">
        <v>0</v>
      </c>
      <c r="AT251" s="60">
        <v>0</v>
      </c>
      <c r="AU251" s="60">
        <v>0</v>
      </c>
      <c r="AV251" s="60">
        <v>0</v>
      </c>
      <c r="AW251" s="60">
        <v>0</v>
      </c>
      <c r="AX251" s="60">
        <v>0</v>
      </c>
      <c r="AY251" s="61">
        <f t="shared" si="100"/>
        <v>0</v>
      </c>
      <c r="AZ251" s="56">
        <f t="shared" si="95"/>
        <v>0</v>
      </c>
      <c r="BA251" s="62">
        <f t="shared" si="108"/>
        <v>0</v>
      </c>
      <c r="BB251" s="62">
        <f t="shared" si="101"/>
        <v>0</v>
      </c>
      <c r="BC251" s="62">
        <f t="shared" si="109"/>
        <v>0</v>
      </c>
      <c r="BD251" s="63"/>
      <c r="BE251" s="57"/>
      <c r="BF251" s="35" t="e">
        <f>VLOOKUP(A:A,'2023-2027'!A:G,1,+FALSE)</f>
        <v>#N/A</v>
      </c>
      <c r="BG251" s="7" t="e">
        <f t="shared" si="105"/>
        <v>#N/A</v>
      </c>
      <c r="BH251" s="35"/>
    </row>
    <row r="252" spans="1:60" ht="24" hidden="1" customHeight="1" outlineLevel="1" x14ac:dyDescent="0.2">
      <c r="A252" s="59" t="s">
        <v>689</v>
      </c>
      <c r="B252" s="61" t="s">
        <v>25</v>
      </c>
      <c r="C252" s="61" t="s">
        <v>25</v>
      </c>
      <c r="D252" s="65" t="s">
        <v>690</v>
      </c>
      <c r="E252" s="59" t="s">
        <v>275</v>
      </c>
      <c r="F252" s="60">
        <v>22305.08</v>
      </c>
      <c r="G252" s="60">
        <v>22305.08</v>
      </c>
      <c r="H252" s="59"/>
      <c r="I252" s="59"/>
      <c r="J252" s="59"/>
      <c r="K252" s="60">
        <v>22305.08</v>
      </c>
      <c r="L252" s="60">
        <v>22305.08</v>
      </c>
      <c r="M252" s="59"/>
      <c r="N252" s="59"/>
      <c r="O252" s="59"/>
      <c r="P252" s="67"/>
      <c r="Q252" s="67"/>
      <c r="R252" s="61">
        <f t="shared" si="96"/>
        <v>0</v>
      </c>
      <c r="S252" s="60">
        <v>0</v>
      </c>
      <c r="T252" s="60">
        <v>0</v>
      </c>
      <c r="U252" s="60">
        <v>0</v>
      </c>
      <c r="V252" s="60">
        <v>0</v>
      </c>
      <c r="W252" s="60">
        <v>0</v>
      </c>
      <c r="X252" s="61">
        <f t="shared" si="97"/>
        <v>0</v>
      </c>
      <c r="Y252" s="60">
        <v>0</v>
      </c>
      <c r="Z252" s="60">
        <v>0</v>
      </c>
      <c r="AA252" s="60">
        <v>0</v>
      </c>
      <c r="AB252" s="60">
        <v>0</v>
      </c>
      <c r="AC252" s="60">
        <v>0</v>
      </c>
      <c r="AD252" s="60">
        <v>0</v>
      </c>
      <c r="AE252" s="61">
        <f t="shared" si="98"/>
        <v>0</v>
      </c>
      <c r="AF252" s="62">
        <f t="shared" si="107"/>
        <v>0</v>
      </c>
      <c r="AG252" s="62">
        <f t="shared" si="106"/>
        <v>0</v>
      </c>
      <c r="AH252" s="62">
        <f t="shared" si="102"/>
        <v>0</v>
      </c>
      <c r="AI252" s="63"/>
      <c r="AJ252" s="63"/>
      <c r="AK252" s="62"/>
      <c r="AL252" s="60">
        <v>0</v>
      </c>
      <c r="AM252" s="60">
        <v>0</v>
      </c>
      <c r="AN252" s="60">
        <v>0</v>
      </c>
      <c r="AO252" s="60">
        <v>0</v>
      </c>
      <c r="AP252" s="60">
        <v>0</v>
      </c>
      <c r="AQ252" s="60">
        <v>0</v>
      </c>
      <c r="AR252" s="61">
        <f t="shared" si="99"/>
        <v>0</v>
      </c>
      <c r="AS252" s="60">
        <v>0</v>
      </c>
      <c r="AT252" s="60">
        <v>0</v>
      </c>
      <c r="AU252" s="60">
        <v>0</v>
      </c>
      <c r="AV252" s="60">
        <v>0</v>
      </c>
      <c r="AW252" s="60">
        <v>0</v>
      </c>
      <c r="AX252" s="60">
        <v>0</v>
      </c>
      <c r="AY252" s="61">
        <f t="shared" si="100"/>
        <v>0</v>
      </c>
      <c r="AZ252" s="56">
        <f t="shared" si="95"/>
        <v>0</v>
      </c>
      <c r="BA252" s="62">
        <f t="shared" si="108"/>
        <v>0</v>
      </c>
      <c r="BB252" s="62">
        <f t="shared" si="101"/>
        <v>0</v>
      </c>
      <c r="BC252" s="62">
        <f t="shared" si="109"/>
        <v>0</v>
      </c>
      <c r="BD252" s="63"/>
      <c r="BE252" s="57"/>
      <c r="BF252" s="35" t="e">
        <f>VLOOKUP(A:A,'2023-2027'!A:G,1,+FALSE)</f>
        <v>#N/A</v>
      </c>
      <c r="BG252" s="7" t="e">
        <f t="shared" si="105"/>
        <v>#N/A</v>
      </c>
      <c r="BH252" s="35"/>
    </row>
    <row r="253" spans="1:60" ht="24" hidden="1" customHeight="1" outlineLevel="1" x14ac:dyDescent="0.2">
      <c r="A253" s="59" t="s">
        <v>691</v>
      </c>
      <c r="B253" s="61" t="s">
        <v>25</v>
      </c>
      <c r="C253" s="61" t="s">
        <v>25</v>
      </c>
      <c r="D253" s="66" t="s">
        <v>692</v>
      </c>
      <c r="E253" s="59" t="s">
        <v>693</v>
      </c>
      <c r="F253" s="60">
        <v>741762.97</v>
      </c>
      <c r="G253" s="60">
        <v>271979.84000000003</v>
      </c>
      <c r="H253" s="60">
        <v>469783.13</v>
      </c>
      <c r="I253" s="59"/>
      <c r="J253" s="60">
        <v>74176.320000000007</v>
      </c>
      <c r="K253" s="59"/>
      <c r="L253" s="59"/>
      <c r="M253" s="60">
        <v>741762.97</v>
      </c>
      <c r="N253" s="60">
        <v>346156.16</v>
      </c>
      <c r="O253" s="60">
        <v>395606.81</v>
      </c>
      <c r="P253" s="55"/>
      <c r="Q253" s="55"/>
      <c r="R253" s="61">
        <f t="shared" si="96"/>
        <v>6181.3600000000006</v>
      </c>
      <c r="S253" s="60">
        <v>6181.36</v>
      </c>
      <c r="T253" s="60">
        <v>6181.36</v>
      </c>
      <c r="U253" s="60">
        <v>6181.36</v>
      </c>
      <c r="V253" s="60">
        <v>6181.36</v>
      </c>
      <c r="W253" s="60">
        <v>6181.36</v>
      </c>
      <c r="X253" s="61">
        <f t="shared" si="97"/>
        <v>37088.160000000003</v>
      </c>
      <c r="Y253" s="60">
        <v>6181.36</v>
      </c>
      <c r="Z253" s="60">
        <v>6181.36</v>
      </c>
      <c r="AA253" s="60">
        <v>6181.36</v>
      </c>
      <c r="AB253" s="60">
        <v>6181.36</v>
      </c>
      <c r="AC253" s="60">
        <v>6181.36</v>
      </c>
      <c r="AD253" s="60">
        <v>6181.36</v>
      </c>
      <c r="AE253" s="61">
        <f t="shared" si="98"/>
        <v>37088.159999999996</v>
      </c>
      <c r="AF253" s="62">
        <f t="shared" si="107"/>
        <v>741762.97</v>
      </c>
      <c r="AG253" s="62">
        <f t="shared" si="106"/>
        <v>420332.47999999981</v>
      </c>
      <c r="AH253" s="62">
        <f t="shared" si="102"/>
        <v>321430.49000000017</v>
      </c>
      <c r="AI253" s="63"/>
      <c r="AJ253" s="63"/>
      <c r="AK253" s="62"/>
      <c r="AL253" s="60">
        <v>6181.36</v>
      </c>
      <c r="AM253" s="60">
        <v>6181.36</v>
      </c>
      <c r="AN253" s="60">
        <v>6181.36</v>
      </c>
      <c r="AO253" s="60">
        <v>6181.36</v>
      </c>
      <c r="AP253" s="60">
        <v>6181.36</v>
      </c>
      <c r="AQ253" s="60">
        <v>6181.36</v>
      </c>
      <c r="AR253" s="61">
        <f t="shared" si="99"/>
        <v>37088.159999999996</v>
      </c>
      <c r="AS253" s="60">
        <v>6181.36</v>
      </c>
      <c r="AT253" s="60">
        <v>6181.36</v>
      </c>
      <c r="AU253" s="60">
        <v>6181.36</v>
      </c>
      <c r="AV253" s="60">
        <v>6181.36</v>
      </c>
      <c r="AW253" s="60">
        <v>6181.36</v>
      </c>
      <c r="AX253" s="60">
        <v>6181.36</v>
      </c>
      <c r="AY253" s="61">
        <f t="shared" si="100"/>
        <v>37088.159999999996</v>
      </c>
      <c r="AZ253" s="56">
        <f t="shared" si="95"/>
        <v>74176.319999999992</v>
      </c>
      <c r="BA253" s="62">
        <f t="shared" si="108"/>
        <v>741762.97</v>
      </c>
      <c r="BB253" s="62">
        <f t="shared" si="101"/>
        <v>494508.79999999964</v>
      </c>
      <c r="BC253" s="62">
        <f t="shared" si="109"/>
        <v>247254.17000000033</v>
      </c>
      <c r="BD253" s="63"/>
      <c r="BE253" s="57"/>
      <c r="BF253" s="35" t="str">
        <f>VLOOKUP(A:A,'2023-2027'!A:G,1,+FALSE)</f>
        <v>Спутниковое геодезическое оборудование</v>
      </c>
      <c r="BG253" s="7" t="b">
        <f t="shared" si="105"/>
        <v>1</v>
      </c>
      <c r="BH253" s="35">
        <f>VLOOKUP(A:A,'2023-2027'!A:AT,43,+FALSE)</f>
        <v>6181.36</v>
      </c>
    </row>
    <row r="254" spans="1:60" ht="24" hidden="1" customHeight="1" outlineLevel="1" x14ac:dyDescent="0.2">
      <c r="A254" s="59" t="s">
        <v>694</v>
      </c>
      <c r="B254" s="61" t="s">
        <v>25</v>
      </c>
      <c r="C254" s="61" t="s">
        <v>25</v>
      </c>
      <c r="D254" s="66" t="s">
        <v>695</v>
      </c>
      <c r="E254" s="59" t="s">
        <v>558</v>
      </c>
      <c r="F254" s="60">
        <v>115494.34</v>
      </c>
      <c r="G254" s="60">
        <v>10266.24</v>
      </c>
      <c r="H254" s="60">
        <v>105228.1</v>
      </c>
      <c r="I254" s="59"/>
      <c r="J254" s="60">
        <v>7699.58</v>
      </c>
      <c r="K254" s="59"/>
      <c r="L254" s="59"/>
      <c r="M254" s="60">
        <v>115494.34</v>
      </c>
      <c r="N254" s="60">
        <v>17965.82</v>
      </c>
      <c r="O254" s="60">
        <v>97528.52</v>
      </c>
      <c r="P254" s="55"/>
      <c r="Q254" s="55"/>
      <c r="R254" s="61">
        <f t="shared" si="96"/>
        <v>641.63166666666666</v>
      </c>
      <c r="S254" s="60">
        <v>641.63166669999998</v>
      </c>
      <c r="T254" s="60">
        <v>641.63166669999998</v>
      </c>
      <c r="U254" s="60">
        <v>641.63166669999998</v>
      </c>
      <c r="V254" s="60">
        <v>641.63166669999998</v>
      </c>
      <c r="W254" s="60">
        <v>641.63166669999998</v>
      </c>
      <c r="X254" s="61">
        <f t="shared" si="97"/>
        <v>3849.7900001666671</v>
      </c>
      <c r="Y254" s="60">
        <v>641.63166669999998</v>
      </c>
      <c r="Z254" s="60">
        <v>641.63166669999998</v>
      </c>
      <c r="AA254" s="60">
        <v>641.63166669999998</v>
      </c>
      <c r="AB254" s="60">
        <v>641.63166669999998</v>
      </c>
      <c r="AC254" s="60">
        <v>641.63166669999998</v>
      </c>
      <c r="AD254" s="60">
        <v>641.63166669999998</v>
      </c>
      <c r="AE254" s="61">
        <f t="shared" si="98"/>
        <v>3849.7900002000001</v>
      </c>
      <c r="AF254" s="62">
        <f t="shared" si="107"/>
        <v>115494.34</v>
      </c>
      <c r="AG254" s="62">
        <f t="shared" si="106"/>
        <v>25665.400000366659</v>
      </c>
      <c r="AH254" s="62">
        <f t="shared" si="102"/>
        <v>89828.939999633338</v>
      </c>
      <c r="AI254" s="63"/>
      <c r="AJ254" s="63"/>
      <c r="AK254" s="62"/>
      <c r="AL254" s="60">
        <v>641.63166669999998</v>
      </c>
      <c r="AM254" s="60">
        <v>641.63166669999998</v>
      </c>
      <c r="AN254" s="60">
        <v>641.63166669999998</v>
      </c>
      <c r="AO254" s="60">
        <v>641.63166669999998</v>
      </c>
      <c r="AP254" s="60">
        <v>641.63166669999998</v>
      </c>
      <c r="AQ254" s="60">
        <v>641.63166669999998</v>
      </c>
      <c r="AR254" s="61">
        <f t="shared" si="99"/>
        <v>3849.7900002000001</v>
      </c>
      <c r="AS254" s="60">
        <v>641.63166669999998</v>
      </c>
      <c r="AT254" s="60">
        <v>641.63166669999998</v>
      </c>
      <c r="AU254" s="60">
        <v>641.63166669999998</v>
      </c>
      <c r="AV254" s="60">
        <v>641.63166669999998</v>
      </c>
      <c r="AW254" s="60">
        <v>641.63166669999998</v>
      </c>
      <c r="AX254" s="60">
        <v>641.63166669999998</v>
      </c>
      <c r="AY254" s="61">
        <f t="shared" si="100"/>
        <v>3849.7900002000001</v>
      </c>
      <c r="AZ254" s="56">
        <f t="shared" si="95"/>
        <v>7699.5800004000002</v>
      </c>
      <c r="BA254" s="62">
        <f t="shared" si="108"/>
        <v>115494.34</v>
      </c>
      <c r="BB254" s="62">
        <f t="shared" si="101"/>
        <v>33364.980000766649</v>
      </c>
      <c r="BC254" s="62">
        <f t="shared" si="109"/>
        <v>82129.359999233347</v>
      </c>
      <c r="BD254" s="63"/>
      <c r="BE254" s="57"/>
      <c r="BF254" s="35" t="str">
        <f>VLOOKUP(A:A,'2023-2027'!A:G,1,+FALSE)</f>
        <v>Стеллаж металлический 5 пролетов</v>
      </c>
      <c r="BG254" s="7" t="b">
        <f t="shared" si="105"/>
        <v>1</v>
      </c>
      <c r="BH254" s="35">
        <f>VLOOKUP(A:A,'2023-2027'!A:AT,43,+FALSE)</f>
        <v>641.63166669999998</v>
      </c>
    </row>
    <row r="255" spans="1:60" ht="24" hidden="1" customHeight="1" outlineLevel="1" x14ac:dyDescent="0.2">
      <c r="A255" s="59" t="s">
        <v>696</v>
      </c>
      <c r="B255" s="61" t="s">
        <v>25</v>
      </c>
      <c r="C255" s="61" t="s">
        <v>25</v>
      </c>
      <c r="D255" s="66" t="s">
        <v>697</v>
      </c>
      <c r="E255" s="59" t="s">
        <v>558</v>
      </c>
      <c r="F255" s="60">
        <v>160390.26</v>
      </c>
      <c r="G255" s="60">
        <v>14256.96</v>
      </c>
      <c r="H255" s="60">
        <v>146133.29999999999</v>
      </c>
      <c r="I255" s="59"/>
      <c r="J255" s="60">
        <v>10692.72</v>
      </c>
      <c r="K255" s="59"/>
      <c r="L255" s="59"/>
      <c r="M255" s="60">
        <v>160390.26</v>
      </c>
      <c r="N255" s="60">
        <v>24949.68</v>
      </c>
      <c r="O255" s="60">
        <v>135440.57999999999</v>
      </c>
      <c r="P255" s="55"/>
      <c r="Q255" s="55"/>
      <c r="R255" s="61">
        <f t="shared" si="96"/>
        <v>891.06</v>
      </c>
      <c r="S255" s="60">
        <v>891.06</v>
      </c>
      <c r="T255" s="60">
        <v>891.06</v>
      </c>
      <c r="U255" s="60">
        <v>891.06</v>
      </c>
      <c r="V255" s="60">
        <v>891.06</v>
      </c>
      <c r="W255" s="60">
        <v>891.06</v>
      </c>
      <c r="X255" s="61">
        <f t="shared" si="97"/>
        <v>5346.3599999999988</v>
      </c>
      <c r="Y255" s="60">
        <v>891.06</v>
      </c>
      <c r="Z255" s="60">
        <v>891.06</v>
      </c>
      <c r="AA255" s="60">
        <v>891.06</v>
      </c>
      <c r="AB255" s="60">
        <v>891.06</v>
      </c>
      <c r="AC255" s="60">
        <v>891.06</v>
      </c>
      <c r="AD255" s="60">
        <v>891.06</v>
      </c>
      <c r="AE255" s="61">
        <f t="shared" si="98"/>
        <v>5346.3599999999988</v>
      </c>
      <c r="AF255" s="62">
        <f t="shared" si="107"/>
        <v>160390.26</v>
      </c>
      <c r="AG255" s="62">
        <f t="shared" si="106"/>
        <v>35642.400000000001</v>
      </c>
      <c r="AH255" s="62">
        <f t="shared" si="102"/>
        <v>124747.86000000002</v>
      </c>
      <c r="AI255" s="63"/>
      <c r="AJ255" s="63"/>
      <c r="AK255" s="62"/>
      <c r="AL255" s="60">
        <v>891.06</v>
      </c>
      <c r="AM255" s="60">
        <v>891.06</v>
      </c>
      <c r="AN255" s="60">
        <v>891.06</v>
      </c>
      <c r="AO255" s="60">
        <v>891.06</v>
      </c>
      <c r="AP255" s="60">
        <v>891.06</v>
      </c>
      <c r="AQ255" s="60">
        <v>891.06</v>
      </c>
      <c r="AR255" s="61">
        <f t="shared" si="99"/>
        <v>5346.3599999999988</v>
      </c>
      <c r="AS255" s="60">
        <v>891.06</v>
      </c>
      <c r="AT255" s="60">
        <v>891.06</v>
      </c>
      <c r="AU255" s="60">
        <v>891.06</v>
      </c>
      <c r="AV255" s="60">
        <v>891.06</v>
      </c>
      <c r="AW255" s="60">
        <v>891.06</v>
      </c>
      <c r="AX255" s="60">
        <v>891.06</v>
      </c>
      <c r="AY255" s="61">
        <f t="shared" si="100"/>
        <v>5346.3599999999988</v>
      </c>
      <c r="AZ255" s="56">
        <f t="shared" si="95"/>
        <v>10692.719999999998</v>
      </c>
      <c r="BA255" s="62">
        <f t="shared" si="108"/>
        <v>160390.26</v>
      </c>
      <c r="BB255" s="62">
        <f t="shared" si="101"/>
        <v>46335.119999999974</v>
      </c>
      <c r="BC255" s="62">
        <f t="shared" si="109"/>
        <v>114055.14000000004</v>
      </c>
      <c r="BD255" s="63"/>
      <c r="BE255" s="57"/>
      <c r="BF255" s="35" t="str">
        <f>VLOOKUP(A:A,'2023-2027'!A:G,1,+FALSE)</f>
        <v>Стеллаж металлический 9 пролетов</v>
      </c>
      <c r="BG255" s="7" t="b">
        <f t="shared" si="105"/>
        <v>1</v>
      </c>
      <c r="BH255" s="35">
        <f>VLOOKUP(A:A,'2023-2027'!A:AT,43,+FALSE)</f>
        <v>891.0599999999996</v>
      </c>
    </row>
    <row r="256" spans="1:60" ht="12" hidden="1" customHeight="1" outlineLevel="1" x14ac:dyDescent="0.2">
      <c r="A256" s="59" t="s">
        <v>698</v>
      </c>
      <c r="B256" s="61" t="s">
        <v>25</v>
      </c>
      <c r="C256" s="61" t="s">
        <v>25</v>
      </c>
      <c r="D256" s="66" t="s">
        <v>699</v>
      </c>
      <c r="E256" s="59" t="s">
        <v>700</v>
      </c>
      <c r="F256" s="60">
        <v>40297.269999999997</v>
      </c>
      <c r="G256" s="60">
        <v>4029.66</v>
      </c>
      <c r="H256" s="60">
        <v>36267.61</v>
      </c>
      <c r="I256" s="59"/>
      <c r="J256" s="60">
        <v>2686.44</v>
      </c>
      <c r="K256" s="59"/>
      <c r="L256" s="59"/>
      <c r="M256" s="60">
        <v>40297.269999999997</v>
      </c>
      <c r="N256" s="60">
        <v>6716.1</v>
      </c>
      <c r="O256" s="60">
        <v>33581.17</v>
      </c>
      <c r="P256" s="55"/>
      <c r="Q256" s="55"/>
      <c r="R256" s="61">
        <f t="shared" si="96"/>
        <v>223.87</v>
      </c>
      <c r="S256" s="60">
        <v>223.87</v>
      </c>
      <c r="T256" s="60">
        <v>223.87</v>
      </c>
      <c r="U256" s="60">
        <v>223.87</v>
      </c>
      <c r="V256" s="60">
        <v>223.87</v>
      </c>
      <c r="W256" s="60">
        <v>223.87</v>
      </c>
      <c r="X256" s="61">
        <f t="shared" si="97"/>
        <v>1343.2199999999998</v>
      </c>
      <c r="Y256" s="60">
        <v>223.87</v>
      </c>
      <c r="Z256" s="60">
        <v>223.87</v>
      </c>
      <c r="AA256" s="60">
        <v>223.87</v>
      </c>
      <c r="AB256" s="60">
        <v>223.87</v>
      </c>
      <c r="AC256" s="60">
        <v>223.87</v>
      </c>
      <c r="AD256" s="60">
        <v>223.87</v>
      </c>
      <c r="AE256" s="61">
        <f t="shared" si="98"/>
        <v>1343.2199999999998</v>
      </c>
      <c r="AF256" s="62">
        <f t="shared" si="107"/>
        <v>40297.269999999997</v>
      </c>
      <c r="AG256" s="62">
        <f t="shared" si="106"/>
        <v>9402.5400000000045</v>
      </c>
      <c r="AH256" s="62">
        <f t="shared" si="102"/>
        <v>30894.729999999992</v>
      </c>
      <c r="AI256" s="63"/>
      <c r="AJ256" s="63"/>
      <c r="AK256" s="62"/>
      <c r="AL256" s="60">
        <v>223.87</v>
      </c>
      <c r="AM256" s="60">
        <v>223.87</v>
      </c>
      <c r="AN256" s="60">
        <v>223.87</v>
      </c>
      <c r="AO256" s="60">
        <v>223.87</v>
      </c>
      <c r="AP256" s="60">
        <v>223.87</v>
      </c>
      <c r="AQ256" s="60">
        <v>223.87</v>
      </c>
      <c r="AR256" s="61">
        <f t="shared" si="99"/>
        <v>1343.2199999999998</v>
      </c>
      <c r="AS256" s="60">
        <v>223.87</v>
      </c>
      <c r="AT256" s="60">
        <v>223.87</v>
      </c>
      <c r="AU256" s="60">
        <v>223.87</v>
      </c>
      <c r="AV256" s="60">
        <v>223.87</v>
      </c>
      <c r="AW256" s="60">
        <v>223.87</v>
      </c>
      <c r="AX256" s="60">
        <v>223.87</v>
      </c>
      <c r="AY256" s="61">
        <f t="shared" si="100"/>
        <v>1343.2199999999998</v>
      </c>
      <c r="AZ256" s="56">
        <f t="shared" si="95"/>
        <v>2686.4399999999996</v>
      </c>
      <c r="BA256" s="62">
        <f t="shared" si="108"/>
        <v>40297.269999999997</v>
      </c>
      <c r="BB256" s="62">
        <f t="shared" si="101"/>
        <v>12088.980000000014</v>
      </c>
      <c r="BC256" s="62">
        <f t="shared" si="109"/>
        <v>28208.289999999983</v>
      </c>
      <c r="BD256" s="63"/>
      <c r="BE256" s="57"/>
      <c r="BF256" s="35" t="str">
        <f>VLOOKUP(A:A,'2023-2027'!A:G,1,+FALSE)</f>
        <v>Стойка напольная с лотками</v>
      </c>
      <c r="BG256" s="7" t="b">
        <f t="shared" si="105"/>
        <v>1</v>
      </c>
      <c r="BH256" s="35">
        <f>VLOOKUP(A:A,'2023-2027'!A:AT,43,+FALSE)</f>
        <v>223.86999999999992</v>
      </c>
    </row>
    <row r="257" spans="1:60" ht="24" hidden="1" customHeight="1" outlineLevel="1" x14ac:dyDescent="0.2">
      <c r="A257" s="59" t="s">
        <v>701</v>
      </c>
      <c r="B257" s="61" t="s">
        <v>25</v>
      </c>
      <c r="C257" s="61" t="s">
        <v>25</v>
      </c>
      <c r="D257" s="66" t="s">
        <v>702</v>
      </c>
      <c r="E257" s="59" t="s">
        <v>703</v>
      </c>
      <c r="F257" s="60">
        <v>74241.69</v>
      </c>
      <c r="G257" s="60">
        <v>60100.44</v>
      </c>
      <c r="H257" s="60">
        <v>14141.25</v>
      </c>
      <c r="I257" s="59"/>
      <c r="J257" s="60">
        <v>10605.95</v>
      </c>
      <c r="K257" s="59"/>
      <c r="L257" s="59"/>
      <c r="M257" s="60">
        <v>74241.69</v>
      </c>
      <c r="N257" s="60">
        <v>70706.39</v>
      </c>
      <c r="O257" s="60">
        <v>3535.3</v>
      </c>
      <c r="P257" s="55"/>
      <c r="Q257" s="55"/>
      <c r="R257" s="61">
        <f t="shared" si="96"/>
        <v>883.82916666666677</v>
      </c>
      <c r="S257" s="60">
        <v>883.82916669999997</v>
      </c>
      <c r="T257" s="60">
        <v>883.82916669999997</v>
      </c>
      <c r="U257" s="60">
        <v>883.82916669999997</v>
      </c>
      <c r="V257" s="60">
        <v>883.82916669999997</v>
      </c>
      <c r="W257" s="60">
        <v>0.02</v>
      </c>
      <c r="X257" s="61">
        <f t="shared" si="97"/>
        <v>4419.1658334666672</v>
      </c>
      <c r="Y257" s="60"/>
      <c r="Z257" s="60"/>
      <c r="AA257" s="60"/>
      <c r="AB257" s="60"/>
      <c r="AC257" s="60"/>
      <c r="AD257" s="60"/>
      <c r="AE257" s="61">
        <f t="shared" si="98"/>
        <v>0</v>
      </c>
      <c r="AF257" s="62">
        <f t="shared" si="107"/>
        <v>74241.69</v>
      </c>
      <c r="AG257" s="62">
        <f t="shared" si="106"/>
        <v>75125.555833466671</v>
      </c>
      <c r="AH257" s="62"/>
      <c r="AI257" s="63"/>
      <c r="AJ257" s="63"/>
      <c r="AK257" s="62"/>
      <c r="AL257" s="60"/>
      <c r="AM257" s="60"/>
      <c r="AN257" s="60"/>
      <c r="AO257" s="60"/>
      <c r="AP257" s="60"/>
      <c r="AQ257" s="60"/>
      <c r="AR257" s="61">
        <f t="shared" si="99"/>
        <v>0</v>
      </c>
      <c r="AS257" s="60"/>
      <c r="AT257" s="60"/>
      <c r="AU257" s="60"/>
      <c r="AV257" s="60"/>
      <c r="AW257" s="60"/>
      <c r="AX257" s="60"/>
      <c r="AY257" s="61">
        <f t="shared" si="100"/>
        <v>0</v>
      </c>
      <c r="AZ257" s="56">
        <f t="shared" si="95"/>
        <v>0</v>
      </c>
      <c r="BA257" s="62">
        <f t="shared" si="108"/>
        <v>74241.69</v>
      </c>
      <c r="BB257" s="62">
        <f t="shared" si="101"/>
        <v>75125.555833466671</v>
      </c>
      <c r="BC257" s="62"/>
      <c r="BD257" s="63"/>
      <c r="BE257" s="57"/>
      <c r="BF257" s="35" t="str">
        <f>VLOOKUP(A:A,'2023-2027'!A:G,1,+FALSE)</f>
        <v>Теодолит электронный ADA DigiTeo 2 в комплекте</v>
      </c>
      <c r="BG257" s="7" t="b">
        <f t="shared" si="105"/>
        <v>1</v>
      </c>
      <c r="BH257" s="35">
        <f>VLOOKUP(A:A,'2023-2027'!A:AT,43,+FALSE)</f>
        <v>883.83</v>
      </c>
    </row>
    <row r="258" spans="1:60" ht="24" hidden="1" customHeight="1" outlineLevel="1" x14ac:dyDescent="0.2">
      <c r="A258" s="59" t="s">
        <v>704</v>
      </c>
      <c r="B258" s="61" t="s">
        <v>25</v>
      </c>
      <c r="C258" s="61" t="s">
        <v>25</v>
      </c>
      <c r="D258" s="66" t="s">
        <v>705</v>
      </c>
      <c r="E258" s="59" t="s">
        <v>706</v>
      </c>
      <c r="F258" s="60">
        <v>1190946</v>
      </c>
      <c r="G258" s="60">
        <v>959373.65</v>
      </c>
      <c r="H258" s="60">
        <v>231572.35</v>
      </c>
      <c r="I258" s="59"/>
      <c r="J258" s="60">
        <v>79396.2</v>
      </c>
      <c r="K258" s="59"/>
      <c r="L258" s="59"/>
      <c r="M258" s="60">
        <v>1190946</v>
      </c>
      <c r="N258" s="60">
        <v>1038769.85</v>
      </c>
      <c r="O258" s="60">
        <v>152176.15</v>
      </c>
      <c r="P258" s="55">
        <v>191874.25</v>
      </c>
      <c r="Q258" s="55">
        <f>P258*2.2%</f>
        <v>4221.2335000000003</v>
      </c>
      <c r="R258" s="61">
        <f t="shared" si="96"/>
        <v>6616.3499999999995</v>
      </c>
      <c r="S258" s="60">
        <v>6616.35</v>
      </c>
      <c r="T258" s="60">
        <v>6616.35</v>
      </c>
      <c r="U258" s="60">
        <v>6616.35</v>
      </c>
      <c r="V258" s="60">
        <v>6616.35</v>
      </c>
      <c r="W258" s="60">
        <v>6616.35</v>
      </c>
      <c r="X258" s="61">
        <f t="shared" si="97"/>
        <v>39698.1</v>
      </c>
      <c r="Y258" s="60">
        <v>6616.35</v>
      </c>
      <c r="Z258" s="60">
        <v>6616.35</v>
      </c>
      <c r="AA258" s="60">
        <v>6616.35</v>
      </c>
      <c r="AB258" s="60">
        <v>6616.35</v>
      </c>
      <c r="AC258" s="60">
        <v>6616.35</v>
      </c>
      <c r="AD258" s="60">
        <v>6616.35</v>
      </c>
      <c r="AE258" s="61">
        <f t="shared" si="98"/>
        <v>39698.1</v>
      </c>
      <c r="AF258" s="62">
        <f t="shared" si="107"/>
        <v>1190946</v>
      </c>
      <c r="AG258" s="62">
        <f t="shared" si="106"/>
        <v>1118166.050000001</v>
      </c>
      <c r="AH258" s="62">
        <f t="shared" si="102"/>
        <v>72779.949999999022</v>
      </c>
      <c r="AI258" s="63">
        <v>112478.04999999997</v>
      </c>
      <c r="AJ258" s="63">
        <f t="shared" ref="AJ258" si="110">AI258*2.2%</f>
        <v>2474.5170999999996</v>
      </c>
      <c r="AK258" s="62"/>
      <c r="AL258" s="60">
        <v>6616.35</v>
      </c>
      <c r="AM258" s="60">
        <v>6616.35</v>
      </c>
      <c r="AN258" s="60">
        <v>6616.35</v>
      </c>
      <c r="AO258" s="60">
        <v>6616.35</v>
      </c>
      <c r="AP258" s="60">
        <v>6616.35</v>
      </c>
      <c r="AQ258" s="60">
        <v>6616.35</v>
      </c>
      <c r="AR258" s="61">
        <f t="shared" si="99"/>
        <v>39698.1</v>
      </c>
      <c r="AS258" s="60">
        <v>6616.35</v>
      </c>
      <c r="AT258" s="60">
        <v>6616.35</v>
      </c>
      <c r="AU258" s="60">
        <v>6616.35</v>
      </c>
      <c r="AV258" s="60">
        <v>6616.35</v>
      </c>
      <c r="AW258" s="60">
        <v>6616.45</v>
      </c>
      <c r="AX258" s="60"/>
      <c r="AY258" s="61">
        <f t="shared" si="100"/>
        <v>33081.85</v>
      </c>
      <c r="AZ258" s="56">
        <f t="shared" si="95"/>
        <v>72779.95</v>
      </c>
      <c r="BA258" s="62">
        <f t="shared" si="108"/>
        <v>1190946</v>
      </c>
      <c r="BB258" s="62">
        <f t="shared" si="101"/>
        <v>1190946.0000000019</v>
      </c>
      <c r="BC258" s="62"/>
      <c r="BD258" s="63">
        <v>36390.0249999999</v>
      </c>
      <c r="BE258" s="57">
        <f t="shared" ref="BE258" si="111">BD258*2.2%</f>
        <v>800.58054999999786</v>
      </c>
      <c r="BF258" s="35" t="str">
        <f>VLOOKUP(A:A,'2023-2027'!A:G,1,+FALSE)</f>
        <v>Устройство ограждения 2009г 149,5 п.м.</v>
      </c>
      <c r="BG258" s="7" t="b">
        <f t="shared" si="105"/>
        <v>1</v>
      </c>
      <c r="BH258" s="35">
        <f>VLOOKUP(A:A,'2023-2027'!A:AT,43,+FALSE)</f>
        <v>6616.37</v>
      </c>
    </row>
    <row r="259" spans="1:60" ht="24" hidden="1" customHeight="1" outlineLevel="1" x14ac:dyDescent="0.2">
      <c r="A259" s="59" t="s">
        <v>707</v>
      </c>
      <c r="B259" s="61" t="s">
        <v>25</v>
      </c>
      <c r="C259" s="61" t="s">
        <v>25</v>
      </c>
      <c r="D259" s="66" t="s">
        <v>708</v>
      </c>
      <c r="E259" s="59" t="s">
        <v>709</v>
      </c>
      <c r="F259" s="60">
        <v>461518.72</v>
      </c>
      <c r="G259" s="59"/>
      <c r="H259" s="60">
        <v>461518.72</v>
      </c>
      <c r="I259" s="60">
        <v>45702.35</v>
      </c>
      <c r="J259" s="60">
        <v>25361.040000000001</v>
      </c>
      <c r="K259" s="59"/>
      <c r="L259" s="59"/>
      <c r="M259" s="60">
        <v>507221.07</v>
      </c>
      <c r="N259" s="60">
        <v>25361.040000000001</v>
      </c>
      <c r="O259" s="60">
        <v>481860.03</v>
      </c>
      <c r="P259" s="55"/>
      <c r="Q259" s="55"/>
      <c r="R259" s="61">
        <f t="shared" si="96"/>
        <v>2113.42</v>
      </c>
      <c r="S259" s="60">
        <v>2113.42</v>
      </c>
      <c r="T259" s="60">
        <v>2113.42</v>
      </c>
      <c r="U259" s="60">
        <v>2113.42</v>
      </c>
      <c r="V259" s="60">
        <v>2113.42</v>
      </c>
      <c r="W259" s="60">
        <v>2113.42</v>
      </c>
      <c r="X259" s="61">
        <f t="shared" si="97"/>
        <v>12680.52</v>
      </c>
      <c r="Y259" s="60">
        <v>2113.42</v>
      </c>
      <c r="Z259" s="60">
        <v>2113.42</v>
      </c>
      <c r="AA259" s="60">
        <v>2113.42</v>
      </c>
      <c r="AB259" s="60">
        <v>2113.42</v>
      </c>
      <c r="AC259" s="60">
        <v>2113.42</v>
      </c>
      <c r="AD259" s="60">
        <v>2113.42</v>
      </c>
      <c r="AE259" s="61">
        <f t="shared" si="98"/>
        <v>12680.52</v>
      </c>
      <c r="AF259" s="62">
        <f t="shared" si="107"/>
        <v>507221.07</v>
      </c>
      <c r="AG259" s="62">
        <f t="shared" si="106"/>
        <v>50722.07999999998</v>
      </c>
      <c r="AH259" s="62">
        <f t="shared" si="102"/>
        <v>456498.99000000005</v>
      </c>
      <c r="AI259" s="63"/>
      <c r="AJ259" s="63"/>
      <c r="AK259" s="62"/>
      <c r="AL259" s="60">
        <v>2113.42</v>
      </c>
      <c r="AM259" s="60">
        <v>2113.42</v>
      </c>
      <c r="AN259" s="60">
        <v>2113.42</v>
      </c>
      <c r="AO259" s="60">
        <v>2113.42</v>
      </c>
      <c r="AP259" s="60">
        <v>2113.42</v>
      </c>
      <c r="AQ259" s="60">
        <v>2113.42</v>
      </c>
      <c r="AR259" s="61">
        <f t="shared" si="99"/>
        <v>12680.52</v>
      </c>
      <c r="AS259" s="60">
        <v>2113.42</v>
      </c>
      <c r="AT259" s="60">
        <v>2113.42</v>
      </c>
      <c r="AU259" s="60">
        <v>2113.42</v>
      </c>
      <c r="AV259" s="60">
        <v>2113.42</v>
      </c>
      <c r="AW259" s="60">
        <v>2113.42</v>
      </c>
      <c r="AX259" s="60">
        <v>2113.42</v>
      </c>
      <c r="AY259" s="61">
        <f t="shared" si="100"/>
        <v>12680.52</v>
      </c>
      <c r="AZ259" s="56">
        <f t="shared" si="95"/>
        <v>25361.040000000001</v>
      </c>
      <c r="BA259" s="62">
        <f t="shared" si="108"/>
        <v>507221.07</v>
      </c>
      <c r="BB259" s="62">
        <f t="shared" si="101"/>
        <v>76083.119999999966</v>
      </c>
      <c r="BC259" s="62">
        <f t="shared" ref="BC259:BC322" si="112">BA259-BB259</f>
        <v>431137.95000000007</v>
      </c>
      <c r="BD259" s="63"/>
      <c r="BE259" s="57"/>
      <c r="BF259" s="35" t="str">
        <f>VLOOKUP(A:A,'2023-2027'!A:G,1,+FALSE)</f>
        <v>Эстакада для хранения барабанов с кабелем</v>
      </c>
      <c r="BG259" s="7" t="b">
        <f t="shared" si="105"/>
        <v>1</v>
      </c>
      <c r="BH259" s="35">
        <f>VLOOKUP(A:A,'2023-2027'!A:AT,43,+FALSE)</f>
        <v>1922.9946666666665</v>
      </c>
    </row>
    <row r="260" spans="1:60" s="58" customFormat="1" ht="13.15" hidden="1" customHeight="1" x14ac:dyDescent="0.2">
      <c r="A260" s="323" t="s">
        <v>79</v>
      </c>
      <c r="B260" s="323"/>
      <c r="C260" s="323"/>
      <c r="D260" s="323"/>
      <c r="E260" s="323"/>
      <c r="F260" s="53">
        <v>9369010.5099999998</v>
      </c>
      <c r="G260" s="53">
        <v>4977501.7300000004</v>
      </c>
      <c r="H260" s="53">
        <v>4391508.78</v>
      </c>
      <c r="I260" s="54"/>
      <c r="J260" s="53">
        <v>277769.36</v>
      </c>
      <c r="K260" s="53">
        <v>93459.14</v>
      </c>
      <c r="L260" s="53">
        <v>93459.14</v>
      </c>
      <c r="M260" s="53">
        <v>9275551.3699999992</v>
      </c>
      <c r="N260" s="53">
        <v>5161811.95</v>
      </c>
      <c r="O260" s="53">
        <v>4113739.42</v>
      </c>
      <c r="P260" s="64">
        <v>3659885.92</v>
      </c>
      <c r="Q260" s="64">
        <f>Q263+Q264+Q265+Q267+Q268+Q269+Q276</f>
        <v>80517.490239999999</v>
      </c>
      <c r="R260" s="56">
        <f>R261+R262+R263+R264+R265+R266+R267+R268+R269+R270+R271+R272+R273+R274+R275+R276+R277+R278+R279+R280+R281+R282+R283+R284+R285+R286</f>
        <v>23147.446666666667</v>
      </c>
      <c r="S260" s="56">
        <f t="shared" ref="S260:BE260" si="113">S261+S262+S263+S264+S265+S266+S267+S268+S269+S270+S271+S272+S273+S274+S275+S276+S277+S278+S279+S280+S281+S282+S283+S284+S285+S286</f>
        <v>23147.446666669999</v>
      </c>
      <c r="T260" s="56">
        <f t="shared" si="113"/>
        <v>23147.446666669999</v>
      </c>
      <c r="U260" s="56">
        <f t="shared" si="113"/>
        <v>23147.446666669999</v>
      </c>
      <c r="V260" s="56">
        <f t="shared" si="113"/>
        <v>23147.446666669999</v>
      </c>
      <c r="W260" s="56">
        <f t="shared" si="113"/>
        <v>23147.446666669999</v>
      </c>
      <c r="X260" s="56">
        <f t="shared" si="113"/>
        <v>138884.6800000167</v>
      </c>
      <c r="Y260" s="56">
        <f t="shared" si="113"/>
        <v>23147.446666669999</v>
      </c>
      <c r="Z260" s="56">
        <f t="shared" si="113"/>
        <v>23147.446666669999</v>
      </c>
      <c r="AA260" s="56">
        <f t="shared" si="113"/>
        <v>23147.446666669999</v>
      </c>
      <c r="AB260" s="56">
        <f t="shared" si="113"/>
        <v>23147.446666669999</v>
      </c>
      <c r="AC260" s="56">
        <f t="shared" si="113"/>
        <v>23147.446666669999</v>
      </c>
      <c r="AD260" s="56">
        <f t="shared" si="113"/>
        <v>23147.446666669999</v>
      </c>
      <c r="AE260" s="56">
        <f t="shared" si="113"/>
        <v>138884.68000002002</v>
      </c>
      <c r="AF260" s="56">
        <f t="shared" si="113"/>
        <v>9275551.3699999992</v>
      </c>
      <c r="AG260" s="56">
        <f t="shared" si="113"/>
        <v>5439581.3100000368</v>
      </c>
      <c r="AH260" s="56">
        <f t="shared" si="113"/>
        <v>3835970.0599999642</v>
      </c>
      <c r="AI260" s="57">
        <v>3467399.2</v>
      </c>
      <c r="AJ260" s="57">
        <f t="shared" si="113"/>
        <v>76282.782399999996</v>
      </c>
      <c r="AK260" s="56"/>
      <c r="AL260" s="56">
        <f t="shared" si="113"/>
        <v>23147.446666669999</v>
      </c>
      <c r="AM260" s="56">
        <f t="shared" si="113"/>
        <v>23147.446666669999</v>
      </c>
      <c r="AN260" s="56">
        <f t="shared" si="113"/>
        <v>23147.446666669999</v>
      </c>
      <c r="AO260" s="56">
        <f t="shared" si="113"/>
        <v>23147.446666669999</v>
      </c>
      <c r="AP260" s="56">
        <f t="shared" si="113"/>
        <v>23147.446666669999</v>
      </c>
      <c r="AQ260" s="56">
        <f t="shared" si="113"/>
        <v>23147.446666669999</v>
      </c>
      <c r="AR260" s="56">
        <f t="shared" si="113"/>
        <v>138884.68000002002</v>
      </c>
      <c r="AS260" s="56">
        <f t="shared" si="113"/>
        <v>23147.446666669999</v>
      </c>
      <c r="AT260" s="56">
        <f t="shared" si="113"/>
        <v>23147.446666669999</v>
      </c>
      <c r="AU260" s="56">
        <f t="shared" si="113"/>
        <v>23147.446666669999</v>
      </c>
      <c r="AV260" s="56">
        <f t="shared" si="113"/>
        <v>23147.446666669999</v>
      </c>
      <c r="AW260" s="56">
        <f t="shared" si="113"/>
        <v>23147.446666669999</v>
      </c>
      <c r="AX260" s="56">
        <f t="shared" si="113"/>
        <v>23147.446666669999</v>
      </c>
      <c r="AY260" s="56">
        <f t="shared" si="113"/>
        <v>138884.68000002002</v>
      </c>
      <c r="AZ260" s="56">
        <f t="shared" si="95"/>
        <v>277769.36000004003</v>
      </c>
      <c r="BA260" s="56">
        <f t="shared" si="113"/>
        <v>9275551.3699999992</v>
      </c>
      <c r="BB260" s="56">
        <f t="shared" si="113"/>
        <v>5717350.6700000754</v>
      </c>
      <c r="BC260" s="56">
        <f t="shared" si="113"/>
        <v>3558200.6999999238</v>
      </c>
      <c r="BD260" s="57">
        <v>3274912.4799999981</v>
      </c>
      <c r="BE260" s="57">
        <f t="shared" si="113"/>
        <v>72048.074559999965</v>
      </c>
      <c r="BF260" s="35" t="str">
        <f>VLOOKUP(A:A,'2023-2027'!A:G,1,+FALSE)</f>
        <v>ОБЩЕХОЗЯЙСТВЕННЫЕ РАСХОДЫ</v>
      </c>
      <c r="BG260" s="7" t="b">
        <f t="shared" si="105"/>
        <v>0</v>
      </c>
      <c r="BH260" s="35">
        <f>VLOOKUP(A:A,'2023-2027'!A:AT,43,+FALSE)</f>
        <v>0</v>
      </c>
    </row>
    <row r="261" spans="1:60" ht="24" hidden="1" customHeight="1" outlineLevel="1" x14ac:dyDescent="0.2">
      <c r="A261" s="59" t="s">
        <v>710</v>
      </c>
      <c r="B261" s="59" t="s">
        <v>79</v>
      </c>
      <c r="C261" s="59" t="s">
        <v>79</v>
      </c>
      <c r="D261" s="65" t="s">
        <v>711</v>
      </c>
      <c r="E261" s="59" t="s">
        <v>712</v>
      </c>
      <c r="F261" s="60">
        <v>450090</v>
      </c>
      <c r="G261" s="60">
        <v>243048.95999999999</v>
      </c>
      <c r="H261" s="60">
        <v>207041.04</v>
      </c>
      <c r="I261" s="59"/>
      <c r="J261" s="60">
        <v>20254.080000000002</v>
      </c>
      <c r="K261" s="59"/>
      <c r="L261" s="59"/>
      <c r="M261" s="60">
        <v>450090</v>
      </c>
      <c r="N261" s="60">
        <v>263303.03999999998</v>
      </c>
      <c r="O261" s="60">
        <v>186786.96</v>
      </c>
      <c r="P261" s="55"/>
      <c r="Q261" s="55"/>
      <c r="R261" s="61">
        <f t="shared" si="96"/>
        <v>1687.8400000000001</v>
      </c>
      <c r="S261" s="60">
        <v>1687.84</v>
      </c>
      <c r="T261" s="60">
        <v>1687.84</v>
      </c>
      <c r="U261" s="60">
        <v>1687.84</v>
      </c>
      <c r="V261" s="60">
        <v>1687.84</v>
      </c>
      <c r="W261" s="60">
        <v>1687.84</v>
      </c>
      <c r="X261" s="61">
        <f t="shared" si="97"/>
        <v>10127.040000000001</v>
      </c>
      <c r="Y261" s="60">
        <v>1687.84</v>
      </c>
      <c r="Z261" s="60">
        <v>1687.84</v>
      </c>
      <c r="AA261" s="60">
        <v>1687.84</v>
      </c>
      <c r="AB261" s="60">
        <v>1687.84</v>
      </c>
      <c r="AC261" s="60">
        <v>1687.84</v>
      </c>
      <c r="AD261" s="60">
        <v>1687.84</v>
      </c>
      <c r="AE261" s="61">
        <f t="shared" si="98"/>
        <v>10127.039999999999</v>
      </c>
      <c r="AF261" s="62">
        <f t="shared" ref="AF261:AF286" si="114">M261</f>
        <v>450090</v>
      </c>
      <c r="AG261" s="62">
        <f t="shared" ref="AG261:AG286" si="115">N261+R261+S261+T261+U261+V261+W261+Y261+Z261+AA261+AB261+AC261+AD261</f>
        <v>283557.12000000029</v>
      </c>
      <c r="AH261" s="62">
        <f t="shared" si="102"/>
        <v>166532.87999999971</v>
      </c>
      <c r="AI261" s="63"/>
      <c r="AJ261" s="63"/>
      <c r="AK261" s="62"/>
      <c r="AL261" s="60">
        <v>1687.84</v>
      </c>
      <c r="AM261" s="60">
        <v>1687.84</v>
      </c>
      <c r="AN261" s="60">
        <v>1687.84</v>
      </c>
      <c r="AO261" s="60">
        <v>1687.84</v>
      </c>
      <c r="AP261" s="60">
        <v>1687.84</v>
      </c>
      <c r="AQ261" s="60">
        <v>1687.84</v>
      </c>
      <c r="AR261" s="61">
        <f t="shared" si="99"/>
        <v>10127.039999999999</v>
      </c>
      <c r="AS261" s="60">
        <v>1687.84</v>
      </c>
      <c r="AT261" s="60">
        <v>1687.84</v>
      </c>
      <c r="AU261" s="60">
        <v>1687.84</v>
      </c>
      <c r="AV261" s="60">
        <v>1687.84</v>
      </c>
      <c r="AW261" s="60">
        <v>1687.84</v>
      </c>
      <c r="AX261" s="60">
        <v>1687.84</v>
      </c>
      <c r="AY261" s="61">
        <f t="shared" si="100"/>
        <v>10127.039999999999</v>
      </c>
      <c r="AZ261" s="56">
        <f t="shared" si="95"/>
        <v>20254.079999999998</v>
      </c>
      <c r="BA261" s="62">
        <f t="shared" si="108"/>
        <v>450090</v>
      </c>
      <c r="BB261" s="62">
        <f t="shared" si="101"/>
        <v>303811.20000000059</v>
      </c>
      <c r="BC261" s="62">
        <f t="shared" si="112"/>
        <v>146278.79999999941</v>
      </c>
      <c r="BD261" s="63"/>
      <c r="BE261" s="57"/>
      <c r="BF261" s="35" t="e">
        <f>VLOOKUP(A:A,'2023-2027'!A:G,1,+FALSE)</f>
        <v>#N/A</v>
      </c>
      <c r="BG261" s="7" t="e">
        <f t="shared" si="105"/>
        <v>#N/A</v>
      </c>
      <c r="BH261" s="35"/>
    </row>
    <row r="262" spans="1:60" ht="24" hidden="1" customHeight="1" outlineLevel="1" x14ac:dyDescent="0.2">
      <c r="A262" s="59" t="s">
        <v>713</v>
      </c>
      <c r="B262" s="59" t="s">
        <v>79</v>
      </c>
      <c r="C262" s="59" t="s">
        <v>79</v>
      </c>
      <c r="D262" s="65" t="s">
        <v>714</v>
      </c>
      <c r="E262" s="59" t="s">
        <v>715</v>
      </c>
      <c r="F262" s="60">
        <v>433673.31</v>
      </c>
      <c r="G262" s="60">
        <v>263226</v>
      </c>
      <c r="H262" s="60">
        <v>170447.31</v>
      </c>
      <c r="I262" s="59"/>
      <c r="J262" s="60">
        <v>33249.480000000003</v>
      </c>
      <c r="K262" s="59"/>
      <c r="L262" s="59"/>
      <c r="M262" s="60">
        <v>433673.31</v>
      </c>
      <c r="N262" s="60">
        <v>296475.48</v>
      </c>
      <c r="O262" s="60">
        <v>137197.82999999999</v>
      </c>
      <c r="P262" s="55"/>
      <c r="Q262" s="55"/>
      <c r="R262" s="61">
        <f t="shared" si="96"/>
        <v>2770.7900000000004</v>
      </c>
      <c r="S262" s="60">
        <v>2770.79</v>
      </c>
      <c r="T262" s="60">
        <v>2770.79</v>
      </c>
      <c r="U262" s="60">
        <v>2770.79</v>
      </c>
      <c r="V262" s="60">
        <v>2770.79</v>
      </c>
      <c r="W262" s="60">
        <v>2770.79</v>
      </c>
      <c r="X262" s="61">
        <f t="shared" si="97"/>
        <v>16624.740000000002</v>
      </c>
      <c r="Y262" s="60">
        <v>2770.79</v>
      </c>
      <c r="Z262" s="60">
        <v>2770.79</v>
      </c>
      <c r="AA262" s="60">
        <v>2770.79</v>
      </c>
      <c r="AB262" s="60">
        <v>2770.79</v>
      </c>
      <c r="AC262" s="60">
        <v>2770.79</v>
      </c>
      <c r="AD262" s="60">
        <v>2770.79</v>
      </c>
      <c r="AE262" s="61">
        <f t="shared" si="98"/>
        <v>16624.740000000002</v>
      </c>
      <c r="AF262" s="62">
        <f t="shared" si="114"/>
        <v>433673.31</v>
      </c>
      <c r="AG262" s="62">
        <f t="shared" si="115"/>
        <v>329724.95999999973</v>
      </c>
      <c r="AH262" s="62">
        <f t="shared" si="102"/>
        <v>103948.35000000027</v>
      </c>
      <c r="AI262" s="63"/>
      <c r="AJ262" s="63"/>
      <c r="AK262" s="62"/>
      <c r="AL262" s="60">
        <v>2770.79</v>
      </c>
      <c r="AM262" s="60">
        <v>2770.79</v>
      </c>
      <c r="AN262" s="60">
        <v>2770.79</v>
      </c>
      <c r="AO262" s="60">
        <v>2770.79</v>
      </c>
      <c r="AP262" s="60">
        <v>2770.79</v>
      </c>
      <c r="AQ262" s="60">
        <v>2770.79</v>
      </c>
      <c r="AR262" s="61">
        <f t="shared" si="99"/>
        <v>16624.740000000002</v>
      </c>
      <c r="AS262" s="60">
        <v>2770.79</v>
      </c>
      <c r="AT262" s="60">
        <v>2770.79</v>
      </c>
      <c r="AU262" s="60">
        <v>2770.79</v>
      </c>
      <c r="AV262" s="60">
        <v>2770.79</v>
      </c>
      <c r="AW262" s="60">
        <v>2770.79</v>
      </c>
      <c r="AX262" s="60">
        <v>2770.79</v>
      </c>
      <c r="AY262" s="61">
        <f t="shared" si="100"/>
        <v>16624.740000000002</v>
      </c>
      <c r="AZ262" s="56">
        <f t="shared" si="95"/>
        <v>33249.480000000003</v>
      </c>
      <c r="BA262" s="62">
        <f t="shared" si="108"/>
        <v>433673.31</v>
      </c>
      <c r="BB262" s="62">
        <f t="shared" si="101"/>
        <v>362974.43999999948</v>
      </c>
      <c r="BC262" s="62">
        <f t="shared" si="112"/>
        <v>70698.870000000519</v>
      </c>
      <c r="BD262" s="63"/>
      <c r="BE262" s="57"/>
      <c r="BF262" s="35" t="e">
        <f>VLOOKUP(A:A,'2023-2027'!A:G,1,+FALSE)</f>
        <v>#N/A</v>
      </c>
      <c r="BG262" s="7" t="e">
        <f t="shared" si="105"/>
        <v>#N/A</v>
      </c>
      <c r="BH262" s="35"/>
    </row>
    <row r="263" spans="1:60" ht="12" hidden="1" customHeight="1" outlineLevel="1" x14ac:dyDescent="0.2">
      <c r="A263" s="59" t="s">
        <v>716</v>
      </c>
      <c r="B263" s="59" t="s">
        <v>79</v>
      </c>
      <c r="C263" s="59" t="s">
        <v>79</v>
      </c>
      <c r="D263" s="66" t="s">
        <v>717</v>
      </c>
      <c r="E263" s="59" t="s">
        <v>718</v>
      </c>
      <c r="F263" s="60">
        <v>147586.91</v>
      </c>
      <c r="G263" s="60">
        <v>109905.60000000001</v>
      </c>
      <c r="H263" s="60">
        <v>37681.31</v>
      </c>
      <c r="I263" s="59"/>
      <c r="J263" s="60">
        <v>6280.2</v>
      </c>
      <c r="K263" s="59"/>
      <c r="L263" s="59"/>
      <c r="M263" s="60">
        <v>147586.91</v>
      </c>
      <c r="N263" s="60">
        <v>116185.8</v>
      </c>
      <c r="O263" s="60">
        <v>31401.11</v>
      </c>
      <c r="P263" s="55">
        <v>34541.21</v>
      </c>
      <c r="Q263" s="55">
        <f t="shared" ref="Q263:Q265" si="116">P263*2.2%</f>
        <v>759.90662000000009</v>
      </c>
      <c r="R263" s="61">
        <f t="shared" si="96"/>
        <v>523.35</v>
      </c>
      <c r="S263" s="60">
        <v>523.35</v>
      </c>
      <c r="T263" s="60">
        <v>523.35</v>
      </c>
      <c r="U263" s="60">
        <v>523.35</v>
      </c>
      <c r="V263" s="60">
        <v>523.35</v>
      </c>
      <c r="W263" s="60">
        <v>523.35</v>
      </c>
      <c r="X263" s="61">
        <f t="shared" si="97"/>
        <v>3140.1</v>
      </c>
      <c r="Y263" s="60">
        <v>523.35</v>
      </c>
      <c r="Z263" s="60">
        <v>523.35</v>
      </c>
      <c r="AA263" s="60">
        <v>523.35</v>
      </c>
      <c r="AB263" s="60">
        <v>523.35</v>
      </c>
      <c r="AC263" s="60">
        <v>523.35</v>
      </c>
      <c r="AD263" s="60">
        <v>523.35</v>
      </c>
      <c r="AE263" s="61">
        <f t="shared" si="98"/>
        <v>3140.1</v>
      </c>
      <c r="AF263" s="62">
        <f t="shared" si="114"/>
        <v>147586.91</v>
      </c>
      <c r="AG263" s="62">
        <f t="shared" si="115"/>
        <v>122466.00000000007</v>
      </c>
      <c r="AH263" s="62">
        <f t="shared" si="102"/>
        <v>25120.909999999931</v>
      </c>
      <c r="AI263" s="63">
        <v>28261.010000000009</v>
      </c>
      <c r="AJ263" s="63">
        <f t="shared" ref="AJ263:AJ269" si="117">AI263*2.2%</f>
        <v>621.74222000000032</v>
      </c>
      <c r="AK263" s="72">
        <f t="shared" ref="AK263:AK265" si="118">AI263*2.2%</f>
        <v>621.74222000000032</v>
      </c>
      <c r="AL263" s="60">
        <v>523.35</v>
      </c>
      <c r="AM263" s="60">
        <v>523.35</v>
      </c>
      <c r="AN263" s="60">
        <v>523.35</v>
      </c>
      <c r="AO263" s="60">
        <v>523.35</v>
      </c>
      <c r="AP263" s="60">
        <v>523.35</v>
      </c>
      <c r="AQ263" s="60">
        <v>523.35</v>
      </c>
      <c r="AR263" s="61">
        <f t="shared" si="99"/>
        <v>3140.1</v>
      </c>
      <c r="AS263" s="60">
        <v>523.35</v>
      </c>
      <c r="AT263" s="60">
        <v>523.35</v>
      </c>
      <c r="AU263" s="60">
        <v>523.35</v>
      </c>
      <c r="AV263" s="60">
        <v>523.35</v>
      </c>
      <c r="AW263" s="60">
        <v>523.35</v>
      </c>
      <c r="AX263" s="60">
        <v>523.35</v>
      </c>
      <c r="AY263" s="61">
        <f t="shared" si="100"/>
        <v>3140.1</v>
      </c>
      <c r="AZ263" s="56">
        <f t="shared" si="95"/>
        <v>6280.2</v>
      </c>
      <c r="BA263" s="62">
        <f t="shared" si="108"/>
        <v>147586.91</v>
      </c>
      <c r="BB263" s="62">
        <f t="shared" si="101"/>
        <v>128746.20000000014</v>
      </c>
      <c r="BC263" s="62">
        <f t="shared" si="112"/>
        <v>18840.709999999861</v>
      </c>
      <c r="BD263" s="63">
        <v>21980.810000000023</v>
      </c>
      <c r="BE263" s="57">
        <f t="shared" ref="BE263:BE269" si="119">BD263*2.2%</f>
        <v>483.57782000000054</v>
      </c>
      <c r="BF263" s="35" t="str">
        <f>VLOOKUP(A:A,'2023-2027'!A:G,1,+FALSE)</f>
        <v>Балок 2004г</v>
      </c>
      <c r="BG263" s="7" t="b">
        <f t="shared" si="105"/>
        <v>1</v>
      </c>
      <c r="BH263" s="35">
        <f>VLOOKUP(A:A,'2023-2027'!A:AT,43,+FALSE)</f>
        <v>1054.0300000000002</v>
      </c>
    </row>
    <row r="264" spans="1:60" ht="12" hidden="1" customHeight="1" outlineLevel="1" x14ac:dyDescent="0.2">
      <c r="A264" s="59" t="s">
        <v>719</v>
      </c>
      <c r="B264" s="59" t="s">
        <v>79</v>
      </c>
      <c r="C264" s="59" t="s">
        <v>79</v>
      </c>
      <c r="D264" s="66" t="s">
        <v>720</v>
      </c>
      <c r="E264" s="59" t="s">
        <v>721</v>
      </c>
      <c r="F264" s="60">
        <v>135023.92000000001</v>
      </c>
      <c r="G264" s="60">
        <v>113077.09</v>
      </c>
      <c r="H264" s="60">
        <v>21946.83</v>
      </c>
      <c r="I264" s="59"/>
      <c r="J264" s="60">
        <v>3657.84</v>
      </c>
      <c r="K264" s="59"/>
      <c r="L264" s="59"/>
      <c r="M264" s="60">
        <v>135023.92000000001</v>
      </c>
      <c r="N264" s="60">
        <v>116734.93</v>
      </c>
      <c r="O264" s="60">
        <v>18288.990000000002</v>
      </c>
      <c r="P264" s="55">
        <v>20117.91</v>
      </c>
      <c r="Q264" s="55">
        <f t="shared" si="116"/>
        <v>442.59402000000006</v>
      </c>
      <c r="R264" s="61">
        <f t="shared" si="96"/>
        <v>304.82</v>
      </c>
      <c r="S264" s="60">
        <v>304.82</v>
      </c>
      <c r="T264" s="60">
        <v>304.82</v>
      </c>
      <c r="U264" s="60">
        <v>304.82</v>
      </c>
      <c r="V264" s="60">
        <v>304.82</v>
      </c>
      <c r="W264" s="60">
        <v>304.82</v>
      </c>
      <c r="X264" s="61">
        <f t="shared" si="97"/>
        <v>1828.9199999999998</v>
      </c>
      <c r="Y264" s="60">
        <v>304.82</v>
      </c>
      <c r="Z264" s="60">
        <v>304.82</v>
      </c>
      <c r="AA264" s="60">
        <v>304.82</v>
      </c>
      <c r="AB264" s="60">
        <v>304.82</v>
      </c>
      <c r="AC264" s="60">
        <v>304.82</v>
      </c>
      <c r="AD264" s="60">
        <v>304.82</v>
      </c>
      <c r="AE264" s="61">
        <f t="shared" si="98"/>
        <v>1828.9199999999998</v>
      </c>
      <c r="AF264" s="62">
        <f t="shared" si="114"/>
        <v>135023.92000000001</v>
      </c>
      <c r="AG264" s="62">
        <f t="shared" si="115"/>
        <v>120392.77000000008</v>
      </c>
      <c r="AH264" s="62">
        <f t="shared" si="102"/>
        <v>14631.149999999936</v>
      </c>
      <c r="AI264" s="63">
        <v>16460.069999999982</v>
      </c>
      <c r="AJ264" s="63">
        <f t="shared" si="117"/>
        <v>362.12153999999964</v>
      </c>
      <c r="AK264" s="72">
        <f t="shared" si="118"/>
        <v>362.12153999999964</v>
      </c>
      <c r="AL264" s="60">
        <v>304.82</v>
      </c>
      <c r="AM264" s="60">
        <v>304.82</v>
      </c>
      <c r="AN264" s="60">
        <v>304.82</v>
      </c>
      <c r="AO264" s="60">
        <v>304.82</v>
      </c>
      <c r="AP264" s="60">
        <v>304.82</v>
      </c>
      <c r="AQ264" s="60">
        <v>304.82</v>
      </c>
      <c r="AR264" s="61">
        <f t="shared" si="99"/>
        <v>1828.9199999999998</v>
      </c>
      <c r="AS264" s="60">
        <v>304.82</v>
      </c>
      <c r="AT264" s="60">
        <v>304.82</v>
      </c>
      <c r="AU264" s="60">
        <v>304.82</v>
      </c>
      <c r="AV264" s="60">
        <v>304.82</v>
      </c>
      <c r="AW264" s="60">
        <v>304.82</v>
      </c>
      <c r="AX264" s="60">
        <v>304.82</v>
      </c>
      <c r="AY264" s="61">
        <f t="shared" si="100"/>
        <v>1828.9199999999998</v>
      </c>
      <c r="AZ264" s="56">
        <f t="shared" si="95"/>
        <v>3657.8399999999997</v>
      </c>
      <c r="BA264" s="62">
        <f t="shared" si="108"/>
        <v>135023.92000000001</v>
      </c>
      <c r="BB264" s="62">
        <f t="shared" si="101"/>
        <v>124050.61000000016</v>
      </c>
      <c r="BC264" s="62">
        <f t="shared" si="112"/>
        <v>10973.309999999852</v>
      </c>
      <c r="BD264" s="63">
        <v>12802.22999999994</v>
      </c>
      <c r="BE264" s="57">
        <f t="shared" si="119"/>
        <v>281.64905999999871</v>
      </c>
      <c r="BF264" s="35" t="str">
        <f>VLOOKUP(A:A,'2023-2027'!A:G,1,+FALSE)</f>
        <v>Балок Геолог деревянный 1991г</v>
      </c>
      <c r="BG264" s="7" t="b">
        <f t="shared" si="105"/>
        <v>1</v>
      </c>
      <c r="BH264" s="35">
        <f>VLOOKUP(A:A,'2023-2027'!A:AT,43,+FALSE)</f>
        <v>1054.0300000000002</v>
      </c>
    </row>
    <row r="265" spans="1:60" ht="12" hidden="1" customHeight="1" outlineLevel="1" x14ac:dyDescent="0.2">
      <c r="A265" s="59" t="s">
        <v>722</v>
      </c>
      <c r="B265" s="59" t="s">
        <v>79</v>
      </c>
      <c r="C265" s="59" t="s">
        <v>79</v>
      </c>
      <c r="D265" s="66" t="s">
        <v>723</v>
      </c>
      <c r="E265" s="59" t="s">
        <v>724</v>
      </c>
      <c r="F265" s="60">
        <v>164373.92000000001</v>
      </c>
      <c r="G265" s="60">
        <v>135296.45000000001</v>
      </c>
      <c r="H265" s="60">
        <v>29077.47</v>
      </c>
      <c r="I265" s="59"/>
      <c r="J265" s="60">
        <v>4846.2</v>
      </c>
      <c r="K265" s="59"/>
      <c r="L265" s="59"/>
      <c r="M265" s="60">
        <v>164373.92000000001</v>
      </c>
      <c r="N265" s="60">
        <v>140142.65</v>
      </c>
      <c r="O265" s="60">
        <v>24231.27</v>
      </c>
      <c r="P265" s="55">
        <v>26654.37</v>
      </c>
      <c r="Q265" s="55">
        <f t="shared" si="116"/>
        <v>586.39614000000006</v>
      </c>
      <c r="R265" s="61">
        <f t="shared" si="96"/>
        <v>403.84999999999997</v>
      </c>
      <c r="S265" s="60">
        <v>403.85</v>
      </c>
      <c r="T265" s="60">
        <v>403.85</v>
      </c>
      <c r="U265" s="60">
        <v>403.85</v>
      </c>
      <c r="V265" s="60">
        <v>403.85</v>
      </c>
      <c r="W265" s="60">
        <v>403.85</v>
      </c>
      <c r="X265" s="61">
        <f t="shared" si="97"/>
        <v>2423.1</v>
      </c>
      <c r="Y265" s="60">
        <v>403.85</v>
      </c>
      <c r="Z265" s="60">
        <v>403.85</v>
      </c>
      <c r="AA265" s="60">
        <v>403.85</v>
      </c>
      <c r="AB265" s="60">
        <v>403.85</v>
      </c>
      <c r="AC265" s="60">
        <v>403.85</v>
      </c>
      <c r="AD265" s="60">
        <v>403.85</v>
      </c>
      <c r="AE265" s="61">
        <f t="shared" si="98"/>
        <v>2423.1</v>
      </c>
      <c r="AF265" s="62">
        <f t="shared" si="114"/>
        <v>164373.92000000001</v>
      </c>
      <c r="AG265" s="62">
        <f t="shared" si="115"/>
        <v>144988.85000000006</v>
      </c>
      <c r="AH265" s="62">
        <f t="shared" si="102"/>
        <v>19385.069999999949</v>
      </c>
      <c r="AI265" s="63">
        <v>21808.169999999984</v>
      </c>
      <c r="AJ265" s="63">
        <f t="shared" si="117"/>
        <v>479.77973999999966</v>
      </c>
      <c r="AK265" s="72">
        <f t="shared" si="118"/>
        <v>479.77973999999966</v>
      </c>
      <c r="AL265" s="60">
        <v>403.85</v>
      </c>
      <c r="AM265" s="60">
        <v>403.85</v>
      </c>
      <c r="AN265" s="60">
        <v>403.85</v>
      </c>
      <c r="AO265" s="60">
        <v>403.85</v>
      </c>
      <c r="AP265" s="60">
        <v>403.85</v>
      </c>
      <c r="AQ265" s="60">
        <v>403.85</v>
      </c>
      <c r="AR265" s="61">
        <f t="shared" si="99"/>
        <v>2423.1</v>
      </c>
      <c r="AS265" s="60">
        <v>403.85</v>
      </c>
      <c r="AT265" s="60">
        <v>403.85</v>
      </c>
      <c r="AU265" s="60">
        <v>403.85</v>
      </c>
      <c r="AV265" s="60">
        <v>403.85</v>
      </c>
      <c r="AW265" s="60">
        <v>403.85</v>
      </c>
      <c r="AX265" s="60">
        <v>403.85</v>
      </c>
      <c r="AY265" s="61">
        <f t="shared" si="100"/>
        <v>2423.1</v>
      </c>
      <c r="AZ265" s="56">
        <f t="shared" si="95"/>
        <v>4846.2</v>
      </c>
      <c r="BA265" s="62">
        <f t="shared" si="108"/>
        <v>164373.92000000001</v>
      </c>
      <c r="BB265" s="62">
        <f t="shared" si="101"/>
        <v>149835.05000000013</v>
      </c>
      <c r="BC265" s="62">
        <f t="shared" si="112"/>
        <v>14538.869999999879</v>
      </c>
      <c r="BD265" s="63">
        <v>16961.969999999958</v>
      </c>
      <c r="BE265" s="57">
        <f t="shared" si="119"/>
        <v>373.1633399999991</v>
      </c>
      <c r="BF265" s="35" t="str">
        <f>VLOOKUP(A:A,'2023-2027'!A:G,1,+FALSE)</f>
        <v>Балок Геолог деревянный 1994г.</v>
      </c>
      <c r="BG265" s="7" t="b">
        <f t="shared" si="105"/>
        <v>1</v>
      </c>
      <c r="BH265" s="35">
        <f>VLOOKUP(A:A,'2023-2027'!A:AT,43,+FALSE)</f>
        <v>1054.0300000000002</v>
      </c>
    </row>
    <row r="266" spans="1:60" ht="12" hidden="1" customHeight="1" outlineLevel="1" x14ac:dyDescent="0.2">
      <c r="A266" s="59" t="s">
        <v>725</v>
      </c>
      <c r="B266" s="59" t="s">
        <v>79</v>
      </c>
      <c r="C266" s="59" t="s">
        <v>79</v>
      </c>
      <c r="D266" s="65" t="s">
        <v>726</v>
      </c>
      <c r="E266" s="59" t="s">
        <v>243</v>
      </c>
      <c r="F266" s="60">
        <v>4462.84</v>
      </c>
      <c r="G266" s="60">
        <v>4462.84</v>
      </c>
      <c r="H266" s="59"/>
      <c r="I266" s="59"/>
      <c r="J266" s="59"/>
      <c r="K266" s="60">
        <v>4462.84</v>
      </c>
      <c r="L266" s="60">
        <v>4462.84</v>
      </c>
      <c r="M266" s="59"/>
      <c r="N266" s="59"/>
      <c r="O266" s="59"/>
      <c r="P266" s="67"/>
      <c r="Q266" s="67"/>
      <c r="R266" s="61">
        <f t="shared" si="96"/>
        <v>0</v>
      </c>
      <c r="S266" s="60">
        <v>0</v>
      </c>
      <c r="T266" s="60">
        <v>0</v>
      </c>
      <c r="U266" s="60">
        <v>0</v>
      </c>
      <c r="V266" s="60">
        <v>0</v>
      </c>
      <c r="W266" s="60">
        <v>0</v>
      </c>
      <c r="X266" s="61">
        <f t="shared" si="97"/>
        <v>0</v>
      </c>
      <c r="Y266" s="60">
        <v>0</v>
      </c>
      <c r="Z266" s="60">
        <v>0</v>
      </c>
      <c r="AA266" s="60">
        <v>0</v>
      </c>
      <c r="AB266" s="60">
        <v>0</v>
      </c>
      <c r="AC266" s="60">
        <v>0</v>
      </c>
      <c r="AD266" s="60">
        <v>0</v>
      </c>
      <c r="AE266" s="61">
        <f t="shared" si="98"/>
        <v>0</v>
      </c>
      <c r="AF266" s="62">
        <f t="shared" si="114"/>
        <v>0</v>
      </c>
      <c r="AG266" s="62">
        <f t="shared" si="115"/>
        <v>0</v>
      </c>
      <c r="AH266" s="62">
        <f t="shared" si="102"/>
        <v>0</v>
      </c>
      <c r="AI266" s="63"/>
      <c r="AJ266" s="63">
        <f t="shared" si="117"/>
        <v>0</v>
      </c>
      <c r="AK266" s="62"/>
      <c r="AL266" s="60">
        <v>0</v>
      </c>
      <c r="AM266" s="60">
        <v>0</v>
      </c>
      <c r="AN266" s="60">
        <v>0</v>
      </c>
      <c r="AO266" s="60">
        <v>0</v>
      </c>
      <c r="AP266" s="60">
        <v>0</v>
      </c>
      <c r="AQ266" s="60">
        <v>0</v>
      </c>
      <c r="AR266" s="61">
        <f t="shared" si="99"/>
        <v>0</v>
      </c>
      <c r="AS266" s="60">
        <v>0</v>
      </c>
      <c r="AT266" s="60">
        <v>0</v>
      </c>
      <c r="AU266" s="60">
        <v>0</v>
      </c>
      <c r="AV266" s="60">
        <v>0</v>
      </c>
      <c r="AW266" s="60">
        <v>0</v>
      </c>
      <c r="AX266" s="60">
        <v>0</v>
      </c>
      <c r="AY266" s="61">
        <f t="shared" si="100"/>
        <v>0</v>
      </c>
      <c r="AZ266" s="56">
        <f t="shared" ref="AZ266:AZ329" si="120">AR266+AY266</f>
        <v>0</v>
      </c>
      <c r="BA266" s="62">
        <f t="shared" si="108"/>
        <v>0</v>
      </c>
      <c r="BB266" s="62">
        <f t="shared" si="101"/>
        <v>0</v>
      </c>
      <c r="BC266" s="62">
        <f t="shared" si="112"/>
        <v>0</v>
      </c>
      <c r="BD266" s="63"/>
      <c r="BE266" s="57"/>
      <c r="BF266" s="35" t="e">
        <f>VLOOKUP(A:A,'2023-2027'!A:G,1,+FALSE)</f>
        <v>#N/A</v>
      </c>
      <c r="BG266" s="7" t="e">
        <f t="shared" si="105"/>
        <v>#N/A</v>
      </c>
      <c r="BH266" s="35"/>
    </row>
    <row r="267" spans="1:60" ht="12" customHeight="1" outlineLevel="1" x14ac:dyDescent="0.2">
      <c r="A267" s="59" t="s">
        <v>727</v>
      </c>
      <c r="B267" s="59" t="s">
        <v>79</v>
      </c>
      <c r="C267" s="59" t="s">
        <v>79</v>
      </c>
      <c r="D267" s="66" t="s">
        <v>728</v>
      </c>
      <c r="E267" s="59" t="s">
        <v>729</v>
      </c>
      <c r="F267" s="60">
        <v>2090658.5</v>
      </c>
      <c r="G267" s="60">
        <v>1406839.42</v>
      </c>
      <c r="H267" s="60">
        <v>683819.08</v>
      </c>
      <c r="I267" s="59"/>
      <c r="J267" s="60">
        <v>52266.48</v>
      </c>
      <c r="K267" s="59"/>
      <c r="L267" s="59"/>
      <c r="M267" s="60">
        <v>2090658.5</v>
      </c>
      <c r="N267" s="60">
        <v>1459105.9</v>
      </c>
      <c r="O267" s="60">
        <v>631552.6</v>
      </c>
      <c r="P267" s="55">
        <v>657685.84</v>
      </c>
      <c r="Q267" s="55">
        <f t="shared" ref="Q267:Q269" si="121">P267*2.2%</f>
        <v>14469.08848</v>
      </c>
      <c r="R267" s="61">
        <f t="shared" ref="R267:R330" si="122">J267/12</f>
        <v>4355.54</v>
      </c>
      <c r="S267" s="60">
        <v>4355.54</v>
      </c>
      <c r="T267" s="60">
        <v>4355.54</v>
      </c>
      <c r="U267" s="60">
        <v>4355.54</v>
      </c>
      <c r="V267" s="60">
        <v>4355.54</v>
      </c>
      <c r="W267" s="60">
        <v>4355.54</v>
      </c>
      <c r="X267" s="61">
        <f t="shared" ref="X267:X330" si="123">R267+S267+T267+U267+V267+W267</f>
        <v>26133.24</v>
      </c>
      <c r="Y267" s="60">
        <v>4355.54</v>
      </c>
      <c r="Z267" s="60">
        <v>4355.54</v>
      </c>
      <c r="AA267" s="60">
        <v>4355.54</v>
      </c>
      <c r="AB267" s="60">
        <v>4355.54</v>
      </c>
      <c r="AC267" s="60">
        <v>4355.54</v>
      </c>
      <c r="AD267" s="60">
        <v>4355.54</v>
      </c>
      <c r="AE267" s="99">
        <f>Y267+Z267+AA267+AB267+AC267+AD267</f>
        <v>26133.24</v>
      </c>
      <c r="AF267" s="62">
        <f t="shared" si="114"/>
        <v>2090658.5</v>
      </c>
      <c r="AG267" s="62">
        <f t="shared" si="115"/>
        <v>1511372.3800000004</v>
      </c>
      <c r="AH267" s="62">
        <f t="shared" si="102"/>
        <v>579286.11999999965</v>
      </c>
      <c r="AI267" s="63">
        <v>605419.36000000045</v>
      </c>
      <c r="AJ267" s="63">
        <f t="shared" si="117"/>
        <v>13319.225920000012</v>
      </c>
      <c r="AK267" s="62"/>
      <c r="AL267" s="60">
        <v>4355.54</v>
      </c>
      <c r="AM267" s="60">
        <v>4355.54</v>
      </c>
      <c r="AN267" s="60">
        <v>4355.54</v>
      </c>
      <c r="AO267" s="60">
        <v>4355.54</v>
      </c>
      <c r="AP267" s="60">
        <v>4355.54</v>
      </c>
      <c r="AQ267" s="60">
        <v>4355.54</v>
      </c>
      <c r="AR267" s="61">
        <f t="shared" ref="AR267:AR330" si="124">AL267+AM267+AN267+AO267+AP267+AQ267</f>
        <v>26133.24</v>
      </c>
      <c r="AS267" s="60">
        <v>4355.54</v>
      </c>
      <c r="AT267" s="60">
        <v>4355.54</v>
      </c>
      <c r="AU267" s="60">
        <v>4355.54</v>
      </c>
      <c r="AV267" s="60">
        <v>4355.54</v>
      </c>
      <c r="AW267" s="60">
        <v>4355.54</v>
      </c>
      <c r="AX267" s="60">
        <v>4355.54</v>
      </c>
      <c r="AY267" s="61">
        <f t="shared" ref="AY267:AY330" si="125">AS267+AT267+AU267+AV267+AW267+AX267</f>
        <v>26133.24</v>
      </c>
      <c r="AZ267" s="56">
        <f t="shared" si="120"/>
        <v>52266.48</v>
      </c>
      <c r="BA267" s="62">
        <f t="shared" si="108"/>
        <v>2090658.5</v>
      </c>
      <c r="BB267" s="62">
        <f t="shared" ref="BB267:BB330" si="126">AG267+AL267+AM267+AN267+AO267+AP267+AQ267+AS267+AT267+AU267+AV267+AW267+AX267</f>
        <v>1563638.8600000008</v>
      </c>
      <c r="BC267" s="62">
        <f t="shared" si="112"/>
        <v>527019.6399999992</v>
      </c>
      <c r="BD267" s="63">
        <v>553152.88000000129</v>
      </c>
      <c r="BE267" s="57">
        <f t="shared" si="119"/>
        <v>12169.36336000003</v>
      </c>
      <c r="BF267" s="35" t="str">
        <f>VLOOKUP(A:A,'2023-2027'!A:G,1,+FALSE)</f>
        <v>Здание  конторы  1976г.</v>
      </c>
      <c r="BG267" s="7" t="b">
        <f t="shared" si="105"/>
        <v>1</v>
      </c>
      <c r="BH267" s="35">
        <f>VLOOKUP(A:A,'2023-2027'!A:AT,43,+FALSE)</f>
        <v>10596.031730469689</v>
      </c>
    </row>
    <row r="268" spans="1:60" ht="12" hidden="1" customHeight="1" outlineLevel="1" x14ac:dyDescent="0.2">
      <c r="A268" s="59" t="s">
        <v>730</v>
      </c>
      <c r="B268" s="59" t="s">
        <v>79</v>
      </c>
      <c r="C268" s="59" t="s">
        <v>79</v>
      </c>
      <c r="D268" s="66" t="s">
        <v>731</v>
      </c>
      <c r="E268" s="59" t="s">
        <v>732</v>
      </c>
      <c r="F268" s="60">
        <v>826047.9</v>
      </c>
      <c r="G268" s="60">
        <v>747270.3</v>
      </c>
      <c r="H268" s="60">
        <v>78777.600000000006</v>
      </c>
      <c r="I268" s="59"/>
      <c r="J268" s="60">
        <v>13129.56</v>
      </c>
      <c r="K268" s="59"/>
      <c r="L268" s="59"/>
      <c r="M268" s="60">
        <v>826047.9</v>
      </c>
      <c r="N268" s="60">
        <v>760399.86</v>
      </c>
      <c r="O268" s="60">
        <v>65648.039999999994</v>
      </c>
      <c r="P268" s="55">
        <v>72212.820000000007</v>
      </c>
      <c r="Q268" s="55">
        <f t="shared" si="121"/>
        <v>1588.6820400000004</v>
      </c>
      <c r="R268" s="61">
        <f t="shared" si="122"/>
        <v>1094.1299999999999</v>
      </c>
      <c r="S268" s="60">
        <v>1094.1300000000001</v>
      </c>
      <c r="T268" s="60">
        <v>1094.1300000000001</v>
      </c>
      <c r="U268" s="60">
        <v>1094.1300000000001</v>
      </c>
      <c r="V268" s="60">
        <v>1094.1300000000001</v>
      </c>
      <c r="W268" s="60">
        <v>1094.1300000000001</v>
      </c>
      <c r="X268" s="61">
        <f t="shared" si="123"/>
        <v>6564.7800000000007</v>
      </c>
      <c r="Y268" s="60">
        <v>1094.1300000000001</v>
      </c>
      <c r="Z268" s="60">
        <v>1094.1300000000001</v>
      </c>
      <c r="AA268" s="60">
        <v>1094.1300000000001</v>
      </c>
      <c r="AB268" s="60">
        <v>1094.1300000000001</v>
      </c>
      <c r="AC268" s="60">
        <v>1094.1300000000001</v>
      </c>
      <c r="AD268" s="60">
        <v>1094.1300000000001</v>
      </c>
      <c r="AE268" s="61">
        <f t="shared" ref="AE268:AE330" si="127">Y268+Z268+AA268+AB268+AC268+AD268</f>
        <v>6564.7800000000007</v>
      </c>
      <c r="AF268" s="62">
        <f t="shared" si="114"/>
        <v>826047.9</v>
      </c>
      <c r="AG268" s="62">
        <f t="shared" si="115"/>
        <v>773529.42</v>
      </c>
      <c r="AH268" s="62">
        <f t="shared" si="102"/>
        <v>52518.479999999981</v>
      </c>
      <c r="AI268" s="63">
        <v>59083.259999999973</v>
      </c>
      <c r="AJ268" s="63">
        <f t="shared" si="117"/>
        <v>1299.8317199999995</v>
      </c>
      <c r="AK268" s="62"/>
      <c r="AL268" s="60">
        <v>1094.1300000000001</v>
      </c>
      <c r="AM268" s="60">
        <v>1094.1300000000001</v>
      </c>
      <c r="AN268" s="60">
        <v>1094.1300000000001</v>
      </c>
      <c r="AO268" s="60">
        <v>1094.1300000000001</v>
      </c>
      <c r="AP268" s="60">
        <v>1094.1300000000001</v>
      </c>
      <c r="AQ268" s="60">
        <v>1094.1300000000001</v>
      </c>
      <c r="AR268" s="61">
        <f t="shared" si="124"/>
        <v>6564.7800000000007</v>
      </c>
      <c r="AS268" s="60">
        <v>1094.1300000000001</v>
      </c>
      <c r="AT268" s="60">
        <v>1094.1300000000001</v>
      </c>
      <c r="AU268" s="60">
        <v>1094.1300000000001</v>
      </c>
      <c r="AV268" s="60">
        <v>1094.1300000000001</v>
      </c>
      <c r="AW268" s="60">
        <v>1094.1300000000001</v>
      </c>
      <c r="AX268" s="60">
        <v>1094.1300000000001</v>
      </c>
      <c r="AY268" s="61">
        <f t="shared" si="125"/>
        <v>6564.7800000000007</v>
      </c>
      <c r="AZ268" s="56">
        <f t="shared" si="120"/>
        <v>13129.560000000001</v>
      </c>
      <c r="BA268" s="62">
        <f t="shared" si="108"/>
        <v>826047.9</v>
      </c>
      <c r="BB268" s="62">
        <f t="shared" si="126"/>
        <v>786658.9800000001</v>
      </c>
      <c r="BC268" s="62">
        <f t="shared" si="112"/>
        <v>39388.919999999925</v>
      </c>
      <c r="BD268" s="63">
        <v>45953.69999999991</v>
      </c>
      <c r="BE268" s="57">
        <f t="shared" si="119"/>
        <v>1010.9813999999981</v>
      </c>
      <c r="BF268" s="35" t="str">
        <f>VLOOKUP(A:A,'2023-2027'!A:G,1,+FALSE)</f>
        <v>Здание конторы  1996г.</v>
      </c>
      <c r="BG268" s="7" t="b">
        <f t="shared" si="105"/>
        <v>1</v>
      </c>
      <c r="BH268" s="35">
        <f>VLOOKUP(A:A,'2023-2027'!A:AT,43,+FALSE)</f>
        <v>9552.2129444444436</v>
      </c>
    </row>
    <row r="269" spans="1:60" ht="12" hidden="1" customHeight="1" outlineLevel="1" x14ac:dyDescent="0.2">
      <c r="A269" s="59" t="s">
        <v>733</v>
      </c>
      <c r="B269" s="59" t="s">
        <v>79</v>
      </c>
      <c r="C269" s="59" t="s">
        <v>79</v>
      </c>
      <c r="D269" s="66" t="s">
        <v>734</v>
      </c>
      <c r="E269" s="59" t="s">
        <v>735</v>
      </c>
      <c r="F269" s="60">
        <v>3591858.71</v>
      </c>
      <c r="G269" s="60">
        <v>1125448.8400000001</v>
      </c>
      <c r="H269" s="60">
        <v>2466409.87</v>
      </c>
      <c r="I269" s="59"/>
      <c r="J269" s="60">
        <v>71837.16</v>
      </c>
      <c r="K269" s="59"/>
      <c r="L269" s="59"/>
      <c r="M269" s="60">
        <v>3591858.71</v>
      </c>
      <c r="N269" s="60">
        <v>1197286</v>
      </c>
      <c r="O269" s="60">
        <v>2394572.71</v>
      </c>
      <c r="P269" s="55">
        <v>2430491.29</v>
      </c>
      <c r="Q269" s="55">
        <f t="shared" si="121"/>
        <v>53470.808380000009</v>
      </c>
      <c r="R269" s="61">
        <f t="shared" si="122"/>
        <v>5986.43</v>
      </c>
      <c r="S269" s="60">
        <v>5986.43</v>
      </c>
      <c r="T269" s="60">
        <v>5986.43</v>
      </c>
      <c r="U269" s="60">
        <v>5986.43</v>
      </c>
      <c r="V269" s="60">
        <v>5986.43</v>
      </c>
      <c r="W269" s="60">
        <v>5986.43</v>
      </c>
      <c r="X269" s="61">
        <f t="shared" si="123"/>
        <v>35918.58</v>
      </c>
      <c r="Y269" s="60">
        <v>5986.43</v>
      </c>
      <c r="Z269" s="60">
        <v>5986.43</v>
      </c>
      <c r="AA269" s="60">
        <v>5986.43</v>
      </c>
      <c r="AB269" s="60">
        <v>5986.43</v>
      </c>
      <c r="AC269" s="60">
        <v>5986.43</v>
      </c>
      <c r="AD269" s="60">
        <v>5986.43</v>
      </c>
      <c r="AE269" s="61">
        <f t="shared" si="127"/>
        <v>35918.58</v>
      </c>
      <c r="AF269" s="62">
        <f t="shared" si="114"/>
        <v>3591858.71</v>
      </c>
      <c r="AG269" s="62">
        <f t="shared" si="115"/>
        <v>1269123.1599999992</v>
      </c>
      <c r="AH269" s="62">
        <f t="shared" si="102"/>
        <v>2322735.5500000007</v>
      </c>
      <c r="AI269" s="63">
        <v>2358654.1299999994</v>
      </c>
      <c r="AJ269" s="63">
        <f t="shared" si="117"/>
        <v>51890.390859999992</v>
      </c>
      <c r="AK269" s="62"/>
      <c r="AL269" s="60">
        <v>5986.43</v>
      </c>
      <c r="AM269" s="60">
        <v>5986.43</v>
      </c>
      <c r="AN269" s="60">
        <v>5986.43</v>
      </c>
      <c r="AO269" s="60">
        <v>5986.43</v>
      </c>
      <c r="AP269" s="60">
        <v>5986.43</v>
      </c>
      <c r="AQ269" s="60">
        <v>5986.43</v>
      </c>
      <c r="AR269" s="61">
        <f t="shared" si="124"/>
        <v>35918.58</v>
      </c>
      <c r="AS269" s="60">
        <v>5986.43</v>
      </c>
      <c r="AT269" s="60">
        <v>5986.43</v>
      </c>
      <c r="AU269" s="60">
        <v>5986.43</v>
      </c>
      <c r="AV269" s="60">
        <v>5986.43</v>
      </c>
      <c r="AW269" s="60">
        <v>5986.43</v>
      </c>
      <c r="AX269" s="60">
        <v>5986.43</v>
      </c>
      <c r="AY269" s="61">
        <f t="shared" si="125"/>
        <v>35918.58</v>
      </c>
      <c r="AZ269" s="56">
        <f t="shared" si="120"/>
        <v>71837.16</v>
      </c>
      <c r="BA269" s="62">
        <f t="shared" si="108"/>
        <v>3591858.71</v>
      </c>
      <c r="BB269" s="62">
        <f t="shared" si="126"/>
        <v>1340960.3199999984</v>
      </c>
      <c r="BC269" s="62">
        <f t="shared" si="112"/>
        <v>2250898.3900000015</v>
      </c>
      <c r="BD269" s="63">
        <v>2286816.9699999969</v>
      </c>
      <c r="BE269" s="57">
        <f t="shared" si="119"/>
        <v>50309.973339999939</v>
      </c>
      <c r="BF269" s="35" t="str">
        <f>VLOOKUP(A:A,'2023-2027'!A:G,1,+FALSE)</f>
        <v>Здание операц зала 2006г</v>
      </c>
      <c r="BG269" s="7" t="b">
        <f t="shared" si="105"/>
        <v>1</v>
      </c>
      <c r="BH269" s="35">
        <f>VLOOKUP(A:A,'2023-2027'!A:AT,43,+FALSE)</f>
        <v>6628.0693486005594</v>
      </c>
    </row>
    <row r="270" spans="1:60" ht="48" hidden="1" customHeight="1" outlineLevel="1" x14ac:dyDescent="0.2">
      <c r="A270" s="59" t="s">
        <v>736</v>
      </c>
      <c r="B270" s="59" t="s">
        <v>79</v>
      </c>
      <c r="C270" s="59" t="s">
        <v>79</v>
      </c>
      <c r="D270" s="66" t="s">
        <v>737</v>
      </c>
      <c r="E270" s="59" t="s">
        <v>424</v>
      </c>
      <c r="F270" s="60">
        <v>128890</v>
      </c>
      <c r="G270" s="59"/>
      <c r="H270" s="60">
        <v>128890</v>
      </c>
      <c r="I270" s="59"/>
      <c r="J270" s="60">
        <v>8592.7199999999993</v>
      </c>
      <c r="K270" s="59"/>
      <c r="L270" s="59"/>
      <c r="M270" s="60">
        <v>128890</v>
      </c>
      <c r="N270" s="60">
        <v>8592.7199999999993</v>
      </c>
      <c r="O270" s="60">
        <v>120297.28</v>
      </c>
      <c r="P270" s="55"/>
      <c r="Q270" s="55"/>
      <c r="R270" s="61">
        <f t="shared" si="122"/>
        <v>716.06</v>
      </c>
      <c r="S270" s="60">
        <v>716.06</v>
      </c>
      <c r="T270" s="60">
        <v>716.06</v>
      </c>
      <c r="U270" s="60">
        <v>716.06</v>
      </c>
      <c r="V270" s="60">
        <v>716.06</v>
      </c>
      <c r="W270" s="60">
        <v>716.06</v>
      </c>
      <c r="X270" s="61">
        <f t="shared" si="123"/>
        <v>4296.3599999999997</v>
      </c>
      <c r="Y270" s="60">
        <v>716.06</v>
      </c>
      <c r="Z270" s="60">
        <v>716.06</v>
      </c>
      <c r="AA270" s="60">
        <v>716.06</v>
      </c>
      <c r="AB270" s="60">
        <v>716.06</v>
      </c>
      <c r="AC270" s="60">
        <v>716.06</v>
      </c>
      <c r="AD270" s="60">
        <v>716.06</v>
      </c>
      <c r="AE270" s="61">
        <f t="shared" si="127"/>
        <v>4296.3599999999997</v>
      </c>
      <c r="AF270" s="62">
        <f t="shared" si="114"/>
        <v>128890</v>
      </c>
      <c r="AG270" s="62">
        <f t="shared" si="115"/>
        <v>17185.439999999995</v>
      </c>
      <c r="AH270" s="62">
        <f t="shared" ref="AH270:AH333" si="128">AF270-AG270</f>
        <v>111704.56</v>
      </c>
      <c r="AI270" s="63"/>
      <c r="AJ270" s="63"/>
      <c r="AK270" s="62"/>
      <c r="AL270" s="60">
        <v>716.06</v>
      </c>
      <c r="AM270" s="60">
        <v>716.06</v>
      </c>
      <c r="AN270" s="60">
        <v>716.06</v>
      </c>
      <c r="AO270" s="60">
        <v>716.06</v>
      </c>
      <c r="AP270" s="60">
        <v>716.06</v>
      </c>
      <c r="AQ270" s="60">
        <v>716.06</v>
      </c>
      <c r="AR270" s="61">
        <f t="shared" si="124"/>
        <v>4296.3599999999997</v>
      </c>
      <c r="AS270" s="60">
        <v>716.06</v>
      </c>
      <c r="AT270" s="60">
        <v>716.06</v>
      </c>
      <c r="AU270" s="60">
        <v>716.06</v>
      </c>
      <c r="AV270" s="60">
        <v>716.06</v>
      </c>
      <c r="AW270" s="60">
        <v>716.06</v>
      </c>
      <c r="AX270" s="60">
        <v>716.06</v>
      </c>
      <c r="AY270" s="61">
        <f t="shared" si="125"/>
        <v>4296.3599999999997</v>
      </c>
      <c r="AZ270" s="56">
        <f t="shared" si="120"/>
        <v>8592.7199999999993</v>
      </c>
      <c r="BA270" s="62">
        <f t="shared" si="108"/>
        <v>128890</v>
      </c>
      <c r="BB270" s="62">
        <f t="shared" si="126"/>
        <v>25778.160000000011</v>
      </c>
      <c r="BC270" s="62">
        <f t="shared" si="112"/>
        <v>103111.84</v>
      </c>
      <c r="BD270" s="63"/>
      <c r="BE270" s="57"/>
      <c r="BF270" s="35" t="str">
        <f>VLOOKUP(A:A,'2023-2027'!A:G,1,+FALSE)</f>
        <v>Комплект мебели для бухгалтерии цвет ЛДСП Ясень анкор светлый (1 шкаф;4 стеллажа;5 столов;4 тумбы)</v>
      </c>
      <c r="BG270" s="7" t="b">
        <f t="shared" si="105"/>
        <v>1</v>
      </c>
      <c r="BH270" s="35">
        <f>VLOOKUP(A:A,'2023-2027'!A:AT,43,+FALSE)</f>
        <v>716.05555555555554</v>
      </c>
    </row>
    <row r="271" spans="1:60" ht="24" hidden="1" customHeight="1" outlineLevel="1" x14ac:dyDescent="0.2">
      <c r="A271" s="59" t="s">
        <v>738</v>
      </c>
      <c r="B271" s="59" t="s">
        <v>79</v>
      </c>
      <c r="C271" s="59" t="s">
        <v>79</v>
      </c>
      <c r="D271" s="65" t="s">
        <v>739</v>
      </c>
      <c r="E271" s="59" t="s">
        <v>211</v>
      </c>
      <c r="F271" s="60">
        <v>45131.360000000001</v>
      </c>
      <c r="G271" s="60">
        <v>31493.96</v>
      </c>
      <c r="H271" s="60">
        <v>13637.4</v>
      </c>
      <c r="I271" s="59"/>
      <c r="J271" s="60">
        <v>1948.2</v>
      </c>
      <c r="K271" s="59"/>
      <c r="L271" s="59"/>
      <c r="M271" s="60">
        <v>45131.360000000001</v>
      </c>
      <c r="N271" s="60">
        <v>33442.160000000003</v>
      </c>
      <c r="O271" s="60">
        <v>11689.2</v>
      </c>
      <c r="P271" s="55"/>
      <c r="Q271" s="55"/>
      <c r="R271" s="61">
        <f t="shared" si="122"/>
        <v>162.35</v>
      </c>
      <c r="S271" s="60">
        <v>162.35</v>
      </c>
      <c r="T271" s="60">
        <v>162.35</v>
      </c>
      <c r="U271" s="60">
        <v>162.35</v>
      </c>
      <c r="V271" s="60">
        <v>162.35</v>
      </c>
      <c r="W271" s="60">
        <v>162.35</v>
      </c>
      <c r="X271" s="61">
        <f t="shared" si="123"/>
        <v>974.1</v>
      </c>
      <c r="Y271" s="60">
        <v>162.35</v>
      </c>
      <c r="Z271" s="60">
        <v>162.35</v>
      </c>
      <c r="AA271" s="60">
        <v>162.35</v>
      </c>
      <c r="AB271" s="60">
        <v>162.35</v>
      </c>
      <c r="AC271" s="60">
        <v>162.35</v>
      </c>
      <c r="AD271" s="60">
        <v>162.35</v>
      </c>
      <c r="AE271" s="61">
        <f t="shared" si="127"/>
        <v>974.1</v>
      </c>
      <c r="AF271" s="62">
        <f t="shared" si="114"/>
        <v>45131.360000000001</v>
      </c>
      <c r="AG271" s="62">
        <f t="shared" si="115"/>
        <v>35390.359999999986</v>
      </c>
      <c r="AH271" s="62">
        <f t="shared" si="128"/>
        <v>9741.0000000000146</v>
      </c>
      <c r="AI271" s="63"/>
      <c r="AJ271" s="63"/>
      <c r="AK271" s="62"/>
      <c r="AL271" s="60">
        <v>162.35</v>
      </c>
      <c r="AM271" s="60">
        <v>162.35</v>
      </c>
      <c r="AN271" s="60">
        <v>162.35</v>
      </c>
      <c r="AO271" s="60">
        <v>162.35</v>
      </c>
      <c r="AP271" s="60">
        <v>162.35</v>
      </c>
      <c r="AQ271" s="60">
        <v>162.35</v>
      </c>
      <c r="AR271" s="61">
        <f t="shared" si="124"/>
        <v>974.1</v>
      </c>
      <c r="AS271" s="60">
        <v>162.35</v>
      </c>
      <c r="AT271" s="60">
        <v>162.35</v>
      </c>
      <c r="AU271" s="60">
        <v>162.35</v>
      </c>
      <c r="AV271" s="60">
        <v>162.35</v>
      </c>
      <c r="AW271" s="60">
        <v>162.35</v>
      </c>
      <c r="AX271" s="60">
        <v>162.35</v>
      </c>
      <c r="AY271" s="61">
        <f t="shared" si="125"/>
        <v>974.1</v>
      </c>
      <c r="AZ271" s="56">
        <f t="shared" si="120"/>
        <v>1948.2</v>
      </c>
      <c r="BA271" s="62">
        <f t="shared" si="108"/>
        <v>45131.360000000001</v>
      </c>
      <c r="BB271" s="62">
        <f t="shared" si="126"/>
        <v>37338.559999999969</v>
      </c>
      <c r="BC271" s="62">
        <f t="shared" si="112"/>
        <v>7792.800000000032</v>
      </c>
      <c r="BD271" s="63"/>
      <c r="BE271" s="57"/>
      <c r="BF271" s="35" t="e">
        <f>VLOOKUP(A:A,'2023-2027'!A:G,1,+FALSE)</f>
        <v>#N/A</v>
      </c>
      <c r="BG271" s="7" t="e">
        <f t="shared" si="105"/>
        <v>#N/A</v>
      </c>
      <c r="BH271" s="35"/>
    </row>
    <row r="272" spans="1:60" ht="24" hidden="1" customHeight="1" outlineLevel="1" x14ac:dyDescent="0.2">
      <c r="A272" s="59" t="s">
        <v>740</v>
      </c>
      <c r="B272" s="59" t="s">
        <v>79</v>
      </c>
      <c r="C272" s="59" t="s">
        <v>79</v>
      </c>
      <c r="D272" s="66" t="s">
        <v>741</v>
      </c>
      <c r="E272" s="59" t="s">
        <v>742</v>
      </c>
      <c r="F272" s="60">
        <v>48590</v>
      </c>
      <c r="G272" s="60">
        <v>16552.759999999998</v>
      </c>
      <c r="H272" s="60">
        <v>32037.24</v>
      </c>
      <c r="I272" s="59"/>
      <c r="J272" s="60">
        <v>6407.4</v>
      </c>
      <c r="K272" s="59"/>
      <c r="L272" s="59"/>
      <c r="M272" s="60">
        <v>48590</v>
      </c>
      <c r="N272" s="60">
        <v>22960.16</v>
      </c>
      <c r="O272" s="60">
        <v>25629.84</v>
      </c>
      <c r="P272" s="55"/>
      <c r="Q272" s="55"/>
      <c r="R272" s="61">
        <f t="shared" si="122"/>
        <v>533.94999999999993</v>
      </c>
      <c r="S272" s="60">
        <v>533.95000000000005</v>
      </c>
      <c r="T272" s="60">
        <v>533.95000000000005</v>
      </c>
      <c r="U272" s="60">
        <v>533.95000000000005</v>
      </c>
      <c r="V272" s="60">
        <v>533.95000000000005</v>
      </c>
      <c r="W272" s="60">
        <v>533.95000000000005</v>
      </c>
      <c r="X272" s="61">
        <f t="shared" si="123"/>
        <v>3203.7</v>
      </c>
      <c r="Y272" s="60">
        <v>533.95000000000005</v>
      </c>
      <c r="Z272" s="60">
        <v>533.95000000000005</v>
      </c>
      <c r="AA272" s="60">
        <v>533.95000000000005</v>
      </c>
      <c r="AB272" s="60">
        <v>533.95000000000005</v>
      </c>
      <c r="AC272" s="60">
        <v>533.95000000000005</v>
      </c>
      <c r="AD272" s="60">
        <v>533.95000000000005</v>
      </c>
      <c r="AE272" s="61">
        <f t="shared" si="127"/>
        <v>3203.7</v>
      </c>
      <c r="AF272" s="62">
        <f t="shared" si="114"/>
        <v>48590</v>
      </c>
      <c r="AG272" s="62">
        <f t="shared" si="115"/>
        <v>29367.560000000009</v>
      </c>
      <c r="AH272" s="62">
        <f t="shared" si="128"/>
        <v>19222.439999999991</v>
      </c>
      <c r="AI272" s="63"/>
      <c r="AJ272" s="63"/>
      <c r="AK272" s="62"/>
      <c r="AL272" s="60">
        <v>533.95000000000005</v>
      </c>
      <c r="AM272" s="60">
        <v>533.95000000000005</v>
      </c>
      <c r="AN272" s="60">
        <v>533.95000000000005</v>
      </c>
      <c r="AO272" s="60">
        <v>533.95000000000005</v>
      </c>
      <c r="AP272" s="60">
        <v>533.95000000000005</v>
      </c>
      <c r="AQ272" s="60">
        <v>533.95000000000005</v>
      </c>
      <c r="AR272" s="61">
        <f t="shared" si="124"/>
        <v>3203.7</v>
      </c>
      <c r="AS272" s="60">
        <v>533.95000000000005</v>
      </c>
      <c r="AT272" s="60">
        <v>533.95000000000005</v>
      </c>
      <c r="AU272" s="60">
        <v>533.95000000000005</v>
      </c>
      <c r="AV272" s="60">
        <v>533.95000000000005</v>
      </c>
      <c r="AW272" s="60">
        <v>533.95000000000005</v>
      </c>
      <c r="AX272" s="60">
        <v>533.95000000000005</v>
      </c>
      <c r="AY272" s="61">
        <f t="shared" si="125"/>
        <v>3203.7</v>
      </c>
      <c r="AZ272" s="56">
        <f t="shared" si="120"/>
        <v>6407.4</v>
      </c>
      <c r="BA272" s="62">
        <f t="shared" si="108"/>
        <v>48590</v>
      </c>
      <c r="BB272" s="62">
        <f t="shared" si="126"/>
        <v>35774.959999999999</v>
      </c>
      <c r="BC272" s="62">
        <f t="shared" si="112"/>
        <v>12815.04</v>
      </c>
      <c r="BD272" s="63"/>
      <c r="BE272" s="57"/>
      <c r="BF272" s="35" t="str">
        <f>VLOOKUP(A:A,'2023-2027'!A:G,1,+FALSE)</f>
        <v>Кофемашина Krups EA810770 1450Вт</v>
      </c>
      <c r="BG272" s="7" t="b">
        <f t="shared" si="105"/>
        <v>1</v>
      </c>
      <c r="BH272" s="35">
        <f>VLOOKUP(A:A,'2023-2027'!A:AT,43,+FALSE)</f>
        <v>1349.7199999999998</v>
      </c>
    </row>
    <row r="273" spans="1:60" ht="12" hidden="1" customHeight="1" outlineLevel="1" x14ac:dyDescent="0.2">
      <c r="A273" s="59" t="s">
        <v>743</v>
      </c>
      <c r="B273" s="59" t="s">
        <v>79</v>
      </c>
      <c r="C273" s="59" t="s">
        <v>79</v>
      </c>
      <c r="D273" s="65" t="s">
        <v>744</v>
      </c>
      <c r="E273" s="59" t="s">
        <v>322</v>
      </c>
      <c r="F273" s="60">
        <v>83656</v>
      </c>
      <c r="G273" s="60">
        <v>63971.7</v>
      </c>
      <c r="H273" s="60">
        <v>19684.3</v>
      </c>
      <c r="I273" s="59"/>
      <c r="J273" s="60">
        <v>3936.84</v>
      </c>
      <c r="K273" s="59"/>
      <c r="L273" s="59"/>
      <c r="M273" s="60">
        <v>83656</v>
      </c>
      <c r="N273" s="60">
        <v>67908.539999999994</v>
      </c>
      <c r="O273" s="60">
        <v>15747.46</v>
      </c>
      <c r="P273" s="55"/>
      <c r="Q273" s="55"/>
      <c r="R273" s="61">
        <f t="shared" si="122"/>
        <v>328.07</v>
      </c>
      <c r="S273" s="60">
        <v>328.07</v>
      </c>
      <c r="T273" s="60">
        <v>328.07</v>
      </c>
      <c r="U273" s="60">
        <v>328.07</v>
      </c>
      <c r="V273" s="60">
        <v>328.07</v>
      </c>
      <c r="W273" s="60">
        <v>328.07</v>
      </c>
      <c r="X273" s="61">
        <f t="shared" si="123"/>
        <v>1968.4199999999998</v>
      </c>
      <c r="Y273" s="60">
        <v>328.07</v>
      </c>
      <c r="Z273" s="60">
        <v>328.07</v>
      </c>
      <c r="AA273" s="60">
        <v>328.07</v>
      </c>
      <c r="AB273" s="60">
        <v>328.07</v>
      </c>
      <c r="AC273" s="60">
        <v>328.07</v>
      </c>
      <c r="AD273" s="60">
        <v>328.07</v>
      </c>
      <c r="AE273" s="61">
        <f t="shared" si="127"/>
        <v>1968.4199999999998</v>
      </c>
      <c r="AF273" s="62">
        <f t="shared" si="114"/>
        <v>83656</v>
      </c>
      <c r="AG273" s="62">
        <f t="shared" si="115"/>
        <v>71845.380000000077</v>
      </c>
      <c r="AH273" s="62">
        <f t="shared" si="128"/>
        <v>11810.619999999923</v>
      </c>
      <c r="AI273" s="63"/>
      <c r="AJ273" s="63"/>
      <c r="AK273" s="62"/>
      <c r="AL273" s="60">
        <v>328.07</v>
      </c>
      <c r="AM273" s="60">
        <v>328.07</v>
      </c>
      <c r="AN273" s="60">
        <v>328.07</v>
      </c>
      <c r="AO273" s="60">
        <v>328.07</v>
      </c>
      <c r="AP273" s="60">
        <v>328.07</v>
      </c>
      <c r="AQ273" s="60">
        <v>328.07</v>
      </c>
      <c r="AR273" s="61">
        <f t="shared" si="124"/>
        <v>1968.4199999999998</v>
      </c>
      <c r="AS273" s="60">
        <v>328.07</v>
      </c>
      <c r="AT273" s="60">
        <v>328.07</v>
      </c>
      <c r="AU273" s="60">
        <v>328.07</v>
      </c>
      <c r="AV273" s="60">
        <v>328.07</v>
      </c>
      <c r="AW273" s="60">
        <v>328.07</v>
      </c>
      <c r="AX273" s="60">
        <v>328.07</v>
      </c>
      <c r="AY273" s="61">
        <f t="shared" si="125"/>
        <v>1968.4199999999998</v>
      </c>
      <c r="AZ273" s="56">
        <f t="shared" si="120"/>
        <v>3936.8399999999997</v>
      </c>
      <c r="BA273" s="62">
        <f t="shared" si="108"/>
        <v>83656</v>
      </c>
      <c r="BB273" s="62">
        <f t="shared" si="126"/>
        <v>75782.220000000161</v>
      </c>
      <c r="BC273" s="62">
        <f t="shared" si="112"/>
        <v>7873.7799999998388</v>
      </c>
      <c r="BD273" s="63"/>
      <c r="BE273" s="57"/>
      <c r="BF273" s="35" t="e">
        <f>VLOOKUP(A:A,'2023-2027'!A:G,1,+FALSE)</f>
        <v>#N/A</v>
      </c>
      <c r="BG273" s="7" t="e">
        <f t="shared" si="105"/>
        <v>#N/A</v>
      </c>
      <c r="BH273" s="35"/>
    </row>
    <row r="274" spans="1:60" ht="24" hidden="1" customHeight="1" outlineLevel="1" x14ac:dyDescent="0.2">
      <c r="A274" s="59" t="s">
        <v>745</v>
      </c>
      <c r="B274" s="59" t="s">
        <v>79</v>
      </c>
      <c r="C274" s="59" t="s">
        <v>79</v>
      </c>
      <c r="D274" s="65" t="s">
        <v>746</v>
      </c>
      <c r="E274" s="59" t="s">
        <v>666</v>
      </c>
      <c r="F274" s="60">
        <v>26301.8</v>
      </c>
      <c r="G274" s="60">
        <v>20369.28</v>
      </c>
      <c r="H274" s="60">
        <v>5932.52</v>
      </c>
      <c r="I274" s="59"/>
      <c r="J274" s="60">
        <v>1186.52</v>
      </c>
      <c r="K274" s="59"/>
      <c r="L274" s="59"/>
      <c r="M274" s="60">
        <v>26301.8</v>
      </c>
      <c r="N274" s="60">
        <v>21555.8</v>
      </c>
      <c r="O274" s="60">
        <v>4746</v>
      </c>
      <c r="P274" s="55"/>
      <c r="Q274" s="55"/>
      <c r="R274" s="61">
        <f t="shared" si="122"/>
        <v>98.876666666666665</v>
      </c>
      <c r="S274" s="60">
        <v>98.876666670000006</v>
      </c>
      <c r="T274" s="60">
        <v>98.876666670000006</v>
      </c>
      <c r="U274" s="60">
        <v>98.876666670000006</v>
      </c>
      <c r="V274" s="60">
        <v>98.876666670000006</v>
      </c>
      <c r="W274" s="60">
        <v>98.876666670000006</v>
      </c>
      <c r="X274" s="61">
        <f t="shared" si="123"/>
        <v>593.26000001666671</v>
      </c>
      <c r="Y274" s="60">
        <v>98.876666670000006</v>
      </c>
      <c r="Z274" s="60">
        <v>98.876666670000006</v>
      </c>
      <c r="AA274" s="60">
        <v>98.876666670000006</v>
      </c>
      <c r="AB274" s="60">
        <v>98.876666670000006</v>
      </c>
      <c r="AC274" s="60">
        <v>98.876666670000006</v>
      </c>
      <c r="AD274" s="60">
        <v>98.876666670000006</v>
      </c>
      <c r="AE274" s="61">
        <f t="shared" si="127"/>
        <v>593.26000002000001</v>
      </c>
      <c r="AF274" s="62">
        <f t="shared" si="114"/>
        <v>26301.8</v>
      </c>
      <c r="AG274" s="62">
        <f t="shared" si="115"/>
        <v>22742.32000003666</v>
      </c>
      <c r="AH274" s="62">
        <f t="shared" si="128"/>
        <v>3559.4799999633397</v>
      </c>
      <c r="AI274" s="63"/>
      <c r="AJ274" s="63"/>
      <c r="AK274" s="62"/>
      <c r="AL274" s="60">
        <v>98.876666670000006</v>
      </c>
      <c r="AM274" s="60">
        <v>98.876666670000006</v>
      </c>
      <c r="AN274" s="60">
        <v>98.876666670000006</v>
      </c>
      <c r="AO274" s="60">
        <v>98.876666670000006</v>
      </c>
      <c r="AP274" s="60">
        <v>98.876666670000006</v>
      </c>
      <c r="AQ274" s="60">
        <v>98.876666670000006</v>
      </c>
      <c r="AR274" s="61">
        <f t="shared" si="124"/>
        <v>593.26000002000001</v>
      </c>
      <c r="AS274" s="60">
        <v>98.876666670000006</v>
      </c>
      <c r="AT274" s="60">
        <v>98.876666670000006</v>
      </c>
      <c r="AU274" s="60">
        <v>98.876666670000006</v>
      </c>
      <c r="AV274" s="60">
        <v>98.876666670000006</v>
      </c>
      <c r="AW274" s="60">
        <v>98.876666670000006</v>
      </c>
      <c r="AX274" s="60">
        <v>98.876666670000006</v>
      </c>
      <c r="AY274" s="61">
        <f t="shared" si="125"/>
        <v>593.26000002000001</v>
      </c>
      <c r="AZ274" s="56">
        <f t="shared" si="120"/>
        <v>1186.52000004</v>
      </c>
      <c r="BA274" s="62">
        <f t="shared" si="108"/>
        <v>26301.8</v>
      </c>
      <c r="BB274" s="62">
        <f t="shared" si="126"/>
        <v>23928.840000076652</v>
      </c>
      <c r="BC274" s="62">
        <f t="shared" si="112"/>
        <v>2372.9599999233469</v>
      </c>
      <c r="BD274" s="63"/>
      <c r="BE274" s="57"/>
      <c r="BF274" s="35" t="e">
        <f>VLOOKUP(A:A,'2023-2027'!A:G,1,+FALSE)</f>
        <v>#N/A</v>
      </c>
      <c r="BG274" s="7" t="e">
        <f t="shared" si="105"/>
        <v>#N/A</v>
      </c>
      <c r="BH274" s="35"/>
    </row>
    <row r="275" spans="1:60" ht="24" hidden="1" customHeight="1" outlineLevel="1" x14ac:dyDescent="0.2">
      <c r="A275" s="59" t="s">
        <v>747</v>
      </c>
      <c r="B275" s="59" t="s">
        <v>79</v>
      </c>
      <c r="C275" s="59" t="s">
        <v>79</v>
      </c>
      <c r="D275" s="65" t="s">
        <v>748</v>
      </c>
      <c r="E275" s="59" t="s">
        <v>749</v>
      </c>
      <c r="F275" s="60">
        <v>20128</v>
      </c>
      <c r="G275" s="60">
        <v>20128</v>
      </c>
      <c r="H275" s="59"/>
      <c r="I275" s="59"/>
      <c r="J275" s="59"/>
      <c r="K275" s="60">
        <v>20128</v>
      </c>
      <c r="L275" s="60">
        <v>20128</v>
      </c>
      <c r="M275" s="59"/>
      <c r="N275" s="59"/>
      <c r="O275" s="59"/>
      <c r="P275" s="67"/>
      <c r="Q275" s="67"/>
      <c r="R275" s="61">
        <f t="shared" si="122"/>
        <v>0</v>
      </c>
      <c r="S275" s="60">
        <v>0</v>
      </c>
      <c r="T275" s="60">
        <v>0</v>
      </c>
      <c r="U275" s="60">
        <v>0</v>
      </c>
      <c r="V275" s="60">
        <v>0</v>
      </c>
      <c r="W275" s="60">
        <v>0</v>
      </c>
      <c r="X275" s="61">
        <f t="shared" si="123"/>
        <v>0</v>
      </c>
      <c r="Y275" s="60">
        <v>0</v>
      </c>
      <c r="Z275" s="60">
        <v>0</v>
      </c>
      <c r="AA275" s="60">
        <v>0</v>
      </c>
      <c r="AB275" s="60">
        <v>0</v>
      </c>
      <c r="AC275" s="60">
        <v>0</v>
      </c>
      <c r="AD275" s="60">
        <v>0</v>
      </c>
      <c r="AE275" s="61">
        <f t="shared" si="127"/>
        <v>0</v>
      </c>
      <c r="AF275" s="62">
        <f t="shared" si="114"/>
        <v>0</v>
      </c>
      <c r="AG275" s="62">
        <f t="shared" si="115"/>
        <v>0</v>
      </c>
      <c r="AH275" s="62">
        <f t="shared" si="128"/>
        <v>0</v>
      </c>
      <c r="AI275" s="63"/>
      <c r="AJ275" s="63"/>
      <c r="AK275" s="62"/>
      <c r="AL275" s="60">
        <v>0</v>
      </c>
      <c r="AM275" s="60">
        <v>0</v>
      </c>
      <c r="AN275" s="60">
        <v>0</v>
      </c>
      <c r="AO275" s="60">
        <v>0</v>
      </c>
      <c r="AP275" s="60">
        <v>0</v>
      </c>
      <c r="AQ275" s="60">
        <v>0</v>
      </c>
      <c r="AR275" s="61">
        <f t="shared" si="124"/>
        <v>0</v>
      </c>
      <c r="AS275" s="60">
        <v>0</v>
      </c>
      <c r="AT275" s="60">
        <v>0</v>
      </c>
      <c r="AU275" s="60">
        <v>0</v>
      </c>
      <c r="AV275" s="60">
        <v>0</v>
      </c>
      <c r="AW275" s="60">
        <v>0</v>
      </c>
      <c r="AX275" s="60">
        <v>0</v>
      </c>
      <c r="AY275" s="61">
        <f t="shared" si="125"/>
        <v>0</v>
      </c>
      <c r="AZ275" s="56">
        <f t="shared" si="120"/>
        <v>0</v>
      </c>
      <c r="BA275" s="62">
        <f t="shared" si="108"/>
        <v>0</v>
      </c>
      <c r="BB275" s="62">
        <f t="shared" si="126"/>
        <v>0</v>
      </c>
      <c r="BC275" s="62">
        <f t="shared" si="112"/>
        <v>0</v>
      </c>
      <c r="BD275" s="63"/>
      <c r="BE275" s="57"/>
      <c r="BF275" s="35" t="e">
        <f>VLOOKUP(A:A,'2023-2027'!A:G,1,+FALSE)</f>
        <v>#N/A</v>
      </c>
      <c r="BG275" s="7" t="e">
        <f t="shared" si="105"/>
        <v>#N/A</v>
      </c>
      <c r="BH275" s="35"/>
    </row>
    <row r="276" spans="1:60" ht="24" hidden="1" customHeight="1" outlineLevel="1" x14ac:dyDescent="0.2">
      <c r="A276" s="59" t="s">
        <v>750</v>
      </c>
      <c r="B276" s="59" t="s">
        <v>79</v>
      </c>
      <c r="C276" s="59" t="s">
        <v>79</v>
      </c>
      <c r="D276" s="66" t="s">
        <v>751</v>
      </c>
      <c r="E276" s="59" t="s">
        <v>182</v>
      </c>
      <c r="F276" s="60">
        <v>1011733.62</v>
      </c>
      <c r="G276" s="60">
        <v>573316.5</v>
      </c>
      <c r="H276" s="60">
        <v>438417.12</v>
      </c>
      <c r="I276" s="59"/>
      <c r="J276" s="60">
        <v>40469.279999999999</v>
      </c>
      <c r="K276" s="59"/>
      <c r="L276" s="59"/>
      <c r="M276" s="60">
        <v>1011733.62</v>
      </c>
      <c r="N276" s="60">
        <v>613785.78</v>
      </c>
      <c r="O276" s="60">
        <v>397947.84</v>
      </c>
      <c r="P276" s="55">
        <v>418182.48</v>
      </c>
      <c r="Q276" s="55">
        <f>P276*2.2%</f>
        <v>9200.0145599999996</v>
      </c>
      <c r="R276" s="61">
        <f t="shared" si="122"/>
        <v>3372.44</v>
      </c>
      <c r="S276" s="60">
        <v>3372.44</v>
      </c>
      <c r="T276" s="60">
        <v>3372.44</v>
      </c>
      <c r="U276" s="60">
        <v>3372.44</v>
      </c>
      <c r="V276" s="60">
        <v>3372.44</v>
      </c>
      <c r="W276" s="60">
        <v>3372.44</v>
      </c>
      <c r="X276" s="61">
        <f t="shared" si="123"/>
        <v>20234.64</v>
      </c>
      <c r="Y276" s="60">
        <v>3372.44</v>
      </c>
      <c r="Z276" s="60">
        <v>3372.44</v>
      </c>
      <c r="AA276" s="60">
        <v>3372.44</v>
      </c>
      <c r="AB276" s="60">
        <v>3372.44</v>
      </c>
      <c r="AC276" s="60">
        <v>3372.44</v>
      </c>
      <c r="AD276" s="60">
        <v>3372.44</v>
      </c>
      <c r="AE276" s="61">
        <f t="shared" si="127"/>
        <v>20234.64</v>
      </c>
      <c r="AF276" s="62">
        <f t="shared" si="114"/>
        <v>1011733.62</v>
      </c>
      <c r="AG276" s="62">
        <f t="shared" si="115"/>
        <v>654255.05999999936</v>
      </c>
      <c r="AH276" s="62">
        <f t="shared" si="128"/>
        <v>357478.56000000064</v>
      </c>
      <c r="AI276" s="63">
        <v>377713.19999999995</v>
      </c>
      <c r="AJ276" s="63">
        <f t="shared" ref="AJ276" si="129">AI276*2.2%</f>
        <v>8309.6903999999995</v>
      </c>
      <c r="AK276" s="62"/>
      <c r="AL276" s="60">
        <v>3372.44</v>
      </c>
      <c r="AM276" s="60">
        <v>3372.44</v>
      </c>
      <c r="AN276" s="60">
        <v>3372.44</v>
      </c>
      <c r="AO276" s="60">
        <v>3372.44</v>
      </c>
      <c r="AP276" s="60">
        <v>3372.44</v>
      </c>
      <c r="AQ276" s="60">
        <v>3372.44</v>
      </c>
      <c r="AR276" s="61">
        <f t="shared" si="124"/>
        <v>20234.64</v>
      </c>
      <c r="AS276" s="60">
        <v>3372.44</v>
      </c>
      <c r="AT276" s="60">
        <v>3372.44</v>
      </c>
      <c r="AU276" s="60">
        <v>3372.44</v>
      </c>
      <c r="AV276" s="60">
        <v>3372.44</v>
      </c>
      <c r="AW276" s="60">
        <v>3372.44</v>
      </c>
      <c r="AX276" s="60">
        <v>3372.44</v>
      </c>
      <c r="AY276" s="61">
        <f t="shared" si="125"/>
        <v>20234.64</v>
      </c>
      <c r="AZ276" s="56">
        <f t="shared" si="120"/>
        <v>40469.279999999999</v>
      </c>
      <c r="BA276" s="62">
        <f t="shared" si="108"/>
        <v>1011733.62</v>
      </c>
      <c r="BB276" s="62">
        <f t="shared" si="126"/>
        <v>694724.33999999869</v>
      </c>
      <c r="BC276" s="62">
        <f t="shared" si="112"/>
        <v>317009.28000000131</v>
      </c>
      <c r="BD276" s="63">
        <v>337243.92</v>
      </c>
      <c r="BE276" s="57">
        <f t="shared" ref="BE276" si="130">BD276*2.2%</f>
        <v>7419.3662400000003</v>
      </c>
      <c r="BF276" s="35" t="str">
        <f>VLOOKUP(A:A,'2023-2027'!A:G,1,+FALSE)</f>
        <v>Пристройка архива к существующему зданию</v>
      </c>
      <c r="BG276" s="7" t="b">
        <f t="shared" si="105"/>
        <v>1</v>
      </c>
      <c r="BH276" s="35">
        <f>VLOOKUP(A:A,'2023-2027'!A:AT,43,+FALSE)</f>
        <v>4628.7206433016418</v>
      </c>
    </row>
    <row r="277" spans="1:60" ht="48" hidden="1" customHeight="1" outlineLevel="1" x14ac:dyDescent="0.2">
      <c r="A277" s="59" t="s">
        <v>2442</v>
      </c>
      <c r="B277" s="59" t="s">
        <v>79</v>
      </c>
      <c r="C277" s="59" t="s">
        <v>79</v>
      </c>
      <c r="D277" s="66" t="s">
        <v>752</v>
      </c>
      <c r="E277" s="59" t="s">
        <v>234</v>
      </c>
      <c r="F277" s="60">
        <v>44969.32</v>
      </c>
      <c r="G277" s="60">
        <v>10742.69</v>
      </c>
      <c r="H277" s="60">
        <v>34226.629999999997</v>
      </c>
      <c r="I277" s="59"/>
      <c r="J277" s="60">
        <v>2997.96</v>
      </c>
      <c r="K277" s="59"/>
      <c r="L277" s="59"/>
      <c r="M277" s="60">
        <v>44969.32</v>
      </c>
      <c r="N277" s="60">
        <v>13740.65</v>
      </c>
      <c r="O277" s="60">
        <v>31228.67</v>
      </c>
      <c r="P277" s="55"/>
      <c r="Q277" s="55"/>
      <c r="R277" s="61">
        <f t="shared" si="122"/>
        <v>249.83</v>
      </c>
      <c r="S277" s="60">
        <v>249.83</v>
      </c>
      <c r="T277" s="60">
        <v>249.83</v>
      </c>
      <c r="U277" s="60">
        <v>249.83</v>
      </c>
      <c r="V277" s="60">
        <v>249.83</v>
      </c>
      <c r="W277" s="60">
        <v>249.83</v>
      </c>
      <c r="X277" s="61">
        <f t="shared" si="123"/>
        <v>1498.98</v>
      </c>
      <c r="Y277" s="60">
        <v>249.83</v>
      </c>
      <c r="Z277" s="60">
        <v>249.83</v>
      </c>
      <c r="AA277" s="60">
        <v>249.83</v>
      </c>
      <c r="AB277" s="60">
        <v>249.83</v>
      </c>
      <c r="AC277" s="60">
        <v>249.83</v>
      </c>
      <c r="AD277" s="60">
        <v>249.83</v>
      </c>
      <c r="AE277" s="61">
        <f t="shared" si="127"/>
        <v>1498.98</v>
      </c>
      <c r="AF277" s="62">
        <f t="shared" si="114"/>
        <v>44969.32</v>
      </c>
      <c r="AG277" s="62">
        <f t="shared" si="115"/>
        <v>16738.61</v>
      </c>
      <c r="AH277" s="62">
        <f t="shared" si="128"/>
        <v>28230.71</v>
      </c>
      <c r="AI277" s="63"/>
      <c r="AJ277" s="63"/>
      <c r="AK277" s="62"/>
      <c r="AL277" s="60">
        <v>249.83</v>
      </c>
      <c r="AM277" s="60">
        <v>249.83</v>
      </c>
      <c r="AN277" s="60">
        <v>249.83</v>
      </c>
      <c r="AO277" s="60">
        <v>249.83</v>
      </c>
      <c r="AP277" s="60">
        <v>249.83</v>
      </c>
      <c r="AQ277" s="60">
        <v>249.83</v>
      </c>
      <c r="AR277" s="61">
        <f t="shared" si="124"/>
        <v>1498.98</v>
      </c>
      <c r="AS277" s="60">
        <v>249.83</v>
      </c>
      <c r="AT277" s="60">
        <v>249.83</v>
      </c>
      <c r="AU277" s="60">
        <v>249.83</v>
      </c>
      <c r="AV277" s="60">
        <v>249.83</v>
      </c>
      <c r="AW277" s="60">
        <v>249.83</v>
      </c>
      <c r="AX277" s="60">
        <v>249.83</v>
      </c>
      <c r="AY277" s="61">
        <f t="shared" si="125"/>
        <v>1498.98</v>
      </c>
      <c r="AZ277" s="56">
        <f t="shared" si="120"/>
        <v>2997.96</v>
      </c>
      <c r="BA277" s="62">
        <f t="shared" si="108"/>
        <v>44969.32</v>
      </c>
      <c r="BB277" s="62">
        <f t="shared" si="126"/>
        <v>19736.570000000022</v>
      </c>
      <c r="BC277" s="62">
        <f t="shared" si="112"/>
        <v>25232.749999999978</v>
      </c>
      <c r="BD277" s="63"/>
      <c r="BE277" s="57"/>
      <c r="BF277" s="35" t="str">
        <f>VLOOKUP(A:A,'2023-2027'!A:G,1,+FALSE)</f>
        <v>Система охранно-пожарной сигнализации в помещениях здания бухгалтерии и абонентского отдела ГУП НАО "Нарьян-Марская электростанция"</v>
      </c>
      <c r="BG277" s="7" t="b">
        <f t="shared" si="105"/>
        <v>1</v>
      </c>
      <c r="BH277" s="35">
        <f>VLOOKUP(A:A,'2023-2027'!A:AT,43,+FALSE)</f>
        <v>249.82999999999996</v>
      </c>
    </row>
    <row r="278" spans="1:60" ht="24" hidden="1" customHeight="1" outlineLevel="1" x14ac:dyDescent="0.2">
      <c r="A278" s="59" t="s">
        <v>753</v>
      </c>
      <c r="B278" s="59" t="s">
        <v>79</v>
      </c>
      <c r="C278" s="59" t="s">
        <v>79</v>
      </c>
      <c r="D278" s="65" t="s">
        <v>754</v>
      </c>
      <c r="E278" s="59" t="s">
        <v>749</v>
      </c>
      <c r="F278" s="60">
        <v>24967</v>
      </c>
      <c r="G278" s="60">
        <v>24967</v>
      </c>
      <c r="H278" s="59"/>
      <c r="I278" s="59"/>
      <c r="J278" s="59"/>
      <c r="K278" s="60">
        <v>24967</v>
      </c>
      <c r="L278" s="60">
        <v>24967</v>
      </c>
      <c r="M278" s="59"/>
      <c r="N278" s="59"/>
      <c r="O278" s="59"/>
      <c r="P278" s="67"/>
      <c r="Q278" s="67"/>
      <c r="R278" s="61">
        <f t="shared" si="122"/>
        <v>0</v>
      </c>
      <c r="S278" s="60">
        <v>0</v>
      </c>
      <c r="T278" s="60">
        <v>0</v>
      </c>
      <c r="U278" s="60">
        <v>0</v>
      </c>
      <c r="V278" s="60">
        <v>0</v>
      </c>
      <c r="W278" s="60">
        <v>0</v>
      </c>
      <c r="X278" s="61">
        <f t="shared" si="123"/>
        <v>0</v>
      </c>
      <c r="Y278" s="60">
        <v>0</v>
      </c>
      <c r="Z278" s="60">
        <v>0</v>
      </c>
      <c r="AA278" s="60">
        <v>0</v>
      </c>
      <c r="AB278" s="60">
        <v>0</v>
      </c>
      <c r="AC278" s="60">
        <v>0</v>
      </c>
      <c r="AD278" s="60">
        <v>0</v>
      </c>
      <c r="AE278" s="61">
        <f t="shared" si="127"/>
        <v>0</v>
      </c>
      <c r="AF278" s="62">
        <f t="shared" si="114"/>
        <v>0</v>
      </c>
      <c r="AG278" s="62">
        <f t="shared" si="115"/>
        <v>0</v>
      </c>
      <c r="AH278" s="62">
        <f t="shared" si="128"/>
        <v>0</v>
      </c>
      <c r="AI278" s="63"/>
      <c r="AJ278" s="63"/>
      <c r="AK278" s="62"/>
      <c r="AL278" s="60">
        <v>0</v>
      </c>
      <c r="AM278" s="60">
        <v>0</v>
      </c>
      <c r="AN278" s="60">
        <v>0</v>
      </c>
      <c r="AO278" s="60">
        <v>0</v>
      </c>
      <c r="AP278" s="60">
        <v>0</v>
      </c>
      <c r="AQ278" s="60">
        <v>0</v>
      </c>
      <c r="AR278" s="61">
        <f t="shared" si="124"/>
        <v>0</v>
      </c>
      <c r="AS278" s="60">
        <v>0</v>
      </c>
      <c r="AT278" s="60">
        <v>0</v>
      </c>
      <c r="AU278" s="60">
        <v>0</v>
      </c>
      <c r="AV278" s="60">
        <v>0</v>
      </c>
      <c r="AW278" s="60">
        <v>0</v>
      </c>
      <c r="AX278" s="60">
        <v>0</v>
      </c>
      <c r="AY278" s="61">
        <f t="shared" si="125"/>
        <v>0</v>
      </c>
      <c r="AZ278" s="56">
        <f t="shared" si="120"/>
        <v>0</v>
      </c>
      <c r="BA278" s="62">
        <f t="shared" si="108"/>
        <v>0</v>
      </c>
      <c r="BB278" s="62">
        <f t="shared" si="126"/>
        <v>0</v>
      </c>
      <c r="BC278" s="62">
        <f t="shared" si="112"/>
        <v>0</v>
      </c>
      <c r="BD278" s="63"/>
      <c r="BE278" s="57"/>
      <c r="BF278" s="35" t="e">
        <f>VLOOKUP(A:A,'2023-2027'!A:G,1,+FALSE)</f>
        <v>#N/A</v>
      </c>
      <c r="BG278" s="7" t="e">
        <f t="shared" ref="BG278:BG341" si="131">OR(EXACT(BF278,$A$4:$A$1071))</f>
        <v>#N/A</v>
      </c>
      <c r="BH278" s="35"/>
    </row>
    <row r="279" spans="1:60" ht="12" hidden="1" customHeight="1" outlineLevel="1" x14ac:dyDescent="0.2">
      <c r="A279" s="59" t="s">
        <v>755</v>
      </c>
      <c r="B279" s="59" t="s">
        <v>79</v>
      </c>
      <c r="C279" s="59" t="s">
        <v>79</v>
      </c>
      <c r="D279" s="65" t="s">
        <v>756</v>
      </c>
      <c r="E279" s="59" t="s">
        <v>757</v>
      </c>
      <c r="F279" s="60">
        <v>6000</v>
      </c>
      <c r="G279" s="60">
        <v>6000</v>
      </c>
      <c r="H279" s="59"/>
      <c r="I279" s="59"/>
      <c r="J279" s="59"/>
      <c r="K279" s="60">
        <v>6000</v>
      </c>
      <c r="L279" s="60">
        <v>6000</v>
      </c>
      <c r="M279" s="59"/>
      <c r="N279" s="59"/>
      <c r="O279" s="59"/>
      <c r="P279" s="67"/>
      <c r="Q279" s="67"/>
      <c r="R279" s="61">
        <f t="shared" si="122"/>
        <v>0</v>
      </c>
      <c r="S279" s="60">
        <v>0</v>
      </c>
      <c r="T279" s="60">
        <v>0</v>
      </c>
      <c r="U279" s="60">
        <v>0</v>
      </c>
      <c r="V279" s="60">
        <v>0</v>
      </c>
      <c r="W279" s="60">
        <v>0</v>
      </c>
      <c r="X279" s="61">
        <f t="shared" si="123"/>
        <v>0</v>
      </c>
      <c r="Y279" s="60">
        <v>0</v>
      </c>
      <c r="Z279" s="60">
        <v>0</v>
      </c>
      <c r="AA279" s="60">
        <v>0</v>
      </c>
      <c r="AB279" s="60">
        <v>0</v>
      </c>
      <c r="AC279" s="60">
        <v>0</v>
      </c>
      <c r="AD279" s="60">
        <v>0</v>
      </c>
      <c r="AE279" s="61">
        <f t="shared" si="127"/>
        <v>0</v>
      </c>
      <c r="AF279" s="62">
        <f t="shared" si="114"/>
        <v>0</v>
      </c>
      <c r="AG279" s="62">
        <f t="shared" si="115"/>
        <v>0</v>
      </c>
      <c r="AH279" s="62">
        <f t="shared" si="128"/>
        <v>0</v>
      </c>
      <c r="AI279" s="63"/>
      <c r="AJ279" s="63"/>
      <c r="AK279" s="62"/>
      <c r="AL279" s="60">
        <v>0</v>
      </c>
      <c r="AM279" s="60">
        <v>0</v>
      </c>
      <c r="AN279" s="60">
        <v>0</v>
      </c>
      <c r="AO279" s="60">
        <v>0</v>
      </c>
      <c r="AP279" s="60">
        <v>0</v>
      </c>
      <c r="AQ279" s="60">
        <v>0</v>
      </c>
      <c r="AR279" s="61">
        <f t="shared" si="124"/>
        <v>0</v>
      </c>
      <c r="AS279" s="60">
        <v>0</v>
      </c>
      <c r="AT279" s="60">
        <v>0</v>
      </c>
      <c r="AU279" s="60">
        <v>0</v>
      </c>
      <c r="AV279" s="60">
        <v>0</v>
      </c>
      <c r="AW279" s="60">
        <v>0</v>
      </c>
      <c r="AX279" s="60">
        <v>0</v>
      </c>
      <c r="AY279" s="61">
        <f t="shared" si="125"/>
        <v>0</v>
      </c>
      <c r="AZ279" s="56">
        <f t="shared" si="120"/>
        <v>0</v>
      </c>
      <c r="BA279" s="62">
        <f t="shared" si="108"/>
        <v>0</v>
      </c>
      <c r="BB279" s="62">
        <f t="shared" si="126"/>
        <v>0</v>
      </c>
      <c r="BC279" s="62">
        <f t="shared" si="112"/>
        <v>0</v>
      </c>
      <c r="BD279" s="63"/>
      <c r="BE279" s="57"/>
      <c r="BF279" s="35" t="e">
        <f>VLOOKUP(A:A,'2023-2027'!A:G,1,+FALSE)</f>
        <v>#N/A</v>
      </c>
      <c r="BG279" s="7" t="e">
        <f t="shared" si="131"/>
        <v>#N/A</v>
      </c>
      <c r="BH279" s="35"/>
    </row>
    <row r="280" spans="1:60" ht="12" hidden="1" customHeight="1" outlineLevel="1" x14ac:dyDescent="0.2">
      <c r="A280" s="59" t="s">
        <v>758</v>
      </c>
      <c r="B280" s="59" t="s">
        <v>79</v>
      </c>
      <c r="C280" s="59" t="s">
        <v>79</v>
      </c>
      <c r="D280" s="65" t="s">
        <v>759</v>
      </c>
      <c r="E280" s="59" t="s">
        <v>243</v>
      </c>
      <c r="F280" s="68">
        <v>800</v>
      </c>
      <c r="G280" s="68">
        <v>800</v>
      </c>
      <c r="H280" s="59"/>
      <c r="I280" s="59"/>
      <c r="J280" s="59"/>
      <c r="K280" s="68">
        <v>800</v>
      </c>
      <c r="L280" s="68">
        <v>800</v>
      </c>
      <c r="M280" s="59"/>
      <c r="N280" s="59"/>
      <c r="O280" s="59"/>
      <c r="P280" s="67"/>
      <c r="Q280" s="67"/>
      <c r="R280" s="61">
        <f t="shared" si="122"/>
        <v>0</v>
      </c>
      <c r="S280" s="60">
        <v>0</v>
      </c>
      <c r="T280" s="60">
        <v>0</v>
      </c>
      <c r="U280" s="60">
        <v>0</v>
      </c>
      <c r="V280" s="60">
        <v>0</v>
      </c>
      <c r="W280" s="60">
        <v>0</v>
      </c>
      <c r="X280" s="61">
        <f t="shared" si="123"/>
        <v>0</v>
      </c>
      <c r="Y280" s="60">
        <v>0</v>
      </c>
      <c r="Z280" s="60">
        <v>0</v>
      </c>
      <c r="AA280" s="60">
        <v>0</v>
      </c>
      <c r="AB280" s="60">
        <v>0</v>
      </c>
      <c r="AC280" s="60">
        <v>0</v>
      </c>
      <c r="AD280" s="60">
        <v>0</v>
      </c>
      <c r="AE280" s="61">
        <f t="shared" si="127"/>
        <v>0</v>
      </c>
      <c r="AF280" s="62">
        <f t="shared" si="114"/>
        <v>0</v>
      </c>
      <c r="AG280" s="62">
        <f t="shared" si="115"/>
        <v>0</v>
      </c>
      <c r="AH280" s="62">
        <f t="shared" si="128"/>
        <v>0</v>
      </c>
      <c r="AI280" s="63"/>
      <c r="AJ280" s="63"/>
      <c r="AK280" s="62"/>
      <c r="AL280" s="60">
        <v>0</v>
      </c>
      <c r="AM280" s="60">
        <v>0</v>
      </c>
      <c r="AN280" s="60">
        <v>0</v>
      </c>
      <c r="AO280" s="60">
        <v>0</v>
      </c>
      <c r="AP280" s="60">
        <v>0</v>
      </c>
      <c r="AQ280" s="60">
        <v>0</v>
      </c>
      <c r="AR280" s="61">
        <f t="shared" si="124"/>
        <v>0</v>
      </c>
      <c r="AS280" s="60">
        <v>0</v>
      </c>
      <c r="AT280" s="60">
        <v>0</v>
      </c>
      <c r="AU280" s="60">
        <v>0</v>
      </c>
      <c r="AV280" s="60">
        <v>0</v>
      </c>
      <c r="AW280" s="60">
        <v>0</v>
      </c>
      <c r="AX280" s="60">
        <v>0</v>
      </c>
      <c r="AY280" s="61">
        <f t="shared" si="125"/>
        <v>0</v>
      </c>
      <c r="AZ280" s="56">
        <f t="shared" si="120"/>
        <v>0</v>
      </c>
      <c r="BA280" s="62">
        <f t="shared" si="108"/>
        <v>0</v>
      </c>
      <c r="BB280" s="62">
        <f t="shared" si="126"/>
        <v>0</v>
      </c>
      <c r="BC280" s="62">
        <f t="shared" si="112"/>
        <v>0</v>
      </c>
      <c r="BD280" s="63"/>
      <c r="BE280" s="57"/>
      <c r="BF280" s="35" t="e">
        <f>VLOOKUP(A:A,'2023-2027'!A:G,1,+FALSE)</f>
        <v>#N/A</v>
      </c>
      <c r="BG280" s="7" t="e">
        <f t="shared" si="131"/>
        <v>#N/A</v>
      </c>
      <c r="BH280" s="35"/>
    </row>
    <row r="281" spans="1:60" ht="24" hidden="1" customHeight="1" outlineLevel="1" x14ac:dyDescent="0.2">
      <c r="A281" s="59" t="s">
        <v>760</v>
      </c>
      <c r="B281" s="59" t="s">
        <v>79</v>
      </c>
      <c r="C281" s="59" t="s">
        <v>79</v>
      </c>
      <c r="D281" s="65" t="s">
        <v>761</v>
      </c>
      <c r="E281" s="59" t="s">
        <v>749</v>
      </c>
      <c r="F281" s="60">
        <v>20082</v>
      </c>
      <c r="G281" s="60">
        <v>20082</v>
      </c>
      <c r="H281" s="59"/>
      <c r="I281" s="59"/>
      <c r="J281" s="59"/>
      <c r="K281" s="60">
        <v>20082</v>
      </c>
      <c r="L281" s="60">
        <v>20082</v>
      </c>
      <c r="M281" s="59"/>
      <c r="N281" s="59"/>
      <c r="O281" s="59"/>
      <c r="P281" s="67"/>
      <c r="Q281" s="67"/>
      <c r="R281" s="61">
        <f t="shared" si="122"/>
        <v>0</v>
      </c>
      <c r="S281" s="60">
        <v>0</v>
      </c>
      <c r="T281" s="60">
        <v>0</v>
      </c>
      <c r="U281" s="60">
        <v>0</v>
      </c>
      <c r="V281" s="60">
        <v>0</v>
      </c>
      <c r="W281" s="60">
        <v>0</v>
      </c>
      <c r="X281" s="61">
        <f t="shared" si="123"/>
        <v>0</v>
      </c>
      <c r="Y281" s="60">
        <v>0</v>
      </c>
      <c r="Z281" s="60">
        <v>0</v>
      </c>
      <c r="AA281" s="60">
        <v>0</v>
      </c>
      <c r="AB281" s="60">
        <v>0</v>
      </c>
      <c r="AC281" s="60">
        <v>0</v>
      </c>
      <c r="AD281" s="60">
        <v>0</v>
      </c>
      <c r="AE281" s="61">
        <f t="shared" si="127"/>
        <v>0</v>
      </c>
      <c r="AF281" s="62">
        <f t="shared" si="114"/>
        <v>0</v>
      </c>
      <c r="AG281" s="62">
        <f t="shared" si="115"/>
        <v>0</v>
      </c>
      <c r="AH281" s="62">
        <f t="shared" si="128"/>
        <v>0</v>
      </c>
      <c r="AI281" s="63"/>
      <c r="AJ281" s="63"/>
      <c r="AK281" s="62"/>
      <c r="AL281" s="60">
        <v>0</v>
      </c>
      <c r="AM281" s="60">
        <v>0</v>
      </c>
      <c r="AN281" s="60">
        <v>0</v>
      </c>
      <c r="AO281" s="60">
        <v>0</v>
      </c>
      <c r="AP281" s="60">
        <v>0</v>
      </c>
      <c r="AQ281" s="60">
        <v>0</v>
      </c>
      <c r="AR281" s="61">
        <f t="shared" si="124"/>
        <v>0</v>
      </c>
      <c r="AS281" s="60">
        <v>0</v>
      </c>
      <c r="AT281" s="60">
        <v>0</v>
      </c>
      <c r="AU281" s="60">
        <v>0</v>
      </c>
      <c r="AV281" s="60">
        <v>0</v>
      </c>
      <c r="AW281" s="60">
        <v>0</v>
      </c>
      <c r="AX281" s="60">
        <v>0</v>
      </c>
      <c r="AY281" s="61">
        <f t="shared" si="125"/>
        <v>0</v>
      </c>
      <c r="AZ281" s="56">
        <f t="shared" si="120"/>
        <v>0</v>
      </c>
      <c r="BA281" s="62">
        <f t="shared" si="108"/>
        <v>0</v>
      </c>
      <c r="BB281" s="62">
        <f t="shared" si="126"/>
        <v>0</v>
      </c>
      <c r="BC281" s="62">
        <f t="shared" si="112"/>
        <v>0</v>
      </c>
      <c r="BD281" s="63"/>
      <c r="BE281" s="57"/>
      <c r="BF281" s="35" t="e">
        <f>VLOOKUP(A:A,'2023-2027'!A:G,1,+FALSE)</f>
        <v>#N/A</v>
      </c>
      <c r="BG281" s="7" t="e">
        <f t="shared" si="131"/>
        <v>#N/A</v>
      </c>
      <c r="BH281" s="35"/>
    </row>
    <row r="282" spans="1:60" ht="12" hidden="1" customHeight="1" outlineLevel="1" x14ac:dyDescent="0.2">
      <c r="A282" s="59" t="s">
        <v>762</v>
      </c>
      <c r="B282" s="59" t="s">
        <v>79</v>
      </c>
      <c r="C282" s="59" t="s">
        <v>79</v>
      </c>
      <c r="D282" s="65" t="s">
        <v>763</v>
      </c>
      <c r="E282" s="59" t="s">
        <v>243</v>
      </c>
      <c r="F282" s="60">
        <v>2445</v>
      </c>
      <c r="G282" s="60">
        <v>2445</v>
      </c>
      <c r="H282" s="59"/>
      <c r="I282" s="59"/>
      <c r="J282" s="59"/>
      <c r="K282" s="60">
        <v>2445</v>
      </c>
      <c r="L282" s="60">
        <v>2445</v>
      </c>
      <c r="M282" s="59"/>
      <c r="N282" s="59"/>
      <c r="O282" s="59"/>
      <c r="P282" s="67"/>
      <c r="Q282" s="67"/>
      <c r="R282" s="61">
        <f t="shared" si="122"/>
        <v>0</v>
      </c>
      <c r="S282" s="60">
        <v>0</v>
      </c>
      <c r="T282" s="60">
        <v>0</v>
      </c>
      <c r="U282" s="60">
        <v>0</v>
      </c>
      <c r="V282" s="60">
        <v>0</v>
      </c>
      <c r="W282" s="60">
        <v>0</v>
      </c>
      <c r="X282" s="61">
        <f t="shared" si="123"/>
        <v>0</v>
      </c>
      <c r="Y282" s="60">
        <v>0</v>
      </c>
      <c r="Z282" s="60">
        <v>0</v>
      </c>
      <c r="AA282" s="60">
        <v>0</v>
      </c>
      <c r="AB282" s="60">
        <v>0</v>
      </c>
      <c r="AC282" s="60">
        <v>0</v>
      </c>
      <c r="AD282" s="60">
        <v>0</v>
      </c>
      <c r="AE282" s="61">
        <f t="shared" si="127"/>
        <v>0</v>
      </c>
      <c r="AF282" s="62">
        <f t="shared" si="114"/>
        <v>0</v>
      </c>
      <c r="AG282" s="62">
        <f t="shared" si="115"/>
        <v>0</v>
      </c>
      <c r="AH282" s="62">
        <f t="shared" si="128"/>
        <v>0</v>
      </c>
      <c r="AI282" s="63"/>
      <c r="AJ282" s="63"/>
      <c r="AK282" s="62"/>
      <c r="AL282" s="60">
        <v>0</v>
      </c>
      <c r="AM282" s="60">
        <v>0</v>
      </c>
      <c r="AN282" s="60">
        <v>0</v>
      </c>
      <c r="AO282" s="60">
        <v>0</v>
      </c>
      <c r="AP282" s="60">
        <v>0</v>
      </c>
      <c r="AQ282" s="60">
        <v>0</v>
      </c>
      <c r="AR282" s="61">
        <f t="shared" si="124"/>
        <v>0</v>
      </c>
      <c r="AS282" s="60">
        <v>0</v>
      </c>
      <c r="AT282" s="60">
        <v>0</v>
      </c>
      <c r="AU282" s="60">
        <v>0</v>
      </c>
      <c r="AV282" s="60">
        <v>0</v>
      </c>
      <c r="AW282" s="60">
        <v>0</v>
      </c>
      <c r="AX282" s="60">
        <v>0</v>
      </c>
      <c r="AY282" s="61">
        <f t="shared" si="125"/>
        <v>0</v>
      </c>
      <c r="AZ282" s="56">
        <f t="shared" si="120"/>
        <v>0</v>
      </c>
      <c r="BA282" s="62">
        <f t="shared" si="108"/>
        <v>0</v>
      </c>
      <c r="BB282" s="62">
        <f t="shared" si="126"/>
        <v>0</v>
      </c>
      <c r="BC282" s="62">
        <f t="shared" si="112"/>
        <v>0</v>
      </c>
      <c r="BD282" s="63"/>
      <c r="BE282" s="57"/>
      <c r="BF282" s="35" t="e">
        <f>VLOOKUP(A:A,'2023-2027'!A:G,1,+FALSE)</f>
        <v>#N/A</v>
      </c>
      <c r="BG282" s="7" t="e">
        <f t="shared" si="131"/>
        <v>#N/A</v>
      </c>
      <c r="BH282" s="35"/>
    </row>
    <row r="283" spans="1:60" ht="12" hidden="1" customHeight="1" outlineLevel="1" x14ac:dyDescent="0.2">
      <c r="A283" s="59" t="s">
        <v>764</v>
      </c>
      <c r="B283" s="59" t="s">
        <v>79</v>
      </c>
      <c r="C283" s="59" t="s">
        <v>79</v>
      </c>
      <c r="D283" s="65" t="s">
        <v>765</v>
      </c>
      <c r="E283" s="59" t="s">
        <v>766</v>
      </c>
      <c r="F283" s="60">
        <v>12590</v>
      </c>
      <c r="G283" s="60">
        <v>12590</v>
      </c>
      <c r="H283" s="59"/>
      <c r="I283" s="59"/>
      <c r="J283" s="59"/>
      <c r="K283" s="60">
        <v>12590</v>
      </c>
      <c r="L283" s="60">
        <v>12590</v>
      </c>
      <c r="M283" s="59"/>
      <c r="N283" s="59"/>
      <c r="O283" s="59"/>
      <c r="P283" s="67"/>
      <c r="Q283" s="67"/>
      <c r="R283" s="61">
        <f t="shared" si="122"/>
        <v>0</v>
      </c>
      <c r="S283" s="60">
        <v>0</v>
      </c>
      <c r="T283" s="60">
        <v>0</v>
      </c>
      <c r="U283" s="60">
        <v>0</v>
      </c>
      <c r="V283" s="60">
        <v>0</v>
      </c>
      <c r="W283" s="60">
        <v>0</v>
      </c>
      <c r="X283" s="61">
        <f t="shared" si="123"/>
        <v>0</v>
      </c>
      <c r="Y283" s="60">
        <v>0</v>
      </c>
      <c r="Z283" s="60">
        <v>0</v>
      </c>
      <c r="AA283" s="60">
        <v>0</v>
      </c>
      <c r="AB283" s="60">
        <v>0</v>
      </c>
      <c r="AC283" s="60">
        <v>0</v>
      </c>
      <c r="AD283" s="60">
        <v>0</v>
      </c>
      <c r="AE283" s="61">
        <f t="shared" si="127"/>
        <v>0</v>
      </c>
      <c r="AF283" s="62">
        <f t="shared" si="114"/>
        <v>0</v>
      </c>
      <c r="AG283" s="62">
        <f t="shared" si="115"/>
        <v>0</v>
      </c>
      <c r="AH283" s="62">
        <f t="shared" si="128"/>
        <v>0</v>
      </c>
      <c r="AI283" s="63"/>
      <c r="AJ283" s="63"/>
      <c r="AK283" s="62"/>
      <c r="AL283" s="60">
        <v>0</v>
      </c>
      <c r="AM283" s="60">
        <v>0</v>
      </c>
      <c r="AN283" s="60">
        <v>0</v>
      </c>
      <c r="AO283" s="60">
        <v>0</v>
      </c>
      <c r="AP283" s="60">
        <v>0</v>
      </c>
      <c r="AQ283" s="60">
        <v>0</v>
      </c>
      <c r="AR283" s="61">
        <f t="shared" si="124"/>
        <v>0</v>
      </c>
      <c r="AS283" s="60">
        <v>0</v>
      </c>
      <c r="AT283" s="60">
        <v>0</v>
      </c>
      <c r="AU283" s="60">
        <v>0</v>
      </c>
      <c r="AV283" s="60">
        <v>0</v>
      </c>
      <c r="AW283" s="60">
        <v>0</v>
      </c>
      <c r="AX283" s="60">
        <v>0</v>
      </c>
      <c r="AY283" s="61">
        <f t="shared" si="125"/>
        <v>0</v>
      </c>
      <c r="AZ283" s="56">
        <f t="shared" si="120"/>
        <v>0</v>
      </c>
      <c r="BA283" s="62">
        <f t="shared" si="108"/>
        <v>0</v>
      </c>
      <c r="BB283" s="62">
        <f t="shared" si="126"/>
        <v>0</v>
      </c>
      <c r="BC283" s="62">
        <f t="shared" si="112"/>
        <v>0</v>
      </c>
      <c r="BD283" s="63"/>
      <c r="BE283" s="57"/>
      <c r="BF283" s="35" t="e">
        <f>VLOOKUP(A:A,'2023-2027'!A:G,1,+FALSE)</f>
        <v>#N/A</v>
      </c>
      <c r="BG283" s="7" t="e">
        <f t="shared" si="131"/>
        <v>#N/A</v>
      </c>
      <c r="BH283" s="35"/>
    </row>
    <row r="284" spans="1:60" ht="12" hidden="1" customHeight="1" outlineLevel="1" x14ac:dyDescent="0.2">
      <c r="A284" s="59" t="s">
        <v>767</v>
      </c>
      <c r="B284" s="59" t="s">
        <v>79</v>
      </c>
      <c r="C284" s="59" t="s">
        <v>79</v>
      </c>
      <c r="D284" s="65" t="s">
        <v>768</v>
      </c>
      <c r="E284" s="59" t="s">
        <v>243</v>
      </c>
      <c r="F284" s="60">
        <v>1800</v>
      </c>
      <c r="G284" s="60">
        <v>1800</v>
      </c>
      <c r="H284" s="59"/>
      <c r="I284" s="59"/>
      <c r="J284" s="59"/>
      <c r="K284" s="60">
        <v>1800</v>
      </c>
      <c r="L284" s="60">
        <v>1800</v>
      </c>
      <c r="M284" s="59"/>
      <c r="N284" s="59"/>
      <c r="O284" s="59"/>
      <c r="P284" s="67"/>
      <c r="Q284" s="67"/>
      <c r="R284" s="61">
        <f t="shared" si="122"/>
        <v>0</v>
      </c>
      <c r="S284" s="60">
        <v>0</v>
      </c>
      <c r="T284" s="60">
        <v>0</v>
      </c>
      <c r="U284" s="60">
        <v>0</v>
      </c>
      <c r="V284" s="60">
        <v>0</v>
      </c>
      <c r="W284" s="60">
        <v>0</v>
      </c>
      <c r="X284" s="61">
        <f t="shared" si="123"/>
        <v>0</v>
      </c>
      <c r="Y284" s="60">
        <v>0</v>
      </c>
      <c r="Z284" s="60">
        <v>0</v>
      </c>
      <c r="AA284" s="60">
        <v>0</v>
      </c>
      <c r="AB284" s="60">
        <v>0</v>
      </c>
      <c r="AC284" s="60">
        <v>0</v>
      </c>
      <c r="AD284" s="60">
        <v>0</v>
      </c>
      <c r="AE284" s="61">
        <f t="shared" si="127"/>
        <v>0</v>
      </c>
      <c r="AF284" s="62">
        <f t="shared" si="114"/>
        <v>0</v>
      </c>
      <c r="AG284" s="62">
        <f t="shared" si="115"/>
        <v>0</v>
      </c>
      <c r="AH284" s="62">
        <f t="shared" si="128"/>
        <v>0</v>
      </c>
      <c r="AI284" s="63"/>
      <c r="AJ284" s="63"/>
      <c r="AK284" s="62"/>
      <c r="AL284" s="60">
        <v>0</v>
      </c>
      <c r="AM284" s="60">
        <v>0</v>
      </c>
      <c r="AN284" s="60">
        <v>0</v>
      </c>
      <c r="AO284" s="60">
        <v>0</v>
      </c>
      <c r="AP284" s="60">
        <v>0</v>
      </c>
      <c r="AQ284" s="60">
        <v>0</v>
      </c>
      <c r="AR284" s="61">
        <f t="shared" si="124"/>
        <v>0</v>
      </c>
      <c r="AS284" s="60">
        <v>0</v>
      </c>
      <c r="AT284" s="60">
        <v>0</v>
      </c>
      <c r="AU284" s="60">
        <v>0</v>
      </c>
      <c r="AV284" s="60">
        <v>0</v>
      </c>
      <c r="AW284" s="60">
        <v>0</v>
      </c>
      <c r="AX284" s="60">
        <v>0</v>
      </c>
      <c r="AY284" s="61">
        <f t="shared" si="125"/>
        <v>0</v>
      </c>
      <c r="AZ284" s="56">
        <f t="shared" si="120"/>
        <v>0</v>
      </c>
      <c r="BA284" s="62">
        <f t="shared" si="108"/>
        <v>0</v>
      </c>
      <c r="BB284" s="62">
        <f t="shared" si="126"/>
        <v>0</v>
      </c>
      <c r="BC284" s="62">
        <f t="shared" si="112"/>
        <v>0</v>
      </c>
      <c r="BD284" s="63"/>
      <c r="BE284" s="57"/>
      <c r="BF284" s="35" t="e">
        <f>VLOOKUP(A:A,'2023-2027'!A:G,1,+FALSE)</f>
        <v>#N/A</v>
      </c>
      <c r="BG284" s="7" t="e">
        <f t="shared" si="131"/>
        <v>#N/A</v>
      </c>
      <c r="BH284" s="35"/>
    </row>
    <row r="285" spans="1:60" ht="12" hidden="1" customHeight="1" outlineLevel="1" x14ac:dyDescent="0.2">
      <c r="A285" s="59" t="s">
        <v>769</v>
      </c>
      <c r="B285" s="59" t="s">
        <v>79</v>
      </c>
      <c r="C285" s="59" t="s">
        <v>79</v>
      </c>
      <c r="D285" s="65" t="s">
        <v>770</v>
      </c>
      <c r="E285" s="59" t="s">
        <v>243</v>
      </c>
      <c r="F285" s="68">
        <v>184.3</v>
      </c>
      <c r="G285" s="68">
        <v>184.3</v>
      </c>
      <c r="H285" s="59"/>
      <c r="I285" s="59"/>
      <c r="J285" s="59"/>
      <c r="K285" s="68">
        <v>184.3</v>
      </c>
      <c r="L285" s="68">
        <v>184.3</v>
      </c>
      <c r="M285" s="59"/>
      <c r="N285" s="59"/>
      <c r="O285" s="59"/>
      <c r="P285" s="67"/>
      <c r="Q285" s="67"/>
      <c r="R285" s="61">
        <f t="shared" si="122"/>
        <v>0</v>
      </c>
      <c r="S285" s="60">
        <v>0</v>
      </c>
      <c r="T285" s="60">
        <v>0</v>
      </c>
      <c r="U285" s="60">
        <v>0</v>
      </c>
      <c r="V285" s="60">
        <v>0</v>
      </c>
      <c r="W285" s="60">
        <v>0</v>
      </c>
      <c r="X285" s="61">
        <f t="shared" si="123"/>
        <v>0</v>
      </c>
      <c r="Y285" s="60">
        <v>0</v>
      </c>
      <c r="Z285" s="60">
        <v>0</v>
      </c>
      <c r="AA285" s="60">
        <v>0</v>
      </c>
      <c r="AB285" s="60">
        <v>0</v>
      </c>
      <c r="AC285" s="60">
        <v>0</v>
      </c>
      <c r="AD285" s="60">
        <v>0</v>
      </c>
      <c r="AE285" s="61">
        <f t="shared" si="127"/>
        <v>0</v>
      </c>
      <c r="AF285" s="62">
        <f t="shared" si="114"/>
        <v>0</v>
      </c>
      <c r="AG285" s="62">
        <f t="shared" si="115"/>
        <v>0</v>
      </c>
      <c r="AH285" s="62">
        <f t="shared" si="128"/>
        <v>0</v>
      </c>
      <c r="AI285" s="63"/>
      <c r="AJ285" s="63"/>
      <c r="AK285" s="62"/>
      <c r="AL285" s="60">
        <v>0</v>
      </c>
      <c r="AM285" s="60">
        <v>0</v>
      </c>
      <c r="AN285" s="60">
        <v>0</v>
      </c>
      <c r="AO285" s="60">
        <v>0</v>
      </c>
      <c r="AP285" s="60">
        <v>0</v>
      </c>
      <c r="AQ285" s="60">
        <v>0</v>
      </c>
      <c r="AR285" s="61">
        <f t="shared" si="124"/>
        <v>0</v>
      </c>
      <c r="AS285" s="60">
        <v>0</v>
      </c>
      <c r="AT285" s="60">
        <v>0</v>
      </c>
      <c r="AU285" s="60">
        <v>0</v>
      </c>
      <c r="AV285" s="60">
        <v>0</v>
      </c>
      <c r="AW285" s="60">
        <v>0</v>
      </c>
      <c r="AX285" s="60">
        <v>0</v>
      </c>
      <c r="AY285" s="61">
        <f t="shared" si="125"/>
        <v>0</v>
      </c>
      <c r="AZ285" s="56">
        <f t="shared" si="120"/>
        <v>0</v>
      </c>
      <c r="BA285" s="62">
        <f t="shared" si="108"/>
        <v>0</v>
      </c>
      <c r="BB285" s="62">
        <f t="shared" si="126"/>
        <v>0</v>
      </c>
      <c r="BC285" s="62">
        <f t="shared" si="112"/>
        <v>0</v>
      </c>
      <c r="BD285" s="63"/>
      <c r="BE285" s="57"/>
      <c r="BF285" s="35" t="e">
        <f>VLOOKUP(A:A,'2023-2027'!A:G,1,+FALSE)</f>
        <v>#N/A</v>
      </c>
      <c r="BG285" s="7" t="e">
        <f t="shared" si="131"/>
        <v>#N/A</v>
      </c>
      <c r="BH285" s="35"/>
    </row>
    <row r="286" spans="1:60" ht="24" hidden="1" customHeight="1" outlineLevel="1" x14ac:dyDescent="0.2">
      <c r="A286" s="59" t="s">
        <v>771</v>
      </c>
      <c r="B286" s="59" t="s">
        <v>79</v>
      </c>
      <c r="C286" s="59" t="s">
        <v>79</v>
      </c>
      <c r="D286" s="66" t="s">
        <v>772</v>
      </c>
      <c r="E286" s="59" t="s">
        <v>773</v>
      </c>
      <c r="F286" s="60">
        <v>46966.1</v>
      </c>
      <c r="G286" s="60">
        <v>23483.040000000001</v>
      </c>
      <c r="H286" s="60">
        <v>23483.06</v>
      </c>
      <c r="I286" s="59"/>
      <c r="J286" s="60">
        <v>6709.44</v>
      </c>
      <c r="K286" s="59"/>
      <c r="L286" s="59"/>
      <c r="M286" s="60">
        <v>46966.1</v>
      </c>
      <c r="N286" s="60">
        <v>30192.48</v>
      </c>
      <c r="O286" s="60">
        <v>16773.62</v>
      </c>
      <c r="P286" s="55"/>
      <c r="Q286" s="55"/>
      <c r="R286" s="61">
        <f t="shared" si="122"/>
        <v>559.12</v>
      </c>
      <c r="S286" s="60">
        <v>559.12</v>
      </c>
      <c r="T286" s="60">
        <v>559.12</v>
      </c>
      <c r="U286" s="60">
        <v>559.12</v>
      </c>
      <c r="V286" s="60">
        <v>559.12</v>
      </c>
      <c r="W286" s="60">
        <v>559.12</v>
      </c>
      <c r="X286" s="61">
        <f t="shared" si="123"/>
        <v>3354.72</v>
      </c>
      <c r="Y286" s="60">
        <v>559.12</v>
      </c>
      <c r="Z286" s="60">
        <v>559.12</v>
      </c>
      <c r="AA286" s="60">
        <v>559.12</v>
      </c>
      <c r="AB286" s="60">
        <v>559.12</v>
      </c>
      <c r="AC286" s="60">
        <v>559.12</v>
      </c>
      <c r="AD286" s="60">
        <v>559.12</v>
      </c>
      <c r="AE286" s="61">
        <f t="shared" si="127"/>
        <v>3354.72</v>
      </c>
      <c r="AF286" s="62">
        <f t="shared" si="114"/>
        <v>46966.1</v>
      </c>
      <c r="AG286" s="62">
        <f t="shared" si="115"/>
        <v>36901.920000000013</v>
      </c>
      <c r="AH286" s="62">
        <f t="shared" si="128"/>
        <v>10064.179999999986</v>
      </c>
      <c r="AI286" s="63"/>
      <c r="AJ286" s="63"/>
      <c r="AK286" s="62"/>
      <c r="AL286" s="60">
        <v>559.12</v>
      </c>
      <c r="AM286" s="60">
        <v>559.12</v>
      </c>
      <c r="AN286" s="60">
        <v>559.12</v>
      </c>
      <c r="AO286" s="60">
        <v>559.12</v>
      </c>
      <c r="AP286" s="60">
        <v>559.12</v>
      </c>
      <c r="AQ286" s="60">
        <v>559.12</v>
      </c>
      <c r="AR286" s="61">
        <f t="shared" si="124"/>
        <v>3354.72</v>
      </c>
      <c r="AS286" s="60">
        <v>559.12</v>
      </c>
      <c r="AT286" s="60">
        <v>559.12</v>
      </c>
      <c r="AU286" s="60">
        <v>559.12</v>
      </c>
      <c r="AV286" s="60">
        <v>559.12</v>
      </c>
      <c r="AW286" s="60">
        <v>559.12</v>
      </c>
      <c r="AX286" s="60">
        <v>559.12</v>
      </c>
      <c r="AY286" s="61">
        <f t="shared" si="125"/>
        <v>3354.72</v>
      </c>
      <c r="AZ286" s="56">
        <f t="shared" si="120"/>
        <v>6709.44</v>
      </c>
      <c r="BA286" s="62">
        <f t="shared" si="108"/>
        <v>46966.1</v>
      </c>
      <c r="BB286" s="62">
        <f t="shared" si="126"/>
        <v>43611.360000000044</v>
      </c>
      <c r="BC286" s="62">
        <f t="shared" si="112"/>
        <v>3354.7399999999543</v>
      </c>
      <c r="BD286" s="63"/>
      <c r="BE286" s="57"/>
      <c r="BF286" s="35" t="str">
        <f>VLOOKUP(A:A,'2023-2027'!A:G,1,+FALSE)</f>
        <v>Шредер Rexel Auto 300X (секр.P-4)</v>
      </c>
      <c r="BG286" s="7" t="b">
        <f t="shared" si="131"/>
        <v>1</v>
      </c>
      <c r="BH286" s="35">
        <f>VLOOKUP(A:A,'2023-2027'!A:AT,43,+FALSE)</f>
        <v>559.12</v>
      </c>
    </row>
    <row r="287" spans="1:60" s="58" customFormat="1" ht="13.15" hidden="1" customHeight="1" x14ac:dyDescent="0.2">
      <c r="A287" s="323" t="s">
        <v>31</v>
      </c>
      <c r="B287" s="323"/>
      <c r="C287" s="323"/>
      <c r="D287" s="323"/>
      <c r="E287" s="323"/>
      <c r="F287" s="53">
        <f>SUM(F288:F444)</f>
        <v>9215891.4799999893</v>
      </c>
      <c r="G287" s="53">
        <f>SUM(G288:G444)</f>
        <v>4982803.799999998</v>
      </c>
      <c r="H287" s="53">
        <f>SUM(H288:H444)</f>
        <v>4233087.68</v>
      </c>
      <c r="I287" s="53">
        <f>SUM(I288:I444)</f>
        <v>189451.46000000002</v>
      </c>
      <c r="J287" s="53">
        <f>SUM(J288:J444)</f>
        <v>594251.82999999984</v>
      </c>
      <c r="K287" s="53">
        <f t="shared" ref="K287:O287" si="132">SUM(K288:K444)</f>
        <v>60530.720000000001</v>
      </c>
      <c r="L287" s="53">
        <f t="shared" si="132"/>
        <v>60530.720000000001</v>
      </c>
      <c r="M287" s="53">
        <f t="shared" si="132"/>
        <v>9344812.2199999895</v>
      </c>
      <c r="N287" s="53">
        <f t="shared" si="132"/>
        <v>5516524.9100000039</v>
      </c>
      <c r="O287" s="53">
        <f t="shared" si="132"/>
        <v>3828287.3100000038</v>
      </c>
      <c r="P287" s="55"/>
      <c r="Q287" s="55"/>
      <c r="R287" s="53">
        <f t="shared" ref="R287:AJ287" si="133">SUM(R288:R444)</f>
        <v>49520.985833333347</v>
      </c>
      <c r="S287" s="53">
        <f t="shared" si="133"/>
        <v>49524.625833200014</v>
      </c>
      <c r="T287" s="53">
        <f t="shared" si="133"/>
        <v>49524.625833200014</v>
      </c>
      <c r="U287" s="53">
        <f t="shared" si="133"/>
        <v>49524.625833200014</v>
      </c>
      <c r="V287" s="53">
        <f t="shared" si="133"/>
        <v>49524.625833200014</v>
      </c>
      <c r="W287" s="53">
        <f t="shared" si="133"/>
        <v>49524.625833200014</v>
      </c>
      <c r="X287" s="53">
        <f t="shared" si="133"/>
        <v>297144.11499933328</v>
      </c>
      <c r="Y287" s="53">
        <f t="shared" si="133"/>
        <v>49524.625833200014</v>
      </c>
      <c r="Z287" s="53">
        <f t="shared" si="133"/>
        <v>49524.625833200014</v>
      </c>
      <c r="AA287" s="53">
        <f t="shared" si="133"/>
        <v>49524.625833200014</v>
      </c>
      <c r="AB287" s="53">
        <f t="shared" si="133"/>
        <v>873993.40078111656</v>
      </c>
      <c r="AC287" s="53">
        <f t="shared" si="133"/>
        <v>873993.40078111656</v>
      </c>
      <c r="AD287" s="53">
        <f t="shared" si="133"/>
        <v>873993.40078111656</v>
      </c>
      <c r="AE287" s="53">
        <f t="shared" si="133"/>
        <v>2770554.0798429498</v>
      </c>
      <c r="AF287" s="53">
        <f t="shared" si="133"/>
        <v>167642817.00999999</v>
      </c>
      <c r="AG287" s="53">
        <f t="shared" si="133"/>
        <v>8584223.1048422884</v>
      </c>
      <c r="AH287" s="53">
        <f t="shared" si="133"/>
        <v>159058593.90515769</v>
      </c>
      <c r="AI287" s="55">
        <v>0</v>
      </c>
      <c r="AJ287" s="55">
        <f t="shared" si="133"/>
        <v>0</v>
      </c>
      <c r="AK287" s="53"/>
      <c r="AL287" s="53">
        <f t="shared" ref="AL287:BC287" si="134">SUM(AL288:AL444)</f>
        <v>873993.40078111656</v>
      </c>
      <c r="AM287" s="53">
        <f t="shared" si="134"/>
        <v>873993.40078111656</v>
      </c>
      <c r="AN287" s="53">
        <f t="shared" si="134"/>
        <v>873993.40078111656</v>
      </c>
      <c r="AO287" s="53">
        <f t="shared" si="134"/>
        <v>873993.40078111656</v>
      </c>
      <c r="AP287" s="53">
        <f t="shared" si="134"/>
        <v>873993.40078111656</v>
      </c>
      <c r="AQ287" s="53">
        <f t="shared" si="134"/>
        <v>873993.40078111656</v>
      </c>
      <c r="AR287" s="53">
        <f t="shared" si="134"/>
        <v>5243960.4046867006</v>
      </c>
      <c r="AS287" s="53">
        <f t="shared" si="134"/>
        <v>873993.40078111656</v>
      </c>
      <c r="AT287" s="53">
        <f t="shared" si="134"/>
        <v>873993.40078111656</v>
      </c>
      <c r="AU287" s="53">
        <f t="shared" si="134"/>
        <v>873993.40078111656</v>
      </c>
      <c r="AV287" s="53">
        <f t="shared" si="134"/>
        <v>873993.40078111656</v>
      </c>
      <c r="AW287" s="53">
        <f t="shared" si="134"/>
        <v>873993.40078111656</v>
      </c>
      <c r="AX287" s="53">
        <f t="shared" si="134"/>
        <v>873993.40078111656</v>
      </c>
      <c r="AY287" s="53">
        <f t="shared" si="134"/>
        <v>5243960.4046867006</v>
      </c>
      <c r="AZ287" s="56">
        <f t="shared" si="120"/>
        <v>10487920.809373401</v>
      </c>
      <c r="BA287" s="53">
        <f t="shared" si="134"/>
        <v>167642817.00999999</v>
      </c>
      <c r="BB287" s="53">
        <f t="shared" si="134"/>
        <v>19072143.914215695</v>
      </c>
      <c r="BC287" s="53">
        <f t="shared" si="134"/>
        <v>148570673.09578431</v>
      </c>
      <c r="BD287" s="55"/>
      <c r="BE287" s="57"/>
      <c r="BF287" s="35" t="e">
        <f>VLOOKUP(A:A,'2023-2027'!A:G,1,+FALSE)</f>
        <v>#N/A</v>
      </c>
      <c r="BG287" s="7" t="e">
        <f t="shared" si="131"/>
        <v>#N/A</v>
      </c>
      <c r="BH287" s="35"/>
    </row>
    <row r="288" spans="1:60" ht="48" hidden="1" customHeight="1" outlineLevel="1" x14ac:dyDescent="0.2">
      <c r="A288" s="59" t="s">
        <v>774</v>
      </c>
      <c r="B288" s="59" t="s">
        <v>31</v>
      </c>
      <c r="C288" s="59" t="s">
        <v>83</v>
      </c>
      <c r="D288" s="66" t="s">
        <v>775</v>
      </c>
      <c r="E288" s="59" t="s">
        <v>424</v>
      </c>
      <c r="F288" s="60">
        <v>283810</v>
      </c>
      <c r="G288" s="59"/>
      <c r="H288" s="60">
        <v>283810</v>
      </c>
      <c r="I288" s="59"/>
      <c r="J288" s="60">
        <v>18920.64</v>
      </c>
      <c r="K288" s="59"/>
      <c r="L288" s="59"/>
      <c r="M288" s="60">
        <v>283810</v>
      </c>
      <c r="N288" s="60">
        <v>18920.64</v>
      </c>
      <c r="O288" s="60">
        <v>264889.36</v>
      </c>
      <c r="P288" s="55"/>
      <c r="Q288" s="55"/>
      <c r="R288" s="61">
        <f t="shared" si="122"/>
        <v>1576.72</v>
      </c>
      <c r="S288" s="60">
        <v>1576.72</v>
      </c>
      <c r="T288" s="60">
        <v>1576.72</v>
      </c>
      <c r="U288" s="60">
        <v>1576.72</v>
      </c>
      <c r="V288" s="60">
        <v>1576.72</v>
      </c>
      <c r="W288" s="60">
        <v>1576.72</v>
      </c>
      <c r="X288" s="61">
        <f t="shared" si="123"/>
        <v>9460.32</v>
      </c>
      <c r="Y288" s="60">
        <v>1576.72</v>
      </c>
      <c r="Z288" s="60">
        <v>1576.72</v>
      </c>
      <c r="AA288" s="60">
        <v>1576.72</v>
      </c>
      <c r="AB288" s="60">
        <v>1576.72</v>
      </c>
      <c r="AC288" s="60">
        <v>1576.72</v>
      </c>
      <c r="AD288" s="60">
        <v>1576.72</v>
      </c>
      <c r="AE288" s="61">
        <f t="shared" si="127"/>
        <v>9460.32</v>
      </c>
      <c r="AF288" s="62">
        <f t="shared" ref="AF288:AF351" si="135">M288</f>
        <v>283810</v>
      </c>
      <c r="AG288" s="62">
        <f t="shared" ref="AG288:AG351" si="136">N288+R288+S288+T288+U288+V288+W288+Y288+Z288+AA288+AB288+AC288+AD288</f>
        <v>37841.280000000013</v>
      </c>
      <c r="AH288" s="62">
        <f t="shared" si="128"/>
        <v>245968.71999999997</v>
      </c>
      <c r="AI288" s="63"/>
      <c r="AJ288" s="63"/>
      <c r="AK288" s="62"/>
      <c r="AL288" s="60">
        <v>1576.72</v>
      </c>
      <c r="AM288" s="60">
        <v>1576.72</v>
      </c>
      <c r="AN288" s="60">
        <v>1576.72</v>
      </c>
      <c r="AO288" s="60">
        <v>1576.72</v>
      </c>
      <c r="AP288" s="60">
        <v>1576.72</v>
      </c>
      <c r="AQ288" s="60">
        <v>1576.72</v>
      </c>
      <c r="AR288" s="61">
        <f t="shared" si="124"/>
        <v>9460.32</v>
      </c>
      <c r="AS288" s="60">
        <v>1576.72</v>
      </c>
      <c r="AT288" s="60">
        <v>1576.72</v>
      </c>
      <c r="AU288" s="60">
        <v>1576.72</v>
      </c>
      <c r="AV288" s="60">
        <v>1576.72</v>
      </c>
      <c r="AW288" s="60">
        <v>1576.72</v>
      </c>
      <c r="AX288" s="60">
        <v>1576.72</v>
      </c>
      <c r="AY288" s="61">
        <f t="shared" si="125"/>
        <v>9460.32</v>
      </c>
      <c r="AZ288" s="56">
        <f t="shared" si="120"/>
        <v>18920.64</v>
      </c>
      <c r="BA288" s="62">
        <f t="shared" si="108"/>
        <v>283810</v>
      </c>
      <c r="BB288" s="62">
        <f t="shared" si="126"/>
        <v>56761.920000000027</v>
      </c>
      <c r="BC288" s="62">
        <f t="shared" si="112"/>
        <v>227048.07999999996</v>
      </c>
      <c r="BD288" s="63"/>
      <c r="BE288" s="57"/>
      <c r="BF288" s="35" t="str">
        <f>VLOOKUP(A:A,'2023-2027'!A:G,1,+FALSE)</f>
        <v>Комплект мебели для абон.отд. цвет ЛДСП Ясень анкор светлый (1 шкаф;8 стеллажей;8 столов;12 тумб)</v>
      </c>
      <c r="BG288" s="7" t="b">
        <f t="shared" si="131"/>
        <v>1</v>
      </c>
      <c r="BH288" s="35">
        <f>VLOOKUP(A:A,'2023-2027'!A:AT,43,+FALSE)</f>
        <v>1576.7222222222222</v>
      </c>
    </row>
    <row r="289" spans="1:60" ht="24" hidden="1" customHeight="1" outlineLevel="1" x14ac:dyDescent="0.2">
      <c r="A289" s="59" t="s">
        <v>776</v>
      </c>
      <c r="B289" s="59" t="s">
        <v>31</v>
      </c>
      <c r="C289" s="59" t="s">
        <v>83</v>
      </c>
      <c r="D289" s="65" t="s">
        <v>777</v>
      </c>
      <c r="E289" s="59" t="s">
        <v>778</v>
      </c>
      <c r="F289" s="60">
        <v>41169.21</v>
      </c>
      <c r="G289" s="60">
        <v>24015.040000000001</v>
      </c>
      <c r="H289" s="60">
        <v>17154.169999999998</v>
      </c>
      <c r="I289" s="59"/>
      <c r="J289" s="60">
        <v>2573.16</v>
      </c>
      <c r="K289" s="59"/>
      <c r="L289" s="59"/>
      <c r="M289" s="60">
        <v>41169.21</v>
      </c>
      <c r="N289" s="60">
        <v>26588.2</v>
      </c>
      <c r="O289" s="60">
        <v>14581.01</v>
      </c>
      <c r="P289" s="55"/>
      <c r="Q289" s="55"/>
      <c r="R289" s="61">
        <f t="shared" si="122"/>
        <v>214.42999999999998</v>
      </c>
      <c r="S289" s="60">
        <v>214.43</v>
      </c>
      <c r="T289" s="60">
        <v>214.43</v>
      </c>
      <c r="U289" s="60">
        <v>214.43</v>
      </c>
      <c r="V289" s="60">
        <v>214.43</v>
      </c>
      <c r="W289" s="60">
        <v>214.43</v>
      </c>
      <c r="X289" s="61">
        <f t="shared" si="123"/>
        <v>1286.5800000000002</v>
      </c>
      <c r="Y289" s="60">
        <v>214.43</v>
      </c>
      <c r="Z289" s="60">
        <v>214.43</v>
      </c>
      <c r="AA289" s="60">
        <v>214.43</v>
      </c>
      <c r="AB289" s="60">
        <v>214.43</v>
      </c>
      <c r="AC289" s="60">
        <v>214.43</v>
      </c>
      <c r="AD289" s="60">
        <v>214.43</v>
      </c>
      <c r="AE289" s="61">
        <f t="shared" si="127"/>
        <v>1286.5800000000002</v>
      </c>
      <c r="AF289" s="62">
        <f t="shared" si="135"/>
        <v>41169.21</v>
      </c>
      <c r="AG289" s="62">
        <f t="shared" si="136"/>
        <v>29161.360000000004</v>
      </c>
      <c r="AH289" s="62">
        <f t="shared" si="128"/>
        <v>12007.849999999995</v>
      </c>
      <c r="AI289" s="63"/>
      <c r="AJ289" s="63"/>
      <c r="AK289" s="62"/>
      <c r="AL289" s="60">
        <v>214.43</v>
      </c>
      <c r="AM289" s="60">
        <v>214.43</v>
      </c>
      <c r="AN289" s="60">
        <v>214.43</v>
      </c>
      <c r="AO289" s="60">
        <v>214.43</v>
      </c>
      <c r="AP289" s="60">
        <v>214.43</v>
      </c>
      <c r="AQ289" s="60">
        <v>214.43</v>
      </c>
      <c r="AR289" s="61">
        <f t="shared" si="124"/>
        <v>1286.5800000000002</v>
      </c>
      <c r="AS289" s="60">
        <v>214.43</v>
      </c>
      <c r="AT289" s="60">
        <v>214.43</v>
      </c>
      <c r="AU289" s="60">
        <v>214.43</v>
      </c>
      <c r="AV289" s="60">
        <v>214.43</v>
      </c>
      <c r="AW289" s="60">
        <v>214.43</v>
      </c>
      <c r="AX289" s="60">
        <v>214.43</v>
      </c>
      <c r="AY289" s="61">
        <f t="shared" si="125"/>
        <v>1286.5800000000002</v>
      </c>
      <c r="AZ289" s="56">
        <f t="shared" si="120"/>
        <v>2573.1600000000003</v>
      </c>
      <c r="BA289" s="62">
        <f t="shared" si="108"/>
        <v>41169.21</v>
      </c>
      <c r="BB289" s="62">
        <f t="shared" si="126"/>
        <v>31734.520000000008</v>
      </c>
      <c r="BC289" s="62">
        <f t="shared" si="112"/>
        <v>9434.6899999999914</v>
      </c>
      <c r="BD289" s="63"/>
      <c r="BE289" s="57"/>
      <c r="BF289" s="35" t="e">
        <f>VLOOKUP(A:A,'2023-2027'!A:G,1,+FALSE)</f>
        <v>#N/A</v>
      </c>
      <c r="BG289" s="7" t="e">
        <f t="shared" si="131"/>
        <v>#N/A</v>
      </c>
      <c r="BH289" s="35"/>
    </row>
    <row r="290" spans="1:60" ht="24" hidden="1" customHeight="1" outlineLevel="1" x14ac:dyDescent="0.2">
      <c r="A290" s="59" t="s">
        <v>779</v>
      </c>
      <c r="B290" s="59" t="s">
        <v>31</v>
      </c>
      <c r="C290" s="59" t="s">
        <v>83</v>
      </c>
      <c r="D290" s="65" t="s">
        <v>780</v>
      </c>
      <c r="E290" s="59" t="s">
        <v>778</v>
      </c>
      <c r="F290" s="60">
        <v>41169.21</v>
      </c>
      <c r="G290" s="60">
        <v>24015.040000000001</v>
      </c>
      <c r="H290" s="60">
        <v>17154.169999999998</v>
      </c>
      <c r="I290" s="59"/>
      <c r="J290" s="60">
        <v>2573.16</v>
      </c>
      <c r="K290" s="59"/>
      <c r="L290" s="59"/>
      <c r="M290" s="60">
        <v>41169.21</v>
      </c>
      <c r="N290" s="60">
        <v>26588.2</v>
      </c>
      <c r="O290" s="60">
        <v>14581.01</v>
      </c>
      <c r="P290" s="55"/>
      <c r="Q290" s="55"/>
      <c r="R290" s="61">
        <f t="shared" si="122"/>
        <v>214.42999999999998</v>
      </c>
      <c r="S290" s="60">
        <v>214.43</v>
      </c>
      <c r="T290" s="60">
        <v>214.43</v>
      </c>
      <c r="U290" s="60">
        <v>214.43</v>
      </c>
      <c r="V290" s="60">
        <v>214.43</v>
      </c>
      <c r="W290" s="60">
        <v>214.43</v>
      </c>
      <c r="X290" s="61">
        <f t="shared" si="123"/>
        <v>1286.5800000000002</v>
      </c>
      <c r="Y290" s="60">
        <v>214.43</v>
      </c>
      <c r="Z290" s="60">
        <v>214.43</v>
      </c>
      <c r="AA290" s="60">
        <v>214.43</v>
      </c>
      <c r="AB290" s="60">
        <v>214.43</v>
      </c>
      <c r="AC290" s="60">
        <v>214.43</v>
      </c>
      <c r="AD290" s="60">
        <v>214.43</v>
      </c>
      <c r="AE290" s="61">
        <f t="shared" si="127"/>
        <v>1286.5800000000002</v>
      </c>
      <c r="AF290" s="62">
        <f t="shared" si="135"/>
        <v>41169.21</v>
      </c>
      <c r="AG290" s="62">
        <f t="shared" si="136"/>
        <v>29161.360000000004</v>
      </c>
      <c r="AH290" s="62">
        <f t="shared" si="128"/>
        <v>12007.849999999995</v>
      </c>
      <c r="AI290" s="63"/>
      <c r="AJ290" s="63"/>
      <c r="AK290" s="62"/>
      <c r="AL290" s="60">
        <v>214.43</v>
      </c>
      <c r="AM290" s="60">
        <v>214.43</v>
      </c>
      <c r="AN290" s="60">
        <v>214.43</v>
      </c>
      <c r="AO290" s="60">
        <v>214.43</v>
      </c>
      <c r="AP290" s="60">
        <v>214.43</v>
      </c>
      <c r="AQ290" s="60">
        <v>214.43</v>
      </c>
      <c r="AR290" s="61">
        <f t="shared" si="124"/>
        <v>1286.5800000000002</v>
      </c>
      <c r="AS290" s="60">
        <v>214.43</v>
      </c>
      <c r="AT290" s="60">
        <v>214.43</v>
      </c>
      <c r="AU290" s="60">
        <v>214.43</v>
      </c>
      <c r="AV290" s="60">
        <v>214.43</v>
      </c>
      <c r="AW290" s="60">
        <v>214.43</v>
      </c>
      <c r="AX290" s="60">
        <v>214.43</v>
      </c>
      <c r="AY290" s="61">
        <f t="shared" si="125"/>
        <v>1286.5800000000002</v>
      </c>
      <c r="AZ290" s="56">
        <f t="shared" si="120"/>
        <v>2573.1600000000003</v>
      </c>
      <c r="BA290" s="62">
        <f t="shared" si="108"/>
        <v>41169.21</v>
      </c>
      <c r="BB290" s="62">
        <f t="shared" si="126"/>
        <v>31734.520000000008</v>
      </c>
      <c r="BC290" s="62">
        <f t="shared" si="112"/>
        <v>9434.6899999999914</v>
      </c>
      <c r="BD290" s="63"/>
      <c r="BE290" s="57"/>
      <c r="BF290" s="35" t="e">
        <f>VLOOKUP(A:A,'2023-2027'!A:G,1,+FALSE)</f>
        <v>#N/A</v>
      </c>
      <c r="BG290" s="7" t="e">
        <f t="shared" si="131"/>
        <v>#N/A</v>
      </c>
      <c r="BH290" s="35"/>
    </row>
    <row r="291" spans="1:60" ht="24" hidden="1" customHeight="1" outlineLevel="1" x14ac:dyDescent="0.2">
      <c r="A291" s="59" t="s">
        <v>781</v>
      </c>
      <c r="B291" s="59" t="s">
        <v>31</v>
      </c>
      <c r="C291" s="59" t="s">
        <v>83</v>
      </c>
      <c r="D291" s="65" t="s">
        <v>782</v>
      </c>
      <c r="E291" s="59" t="s">
        <v>778</v>
      </c>
      <c r="F291" s="60">
        <v>41169.21</v>
      </c>
      <c r="G291" s="60">
        <v>24015.040000000001</v>
      </c>
      <c r="H291" s="60">
        <v>17154.169999999998</v>
      </c>
      <c r="I291" s="59"/>
      <c r="J291" s="60">
        <v>2573.16</v>
      </c>
      <c r="K291" s="59"/>
      <c r="L291" s="59"/>
      <c r="M291" s="60">
        <v>41169.21</v>
      </c>
      <c r="N291" s="60">
        <v>26588.2</v>
      </c>
      <c r="O291" s="60">
        <v>14581.01</v>
      </c>
      <c r="P291" s="55"/>
      <c r="Q291" s="55"/>
      <c r="R291" s="61">
        <f t="shared" si="122"/>
        <v>214.42999999999998</v>
      </c>
      <c r="S291" s="60">
        <v>214.43</v>
      </c>
      <c r="T291" s="60">
        <v>214.43</v>
      </c>
      <c r="U291" s="60">
        <v>214.43</v>
      </c>
      <c r="V291" s="60">
        <v>214.43</v>
      </c>
      <c r="W291" s="60">
        <v>214.43</v>
      </c>
      <c r="X291" s="61">
        <f t="shared" si="123"/>
        <v>1286.5800000000002</v>
      </c>
      <c r="Y291" s="60">
        <v>214.43</v>
      </c>
      <c r="Z291" s="60">
        <v>214.43</v>
      </c>
      <c r="AA291" s="60">
        <v>214.43</v>
      </c>
      <c r="AB291" s="60">
        <v>214.43</v>
      </c>
      <c r="AC291" s="60">
        <v>214.43</v>
      </c>
      <c r="AD291" s="60">
        <v>214.43</v>
      </c>
      <c r="AE291" s="61">
        <f t="shared" si="127"/>
        <v>1286.5800000000002</v>
      </c>
      <c r="AF291" s="62">
        <f t="shared" si="135"/>
        <v>41169.21</v>
      </c>
      <c r="AG291" s="62">
        <f t="shared" si="136"/>
        <v>29161.360000000004</v>
      </c>
      <c r="AH291" s="62">
        <f t="shared" si="128"/>
        <v>12007.849999999995</v>
      </c>
      <c r="AI291" s="63"/>
      <c r="AJ291" s="63"/>
      <c r="AK291" s="62"/>
      <c r="AL291" s="60">
        <v>214.43</v>
      </c>
      <c r="AM291" s="60">
        <v>214.43</v>
      </c>
      <c r="AN291" s="60">
        <v>214.43</v>
      </c>
      <c r="AO291" s="60">
        <v>214.43</v>
      </c>
      <c r="AP291" s="60">
        <v>214.43</v>
      </c>
      <c r="AQ291" s="60">
        <v>214.43</v>
      </c>
      <c r="AR291" s="61">
        <f t="shared" si="124"/>
        <v>1286.5800000000002</v>
      </c>
      <c r="AS291" s="60">
        <v>214.43</v>
      </c>
      <c r="AT291" s="60">
        <v>214.43</v>
      </c>
      <c r="AU291" s="60">
        <v>214.43</v>
      </c>
      <c r="AV291" s="60">
        <v>214.43</v>
      </c>
      <c r="AW291" s="60">
        <v>214.43</v>
      </c>
      <c r="AX291" s="60">
        <v>214.43</v>
      </c>
      <c r="AY291" s="61">
        <f t="shared" si="125"/>
        <v>1286.5800000000002</v>
      </c>
      <c r="AZ291" s="56">
        <f t="shared" si="120"/>
        <v>2573.1600000000003</v>
      </c>
      <c r="BA291" s="62">
        <f t="shared" si="108"/>
        <v>41169.21</v>
      </c>
      <c r="BB291" s="62">
        <f t="shared" si="126"/>
        <v>31734.520000000008</v>
      </c>
      <c r="BC291" s="62">
        <f t="shared" si="112"/>
        <v>9434.6899999999914</v>
      </c>
      <c r="BD291" s="63"/>
      <c r="BE291" s="57"/>
      <c r="BF291" s="35" t="e">
        <f>VLOOKUP(A:A,'2023-2027'!A:G,1,+FALSE)</f>
        <v>#N/A</v>
      </c>
      <c r="BG291" s="7" t="e">
        <f t="shared" si="131"/>
        <v>#N/A</v>
      </c>
      <c r="BH291" s="35"/>
    </row>
    <row r="292" spans="1:60" ht="24" hidden="1" customHeight="1" outlineLevel="1" x14ac:dyDescent="0.2">
      <c r="A292" s="59" t="s">
        <v>783</v>
      </c>
      <c r="B292" s="59" t="s">
        <v>31</v>
      </c>
      <c r="C292" s="59" t="s">
        <v>83</v>
      </c>
      <c r="D292" s="65" t="s">
        <v>784</v>
      </c>
      <c r="E292" s="59" t="s">
        <v>778</v>
      </c>
      <c r="F292" s="60">
        <v>41169.21</v>
      </c>
      <c r="G292" s="60">
        <v>24015.040000000001</v>
      </c>
      <c r="H292" s="60">
        <v>17154.169999999998</v>
      </c>
      <c r="I292" s="59"/>
      <c r="J292" s="60">
        <v>2573.16</v>
      </c>
      <c r="K292" s="59"/>
      <c r="L292" s="59"/>
      <c r="M292" s="60">
        <v>41169.21</v>
      </c>
      <c r="N292" s="60">
        <v>26588.2</v>
      </c>
      <c r="O292" s="60">
        <v>14581.01</v>
      </c>
      <c r="P292" s="55"/>
      <c r="Q292" s="55"/>
      <c r="R292" s="61">
        <f t="shared" si="122"/>
        <v>214.42999999999998</v>
      </c>
      <c r="S292" s="60">
        <v>214.43</v>
      </c>
      <c r="T292" s="60">
        <v>214.43</v>
      </c>
      <c r="U292" s="60">
        <v>214.43</v>
      </c>
      <c r="V292" s="60">
        <v>214.43</v>
      </c>
      <c r="W292" s="60">
        <v>214.43</v>
      </c>
      <c r="X292" s="61">
        <f t="shared" si="123"/>
        <v>1286.5800000000002</v>
      </c>
      <c r="Y292" s="60">
        <v>214.43</v>
      </c>
      <c r="Z292" s="60">
        <v>214.43</v>
      </c>
      <c r="AA292" s="60">
        <v>214.43</v>
      </c>
      <c r="AB292" s="60">
        <v>214.43</v>
      </c>
      <c r="AC292" s="60">
        <v>214.43</v>
      </c>
      <c r="AD292" s="60">
        <v>214.43</v>
      </c>
      <c r="AE292" s="61">
        <f t="shared" si="127"/>
        <v>1286.5800000000002</v>
      </c>
      <c r="AF292" s="62">
        <f t="shared" si="135"/>
        <v>41169.21</v>
      </c>
      <c r="AG292" s="62">
        <f t="shared" si="136"/>
        <v>29161.360000000004</v>
      </c>
      <c r="AH292" s="62">
        <f t="shared" si="128"/>
        <v>12007.849999999995</v>
      </c>
      <c r="AI292" s="63"/>
      <c r="AJ292" s="63"/>
      <c r="AK292" s="62"/>
      <c r="AL292" s="60">
        <v>214.43</v>
      </c>
      <c r="AM292" s="60">
        <v>214.43</v>
      </c>
      <c r="AN292" s="60">
        <v>214.43</v>
      </c>
      <c r="AO292" s="60">
        <v>214.43</v>
      </c>
      <c r="AP292" s="60">
        <v>214.43</v>
      </c>
      <c r="AQ292" s="60">
        <v>214.43</v>
      </c>
      <c r="AR292" s="61">
        <f t="shared" si="124"/>
        <v>1286.5800000000002</v>
      </c>
      <c r="AS292" s="60">
        <v>214.43</v>
      </c>
      <c r="AT292" s="60">
        <v>214.43</v>
      </c>
      <c r="AU292" s="60">
        <v>214.43</v>
      </c>
      <c r="AV292" s="60">
        <v>214.43</v>
      </c>
      <c r="AW292" s="60">
        <v>214.43</v>
      </c>
      <c r="AX292" s="60">
        <v>214.43</v>
      </c>
      <c r="AY292" s="61">
        <f t="shared" si="125"/>
        <v>1286.5800000000002</v>
      </c>
      <c r="AZ292" s="56">
        <f t="shared" si="120"/>
        <v>2573.1600000000003</v>
      </c>
      <c r="BA292" s="62">
        <f t="shared" si="108"/>
        <v>41169.21</v>
      </c>
      <c r="BB292" s="62">
        <f t="shared" si="126"/>
        <v>31734.520000000008</v>
      </c>
      <c r="BC292" s="62">
        <f t="shared" si="112"/>
        <v>9434.6899999999914</v>
      </c>
      <c r="BD292" s="63"/>
      <c r="BE292" s="57"/>
      <c r="BF292" s="35" t="e">
        <f>VLOOKUP(A:A,'2023-2027'!A:G,1,+FALSE)</f>
        <v>#N/A</v>
      </c>
      <c r="BG292" s="7" t="e">
        <f t="shared" si="131"/>
        <v>#N/A</v>
      </c>
      <c r="BH292" s="35"/>
    </row>
    <row r="293" spans="1:60" ht="24" hidden="1" customHeight="1" outlineLevel="1" x14ac:dyDescent="0.2">
      <c r="A293" s="59" t="s">
        <v>785</v>
      </c>
      <c r="B293" s="59" t="s">
        <v>31</v>
      </c>
      <c r="C293" s="59" t="s">
        <v>83</v>
      </c>
      <c r="D293" s="65" t="s">
        <v>786</v>
      </c>
      <c r="E293" s="59" t="s">
        <v>787</v>
      </c>
      <c r="F293" s="60">
        <v>41169.22</v>
      </c>
      <c r="G293" s="60">
        <v>22728.52</v>
      </c>
      <c r="H293" s="60">
        <v>18440.7</v>
      </c>
      <c r="I293" s="59"/>
      <c r="J293" s="60">
        <v>2573.16</v>
      </c>
      <c r="K293" s="59"/>
      <c r="L293" s="59"/>
      <c r="M293" s="60">
        <v>41169.22</v>
      </c>
      <c r="N293" s="60">
        <v>25301.68</v>
      </c>
      <c r="O293" s="60">
        <v>15867.54</v>
      </c>
      <c r="P293" s="55"/>
      <c r="Q293" s="55"/>
      <c r="R293" s="61">
        <f t="shared" si="122"/>
        <v>214.42999999999998</v>
      </c>
      <c r="S293" s="60">
        <v>214.43</v>
      </c>
      <c r="T293" s="60">
        <v>214.43</v>
      </c>
      <c r="U293" s="60">
        <v>214.43</v>
      </c>
      <c r="V293" s="60">
        <v>214.43</v>
      </c>
      <c r="W293" s="60">
        <v>214.43</v>
      </c>
      <c r="X293" s="61">
        <f t="shared" si="123"/>
        <v>1286.5800000000002</v>
      </c>
      <c r="Y293" s="60">
        <v>214.43</v>
      </c>
      <c r="Z293" s="60">
        <v>214.43</v>
      </c>
      <c r="AA293" s="60">
        <v>214.43</v>
      </c>
      <c r="AB293" s="60">
        <v>214.43</v>
      </c>
      <c r="AC293" s="60">
        <v>214.43</v>
      </c>
      <c r="AD293" s="60">
        <v>214.43</v>
      </c>
      <c r="AE293" s="61">
        <f t="shared" si="127"/>
        <v>1286.5800000000002</v>
      </c>
      <c r="AF293" s="62">
        <f t="shared" si="135"/>
        <v>41169.22</v>
      </c>
      <c r="AG293" s="62">
        <f t="shared" si="136"/>
        <v>27874.840000000004</v>
      </c>
      <c r="AH293" s="62">
        <f t="shared" si="128"/>
        <v>13294.379999999997</v>
      </c>
      <c r="AI293" s="63"/>
      <c r="AJ293" s="63"/>
      <c r="AK293" s="62"/>
      <c r="AL293" s="60">
        <v>214.43</v>
      </c>
      <c r="AM293" s="60">
        <v>214.43</v>
      </c>
      <c r="AN293" s="60">
        <v>214.43</v>
      </c>
      <c r="AO293" s="60">
        <v>214.43</v>
      </c>
      <c r="AP293" s="60">
        <v>214.43</v>
      </c>
      <c r="AQ293" s="60">
        <v>214.43</v>
      </c>
      <c r="AR293" s="61">
        <f t="shared" si="124"/>
        <v>1286.5800000000002</v>
      </c>
      <c r="AS293" s="60">
        <v>214.43</v>
      </c>
      <c r="AT293" s="60">
        <v>214.43</v>
      </c>
      <c r="AU293" s="60">
        <v>214.43</v>
      </c>
      <c r="AV293" s="60">
        <v>214.43</v>
      </c>
      <c r="AW293" s="60">
        <v>214.43</v>
      </c>
      <c r="AX293" s="60">
        <v>214.43</v>
      </c>
      <c r="AY293" s="61">
        <f t="shared" si="125"/>
        <v>1286.5800000000002</v>
      </c>
      <c r="AZ293" s="56">
        <f t="shared" si="120"/>
        <v>2573.1600000000003</v>
      </c>
      <c r="BA293" s="62">
        <f t="shared" si="108"/>
        <v>41169.22</v>
      </c>
      <c r="BB293" s="62">
        <f t="shared" si="126"/>
        <v>30448.000000000007</v>
      </c>
      <c r="BC293" s="62">
        <f t="shared" si="112"/>
        <v>10721.219999999994</v>
      </c>
      <c r="BD293" s="63"/>
      <c r="BE293" s="57"/>
      <c r="BF293" s="35" t="e">
        <f>VLOOKUP(A:A,'2023-2027'!A:G,1,+FALSE)</f>
        <v>#N/A</v>
      </c>
      <c r="BG293" s="7" t="e">
        <f t="shared" si="131"/>
        <v>#N/A</v>
      </c>
      <c r="BH293" s="35"/>
    </row>
    <row r="294" spans="1:60" ht="24" hidden="1" customHeight="1" outlineLevel="1" x14ac:dyDescent="0.2">
      <c r="A294" s="59" t="s">
        <v>788</v>
      </c>
      <c r="B294" s="59" t="s">
        <v>31</v>
      </c>
      <c r="C294" s="59" t="s">
        <v>83</v>
      </c>
      <c r="D294" s="65" t="s">
        <v>789</v>
      </c>
      <c r="E294" s="59" t="s">
        <v>787</v>
      </c>
      <c r="F294" s="60">
        <v>41169.21</v>
      </c>
      <c r="G294" s="60">
        <v>22728.52</v>
      </c>
      <c r="H294" s="60">
        <v>18440.689999999999</v>
      </c>
      <c r="I294" s="59"/>
      <c r="J294" s="60">
        <v>2573.16</v>
      </c>
      <c r="K294" s="59"/>
      <c r="L294" s="59"/>
      <c r="M294" s="60">
        <v>41169.21</v>
      </c>
      <c r="N294" s="60">
        <v>25301.68</v>
      </c>
      <c r="O294" s="60">
        <v>15867.53</v>
      </c>
      <c r="P294" s="55"/>
      <c r="Q294" s="55"/>
      <c r="R294" s="61">
        <f t="shared" si="122"/>
        <v>214.42999999999998</v>
      </c>
      <c r="S294" s="60">
        <v>214.43</v>
      </c>
      <c r="T294" s="60">
        <v>214.43</v>
      </c>
      <c r="U294" s="60">
        <v>214.43</v>
      </c>
      <c r="V294" s="60">
        <v>214.43</v>
      </c>
      <c r="W294" s="60">
        <v>214.43</v>
      </c>
      <c r="X294" s="61">
        <f t="shared" si="123"/>
        <v>1286.5800000000002</v>
      </c>
      <c r="Y294" s="60">
        <v>214.43</v>
      </c>
      <c r="Z294" s="60">
        <v>214.43</v>
      </c>
      <c r="AA294" s="60">
        <v>214.43</v>
      </c>
      <c r="AB294" s="60">
        <v>214.43</v>
      </c>
      <c r="AC294" s="60">
        <v>214.43</v>
      </c>
      <c r="AD294" s="60">
        <v>214.43</v>
      </c>
      <c r="AE294" s="61">
        <f t="shared" si="127"/>
        <v>1286.5800000000002</v>
      </c>
      <c r="AF294" s="62">
        <f t="shared" si="135"/>
        <v>41169.21</v>
      </c>
      <c r="AG294" s="62">
        <f t="shared" si="136"/>
        <v>27874.840000000004</v>
      </c>
      <c r="AH294" s="62">
        <f t="shared" si="128"/>
        <v>13294.369999999995</v>
      </c>
      <c r="AI294" s="63"/>
      <c r="AJ294" s="63"/>
      <c r="AK294" s="62"/>
      <c r="AL294" s="60">
        <v>214.43</v>
      </c>
      <c r="AM294" s="60">
        <v>214.43</v>
      </c>
      <c r="AN294" s="60">
        <v>214.43</v>
      </c>
      <c r="AO294" s="60">
        <v>214.43</v>
      </c>
      <c r="AP294" s="60">
        <v>214.43</v>
      </c>
      <c r="AQ294" s="60">
        <v>214.43</v>
      </c>
      <c r="AR294" s="61">
        <f t="shared" si="124"/>
        <v>1286.5800000000002</v>
      </c>
      <c r="AS294" s="60">
        <v>214.43</v>
      </c>
      <c r="AT294" s="60">
        <v>214.43</v>
      </c>
      <c r="AU294" s="60">
        <v>214.43</v>
      </c>
      <c r="AV294" s="60">
        <v>214.43</v>
      </c>
      <c r="AW294" s="60">
        <v>214.43</v>
      </c>
      <c r="AX294" s="60">
        <v>214.43</v>
      </c>
      <c r="AY294" s="61">
        <f t="shared" si="125"/>
        <v>1286.5800000000002</v>
      </c>
      <c r="AZ294" s="56">
        <f t="shared" si="120"/>
        <v>2573.1600000000003</v>
      </c>
      <c r="BA294" s="62">
        <f t="shared" si="108"/>
        <v>41169.21</v>
      </c>
      <c r="BB294" s="62">
        <f t="shared" si="126"/>
        <v>30448.000000000007</v>
      </c>
      <c r="BC294" s="62">
        <f t="shared" si="112"/>
        <v>10721.209999999992</v>
      </c>
      <c r="BD294" s="63"/>
      <c r="BE294" s="57"/>
      <c r="BF294" s="35" t="e">
        <f>VLOOKUP(A:A,'2023-2027'!A:G,1,+FALSE)</f>
        <v>#N/A</v>
      </c>
      <c r="BG294" s="7" t="e">
        <f t="shared" si="131"/>
        <v>#N/A</v>
      </c>
      <c r="BH294" s="35"/>
    </row>
    <row r="295" spans="1:60" ht="24" hidden="1" customHeight="1" outlineLevel="1" x14ac:dyDescent="0.2">
      <c r="A295" s="59" t="s">
        <v>790</v>
      </c>
      <c r="B295" s="59" t="s">
        <v>31</v>
      </c>
      <c r="C295" s="59" t="s">
        <v>83</v>
      </c>
      <c r="D295" s="65" t="s">
        <v>791</v>
      </c>
      <c r="E295" s="59" t="s">
        <v>792</v>
      </c>
      <c r="F295" s="60">
        <v>41169.21</v>
      </c>
      <c r="G295" s="60">
        <v>23157.360000000001</v>
      </c>
      <c r="H295" s="60">
        <v>18011.849999999999</v>
      </c>
      <c r="I295" s="59"/>
      <c r="J295" s="60">
        <v>2573.16</v>
      </c>
      <c r="K295" s="59"/>
      <c r="L295" s="59"/>
      <c r="M295" s="60">
        <v>41169.21</v>
      </c>
      <c r="N295" s="60">
        <v>25730.52</v>
      </c>
      <c r="O295" s="60">
        <v>15438.69</v>
      </c>
      <c r="P295" s="55"/>
      <c r="Q295" s="55"/>
      <c r="R295" s="61">
        <f t="shared" si="122"/>
        <v>214.42999999999998</v>
      </c>
      <c r="S295" s="60">
        <v>214.43</v>
      </c>
      <c r="T295" s="60">
        <v>214.43</v>
      </c>
      <c r="U295" s="60">
        <v>214.43</v>
      </c>
      <c r="V295" s="60">
        <v>214.43</v>
      </c>
      <c r="W295" s="60">
        <v>214.43</v>
      </c>
      <c r="X295" s="61">
        <f t="shared" si="123"/>
        <v>1286.5800000000002</v>
      </c>
      <c r="Y295" s="60">
        <v>214.43</v>
      </c>
      <c r="Z295" s="60">
        <v>214.43</v>
      </c>
      <c r="AA295" s="60">
        <v>214.43</v>
      </c>
      <c r="AB295" s="60">
        <v>214.43</v>
      </c>
      <c r="AC295" s="60">
        <v>214.43</v>
      </c>
      <c r="AD295" s="60">
        <v>214.43</v>
      </c>
      <c r="AE295" s="61">
        <f t="shared" si="127"/>
        <v>1286.5800000000002</v>
      </c>
      <c r="AF295" s="62">
        <f t="shared" si="135"/>
        <v>41169.21</v>
      </c>
      <c r="AG295" s="62">
        <f t="shared" si="136"/>
        <v>28303.680000000004</v>
      </c>
      <c r="AH295" s="62">
        <f t="shared" si="128"/>
        <v>12865.529999999995</v>
      </c>
      <c r="AI295" s="63"/>
      <c r="AJ295" s="63"/>
      <c r="AK295" s="62"/>
      <c r="AL295" s="60">
        <v>214.43</v>
      </c>
      <c r="AM295" s="60">
        <v>214.43</v>
      </c>
      <c r="AN295" s="60">
        <v>214.43</v>
      </c>
      <c r="AO295" s="60">
        <v>214.43</v>
      </c>
      <c r="AP295" s="60">
        <v>214.43</v>
      </c>
      <c r="AQ295" s="60">
        <v>214.43</v>
      </c>
      <c r="AR295" s="61">
        <f t="shared" si="124"/>
        <v>1286.5800000000002</v>
      </c>
      <c r="AS295" s="60">
        <v>214.43</v>
      </c>
      <c r="AT295" s="60">
        <v>214.43</v>
      </c>
      <c r="AU295" s="60">
        <v>214.43</v>
      </c>
      <c r="AV295" s="60">
        <v>214.43</v>
      </c>
      <c r="AW295" s="60">
        <v>214.43</v>
      </c>
      <c r="AX295" s="60">
        <v>214.43</v>
      </c>
      <c r="AY295" s="61">
        <f t="shared" si="125"/>
        <v>1286.5800000000002</v>
      </c>
      <c r="AZ295" s="56">
        <f t="shared" si="120"/>
        <v>2573.1600000000003</v>
      </c>
      <c r="BA295" s="62">
        <f t="shared" si="108"/>
        <v>41169.21</v>
      </c>
      <c r="BB295" s="62">
        <f t="shared" si="126"/>
        <v>30876.840000000007</v>
      </c>
      <c r="BC295" s="62">
        <f t="shared" si="112"/>
        <v>10292.369999999992</v>
      </c>
      <c r="BD295" s="63"/>
      <c r="BE295" s="57"/>
      <c r="BF295" s="35" t="e">
        <f>VLOOKUP(A:A,'2023-2027'!A:G,1,+FALSE)</f>
        <v>#N/A</v>
      </c>
      <c r="BG295" s="7" t="e">
        <f t="shared" si="131"/>
        <v>#N/A</v>
      </c>
      <c r="BH295" s="35"/>
    </row>
    <row r="296" spans="1:60" ht="24" hidden="1" customHeight="1" outlineLevel="1" x14ac:dyDescent="0.2">
      <c r="A296" s="59" t="s">
        <v>793</v>
      </c>
      <c r="B296" s="59" t="s">
        <v>31</v>
      </c>
      <c r="C296" s="59" t="s">
        <v>83</v>
      </c>
      <c r="D296" s="65" t="s">
        <v>794</v>
      </c>
      <c r="E296" s="59" t="s">
        <v>787</v>
      </c>
      <c r="F296" s="60">
        <v>41169.21</v>
      </c>
      <c r="G296" s="60">
        <v>22728.52</v>
      </c>
      <c r="H296" s="60">
        <v>18440.689999999999</v>
      </c>
      <c r="I296" s="59"/>
      <c r="J296" s="60">
        <v>2573.16</v>
      </c>
      <c r="K296" s="59"/>
      <c r="L296" s="59"/>
      <c r="M296" s="60">
        <v>41169.21</v>
      </c>
      <c r="N296" s="60">
        <v>25301.68</v>
      </c>
      <c r="O296" s="60">
        <v>15867.53</v>
      </c>
      <c r="P296" s="55"/>
      <c r="Q296" s="55"/>
      <c r="R296" s="61">
        <f t="shared" si="122"/>
        <v>214.42999999999998</v>
      </c>
      <c r="S296" s="60">
        <v>214.43</v>
      </c>
      <c r="T296" s="60">
        <v>214.43</v>
      </c>
      <c r="U296" s="60">
        <v>214.43</v>
      </c>
      <c r="V296" s="60">
        <v>214.43</v>
      </c>
      <c r="W296" s="60">
        <v>214.43</v>
      </c>
      <c r="X296" s="61">
        <f t="shared" si="123"/>
        <v>1286.5800000000002</v>
      </c>
      <c r="Y296" s="60">
        <v>214.43</v>
      </c>
      <c r="Z296" s="60">
        <v>214.43</v>
      </c>
      <c r="AA296" s="60">
        <v>214.43</v>
      </c>
      <c r="AB296" s="60">
        <v>214.43</v>
      </c>
      <c r="AC296" s="60">
        <v>214.43</v>
      </c>
      <c r="AD296" s="60">
        <v>214.43</v>
      </c>
      <c r="AE296" s="61">
        <f t="shared" si="127"/>
        <v>1286.5800000000002</v>
      </c>
      <c r="AF296" s="62">
        <f t="shared" si="135"/>
        <v>41169.21</v>
      </c>
      <c r="AG296" s="62">
        <f t="shared" si="136"/>
        <v>27874.840000000004</v>
      </c>
      <c r="AH296" s="62">
        <f t="shared" si="128"/>
        <v>13294.369999999995</v>
      </c>
      <c r="AI296" s="63"/>
      <c r="AJ296" s="63"/>
      <c r="AK296" s="62"/>
      <c r="AL296" s="60">
        <v>214.43</v>
      </c>
      <c r="AM296" s="60">
        <v>214.43</v>
      </c>
      <c r="AN296" s="60">
        <v>214.43</v>
      </c>
      <c r="AO296" s="60">
        <v>214.43</v>
      </c>
      <c r="AP296" s="60">
        <v>214.43</v>
      </c>
      <c r="AQ296" s="60">
        <v>214.43</v>
      </c>
      <c r="AR296" s="61">
        <f t="shared" si="124"/>
        <v>1286.5800000000002</v>
      </c>
      <c r="AS296" s="60">
        <v>214.43</v>
      </c>
      <c r="AT296" s="60">
        <v>214.43</v>
      </c>
      <c r="AU296" s="60">
        <v>214.43</v>
      </c>
      <c r="AV296" s="60">
        <v>214.43</v>
      </c>
      <c r="AW296" s="60">
        <v>214.43</v>
      </c>
      <c r="AX296" s="60">
        <v>214.43</v>
      </c>
      <c r="AY296" s="61">
        <f t="shared" si="125"/>
        <v>1286.5800000000002</v>
      </c>
      <c r="AZ296" s="56">
        <f t="shared" si="120"/>
        <v>2573.1600000000003</v>
      </c>
      <c r="BA296" s="62">
        <f t="shared" si="108"/>
        <v>41169.21</v>
      </c>
      <c r="BB296" s="62">
        <f t="shared" si="126"/>
        <v>30448.000000000007</v>
      </c>
      <c r="BC296" s="62">
        <f t="shared" si="112"/>
        <v>10721.209999999992</v>
      </c>
      <c r="BD296" s="63"/>
      <c r="BE296" s="57"/>
      <c r="BF296" s="35" t="e">
        <f>VLOOKUP(A:A,'2023-2027'!A:G,1,+FALSE)</f>
        <v>#N/A</v>
      </c>
      <c r="BG296" s="7" t="e">
        <f t="shared" si="131"/>
        <v>#N/A</v>
      </c>
      <c r="BH296" s="35"/>
    </row>
    <row r="297" spans="1:60" ht="24" hidden="1" customHeight="1" outlineLevel="1" x14ac:dyDescent="0.2">
      <c r="A297" s="59" t="s">
        <v>795</v>
      </c>
      <c r="B297" s="59" t="s">
        <v>31</v>
      </c>
      <c r="C297" s="59" t="s">
        <v>83</v>
      </c>
      <c r="D297" s="65" t="s">
        <v>796</v>
      </c>
      <c r="E297" s="59" t="s">
        <v>595</v>
      </c>
      <c r="F297" s="60">
        <v>41538.339999999997</v>
      </c>
      <c r="G297" s="60">
        <v>24663.9</v>
      </c>
      <c r="H297" s="60">
        <v>16874.439999999999</v>
      </c>
      <c r="I297" s="59"/>
      <c r="J297" s="60">
        <v>2596.08</v>
      </c>
      <c r="K297" s="59"/>
      <c r="L297" s="59"/>
      <c r="M297" s="60">
        <v>41538.339999999997</v>
      </c>
      <c r="N297" s="60">
        <v>27259.98</v>
      </c>
      <c r="O297" s="60">
        <v>14278.36</v>
      </c>
      <c r="P297" s="55"/>
      <c r="Q297" s="55"/>
      <c r="R297" s="61">
        <f t="shared" si="122"/>
        <v>216.34</v>
      </c>
      <c r="S297" s="60">
        <v>216.34</v>
      </c>
      <c r="T297" s="60">
        <v>216.34</v>
      </c>
      <c r="U297" s="60">
        <v>216.34</v>
      </c>
      <c r="V297" s="60">
        <v>216.34</v>
      </c>
      <c r="W297" s="60">
        <v>216.34</v>
      </c>
      <c r="X297" s="61">
        <f t="shared" si="123"/>
        <v>1298.04</v>
      </c>
      <c r="Y297" s="60">
        <v>216.34</v>
      </c>
      <c r="Z297" s="60">
        <v>216.34</v>
      </c>
      <c r="AA297" s="60">
        <v>216.34</v>
      </c>
      <c r="AB297" s="60">
        <v>216.34</v>
      </c>
      <c r="AC297" s="60">
        <v>216.34</v>
      </c>
      <c r="AD297" s="60">
        <v>216.34</v>
      </c>
      <c r="AE297" s="61">
        <f t="shared" si="127"/>
        <v>1298.04</v>
      </c>
      <c r="AF297" s="62">
        <f t="shared" si="135"/>
        <v>41538.339999999997</v>
      </c>
      <c r="AG297" s="62">
        <f t="shared" si="136"/>
        <v>29856.06</v>
      </c>
      <c r="AH297" s="62">
        <f t="shared" si="128"/>
        <v>11682.279999999995</v>
      </c>
      <c r="AI297" s="63"/>
      <c r="AJ297" s="63"/>
      <c r="AK297" s="62"/>
      <c r="AL297" s="60">
        <v>216.34</v>
      </c>
      <c r="AM297" s="60">
        <v>216.34</v>
      </c>
      <c r="AN297" s="60">
        <v>216.34</v>
      </c>
      <c r="AO297" s="60">
        <v>216.34</v>
      </c>
      <c r="AP297" s="60">
        <v>216.34</v>
      </c>
      <c r="AQ297" s="60">
        <v>216.34</v>
      </c>
      <c r="AR297" s="61">
        <f t="shared" si="124"/>
        <v>1298.04</v>
      </c>
      <c r="AS297" s="60">
        <v>216.34</v>
      </c>
      <c r="AT297" s="60">
        <v>216.34</v>
      </c>
      <c r="AU297" s="60">
        <v>216.34</v>
      </c>
      <c r="AV297" s="60">
        <v>216.34</v>
      </c>
      <c r="AW297" s="60">
        <v>216.34</v>
      </c>
      <c r="AX297" s="60">
        <v>216.34</v>
      </c>
      <c r="AY297" s="61">
        <f t="shared" si="125"/>
        <v>1298.04</v>
      </c>
      <c r="AZ297" s="56">
        <f t="shared" si="120"/>
        <v>2596.08</v>
      </c>
      <c r="BA297" s="62">
        <f t="shared" si="108"/>
        <v>41538.339999999997</v>
      </c>
      <c r="BB297" s="62">
        <f t="shared" si="126"/>
        <v>32452.140000000003</v>
      </c>
      <c r="BC297" s="62">
        <f t="shared" si="112"/>
        <v>9086.1999999999935</v>
      </c>
      <c r="BD297" s="63"/>
      <c r="BE297" s="57"/>
      <c r="BF297" s="35" t="e">
        <f>VLOOKUP(A:A,'2023-2027'!A:G,1,+FALSE)</f>
        <v>#N/A</v>
      </c>
      <c r="BG297" s="7" t="e">
        <f t="shared" si="131"/>
        <v>#N/A</v>
      </c>
      <c r="BH297" s="35"/>
    </row>
    <row r="298" spans="1:60" ht="24" hidden="1" customHeight="1" outlineLevel="1" x14ac:dyDescent="0.2">
      <c r="A298" s="59" t="s">
        <v>797</v>
      </c>
      <c r="B298" s="59" t="s">
        <v>31</v>
      </c>
      <c r="C298" s="59" t="s">
        <v>83</v>
      </c>
      <c r="D298" s="65" t="s">
        <v>798</v>
      </c>
      <c r="E298" s="59" t="s">
        <v>595</v>
      </c>
      <c r="F298" s="60">
        <v>41538.339999999997</v>
      </c>
      <c r="G298" s="60">
        <v>24663.9</v>
      </c>
      <c r="H298" s="60">
        <v>16874.439999999999</v>
      </c>
      <c r="I298" s="59"/>
      <c r="J298" s="60">
        <v>2596.08</v>
      </c>
      <c r="K298" s="59"/>
      <c r="L298" s="59"/>
      <c r="M298" s="60">
        <v>41538.339999999997</v>
      </c>
      <c r="N298" s="60">
        <v>27259.98</v>
      </c>
      <c r="O298" s="60">
        <v>14278.36</v>
      </c>
      <c r="P298" s="55"/>
      <c r="Q298" s="55"/>
      <c r="R298" s="61">
        <f t="shared" si="122"/>
        <v>216.34</v>
      </c>
      <c r="S298" s="60">
        <v>216.34</v>
      </c>
      <c r="T298" s="60">
        <v>216.34</v>
      </c>
      <c r="U298" s="60">
        <v>216.34</v>
      </c>
      <c r="V298" s="60">
        <v>216.34</v>
      </c>
      <c r="W298" s="60">
        <v>216.34</v>
      </c>
      <c r="X298" s="61">
        <f t="shared" si="123"/>
        <v>1298.04</v>
      </c>
      <c r="Y298" s="60">
        <v>216.34</v>
      </c>
      <c r="Z298" s="60">
        <v>216.34</v>
      </c>
      <c r="AA298" s="60">
        <v>216.34</v>
      </c>
      <c r="AB298" s="60">
        <v>216.34</v>
      </c>
      <c r="AC298" s="60">
        <v>216.34</v>
      </c>
      <c r="AD298" s="60">
        <v>216.34</v>
      </c>
      <c r="AE298" s="61">
        <f t="shared" si="127"/>
        <v>1298.04</v>
      </c>
      <c r="AF298" s="62">
        <f t="shared" si="135"/>
        <v>41538.339999999997</v>
      </c>
      <c r="AG298" s="62">
        <f t="shared" si="136"/>
        <v>29856.06</v>
      </c>
      <c r="AH298" s="62">
        <f t="shared" si="128"/>
        <v>11682.279999999995</v>
      </c>
      <c r="AI298" s="63"/>
      <c r="AJ298" s="63"/>
      <c r="AK298" s="62"/>
      <c r="AL298" s="60">
        <v>216.34</v>
      </c>
      <c r="AM298" s="60">
        <v>216.34</v>
      </c>
      <c r="AN298" s="60">
        <v>216.34</v>
      </c>
      <c r="AO298" s="60">
        <v>216.34</v>
      </c>
      <c r="AP298" s="60">
        <v>216.34</v>
      </c>
      <c r="AQ298" s="60">
        <v>216.34</v>
      </c>
      <c r="AR298" s="61">
        <f t="shared" si="124"/>
        <v>1298.04</v>
      </c>
      <c r="AS298" s="60">
        <v>216.34</v>
      </c>
      <c r="AT298" s="60">
        <v>216.34</v>
      </c>
      <c r="AU298" s="60">
        <v>216.34</v>
      </c>
      <c r="AV298" s="60">
        <v>216.34</v>
      </c>
      <c r="AW298" s="60">
        <v>216.34</v>
      </c>
      <c r="AX298" s="60">
        <v>216.34</v>
      </c>
      <c r="AY298" s="61">
        <f t="shared" si="125"/>
        <v>1298.04</v>
      </c>
      <c r="AZ298" s="56">
        <f t="shared" si="120"/>
        <v>2596.08</v>
      </c>
      <c r="BA298" s="62">
        <f t="shared" si="108"/>
        <v>41538.339999999997</v>
      </c>
      <c r="BB298" s="62">
        <f t="shared" si="126"/>
        <v>32452.140000000003</v>
      </c>
      <c r="BC298" s="62">
        <f t="shared" si="112"/>
        <v>9086.1999999999935</v>
      </c>
      <c r="BD298" s="63"/>
      <c r="BE298" s="57"/>
      <c r="BF298" s="35" t="e">
        <f>VLOOKUP(A:A,'2023-2027'!A:G,1,+FALSE)</f>
        <v>#N/A</v>
      </c>
      <c r="BG298" s="7" t="e">
        <f t="shared" si="131"/>
        <v>#N/A</v>
      </c>
      <c r="BH298" s="35"/>
    </row>
    <row r="299" spans="1:60" ht="24" hidden="1" customHeight="1" outlineLevel="1" x14ac:dyDescent="0.2">
      <c r="A299" s="59" t="s">
        <v>799</v>
      </c>
      <c r="B299" s="59" t="s">
        <v>31</v>
      </c>
      <c r="C299" s="59" t="s">
        <v>83</v>
      </c>
      <c r="D299" s="65" t="s">
        <v>800</v>
      </c>
      <c r="E299" s="59" t="s">
        <v>595</v>
      </c>
      <c r="F299" s="60">
        <v>41538.339999999997</v>
      </c>
      <c r="G299" s="60">
        <v>24663.9</v>
      </c>
      <c r="H299" s="60">
        <v>16874.439999999999</v>
      </c>
      <c r="I299" s="59"/>
      <c r="J299" s="60">
        <v>2596.08</v>
      </c>
      <c r="K299" s="59"/>
      <c r="L299" s="59"/>
      <c r="M299" s="60">
        <v>41538.339999999997</v>
      </c>
      <c r="N299" s="60">
        <v>27259.98</v>
      </c>
      <c r="O299" s="60">
        <v>14278.36</v>
      </c>
      <c r="P299" s="55"/>
      <c r="Q299" s="55"/>
      <c r="R299" s="61">
        <f t="shared" si="122"/>
        <v>216.34</v>
      </c>
      <c r="S299" s="60">
        <v>216.34</v>
      </c>
      <c r="T299" s="60">
        <v>216.34</v>
      </c>
      <c r="U299" s="60">
        <v>216.34</v>
      </c>
      <c r="V299" s="60">
        <v>216.34</v>
      </c>
      <c r="W299" s="60">
        <v>216.34</v>
      </c>
      <c r="X299" s="61">
        <f t="shared" si="123"/>
        <v>1298.04</v>
      </c>
      <c r="Y299" s="60">
        <v>216.34</v>
      </c>
      <c r="Z299" s="60">
        <v>216.34</v>
      </c>
      <c r="AA299" s="60">
        <v>216.34</v>
      </c>
      <c r="AB299" s="60">
        <v>216.34</v>
      </c>
      <c r="AC299" s="60">
        <v>216.34</v>
      </c>
      <c r="AD299" s="60">
        <v>216.34</v>
      </c>
      <c r="AE299" s="61">
        <f t="shared" si="127"/>
        <v>1298.04</v>
      </c>
      <c r="AF299" s="62">
        <f t="shared" si="135"/>
        <v>41538.339999999997</v>
      </c>
      <c r="AG299" s="62">
        <f t="shared" si="136"/>
        <v>29856.06</v>
      </c>
      <c r="AH299" s="62">
        <f t="shared" si="128"/>
        <v>11682.279999999995</v>
      </c>
      <c r="AI299" s="63"/>
      <c r="AJ299" s="63"/>
      <c r="AK299" s="62"/>
      <c r="AL299" s="60">
        <v>216.34</v>
      </c>
      <c r="AM299" s="60">
        <v>216.34</v>
      </c>
      <c r="AN299" s="60">
        <v>216.34</v>
      </c>
      <c r="AO299" s="60">
        <v>216.34</v>
      </c>
      <c r="AP299" s="60">
        <v>216.34</v>
      </c>
      <c r="AQ299" s="60">
        <v>216.34</v>
      </c>
      <c r="AR299" s="61">
        <f t="shared" si="124"/>
        <v>1298.04</v>
      </c>
      <c r="AS299" s="60">
        <v>216.34</v>
      </c>
      <c r="AT299" s="60">
        <v>216.34</v>
      </c>
      <c r="AU299" s="60">
        <v>216.34</v>
      </c>
      <c r="AV299" s="60">
        <v>216.34</v>
      </c>
      <c r="AW299" s="60">
        <v>216.34</v>
      </c>
      <c r="AX299" s="60">
        <v>216.34</v>
      </c>
      <c r="AY299" s="61">
        <f t="shared" si="125"/>
        <v>1298.04</v>
      </c>
      <c r="AZ299" s="56">
        <f t="shared" si="120"/>
        <v>2596.08</v>
      </c>
      <c r="BA299" s="62">
        <f t="shared" si="108"/>
        <v>41538.339999999997</v>
      </c>
      <c r="BB299" s="62">
        <f t="shared" si="126"/>
        <v>32452.140000000003</v>
      </c>
      <c r="BC299" s="62">
        <f t="shared" si="112"/>
        <v>9086.1999999999935</v>
      </c>
      <c r="BD299" s="63"/>
      <c r="BE299" s="57"/>
      <c r="BF299" s="35" t="e">
        <f>VLOOKUP(A:A,'2023-2027'!A:G,1,+FALSE)</f>
        <v>#N/A</v>
      </c>
      <c r="BG299" s="7" t="e">
        <f t="shared" si="131"/>
        <v>#N/A</v>
      </c>
      <c r="BH299" s="35"/>
    </row>
    <row r="300" spans="1:60" ht="24" hidden="1" customHeight="1" outlineLevel="1" x14ac:dyDescent="0.2">
      <c r="A300" s="59" t="s">
        <v>801</v>
      </c>
      <c r="B300" s="59" t="s">
        <v>31</v>
      </c>
      <c r="C300" s="59" t="s">
        <v>83</v>
      </c>
      <c r="D300" s="65" t="s">
        <v>802</v>
      </c>
      <c r="E300" s="59" t="s">
        <v>595</v>
      </c>
      <c r="F300" s="60">
        <v>41538.339999999997</v>
      </c>
      <c r="G300" s="60">
        <v>24663.9</v>
      </c>
      <c r="H300" s="60">
        <v>16874.439999999999</v>
      </c>
      <c r="I300" s="59"/>
      <c r="J300" s="60">
        <v>2596.08</v>
      </c>
      <c r="K300" s="59"/>
      <c r="L300" s="59"/>
      <c r="M300" s="60">
        <v>41538.339999999997</v>
      </c>
      <c r="N300" s="60">
        <v>27259.98</v>
      </c>
      <c r="O300" s="60">
        <v>14278.36</v>
      </c>
      <c r="P300" s="55"/>
      <c r="Q300" s="55"/>
      <c r="R300" s="61">
        <f t="shared" si="122"/>
        <v>216.34</v>
      </c>
      <c r="S300" s="60">
        <v>216.34</v>
      </c>
      <c r="T300" s="60">
        <v>216.34</v>
      </c>
      <c r="U300" s="60">
        <v>216.34</v>
      </c>
      <c r="V300" s="60">
        <v>216.34</v>
      </c>
      <c r="W300" s="60">
        <v>216.34</v>
      </c>
      <c r="X300" s="61">
        <f t="shared" si="123"/>
        <v>1298.04</v>
      </c>
      <c r="Y300" s="60">
        <v>216.34</v>
      </c>
      <c r="Z300" s="60">
        <v>216.34</v>
      </c>
      <c r="AA300" s="60">
        <v>216.34</v>
      </c>
      <c r="AB300" s="60">
        <v>216.34</v>
      </c>
      <c r="AC300" s="60">
        <v>216.34</v>
      </c>
      <c r="AD300" s="60">
        <v>216.34</v>
      </c>
      <c r="AE300" s="61">
        <f t="shared" si="127"/>
        <v>1298.04</v>
      </c>
      <c r="AF300" s="62">
        <f t="shared" si="135"/>
        <v>41538.339999999997</v>
      </c>
      <c r="AG300" s="62">
        <f t="shared" si="136"/>
        <v>29856.06</v>
      </c>
      <c r="AH300" s="62">
        <f t="shared" si="128"/>
        <v>11682.279999999995</v>
      </c>
      <c r="AI300" s="63"/>
      <c r="AJ300" s="63"/>
      <c r="AK300" s="62"/>
      <c r="AL300" s="60">
        <v>216.34</v>
      </c>
      <c r="AM300" s="60">
        <v>216.34</v>
      </c>
      <c r="AN300" s="60">
        <v>216.34</v>
      </c>
      <c r="AO300" s="60">
        <v>216.34</v>
      </c>
      <c r="AP300" s="60">
        <v>216.34</v>
      </c>
      <c r="AQ300" s="60">
        <v>216.34</v>
      </c>
      <c r="AR300" s="61">
        <f t="shared" si="124"/>
        <v>1298.04</v>
      </c>
      <c r="AS300" s="60">
        <v>216.34</v>
      </c>
      <c r="AT300" s="60">
        <v>216.34</v>
      </c>
      <c r="AU300" s="60">
        <v>216.34</v>
      </c>
      <c r="AV300" s="60">
        <v>216.34</v>
      </c>
      <c r="AW300" s="60">
        <v>216.34</v>
      </c>
      <c r="AX300" s="60">
        <v>216.34</v>
      </c>
      <c r="AY300" s="61">
        <f t="shared" si="125"/>
        <v>1298.04</v>
      </c>
      <c r="AZ300" s="56">
        <f t="shared" si="120"/>
        <v>2596.08</v>
      </c>
      <c r="BA300" s="62">
        <f t="shared" si="108"/>
        <v>41538.339999999997</v>
      </c>
      <c r="BB300" s="62">
        <f t="shared" si="126"/>
        <v>32452.140000000003</v>
      </c>
      <c r="BC300" s="62">
        <f t="shared" si="112"/>
        <v>9086.1999999999935</v>
      </c>
      <c r="BD300" s="63"/>
      <c r="BE300" s="57"/>
      <c r="BF300" s="35" t="e">
        <f>VLOOKUP(A:A,'2023-2027'!A:G,1,+FALSE)</f>
        <v>#N/A</v>
      </c>
      <c r="BG300" s="7" t="e">
        <f t="shared" si="131"/>
        <v>#N/A</v>
      </c>
      <c r="BH300" s="35"/>
    </row>
    <row r="301" spans="1:60" ht="24" hidden="1" customHeight="1" outlineLevel="1" x14ac:dyDescent="0.2">
      <c r="A301" s="59" t="s">
        <v>803</v>
      </c>
      <c r="B301" s="59" t="s">
        <v>31</v>
      </c>
      <c r="C301" s="59" t="s">
        <v>83</v>
      </c>
      <c r="D301" s="65" t="s">
        <v>804</v>
      </c>
      <c r="E301" s="59" t="s">
        <v>595</v>
      </c>
      <c r="F301" s="60">
        <v>41538.339999999997</v>
      </c>
      <c r="G301" s="60">
        <v>24663.9</v>
      </c>
      <c r="H301" s="60">
        <v>16874.439999999999</v>
      </c>
      <c r="I301" s="59"/>
      <c r="J301" s="60">
        <v>2596.08</v>
      </c>
      <c r="K301" s="59"/>
      <c r="L301" s="59"/>
      <c r="M301" s="60">
        <v>41538.339999999997</v>
      </c>
      <c r="N301" s="60">
        <v>27259.98</v>
      </c>
      <c r="O301" s="60">
        <v>14278.36</v>
      </c>
      <c r="P301" s="55"/>
      <c r="Q301" s="55"/>
      <c r="R301" s="61">
        <f t="shared" si="122"/>
        <v>216.34</v>
      </c>
      <c r="S301" s="60">
        <v>216.34</v>
      </c>
      <c r="T301" s="60">
        <v>216.34</v>
      </c>
      <c r="U301" s="60">
        <v>216.34</v>
      </c>
      <c r="V301" s="60">
        <v>216.34</v>
      </c>
      <c r="W301" s="60">
        <v>216.34</v>
      </c>
      <c r="X301" s="61">
        <f t="shared" si="123"/>
        <v>1298.04</v>
      </c>
      <c r="Y301" s="60">
        <v>216.34</v>
      </c>
      <c r="Z301" s="60">
        <v>216.34</v>
      </c>
      <c r="AA301" s="60">
        <v>216.34</v>
      </c>
      <c r="AB301" s="60">
        <v>216.34</v>
      </c>
      <c r="AC301" s="60">
        <v>216.34</v>
      </c>
      <c r="AD301" s="60">
        <v>216.34</v>
      </c>
      <c r="AE301" s="61">
        <f t="shared" si="127"/>
        <v>1298.04</v>
      </c>
      <c r="AF301" s="62">
        <f t="shared" si="135"/>
        <v>41538.339999999997</v>
      </c>
      <c r="AG301" s="62">
        <f t="shared" si="136"/>
        <v>29856.06</v>
      </c>
      <c r="AH301" s="62">
        <f t="shared" si="128"/>
        <v>11682.279999999995</v>
      </c>
      <c r="AI301" s="63"/>
      <c r="AJ301" s="63"/>
      <c r="AK301" s="62"/>
      <c r="AL301" s="60">
        <v>216.34</v>
      </c>
      <c r="AM301" s="60">
        <v>216.34</v>
      </c>
      <c r="AN301" s="60">
        <v>216.34</v>
      </c>
      <c r="AO301" s="60">
        <v>216.34</v>
      </c>
      <c r="AP301" s="60">
        <v>216.34</v>
      </c>
      <c r="AQ301" s="60">
        <v>216.34</v>
      </c>
      <c r="AR301" s="61">
        <f t="shared" si="124"/>
        <v>1298.04</v>
      </c>
      <c r="AS301" s="60">
        <v>216.34</v>
      </c>
      <c r="AT301" s="60">
        <v>216.34</v>
      </c>
      <c r="AU301" s="60">
        <v>216.34</v>
      </c>
      <c r="AV301" s="60">
        <v>216.34</v>
      </c>
      <c r="AW301" s="60">
        <v>216.34</v>
      </c>
      <c r="AX301" s="60">
        <v>216.34</v>
      </c>
      <c r="AY301" s="61">
        <f t="shared" si="125"/>
        <v>1298.04</v>
      </c>
      <c r="AZ301" s="56">
        <f t="shared" si="120"/>
        <v>2596.08</v>
      </c>
      <c r="BA301" s="62">
        <f t="shared" si="108"/>
        <v>41538.339999999997</v>
      </c>
      <c r="BB301" s="62">
        <f t="shared" si="126"/>
        <v>32452.140000000003</v>
      </c>
      <c r="BC301" s="62">
        <f t="shared" si="112"/>
        <v>9086.1999999999935</v>
      </c>
      <c r="BD301" s="63"/>
      <c r="BE301" s="57"/>
      <c r="BF301" s="35" t="e">
        <f>VLOOKUP(A:A,'2023-2027'!A:G,1,+FALSE)</f>
        <v>#N/A</v>
      </c>
      <c r="BG301" s="7" t="e">
        <f t="shared" si="131"/>
        <v>#N/A</v>
      </c>
      <c r="BH301" s="35"/>
    </row>
    <row r="302" spans="1:60" ht="24" hidden="1" customHeight="1" outlineLevel="1" x14ac:dyDescent="0.2">
      <c r="A302" s="59" t="s">
        <v>805</v>
      </c>
      <c r="B302" s="59" t="s">
        <v>31</v>
      </c>
      <c r="C302" s="59" t="s">
        <v>83</v>
      </c>
      <c r="D302" s="65" t="s">
        <v>806</v>
      </c>
      <c r="E302" s="59" t="s">
        <v>237</v>
      </c>
      <c r="F302" s="60">
        <v>41538.339999999997</v>
      </c>
      <c r="G302" s="60">
        <v>25962</v>
      </c>
      <c r="H302" s="60">
        <v>15576.34</v>
      </c>
      <c r="I302" s="59"/>
      <c r="J302" s="60">
        <v>2596.08</v>
      </c>
      <c r="K302" s="59"/>
      <c r="L302" s="59"/>
      <c r="M302" s="60">
        <v>41538.339999999997</v>
      </c>
      <c r="N302" s="60">
        <v>28558.080000000002</v>
      </c>
      <c r="O302" s="60">
        <v>12980.26</v>
      </c>
      <c r="P302" s="55"/>
      <c r="Q302" s="55"/>
      <c r="R302" s="61">
        <f t="shared" si="122"/>
        <v>216.34</v>
      </c>
      <c r="S302" s="60">
        <v>216.34</v>
      </c>
      <c r="T302" s="60">
        <v>216.34</v>
      </c>
      <c r="U302" s="60">
        <v>216.34</v>
      </c>
      <c r="V302" s="60">
        <v>216.34</v>
      </c>
      <c r="W302" s="60">
        <v>216.34</v>
      </c>
      <c r="X302" s="61">
        <f t="shared" si="123"/>
        <v>1298.04</v>
      </c>
      <c r="Y302" s="60">
        <v>216.34</v>
      </c>
      <c r="Z302" s="60">
        <v>216.34</v>
      </c>
      <c r="AA302" s="60">
        <v>216.34</v>
      </c>
      <c r="AB302" s="60">
        <v>216.34</v>
      </c>
      <c r="AC302" s="60">
        <v>216.34</v>
      </c>
      <c r="AD302" s="60">
        <v>216.34</v>
      </c>
      <c r="AE302" s="61">
        <f t="shared" si="127"/>
        <v>1298.04</v>
      </c>
      <c r="AF302" s="62">
        <f t="shared" si="135"/>
        <v>41538.339999999997</v>
      </c>
      <c r="AG302" s="62">
        <f t="shared" si="136"/>
        <v>31154.160000000003</v>
      </c>
      <c r="AH302" s="62">
        <f t="shared" si="128"/>
        <v>10384.179999999993</v>
      </c>
      <c r="AI302" s="63"/>
      <c r="AJ302" s="63"/>
      <c r="AK302" s="62"/>
      <c r="AL302" s="60">
        <v>216.34</v>
      </c>
      <c r="AM302" s="60">
        <v>216.34</v>
      </c>
      <c r="AN302" s="60">
        <v>216.34</v>
      </c>
      <c r="AO302" s="60">
        <v>216.34</v>
      </c>
      <c r="AP302" s="60">
        <v>216.34</v>
      </c>
      <c r="AQ302" s="60">
        <v>216.34</v>
      </c>
      <c r="AR302" s="61">
        <f t="shared" si="124"/>
        <v>1298.04</v>
      </c>
      <c r="AS302" s="60">
        <v>216.34</v>
      </c>
      <c r="AT302" s="60">
        <v>216.34</v>
      </c>
      <c r="AU302" s="60">
        <v>216.34</v>
      </c>
      <c r="AV302" s="60">
        <v>216.34</v>
      </c>
      <c r="AW302" s="60">
        <v>216.34</v>
      </c>
      <c r="AX302" s="60">
        <v>216.34</v>
      </c>
      <c r="AY302" s="61">
        <f t="shared" si="125"/>
        <v>1298.04</v>
      </c>
      <c r="AZ302" s="56">
        <f t="shared" si="120"/>
        <v>2596.08</v>
      </c>
      <c r="BA302" s="62">
        <f t="shared" si="108"/>
        <v>41538.339999999997</v>
      </c>
      <c r="BB302" s="62">
        <f t="shared" si="126"/>
        <v>33750.239999999991</v>
      </c>
      <c r="BC302" s="62">
        <f t="shared" si="112"/>
        <v>7788.1000000000058</v>
      </c>
      <c r="BD302" s="63"/>
      <c r="BE302" s="57"/>
      <c r="BF302" s="35" t="e">
        <f>VLOOKUP(A:A,'2023-2027'!A:G,1,+FALSE)</f>
        <v>#N/A</v>
      </c>
      <c r="BG302" s="7" t="e">
        <f t="shared" si="131"/>
        <v>#N/A</v>
      </c>
      <c r="BH302" s="35"/>
    </row>
    <row r="303" spans="1:60" ht="24" hidden="1" customHeight="1" outlineLevel="1" x14ac:dyDescent="0.2">
      <c r="A303" s="59" t="s">
        <v>807</v>
      </c>
      <c r="B303" s="59" t="s">
        <v>31</v>
      </c>
      <c r="C303" s="59" t="s">
        <v>83</v>
      </c>
      <c r="D303" s="65" t="s">
        <v>808</v>
      </c>
      <c r="E303" s="59" t="s">
        <v>595</v>
      </c>
      <c r="F303" s="60">
        <v>41538.339999999997</v>
      </c>
      <c r="G303" s="60">
        <v>24663.9</v>
      </c>
      <c r="H303" s="60">
        <v>16874.439999999999</v>
      </c>
      <c r="I303" s="59"/>
      <c r="J303" s="60">
        <v>2596.08</v>
      </c>
      <c r="K303" s="59"/>
      <c r="L303" s="59"/>
      <c r="M303" s="60">
        <v>41538.339999999997</v>
      </c>
      <c r="N303" s="60">
        <v>27259.98</v>
      </c>
      <c r="O303" s="60">
        <v>14278.36</v>
      </c>
      <c r="P303" s="55"/>
      <c r="Q303" s="55"/>
      <c r="R303" s="61">
        <f t="shared" si="122"/>
        <v>216.34</v>
      </c>
      <c r="S303" s="60">
        <v>216.34</v>
      </c>
      <c r="T303" s="60">
        <v>216.34</v>
      </c>
      <c r="U303" s="60">
        <v>216.34</v>
      </c>
      <c r="V303" s="60">
        <v>216.34</v>
      </c>
      <c r="W303" s="60">
        <v>216.34</v>
      </c>
      <c r="X303" s="61">
        <f t="shared" si="123"/>
        <v>1298.04</v>
      </c>
      <c r="Y303" s="60">
        <v>216.34</v>
      </c>
      <c r="Z303" s="60">
        <v>216.34</v>
      </c>
      <c r="AA303" s="60">
        <v>216.34</v>
      </c>
      <c r="AB303" s="60">
        <v>216.34</v>
      </c>
      <c r="AC303" s="60">
        <v>216.34</v>
      </c>
      <c r="AD303" s="60">
        <v>216.34</v>
      </c>
      <c r="AE303" s="61">
        <f t="shared" si="127"/>
        <v>1298.04</v>
      </c>
      <c r="AF303" s="62">
        <f t="shared" si="135"/>
        <v>41538.339999999997</v>
      </c>
      <c r="AG303" s="62">
        <f t="shared" si="136"/>
        <v>29856.06</v>
      </c>
      <c r="AH303" s="62">
        <f t="shared" si="128"/>
        <v>11682.279999999995</v>
      </c>
      <c r="AI303" s="63"/>
      <c r="AJ303" s="63"/>
      <c r="AK303" s="62"/>
      <c r="AL303" s="60">
        <v>216.34</v>
      </c>
      <c r="AM303" s="60">
        <v>216.34</v>
      </c>
      <c r="AN303" s="60">
        <v>216.34</v>
      </c>
      <c r="AO303" s="60">
        <v>216.34</v>
      </c>
      <c r="AP303" s="60">
        <v>216.34</v>
      </c>
      <c r="AQ303" s="60">
        <v>216.34</v>
      </c>
      <c r="AR303" s="61">
        <f t="shared" si="124"/>
        <v>1298.04</v>
      </c>
      <c r="AS303" s="60">
        <v>216.34</v>
      </c>
      <c r="AT303" s="60">
        <v>216.34</v>
      </c>
      <c r="AU303" s="60">
        <v>216.34</v>
      </c>
      <c r="AV303" s="60">
        <v>216.34</v>
      </c>
      <c r="AW303" s="60">
        <v>216.34</v>
      </c>
      <c r="AX303" s="60">
        <v>216.34</v>
      </c>
      <c r="AY303" s="61">
        <f t="shared" si="125"/>
        <v>1298.04</v>
      </c>
      <c r="AZ303" s="56">
        <f t="shared" si="120"/>
        <v>2596.08</v>
      </c>
      <c r="BA303" s="62">
        <f t="shared" si="108"/>
        <v>41538.339999999997</v>
      </c>
      <c r="BB303" s="62">
        <f t="shared" si="126"/>
        <v>32452.140000000003</v>
      </c>
      <c r="BC303" s="62">
        <f t="shared" si="112"/>
        <v>9086.1999999999935</v>
      </c>
      <c r="BD303" s="63"/>
      <c r="BE303" s="57"/>
      <c r="BF303" s="35" t="e">
        <f>VLOOKUP(A:A,'2023-2027'!A:G,1,+FALSE)</f>
        <v>#N/A</v>
      </c>
      <c r="BG303" s="7" t="e">
        <f t="shared" si="131"/>
        <v>#N/A</v>
      </c>
      <c r="BH303" s="35"/>
    </row>
    <row r="304" spans="1:60" ht="24" hidden="1" customHeight="1" outlineLevel="1" x14ac:dyDescent="0.2">
      <c r="A304" s="59" t="s">
        <v>809</v>
      </c>
      <c r="B304" s="59" t="s">
        <v>31</v>
      </c>
      <c r="C304" s="59" t="s">
        <v>83</v>
      </c>
      <c r="D304" s="65" t="s">
        <v>810</v>
      </c>
      <c r="E304" s="59" t="s">
        <v>595</v>
      </c>
      <c r="F304" s="60">
        <v>41538.339999999997</v>
      </c>
      <c r="G304" s="60">
        <v>24663.9</v>
      </c>
      <c r="H304" s="60">
        <v>16874.439999999999</v>
      </c>
      <c r="I304" s="59"/>
      <c r="J304" s="60">
        <v>2596.08</v>
      </c>
      <c r="K304" s="59"/>
      <c r="L304" s="59"/>
      <c r="M304" s="60">
        <v>41538.339999999997</v>
      </c>
      <c r="N304" s="60">
        <v>27259.98</v>
      </c>
      <c r="O304" s="60">
        <v>14278.36</v>
      </c>
      <c r="P304" s="55"/>
      <c r="Q304" s="55"/>
      <c r="R304" s="61">
        <f t="shared" si="122"/>
        <v>216.34</v>
      </c>
      <c r="S304" s="60">
        <v>216.34</v>
      </c>
      <c r="T304" s="60">
        <v>216.34</v>
      </c>
      <c r="U304" s="60">
        <v>216.34</v>
      </c>
      <c r="V304" s="60">
        <v>216.34</v>
      </c>
      <c r="W304" s="60">
        <v>216.34</v>
      </c>
      <c r="X304" s="61">
        <f t="shared" si="123"/>
        <v>1298.04</v>
      </c>
      <c r="Y304" s="60">
        <v>216.34</v>
      </c>
      <c r="Z304" s="60">
        <v>216.34</v>
      </c>
      <c r="AA304" s="60">
        <v>216.34</v>
      </c>
      <c r="AB304" s="60">
        <v>216.34</v>
      </c>
      <c r="AC304" s="60">
        <v>216.34</v>
      </c>
      <c r="AD304" s="60">
        <v>216.34</v>
      </c>
      <c r="AE304" s="61">
        <f t="shared" si="127"/>
        <v>1298.04</v>
      </c>
      <c r="AF304" s="62">
        <f t="shared" si="135"/>
        <v>41538.339999999997</v>
      </c>
      <c r="AG304" s="62">
        <f t="shared" si="136"/>
        <v>29856.06</v>
      </c>
      <c r="AH304" s="62">
        <f t="shared" si="128"/>
        <v>11682.279999999995</v>
      </c>
      <c r="AI304" s="63"/>
      <c r="AJ304" s="63"/>
      <c r="AK304" s="62"/>
      <c r="AL304" s="60">
        <v>216.34</v>
      </c>
      <c r="AM304" s="60">
        <v>216.34</v>
      </c>
      <c r="AN304" s="60">
        <v>216.34</v>
      </c>
      <c r="AO304" s="60">
        <v>216.34</v>
      </c>
      <c r="AP304" s="60">
        <v>216.34</v>
      </c>
      <c r="AQ304" s="60">
        <v>216.34</v>
      </c>
      <c r="AR304" s="61">
        <f t="shared" si="124"/>
        <v>1298.04</v>
      </c>
      <c r="AS304" s="60">
        <v>216.34</v>
      </c>
      <c r="AT304" s="60">
        <v>216.34</v>
      </c>
      <c r="AU304" s="60">
        <v>216.34</v>
      </c>
      <c r="AV304" s="60">
        <v>216.34</v>
      </c>
      <c r="AW304" s="60">
        <v>216.34</v>
      </c>
      <c r="AX304" s="60">
        <v>216.34</v>
      </c>
      <c r="AY304" s="61">
        <f t="shared" si="125"/>
        <v>1298.04</v>
      </c>
      <c r="AZ304" s="56">
        <f t="shared" si="120"/>
        <v>2596.08</v>
      </c>
      <c r="BA304" s="62">
        <f t="shared" si="108"/>
        <v>41538.339999999997</v>
      </c>
      <c r="BB304" s="62">
        <f t="shared" si="126"/>
        <v>32452.140000000003</v>
      </c>
      <c r="BC304" s="62">
        <f t="shared" si="112"/>
        <v>9086.1999999999935</v>
      </c>
      <c r="BD304" s="63"/>
      <c r="BE304" s="57"/>
      <c r="BF304" s="35" t="e">
        <f>VLOOKUP(A:A,'2023-2027'!A:G,1,+FALSE)</f>
        <v>#N/A</v>
      </c>
      <c r="BG304" s="7" t="e">
        <f t="shared" si="131"/>
        <v>#N/A</v>
      </c>
      <c r="BH304" s="35"/>
    </row>
    <row r="305" spans="1:60" ht="24" hidden="1" customHeight="1" outlineLevel="1" x14ac:dyDescent="0.2">
      <c r="A305" s="59" t="s">
        <v>811</v>
      </c>
      <c r="B305" s="59" t="s">
        <v>31</v>
      </c>
      <c r="C305" s="59" t="s">
        <v>83</v>
      </c>
      <c r="D305" s="65" t="s">
        <v>812</v>
      </c>
      <c r="E305" s="59" t="s">
        <v>237</v>
      </c>
      <c r="F305" s="60">
        <v>41538.339999999997</v>
      </c>
      <c r="G305" s="60">
        <v>25962</v>
      </c>
      <c r="H305" s="60">
        <v>15576.34</v>
      </c>
      <c r="I305" s="59"/>
      <c r="J305" s="60">
        <v>2596.08</v>
      </c>
      <c r="K305" s="59"/>
      <c r="L305" s="59"/>
      <c r="M305" s="60">
        <v>41538.339999999997</v>
      </c>
      <c r="N305" s="60">
        <v>28558.080000000002</v>
      </c>
      <c r="O305" s="60">
        <v>12980.26</v>
      </c>
      <c r="P305" s="55"/>
      <c r="Q305" s="55"/>
      <c r="R305" s="61">
        <f t="shared" si="122"/>
        <v>216.34</v>
      </c>
      <c r="S305" s="60">
        <v>216.34</v>
      </c>
      <c r="T305" s="60">
        <v>216.34</v>
      </c>
      <c r="U305" s="60">
        <v>216.34</v>
      </c>
      <c r="V305" s="60">
        <v>216.34</v>
      </c>
      <c r="W305" s="60">
        <v>216.34</v>
      </c>
      <c r="X305" s="61">
        <f t="shared" si="123"/>
        <v>1298.04</v>
      </c>
      <c r="Y305" s="60">
        <v>216.34</v>
      </c>
      <c r="Z305" s="60">
        <v>216.34</v>
      </c>
      <c r="AA305" s="60">
        <v>216.34</v>
      </c>
      <c r="AB305" s="60">
        <v>216.34</v>
      </c>
      <c r="AC305" s="60">
        <v>216.34</v>
      </c>
      <c r="AD305" s="60">
        <v>216.34</v>
      </c>
      <c r="AE305" s="61">
        <f t="shared" si="127"/>
        <v>1298.04</v>
      </c>
      <c r="AF305" s="62">
        <f t="shared" si="135"/>
        <v>41538.339999999997</v>
      </c>
      <c r="AG305" s="62">
        <f t="shared" si="136"/>
        <v>31154.160000000003</v>
      </c>
      <c r="AH305" s="62">
        <f t="shared" si="128"/>
        <v>10384.179999999993</v>
      </c>
      <c r="AI305" s="63"/>
      <c r="AJ305" s="63"/>
      <c r="AK305" s="62"/>
      <c r="AL305" s="60">
        <v>216.34</v>
      </c>
      <c r="AM305" s="60">
        <v>216.34</v>
      </c>
      <c r="AN305" s="60">
        <v>216.34</v>
      </c>
      <c r="AO305" s="60">
        <v>216.34</v>
      </c>
      <c r="AP305" s="60">
        <v>216.34</v>
      </c>
      <c r="AQ305" s="60">
        <v>216.34</v>
      </c>
      <c r="AR305" s="61">
        <f t="shared" si="124"/>
        <v>1298.04</v>
      </c>
      <c r="AS305" s="60">
        <v>216.34</v>
      </c>
      <c r="AT305" s="60">
        <v>216.34</v>
      </c>
      <c r="AU305" s="60">
        <v>216.34</v>
      </c>
      <c r="AV305" s="60">
        <v>216.34</v>
      </c>
      <c r="AW305" s="60">
        <v>216.34</v>
      </c>
      <c r="AX305" s="60">
        <v>216.34</v>
      </c>
      <c r="AY305" s="61">
        <f t="shared" si="125"/>
        <v>1298.04</v>
      </c>
      <c r="AZ305" s="56">
        <f t="shared" si="120"/>
        <v>2596.08</v>
      </c>
      <c r="BA305" s="62">
        <f t="shared" si="108"/>
        <v>41538.339999999997</v>
      </c>
      <c r="BB305" s="62">
        <f t="shared" si="126"/>
        <v>33750.239999999991</v>
      </c>
      <c r="BC305" s="62">
        <f t="shared" si="112"/>
        <v>7788.1000000000058</v>
      </c>
      <c r="BD305" s="63"/>
      <c r="BE305" s="57"/>
      <c r="BF305" s="35" t="e">
        <f>VLOOKUP(A:A,'2023-2027'!A:G,1,+FALSE)</f>
        <v>#N/A</v>
      </c>
      <c r="BG305" s="7" t="e">
        <f t="shared" si="131"/>
        <v>#N/A</v>
      </c>
      <c r="BH305" s="35"/>
    </row>
    <row r="306" spans="1:60" ht="24" hidden="1" customHeight="1" outlineLevel="1" x14ac:dyDescent="0.2">
      <c r="A306" s="59" t="s">
        <v>813</v>
      </c>
      <c r="B306" s="59" t="s">
        <v>31</v>
      </c>
      <c r="C306" s="59" t="s">
        <v>83</v>
      </c>
      <c r="D306" s="65" t="s">
        <v>814</v>
      </c>
      <c r="E306" s="59" t="s">
        <v>237</v>
      </c>
      <c r="F306" s="60">
        <v>41538.339999999997</v>
      </c>
      <c r="G306" s="60">
        <v>25962</v>
      </c>
      <c r="H306" s="60">
        <v>15576.34</v>
      </c>
      <c r="I306" s="59"/>
      <c r="J306" s="60">
        <v>2596.08</v>
      </c>
      <c r="K306" s="59"/>
      <c r="L306" s="59"/>
      <c r="M306" s="60">
        <v>41538.339999999997</v>
      </c>
      <c r="N306" s="60">
        <v>28558.080000000002</v>
      </c>
      <c r="O306" s="60">
        <v>12980.26</v>
      </c>
      <c r="P306" s="55"/>
      <c r="Q306" s="55"/>
      <c r="R306" s="61">
        <f t="shared" si="122"/>
        <v>216.34</v>
      </c>
      <c r="S306" s="60">
        <v>216.34</v>
      </c>
      <c r="T306" s="60">
        <v>216.34</v>
      </c>
      <c r="U306" s="60">
        <v>216.34</v>
      </c>
      <c r="V306" s="60">
        <v>216.34</v>
      </c>
      <c r="W306" s="60">
        <v>216.34</v>
      </c>
      <c r="X306" s="61">
        <f t="shared" si="123"/>
        <v>1298.04</v>
      </c>
      <c r="Y306" s="60">
        <v>216.34</v>
      </c>
      <c r="Z306" s="60">
        <v>216.34</v>
      </c>
      <c r="AA306" s="60">
        <v>216.34</v>
      </c>
      <c r="AB306" s="60">
        <v>216.34</v>
      </c>
      <c r="AC306" s="60">
        <v>216.34</v>
      </c>
      <c r="AD306" s="60">
        <v>216.34</v>
      </c>
      <c r="AE306" s="61">
        <f t="shared" si="127"/>
        <v>1298.04</v>
      </c>
      <c r="AF306" s="62">
        <f t="shared" si="135"/>
        <v>41538.339999999997</v>
      </c>
      <c r="AG306" s="62">
        <f t="shared" si="136"/>
        <v>31154.160000000003</v>
      </c>
      <c r="AH306" s="62">
        <f t="shared" si="128"/>
        <v>10384.179999999993</v>
      </c>
      <c r="AI306" s="63"/>
      <c r="AJ306" s="63"/>
      <c r="AK306" s="62"/>
      <c r="AL306" s="60">
        <v>216.34</v>
      </c>
      <c r="AM306" s="60">
        <v>216.34</v>
      </c>
      <c r="AN306" s="60">
        <v>216.34</v>
      </c>
      <c r="AO306" s="60">
        <v>216.34</v>
      </c>
      <c r="AP306" s="60">
        <v>216.34</v>
      </c>
      <c r="AQ306" s="60">
        <v>216.34</v>
      </c>
      <c r="AR306" s="61">
        <f t="shared" si="124"/>
        <v>1298.04</v>
      </c>
      <c r="AS306" s="60">
        <v>216.34</v>
      </c>
      <c r="AT306" s="60">
        <v>216.34</v>
      </c>
      <c r="AU306" s="60">
        <v>216.34</v>
      </c>
      <c r="AV306" s="60">
        <v>216.34</v>
      </c>
      <c r="AW306" s="60">
        <v>216.34</v>
      </c>
      <c r="AX306" s="60">
        <v>216.34</v>
      </c>
      <c r="AY306" s="61">
        <f t="shared" si="125"/>
        <v>1298.04</v>
      </c>
      <c r="AZ306" s="56">
        <f t="shared" si="120"/>
        <v>2596.08</v>
      </c>
      <c r="BA306" s="62">
        <f t="shared" si="108"/>
        <v>41538.339999999997</v>
      </c>
      <c r="BB306" s="62">
        <f t="shared" si="126"/>
        <v>33750.239999999991</v>
      </c>
      <c r="BC306" s="62">
        <f t="shared" si="112"/>
        <v>7788.1000000000058</v>
      </c>
      <c r="BD306" s="63"/>
      <c r="BE306" s="57"/>
      <c r="BF306" s="35" t="e">
        <f>VLOOKUP(A:A,'2023-2027'!A:G,1,+FALSE)</f>
        <v>#N/A</v>
      </c>
      <c r="BG306" s="7" t="e">
        <f t="shared" si="131"/>
        <v>#N/A</v>
      </c>
      <c r="BH306" s="35"/>
    </row>
    <row r="307" spans="1:60" ht="24" hidden="1" customHeight="1" outlineLevel="1" x14ac:dyDescent="0.2">
      <c r="A307" s="59" t="s">
        <v>815</v>
      </c>
      <c r="B307" s="59" t="s">
        <v>31</v>
      </c>
      <c r="C307" s="59" t="s">
        <v>83</v>
      </c>
      <c r="D307" s="65" t="s">
        <v>816</v>
      </c>
      <c r="E307" s="59" t="s">
        <v>237</v>
      </c>
      <c r="F307" s="60">
        <v>41538.339999999997</v>
      </c>
      <c r="G307" s="60">
        <v>25962</v>
      </c>
      <c r="H307" s="60">
        <v>15576.34</v>
      </c>
      <c r="I307" s="59"/>
      <c r="J307" s="60">
        <v>2596.08</v>
      </c>
      <c r="K307" s="59"/>
      <c r="L307" s="59"/>
      <c r="M307" s="60">
        <v>41538.339999999997</v>
      </c>
      <c r="N307" s="60">
        <v>28558.080000000002</v>
      </c>
      <c r="O307" s="60">
        <v>12980.26</v>
      </c>
      <c r="P307" s="55"/>
      <c r="Q307" s="55"/>
      <c r="R307" s="61">
        <f t="shared" si="122"/>
        <v>216.34</v>
      </c>
      <c r="S307" s="60">
        <v>216.34</v>
      </c>
      <c r="T307" s="60">
        <v>216.34</v>
      </c>
      <c r="U307" s="60">
        <v>216.34</v>
      </c>
      <c r="V307" s="60">
        <v>216.34</v>
      </c>
      <c r="W307" s="60">
        <v>216.34</v>
      </c>
      <c r="X307" s="61">
        <f t="shared" si="123"/>
        <v>1298.04</v>
      </c>
      <c r="Y307" s="60">
        <v>216.34</v>
      </c>
      <c r="Z307" s="60">
        <v>216.34</v>
      </c>
      <c r="AA307" s="60">
        <v>216.34</v>
      </c>
      <c r="AB307" s="60">
        <v>216.34</v>
      </c>
      <c r="AC307" s="60">
        <v>216.34</v>
      </c>
      <c r="AD307" s="60">
        <v>216.34</v>
      </c>
      <c r="AE307" s="61">
        <f t="shared" si="127"/>
        <v>1298.04</v>
      </c>
      <c r="AF307" s="62">
        <f t="shared" si="135"/>
        <v>41538.339999999997</v>
      </c>
      <c r="AG307" s="62">
        <f t="shared" si="136"/>
        <v>31154.160000000003</v>
      </c>
      <c r="AH307" s="62">
        <f t="shared" si="128"/>
        <v>10384.179999999993</v>
      </c>
      <c r="AI307" s="63"/>
      <c r="AJ307" s="63"/>
      <c r="AK307" s="62"/>
      <c r="AL307" s="60">
        <v>216.34</v>
      </c>
      <c r="AM307" s="60">
        <v>216.34</v>
      </c>
      <c r="AN307" s="60">
        <v>216.34</v>
      </c>
      <c r="AO307" s="60">
        <v>216.34</v>
      </c>
      <c r="AP307" s="60">
        <v>216.34</v>
      </c>
      <c r="AQ307" s="60">
        <v>216.34</v>
      </c>
      <c r="AR307" s="61">
        <f t="shared" si="124"/>
        <v>1298.04</v>
      </c>
      <c r="AS307" s="60">
        <v>216.34</v>
      </c>
      <c r="AT307" s="60">
        <v>216.34</v>
      </c>
      <c r="AU307" s="60">
        <v>216.34</v>
      </c>
      <c r="AV307" s="60">
        <v>216.34</v>
      </c>
      <c r="AW307" s="60">
        <v>216.34</v>
      </c>
      <c r="AX307" s="60">
        <v>216.34</v>
      </c>
      <c r="AY307" s="61">
        <f t="shared" si="125"/>
        <v>1298.04</v>
      </c>
      <c r="AZ307" s="56">
        <f t="shared" si="120"/>
        <v>2596.08</v>
      </c>
      <c r="BA307" s="62">
        <f t="shared" si="108"/>
        <v>41538.339999999997</v>
      </c>
      <c r="BB307" s="62">
        <f t="shared" si="126"/>
        <v>33750.239999999991</v>
      </c>
      <c r="BC307" s="62">
        <f t="shared" si="112"/>
        <v>7788.1000000000058</v>
      </c>
      <c r="BD307" s="63"/>
      <c r="BE307" s="57"/>
      <c r="BF307" s="35" t="e">
        <f>VLOOKUP(A:A,'2023-2027'!A:G,1,+FALSE)</f>
        <v>#N/A</v>
      </c>
      <c r="BG307" s="7" t="e">
        <f t="shared" si="131"/>
        <v>#N/A</v>
      </c>
      <c r="BH307" s="35"/>
    </row>
    <row r="308" spans="1:60" ht="24" hidden="1" customHeight="1" outlineLevel="1" x14ac:dyDescent="0.2">
      <c r="A308" s="59" t="s">
        <v>817</v>
      </c>
      <c r="B308" s="59" t="s">
        <v>31</v>
      </c>
      <c r="C308" s="59" t="s">
        <v>83</v>
      </c>
      <c r="D308" s="65" t="s">
        <v>818</v>
      </c>
      <c r="E308" s="59" t="s">
        <v>237</v>
      </c>
      <c r="F308" s="60">
        <v>41538.339999999997</v>
      </c>
      <c r="G308" s="60">
        <v>25962</v>
      </c>
      <c r="H308" s="60">
        <v>15576.34</v>
      </c>
      <c r="I308" s="59"/>
      <c r="J308" s="60">
        <v>2596.08</v>
      </c>
      <c r="K308" s="59"/>
      <c r="L308" s="59"/>
      <c r="M308" s="60">
        <v>41538.339999999997</v>
      </c>
      <c r="N308" s="60">
        <v>28558.080000000002</v>
      </c>
      <c r="O308" s="60">
        <v>12980.26</v>
      </c>
      <c r="P308" s="55"/>
      <c r="Q308" s="55"/>
      <c r="R308" s="61">
        <f t="shared" si="122"/>
        <v>216.34</v>
      </c>
      <c r="S308" s="60">
        <v>216.34</v>
      </c>
      <c r="T308" s="60">
        <v>216.34</v>
      </c>
      <c r="U308" s="60">
        <v>216.34</v>
      </c>
      <c r="V308" s="60">
        <v>216.34</v>
      </c>
      <c r="W308" s="60">
        <v>216.34</v>
      </c>
      <c r="X308" s="61">
        <f t="shared" si="123"/>
        <v>1298.04</v>
      </c>
      <c r="Y308" s="60">
        <v>216.34</v>
      </c>
      <c r="Z308" s="60">
        <v>216.34</v>
      </c>
      <c r="AA308" s="60">
        <v>216.34</v>
      </c>
      <c r="AB308" s="60">
        <v>216.34</v>
      </c>
      <c r="AC308" s="60">
        <v>216.34</v>
      </c>
      <c r="AD308" s="60">
        <v>216.34</v>
      </c>
      <c r="AE308" s="61">
        <f t="shared" si="127"/>
        <v>1298.04</v>
      </c>
      <c r="AF308" s="62">
        <f t="shared" si="135"/>
        <v>41538.339999999997</v>
      </c>
      <c r="AG308" s="62">
        <f t="shared" si="136"/>
        <v>31154.160000000003</v>
      </c>
      <c r="AH308" s="62">
        <f t="shared" si="128"/>
        <v>10384.179999999993</v>
      </c>
      <c r="AI308" s="63"/>
      <c r="AJ308" s="63"/>
      <c r="AK308" s="62"/>
      <c r="AL308" s="60">
        <v>216.34</v>
      </c>
      <c r="AM308" s="60">
        <v>216.34</v>
      </c>
      <c r="AN308" s="60">
        <v>216.34</v>
      </c>
      <c r="AO308" s="60">
        <v>216.34</v>
      </c>
      <c r="AP308" s="60">
        <v>216.34</v>
      </c>
      <c r="AQ308" s="60">
        <v>216.34</v>
      </c>
      <c r="AR308" s="61">
        <f t="shared" si="124"/>
        <v>1298.04</v>
      </c>
      <c r="AS308" s="60">
        <v>216.34</v>
      </c>
      <c r="AT308" s="60">
        <v>216.34</v>
      </c>
      <c r="AU308" s="60">
        <v>216.34</v>
      </c>
      <c r="AV308" s="60">
        <v>216.34</v>
      </c>
      <c r="AW308" s="60">
        <v>216.34</v>
      </c>
      <c r="AX308" s="60">
        <v>216.34</v>
      </c>
      <c r="AY308" s="61">
        <f t="shared" si="125"/>
        <v>1298.04</v>
      </c>
      <c r="AZ308" s="56">
        <f t="shared" si="120"/>
        <v>2596.08</v>
      </c>
      <c r="BA308" s="62">
        <f t="shared" si="108"/>
        <v>41538.339999999997</v>
      </c>
      <c r="BB308" s="62">
        <f t="shared" si="126"/>
        <v>33750.239999999991</v>
      </c>
      <c r="BC308" s="62">
        <f t="shared" si="112"/>
        <v>7788.1000000000058</v>
      </c>
      <c r="BD308" s="63"/>
      <c r="BE308" s="57"/>
      <c r="BF308" s="35" t="e">
        <f>VLOOKUP(A:A,'2023-2027'!A:G,1,+FALSE)</f>
        <v>#N/A</v>
      </c>
      <c r="BG308" s="7" t="e">
        <f t="shared" si="131"/>
        <v>#N/A</v>
      </c>
      <c r="BH308" s="35"/>
    </row>
    <row r="309" spans="1:60" ht="24" hidden="1" customHeight="1" outlineLevel="1" x14ac:dyDescent="0.2">
      <c r="A309" s="59" t="s">
        <v>819</v>
      </c>
      <c r="B309" s="59" t="s">
        <v>31</v>
      </c>
      <c r="C309" s="59" t="s">
        <v>83</v>
      </c>
      <c r="D309" s="65" t="s">
        <v>820</v>
      </c>
      <c r="E309" s="59" t="s">
        <v>787</v>
      </c>
      <c r="F309" s="60">
        <v>41169.21</v>
      </c>
      <c r="G309" s="60">
        <v>22728.52</v>
      </c>
      <c r="H309" s="60">
        <v>18440.689999999999</v>
      </c>
      <c r="I309" s="59"/>
      <c r="J309" s="60">
        <v>2573.16</v>
      </c>
      <c r="K309" s="59"/>
      <c r="L309" s="59"/>
      <c r="M309" s="60">
        <v>41169.21</v>
      </c>
      <c r="N309" s="60">
        <v>25301.68</v>
      </c>
      <c r="O309" s="60">
        <v>15867.53</v>
      </c>
      <c r="P309" s="55"/>
      <c r="Q309" s="55"/>
      <c r="R309" s="61">
        <f t="shared" si="122"/>
        <v>214.42999999999998</v>
      </c>
      <c r="S309" s="60">
        <v>214.43</v>
      </c>
      <c r="T309" s="60">
        <v>214.43</v>
      </c>
      <c r="U309" s="60">
        <v>214.43</v>
      </c>
      <c r="V309" s="60">
        <v>214.43</v>
      </c>
      <c r="W309" s="60">
        <v>214.43</v>
      </c>
      <c r="X309" s="61">
        <f t="shared" si="123"/>
        <v>1286.5800000000002</v>
      </c>
      <c r="Y309" s="60">
        <v>214.43</v>
      </c>
      <c r="Z309" s="60">
        <v>214.43</v>
      </c>
      <c r="AA309" s="60">
        <v>214.43</v>
      </c>
      <c r="AB309" s="60">
        <v>214.43</v>
      </c>
      <c r="AC309" s="60">
        <v>214.43</v>
      </c>
      <c r="AD309" s="60">
        <v>214.43</v>
      </c>
      <c r="AE309" s="61">
        <f t="shared" si="127"/>
        <v>1286.5800000000002</v>
      </c>
      <c r="AF309" s="62">
        <f t="shared" si="135"/>
        <v>41169.21</v>
      </c>
      <c r="AG309" s="62">
        <f t="shared" si="136"/>
        <v>27874.840000000004</v>
      </c>
      <c r="AH309" s="62">
        <f t="shared" si="128"/>
        <v>13294.369999999995</v>
      </c>
      <c r="AI309" s="63"/>
      <c r="AJ309" s="63"/>
      <c r="AK309" s="62"/>
      <c r="AL309" s="60">
        <v>214.43</v>
      </c>
      <c r="AM309" s="60">
        <v>214.43</v>
      </c>
      <c r="AN309" s="60">
        <v>214.43</v>
      </c>
      <c r="AO309" s="60">
        <v>214.43</v>
      </c>
      <c r="AP309" s="60">
        <v>214.43</v>
      </c>
      <c r="AQ309" s="60">
        <v>214.43</v>
      </c>
      <c r="AR309" s="61">
        <f t="shared" si="124"/>
        <v>1286.5800000000002</v>
      </c>
      <c r="AS309" s="60">
        <v>214.43</v>
      </c>
      <c r="AT309" s="60">
        <v>214.43</v>
      </c>
      <c r="AU309" s="60">
        <v>214.43</v>
      </c>
      <c r="AV309" s="60">
        <v>214.43</v>
      </c>
      <c r="AW309" s="60">
        <v>214.43</v>
      </c>
      <c r="AX309" s="60">
        <v>214.43</v>
      </c>
      <c r="AY309" s="61">
        <f t="shared" si="125"/>
        <v>1286.5800000000002</v>
      </c>
      <c r="AZ309" s="56">
        <f t="shared" si="120"/>
        <v>2573.1600000000003</v>
      </c>
      <c r="BA309" s="62">
        <f t="shared" si="108"/>
        <v>41169.21</v>
      </c>
      <c r="BB309" s="62">
        <f t="shared" si="126"/>
        <v>30448.000000000007</v>
      </c>
      <c r="BC309" s="62">
        <f t="shared" si="112"/>
        <v>10721.209999999992</v>
      </c>
      <c r="BD309" s="63"/>
      <c r="BE309" s="57"/>
      <c r="BF309" s="35" t="e">
        <f>VLOOKUP(A:A,'2023-2027'!A:G,1,+FALSE)</f>
        <v>#N/A</v>
      </c>
      <c r="BG309" s="7" t="e">
        <f t="shared" si="131"/>
        <v>#N/A</v>
      </c>
      <c r="BH309" s="35"/>
    </row>
    <row r="310" spans="1:60" ht="24" hidden="1" customHeight="1" outlineLevel="1" x14ac:dyDescent="0.2">
      <c r="A310" s="59" t="s">
        <v>821</v>
      </c>
      <c r="B310" s="59" t="s">
        <v>31</v>
      </c>
      <c r="C310" s="59" t="s">
        <v>83</v>
      </c>
      <c r="D310" s="65" t="s">
        <v>822</v>
      </c>
      <c r="E310" s="59" t="s">
        <v>237</v>
      </c>
      <c r="F310" s="60">
        <v>41538.339999999997</v>
      </c>
      <c r="G310" s="60">
        <v>25962</v>
      </c>
      <c r="H310" s="60">
        <v>15576.34</v>
      </c>
      <c r="I310" s="59"/>
      <c r="J310" s="60">
        <v>2596.08</v>
      </c>
      <c r="K310" s="59"/>
      <c r="L310" s="59"/>
      <c r="M310" s="60">
        <v>41538.339999999997</v>
      </c>
      <c r="N310" s="60">
        <v>28558.080000000002</v>
      </c>
      <c r="O310" s="60">
        <v>12980.26</v>
      </c>
      <c r="P310" s="55"/>
      <c r="Q310" s="55"/>
      <c r="R310" s="61">
        <f t="shared" si="122"/>
        <v>216.34</v>
      </c>
      <c r="S310" s="60">
        <v>216.34</v>
      </c>
      <c r="T310" s="60">
        <v>216.34</v>
      </c>
      <c r="U310" s="60">
        <v>216.34</v>
      </c>
      <c r="V310" s="60">
        <v>216.34</v>
      </c>
      <c r="W310" s="60">
        <v>216.34</v>
      </c>
      <c r="X310" s="61">
        <f t="shared" si="123"/>
        <v>1298.04</v>
      </c>
      <c r="Y310" s="60">
        <v>216.34</v>
      </c>
      <c r="Z310" s="60">
        <v>216.34</v>
      </c>
      <c r="AA310" s="60">
        <v>216.34</v>
      </c>
      <c r="AB310" s="60">
        <v>216.34</v>
      </c>
      <c r="AC310" s="60">
        <v>216.34</v>
      </c>
      <c r="AD310" s="60">
        <v>216.34</v>
      </c>
      <c r="AE310" s="61">
        <f t="shared" si="127"/>
        <v>1298.04</v>
      </c>
      <c r="AF310" s="62">
        <f t="shared" si="135"/>
        <v>41538.339999999997</v>
      </c>
      <c r="AG310" s="62">
        <f t="shared" si="136"/>
        <v>31154.160000000003</v>
      </c>
      <c r="AH310" s="62">
        <f t="shared" si="128"/>
        <v>10384.179999999993</v>
      </c>
      <c r="AI310" s="63"/>
      <c r="AJ310" s="63"/>
      <c r="AK310" s="62"/>
      <c r="AL310" s="60">
        <v>216.34</v>
      </c>
      <c r="AM310" s="60">
        <v>216.34</v>
      </c>
      <c r="AN310" s="60">
        <v>216.34</v>
      </c>
      <c r="AO310" s="60">
        <v>216.34</v>
      </c>
      <c r="AP310" s="60">
        <v>216.34</v>
      </c>
      <c r="AQ310" s="60">
        <v>216.34</v>
      </c>
      <c r="AR310" s="61">
        <f t="shared" si="124"/>
        <v>1298.04</v>
      </c>
      <c r="AS310" s="60">
        <v>216.34</v>
      </c>
      <c r="AT310" s="60">
        <v>216.34</v>
      </c>
      <c r="AU310" s="60">
        <v>216.34</v>
      </c>
      <c r="AV310" s="60">
        <v>216.34</v>
      </c>
      <c r="AW310" s="60">
        <v>216.34</v>
      </c>
      <c r="AX310" s="60">
        <v>216.34</v>
      </c>
      <c r="AY310" s="61">
        <f t="shared" si="125"/>
        <v>1298.04</v>
      </c>
      <c r="AZ310" s="56">
        <f t="shared" si="120"/>
        <v>2596.08</v>
      </c>
      <c r="BA310" s="62">
        <f t="shared" si="108"/>
        <v>41538.339999999997</v>
      </c>
      <c r="BB310" s="62">
        <f t="shared" si="126"/>
        <v>33750.239999999991</v>
      </c>
      <c r="BC310" s="62">
        <f t="shared" si="112"/>
        <v>7788.1000000000058</v>
      </c>
      <c r="BD310" s="63"/>
      <c r="BE310" s="57"/>
      <c r="BF310" s="35" t="e">
        <f>VLOOKUP(A:A,'2023-2027'!A:G,1,+FALSE)</f>
        <v>#N/A</v>
      </c>
      <c r="BG310" s="7" t="e">
        <f t="shared" si="131"/>
        <v>#N/A</v>
      </c>
      <c r="BH310" s="35"/>
    </row>
    <row r="311" spans="1:60" ht="24" hidden="1" customHeight="1" outlineLevel="1" x14ac:dyDescent="0.2">
      <c r="A311" s="59" t="s">
        <v>823</v>
      </c>
      <c r="B311" s="59" t="s">
        <v>31</v>
      </c>
      <c r="C311" s="59" t="s">
        <v>83</v>
      </c>
      <c r="D311" s="65" t="s">
        <v>824</v>
      </c>
      <c r="E311" s="59" t="s">
        <v>237</v>
      </c>
      <c r="F311" s="60">
        <v>41538.339999999997</v>
      </c>
      <c r="G311" s="60">
        <v>25962</v>
      </c>
      <c r="H311" s="60">
        <v>15576.34</v>
      </c>
      <c r="I311" s="59"/>
      <c r="J311" s="60">
        <v>2596.08</v>
      </c>
      <c r="K311" s="59"/>
      <c r="L311" s="59"/>
      <c r="M311" s="60">
        <v>41538.339999999997</v>
      </c>
      <c r="N311" s="60">
        <v>28558.080000000002</v>
      </c>
      <c r="O311" s="60">
        <v>12980.26</v>
      </c>
      <c r="P311" s="55"/>
      <c r="Q311" s="55"/>
      <c r="R311" s="61">
        <f t="shared" si="122"/>
        <v>216.34</v>
      </c>
      <c r="S311" s="60">
        <v>216.34</v>
      </c>
      <c r="T311" s="60">
        <v>216.34</v>
      </c>
      <c r="U311" s="60">
        <v>216.34</v>
      </c>
      <c r="V311" s="60">
        <v>216.34</v>
      </c>
      <c r="W311" s="60">
        <v>216.34</v>
      </c>
      <c r="X311" s="61">
        <f t="shared" si="123"/>
        <v>1298.04</v>
      </c>
      <c r="Y311" s="60">
        <v>216.34</v>
      </c>
      <c r="Z311" s="60">
        <v>216.34</v>
      </c>
      <c r="AA311" s="60">
        <v>216.34</v>
      </c>
      <c r="AB311" s="60">
        <v>216.34</v>
      </c>
      <c r="AC311" s="60">
        <v>216.34</v>
      </c>
      <c r="AD311" s="60">
        <v>216.34</v>
      </c>
      <c r="AE311" s="61">
        <f t="shared" si="127"/>
        <v>1298.04</v>
      </c>
      <c r="AF311" s="62">
        <f t="shared" si="135"/>
        <v>41538.339999999997</v>
      </c>
      <c r="AG311" s="62">
        <f t="shared" si="136"/>
        <v>31154.160000000003</v>
      </c>
      <c r="AH311" s="62">
        <f t="shared" si="128"/>
        <v>10384.179999999993</v>
      </c>
      <c r="AI311" s="63"/>
      <c r="AJ311" s="63"/>
      <c r="AK311" s="62"/>
      <c r="AL311" s="60">
        <v>216.34</v>
      </c>
      <c r="AM311" s="60">
        <v>216.34</v>
      </c>
      <c r="AN311" s="60">
        <v>216.34</v>
      </c>
      <c r="AO311" s="60">
        <v>216.34</v>
      </c>
      <c r="AP311" s="60">
        <v>216.34</v>
      </c>
      <c r="AQ311" s="60">
        <v>216.34</v>
      </c>
      <c r="AR311" s="61">
        <f t="shared" si="124"/>
        <v>1298.04</v>
      </c>
      <c r="AS311" s="60">
        <v>216.34</v>
      </c>
      <c r="AT311" s="60">
        <v>216.34</v>
      </c>
      <c r="AU311" s="60">
        <v>216.34</v>
      </c>
      <c r="AV311" s="60">
        <v>216.34</v>
      </c>
      <c r="AW311" s="60">
        <v>216.34</v>
      </c>
      <c r="AX311" s="60">
        <v>216.34</v>
      </c>
      <c r="AY311" s="61">
        <f t="shared" si="125"/>
        <v>1298.04</v>
      </c>
      <c r="AZ311" s="56">
        <f t="shared" si="120"/>
        <v>2596.08</v>
      </c>
      <c r="BA311" s="62">
        <f t="shared" ref="BA311:BA374" si="137">AF311</f>
        <v>41538.339999999997</v>
      </c>
      <c r="BB311" s="62">
        <f t="shared" si="126"/>
        <v>33750.239999999991</v>
      </c>
      <c r="BC311" s="62">
        <f t="shared" si="112"/>
        <v>7788.1000000000058</v>
      </c>
      <c r="BD311" s="63"/>
      <c r="BE311" s="57"/>
      <c r="BF311" s="35" t="e">
        <f>VLOOKUP(A:A,'2023-2027'!A:G,1,+FALSE)</f>
        <v>#N/A</v>
      </c>
      <c r="BG311" s="7" t="e">
        <f t="shared" si="131"/>
        <v>#N/A</v>
      </c>
      <c r="BH311" s="35"/>
    </row>
    <row r="312" spans="1:60" ht="24" hidden="1" customHeight="1" outlineLevel="1" x14ac:dyDescent="0.2">
      <c r="A312" s="59" t="s">
        <v>825</v>
      </c>
      <c r="B312" s="59" t="s">
        <v>31</v>
      </c>
      <c r="C312" s="59" t="s">
        <v>83</v>
      </c>
      <c r="D312" s="65" t="s">
        <v>826</v>
      </c>
      <c r="E312" s="59" t="s">
        <v>237</v>
      </c>
      <c r="F312" s="60">
        <v>41538.339999999997</v>
      </c>
      <c r="G312" s="60">
        <v>25962</v>
      </c>
      <c r="H312" s="60">
        <v>15576.34</v>
      </c>
      <c r="I312" s="59"/>
      <c r="J312" s="60">
        <v>2596.08</v>
      </c>
      <c r="K312" s="59"/>
      <c r="L312" s="59"/>
      <c r="M312" s="60">
        <v>41538.339999999997</v>
      </c>
      <c r="N312" s="60">
        <v>28558.080000000002</v>
      </c>
      <c r="O312" s="60">
        <v>12980.26</v>
      </c>
      <c r="P312" s="55"/>
      <c r="Q312" s="55"/>
      <c r="R312" s="61">
        <f t="shared" si="122"/>
        <v>216.34</v>
      </c>
      <c r="S312" s="60">
        <v>216.34</v>
      </c>
      <c r="T312" s="60">
        <v>216.34</v>
      </c>
      <c r="U312" s="60">
        <v>216.34</v>
      </c>
      <c r="V312" s="60">
        <v>216.34</v>
      </c>
      <c r="W312" s="60">
        <v>216.34</v>
      </c>
      <c r="X312" s="61">
        <f t="shared" si="123"/>
        <v>1298.04</v>
      </c>
      <c r="Y312" s="60">
        <v>216.34</v>
      </c>
      <c r="Z312" s="60">
        <v>216.34</v>
      </c>
      <c r="AA312" s="60">
        <v>216.34</v>
      </c>
      <c r="AB312" s="60">
        <v>216.34</v>
      </c>
      <c r="AC312" s="60">
        <v>216.34</v>
      </c>
      <c r="AD312" s="60">
        <v>216.34</v>
      </c>
      <c r="AE312" s="61">
        <f t="shared" si="127"/>
        <v>1298.04</v>
      </c>
      <c r="AF312" s="62">
        <f t="shared" si="135"/>
        <v>41538.339999999997</v>
      </c>
      <c r="AG312" s="62">
        <f t="shared" si="136"/>
        <v>31154.160000000003</v>
      </c>
      <c r="AH312" s="62">
        <f t="shared" si="128"/>
        <v>10384.179999999993</v>
      </c>
      <c r="AI312" s="63"/>
      <c r="AJ312" s="63"/>
      <c r="AK312" s="62"/>
      <c r="AL312" s="60">
        <v>216.34</v>
      </c>
      <c r="AM312" s="60">
        <v>216.34</v>
      </c>
      <c r="AN312" s="60">
        <v>216.34</v>
      </c>
      <c r="AO312" s="60">
        <v>216.34</v>
      </c>
      <c r="AP312" s="60">
        <v>216.34</v>
      </c>
      <c r="AQ312" s="60">
        <v>216.34</v>
      </c>
      <c r="AR312" s="61">
        <f t="shared" si="124"/>
        <v>1298.04</v>
      </c>
      <c r="AS312" s="60">
        <v>216.34</v>
      </c>
      <c r="AT312" s="60">
        <v>216.34</v>
      </c>
      <c r="AU312" s="60">
        <v>216.34</v>
      </c>
      <c r="AV312" s="60">
        <v>216.34</v>
      </c>
      <c r="AW312" s="60">
        <v>216.34</v>
      </c>
      <c r="AX312" s="60">
        <v>216.34</v>
      </c>
      <c r="AY312" s="61">
        <f t="shared" si="125"/>
        <v>1298.04</v>
      </c>
      <c r="AZ312" s="56">
        <f t="shared" si="120"/>
        <v>2596.08</v>
      </c>
      <c r="BA312" s="62">
        <f t="shared" si="137"/>
        <v>41538.339999999997</v>
      </c>
      <c r="BB312" s="62">
        <f t="shared" si="126"/>
        <v>33750.239999999991</v>
      </c>
      <c r="BC312" s="62">
        <f t="shared" si="112"/>
        <v>7788.1000000000058</v>
      </c>
      <c r="BD312" s="63"/>
      <c r="BE312" s="57"/>
      <c r="BF312" s="35" t="e">
        <f>VLOOKUP(A:A,'2023-2027'!A:G,1,+FALSE)</f>
        <v>#N/A</v>
      </c>
      <c r="BG312" s="7" t="e">
        <f t="shared" si="131"/>
        <v>#N/A</v>
      </c>
      <c r="BH312" s="35"/>
    </row>
    <row r="313" spans="1:60" ht="24" hidden="1" customHeight="1" outlineLevel="1" x14ac:dyDescent="0.2">
      <c r="A313" s="59" t="s">
        <v>827</v>
      </c>
      <c r="B313" s="59" t="s">
        <v>31</v>
      </c>
      <c r="C313" s="59" t="s">
        <v>83</v>
      </c>
      <c r="D313" s="65" t="s">
        <v>828</v>
      </c>
      <c r="E313" s="59" t="s">
        <v>237</v>
      </c>
      <c r="F313" s="60">
        <v>41538.339999999997</v>
      </c>
      <c r="G313" s="60">
        <v>25962</v>
      </c>
      <c r="H313" s="60">
        <v>15576.34</v>
      </c>
      <c r="I313" s="59"/>
      <c r="J313" s="60">
        <v>2596.08</v>
      </c>
      <c r="K313" s="59"/>
      <c r="L313" s="59"/>
      <c r="M313" s="60">
        <v>41538.339999999997</v>
      </c>
      <c r="N313" s="60">
        <v>28558.080000000002</v>
      </c>
      <c r="O313" s="60">
        <v>12980.26</v>
      </c>
      <c r="P313" s="55"/>
      <c r="Q313" s="55"/>
      <c r="R313" s="61">
        <f t="shared" si="122"/>
        <v>216.34</v>
      </c>
      <c r="S313" s="60">
        <v>216.34</v>
      </c>
      <c r="T313" s="60">
        <v>216.34</v>
      </c>
      <c r="U313" s="60">
        <v>216.34</v>
      </c>
      <c r="V313" s="60">
        <v>216.34</v>
      </c>
      <c r="W313" s="60">
        <v>216.34</v>
      </c>
      <c r="X313" s="61">
        <f t="shared" si="123"/>
        <v>1298.04</v>
      </c>
      <c r="Y313" s="60">
        <v>216.34</v>
      </c>
      <c r="Z313" s="60">
        <v>216.34</v>
      </c>
      <c r="AA313" s="60">
        <v>216.34</v>
      </c>
      <c r="AB313" s="60">
        <v>216.34</v>
      </c>
      <c r="AC313" s="60">
        <v>216.34</v>
      </c>
      <c r="AD313" s="60">
        <v>216.34</v>
      </c>
      <c r="AE313" s="61">
        <f t="shared" si="127"/>
        <v>1298.04</v>
      </c>
      <c r="AF313" s="62">
        <f t="shared" si="135"/>
        <v>41538.339999999997</v>
      </c>
      <c r="AG313" s="62">
        <f t="shared" si="136"/>
        <v>31154.160000000003</v>
      </c>
      <c r="AH313" s="62">
        <f t="shared" si="128"/>
        <v>10384.179999999993</v>
      </c>
      <c r="AI313" s="63"/>
      <c r="AJ313" s="63"/>
      <c r="AK313" s="62"/>
      <c r="AL313" s="60">
        <v>216.34</v>
      </c>
      <c r="AM313" s="60">
        <v>216.34</v>
      </c>
      <c r="AN313" s="60">
        <v>216.34</v>
      </c>
      <c r="AO313" s="60">
        <v>216.34</v>
      </c>
      <c r="AP313" s="60">
        <v>216.34</v>
      </c>
      <c r="AQ313" s="60">
        <v>216.34</v>
      </c>
      <c r="AR313" s="61">
        <f t="shared" si="124"/>
        <v>1298.04</v>
      </c>
      <c r="AS313" s="60">
        <v>216.34</v>
      </c>
      <c r="AT313" s="60">
        <v>216.34</v>
      </c>
      <c r="AU313" s="60">
        <v>216.34</v>
      </c>
      <c r="AV313" s="60">
        <v>216.34</v>
      </c>
      <c r="AW313" s="60">
        <v>216.34</v>
      </c>
      <c r="AX313" s="60">
        <v>216.34</v>
      </c>
      <c r="AY313" s="61">
        <f t="shared" si="125"/>
        <v>1298.04</v>
      </c>
      <c r="AZ313" s="56">
        <f t="shared" si="120"/>
        <v>2596.08</v>
      </c>
      <c r="BA313" s="62">
        <f t="shared" si="137"/>
        <v>41538.339999999997</v>
      </c>
      <c r="BB313" s="62">
        <f t="shared" si="126"/>
        <v>33750.239999999991</v>
      </c>
      <c r="BC313" s="62">
        <f t="shared" si="112"/>
        <v>7788.1000000000058</v>
      </c>
      <c r="BD313" s="63"/>
      <c r="BE313" s="57"/>
      <c r="BF313" s="35" t="e">
        <f>VLOOKUP(A:A,'2023-2027'!A:G,1,+FALSE)</f>
        <v>#N/A</v>
      </c>
      <c r="BG313" s="7" t="e">
        <f t="shared" si="131"/>
        <v>#N/A</v>
      </c>
      <c r="BH313" s="35"/>
    </row>
    <row r="314" spans="1:60" ht="24" hidden="1" customHeight="1" outlineLevel="1" x14ac:dyDescent="0.2">
      <c r="A314" s="59" t="s">
        <v>829</v>
      </c>
      <c r="B314" s="59" t="s">
        <v>31</v>
      </c>
      <c r="C314" s="59" t="s">
        <v>83</v>
      </c>
      <c r="D314" s="65" t="s">
        <v>830</v>
      </c>
      <c r="E314" s="59" t="s">
        <v>595</v>
      </c>
      <c r="F314" s="60">
        <v>41538.339999999997</v>
      </c>
      <c r="G314" s="60">
        <v>24663.9</v>
      </c>
      <c r="H314" s="60">
        <v>16874.439999999999</v>
      </c>
      <c r="I314" s="59"/>
      <c r="J314" s="60">
        <v>2596.08</v>
      </c>
      <c r="K314" s="59"/>
      <c r="L314" s="59"/>
      <c r="M314" s="60">
        <v>41538.339999999997</v>
      </c>
      <c r="N314" s="60">
        <v>27259.98</v>
      </c>
      <c r="O314" s="60">
        <v>14278.36</v>
      </c>
      <c r="P314" s="55"/>
      <c r="Q314" s="55"/>
      <c r="R314" s="61">
        <f t="shared" si="122"/>
        <v>216.34</v>
      </c>
      <c r="S314" s="60">
        <v>216.34</v>
      </c>
      <c r="T314" s="60">
        <v>216.34</v>
      </c>
      <c r="U314" s="60">
        <v>216.34</v>
      </c>
      <c r="V314" s="60">
        <v>216.34</v>
      </c>
      <c r="W314" s="60">
        <v>216.34</v>
      </c>
      <c r="X314" s="61">
        <f t="shared" si="123"/>
        <v>1298.04</v>
      </c>
      <c r="Y314" s="60">
        <v>216.34</v>
      </c>
      <c r="Z314" s="60">
        <v>216.34</v>
      </c>
      <c r="AA314" s="60">
        <v>216.34</v>
      </c>
      <c r="AB314" s="60">
        <v>216.34</v>
      </c>
      <c r="AC314" s="60">
        <v>216.34</v>
      </c>
      <c r="AD314" s="60">
        <v>216.34</v>
      </c>
      <c r="AE314" s="61">
        <f t="shared" si="127"/>
        <v>1298.04</v>
      </c>
      <c r="AF314" s="62">
        <f t="shared" si="135"/>
        <v>41538.339999999997</v>
      </c>
      <c r="AG314" s="62">
        <f t="shared" si="136"/>
        <v>29856.06</v>
      </c>
      <c r="AH314" s="62">
        <f t="shared" si="128"/>
        <v>11682.279999999995</v>
      </c>
      <c r="AI314" s="63"/>
      <c r="AJ314" s="63"/>
      <c r="AK314" s="62"/>
      <c r="AL314" s="60">
        <v>216.34</v>
      </c>
      <c r="AM314" s="60">
        <v>216.34</v>
      </c>
      <c r="AN314" s="60">
        <v>216.34</v>
      </c>
      <c r="AO314" s="60">
        <v>216.34</v>
      </c>
      <c r="AP314" s="60">
        <v>216.34</v>
      </c>
      <c r="AQ314" s="60">
        <v>216.34</v>
      </c>
      <c r="AR314" s="61">
        <f t="shared" si="124"/>
        <v>1298.04</v>
      </c>
      <c r="AS314" s="60">
        <v>216.34</v>
      </c>
      <c r="AT314" s="60">
        <v>216.34</v>
      </c>
      <c r="AU314" s="60">
        <v>216.34</v>
      </c>
      <c r="AV314" s="60">
        <v>216.34</v>
      </c>
      <c r="AW314" s="60">
        <v>216.34</v>
      </c>
      <c r="AX314" s="60">
        <v>216.34</v>
      </c>
      <c r="AY314" s="61">
        <f t="shared" si="125"/>
        <v>1298.04</v>
      </c>
      <c r="AZ314" s="56">
        <f t="shared" si="120"/>
        <v>2596.08</v>
      </c>
      <c r="BA314" s="62">
        <f t="shared" si="137"/>
        <v>41538.339999999997</v>
      </c>
      <c r="BB314" s="62">
        <f t="shared" si="126"/>
        <v>32452.140000000003</v>
      </c>
      <c r="BC314" s="62">
        <f t="shared" si="112"/>
        <v>9086.1999999999935</v>
      </c>
      <c r="BD314" s="63"/>
      <c r="BE314" s="57"/>
      <c r="BF314" s="35" t="e">
        <f>VLOOKUP(A:A,'2023-2027'!A:G,1,+FALSE)</f>
        <v>#N/A</v>
      </c>
      <c r="BG314" s="7" t="e">
        <f t="shared" si="131"/>
        <v>#N/A</v>
      </c>
      <c r="BH314" s="35"/>
    </row>
    <row r="315" spans="1:60" ht="24" hidden="1" customHeight="1" outlineLevel="1" x14ac:dyDescent="0.2">
      <c r="A315" s="59" t="s">
        <v>831</v>
      </c>
      <c r="B315" s="59" t="s">
        <v>31</v>
      </c>
      <c r="C315" s="59" t="s">
        <v>83</v>
      </c>
      <c r="D315" s="65" t="s">
        <v>832</v>
      </c>
      <c r="E315" s="59" t="s">
        <v>237</v>
      </c>
      <c r="F315" s="60">
        <v>41538.339999999997</v>
      </c>
      <c r="G315" s="60">
        <v>25962</v>
      </c>
      <c r="H315" s="60">
        <v>15576.34</v>
      </c>
      <c r="I315" s="59"/>
      <c r="J315" s="60">
        <v>2596.08</v>
      </c>
      <c r="K315" s="59"/>
      <c r="L315" s="59"/>
      <c r="M315" s="60">
        <v>41538.339999999997</v>
      </c>
      <c r="N315" s="60">
        <v>28558.080000000002</v>
      </c>
      <c r="O315" s="60">
        <v>12980.26</v>
      </c>
      <c r="P315" s="55"/>
      <c r="Q315" s="55"/>
      <c r="R315" s="61">
        <f t="shared" si="122"/>
        <v>216.34</v>
      </c>
      <c r="S315" s="60">
        <v>216.34</v>
      </c>
      <c r="T315" s="60">
        <v>216.34</v>
      </c>
      <c r="U315" s="60">
        <v>216.34</v>
      </c>
      <c r="V315" s="60">
        <v>216.34</v>
      </c>
      <c r="W315" s="60">
        <v>216.34</v>
      </c>
      <c r="X315" s="61">
        <f t="shared" si="123"/>
        <v>1298.04</v>
      </c>
      <c r="Y315" s="60">
        <v>216.34</v>
      </c>
      <c r="Z315" s="60">
        <v>216.34</v>
      </c>
      <c r="AA315" s="60">
        <v>216.34</v>
      </c>
      <c r="AB315" s="60">
        <v>216.34</v>
      </c>
      <c r="AC315" s="60">
        <v>216.34</v>
      </c>
      <c r="AD315" s="60">
        <v>216.34</v>
      </c>
      <c r="AE315" s="61">
        <f t="shared" si="127"/>
        <v>1298.04</v>
      </c>
      <c r="AF315" s="62">
        <f t="shared" si="135"/>
        <v>41538.339999999997</v>
      </c>
      <c r="AG315" s="62">
        <f t="shared" si="136"/>
        <v>31154.160000000003</v>
      </c>
      <c r="AH315" s="62">
        <f t="shared" si="128"/>
        <v>10384.179999999993</v>
      </c>
      <c r="AI315" s="63"/>
      <c r="AJ315" s="63"/>
      <c r="AK315" s="62"/>
      <c r="AL315" s="60">
        <v>216.34</v>
      </c>
      <c r="AM315" s="60">
        <v>216.34</v>
      </c>
      <c r="AN315" s="60">
        <v>216.34</v>
      </c>
      <c r="AO315" s="60">
        <v>216.34</v>
      </c>
      <c r="AP315" s="60">
        <v>216.34</v>
      </c>
      <c r="AQ315" s="60">
        <v>216.34</v>
      </c>
      <c r="AR315" s="61">
        <f t="shared" si="124"/>
        <v>1298.04</v>
      </c>
      <c r="AS315" s="60">
        <v>216.34</v>
      </c>
      <c r="AT315" s="60">
        <v>216.34</v>
      </c>
      <c r="AU315" s="60">
        <v>216.34</v>
      </c>
      <c r="AV315" s="60">
        <v>216.34</v>
      </c>
      <c r="AW315" s="60">
        <v>216.34</v>
      </c>
      <c r="AX315" s="60">
        <v>216.34</v>
      </c>
      <c r="AY315" s="61">
        <f t="shared" si="125"/>
        <v>1298.04</v>
      </c>
      <c r="AZ315" s="56">
        <f t="shared" si="120"/>
        <v>2596.08</v>
      </c>
      <c r="BA315" s="62">
        <f t="shared" si="137"/>
        <v>41538.339999999997</v>
      </c>
      <c r="BB315" s="62">
        <f t="shared" si="126"/>
        <v>33750.239999999991</v>
      </c>
      <c r="BC315" s="62">
        <f t="shared" si="112"/>
        <v>7788.1000000000058</v>
      </c>
      <c r="BD315" s="63"/>
      <c r="BE315" s="57"/>
      <c r="BF315" s="35" t="e">
        <f>VLOOKUP(A:A,'2023-2027'!A:G,1,+FALSE)</f>
        <v>#N/A</v>
      </c>
      <c r="BG315" s="7" t="e">
        <f t="shared" si="131"/>
        <v>#N/A</v>
      </c>
      <c r="BH315" s="35"/>
    </row>
    <row r="316" spans="1:60" ht="24" hidden="1" customHeight="1" outlineLevel="1" x14ac:dyDescent="0.2">
      <c r="A316" s="59" t="s">
        <v>833</v>
      </c>
      <c r="B316" s="59" t="s">
        <v>31</v>
      </c>
      <c r="C316" s="59" t="s">
        <v>83</v>
      </c>
      <c r="D316" s="65" t="s">
        <v>834</v>
      </c>
      <c r="E316" s="59" t="s">
        <v>237</v>
      </c>
      <c r="F316" s="60">
        <v>41538.339999999997</v>
      </c>
      <c r="G316" s="60">
        <v>25962</v>
      </c>
      <c r="H316" s="60">
        <v>15576.34</v>
      </c>
      <c r="I316" s="59"/>
      <c r="J316" s="60">
        <v>2596.08</v>
      </c>
      <c r="K316" s="59"/>
      <c r="L316" s="59"/>
      <c r="M316" s="60">
        <v>41538.339999999997</v>
      </c>
      <c r="N316" s="60">
        <v>28558.080000000002</v>
      </c>
      <c r="O316" s="60">
        <v>12980.26</v>
      </c>
      <c r="P316" s="55"/>
      <c r="Q316" s="55"/>
      <c r="R316" s="61">
        <f t="shared" si="122"/>
        <v>216.34</v>
      </c>
      <c r="S316" s="60">
        <v>216.34</v>
      </c>
      <c r="T316" s="60">
        <v>216.34</v>
      </c>
      <c r="U316" s="60">
        <v>216.34</v>
      </c>
      <c r="V316" s="60">
        <v>216.34</v>
      </c>
      <c r="W316" s="60">
        <v>216.34</v>
      </c>
      <c r="X316" s="61">
        <f t="shared" si="123"/>
        <v>1298.04</v>
      </c>
      <c r="Y316" s="60">
        <v>216.34</v>
      </c>
      <c r="Z316" s="60">
        <v>216.34</v>
      </c>
      <c r="AA316" s="60">
        <v>216.34</v>
      </c>
      <c r="AB316" s="60">
        <v>216.34</v>
      </c>
      <c r="AC316" s="60">
        <v>216.34</v>
      </c>
      <c r="AD316" s="60">
        <v>216.34</v>
      </c>
      <c r="AE316" s="61">
        <f t="shared" si="127"/>
        <v>1298.04</v>
      </c>
      <c r="AF316" s="62">
        <f t="shared" si="135"/>
        <v>41538.339999999997</v>
      </c>
      <c r="AG316" s="62">
        <f t="shared" si="136"/>
        <v>31154.160000000003</v>
      </c>
      <c r="AH316" s="62">
        <f t="shared" si="128"/>
        <v>10384.179999999993</v>
      </c>
      <c r="AI316" s="63"/>
      <c r="AJ316" s="63"/>
      <c r="AK316" s="62"/>
      <c r="AL316" s="60">
        <v>216.34</v>
      </c>
      <c r="AM316" s="60">
        <v>216.34</v>
      </c>
      <c r="AN316" s="60">
        <v>216.34</v>
      </c>
      <c r="AO316" s="60">
        <v>216.34</v>
      </c>
      <c r="AP316" s="60">
        <v>216.34</v>
      </c>
      <c r="AQ316" s="60">
        <v>216.34</v>
      </c>
      <c r="AR316" s="61">
        <f t="shared" si="124"/>
        <v>1298.04</v>
      </c>
      <c r="AS316" s="60">
        <v>216.34</v>
      </c>
      <c r="AT316" s="60">
        <v>216.34</v>
      </c>
      <c r="AU316" s="60">
        <v>216.34</v>
      </c>
      <c r="AV316" s="60">
        <v>216.34</v>
      </c>
      <c r="AW316" s="60">
        <v>216.34</v>
      </c>
      <c r="AX316" s="60">
        <v>216.34</v>
      </c>
      <c r="AY316" s="61">
        <f t="shared" si="125"/>
        <v>1298.04</v>
      </c>
      <c r="AZ316" s="56">
        <f t="shared" si="120"/>
        <v>2596.08</v>
      </c>
      <c r="BA316" s="62">
        <f t="shared" si="137"/>
        <v>41538.339999999997</v>
      </c>
      <c r="BB316" s="62">
        <f t="shared" si="126"/>
        <v>33750.239999999991</v>
      </c>
      <c r="BC316" s="62">
        <f t="shared" si="112"/>
        <v>7788.1000000000058</v>
      </c>
      <c r="BD316" s="63"/>
      <c r="BE316" s="57"/>
      <c r="BF316" s="35" t="e">
        <f>VLOOKUP(A:A,'2023-2027'!A:G,1,+FALSE)</f>
        <v>#N/A</v>
      </c>
      <c r="BG316" s="7" t="e">
        <f t="shared" si="131"/>
        <v>#N/A</v>
      </c>
      <c r="BH316" s="35"/>
    </row>
    <row r="317" spans="1:60" ht="24" hidden="1" customHeight="1" outlineLevel="1" x14ac:dyDescent="0.2">
      <c r="A317" s="59" t="s">
        <v>835</v>
      </c>
      <c r="B317" s="59" t="s">
        <v>31</v>
      </c>
      <c r="C317" s="59" t="s">
        <v>83</v>
      </c>
      <c r="D317" s="65" t="s">
        <v>836</v>
      </c>
      <c r="E317" s="59" t="s">
        <v>595</v>
      </c>
      <c r="F317" s="60">
        <v>41538.339999999997</v>
      </c>
      <c r="G317" s="60">
        <v>24663.9</v>
      </c>
      <c r="H317" s="60">
        <v>16874.439999999999</v>
      </c>
      <c r="I317" s="59"/>
      <c r="J317" s="60">
        <v>2596.08</v>
      </c>
      <c r="K317" s="59"/>
      <c r="L317" s="59"/>
      <c r="M317" s="60">
        <v>41538.339999999997</v>
      </c>
      <c r="N317" s="60">
        <v>27259.98</v>
      </c>
      <c r="O317" s="60">
        <v>14278.36</v>
      </c>
      <c r="P317" s="55"/>
      <c r="Q317" s="55"/>
      <c r="R317" s="61">
        <f t="shared" si="122"/>
        <v>216.34</v>
      </c>
      <c r="S317" s="60">
        <v>216.34</v>
      </c>
      <c r="T317" s="60">
        <v>216.34</v>
      </c>
      <c r="U317" s="60">
        <v>216.34</v>
      </c>
      <c r="V317" s="60">
        <v>216.34</v>
      </c>
      <c r="W317" s="60">
        <v>216.34</v>
      </c>
      <c r="X317" s="61">
        <f t="shared" si="123"/>
        <v>1298.04</v>
      </c>
      <c r="Y317" s="60">
        <v>216.34</v>
      </c>
      <c r="Z317" s="60">
        <v>216.34</v>
      </c>
      <c r="AA317" s="60">
        <v>216.34</v>
      </c>
      <c r="AB317" s="60">
        <v>216.34</v>
      </c>
      <c r="AC317" s="60">
        <v>216.34</v>
      </c>
      <c r="AD317" s="60">
        <v>216.34</v>
      </c>
      <c r="AE317" s="61">
        <f t="shared" si="127"/>
        <v>1298.04</v>
      </c>
      <c r="AF317" s="62">
        <f t="shared" si="135"/>
        <v>41538.339999999997</v>
      </c>
      <c r="AG317" s="62">
        <f t="shared" si="136"/>
        <v>29856.06</v>
      </c>
      <c r="AH317" s="62">
        <f t="shared" si="128"/>
        <v>11682.279999999995</v>
      </c>
      <c r="AI317" s="63"/>
      <c r="AJ317" s="63"/>
      <c r="AK317" s="62"/>
      <c r="AL317" s="60">
        <v>216.34</v>
      </c>
      <c r="AM317" s="60">
        <v>216.34</v>
      </c>
      <c r="AN317" s="60">
        <v>216.34</v>
      </c>
      <c r="AO317" s="60">
        <v>216.34</v>
      </c>
      <c r="AP317" s="60">
        <v>216.34</v>
      </c>
      <c r="AQ317" s="60">
        <v>216.34</v>
      </c>
      <c r="AR317" s="61">
        <f t="shared" si="124"/>
        <v>1298.04</v>
      </c>
      <c r="AS317" s="60">
        <v>216.34</v>
      </c>
      <c r="AT317" s="60">
        <v>216.34</v>
      </c>
      <c r="AU317" s="60">
        <v>216.34</v>
      </c>
      <c r="AV317" s="60">
        <v>216.34</v>
      </c>
      <c r="AW317" s="60">
        <v>216.34</v>
      </c>
      <c r="AX317" s="60">
        <v>216.34</v>
      </c>
      <c r="AY317" s="61">
        <f t="shared" si="125"/>
        <v>1298.04</v>
      </c>
      <c r="AZ317" s="56">
        <f t="shared" si="120"/>
        <v>2596.08</v>
      </c>
      <c r="BA317" s="62">
        <f t="shared" si="137"/>
        <v>41538.339999999997</v>
      </c>
      <c r="BB317" s="62">
        <f t="shared" si="126"/>
        <v>32452.140000000003</v>
      </c>
      <c r="BC317" s="62">
        <f t="shared" si="112"/>
        <v>9086.1999999999935</v>
      </c>
      <c r="BD317" s="63"/>
      <c r="BE317" s="57"/>
      <c r="BF317" s="35" t="e">
        <f>VLOOKUP(A:A,'2023-2027'!A:G,1,+FALSE)</f>
        <v>#N/A</v>
      </c>
      <c r="BG317" s="7" t="e">
        <f t="shared" si="131"/>
        <v>#N/A</v>
      </c>
      <c r="BH317" s="35"/>
    </row>
    <row r="318" spans="1:60" ht="24" hidden="1" customHeight="1" outlineLevel="1" x14ac:dyDescent="0.2">
      <c r="A318" s="59" t="s">
        <v>837</v>
      </c>
      <c r="B318" s="59" t="s">
        <v>31</v>
      </c>
      <c r="C318" s="59" t="s">
        <v>83</v>
      </c>
      <c r="D318" s="65" t="s">
        <v>838</v>
      </c>
      <c r="E318" s="59" t="s">
        <v>237</v>
      </c>
      <c r="F318" s="60">
        <v>41538.339999999997</v>
      </c>
      <c r="G318" s="60">
        <v>25962</v>
      </c>
      <c r="H318" s="60">
        <v>15576.34</v>
      </c>
      <c r="I318" s="59"/>
      <c r="J318" s="60">
        <v>2596.08</v>
      </c>
      <c r="K318" s="59"/>
      <c r="L318" s="59"/>
      <c r="M318" s="60">
        <v>41538.339999999997</v>
      </c>
      <c r="N318" s="60">
        <v>28558.080000000002</v>
      </c>
      <c r="O318" s="60">
        <v>12980.26</v>
      </c>
      <c r="P318" s="55"/>
      <c r="Q318" s="55"/>
      <c r="R318" s="61">
        <f t="shared" si="122"/>
        <v>216.34</v>
      </c>
      <c r="S318" s="60">
        <v>216.34</v>
      </c>
      <c r="T318" s="60">
        <v>216.34</v>
      </c>
      <c r="U318" s="60">
        <v>216.34</v>
      </c>
      <c r="V318" s="60">
        <v>216.34</v>
      </c>
      <c r="W318" s="60">
        <v>216.34</v>
      </c>
      <c r="X318" s="61">
        <f t="shared" si="123"/>
        <v>1298.04</v>
      </c>
      <c r="Y318" s="60">
        <v>216.34</v>
      </c>
      <c r="Z318" s="60">
        <v>216.34</v>
      </c>
      <c r="AA318" s="60">
        <v>216.34</v>
      </c>
      <c r="AB318" s="60">
        <v>216.34</v>
      </c>
      <c r="AC318" s="60">
        <v>216.34</v>
      </c>
      <c r="AD318" s="60">
        <v>216.34</v>
      </c>
      <c r="AE318" s="61">
        <f t="shared" si="127"/>
        <v>1298.04</v>
      </c>
      <c r="AF318" s="62">
        <f t="shared" si="135"/>
        <v>41538.339999999997</v>
      </c>
      <c r="AG318" s="62">
        <f t="shared" si="136"/>
        <v>31154.160000000003</v>
      </c>
      <c r="AH318" s="62">
        <f t="shared" si="128"/>
        <v>10384.179999999993</v>
      </c>
      <c r="AI318" s="63"/>
      <c r="AJ318" s="63"/>
      <c r="AK318" s="62"/>
      <c r="AL318" s="60">
        <v>216.34</v>
      </c>
      <c r="AM318" s="60">
        <v>216.34</v>
      </c>
      <c r="AN318" s="60">
        <v>216.34</v>
      </c>
      <c r="AO318" s="60">
        <v>216.34</v>
      </c>
      <c r="AP318" s="60">
        <v>216.34</v>
      </c>
      <c r="AQ318" s="60">
        <v>216.34</v>
      </c>
      <c r="AR318" s="61">
        <f t="shared" si="124"/>
        <v>1298.04</v>
      </c>
      <c r="AS318" s="60">
        <v>216.34</v>
      </c>
      <c r="AT318" s="60">
        <v>216.34</v>
      </c>
      <c r="AU318" s="60">
        <v>216.34</v>
      </c>
      <c r="AV318" s="60">
        <v>216.34</v>
      </c>
      <c r="AW318" s="60">
        <v>216.34</v>
      </c>
      <c r="AX318" s="60">
        <v>216.34</v>
      </c>
      <c r="AY318" s="61">
        <f t="shared" si="125"/>
        <v>1298.04</v>
      </c>
      <c r="AZ318" s="56">
        <f t="shared" si="120"/>
        <v>2596.08</v>
      </c>
      <c r="BA318" s="62">
        <f t="shared" si="137"/>
        <v>41538.339999999997</v>
      </c>
      <c r="BB318" s="62">
        <f t="shared" si="126"/>
        <v>33750.239999999991</v>
      </c>
      <c r="BC318" s="62">
        <f t="shared" si="112"/>
        <v>7788.1000000000058</v>
      </c>
      <c r="BD318" s="63"/>
      <c r="BE318" s="57"/>
      <c r="BF318" s="35" t="e">
        <f>VLOOKUP(A:A,'2023-2027'!A:G,1,+FALSE)</f>
        <v>#N/A</v>
      </c>
      <c r="BG318" s="7" t="e">
        <f t="shared" si="131"/>
        <v>#N/A</v>
      </c>
      <c r="BH318" s="35"/>
    </row>
    <row r="319" spans="1:60" ht="24" hidden="1" customHeight="1" outlineLevel="1" x14ac:dyDescent="0.2">
      <c r="A319" s="59" t="s">
        <v>839</v>
      </c>
      <c r="B319" s="59" t="s">
        <v>31</v>
      </c>
      <c r="C319" s="59" t="s">
        <v>83</v>
      </c>
      <c r="D319" s="65" t="s">
        <v>840</v>
      </c>
      <c r="E319" s="59" t="s">
        <v>237</v>
      </c>
      <c r="F319" s="60">
        <v>41538.339999999997</v>
      </c>
      <c r="G319" s="60">
        <v>25962</v>
      </c>
      <c r="H319" s="60">
        <v>15576.34</v>
      </c>
      <c r="I319" s="59"/>
      <c r="J319" s="60">
        <v>2596.08</v>
      </c>
      <c r="K319" s="59"/>
      <c r="L319" s="59"/>
      <c r="M319" s="60">
        <v>41538.339999999997</v>
      </c>
      <c r="N319" s="60">
        <v>28558.080000000002</v>
      </c>
      <c r="O319" s="60">
        <v>12980.26</v>
      </c>
      <c r="P319" s="55"/>
      <c r="Q319" s="55"/>
      <c r="R319" s="61">
        <f t="shared" si="122"/>
        <v>216.34</v>
      </c>
      <c r="S319" s="60">
        <v>216.34</v>
      </c>
      <c r="T319" s="60">
        <v>216.34</v>
      </c>
      <c r="U319" s="60">
        <v>216.34</v>
      </c>
      <c r="V319" s="60">
        <v>216.34</v>
      </c>
      <c r="W319" s="60">
        <v>216.34</v>
      </c>
      <c r="X319" s="61">
        <f t="shared" si="123"/>
        <v>1298.04</v>
      </c>
      <c r="Y319" s="60">
        <v>216.34</v>
      </c>
      <c r="Z319" s="60">
        <v>216.34</v>
      </c>
      <c r="AA319" s="60">
        <v>216.34</v>
      </c>
      <c r="AB319" s="60">
        <v>216.34</v>
      </c>
      <c r="AC319" s="60">
        <v>216.34</v>
      </c>
      <c r="AD319" s="60">
        <v>216.34</v>
      </c>
      <c r="AE319" s="61">
        <f t="shared" si="127"/>
        <v>1298.04</v>
      </c>
      <c r="AF319" s="62">
        <f t="shared" si="135"/>
        <v>41538.339999999997</v>
      </c>
      <c r="AG319" s="62">
        <f t="shared" si="136"/>
        <v>31154.160000000003</v>
      </c>
      <c r="AH319" s="62">
        <f t="shared" si="128"/>
        <v>10384.179999999993</v>
      </c>
      <c r="AI319" s="63"/>
      <c r="AJ319" s="63"/>
      <c r="AK319" s="62"/>
      <c r="AL319" s="60">
        <v>216.34</v>
      </c>
      <c r="AM319" s="60">
        <v>216.34</v>
      </c>
      <c r="AN319" s="60">
        <v>216.34</v>
      </c>
      <c r="AO319" s="60">
        <v>216.34</v>
      </c>
      <c r="AP319" s="60">
        <v>216.34</v>
      </c>
      <c r="AQ319" s="60">
        <v>216.34</v>
      </c>
      <c r="AR319" s="61">
        <f t="shared" si="124"/>
        <v>1298.04</v>
      </c>
      <c r="AS319" s="60">
        <v>216.34</v>
      </c>
      <c r="AT319" s="60">
        <v>216.34</v>
      </c>
      <c r="AU319" s="60">
        <v>216.34</v>
      </c>
      <c r="AV319" s="60">
        <v>216.34</v>
      </c>
      <c r="AW319" s="60">
        <v>216.34</v>
      </c>
      <c r="AX319" s="60">
        <v>216.34</v>
      </c>
      <c r="AY319" s="61">
        <f t="shared" si="125"/>
        <v>1298.04</v>
      </c>
      <c r="AZ319" s="56">
        <f t="shared" si="120"/>
        <v>2596.08</v>
      </c>
      <c r="BA319" s="62">
        <f t="shared" si="137"/>
        <v>41538.339999999997</v>
      </c>
      <c r="BB319" s="62">
        <f t="shared" si="126"/>
        <v>33750.239999999991</v>
      </c>
      <c r="BC319" s="62">
        <f t="shared" si="112"/>
        <v>7788.1000000000058</v>
      </c>
      <c r="BD319" s="63"/>
      <c r="BE319" s="57"/>
      <c r="BF319" s="35" t="e">
        <f>VLOOKUP(A:A,'2023-2027'!A:G,1,+FALSE)</f>
        <v>#N/A</v>
      </c>
      <c r="BG319" s="7" t="e">
        <f t="shared" si="131"/>
        <v>#N/A</v>
      </c>
      <c r="BH319" s="35"/>
    </row>
    <row r="320" spans="1:60" ht="24" hidden="1" customHeight="1" outlineLevel="1" x14ac:dyDescent="0.2">
      <c r="A320" s="59" t="s">
        <v>841</v>
      </c>
      <c r="B320" s="59" t="s">
        <v>31</v>
      </c>
      <c r="C320" s="59" t="s">
        <v>83</v>
      </c>
      <c r="D320" s="65" t="s">
        <v>842</v>
      </c>
      <c r="E320" s="59" t="s">
        <v>237</v>
      </c>
      <c r="F320" s="60">
        <v>41538.339999999997</v>
      </c>
      <c r="G320" s="60">
        <v>25962</v>
      </c>
      <c r="H320" s="60">
        <v>15576.34</v>
      </c>
      <c r="I320" s="59"/>
      <c r="J320" s="60">
        <v>2596.08</v>
      </c>
      <c r="K320" s="59"/>
      <c r="L320" s="59"/>
      <c r="M320" s="60">
        <v>41538.339999999997</v>
      </c>
      <c r="N320" s="60">
        <v>28558.080000000002</v>
      </c>
      <c r="O320" s="60">
        <v>12980.26</v>
      </c>
      <c r="P320" s="55"/>
      <c r="Q320" s="55"/>
      <c r="R320" s="61">
        <f t="shared" si="122"/>
        <v>216.34</v>
      </c>
      <c r="S320" s="60">
        <v>216.34</v>
      </c>
      <c r="T320" s="60">
        <v>216.34</v>
      </c>
      <c r="U320" s="60">
        <v>216.34</v>
      </c>
      <c r="V320" s="60">
        <v>216.34</v>
      </c>
      <c r="W320" s="60">
        <v>216.34</v>
      </c>
      <c r="X320" s="61">
        <f t="shared" si="123"/>
        <v>1298.04</v>
      </c>
      <c r="Y320" s="60">
        <v>216.34</v>
      </c>
      <c r="Z320" s="60">
        <v>216.34</v>
      </c>
      <c r="AA320" s="60">
        <v>216.34</v>
      </c>
      <c r="AB320" s="60">
        <v>216.34</v>
      </c>
      <c r="AC320" s="60">
        <v>216.34</v>
      </c>
      <c r="AD320" s="60">
        <v>216.34</v>
      </c>
      <c r="AE320" s="61">
        <f t="shared" si="127"/>
        <v>1298.04</v>
      </c>
      <c r="AF320" s="62">
        <f t="shared" si="135"/>
        <v>41538.339999999997</v>
      </c>
      <c r="AG320" s="62">
        <f t="shared" si="136"/>
        <v>31154.160000000003</v>
      </c>
      <c r="AH320" s="62">
        <f t="shared" si="128"/>
        <v>10384.179999999993</v>
      </c>
      <c r="AI320" s="63"/>
      <c r="AJ320" s="63"/>
      <c r="AK320" s="62"/>
      <c r="AL320" s="60">
        <v>216.34</v>
      </c>
      <c r="AM320" s="60">
        <v>216.34</v>
      </c>
      <c r="AN320" s="60">
        <v>216.34</v>
      </c>
      <c r="AO320" s="60">
        <v>216.34</v>
      </c>
      <c r="AP320" s="60">
        <v>216.34</v>
      </c>
      <c r="AQ320" s="60">
        <v>216.34</v>
      </c>
      <c r="AR320" s="61">
        <f t="shared" si="124"/>
        <v>1298.04</v>
      </c>
      <c r="AS320" s="60">
        <v>216.34</v>
      </c>
      <c r="AT320" s="60">
        <v>216.34</v>
      </c>
      <c r="AU320" s="60">
        <v>216.34</v>
      </c>
      <c r="AV320" s="60">
        <v>216.34</v>
      </c>
      <c r="AW320" s="60">
        <v>216.34</v>
      </c>
      <c r="AX320" s="60">
        <v>216.34</v>
      </c>
      <c r="AY320" s="61">
        <f t="shared" si="125"/>
        <v>1298.04</v>
      </c>
      <c r="AZ320" s="56">
        <f t="shared" si="120"/>
        <v>2596.08</v>
      </c>
      <c r="BA320" s="62">
        <f t="shared" si="137"/>
        <v>41538.339999999997</v>
      </c>
      <c r="BB320" s="62">
        <f t="shared" si="126"/>
        <v>33750.239999999991</v>
      </c>
      <c r="BC320" s="62">
        <f t="shared" si="112"/>
        <v>7788.1000000000058</v>
      </c>
      <c r="BD320" s="63"/>
      <c r="BE320" s="57"/>
      <c r="BF320" s="35" t="e">
        <f>VLOOKUP(A:A,'2023-2027'!A:G,1,+FALSE)</f>
        <v>#N/A</v>
      </c>
      <c r="BG320" s="7" t="e">
        <f t="shared" si="131"/>
        <v>#N/A</v>
      </c>
      <c r="BH320" s="35"/>
    </row>
    <row r="321" spans="1:60" ht="24" hidden="1" customHeight="1" outlineLevel="1" x14ac:dyDescent="0.2">
      <c r="A321" s="59" t="s">
        <v>843</v>
      </c>
      <c r="B321" s="59" t="s">
        <v>31</v>
      </c>
      <c r="C321" s="59" t="s">
        <v>83</v>
      </c>
      <c r="D321" s="65" t="s">
        <v>844</v>
      </c>
      <c r="E321" s="59" t="s">
        <v>237</v>
      </c>
      <c r="F321" s="60">
        <v>41538.339999999997</v>
      </c>
      <c r="G321" s="60">
        <v>25962</v>
      </c>
      <c r="H321" s="60">
        <v>15576.34</v>
      </c>
      <c r="I321" s="59"/>
      <c r="J321" s="60">
        <v>2596.08</v>
      </c>
      <c r="K321" s="59"/>
      <c r="L321" s="59"/>
      <c r="M321" s="60">
        <v>41538.339999999997</v>
      </c>
      <c r="N321" s="60">
        <v>28558.080000000002</v>
      </c>
      <c r="O321" s="60">
        <v>12980.26</v>
      </c>
      <c r="P321" s="55"/>
      <c r="Q321" s="55"/>
      <c r="R321" s="61">
        <f t="shared" si="122"/>
        <v>216.34</v>
      </c>
      <c r="S321" s="60">
        <v>216.34</v>
      </c>
      <c r="T321" s="60">
        <v>216.34</v>
      </c>
      <c r="U321" s="60">
        <v>216.34</v>
      </c>
      <c r="V321" s="60">
        <v>216.34</v>
      </c>
      <c r="W321" s="60">
        <v>216.34</v>
      </c>
      <c r="X321" s="61">
        <f t="shared" si="123"/>
        <v>1298.04</v>
      </c>
      <c r="Y321" s="60">
        <v>216.34</v>
      </c>
      <c r="Z321" s="60">
        <v>216.34</v>
      </c>
      <c r="AA321" s="60">
        <v>216.34</v>
      </c>
      <c r="AB321" s="60">
        <v>216.34</v>
      </c>
      <c r="AC321" s="60">
        <v>216.34</v>
      </c>
      <c r="AD321" s="60">
        <v>216.34</v>
      </c>
      <c r="AE321" s="61">
        <f t="shared" si="127"/>
        <v>1298.04</v>
      </c>
      <c r="AF321" s="62">
        <f t="shared" si="135"/>
        <v>41538.339999999997</v>
      </c>
      <c r="AG321" s="62">
        <f t="shared" si="136"/>
        <v>31154.160000000003</v>
      </c>
      <c r="AH321" s="62">
        <f t="shared" si="128"/>
        <v>10384.179999999993</v>
      </c>
      <c r="AI321" s="63"/>
      <c r="AJ321" s="63"/>
      <c r="AK321" s="62"/>
      <c r="AL321" s="60">
        <v>216.34</v>
      </c>
      <c r="AM321" s="60">
        <v>216.34</v>
      </c>
      <c r="AN321" s="60">
        <v>216.34</v>
      </c>
      <c r="AO321" s="60">
        <v>216.34</v>
      </c>
      <c r="AP321" s="60">
        <v>216.34</v>
      </c>
      <c r="AQ321" s="60">
        <v>216.34</v>
      </c>
      <c r="AR321" s="61">
        <f t="shared" si="124"/>
        <v>1298.04</v>
      </c>
      <c r="AS321" s="60">
        <v>216.34</v>
      </c>
      <c r="AT321" s="60">
        <v>216.34</v>
      </c>
      <c r="AU321" s="60">
        <v>216.34</v>
      </c>
      <c r="AV321" s="60">
        <v>216.34</v>
      </c>
      <c r="AW321" s="60">
        <v>216.34</v>
      </c>
      <c r="AX321" s="60">
        <v>216.34</v>
      </c>
      <c r="AY321" s="61">
        <f t="shared" si="125"/>
        <v>1298.04</v>
      </c>
      <c r="AZ321" s="56">
        <f t="shared" si="120"/>
        <v>2596.08</v>
      </c>
      <c r="BA321" s="62">
        <f t="shared" si="137"/>
        <v>41538.339999999997</v>
      </c>
      <c r="BB321" s="62">
        <f t="shared" si="126"/>
        <v>33750.239999999991</v>
      </c>
      <c r="BC321" s="62">
        <f t="shared" si="112"/>
        <v>7788.1000000000058</v>
      </c>
      <c r="BD321" s="63"/>
      <c r="BE321" s="57"/>
      <c r="BF321" s="35" t="e">
        <f>VLOOKUP(A:A,'2023-2027'!A:G,1,+FALSE)</f>
        <v>#N/A</v>
      </c>
      <c r="BG321" s="7" t="e">
        <f t="shared" si="131"/>
        <v>#N/A</v>
      </c>
      <c r="BH321" s="35"/>
    </row>
    <row r="322" spans="1:60" ht="24" hidden="1" customHeight="1" outlineLevel="1" x14ac:dyDescent="0.2">
      <c r="A322" s="59" t="s">
        <v>845</v>
      </c>
      <c r="B322" s="59" t="s">
        <v>31</v>
      </c>
      <c r="C322" s="59" t="s">
        <v>83</v>
      </c>
      <c r="D322" s="65" t="s">
        <v>846</v>
      </c>
      <c r="E322" s="59" t="s">
        <v>237</v>
      </c>
      <c r="F322" s="60">
        <v>41538.339999999997</v>
      </c>
      <c r="G322" s="60">
        <v>25962</v>
      </c>
      <c r="H322" s="60">
        <v>15576.34</v>
      </c>
      <c r="I322" s="59"/>
      <c r="J322" s="60">
        <v>2596.08</v>
      </c>
      <c r="K322" s="59"/>
      <c r="L322" s="59"/>
      <c r="M322" s="60">
        <v>41538.339999999997</v>
      </c>
      <c r="N322" s="60">
        <v>28558.080000000002</v>
      </c>
      <c r="O322" s="60">
        <v>12980.26</v>
      </c>
      <c r="P322" s="55"/>
      <c r="Q322" s="55"/>
      <c r="R322" s="61">
        <f t="shared" si="122"/>
        <v>216.34</v>
      </c>
      <c r="S322" s="60">
        <v>216.34</v>
      </c>
      <c r="T322" s="60">
        <v>216.34</v>
      </c>
      <c r="U322" s="60">
        <v>216.34</v>
      </c>
      <c r="V322" s="60">
        <v>216.34</v>
      </c>
      <c r="W322" s="60">
        <v>216.34</v>
      </c>
      <c r="X322" s="61">
        <f t="shared" si="123"/>
        <v>1298.04</v>
      </c>
      <c r="Y322" s="60">
        <v>216.34</v>
      </c>
      <c r="Z322" s="60">
        <v>216.34</v>
      </c>
      <c r="AA322" s="60">
        <v>216.34</v>
      </c>
      <c r="AB322" s="60">
        <v>216.34</v>
      </c>
      <c r="AC322" s="60">
        <v>216.34</v>
      </c>
      <c r="AD322" s="60">
        <v>216.34</v>
      </c>
      <c r="AE322" s="61">
        <f t="shared" si="127"/>
        <v>1298.04</v>
      </c>
      <c r="AF322" s="62">
        <f t="shared" si="135"/>
        <v>41538.339999999997</v>
      </c>
      <c r="AG322" s="62">
        <f t="shared" si="136"/>
        <v>31154.160000000003</v>
      </c>
      <c r="AH322" s="62">
        <f t="shared" si="128"/>
        <v>10384.179999999993</v>
      </c>
      <c r="AI322" s="63"/>
      <c r="AJ322" s="63"/>
      <c r="AK322" s="62"/>
      <c r="AL322" s="60">
        <v>216.34</v>
      </c>
      <c r="AM322" s="60">
        <v>216.34</v>
      </c>
      <c r="AN322" s="60">
        <v>216.34</v>
      </c>
      <c r="AO322" s="60">
        <v>216.34</v>
      </c>
      <c r="AP322" s="60">
        <v>216.34</v>
      </c>
      <c r="AQ322" s="60">
        <v>216.34</v>
      </c>
      <c r="AR322" s="61">
        <f t="shared" si="124"/>
        <v>1298.04</v>
      </c>
      <c r="AS322" s="60">
        <v>216.34</v>
      </c>
      <c r="AT322" s="60">
        <v>216.34</v>
      </c>
      <c r="AU322" s="60">
        <v>216.34</v>
      </c>
      <c r="AV322" s="60">
        <v>216.34</v>
      </c>
      <c r="AW322" s="60">
        <v>216.34</v>
      </c>
      <c r="AX322" s="60">
        <v>216.34</v>
      </c>
      <c r="AY322" s="61">
        <f t="shared" si="125"/>
        <v>1298.04</v>
      </c>
      <c r="AZ322" s="56">
        <f t="shared" si="120"/>
        <v>2596.08</v>
      </c>
      <c r="BA322" s="62">
        <f t="shared" si="137"/>
        <v>41538.339999999997</v>
      </c>
      <c r="BB322" s="62">
        <f t="shared" si="126"/>
        <v>33750.239999999991</v>
      </c>
      <c r="BC322" s="62">
        <f t="shared" si="112"/>
        <v>7788.1000000000058</v>
      </c>
      <c r="BD322" s="63"/>
      <c r="BE322" s="57"/>
      <c r="BF322" s="35" t="e">
        <f>VLOOKUP(A:A,'2023-2027'!A:G,1,+FALSE)</f>
        <v>#N/A</v>
      </c>
      <c r="BG322" s="7" t="e">
        <f t="shared" si="131"/>
        <v>#N/A</v>
      </c>
      <c r="BH322" s="35"/>
    </row>
    <row r="323" spans="1:60" ht="24" hidden="1" customHeight="1" outlineLevel="1" x14ac:dyDescent="0.2">
      <c r="A323" s="59" t="s">
        <v>847</v>
      </c>
      <c r="B323" s="59" t="s">
        <v>31</v>
      </c>
      <c r="C323" s="59" t="s">
        <v>83</v>
      </c>
      <c r="D323" s="65" t="s">
        <v>848</v>
      </c>
      <c r="E323" s="59" t="s">
        <v>237</v>
      </c>
      <c r="F323" s="60">
        <v>41538.339999999997</v>
      </c>
      <c r="G323" s="60">
        <v>25962</v>
      </c>
      <c r="H323" s="60">
        <v>15576.34</v>
      </c>
      <c r="I323" s="59"/>
      <c r="J323" s="60">
        <v>2596.08</v>
      </c>
      <c r="K323" s="59"/>
      <c r="L323" s="59"/>
      <c r="M323" s="60">
        <v>41538.339999999997</v>
      </c>
      <c r="N323" s="60">
        <v>28558.080000000002</v>
      </c>
      <c r="O323" s="60">
        <v>12980.26</v>
      </c>
      <c r="P323" s="55"/>
      <c r="Q323" s="55"/>
      <c r="R323" s="61">
        <f t="shared" si="122"/>
        <v>216.34</v>
      </c>
      <c r="S323" s="60">
        <v>216.34</v>
      </c>
      <c r="T323" s="60">
        <v>216.34</v>
      </c>
      <c r="U323" s="60">
        <v>216.34</v>
      </c>
      <c r="V323" s="60">
        <v>216.34</v>
      </c>
      <c r="W323" s="60">
        <v>216.34</v>
      </c>
      <c r="X323" s="61">
        <f t="shared" si="123"/>
        <v>1298.04</v>
      </c>
      <c r="Y323" s="60">
        <v>216.34</v>
      </c>
      <c r="Z323" s="60">
        <v>216.34</v>
      </c>
      <c r="AA323" s="60">
        <v>216.34</v>
      </c>
      <c r="AB323" s="60">
        <v>216.34</v>
      </c>
      <c r="AC323" s="60">
        <v>216.34</v>
      </c>
      <c r="AD323" s="60">
        <v>216.34</v>
      </c>
      <c r="AE323" s="61">
        <f t="shared" si="127"/>
        <v>1298.04</v>
      </c>
      <c r="AF323" s="62">
        <f t="shared" si="135"/>
        <v>41538.339999999997</v>
      </c>
      <c r="AG323" s="62">
        <f t="shared" si="136"/>
        <v>31154.160000000003</v>
      </c>
      <c r="AH323" s="62">
        <f t="shared" si="128"/>
        <v>10384.179999999993</v>
      </c>
      <c r="AI323" s="63"/>
      <c r="AJ323" s="63"/>
      <c r="AK323" s="62"/>
      <c r="AL323" s="60">
        <v>216.34</v>
      </c>
      <c r="AM323" s="60">
        <v>216.34</v>
      </c>
      <c r="AN323" s="60">
        <v>216.34</v>
      </c>
      <c r="AO323" s="60">
        <v>216.34</v>
      </c>
      <c r="AP323" s="60">
        <v>216.34</v>
      </c>
      <c r="AQ323" s="60">
        <v>216.34</v>
      </c>
      <c r="AR323" s="61">
        <f t="shared" si="124"/>
        <v>1298.04</v>
      </c>
      <c r="AS323" s="60">
        <v>216.34</v>
      </c>
      <c r="AT323" s="60">
        <v>216.34</v>
      </c>
      <c r="AU323" s="60">
        <v>216.34</v>
      </c>
      <c r="AV323" s="60">
        <v>216.34</v>
      </c>
      <c r="AW323" s="60">
        <v>216.34</v>
      </c>
      <c r="AX323" s="60">
        <v>216.34</v>
      </c>
      <c r="AY323" s="61">
        <f t="shared" si="125"/>
        <v>1298.04</v>
      </c>
      <c r="AZ323" s="56">
        <f t="shared" si="120"/>
        <v>2596.08</v>
      </c>
      <c r="BA323" s="62">
        <f t="shared" si="137"/>
        <v>41538.339999999997</v>
      </c>
      <c r="BB323" s="62">
        <f t="shared" si="126"/>
        <v>33750.239999999991</v>
      </c>
      <c r="BC323" s="62">
        <f t="shared" ref="BC323:BC386" si="138">BA323-BB323</f>
        <v>7788.1000000000058</v>
      </c>
      <c r="BD323" s="63"/>
      <c r="BE323" s="57"/>
      <c r="BF323" s="35" t="e">
        <f>VLOOKUP(A:A,'2023-2027'!A:G,1,+FALSE)</f>
        <v>#N/A</v>
      </c>
      <c r="BG323" s="7" t="e">
        <f t="shared" si="131"/>
        <v>#N/A</v>
      </c>
      <c r="BH323" s="35"/>
    </row>
    <row r="324" spans="1:60" ht="24" hidden="1" customHeight="1" outlineLevel="1" x14ac:dyDescent="0.2">
      <c r="A324" s="59" t="s">
        <v>849</v>
      </c>
      <c r="B324" s="59" t="s">
        <v>31</v>
      </c>
      <c r="C324" s="59" t="s">
        <v>83</v>
      </c>
      <c r="D324" s="65" t="s">
        <v>850</v>
      </c>
      <c r="E324" s="59" t="s">
        <v>237</v>
      </c>
      <c r="F324" s="60">
        <v>41538.339999999997</v>
      </c>
      <c r="G324" s="60">
        <v>25962</v>
      </c>
      <c r="H324" s="60">
        <v>15576.34</v>
      </c>
      <c r="I324" s="59"/>
      <c r="J324" s="60">
        <v>2596.08</v>
      </c>
      <c r="K324" s="59"/>
      <c r="L324" s="59"/>
      <c r="M324" s="60">
        <v>41538.339999999997</v>
      </c>
      <c r="N324" s="60">
        <v>28558.080000000002</v>
      </c>
      <c r="O324" s="60">
        <v>12980.26</v>
      </c>
      <c r="P324" s="55"/>
      <c r="Q324" s="55"/>
      <c r="R324" s="61">
        <f t="shared" si="122"/>
        <v>216.34</v>
      </c>
      <c r="S324" s="60">
        <v>216.34</v>
      </c>
      <c r="T324" s="60">
        <v>216.34</v>
      </c>
      <c r="U324" s="60">
        <v>216.34</v>
      </c>
      <c r="V324" s="60">
        <v>216.34</v>
      </c>
      <c r="W324" s="60">
        <v>216.34</v>
      </c>
      <c r="X324" s="61">
        <f t="shared" si="123"/>
        <v>1298.04</v>
      </c>
      <c r="Y324" s="60">
        <v>216.34</v>
      </c>
      <c r="Z324" s="60">
        <v>216.34</v>
      </c>
      <c r="AA324" s="60">
        <v>216.34</v>
      </c>
      <c r="AB324" s="60">
        <v>216.34</v>
      </c>
      <c r="AC324" s="60">
        <v>216.34</v>
      </c>
      <c r="AD324" s="60">
        <v>216.34</v>
      </c>
      <c r="AE324" s="61">
        <f t="shared" si="127"/>
        <v>1298.04</v>
      </c>
      <c r="AF324" s="62">
        <f t="shared" si="135"/>
        <v>41538.339999999997</v>
      </c>
      <c r="AG324" s="62">
        <f t="shared" si="136"/>
        <v>31154.160000000003</v>
      </c>
      <c r="AH324" s="62">
        <f t="shared" si="128"/>
        <v>10384.179999999993</v>
      </c>
      <c r="AI324" s="63"/>
      <c r="AJ324" s="63"/>
      <c r="AK324" s="62"/>
      <c r="AL324" s="60">
        <v>216.34</v>
      </c>
      <c r="AM324" s="60">
        <v>216.34</v>
      </c>
      <c r="AN324" s="60">
        <v>216.34</v>
      </c>
      <c r="AO324" s="60">
        <v>216.34</v>
      </c>
      <c r="AP324" s="60">
        <v>216.34</v>
      </c>
      <c r="AQ324" s="60">
        <v>216.34</v>
      </c>
      <c r="AR324" s="61">
        <f t="shared" si="124"/>
        <v>1298.04</v>
      </c>
      <c r="AS324" s="60">
        <v>216.34</v>
      </c>
      <c r="AT324" s="60">
        <v>216.34</v>
      </c>
      <c r="AU324" s="60">
        <v>216.34</v>
      </c>
      <c r="AV324" s="60">
        <v>216.34</v>
      </c>
      <c r="AW324" s="60">
        <v>216.34</v>
      </c>
      <c r="AX324" s="60">
        <v>216.34</v>
      </c>
      <c r="AY324" s="61">
        <f t="shared" si="125"/>
        <v>1298.04</v>
      </c>
      <c r="AZ324" s="56">
        <f t="shared" si="120"/>
        <v>2596.08</v>
      </c>
      <c r="BA324" s="62">
        <f t="shared" si="137"/>
        <v>41538.339999999997</v>
      </c>
      <c r="BB324" s="62">
        <f t="shared" si="126"/>
        <v>33750.239999999991</v>
      </c>
      <c r="BC324" s="62">
        <f t="shared" si="138"/>
        <v>7788.1000000000058</v>
      </c>
      <c r="BD324" s="63"/>
      <c r="BE324" s="57"/>
      <c r="BF324" s="35" t="e">
        <f>VLOOKUP(A:A,'2023-2027'!A:G,1,+FALSE)</f>
        <v>#N/A</v>
      </c>
      <c r="BG324" s="7" t="e">
        <f t="shared" si="131"/>
        <v>#N/A</v>
      </c>
      <c r="BH324" s="35"/>
    </row>
    <row r="325" spans="1:60" ht="24" hidden="1" customHeight="1" outlineLevel="1" x14ac:dyDescent="0.2">
      <c r="A325" s="59" t="s">
        <v>851</v>
      </c>
      <c r="B325" s="59" t="s">
        <v>31</v>
      </c>
      <c r="C325" s="59" t="s">
        <v>83</v>
      </c>
      <c r="D325" s="65" t="s">
        <v>852</v>
      </c>
      <c r="E325" s="59" t="s">
        <v>237</v>
      </c>
      <c r="F325" s="60">
        <v>41538.339999999997</v>
      </c>
      <c r="G325" s="60">
        <v>25962</v>
      </c>
      <c r="H325" s="60">
        <v>15576.34</v>
      </c>
      <c r="I325" s="59"/>
      <c r="J325" s="60">
        <v>2596.08</v>
      </c>
      <c r="K325" s="59"/>
      <c r="L325" s="59"/>
      <c r="M325" s="60">
        <v>41538.339999999997</v>
      </c>
      <c r="N325" s="60">
        <v>28558.080000000002</v>
      </c>
      <c r="O325" s="60">
        <v>12980.26</v>
      </c>
      <c r="P325" s="55"/>
      <c r="Q325" s="55"/>
      <c r="R325" s="61">
        <f t="shared" si="122"/>
        <v>216.34</v>
      </c>
      <c r="S325" s="60">
        <v>216.34</v>
      </c>
      <c r="T325" s="60">
        <v>216.34</v>
      </c>
      <c r="U325" s="60">
        <v>216.34</v>
      </c>
      <c r="V325" s="60">
        <v>216.34</v>
      </c>
      <c r="W325" s="60">
        <v>216.34</v>
      </c>
      <c r="X325" s="61">
        <f t="shared" si="123"/>
        <v>1298.04</v>
      </c>
      <c r="Y325" s="60">
        <v>216.34</v>
      </c>
      <c r="Z325" s="60">
        <v>216.34</v>
      </c>
      <c r="AA325" s="60">
        <v>216.34</v>
      </c>
      <c r="AB325" s="60">
        <v>216.34</v>
      </c>
      <c r="AC325" s="60">
        <v>216.34</v>
      </c>
      <c r="AD325" s="60">
        <v>216.34</v>
      </c>
      <c r="AE325" s="61">
        <f t="shared" si="127"/>
        <v>1298.04</v>
      </c>
      <c r="AF325" s="62">
        <f t="shared" si="135"/>
        <v>41538.339999999997</v>
      </c>
      <c r="AG325" s="62">
        <f t="shared" si="136"/>
        <v>31154.160000000003</v>
      </c>
      <c r="AH325" s="62">
        <f t="shared" si="128"/>
        <v>10384.179999999993</v>
      </c>
      <c r="AI325" s="63"/>
      <c r="AJ325" s="63"/>
      <c r="AK325" s="62"/>
      <c r="AL325" s="60">
        <v>216.34</v>
      </c>
      <c r="AM325" s="60">
        <v>216.34</v>
      </c>
      <c r="AN325" s="60">
        <v>216.34</v>
      </c>
      <c r="AO325" s="60">
        <v>216.34</v>
      </c>
      <c r="AP325" s="60">
        <v>216.34</v>
      </c>
      <c r="AQ325" s="60">
        <v>216.34</v>
      </c>
      <c r="AR325" s="61">
        <f t="shared" si="124"/>
        <v>1298.04</v>
      </c>
      <c r="AS325" s="60">
        <v>216.34</v>
      </c>
      <c r="AT325" s="60">
        <v>216.34</v>
      </c>
      <c r="AU325" s="60">
        <v>216.34</v>
      </c>
      <c r="AV325" s="60">
        <v>216.34</v>
      </c>
      <c r="AW325" s="60">
        <v>216.34</v>
      </c>
      <c r="AX325" s="60">
        <v>216.34</v>
      </c>
      <c r="AY325" s="61">
        <f t="shared" si="125"/>
        <v>1298.04</v>
      </c>
      <c r="AZ325" s="56">
        <f t="shared" si="120"/>
        <v>2596.08</v>
      </c>
      <c r="BA325" s="62">
        <f t="shared" si="137"/>
        <v>41538.339999999997</v>
      </c>
      <c r="BB325" s="62">
        <f t="shared" si="126"/>
        <v>33750.239999999991</v>
      </c>
      <c r="BC325" s="62">
        <f t="shared" si="138"/>
        <v>7788.1000000000058</v>
      </c>
      <c r="BD325" s="63"/>
      <c r="BE325" s="57"/>
      <c r="BF325" s="35" t="e">
        <f>VLOOKUP(A:A,'2023-2027'!A:G,1,+FALSE)</f>
        <v>#N/A</v>
      </c>
      <c r="BG325" s="7" t="e">
        <f t="shared" si="131"/>
        <v>#N/A</v>
      </c>
      <c r="BH325" s="35"/>
    </row>
    <row r="326" spans="1:60" ht="24" hidden="1" customHeight="1" outlineLevel="1" x14ac:dyDescent="0.2">
      <c r="A326" s="59" t="s">
        <v>853</v>
      </c>
      <c r="B326" s="59" t="s">
        <v>31</v>
      </c>
      <c r="C326" s="59" t="s">
        <v>83</v>
      </c>
      <c r="D326" s="65" t="s">
        <v>854</v>
      </c>
      <c r="E326" s="59" t="s">
        <v>237</v>
      </c>
      <c r="F326" s="60">
        <v>41538.339999999997</v>
      </c>
      <c r="G326" s="60">
        <v>25962</v>
      </c>
      <c r="H326" s="60">
        <v>15576.34</v>
      </c>
      <c r="I326" s="59"/>
      <c r="J326" s="60">
        <v>2596.08</v>
      </c>
      <c r="K326" s="59"/>
      <c r="L326" s="59"/>
      <c r="M326" s="60">
        <v>41538.339999999997</v>
      </c>
      <c r="N326" s="60">
        <v>28558.080000000002</v>
      </c>
      <c r="O326" s="60">
        <v>12980.26</v>
      </c>
      <c r="P326" s="55"/>
      <c r="Q326" s="55"/>
      <c r="R326" s="61">
        <f t="shared" si="122"/>
        <v>216.34</v>
      </c>
      <c r="S326" s="60">
        <v>216.34</v>
      </c>
      <c r="T326" s="60">
        <v>216.34</v>
      </c>
      <c r="U326" s="60">
        <v>216.34</v>
      </c>
      <c r="V326" s="60">
        <v>216.34</v>
      </c>
      <c r="W326" s="60">
        <v>216.34</v>
      </c>
      <c r="X326" s="61">
        <f t="shared" si="123"/>
        <v>1298.04</v>
      </c>
      <c r="Y326" s="60">
        <v>216.34</v>
      </c>
      <c r="Z326" s="60">
        <v>216.34</v>
      </c>
      <c r="AA326" s="60">
        <v>216.34</v>
      </c>
      <c r="AB326" s="60">
        <v>216.34</v>
      </c>
      <c r="AC326" s="60">
        <v>216.34</v>
      </c>
      <c r="AD326" s="60">
        <v>216.34</v>
      </c>
      <c r="AE326" s="61">
        <f t="shared" si="127"/>
        <v>1298.04</v>
      </c>
      <c r="AF326" s="62">
        <f t="shared" si="135"/>
        <v>41538.339999999997</v>
      </c>
      <c r="AG326" s="62">
        <f t="shared" si="136"/>
        <v>31154.160000000003</v>
      </c>
      <c r="AH326" s="62">
        <f t="shared" si="128"/>
        <v>10384.179999999993</v>
      </c>
      <c r="AI326" s="63"/>
      <c r="AJ326" s="63"/>
      <c r="AK326" s="62"/>
      <c r="AL326" s="60">
        <v>216.34</v>
      </c>
      <c r="AM326" s="60">
        <v>216.34</v>
      </c>
      <c r="AN326" s="60">
        <v>216.34</v>
      </c>
      <c r="AO326" s="60">
        <v>216.34</v>
      </c>
      <c r="AP326" s="60">
        <v>216.34</v>
      </c>
      <c r="AQ326" s="60">
        <v>216.34</v>
      </c>
      <c r="AR326" s="61">
        <f t="shared" si="124"/>
        <v>1298.04</v>
      </c>
      <c r="AS326" s="60">
        <v>216.34</v>
      </c>
      <c r="AT326" s="60">
        <v>216.34</v>
      </c>
      <c r="AU326" s="60">
        <v>216.34</v>
      </c>
      <c r="AV326" s="60">
        <v>216.34</v>
      </c>
      <c r="AW326" s="60">
        <v>216.34</v>
      </c>
      <c r="AX326" s="60">
        <v>216.34</v>
      </c>
      <c r="AY326" s="61">
        <f t="shared" si="125"/>
        <v>1298.04</v>
      </c>
      <c r="AZ326" s="56">
        <f t="shared" si="120"/>
        <v>2596.08</v>
      </c>
      <c r="BA326" s="62">
        <f t="shared" si="137"/>
        <v>41538.339999999997</v>
      </c>
      <c r="BB326" s="62">
        <f t="shared" si="126"/>
        <v>33750.239999999991</v>
      </c>
      <c r="BC326" s="62">
        <f t="shared" si="138"/>
        <v>7788.1000000000058</v>
      </c>
      <c r="BD326" s="63"/>
      <c r="BE326" s="57"/>
      <c r="BF326" s="35" t="e">
        <f>VLOOKUP(A:A,'2023-2027'!A:G,1,+FALSE)</f>
        <v>#N/A</v>
      </c>
      <c r="BG326" s="7" t="e">
        <f t="shared" si="131"/>
        <v>#N/A</v>
      </c>
      <c r="BH326" s="35"/>
    </row>
    <row r="327" spans="1:60" ht="24" hidden="1" customHeight="1" outlineLevel="1" x14ac:dyDescent="0.2">
      <c r="A327" s="59" t="s">
        <v>855</v>
      </c>
      <c r="B327" s="59" t="s">
        <v>31</v>
      </c>
      <c r="C327" s="59" t="s">
        <v>83</v>
      </c>
      <c r="D327" s="65" t="s">
        <v>856</v>
      </c>
      <c r="E327" s="59" t="s">
        <v>237</v>
      </c>
      <c r="F327" s="60">
        <v>41538.339999999997</v>
      </c>
      <c r="G327" s="60">
        <v>25962</v>
      </c>
      <c r="H327" s="60">
        <v>15576.34</v>
      </c>
      <c r="I327" s="59"/>
      <c r="J327" s="60">
        <v>2596.08</v>
      </c>
      <c r="K327" s="59"/>
      <c r="L327" s="59"/>
      <c r="M327" s="60">
        <v>41538.339999999997</v>
      </c>
      <c r="N327" s="60">
        <v>28558.080000000002</v>
      </c>
      <c r="O327" s="60">
        <v>12980.26</v>
      </c>
      <c r="P327" s="55"/>
      <c r="Q327" s="55"/>
      <c r="R327" s="61">
        <f t="shared" si="122"/>
        <v>216.34</v>
      </c>
      <c r="S327" s="60">
        <v>216.34</v>
      </c>
      <c r="T327" s="60">
        <v>216.34</v>
      </c>
      <c r="U327" s="60">
        <v>216.34</v>
      </c>
      <c r="V327" s="60">
        <v>216.34</v>
      </c>
      <c r="W327" s="60">
        <v>216.34</v>
      </c>
      <c r="X327" s="61">
        <f t="shared" si="123"/>
        <v>1298.04</v>
      </c>
      <c r="Y327" s="60">
        <v>216.34</v>
      </c>
      <c r="Z327" s="60">
        <v>216.34</v>
      </c>
      <c r="AA327" s="60">
        <v>216.34</v>
      </c>
      <c r="AB327" s="60">
        <v>216.34</v>
      </c>
      <c r="AC327" s="60">
        <v>216.34</v>
      </c>
      <c r="AD327" s="60">
        <v>216.34</v>
      </c>
      <c r="AE327" s="61">
        <f t="shared" si="127"/>
        <v>1298.04</v>
      </c>
      <c r="AF327" s="62">
        <f t="shared" si="135"/>
        <v>41538.339999999997</v>
      </c>
      <c r="AG327" s="62">
        <f t="shared" si="136"/>
        <v>31154.160000000003</v>
      </c>
      <c r="AH327" s="62">
        <f t="shared" si="128"/>
        <v>10384.179999999993</v>
      </c>
      <c r="AI327" s="63"/>
      <c r="AJ327" s="63"/>
      <c r="AK327" s="62"/>
      <c r="AL327" s="60">
        <v>216.34</v>
      </c>
      <c r="AM327" s="60">
        <v>216.34</v>
      </c>
      <c r="AN327" s="60">
        <v>216.34</v>
      </c>
      <c r="AO327" s="60">
        <v>216.34</v>
      </c>
      <c r="AP327" s="60">
        <v>216.34</v>
      </c>
      <c r="AQ327" s="60">
        <v>216.34</v>
      </c>
      <c r="AR327" s="61">
        <f t="shared" si="124"/>
        <v>1298.04</v>
      </c>
      <c r="AS327" s="60">
        <v>216.34</v>
      </c>
      <c r="AT327" s="60">
        <v>216.34</v>
      </c>
      <c r="AU327" s="60">
        <v>216.34</v>
      </c>
      <c r="AV327" s="60">
        <v>216.34</v>
      </c>
      <c r="AW327" s="60">
        <v>216.34</v>
      </c>
      <c r="AX327" s="60">
        <v>216.34</v>
      </c>
      <c r="AY327" s="61">
        <f t="shared" si="125"/>
        <v>1298.04</v>
      </c>
      <c r="AZ327" s="56">
        <f t="shared" si="120"/>
        <v>2596.08</v>
      </c>
      <c r="BA327" s="62">
        <f t="shared" si="137"/>
        <v>41538.339999999997</v>
      </c>
      <c r="BB327" s="62">
        <f t="shared" si="126"/>
        <v>33750.239999999991</v>
      </c>
      <c r="BC327" s="62">
        <f t="shared" si="138"/>
        <v>7788.1000000000058</v>
      </c>
      <c r="BD327" s="63"/>
      <c r="BE327" s="57"/>
      <c r="BF327" s="35" t="e">
        <f>VLOOKUP(A:A,'2023-2027'!A:G,1,+FALSE)</f>
        <v>#N/A</v>
      </c>
      <c r="BG327" s="7" t="e">
        <f t="shared" si="131"/>
        <v>#N/A</v>
      </c>
      <c r="BH327" s="35"/>
    </row>
    <row r="328" spans="1:60" ht="24" hidden="1" customHeight="1" outlineLevel="1" x14ac:dyDescent="0.2">
      <c r="A328" s="59" t="s">
        <v>857</v>
      </c>
      <c r="B328" s="59" t="s">
        <v>31</v>
      </c>
      <c r="C328" s="59" t="s">
        <v>83</v>
      </c>
      <c r="D328" s="65" t="s">
        <v>858</v>
      </c>
      <c r="E328" s="59" t="s">
        <v>237</v>
      </c>
      <c r="F328" s="60">
        <v>41538.339999999997</v>
      </c>
      <c r="G328" s="60">
        <v>25962</v>
      </c>
      <c r="H328" s="60">
        <v>15576.34</v>
      </c>
      <c r="I328" s="59"/>
      <c r="J328" s="60">
        <v>2596.08</v>
      </c>
      <c r="K328" s="59"/>
      <c r="L328" s="59"/>
      <c r="M328" s="60">
        <v>41538.339999999997</v>
      </c>
      <c r="N328" s="60">
        <v>28558.080000000002</v>
      </c>
      <c r="O328" s="60">
        <v>12980.26</v>
      </c>
      <c r="P328" s="55"/>
      <c r="Q328" s="55"/>
      <c r="R328" s="61">
        <f t="shared" si="122"/>
        <v>216.34</v>
      </c>
      <c r="S328" s="60">
        <v>216.34</v>
      </c>
      <c r="T328" s="60">
        <v>216.34</v>
      </c>
      <c r="U328" s="60">
        <v>216.34</v>
      </c>
      <c r="V328" s="60">
        <v>216.34</v>
      </c>
      <c r="W328" s="60">
        <v>216.34</v>
      </c>
      <c r="X328" s="61">
        <f t="shared" si="123"/>
        <v>1298.04</v>
      </c>
      <c r="Y328" s="60">
        <v>216.34</v>
      </c>
      <c r="Z328" s="60">
        <v>216.34</v>
      </c>
      <c r="AA328" s="60">
        <v>216.34</v>
      </c>
      <c r="AB328" s="60">
        <v>216.34</v>
      </c>
      <c r="AC328" s="60">
        <v>216.34</v>
      </c>
      <c r="AD328" s="60">
        <v>216.34</v>
      </c>
      <c r="AE328" s="61">
        <f t="shared" si="127"/>
        <v>1298.04</v>
      </c>
      <c r="AF328" s="62">
        <f t="shared" si="135"/>
        <v>41538.339999999997</v>
      </c>
      <c r="AG328" s="62">
        <f t="shared" si="136"/>
        <v>31154.160000000003</v>
      </c>
      <c r="AH328" s="62">
        <f t="shared" si="128"/>
        <v>10384.179999999993</v>
      </c>
      <c r="AI328" s="63"/>
      <c r="AJ328" s="63"/>
      <c r="AK328" s="62"/>
      <c r="AL328" s="60">
        <v>216.34</v>
      </c>
      <c r="AM328" s="60">
        <v>216.34</v>
      </c>
      <c r="AN328" s="60">
        <v>216.34</v>
      </c>
      <c r="AO328" s="60">
        <v>216.34</v>
      </c>
      <c r="AP328" s="60">
        <v>216.34</v>
      </c>
      <c r="AQ328" s="60">
        <v>216.34</v>
      </c>
      <c r="AR328" s="61">
        <f t="shared" si="124"/>
        <v>1298.04</v>
      </c>
      <c r="AS328" s="60">
        <v>216.34</v>
      </c>
      <c r="AT328" s="60">
        <v>216.34</v>
      </c>
      <c r="AU328" s="60">
        <v>216.34</v>
      </c>
      <c r="AV328" s="60">
        <v>216.34</v>
      </c>
      <c r="AW328" s="60">
        <v>216.34</v>
      </c>
      <c r="AX328" s="60">
        <v>216.34</v>
      </c>
      <c r="AY328" s="61">
        <f t="shared" si="125"/>
        <v>1298.04</v>
      </c>
      <c r="AZ328" s="56">
        <f t="shared" si="120"/>
        <v>2596.08</v>
      </c>
      <c r="BA328" s="62">
        <f t="shared" si="137"/>
        <v>41538.339999999997</v>
      </c>
      <c r="BB328" s="62">
        <f t="shared" si="126"/>
        <v>33750.239999999991</v>
      </c>
      <c r="BC328" s="62">
        <f t="shared" si="138"/>
        <v>7788.1000000000058</v>
      </c>
      <c r="BD328" s="63"/>
      <c r="BE328" s="57"/>
      <c r="BF328" s="35" t="e">
        <f>VLOOKUP(A:A,'2023-2027'!A:G,1,+FALSE)</f>
        <v>#N/A</v>
      </c>
      <c r="BG328" s="7" t="e">
        <f t="shared" si="131"/>
        <v>#N/A</v>
      </c>
      <c r="BH328" s="35"/>
    </row>
    <row r="329" spans="1:60" ht="24" hidden="1" customHeight="1" outlineLevel="1" x14ac:dyDescent="0.2">
      <c r="A329" s="59" t="s">
        <v>859</v>
      </c>
      <c r="B329" s="59" t="s">
        <v>31</v>
      </c>
      <c r="C329" s="59" t="s">
        <v>83</v>
      </c>
      <c r="D329" s="65" t="s">
        <v>860</v>
      </c>
      <c r="E329" s="59" t="s">
        <v>237</v>
      </c>
      <c r="F329" s="60">
        <v>41538.339999999997</v>
      </c>
      <c r="G329" s="60">
        <v>25962</v>
      </c>
      <c r="H329" s="60">
        <v>15576.34</v>
      </c>
      <c r="I329" s="59"/>
      <c r="J329" s="60">
        <v>2596.08</v>
      </c>
      <c r="K329" s="59"/>
      <c r="L329" s="59"/>
      <c r="M329" s="60">
        <v>41538.339999999997</v>
      </c>
      <c r="N329" s="60">
        <v>28558.080000000002</v>
      </c>
      <c r="O329" s="60">
        <v>12980.26</v>
      </c>
      <c r="P329" s="55"/>
      <c r="Q329" s="55"/>
      <c r="R329" s="61">
        <f t="shared" si="122"/>
        <v>216.34</v>
      </c>
      <c r="S329" s="60">
        <v>216.34</v>
      </c>
      <c r="T329" s="60">
        <v>216.34</v>
      </c>
      <c r="U329" s="60">
        <v>216.34</v>
      </c>
      <c r="V329" s="60">
        <v>216.34</v>
      </c>
      <c r="W329" s="60">
        <v>216.34</v>
      </c>
      <c r="X329" s="61">
        <f t="shared" si="123"/>
        <v>1298.04</v>
      </c>
      <c r="Y329" s="60">
        <v>216.34</v>
      </c>
      <c r="Z329" s="60">
        <v>216.34</v>
      </c>
      <c r="AA329" s="60">
        <v>216.34</v>
      </c>
      <c r="AB329" s="60">
        <v>216.34</v>
      </c>
      <c r="AC329" s="60">
        <v>216.34</v>
      </c>
      <c r="AD329" s="60">
        <v>216.34</v>
      </c>
      <c r="AE329" s="61">
        <f t="shared" si="127"/>
        <v>1298.04</v>
      </c>
      <c r="AF329" s="62">
        <f t="shared" si="135"/>
        <v>41538.339999999997</v>
      </c>
      <c r="AG329" s="62">
        <f t="shared" si="136"/>
        <v>31154.160000000003</v>
      </c>
      <c r="AH329" s="62">
        <f t="shared" si="128"/>
        <v>10384.179999999993</v>
      </c>
      <c r="AI329" s="63"/>
      <c r="AJ329" s="63"/>
      <c r="AK329" s="62"/>
      <c r="AL329" s="60">
        <v>216.34</v>
      </c>
      <c r="AM329" s="60">
        <v>216.34</v>
      </c>
      <c r="AN329" s="60">
        <v>216.34</v>
      </c>
      <c r="AO329" s="60">
        <v>216.34</v>
      </c>
      <c r="AP329" s="60">
        <v>216.34</v>
      </c>
      <c r="AQ329" s="60">
        <v>216.34</v>
      </c>
      <c r="AR329" s="61">
        <f t="shared" si="124"/>
        <v>1298.04</v>
      </c>
      <c r="AS329" s="60">
        <v>216.34</v>
      </c>
      <c r="AT329" s="60">
        <v>216.34</v>
      </c>
      <c r="AU329" s="60">
        <v>216.34</v>
      </c>
      <c r="AV329" s="60">
        <v>216.34</v>
      </c>
      <c r="AW329" s="60">
        <v>216.34</v>
      </c>
      <c r="AX329" s="60">
        <v>216.34</v>
      </c>
      <c r="AY329" s="61">
        <f t="shared" si="125"/>
        <v>1298.04</v>
      </c>
      <c r="AZ329" s="56">
        <f t="shared" si="120"/>
        <v>2596.08</v>
      </c>
      <c r="BA329" s="62">
        <f t="shared" si="137"/>
        <v>41538.339999999997</v>
      </c>
      <c r="BB329" s="62">
        <f t="shared" si="126"/>
        <v>33750.239999999991</v>
      </c>
      <c r="BC329" s="62">
        <f t="shared" si="138"/>
        <v>7788.1000000000058</v>
      </c>
      <c r="BD329" s="63"/>
      <c r="BE329" s="57"/>
      <c r="BF329" s="35" t="e">
        <f>VLOOKUP(A:A,'2023-2027'!A:G,1,+FALSE)</f>
        <v>#N/A</v>
      </c>
      <c r="BG329" s="7" t="e">
        <f t="shared" si="131"/>
        <v>#N/A</v>
      </c>
      <c r="BH329" s="35"/>
    </row>
    <row r="330" spans="1:60" ht="24" hidden="1" customHeight="1" outlineLevel="1" x14ac:dyDescent="0.2">
      <c r="A330" s="59" t="s">
        <v>861</v>
      </c>
      <c r="B330" s="59" t="s">
        <v>31</v>
      </c>
      <c r="C330" s="59" t="s">
        <v>83</v>
      </c>
      <c r="D330" s="65" t="s">
        <v>862</v>
      </c>
      <c r="E330" s="59" t="s">
        <v>237</v>
      </c>
      <c r="F330" s="60">
        <v>41538.339999999997</v>
      </c>
      <c r="G330" s="60">
        <v>25962</v>
      </c>
      <c r="H330" s="60">
        <v>15576.34</v>
      </c>
      <c r="I330" s="59"/>
      <c r="J330" s="60">
        <v>2596.08</v>
      </c>
      <c r="K330" s="59"/>
      <c r="L330" s="59"/>
      <c r="M330" s="60">
        <v>41538.339999999997</v>
      </c>
      <c r="N330" s="60">
        <v>28558.080000000002</v>
      </c>
      <c r="O330" s="60">
        <v>12980.26</v>
      </c>
      <c r="P330" s="55"/>
      <c r="Q330" s="55"/>
      <c r="R330" s="61">
        <f t="shared" si="122"/>
        <v>216.34</v>
      </c>
      <c r="S330" s="60">
        <v>216.34</v>
      </c>
      <c r="T330" s="60">
        <v>216.34</v>
      </c>
      <c r="U330" s="60">
        <v>216.34</v>
      </c>
      <c r="V330" s="60">
        <v>216.34</v>
      </c>
      <c r="W330" s="60">
        <v>216.34</v>
      </c>
      <c r="X330" s="61">
        <f t="shared" si="123"/>
        <v>1298.04</v>
      </c>
      <c r="Y330" s="60">
        <v>216.34</v>
      </c>
      <c r="Z330" s="60">
        <v>216.34</v>
      </c>
      <c r="AA330" s="60">
        <v>216.34</v>
      </c>
      <c r="AB330" s="60">
        <v>216.34</v>
      </c>
      <c r="AC330" s="60">
        <v>216.34</v>
      </c>
      <c r="AD330" s="60">
        <v>216.34</v>
      </c>
      <c r="AE330" s="61">
        <f t="shared" si="127"/>
        <v>1298.04</v>
      </c>
      <c r="AF330" s="62">
        <f t="shared" si="135"/>
        <v>41538.339999999997</v>
      </c>
      <c r="AG330" s="62">
        <f t="shared" si="136"/>
        <v>31154.160000000003</v>
      </c>
      <c r="AH330" s="62">
        <f t="shared" si="128"/>
        <v>10384.179999999993</v>
      </c>
      <c r="AI330" s="63"/>
      <c r="AJ330" s="63"/>
      <c r="AK330" s="62"/>
      <c r="AL330" s="60">
        <v>216.34</v>
      </c>
      <c r="AM330" s="60">
        <v>216.34</v>
      </c>
      <c r="AN330" s="60">
        <v>216.34</v>
      </c>
      <c r="AO330" s="60">
        <v>216.34</v>
      </c>
      <c r="AP330" s="60">
        <v>216.34</v>
      </c>
      <c r="AQ330" s="60">
        <v>216.34</v>
      </c>
      <c r="AR330" s="61">
        <f t="shared" si="124"/>
        <v>1298.04</v>
      </c>
      <c r="AS330" s="60">
        <v>216.34</v>
      </c>
      <c r="AT330" s="60">
        <v>216.34</v>
      </c>
      <c r="AU330" s="60">
        <v>216.34</v>
      </c>
      <c r="AV330" s="60">
        <v>216.34</v>
      </c>
      <c r="AW330" s="60">
        <v>216.34</v>
      </c>
      <c r="AX330" s="60">
        <v>216.34</v>
      </c>
      <c r="AY330" s="61">
        <f t="shared" si="125"/>
        <v>1298.04</v>
      </c>
      <c r="AZ330" s="56">
        <f t="shared" ref="AZ330:AZ393" si="139">AR330+AY330</f>
        <v>2596.08</v>
      </c>
      <c r="BA330" s="62">
        <f t="shared" si="137"/>
        <v>41538.339999999997</v>
      </c>
      <c r="BB330" s="62">
        <f t="shared" si="126"/>
        <v>33750.239999999991</v>
      </c>
      <c r="BC330" s="62">
        <f t="shared" si="138"/>
        <v>7788.1000000000058</v>
      </c>
      <c r="BD330" s="63"/>
      <c r="BE330" s="57"/>
      <c r="BF330" s="35" t="e">
        <f>VLOOKUP(A:A,'2023-2027'!A:G,1,+FALSE)</f>
        <v>#N/A</v>
      </c>
      <c r="BG330" s="7" t="e">
        <f t="shared" si="131"/>
        <v>#N/A</v>
      </c>
      <c r="BH330" s="35"/>
    </row>
    <row r="331" spans="1:60" ht="24" hidden="1" customHeight="1" outlineLevel="1" x14ac:dyDescent="0.2">
      <c r="A331" s="59" t="s">
        <v>863</v>
      </c>
      <c r="B331" s="59" t="s">
        <v>31</v>
      </c>
      <c r="C331" s="59" t="s">
        <v>83</v>
      </c>
      <c r="D331" s="65" t="s">
        <v>864</v>
      </c>
      <c r="E331" s="59" t="s">
        <v>237</v>
      </c>
      <c r="F331" s="60">
        <v>41538.339999999997</v>
      </c>
      <c r="G331" s="60">
        <v>25962</v>
      </c>
      <c r="H331" s="60">
        <v>15576.34</v>
      </c>
      <c r="I331" s="59"/>
      <c r="J331" s="60">
        <v>2596.08</v>
      </c>
      <c r="K331" s="59"/>
      <c r="L331" s="59"/>
      <c r="M331" s="60">
        <v>41538.339999999997</v>
      </c>
      <c r="N331" s="60">
        <v>28558.080000000002</v>
      </c>
      <c r="O331" s="60">
        <v>12980.26</v>
      </c>
      <c r="P331" s="55"/>
      <c r="Q331" s="55"/>
      <c r="R331" s="61">
        <f t="shared" ref="R331:R394" si="140">J331/12</f>
        <v>216.34</v>
      </c>
      <c r="S331" s="60">
        <v>216.34</v>
      </c>
      <c r="T331" s="60">
        <v>216.34</v>
      </c>
      <c r="U331" s="60">
        <v>216.34</v>
      </c>
      <c r="V331" s="60">
        <v>216.34</v>
      </c>
      <c r="W331" s="60">
        <v>216.34</v>
      </c>
      <c r="X331" s="61">
        <f t="shared" ref="X331:X394" si="141">R331+S331+T331+U331+V331+W331</f>
        <v>1298.04</v>
      </c>
      <c r="Y331" s="60">
        <v>216.34</v>
      </c>
      <c r="Z331" s="60">
        <v>216.34</v>
      </c>
      <c r="AA331" s="60">
        <v>216.34</v>
      </c>
      <c r="AB331" s="60">
        <v>216.34</v>
      </c>
      <c r="AC331" s="60">
        <v>216.34</v>
      </c>
      <c r="AD331" s="60">
        <v>216.34</v>
      </c>
      <c r="AE331" s="61">
        <f t="shared" ref="AE331:AE394" si="142">Y331+Z331+AA331+AB331+AC331+AD331</f>
        <v>1298.04</v>
      </c>
      <c r="AF331" s="62">
        <f t="shared" si="135"/>
        <v>41538.339999999997</v>
      </c>
      <c r="AG331" s="62">
        <f t="shared" si="136"/>
        <v>31154.160000000003</v>
      </c>
      <c r="AH331" s="62">
        <f t="shared" si="128"/>
        <v>10384.179999999993</v>
      </c>
      <c r="AI331" s="63"/>
      <c r="AJ331" s="63"/>
      <c r="AK331" s="62"/>
      <c r="AL331" s="60">
        <v>216.34</v>
      </c>
      <c r="AM331" s="60">
        <v>216.34</v>
      </c>
      <c r="AN331" s="60">
        <v>216.34</v>
      </c>
      <c r="AO331" s="60">
        <v>216.34</v>
      </c>
      <c r="AP331" s="60">
        <v>216.34</v>
      </c>
      <c r="AQ331" s="60">
        <v>216.34</v>
      </c>
      <c r="AR331" s="61">
        <f t="shared" ref="AR331:AR394" si="143">AL331+AM331+AN331+AO331+AP331+AQ331</f>
        <v>1298.04</v>
      </c>
      <c r="AS331" s="60">
        <v>216.34</v>
      </c>
      <c r="AT331" s="60">
        <v>216.34</v>
      </c>
      <c r="AU331" s="60">
        <v>216.34</v>
      </c>
      <c r="AV331" s="60">
        <v>216.34</v>
      </c>
      <c r="AW331" s="60">
        <v>216.34</v>
      </c>
      <c r="AX331" s="60">
        <v>216.34</v>
      </c>
      <c r="AY331" s="61">
        <f t="shared" ref="AY331:AY394" si="144">AS331+AT331+AU331+AV331+AW331+AX331</f>
        <v>1298.04</v>
      </c>
      <c r="AZ331" s="56">
        <f t="shared" si="139"/>
        <v>2596.08</v>
      </c>
      <c r="BA331" s="62">
        <f t="shared" si="137"/>
        <v>41538.339999999997</v>
      </c>
      <c r="BB331" s="62">
        <f t="shared" ref="BB331:BB394" si="145">AG331+AL331+AM331+AN331+AO331+AP331+AQ331+AS331+AT331+AU331+AV331+AW331+AX331</f>
        <v>33750.239999999991</v>
      </c>
      <c r="BC331" s="62">
        <f t="shared" si="138"/>
        <v>7788.1000000000058</v>
      </c>
      <c r="BD331" s="63"/>
      <c r="BE331" s="57"/>
      <c r="BF331" s="35" t="e">
        <f>VLOOKUP(A:A,'2023-2027'!A:G,1,+FALSE)</f>
        <v>#N/A</v>
      </c>
      <c r="BG331" s="7" t="e">
        <f t="shared" si="131"/>
        <v>#N/A</v>
      </c>
      <c r="BH331" s="35"/>
    </row>
    <row r="332" spans="1:60" ht="24" hidden="1" customHeight="1" outlineLevel="1" x14ac:dyDescent="0.2">
      <c r="A332" s="59" t="s">
        <v>865</v>
      </c>
      <c r="B332" s="59" t="s">
        <v>31</v>
      </c>
      <c r="C332" s="59" t="s">
        <v>83</v>
      </c>
      <c r="D332" s="65" t="s">
        <v>866</v>
      </c>
      <c r="E332" s="59" t="s">
        <v>237</v>
      </c>
      <c r="F332" s="60">
        <v>41538.339999999997</v>
      </c>
      <c r="G332" s="60">
        <v>25962</v>
      </c>
      <c r="H332" s="60">
        <v>15576.34</v>
      </c>
      <c r="I332" s="59"/>
      <c r="J332" s="60">
        <v>2596.08</v>
      </c>
      <c r="K332" s="59"/>
      <c r="L332" s="59"/>
      <c r="M332" s="60">
        <v>41538.339999999997</v>
      </c>
      <c r="N332" s="60">
        <v>28558.080000000002</v>
      </c>
      <c r="O332" s="60">
        <v>12980.26</v>
      </c>
      <c r="P332" s="55"/>
      <c r="Q332" s="55"/>
      <c r="R332" s="61">
        <f t="shared" si="140"/>
        <v>216.34</v>
      </c>
      <c r="S332" s="60">
        <v>216.34</v>
      </c>
      <c r="T332" s="60">
        <v>216.34</v>
      </c>
      <c r="U332" s="60">
        <v>216.34</v>
      </c>
      <c r="V332" s="60">
        <v>216.34</v>
      </c>
      <c r="W332" s="60">
        <v>216.34</v>
      </c>
      <c r="X332" s="61">
        <f t="shared" si="141"/>
        <v>1298.04</v>
      </c>
      <c r="Y332" s="60">
        <v>216.34</v>
      </c>
      <c r="Z332" s="60">
        <v>216.34</v>
      </c>
      <c r="AA332" s="60">
        <v>216.34</v>
      </c>
      <c r="AB332" s="60">
        <v>216.34</v>
      </c>
      <c r="AC332" s="60">
        <v>216.34</v>
      </c>
      <c r="AD332" s="60">
        <v>216.34</v>
      </c>
      <c r="AE332" s="61">
        <f t="shared" si="142"/>
        <v>1298.04</v>
      </c>
      <c r="AF332" s="62">
        <f t="shared" si="135"/>
        <v>41538.339999999997</v>
      </c>
      <c r="AG332" s="62">
        <f t="shared" si="136"/>
        <v>31154.160000000003</v>
      </c>
      <c r="AH332" s="62">
        <f t="shared" si="128"/>
        <v>10384.179999999993</v>
      </c>
      <c r="AI332" s="63"/>
      <c r="AJ332" s="63"/>
      <c r="AK332" s="62"/>
      <c r="AL332" s="60">
        <v>216.34</v>
      </c>
      <c r="AM332" s="60">
        <v>216.34</v>
      </c>
      <c r="AN332" s="60">
        <v>216.34</v>
      </c>
      <c r="AO332" s="60">
        <v>216.34</v>
      </c>
      <c r="AP332" s="60">
        <v>216.34</v>
      </c>
      <c r="AQ332" s="60">
        <v>216.34</v>
      </c>
      <c r="AR332" s="61">
        <f t="shared" si="143"/>
        <v>1298.04</v>
      </c>
      <c r="AS332" s="60">
        <v>216.34</v>
      </c>
      <c r="AT332" s="60">
        <v>216.34</v>
      </c>
      <c r="AU332" s="60">
        <v>216.34</v>
      </c>
      <c r="AV332" s="60">
        <v>216.34</v>
      </c>
      <c r="AW332" s="60">
        <v>216.34</v>
      </c>
      <c r="AX332" s="60">
        <v>216.34</v>
      </c>
      <c r="AY332" s="61">
        <f t="shared" si="144"/>
        <v>1298.04</v>
      </c>
      <c r="AZ332" s="56">
        <f t="shared" si="139"/>
        <v>2596.08</v>
      </c>
      <c r="BA332" s="62">
        <f t="shared" si="137"/>
        <v>41538.339999999997</v>
      </c>
      <c r="BB332" s="62">
        <f t="shared" si="145"/>
        <v>33750.239999999991</v>
      </c>
      <c r="BC332" s="62">
        <f t="shared" si="138"/>
        <v>7788.1000000000058</v>
      </c>
      <c r="BD332" s="63"/>
      <c r="BE332" s="57"/>
      <c r="BF332" s="35" t="e">
        <f>VLOOKUP(A:A,'2023-2027'!A:G,1,+FALSE)</f>
        <v>#N/A</v>
      </c>
      <c r="BG332" s="7" t="e">
        <f t="shared" si="131"/>
        <v>#N/A</v>
      </c>
      <c r="BH332" s="35"/>
    </row>
    <row r="333" spans="1:60" ht="24" hidden="1" customHeight="1" outlineLevel="1" x14ac:dyDescent="0.2">
      <c r="A333" s="59" t="s">
        <v>867</v>
      </c>
      <c r="B333" s="59" t="s">
        <v>31</v>
      </c>
      <c r="C333" s="59" t="s">
        <v>83</v>
      </c>
      <c r="D333" s="65" t="s">
        <v>868</v>
      </c>
      <c r="E333" s="59" t="s">
        <v>237</v>
      </c>
      <c r="F333" s="60">
        <v>41538.339999999997</v>
      </c>
      <c r="G333" s="60">
        <v>25962</v>
      </c>
      <c r="H333" s="60">
        <v>15576.34</v>
      </c>
      <c r="I333" s="59"/>
      <c r="J333" s="60">
        <v>2596.08</v>
      </c>
      <c r="K333" s="59"/>
      <c r="L333" s="59"/>
      <c r="M333" s="60">
        <v>41538.339999999997</v>
      </c>
      <c r="N333" s="60">
        <v>28558.080000000002</v>
      </c>
      <c r="O333" s="60">
        <v>12980.26</v>
      </c>
      <c r="P333" s="55"/>
      <c r="Q333" s="55"/>
      <c r="R333" s="61">
        <f t="shared" si="140"/>
        <v>216.34</v>
      </c>
      <c r="S333" s="60">
        <v>216.34</v>
      </c>
      <c r="T333" s="60">
        <v>216.34</v>
      </c>
      <c r="U333" s="60">
        <v>216.34</v>
      </c>
      <c r="V333" s="60">
        <v>216.34</v>
      </c>
      <c r="W333" s="60">
        <v>216.34</v>
      </c>
      <c r="X333" s="61">
        <f t="shared" si="141"/>
        <v>1298.04</v>
      </c>
      <c r="Y333" s="60">
        <v>216.34</v>
      </c>
      <c r="Z333" s="60">
        <v>216.34</v>
      </c>
      <c r="AA333" s="60">
        <v>216.34</v>
      </c>
      <c r="AB333" s="60">
        <v>216.34</v>
      </c>
      <c r="AC333" s="60">
        <v>216.34</v>
      </c>
      <c r="AD333" s="60">
        <v>216.34</v>
      </c>
      <c r="AE333" s="61">
        <f t="shared" si="142"/>
        <v>1298.04</v>
      </c>
      <c r="AF333" s="62">
        <f t="shared" si="135"/>
        <v>41538.339999999997</v>
      </c>
      <c r="AG333" s="62">
        <f t="shared" si="136"/>
        <v>31154.160000000003</v>
      </c>
      <c r="AH333" s="62">
        <f t="shared" si="128"/>
        <v>10384.179999999993</v>
      </c>
      <c r="AI333" s="63"/>
      <c r="AJ333" s="63"/>
      <c r="AK333" s="62"/>
      <c r="AL333" s="60">
        <v>216.34</v>
      </c>
      <c r="AM333" s="60">
        <v>216.34</v>
      </c>
      <c r="AN333" s="60">
        <v>216.34</v>
      </c>
      <c r="AO333" s="60">
        <v>216.34</v>
      </c>
      <c r="AP333" s="60">
        <v>216.34</v>
      </c>
      <c r="AQ333" s="60">
        <v>216.34</v>
      </c>
      <c r="AR333" s="61">
        <f t="shared" si="143"/>
        <v>1298.04</v>
      </c>
      <c r="AS333" s="60">
        <v>216.34</v>
      </c>
      <c r="AT333" s="60">
        <v>216.34</v>
      </c>
      <c r="AU333" s="60">
        <v>216.34</v>
      </c>
      <c r="AV333" s="60">
        <v>216.34</v>
      </c>
      <c r="AW333" s="60">
        <v>216.34</v>
      </c>
      <c r="AX333" s="60">
        <v>216.34</v>
      </c>
      <c r="AY333" s="61">
        <f t="shared" si="144"/>
        <v>1298.04</v>
      </c>
      <c r="AZ333" s="56">
        <f t="shared" si="139"/>
        <v>2596.08</v>
      </c>
      <c r="BA333" s="62">
        <f t="shared" si="137"/>
        <v>41538.339999999997</v>
      </c>
      <c r="BB333" s="62">
        <f t="shared" si="145"/>
        <v>33750.239999999991</v>
      </c>
      <c r="BC333" s="62">
        <f t="shared" si="138"/>
        <v>7788.1000000000058</v>
      </c>
      <c r="BD333" s="63"/>
      <c r="BE333" s="57"/>
      <c r="BF333" s="35" t="e">
        <f>VLOOKUP(A:A,'2023-2027'!A:G,1,+FALSE)</f>
        <v>#N/A</v>
      </c>
      <c r="BG333" s="7" t="e">
        <f t="shared" si="131"/>
        <v>#N/A</v>
      </c>
      <c r="BH333" s="35"/>
    </row>
    <row r="334" spans="1:60" ht="24" hidden="1" customHeight="1" outlineLevel="1" x14ac:dyDescent="0.2">
      <c r="A334" s="59" t="s">
        <v>869</v>
      </c>
      <c r="B334" s="59" t="s">
        <v>31</v>
      </c>
      <c r="C334" s="59" t="s">
        <v>83</v>
      </c>
      <c r="D334" s="65" t="s">
        <v>870</v>
      </c>
      <c r="E334" s="59" t="s">
        <v>237</v>
      </c>
      <c r="F334" s="60">
        <v>41538.339999999997</v>
      </c>
      <c r="G334" s="60">
        <v>25962</v>
      </c>
      <c r="H334" s="60">
        <v>15576.34</v>
      </c>
      <c r="I334" s="59"/>
      <c r="J334" s="60">
        <v>2596.08</v>
      </c>
      <c r="K334" s="59"/>
      <c r="L334" s="59"/>
      <c r="M334" s="60">
        <v>41538.339999999997</v>
      </c>
      <c r="N334" s="60">
        <v>28558.080000000002</v>
      </c>
      <c r="O334" s="60">
        <v>12980.26</v>
      </c>
      <c r="P334" s="55"/>
      <c r="Q334" s="55"/>
      <c r="R334" s="61">
        <f t="shared" si="140"/>
        <v>216.34</v>
      </c>
      <c r="S334" s="60">
        <v>216.34</v>
      </c>
      <c r="T334" s="60">
        <v>216.34</v>
      </c>
      <c r="U334" s="60">
        <v>216.34</v>
      </c>
      <c r="V334" s="60">
        <v>216.34</v>
      </c>
      <c r="W334" s="60">
        <v>216.34</v>
      </c>
      <c r="X334" s="61">
        <f t="shared" si="141"/>
        <v>1298.04</v>
      </c>
      <c r="Y334" s="60">
        <v>216.34</v>
      </c>
      <c r="Z334" s="60">
        <v>216.34</v>
      </c>
      <c r="AA334" s="60">
        <v>216.34</v>
      </c>
      <c r="AB334" s="60">
        <v>216.34</v>
      </c>
      <c r="AC334" s="60">
        <v>216.34</v>
      </c>
      <c r="AD334" s="60">
        <v>216.34</v>
      </c>
      <c r="AE334" s="61">
        <f t="shared" si="142"/>
        <v>1298.04</v>
      </c>
      <c r="AF334" s="62">
        <f t="shared" si="135"/>
        <v>41538.339999999997</v>
      </c>
      <c r="AG334" s="62">
        <f t="shared" si="136"/>
        <v>31154.160000000003</v>
      </c>
      <c r="AH334" s="62">
        <f t="shared" ref="AH334:AH397" si="146">AF334-AG334</f>
        <v>10384.179999999993</v>
      </c>
      <c r="AI334" s="63"/>
      <c r="AJ334" s="63"/>
      <c r="AK334" s="62"/>
      <c r="AL334" s="60">
        <v>216.34</v>
      </c>
      <c r="AM334" s="60">
        <v>216.34</v>
      </c>
      <c r="AN334" s="60">
        <v>216.34</v>
      </c>
      <c r="AO334" s="60">
        <v>216.34</v>
      </c>
      <c r="AP334" s="60">
        <v>216.34</v>
      </c>
      <c r="AQ334" s="60">
        <v>216.34</v>
      </c>
      <c r="AR334" s="61">
        <f t="shared" si="143"/>
        <v>1298.04</v>
      </c>
      <c r="AS334" s="60">
        <v>216.34</v>
      </c>
      <c r="AT334" s="60">
        <v>216.34</v>
      </c>
      <c r="AU334" s="60">
        <v>216.34</v>
      </c>
      <c r="AV334" s="60">
        <v>216.34</v>
      </c>
      <c r="AW334" s="60">
        <v>216.34</v>
      </c>
      <c r="AX334" s="60">
        <v>216.34</v>
      </c>
      <c r="AY334" s="61">
        <f t="shared" si="144"/>
        <v>1298.04</v>
      </c>
      <c r="AZ334" s="56">
        <f t="shared" si="139"/>
        <v>2596.08</v>
      </c>
      <c r="BA334" s="62">
        <f t="shared" si="137"/>
        <v>41538.339999999997</v>
      </c>
      <c r="BB334" s="62">
        <f t="shared" si="145"/>
        <v>33750.239999999991</v>
      </c>
      <c r="BC334" s="62">
        <f t="shared" si="138"/>
        <v>7788.1000000000058</v>
      </c>
      <c r="BD334" s="63"/>
      <c r="BE334" s="57"/>
      <c r="BF334" s="35" t="e">
        <f>VLOOKUP(A:A,'2023-2027'!A:G,1,+FALSE)</f>
        <v>#N/A</v>
      </c>
      <c r="BG334" s="7" t="e">
        <f t="shared" si="131"/>
        <v>#N/A</v>
      </c>
      <c r="BH334" s="35"/>
    </row>
    <row r="335" spans="1:60" ht="24" hidden="1" customHeight="1" outlineLevel="1" x14ac:dyDescent="0.2">
      <c r="A335" s="59" t="s">
        <v>871</v>
      </c>
      <c r="B335" s="59" t="s">
        <v>31</v>
      </c>
      <c r="C335" s="59" t="s">
        <v>83</v>
      </c>
      <c r="D335" s="65" t="s">
        <v>872</v>
      </c>
      <c r="E335" s="59" t="s">
        <v>237</v>
      </c>
      <c r="F335" s="60">
        <v>41538.339999999997</v>
      </c>
      <c r="G335" s="60">
        <v>25962</v>
      </c>
      <c r="H335" s="60">
        <v>15576.34</v>
      </c>
      <c r="I335" s="59"/>
      <c r="J335" s="60">
        <v>2596.08</v>
      </c>
      <c r="K335" s="59"/>
      <c r="L335" s="59"/>
      <c r="M335" s="60">
        <v>41538.339999999997</v>
      </c>
      <c r="N335" s="60">
        <v>28558.080000000002</v>
      </c>
      <c r="O335" s="60">
        <v>12980.26</v>
      </c>
      <c r="P335" s="55"/>
      <c r="Q335" s="55"/>
      <c r="R335" s="61">
        <f t="shared" si="140"/>
        <v>216.34</v>
      </c>
      <c r="S335" s="60">
        <v>216.34</v>
      </c>
      <c r="T335" s="60">
        <v>216.34</v>
      </c>
      <c r="U335" s="60">
        <v>216.34</v>
      </c>
      <c r="V335" s="60">
        <v>216.34</v>
      </c>
      <c r="W335" s="60">
        <v>216.34</v>
      </c>
      <c r="X335" s="61">
        <f t="shared" si="141"/>
        <v>1298.04</v>
      </c>
      <c r="Y335" s="60">
        <v>216.34</v>
      </c>
      <c r="Z335" s="60">
        <v>216.34</v>
      </c>
      <c r="AA335" s="60">
        <v>216.34</v>
      </c>
      <c r="AB335" s="60">
        <v>216.34</v>
      </c>
      <c r="AC335" s="60">
        <v>216.34</v>
      </c>
      <c r="AD335" s="60">
        <v>216.34</v>
      </c>
      <c r="AE335" s="61">
        <f t="shared" si="142"/>
        <v>1298.04</v>
      </c>
      <c r="AF335" s="62">
        <f t="shared" si="135"/>
        <v>41538.339999999997</v>
      </c>
      <c r="AG335" s="62">
        <f t="shared" si="136"/>
        <v>31154.160000000003</v>
      </c>
      <c r="AH335" s="62">
        <f t="shared" si="146"/>
        <v>10384.179999999993</v>
      </c>
      <c r="AI335" s="63"/>
      <c r="AJ335" s="63"/>
      <c r="AK335" s="62"/>
      <c r="AL335" s="60">
        <v>216.34</v>
      </c>
      <c r="AM335" s="60">
        <v>216.34</v>
      </c>
      <c r="AN335" s="60">
        <v>216.34</v>
      </c>
      <c r="AO335" s="60">
        <v>216.34</v>
      </c>
      <c r="AP335" s="60">
        <v>216.34</v>
      </c>
      <c r="AQ335" s="60">
        <v>216.34</v>
      </c>
      <c r="AR335" s="61">
        <f t="shared" si="143"/>
        <v>1298.04</v>
      </c>
      <c r="AS335" s="60">
        <v>216.34</v>
      </c>
      <c r="AT335" s="60">
        <v>216.34</v>
      </c>
      <c r="AU335" s="60">
        <v>216.34</v>
      </c>
      <c r="AV335" s="60">
        <v>216.34</v>
      </c>
      <c r="AW335" s="60">
        <v>216.34</v>
      </c>
      <c r="AX335" s="60">
        <v>216.34</v>
      </c>
      <c r="AY335" s="61">
        <f t="shared" si="144"/>
        <v>1298.04</v>
      </c>
      <c r="AZ335" s="56">
        <f t="shared" si="139"/>
        <v>2596.08</v>
      </c>
      <c r="BA335" s="62">
        <f t="shared" si="137"/>
        <v>41538.339999999997</v>
      </c>
      <c r="BB335" s="62">
        <f t="shared" si="145"/>
        <v>33750.239999999991</v>
      </c>
      <c r="BC335" s="62">
        <f t="shared" si="138"/>
        <v>7788.1000000000058</v>
      </c>
      <c r="BD335" s="63"/>
      <c r="BE335" s="57"/>
      <c r="BF335" s="35" t="e">
        <f>VLOOKUP(A:A,'2023-2027'!A:G,1,+FALSE)</f>
        <v>#N/A</v>
      </c>
      <c r="BG335" s="7" t="e">
        <f t="shared" si="131"/>
        <v>#N/A</v>
      </c>
      <c r="BH335" s="35"/>
    </row>
    <row r="336" spans="1:60" ht="24" hidden="1" customHeight="1" outlineLevel="1" x14ac:dyDescent="0.2">
      <c r="A336" s="59" t="s">
        <v>873</v>
      </c>
      <c r="B336" s="59" t="s">
        <v>31</v>
      </c>
      <c r="C336" s="59" t="s">
        <v>83</v>
      </c>
      <c r="D336" s="65" t="s">
        <v>874</v>
      </c>
      <c r="E336" s="59" t="s">
        <v>237</v>
      </c>
      <c r="F336" s="60">
        <v>41538.339999999997</v>
      </c>
      <c r="G336" s="60">
        <v>25962</v>
      </c>
      <c r="H336" s="60">
        <v>15576.34</v>
      </c>
      <c r="I336" s="59"/>
      <c r="J336" s="60">
        <v>2596.08</v>
      </c>
      <c r="K336" s="59"/>
      <c r="L336" s="59"/>
      <c r="M336" s="60">
        <v>41538.339999999997</v>
      </c>
      <c r="N336" s="60">
        <v>28558.080000000002</v>
      </c>
      <c r="O336" s="60">
        <v>12980.26</v>
      </c>
      <c r="P336" s="55"/>
      <c r="Q336" s="55"/>
      <c r="R336" s="61">
        <f t="shared" si="140"/>
        <v>216.34</v>
      </c>
      <c r="S336" s="60">
        <v>216.34</v>
      </c>
      <c r="T336" s="60">
        <v>216.34</v>
      </c>
      <c r="U336" s="60">
        <v>216.34</v>
      </c>
      <c r="V336" s="60">
        <v>216.34</v>
      </c>
      <c r="W336" s="60">
        <v>216.34</v>
      </c>
      <c r="X336" s="61">
        <f t="shared" si="141"/>
        <v>1298.04</v>
      </c>
      <c r="Y336" s="60">
        <v>216.34</v>
      </c>
      <c r="Z336" s="60">
        <v>216.34</v>
      </c>
      <c r="AA336" s="60">
        <v>216.34</v>
      </c>
      <c r="AB336" s="60">
        <v>216.34</v>
      </c>
      <c r="AC336" s="60">
        <v>216.34</v>
      </c>
      <c r="AD336" s="60">
        <v>216.34</v>
      </c>
      <c r="AE336" s="61">
        <f t="shared" si="142"/>
        <v>1298.04</v>
      </c>
      <c r="AF336" s="62">
        <f t="shared" si="135"/>
        <v>41538.339999999997</v>
      </c>
      <c r="AG336" s="62">
        <f t="shared" si="136"/>
        <v>31154.160000000003</v>
      </c>
      <c r="AH336" s="62">
        <f t="shared" si="146"/>
        <v>10384.179999999993</v>
      </c>
      <c r="AI336" s="63"/>
      <c r="AJ336" s="63"/>
      <c r="AK336" s="62"/>
      <c r="AL336" s="60">
        <v>216.34</v>
      </c>
      <c r="AM336" s="60">
        <v>216.34</v>
      </c>
      <c r="AN336" s="60">
        <v>216.34</v>
      </c>
      <c r="AO336" s="60">
        <v>216.34</v>
      </c>
      <c r="AP336" s="60">
        <v>216.34</v>
      </c>
      <c r="AQ336" s="60">
        <v>216.34</v>
      </c>
      <c r="AR336" s="61">
        <f t="shared" si="143"/>
        <v>1298.04</v>
      </c>
      <c r="AS336" s="60">
        <v>216.34</v>
      </c>
      <c r="AT336" s="60">
        <v>216.34</v>
      </c>
      <c r="AU336" s="60">
        <v>216.34</v>
      </c>
      <c r="AV336" s="60">
        <v>216.34</v>
      </c>
      <c r="AW336" s="60">
        <v>216.34</v>
      </c>
      <c r="AX336" s="60">
        <v>216.34</v>
      </c>
      <c r="AY336" s="61">
        <f t="shared" si="144"/>
        <v>1298.04</v>
      </c>
      <c r="AZ336" s="56">
        <f t="shared" si="139"/>
        <v>2596.08</v>
      </c>
      <c r="BA336" s="62">
        <f t="shared" si="137"/>
        <v>41538.339999999997</v>
      </c>
      <c r="BB336" s="62">
        <f t="shared" si="145"/>
        <v>33750.239999999991</v>
      </c>
      <c r="BC336" s="62">
        <f t="shared" si="138"/>
        <v>7788.1000000000058</v>
      </c>
      <c r="BD336" s="63"/>
      <c r="BE336" s="57"/>
      <c r="BF336" s="35" t="e">
        <f>VLOOKUP(A:A,'2023-2027'!A:G,1,+FALSE)</f>
        <v>#N/A</v>
      </c>
      <c r="BG336" s="7" t="e">
        <f t="shared" si="131"/>
        <v>#N/A</v>
      </c>
      <c r="BH336" s="35"/>
    </row>
    <row r="337" spans="1:60" ht="24" hidden="1" customHeight="1" outlineLevel="1" x14ac:dyDescent="0.2">
      <c r="A337" s="59" t="s">
        <v>875</v>
      </c>
      <c r="B337" s="59" t="s">
        <v>31</v>
      </c>
      <c r="C337" s="59" t="s">
        <v>83</v>
      </c>
      <c r="D337" s="65" t="s">
        <v>876</v>
      </c>
      <c r="E337" s="59" t="s">
        <v>237</v>
      </c>
      <c r="F337" s="60">
        <v>41538.339999999997</v>
      </c>
      <c r="G337" s="60">
        <v>25962</v>
      </c>
      <c r="H337" s="60">
        <v>15576.34</v>
      </c>
      <c r="I337" s="59"/>
      <c r="J337" s="60">
        <v>2596.08</v>
      </c>
      <c r="K337" s="59"/>
      <c r="L337" s="59"/>
      <c r="M337" s="60">
        <v>41538.339999999997</v>
      </c>
      <c r="N337" s="60">
        <v>28558.080000000002</v>
      </c>
      <c r="O337" s="60">
        <v>12980.26</v>
      </c>
      <c r="P337" s="55"/>
      <c r="Q337" s="55"/>
      <c r="R337" s="61">
        <f t="shared" si="140"/>
        <v>216.34</v>
      </c>
      <c r="S337" s="60">
        <v>216.34</v>
      </c>
      <c r="T337" s="60">
        <v>216.34</v>
      </c>
      <c r="U337" s="60">
        <v>216.34</v>
      </c>
      <c r="V337" s="60">
        <v>216.34</v>
      </c>
      <c r="W337" s="60">
        <v>216.34</v>
      </c>
      <c r="X337" s="61">
        <f t="shared" si="141"/>
        <v>1298.04</v>
      </c>
      <c r="Y337" s="60">
        <v>216.34</v>
      </c>
      <c r="Z337" s="60">
        <v>216.34</v>
      </c>
      <c r="AA337" s="60">
        <v>216.34</v>
      </c>
      <c r="AB337" s="60">
        <v>216.34</v>
      </c>
      <c r="AC337" s="60">
        <v>216.34</v>
      </c>
      <c r="AD337" s="60">
        <v>216.34</v>
      </c>
      <c r="AE337" s="61">
        <f t="shared" si="142"/>
        <v>1298.04</v>
      </c>
      <c r="AF337" s="62">
        <f t="shared" si="135"/>
        <v>41538.339999999997</v>
      </c>
      <c r="AG337" s="62">
        <f t="shared" si="136"/>
        <v>31154.160000000003</v>
      </c>
      <c r="AH337" s="62">
        <f t="shared" si="146"/>
        <v>10384.179999999993</v>
      </c>
      <c r="AI337" s="63"/>
      <c r="AJ337" s="63"/>
      <c r="AK337" s="62"/>
      <c r="AL337" s="60">
        <v>216.34</v>
      </c>
      <c r="AM337" s="60">
        <v>216.34</v>
      </c>
      <c r="AN337" s="60">
        <v>216.34</v>
      </c>
      <c r="AO337" s="60">
        <v>216.34</v>
      </c>
      <c r="AP337" s="60">
        <v>216.34</v>
      </c>
      <c r="AQ337" s="60">
        <v>216.34</v>
      </c>
      <c r="AR337" s="61">
        <f t="shared" si="143"/>
        <v>1298.04</v>
      </c>
      <c r="AS337" s="60">
        <v>216.34</v>
      </c>
      <c r="AT337" s="60">
        <v>216.34</v>
      </c>
      <c r="AU337" s="60">
        <v>216.34</v>
      </c>
      <c r="AV337" s="60">
        <v>216.34</v>
      </c>
      <c r="AW337" s="60">
        <v>216.34</v>
      </c>
      <c r="AX337" s="60">
        <v>216.34</v>
      </c>
      <c r="AY337" s="61">
        <f t="shared" si="144"/>
        <v>1298.04</v>
      </c>
      <c r="AZ337" s="56">
        <f t="shared" si="139"/>
        <v>2596.08</v>
      </c>
      <c r="BA337" s="62">
        <f t="shared" si="137"/>
        <v>41538.339999999997</v>
      </c>
      <c r="BB337" s="62">
        <f t="shared" si="145"/>
        <v>33750.239999999991</v>
      </c>
      <c r="BC337" s="62">
        <f t="shared" si="138"/>
        <v>7788.1000000000058</v>
      </c>
      <c r="BD337" s="63"/>
      <c r="BE337" s="57"/>
      <c r="BF337" s="35" t="e">
        <f>VLOOKUP(A:A,'2023-2027'!A:G,1,+FALSE)</f>
        <v>#N/A</v>
      </c>
      <c r="BG337" s="7" t="e">
        <f t="shared" si="131"/>
        <v>#N/A</v>
      </c>
      <c r="BH337" s="35"/>
    </row>
    <row r="338" spans="1:60" ht="24" hidden="1" customHeight="1" outlineLevel="1" x14ac:dyDescent="0.2">
      <c r="A338" s="59" t="s">
        <v>877</v>
      </c>
      <c r="B338" s="59" t="s">
        <v>31</v>
      </c>
      <c r="C338" s="59" t="s">
        <v>83</v>
      </c>
      <c r="D338" s="65" t="s">
        <v>878</v>
      </c>
      <c r="E338" s="59" t="s">
        <v>237</v>
      </c>
      <c r="F338" s="60">
        <v>41538.339999999997</v>
      </c>
      <c r="G338" s="60">
        <v>25962</v>
      </c>
      <c r="H338" s="60">
        <v>15576.34</v>
      </c>
      <c r="I338" s="59"/>
      <c r="J338" s="60">
        <v>2596.08</v>
      </c>
      <c r="K338" s="59"/>
      <c r="L338" s="59"/>
      <c r="M338" s="60">
        <v>41538.339999999997</v>
      </c>
      <c r="N338" s="60">
        <v>28558.080000000002</v>
      </c>
      <c r="O338" s="60">
        <v>12980.26</v>
      </c>
      <c r="P338" s="55"/>
      <c r="Q338" s="55"/>
      <c r="R338" s="61">
        <f t="shared" si="140"/>
        <v>216.34</v>
      </c>
      <c r="S338" s="60">
        <v>216.34</v>
      </c>
      <c r="T338" s="60">
        <v>216.34</v>
      </c>
      <c r="U338" s="60">
        <v>216.34</v>
      </c>
      <c r="V338" s="60">
        <v>216.34</v>
      </c>
      <c r="W338" s="60">
        <v>216.34</v>
      </c>
      <c r="X338" s="61">
        <f t="shared" si="141"/>
        <v>1298.04</v>
      </c>
      <c r="Y338" s="60">
        <v>216.34</v>
      </c>
      <c r="Z338" s="60">
        <v>216.34</v>
      </c>
      <c r="AA338" s="60">
        <v>216.34</v>
      </c>
      <c r="AB338" s="60">
        <v>216.34</v>
      </c>
      <c r="AC338" s="60">
        <v>216.34</v>
      </c>
      <c r="AD338" s="60">
        <v>216.34</v>
      </c>
      <c r="AE338" s="61">
        <f t="shared" si="142"/>
        <v>1298.04</v>
      </c>
      <c r="AF338" s="62">
        <f t="shared" si="135"/>
        <v>41538.339999999997</v>
      </c>
      <c r="AG338" s="62">
        <f t="shared" si="136"/>
        <v>31154.160000000003</v>
      </c>
      <c r="AH338" s="62">
        <f t="shared" si="146"/>
        <v>10384.179999999993</v>
      </c>
      <c r="AI338" s="63"/>
      <c r="AJ338" s="63"/>
      <c r="AK338" s="62"/>
      <c r="AL338" s="60">
        <v>216.34</v>
      </c>
      <c r="AM338" s="60">
        <v>216.34</v>
      </c>
      <c r="AN338" s="60">
        <v>216.34</v>
      </c>
      <c r="AO338" s="60">
        <v>216.34</v>
      </c>
      <c r="AP338" s="60">
        <v>216.34</v>
      </c>
      <c r="AQ338" s="60">
        <v>216.34</v>
      </c>
      <c r="AR338" s="61">
        <f t="shared" si="143"/>
        <v>1298.04</v>
      </c>
      <c r="AS338" s="60">
        <v>216.34</v>
      </c>
      <c r="AT338" s="60">
        <v>216.34</v>
      </c>
      <c r="AU338" s="60">
        <v>216.34</v>
      </c>
      <c r="AV338" s="60">
        <v>216.34</v>
      </c>
      <c r="AW338" s="60">
        <v>216.34</v>
      </c>
      <c r="AX338" s="60">
        <v>216.34</v>
      </c>
      <c r="AY338" s="61">
        <f t="shared" si="144"/>
        <v>1298.04</v>
      </c>
      <c r="AZ338" s="56">
        <f t="shared" si="139"/>
        <v>2596.08</v>
      </c>
      <c r="BA338" s="62">
        <f t="shared" si="137"/>
        <v>41538.339999999997</v>
      </c>
      <c r="BB338" s="62">
        <f t="shared" si="145"/>
        <v>33750.239999999991</v>
      </c>
      <c r="BC338" s="62">
        <f t="shared" si="138"/>
        <v>7788.1000000000058</v>
      </c>
      <c r="BD338" s="63"/>
      <c r="BE338" s="57"/>
      <c r="BF338" s="35" t="e">
        <f>VLOOKUP(A:A,'2023-2027'!A:G,1,+FALSE)</f>
        <v>#N/A</v>
      </c>
      <c r="BG338" s="7" t="e">
        <f t="shared" si="131"/>
        <v>#N/A</v>
      </c>
      <c r="BH338" s="35"/>
    </row>
    <row r="339" spans="1:60" ht="24" hidden="1" customHeight="1" outlineLevel="1" x14ac:dyDescent="0.2">
      <c r="A339" s="59" t="s">
        <v>879</v>
      </c>
      <c r="B339" s="59" t="s">
        <v>31</v>
      </c>
      <c r="C339" s="59" t="s">
        <v>83</v>
      </c>
      <c r="D339" s="65" t="s">
        <v>880</v>
      </c>
      <c r="E339" s="59" t="s">
        <v>237</v>
      </c>
      <c r="F339" s="60">
        <v>41538.339999999997</v>
      </c>
      <c r="G339" s="60">
        <v>25962</v>
      </c>
      <c r="H339" s="60">
        <v>15576.34</v>
      </c>
      <c r="I339" s="59"/>
      <c r="J339" s="60">
        <v>2596.08</v>
      </c>
      <c r="K339" s="59"/>
      <c r="L339" s="59"/>
      <c r="M339" s="60">
        <v>41538.339999999997</v>
      </c>
      <c r="N339" s="60">
        <v>28558.080000000002</v>
      </c>
      <c r="O339" s="60">
        <v>12980.26</v>
      </c>
      <c r="P339" s="55"/>
      <c r="Q339" s="55"/>
      <c r="R339" s="61">
        <f t="shared" si="140"/>
        <v>216.34</v>
      </c>
      <c r="S339" s="60">
        <v>216.34</v>
      </c>
      <c r="T339" s="60">
        <v>216.34</v>
      </c>
      <c r="U339" s="60">
        <v>216.34</v>
      </c>
      <c r="V339" s="60">
        <v>216.34</v>
      </c>
      <c r="W339" s="60">
        <v>216.34</v>
      </c>
      <c r="X339" s="61">
        <f t="shared" si="141"/>
        <v>1298.04</v>
      </c>
      <c r="Y339" s="60">
        <v>216.34</v>
      </c>
      <c r="Z339" s="60">
        <v>216.34</v>
      </c>
      <c r="AA339" s="60">
        <v>216.34</v>
      </c>
      <c r="AB339" s="60">
        <v>216.34</v>
      </c>
      <c r="AC339" s="60">
        <v>216.34</v>
      </c>
      <c r="AD339" s="60">
        <v>216.34</v>
      </c>
      <c r="AE339" s="61">
        <f t="shared" si="142"/>
        <v>1298.04</v>
      </c>
      <c r="AF339" s="62">
        <f t="shared" si="135"/>
        <v>41538.339999999997</v>
      </c>
      <c r="AG339" s="62">
        <f t="shared" si="136"/>
        <v>31154.160000000003</v>
      </c>
      <c r="AH339" s="62">
        <f t="shared" si="146"/>
        <v>10384.179999999993</v>
      </c>
      <c r="AI339" s="63"/>
      <c r="AJ339" s="63"/>
      <c r="AK339" s="62"/>
      <c r="AL339" s="60">
        <v>216.34</v>
      </c>
      <c r="AM339" s="60">
        <v>216.34</v>
      </c>
      <c r="AN339" s="60">
        <v>216.34</v>
      </c>
      <c r="AO339" s="60">
        <v>216.34</v>
      </c>
      <c r="AP339" s="60">
        <v>216.34</v>
      </c>
      <c r="AQ339" s="60">
        <v>216.34</v>
      </c>
      <c r="AR339" s="61">
        <f t="shared" si="143"/>
        <v>1298.04</v>
      </c>
      <c r="AS339" s="60">
        <v>216.34</v>
      </c>
      <c r="AT339" s="60">
        <v>216.34</v>
      </c>
      <c r="AU339" s="60">
        <v>216.34</v>
      </c>
      <c r="AV339" s="60">
        <v>216.34</v>
      </c>
      <c r="AW339" s="60">
        <v>216.34</v>
      </c>
      <c r="AX339" s="60">
        <v>216.34</v>
      </c>
      <c r="AY339" s="61">
        <f t="shared" si="144"/>
        <v>1298.04</v>
      </c>
      <c r="AZ339" s="56">
        <f t="shared" si="139"/>
        <v>2596.08</v>
      </c>
      <c r="BA339" s="62">
        <f t="shared" si="137"/>
        <v>41538.339999999997</v>
      </c>
      <c r="BB339" s="62">
        <f t="shared" si="145"/>
        <v>33750.239999999991</v>
      </c>
      <c r="BC339" s="62">
        <f t="shared" si="138"/>
        <v>7788.1000000000058</v>
      </c>
      <c r="BD339" s="63"/>
      <c r="BE339" s="57"/>
      <c r="BF339" s="35" t="e">
        <f>VLOOKUP(A:A,'2023-2027'!A:G,1,+FALSE)</f>
        <v>#N/A</v>
      </c>
      <c r="BG339" s="7" t="e">
        <f t="shared" si="131"/>
        <v>#N/A</v>
      </c>
      <c r="BH339" s="35"/>
    </row>
    <row r="340" spans="1:60" ht="24" hidden="1" customHeight="1" outlineLevel="1" x14ac:dyDescent="0.2">
      <c r="A340" s="59" t="s">
        <v>881</v>
      </c>
      <c r="B340" s="59" t="s">
        <v>31</v>
      </c>
      <c r="C340" s="59" t="s">
        <v>83</v>
      </c>
      <c r="D340" s="65" t="s">
        <v>882</v>
      </c>
      <c r="E340" s="59" t="s">
        <v>237</v>
      </c>
      <c r="F340" s="60">
        <v>41538.339999999997</v>
      </c>
      <c r="G340" s="60">
        <v>25962</v>
      </c>
      <c r="H340" s="60">
        <v>15576.34</v>
      </c>
      <c r="I340" s="59"/>
      <c r="J340" s="60">
        <v>2596.08</v>
      </c>
      <c r="K340" s="59"/>
      <c r="L340" s="59"/>
      <c r="M340" s="60">
        <v>41538.339999999997</v>
      </c>
      <c r="N340" s="60">
        <v>28558.080000000002</v>
      </c>
      <c r="O340" s="60">
        <v>12980.26</v>
      </c>
      <c r="P340" s="55"/>
      <c r="Q340" s="55"/>
      <c r="R340" s="61">
        <f t="shared" si="140"/>
        <v>216.34</v>
      </c>
      <c r="S340" s="60">
        <v>216.34</v>
      </c>
      <c r="T340" s="60">
        <v>216.34</v>
      </c>
      <c r="U340" s="60">
        <v>216.34</v>
      </c>
      <c r="V340" s="60">
        <v>216.34</v>
      </c>
      <c r="W340" s="60">
        <v>216.34</v>
      </c>
      <c r="X340" s="61">
        <f t="shared" si="141"/>
        <v>1298.04</v>
      </c>
      <c r="Y340" s="60">
        <v>216.34</v>
      </c>
      <c r="Z340" s="60">
        <v>216.34</v>
      </c>
      <c r="AA340" s="60">
        <v>216.34</v>
      </c>
      <c r="AB340" s="60">
        <v>216.34</v>
      </c>
      <c r="AC340" s="60">
        <v>216.34</v>
      </c>
      <c r="AD340" s="60">
        <v>216.34</v>
      </c>
      <c r="AE340" s="61">
        <f t="shared" si="142"/>
        <v>1298.04</v>
      </c>
      <c r="AF340" s="62">
        <f t="shared" si="135"/>
        <v>41538.339999999997</v>
      </c>
      <c r="AG340" s="62">
        <f t="shared" si="136"/>
        <v>31154.160000000003</v>
      </c>
      <c r="AH340" s="62">
        <f t="shared" si="146"/>
        <v>10384.179999999993</v>
      </c>
      <c r="AI340" s="63"/>
      <c r="AJ340" s="63"/>
      <c r="AK340" s="62"/>
      <c r="AL340" s="60">
        <v>216.34</v>
      </c>
      <c r="AM340" s="60">
        <v>216.34</v>
      </c>
      <c r="AN340" s="60">
        <v>216.34</v>
      </c>
      <c r="AO340" s="60">
        <v>216.34</v>
      </c>
      <c r="AP340" s="60">
        <v>216.34</v>
      </c>
      <c r="AQ340" s="60">
        <v>216.34</v>
      </c>
      <c r="AR340" s="61">
        <f t="shared" si="143"/>
        <v>1298.04</v>
      </c>
      <c r="AS340" s="60">
        <v>216.34</v>
      </c>
      <c r="AT340" s="60">
        <v>216.34</v>
      </c>
      <c r="AU340" s="60">
        <v>216.34</v>
      </c>
      <c r="AV340" s="60">
        <v>216.34</v>
      </c>
      <c r="AW340" s="60">
        <v>216.34</v>
      </c>
      <c r="AX340" s="60">
        <v>216.34</v>
      </c>
      <c r="AY340" s="61">
        <f t="shared" si="144"/>
        <v>1298.04</v>
      </c>
      <c r="AZ340" s="56">
        <f t="shared" si="139"/>
        <v>2596.08</v>
      </c>
      <c r="BA340" s="62">
        <f t="shared" si="137"/>
        <v>41538.339999999997</v>
      </c>
      <c r="BB340" s="62">
        <f t="shared" si="145"/>
        <v>33750.239999999991</v>
      </c>
      <c r="BC340" s="62">
        <f t="shared" si="138"/>
        <v>7788.1000000000058</v>
      </c>
      <c r="BD340" s="63"/>
      <c r="BE340" s="57"/>
      <c r="BF340" s="35" t="e">
        <f>VLOOKUP(A:A,'2023-2027'!A:G,1,+FALSE)</f>
        <v>#N/A</v>
      </c>
      <c r="BG340" s="7" t="e">
        <f t="shared" si="131"/>
        <v>#N/A</v>
      </c>
      <c r="BH340" s="35"/>
    </row>
    <row r="341" spans="1:60" ht="24" hidden="1" customHeight="1" outlineLevel="1" x14ac:dyDescent="0.2">
      <c r="A341" s="59" t="s">
        <v>883</v>
      </c>
      <c r="B341" s="59" t="s">
        <v>31</v>
      </c>
      <c r="C341" s="59" t="s">
        <v>83</v>
      </c>
      <c r="D341" s="65" t="s">
        <v>884</v>
      </c>
      <c r="E341" s="59" t="s">
        <v>237</v>
      </c>
      <c r="F341" s="60">
        <v>41538.339999999997</v>
      </c>
      <c r="G341" s="60">
        <v>25962</v>
      </c>
      <c r="H341" s="60">
        <v>15576.34</v>
      </c>
      <c r="I341" s="59"/>
      <c r="J341" s="60">
        <v>2596.08</v>
      </c>
      <c r="K341" s="59"/>
      <c r="L341" s="59"/>
      <c r="M341" s="60">
        <v>41538.339999999997</v>
      </c>
      <c r="N341" s="60">
        <v>28558.080000000002</v>
      </c>
      <c r="O341" s="60">
        <v>12980.26</v>
      </c>
      <c r="P341" s="55"/>
      <c r="Q341" s="55"/>
      <c r="R341" s="61">
        <f t="shared" si="140"/>
        <v>216.34</v>
      </c>
      <c r="S341" s="60">
        <v>216.34</v>
      </c>
      <c r="T341" s="60">
        <v>216.34</v>
      </c>
      <c r="U341" s="60">
        <v>216.34</v>
      </c>
      <c r="V341" s="60">
        <v>216.34</v>
      </c>
      <c r="W341" s="60">
        <v>216.34</v>
      </c>
      <c r="X341" s="61">
        <f t="shared" si="141"/>
        <v>1298.04</v>
      </c>
      <c r="Y341" s="60">
        <v>216.34</v>
      </c>
      <c r="Z341" s="60">
        <v>216.34</v>
      </c>
      <c r="AA341" s="60">
        <v>216.34</v>
      </c>
      <c r="AB341" s="60">
        <v>216.34</v>
      </c>
      <c r="AC341" s="60">
        <v>216.34</v>
      </c>
      <c r="AD341" s="60">
        <v>216.34</v>
      </c>
      <c r="AE341" s="61">
        <f t="shared" si="142"/>
        <v>1298.04</v>
      </c>
      <c r="AF341" s="62">
        <f t="shared" si="135"/>
        <v>41538.339999999997</v>
      </c>
      <c r="AG341" s="62">
        <f t="shared" si="136"/>
        <v>31154.160000000003</v>
      </c>
      <c r="AH341" s="62">
        <f t="shared" si="146"/>
        <v>10384.179999999993</v>
      </c>
      <c r="AI341" s="63"/>
      <c r="AJ341" s="63"/>
      <c r="AK341" s="62"/>
      <c r="AL341" s="60">
        <v>216.34</v>
      </c>
      <c r="AM341" s="60">
        <v>216.34</v>
      </c>
      <c r="AN341" s="60">
        <v>216.34</v>
      </c>
      <c r="AO341" s="60">
        <v>216.34</v>
      </c>
      <c r="AP341" s="60">
        <v>216.34</v>
      </c>
      <c r="AQ341" s="60">
        <v>216.34</v>
      </c>
      <c r="AR341" s="61">
        <f t="shared" si="143"/>
        <v>1298.04</v>
      </c>
      <c r="AS341" s="60">
        <v>216.34</v>
      </c>
      <c r="AT341" s="60">
        <v>216.34</v>
      </c>
      <c r="AU341" s="60">
        <v>216.34</v>
      </c>
      <c r="AV341" s="60">
        <v>216.34</v>
      </c>
      <c r="AW341" s="60">
        <v>216.34</v>
      </c>
      <c r="AX341" s="60">
        <v>216.34</v>
      </c>
      <c r="AY341" s="61">
        <f t="shared" si="144"/>
        <v>1298.04</v>
      </c>
      <c r="AZ341" s="56">
        <f t="shared" si="139"/>
        <v>2596.08</v>
      </c>
      <c r="BA341" s="62">
        <f t="shared" si="137"/>
        <v>41538.339999999997</v>
      </c>
      <c r="BB341" s="62">
        <f t="shared" si="145"/>
        <v>33750.239999999991</v>
      </c>
      <c r="BC341" s="62">
        <f t="shared" si="138"/>
        <v>7788.1000000000058</v>
      </c>
      <c r="BD341" s="63"/>
      <c r="BE341" s="57"/>
      <c r="BF341" s="35" t="e">
        <f>VLOOKUP(A:A,'2023-2027'!A:G,1,+FALSE)</f>
        <v>#N/A</v>
      </c>
      <c r="BG341" s="7" t="e">
        <f t="shared" si="131"/>
        <v>#N/A</v>
      </c>
      <c r="BH341" s="35"/>
    </row>
    <row r="342" spans="1:60" ht="24" hidden="1" customHeight="1" outlineLevel="1" x14ac:dyDescent="0.2">
      <c r="A342" s="59" t="s">
        <v>885</v>
      </c>
      <c r="B342" s="59" t="s">
        <v>31</v>
      </c>
      <c r="C342" s="59" t="s">
        <v>83</v>
      </c>
      <c r="D342" s="65" t="s">
        <v>886</v>
      </c>
      <c r="E342" s="59" t="s">
        <v>237</v>
      </c>
      <c r="F342" s="60">
        <v>41538.339999999997</v>
      </c>
      <c r="G342" s="60">
        <v>25962</v>
      </c>
      <c r="H342" s="60">
        <v>15576.34</v>
      </c>
      <c r="I342" s="59"/>
      <c r="J342" s="60">
        <v>2596.08</v>
      </c>
      <c r="K342" s="59"/>
      <c r="L342" s="59"/>
      <c r="M342" s="60">
        <v>41538.339999999997</v>
      </c>
      <c r="N342" s="60">
        <v>28558.080000000002</v>
      </c>
      <c r="O342" s="60">
        <v>12980.26</v>
      </c>
      <c r="P342" s="55"/>
      <c r="Q342" s="55"/>
      <c r="R342" s="61">
        <f t="shared" si="140"/>
        <v>216.34</v>
      </c>
      <c r="S342" s="60">
        <v>216.34</v>
      </c>
      <c r="T342" s="60">
        <v>216.34</v>
      </c>
      <c r="U342" s="60">
        <v>216.34</v>
      </c>
      <c r="V342" s="60">
        <v>216.34</v>
      </c>
      <c r="W342" s="60">
        <v>216.34</v>
      </c>
      <c r="X342" s="61">
        <f t="shared" si="141"/>
        <v>1298.04</v>
      </c>
      <c r="Y342" s="60">
        <v>216.34</v>
      </c>
      <c r="Z342" s="60">
        <v>216.34</v>
      </c>
      <c r="AA342" s="60">
        <v>216.34</v>
      </c>
      <c r="AB342" s="60">
        <v>216.34</v>
      </c>
      <c r="AC342" s="60">
        <v>216.34</v>
      </c>
      <c r="AD342" s="60">
        <v>216.34</v>
      </c>
      <c r="AE342" s="61">
        <f t="shared" si="142"/>
        <v>1298.04</v>
      </c>
      <c r="AF342" s="62">
        <f t="shared" si="135"/>
        <v>41538.339999999997</v>
      </c>
      <c r="AG342" s="62">
        <f t="shared" si="136"/>
        <v>31154.160000000003</v>
      </c>
      <c r="AH342" s="62">
        <f t="shared" si="146"/>
        <v>10384.179999999993</v>
      </c>
      <c r="AI342" s="63"/>
      <c r="AJ342" s="63"/>
      <c r="AK342" s="62"/>
      <c r="AL342" s="60">
        <v>216.34</v>
      </c>
      <c r="AM342" s="60">
        <v>216.34</v>
      </c>
      <c r="AN342" s="60">
        <v>216.34</v>
      </c>
      <c r="AO342" s="60">
        <v>216.34</v>
      </c>
      <c r="AP342" s="60">
        <v>216.34</v>
      </c>
      <c r="AQ342" s="60">
        <v>216.34</v>
      </c>
      <c r="AR342" s="61">
        <f t="shared" si="143"/>
        <v>1298.04</v>
      </c>
      <c r="AS342" s="60">
        <v>216.34</v>
      </c>
      <c r="AT342" s="60">
        <v>216.34</v>
      </c>
      <c r="AU342" s="60">
        <v>216.34</v>
      </c>
      <c r="AV342" s="60">
        <v>216.34</v>
      </c>
      <c r="AW342" s="60">
        <v>216.34</v>
      </c>
      <c r="AX342" s="60">
        <v>216.34</v>
      </c>
      <c r="AY342" s="61">
        <f t="shared" si="144"/>
        <v>1298.04</v>
      </c>
      <c r="AZ342" s="56">
        <f t="shared" si="139"/>
        <v>2596.08</v>
      </c>
      <c r="BA342" s="62">
        <f t="shared" si="137"/>
        <v>41538.339999999997</v>
      </c>
      <c r="BB342" s="62">
        <f t="shared" si="145"/>
        <v>33750.239999999991</v>
      </c>
      <c r="BC342" s="62">
        <f t="shared" si="138"/>
        <v>7788.1000000000058</v>
      </c>
      <c r="BD342" s="63"/>
      <c r="BE342" s="57"/>
      <c r="BF342" s="35" t="e">
        <f>VLOOKUP(A:A,'2023-2027'!A:G,1,+FALSE)</f>
        <v>#N/A</v>
      </c>
      <c r="BG342" s="7" t="e">
        <f t="shared" ref="BG342:BG405" si="147">OR(EXACT(BF342,$A$4:$A$1071))</f>
        <v>#N/A</v>
      </c>
      <c r="BH342" s="35"/>
    </row>
    <row r="343" spans="1:60" ht="24" hidden="1" customHeight="1" outlineLevel="1" x14ac:dyDescent="0.2">
      <c r="A343" s="59" t="s">
        <v>887</v>
      </c>
      <c r="B343" s="59" t="s">
        <v>31</v>
      </c>
      <c r="C343" s="59" t="s">
        <v>83</v>
      </c>
      <c r="D343" s="65" t="s">
        <v>888</v>
      </c>
      <c r="E343" s="59" t="s">
        <v>237</v>
      </c>
      <c r="F343" s="60">
        <v>41538.339999999997</v>
      </c>
      <c r="G343" s="60">
        <v>25962</v>
      </c>
      <c r="H343" s="60">
        <v>15576.34</v>
      </c>
      <c r="I343" s="59"/>
      <c r="J343" s="60">
        <v>2596.08</v>
      </c>
      <c r="K343" s="59"/>
      <c r="L343" s="59"/>
      <c r="M343" s="60">
        <v>41538.339999999997</v>
      </c>
      <c r="N343" s="60">
        <v>28558.080000000002</v>
      </c>
      <c r="O343" s="60">
        <v>12980.26</v>
      </c>
      <c r="P343" s="55"/>
      <c r="Q343" s="55"/>
      <c r="R343" s="61">
        <f t="shared" si="140"/>
        <v>216.34</v>
      </c>
      <c r="S343" s="60">
        <v>216.34</v>
      </c>
      <c r="T343" s="60">
        <v>216.34</v>
      </c>
      <c r="U343" s="60">
        <v>216.34</v>
      </c>
      <c r="V343" s="60">
        <v>216.34</v>
      </c>
      <c r="W343" s="60">
        <v>216.34</v>
      </c>
      <c r="X343" s="61">
        <f t="shared" si="141"/>
        <v>1298.04</v>
      </c>
      <c r="Y343" s="60">
        <v>216.34</v>
      </c>
      <c r="Z343" s="60">
        <v>216.34</v>
      </c>
      <c r="AA343" s="60">
        <v>216.34</v>
      </c>
      <c r="AB343" s="60">
        <v>216.34</v>
      </c>
      <c r="AC343" s="60">
        <v>216.34</v>
      </c>
      <c r="AD343" s="60">
        <v>216.34</v>
      </c>
      <c r="AE343" s="61">
        <f t="shared" si="142"/>
        <v>1298.04</v>
      </c>
      <c r="AF343" s="62">
        <f t="shared" si="135"/>
        <v>41538.339999999997</v>
      </c>
      <c r="AG343" s="62">
        <f t="shared" si="136"/>
        <v>31154.160000000003</v>
      </c>
      <c r="AH343" s="62">
        <f t="shared" si="146"/>
        <v>10384.179999999993</v>
      </c>
      <c r="AI343" s="63"/>
      <c r="AJ343" s="63"/>
      <c r="AK343" s="62"/>
      <c r="AL343" s="60">
        <v>216.34</v>
      </c>
      <c r="AM343" s="60">
        <v>216.34</v>
      </c>
      <c r="AN343" s="60">
        <v>216.34</v>
      </c>
      <c r="AO343" s="60">
        <v>216.34</v>
      </c>
      <c r="AP343" s="60">
        <v>216.34</v>
      </c>
      <c r="AQ343" s="60">
        <v>216.34</v>
      </c>
      <c r="AR343" s="61">
        <f t="shared" si="143"/>
        <v>1298.04</v>
      </c>
      <c r="AS343" s="60">
        <v>216.34</v>
      </c>
      <c r="AT343" s="60">
        <v>216.34</v>
      </c>
      <c r="AU343" s="60">
        <v>216.34</v>
      </c>
      <c r="AV343" s="60">
        <v>216.34</v>
      </c>
      <c r="AW343" s="60">
        <v>216.34</v>
      </c>
      <c r="AX343" s="60">
        <v>216.34</v>
      </c>
      <c r="AY343" s="61">
        <f t="shared" si="144"/>
        <v>1298.04</v>
      </c>
      <c r="AZ343" s="56">
        <f t="shared" si="139"/>
        <v>2596.08</v>
      </c>
      <c r="BA343" s="62">
        <f t="shared" si="137"/>
        <v>41538.339999999997</v>
      </c>
      <c r="BB343" s="62">
        <f t="shared" si="145"/>
        <v>33750.239999999991</v>
      </c>
      <c r="BC343" s="62">
        <f t="shared" si="138"/>
        <v>7788.1000000000058</v>
      </c>
      <c r="BD343" s="63"/>
      <c r="BE343" s="57"/>
      <c r="BF343" s="35" t="e">
        <f>VLOOKUP(A:A,'2023-2027'!A:G,1,+FALSE)</f>
        <v>#N/A</v>
      </c>
      <c r="BG343" s="7" t="e">
        <f t="shared" si="147"/>
        <v>#N/A</v>
      </c>
      <c r="BH343" s="35"/>
    </row>
    <row r="344" spans="1:60" ht="24" hidden="1" customHeight="1" outlineLevel="1" x14ac:dyDescent="0.2">
      <c r="A344" s="59" t="s">
        <v>889</v>
      </c>
      <c r="B344" s="59" t="s">
        <v>31</v>
      </c>
      <c r="C344" s="59" t="s">
        <v>83</v>
      </c>
      <c r="D344" s="65" t="s">
        <v>890</v>
      </c>
      <c r="E344" s="59" t="s">
        <v>237</v>
      </c>
      <c r="F344" s="60">
        <v>41538.339999999997</v>
      </c>
      <c r="G344" s="60">
        <v>25962</v>
      </c>
      <c r="H344" s="60">
        <v>15576.34</v>
      </c>
      <c r="I344" s="59"/>
      <c r="J344" s="60">
        <v>2596.08</v>
      </c>
      <c r="K344" s="59"/>
      <c r="L344" s="59"/>
      <c r="M344" s="60">
        <v>41538.339999999997</v>
      </c>
      <c r="N344" s="60">
        <v>28558.080000000002</v>
      </c>
      <c r="O344" s="60">
        <v>12980.26</v>
      </c>
      <c r="P344" s="55"/>
      <c r="Q344" s="55"/>
      <c r="R344" s="61">
        <f t="shared" si="140"/>
        <v>216.34</v>
      </c>
      <c r="S344" s="60">
        <v>216.34</v>
      </c>
      <c r="T344" s="60">
        <v>216.34</v>
      </c>
      <c r="U344" s="60">
        <v>216.34</v>
      </c>
      <c r="V344" s="60">
        <v>216.34</v>
      </c>
      <c r="W344" s="60">
        <v>216.34</v>
      </c>
      <c r="X344" s="61">
        <f t="shared" si="141"/>
        <v>1298.04</v>
      </c>
      <c r="Y344" s="60">
        <v>216.34</v>
      </c>
      <c r="Z344" s="60">
        <v>216.34</v>
      </c>
      <c r="AA344" s="60">
        <v>216.34</v>
      </c>
      <c r="AB344" s="60">
        <v>216.34</v>
      </c>
      <c r="AC344" s="60">
        <v>216.34</v>
      </c>
      <c r="AD344" s="60">
        <v>216.34</v>
      </c>
      <c r="AE344" s="61">
        <f t="shared" si="142"/>
        <v>1298.04</v>
      </c>
      <c r="AF344" s="62">
        <f t="shared" si="135"/>
        <v>41538.339999999997</v>
      </c>
      <c r="AG344" s="62">
        <f t="shared" si="136"/>
        <v>31154.160000000003</v>
      </c>
      <c r="AH344" s="62">
        <f t="shared" si="146"/>
        <v>10384.179999999993</v>
      </c>
      <c r="AI344" s="63"/>
      <c r="AJ344" s="63"/>
      <c r="AK344" s="62"/>
      <c r="AL344" s="60">
        <v>216.34</v>
      </c>
      <c r="AM344" s="60">
        <v>216.34</v>
      </c>
      <c r="AN344" s="60">
        <v>216.34</v>
      </c>
      <c r="AO344" s="60">
        <v>216.34</v>
      </c>
      <c r="AP344" s="60">
        <v>216.34</v>
      </c>
      <c r="AQ344" s="60">
        <v>216.34</v>
      </c>
      <c r="AR344" s="61">
        <f t="shared" si="143"/>
        <v>1298.04</v>
      </c>
      <c r="AS344" s="60">
        <v>216.34</v>
      </c>
      <c r="AT344" s="60">
        <v>216.34</v>
      </c>
      <c r="AU344" s="60">
        <v>216.34</v>
      </c>
      <c r="AV344" s="60">
        <v>216.34</v>
      </c>
      <c r="AW344" s="60">
        <v>216.34</v>
      </c>
      <c r="AX344" s="60">
        <v>216.34</v>
      </c>
      <c r="AY344" s="61">
        <f t="shared" si="144"/>
        <v>1298.04</v>
      </c>
      <c r="AZ344" s="56">
        <f t="shared" si="139"/>
        <v>2596.08</v>
      </c>
      <c r="BA344" s="62">
        <f t="shared" si="137"/>
        <v>41538.339999999997</v>
      </c>
      <c r="BB344" s="62">
        <f t="shared" si="145"/>
        <v>33750.239999999991</v>
      </c>
      <c r="BC344" s="62">
        <f t="shared" si="138"/>
        <v>7788.1000000000058</v>
      </c>
      <c r="BD344" s="63"/>
      <c r="BE344" s="57"/>
      <c r="BF344" s="35" t="e">
        <f>VLOOKUP(A:A,'2023-2027'!A:G,1,+FALSE)</f>
        <v>#N/A</v>
      </c>
      <c r="BG344" s="7" t="e">
        <f t="shared" si="147"/>
        <v>#N/A</v>
      </c>
      <c r="BH344" s="35"/>
    </row>
    <row r="345" spans="1:60" ht="24" hidden="1" customHeight="1" outlineLevel="1" x14ac:dyDescent="0.2">
      <c r="A345" s="59" t="s">
        <v>891</v>
      </c>
      <c r="B345" s="59" t="s">
        <v>31</v>
      </c>
      <c r="C345" s="59" t="s">
        <v>83</v>
      </c>
      <c r="D345" s="65" t="s">
        <v>892</v>
      </c>
      <c r="E345" s="59" t="s">
        <v>237</v>
      </c>
      <c r="F345" s="60">
        <v>41538.339999999997</v>
      </c>
      <c r="G345" s="60">
        <v>25962</v>
      </c>
      <c r="H345" s="60">
        <v>15576.34</v>
      </c>
      <c r="I345" s="59"/>
      <c r="J345" s="60">
        <v>2596.08</v>
      </c>
      <c r="K345" s="59"/>
      <c r="L345" s="59"/>
      <c r="M345" s="60">
        <v>41538.339999999997</v>
      </c>
      <c r="N345" s="60">
        <v>28558.080000000002</v>
      </c>
      <c r="O345" s="60">
        <v>12980.26</v>
      </c>
      <c r="P345" s="55"/>
      <c r="Q345" s="55"/>
      <c r="R345" s="61">
        <f t="shared" si="140"/>
        <v>216.34</v>
      </c>
      <c r="S345" s="60">
        <v>216.34</v>
      </c>
      <c r="T345" s="60">
        <v>216.34</v>
      </c>
      <c r="U345" s="60">
        <v>216.34</v>
      </c>
      <c r="V345" s="60">
        <v>216.34</v>
      </c>
      <c r="W345" s="60">
        <v>216.34</v>
      </c>
      <c r="X345" s="61">
        <f t="shared" si="141"/>
        <v>1298.04</v>
      </c>
      <c r="Y345" s="60">
        <v>216.34</v>
      </c>
      <c r="Z345" s="60">
        <v>216.34</v>
      </c>
      <c r="AA345" s="60">
        <v>216.34</v>
      </c>
      <c r="AB345" s="60">
        <v>216.34</v>
      </c>
      <c r="AC345" s="60">
        <v>216.34</v>
      </c>
      <c r="AD345" s="60">
        <v>216.34</v>
      </c>
      <c r="AE345" s="61">
        <f t="shared" si="142"/>
        <v>1298.04</v>
      </c>
      <c r="AF345" s="62">
        <f t="shared" si="135"/>
        <v>41538.339999999997</v>
      </c>
      <c r="AG345" s="62">
        <f t="shared" si="136"/>
        <v>31154.160000000003</v>
      </c>
      <c r="AH345" s="62">
        <f t="shared" si="146"/>
        <v>10384.179999999993</v>
      </c>
      <c r="AI345" s="63"/>
      <c r="AJ345" s="63"/>
      <c r="AK345" s="62"/>
      <c r="AL345" s="60">
        <v>216.34</v>
      </c>
      <c r="AM345" s="60">
        <v>216.34</v>
      </c>
      <c r="AN345" s="60">
        <v>216.34</v>
      </c>
      <c r="AO345" s="60">
        <v>216.34</v>
      </c>
      <c r="AP345" s="60">
        <v>216.34</v>
      </c>
      <c r="AQ345" s="60">
        <v>216.34</v>
      </c>
      <c r="AR345" s="61">
        <f t="shared" si="143"/>
        <v>1298.04</v>
      </c>
      <c r="AS345" s="60">
        <v>216.34</v>
      </c>
      <c r="AT345" s="60">
        <v>216.34</v>
      </c>
      <c r="AU345" s="60">
        <v>216.34</v>
      </c>
      <c r="AV345" s="60">
        <v>216.34</v>
      </c>
      <c r="AW345" s="60">
        <v>216.34</v>
      </c>
      <c r="AX345" s="60">
        <v>216.34</v>
      </c>
      <c r="AY345" s="61">
        <f t="shared" si="144"/>
        <v>1298.04</v>
      </c>
      <c r="AZ345" s="56">
        <f t="shared" si="139"/>
        <v>2596.08</v>
      </c>
      <c r="BA345" s="62">
        <f t="shared" si="137"/>
        <v>41538.339999999997</v>
      </c>
      <c r="BB345" s="62">
        <f t="shared" si="145"/>
        <v>33750.239999999991</v>
      </c>
      <c r="BC345" s="62">
        <f t="shared" si="138"/>
        <v>7788.1000000000058</v>
      </c>
      <c r="BD345" s="63"/>
      <c r="BE345" s="57"/>
      <c r="BF345" s="35" t="e">
        <f>VLOOKUP(A:A,'2023-2027'!A:G,1,+FALSE)</f>
        <v>#N/A</v>
      </c>
      <c r="BG345" s="7" t="e">
        <f t="shared" si="147"/>
        <v>#N/A</v>
      </c>
      <c r="BH345" s="35"/>
    </row>
    <row r="346" spans="1:60" ht="24" hidden="1" customHeight="1" outlineLevel="1" x14ac:dyDescent="0.2">
      <c r="A346" s="59" t="s">
        <v>893</v>
      </c>
      <c r="B346" s="59" t="s">
        <v>31</v>
      </c>
      <c r="C346" s="59" t="s">
        <v>83</v>
      </c>
      <c r="D346" s="65" t="s">
        <v>894</v>
      </c>
      <c r="E346" s="59" t="s">
        <v>237</v>
      </c>
      <c r="F346" s="60">
        <v>41538.339999999997</v>
      </c>
      <c r="G346" s="60">
        <v>25962</v>
      </c>
      <c r="H346" s="60">
        <v>15576.34</v>
      </c>
      <c r="I346" s="59"/>
      <c r="J346" s="60">
        <v>2596.08</v>
      </c>
      <c r="K346" s="59"/>
      <c r="L346" s="59"/>
      <c r="M346" s="60">
        <v>41538.339999999997</v>
      </c>
      <c r="N346" s="60">
        <v>28558.080000000002</v>
      </c>
      <c r="O346" s="60">
        <v>12980.26</v>
      </c>
      <c r="P346" s="55"/>
      <c r="Q346" s="55"/>
      <c r="R346" s="61">
        <f t="shared" si="140"/>
        <v>216.34</v>
      </c>
      <c r="S346" s="60">
        <v>216.34</v>
      </c>
      <c r="T346" s="60">
        <v>216.34</v>
      </c>
      <c r="U346" s="60">
        <v>216.34</v>
      </c>
      <c r="V346" s="60">
        <v>216.34</v>
      </c>
      <c r="W346" s="60">
        <v>216.34</v>
      </c>
      <c r="X346" s="61">
        <f t="shared" si="141"/>
        <v>1298.04</v>
      </c>
      <c r="Y346" s="60">
        <v>216.34</v>
      </c>
      <c r="Z346" s="60">
        <v>216.34</v>
      </c>
      <c r="AA346" s="60">
        <v>216.34</v>
      </c>
      <c r="AB346" s="60">
        <v>216.34</v>
      </c>
      <c r="AC346" s="60">
        <v>216.34</v>
      </c>
      <c r="AD346" s="60">
        <v>216.34</v>
      </c>
      <c r="AE346" s="61">
        <f t="shared" si="142"/>
        <v>1298.04</v>
      </c>
      <c r="AF346" s="62">
        <f t="shared" si="135"/>
        <v>41538.339999999997</v>
      </c>
      <c r="AG346" s="62">
        <f t="shared" si="136"/>
        <v>31154.160000000003</v>
      </c>
      <c r="AH346" s="62">
        <f t="shared" si="146"/>
        <v>10384.179999999993</v>
      </c>
      <c r="AI346" s="63"/>
      <c r="AJ346" s="63"/>
      <c r="AK346" s="62"/>
      <c r="AL346" s="60">
        <v>216.34</v>
      </c>
      <c r="AM346" s="60">
        <v>216.34</v>
      </c>
      <c r="AN346" s="60">
        <v>216.34</v>
      </c>
      <c r="AO346" s="60">
        <v>216.34</v>
      </c>
      <c r="AP346" s="60">
        <v>216.34</v>
      </c>
      <c r="AQ346" s="60">
        <v>216.34</v>
      </c>
      <c r="AR346" s="61">
        <f t="shared" si="143"/>
        <v>1298.04</v>
      </c>
      <c r="AS346" s="60">
        <v>216.34</v>
      </c>
      <c r="AT346" s="60">
        <v>216.34</v>
      </c>
      <c r="AU346" s="60">
        <v>216.34</v>
      </c>
      <c r="AV346" s="60">
        <v>216.34</v>
      </c>
      <c r="AW346" s="60">
        <v>216.34</v>
      </c>
      <c r="AX346" s="60">
        <v>216.34</v>
      </c>
      <c r="AY346" s="61">
        <f t="shared" si="144"/>
        <v>1298.04</v>
      </c>
      <c r="AZ346" s="56">
        <f t="shared" si="139"/>
        <v>2596.08</v>
      </c>
      <c r="BA346" s="62">
        <f t="shared" si="137"/>
        <v>41538.339999999997</v>
      </c>
      <c r="BB346" s="62">
        <f t="shared" si="145"/>
        <v>33750.239999999991</v>
      </c>
      <c r="BC346" s="62">
        <f t="shared" si="138"/>
        <v>7788.1000000000058</v>
      </c>
      <c r="BD346" s="63"/>
      <c r="BE346" s="57"/>
      <c r="BF346" s="35" t="e">
        <f>VLOOKUP(A:A,'2023-2027'!A:G,1,+FALSE)</f>
        <v>#N/A</v>
      </c>
      <c r="BG346" s="7" t="e">
        <f t="shared" si="147"/>
        <v>#N/A</v>
      </c>
      <c r="BH346" s="35"/>
    </row>
    <row r="347" spans="1:60" ht="24" hidden="1" customHeight="1" outlineLevel="1" x14ac:dyDescent="0.2">
      <c r="A347" s="59" t="s">
        <v>895</v>
      </c>
      <c r="B347" s="59" t="s">
        <v>31</v>
      </c>
      <c r="C347" s="59" t="s">
        <v>83</v>
      </c>
      <c r="D347" s="65" t="s">
        <v>896</v>
      </c>
      <c r="E347" s="59" t="s">
        <v>237</v>
      </c>
      <c r="F347" s="60">
        <v>41538.339999999997</v>
      </c>
      <c r="G347" s="60">
        <v>25962</v>
      </c>
      <c r="H347" s="60">
        <v>15576.34</v>
      </c>
      <c r="I347" s="59"/>
      <c r="J347" s="60">
        <v>2596.08</v>
      </c>
      <c r="K347" s="59"/>
      <c r="L347" s="59"/>
      <c r="M347" s="60">
        <v>41538.339999999997</v>
      </c>
      <c r="N347" s="60">
        <v>28558.080000000002</v>
      </c>
      <c r="O347" s="60">
        <v>12980.26</v>
      </c>
      <c r="P347" s="55"/>
      <c r="Q347" s="55"/>
      <c r="R347" s="61">
        <f t="shared" si="140"/>
        <v>216.34</v>
      </c>
      <c r="S347" s="60">
        <v>216.34</v>
      </c>
      <c r="T347" s="60">
        <v>216.34</v>
      </c>
      <c r="U347" s="60">
        <v>216.34</v>
      </c>
      <c r="V347" s="60">
        <v>216.34</v>
      </c>
      <c r="W347" s="60">
        <v>216.34</v>
      </c>
      <c r="X347" s="61">
        <f t="shared" si="141"/>
        <v>1298.04</v>
      </c>
      <c r="Y347" s="60">
        <v>216.34</v>
      </c>
      <c r="Z347" s="60">
        <v>216.34</v>
      </c>
      <c r="AA347" s="60">
        <v>216.34</v>
      </c>
      <c r="AB347" s="60">
        <v>216.34</v>
      </c>
      <c r="AC347" s="60">
        <v>216.34</v>
      </c>
      <c r="AD347" s="60">
        <v>216.34</v>
      </c>
      <c r="AE347" s="61">
        <f t="shared" si="142"/>
        <v>1298.04</v>
      </c>
      <c r="AF347" s="62">
        <f t="shared" si="135"/>
        <v>41538.339999999997</v>
      </c>
      <c r="AG347" s="62">
        <f t="shared" si="136"/>
        <v>31154.160000000003</v>
      </c>
      <c r="AH347" s="62">
        <f t="shared" si="146"/>
        <v>10384.179999999993</v>
      </c>
      <c r="AI347" s="63"/>
      <c r="AJ347" s="63"/>
      <c r="AK347" s="62"/>
      <c r="AL347" s="60">
        <v>216.34</v>
      </c>
      <c r="AM347" s="60">
        <v>216.34</v>
      </c>
      <c r="AN347" s="60">
        <v>216.34</v>
      </c>
      <c r="AO347" s="60">
        <v>216.34</v>
      </c>
      <c r="AP347" s="60">
        <v>216.34</v>
      </c>
      <c r="AQ347" s="60">
        <v>216.34</v>
      </c>
      <c r="AR347" s="61">
        <f t="shared" si="143"/>
        <v>1298.04</v>
      </c>
      <c r="AS347" s="60">
        <v>216.34</v>
      </c>
      <c r="AT347" s="60">
        <v>216.34</v>
      </c>
      <c r="AU347" s="60">
        <v>216.34</v>
      </c>
      <c r="AV347" s="60">
        <v>216.34</v>
      </c>
      <c r="AW347" s="60">
        <v>216.34</v>
      </c>
      <c r="AX347" s="60">
        <v>216.34</v>
      </c>
      <c r="AY347" s="61">
        <f t="shared" si="144"/>
        <v>1298.04</v>
      </c>
      <c r="AZ347" s="56">
        <f t="shared" si="139"/>
        <v>2596.08</v>
      </c>
      <c r="BA347" s="62">
        <f t="shared" si="137"/>
        <v>41538.339999999997</v>
      </c>
      <c r="BB347" s="62">
        <f t="shared" si="145"/>
        <v>33750.239999999991</v>
      </c>
      <c r="BC347" s="62">
        <f t="shared" si="138"/>
        <v>7788.1000000000058</v>
      </c>
      <c r="BD347" s="63"/>
      <c r="BE347" s="57"/>
      <c r="BF347" s="35" t="e">
        <f>VLOOKUP(A:A,'2023-2027'!A:G,1,+FALSE)</f>
        <v>#N/A</v>
      </c>
      <c r="BG347" s="7" t="e">
        <f t="shared" si="147"/>
        <v>#N/A</v>
      </c>
      <c r="BH347" s="35"/>
    </row>
    <row r="348" spans="1:60" ht="24" hidden="1" customHeight="1" outlineLevel="1" x14ac:dyDescent="0.2">
      <c r="A348" s="59" t="s">
        <v>897</v>
      </c>
      <c r="B348" s="59" t="s">
        <v>31</v>
      </c>
      <c r="C348" s="59" t="s">
        <v>83</v>
      </c>
      <c r="D348" s="65" t="s">
        <v>898</v>
      </c>
      <c r="E348" s="59" t="s">
        <v>237</v>
      </c>
      <c r="F348" s="60">
        <v>41538.339999999997</v>
      </c>
      <c r="G348" s="60">
        <v>25962</v>
      </c>
      <c r="H348" s="60">
        <v>15576.34</v>
      </c>
      <c r="I348" s="59"/>
      <c r="J348" s="60">
        <v>2596.08</v>
      </c>
      <c r="K348" s="59"/>
      <c r="L348" s="59"/>
      <c r="M348" s="60">
        <v>41538.339999999997</v>
      </c>
      <c r="N348" s="60">
        <v>28558.080000000002</v>
      </c>
      <c r="O348" s="60">
        <v>12980.26</v>
      </c>
      <c r="P348" s="55"/>
      <c r="Q348" s="55"/>
      <c r="R348" s="61">
        <f t="shared" si="140"/>
        <v>216.34</v>
      </c>
      <c r="S348" s="60">
        <v>216.34</v>
      </c>
      <c r="T348" s="60">
        <v>216.34</v>
      </c>
      <c r="U348" s="60">
        <v>216.34</v>
      </c>
      <c r="V348" s="60">
        <v>216.34</v>
      </c>
      <c r="W348" s="60">
        <v>216.34</v>
      </c>
      <c r="X348" s="61">
        <f t="shared" si="141"/>
        <v>1298.04</v>
      </c>
      <c r="Y348" s="60">
        <v>216.34</v>
      </c>
      <c r="Z348" s="60">
        <v>216.34</v>
      </c>
      <c r="AA348" s="60">
        <v>216.34</v>
      </c>
      <c r="AB348" s="60">
        <v>216.34</v>
      </c>
      <c r="AC348" s="60">
        <v>216.34</v>
      </c>
      <c r="AD348" s="60">
        <v>216.34</v>
      </c>
      <c r="AE348" s="61">
        <f t="shared" si="142"/>
        <v>1298.04</v>
      </c>
      <c r="AF348" s="62">
        <f t="shared" si="135"/>
        <v>41538.339999999997</v>
      </c>
      <c r="AG348" s="62">
        <f t="shared" si="136"/>
        <v>31154.160000000003</v>
      </c>
      <c r="AH348" s="62">
        <f t="shared" si="146"/>
        <v>10384.179999999993</v>
      </c>
      <c r="AI348" s="63"/>
      <c r="AJ348" s="63"/>
      <c r="AK348" s="62"/>
      <c r="AL348" s="60">
        <v>216.34</v>
      </c>
      <c r="AM348" s="60">
        <v>216.34</v>
      </c>
      <c r="AN348" s="60">
        <v>216.34</v>
      </c>
      <c r="AO348" s="60">
        <v>216.34</v>
      </c>
      <c r="AP348" s="60">
        <v>216.34</v>
      </c>
      <c r="AQ348" s="60">
        <v>216.34</v>
      </c>
      <c r="AR348" s="61">
        <f t="shared" si="143"/>
        <v>1298.04</v>
      </c>
      <c r="AS348" s="60">
        <v>216.34</v>
      </c>
      <c r="AT348" s="60">
        <v>216.34</v>
      </c>
      <c r="AU348" s="60">
        <v>216.34</v>
      </c>
      <c r="AV348" s="60">
        <v>216.34</v>
      </c>
      <c r="AW348" s="60">
        <v>216.34</v>
      </c>
      <c r="AX348" s="60">
        <v>216.34</v>
      </c>
      <c r="AY348" s="61">
        <f t="shared" si="144"/>
        <v>1298.04</v>
      </c>
      <c r="AZ348" s="56">
        <f t="shared" si="139"/>
        <v>2596.08</v>
      </c>
      <c r="BA348" s="62">
        <f t="shared" si="137"/>
        <v>41538.339999999997</v>
      </c>
      <c r="BB348" s="62">
        <f t="shared" si="145"/>
        <v>33750.239999999991</v>
      </c>
      <c r="BC348" s="62">
        <f t="shared" si="138"/>
        <v>7788.1000000000058</v>
      </c>
      <c r="BD348" s="63"/>
      <c r="BE348" s="57"/>
      <c r="BF348" s="35" t="e">
        <f>VLOOKUP(A:A,'2023-2027'!A:G,1,+FALSE)</f>
        <v>#N/A</v>
      </c>
      <c r="BG348" s="7" t="e">
        <f t="shared" si="147"/>
        <v>#N/A</v>
      </c>
      <c r="BH348" s="35"/>
    </row>
    <row r="349" spans="1:60" ht="24" hidden="1" customHeight="1" outlineLevel="1" x14ac:dyDescent="0.2">
      <c r="A349" s="59" t="s">
        <v>899</v>
      </c>
      <c r="B349" s="59" t="s">
        <v>31</v>
      </c>
      <c r="C349" s="59" t="s">
        <v>83</v>
      </c>
      <c r="D349" s="65" t="s">
        <v>900</v>
      </c>
      <c r="E349" s="59" t="s">
        <v>237</v>
      </c>
      <c r="F349" s="60">
        <v>41538.339999999997</v>
      </c>
      <c r="G349" s="60">
        <v>25962</v>
      </c>
      <c r="H349" s="60">
        <v>15576.34</v>
      </c>
      <c r="I349" s="59"/>
      <c r="J349" s="60">
        <v>2596.08</v>
      </c>
      <c r="K349" s="59"/>
      <c r="L349" s="59"/>
      <c r="M349" s="60">
        <v>41538.339999999997</v>
      </c>
      <c r="N349" s="60">
        <v>28558.080000000002</v>
      </c>
      <c r="O349" s="60">
        <v>12980.26</v>
      </c>
      <c r="P349" s="55"/>
      <c r="Q349" s="55"/>
      <c r="R349" s="61">
        <f t="shared" si="140"/>
        <v>216.34</v>
      </c>
      <c r="S349" s="60">
        <v>216.34</v>
      </c>
      <c r="T349" s="60">
        <v>216.34</v>
      </c>
      <c r="U349" s="60">
        <v>216.34</v>
      </c>
      <c r="V349" s="60">
        <v>216.34</v>
      </c>
      <c r="W349" s="60">
        <v>216.34</v>
      </c>
      <c r="X349" s="61">
        <f t="shared" si="141"/>
        <v>1298.04</v>
      </c>
      <c r="Y349" s="60">
        <v>216.34</v>
      </c>
      <c r="Z349" s="60">
        <v>216.34</v>
      </c>
      <c r="AA349" s="60">
        <v>216.34</v>
      </c>
      <c r="AB349" s="60">
        <v>216.34</v>
      </c>
      <c r="AC349" s="60">
        <v>216.34</v>
      </c>
      <c r="AD349" s="60">
        <v>216.34</v>
      </c>
      <c r="AE349" s="61">
        <f t="shared" si="142"/>
        <v>1298.04</v>
      </c>
      <c r="AF349" s="62">
        <f t="shared" si="135"/>
        <v>41538.339999999997</v>
      </c>
      <c r="AG349" s="62">
        <f t="shared" si="136"/>
        <v>31154.160000000003</v>
      </c>
      <c r="AH349" s="62">
        <f t="shared" si="146"/>
        <v>10384.179999999993</v>
      </c>
      <c r="AI349" s="63"/>
      <c r="AJ349" s="63"/>
      <c r="AK349" s="62"/>
      <c r="AL349" s="60">
        <v>216.34</v>
      </c>
      <c r="AM349" s="60">
        <v>216.34</v>
      </c>
      <c r="AN349" s="60">
        <v>216.34</v>
      </c>
      <c r="AO349" s="60">
        <v>216.34</v>
      </c>
      <c r="AP349" s="60">
        <v>216.34</v>
      </c>
      <c r="AQ349" s="60">
        <v>216.34</v>
      </c>
      <c r="AR349" s="61">
        <f t="shared" si="143"/>
        <v>1298.04</v>
      </c>
      <c r="AS349" s="60">
        <v>216.34</v>
      </c>
      <c r="AT349" s="60">
        <v>216.34</v>
      </c>
      <c r="AU349" s="60">
        <v>216.34</v>
      </c>
      <c r="AV349" s="60">
        <v>216.34</v>
      </c>
      <c r="AW349" s="60">
        <v>216.34</v>
      </c>
      <c r="AX349" s="60">
        <v>216.34</v>
      </c>
      <c r="AY349" s="61">
        <f t="shared" si="144"/>
        <v>1298.04</v>
      </c>
      <c r="AZ349" s="56">
        <f t="shared" si="139"/>
        <v>2596.08</v>
      </c>
      <c r="BA349" s="62">
        <f t="shared" si="137"/>
        <v>41538.339999999997</v>
      </c>
      <c r="BB349" s="62">
        <f t="shared" si="145"/>
        <v>33750.239999999991</v>
      </c>
      <c r="BC349" s="62">
        <f t="shared" si="138"/>
        <v>7788.1000000000058</v>
      </c>
      <c r="BD349" s="63"/>
      <c r="BE349" s="57"/>
      <c r="BF349" s="35" t="e">
        <f>VLOOKUP(A:A,'2023-2027'!A:G,1,+FALSE)</f>
        <v>#N/A</v>
      </c>
      <c r="BG349" s="7" t="e">
        <f t="shared" si="147"/>
        <v>#N/A</v>
      </c>
      <c r="BH349" s="35"/>
    </row>
    <row r="350" spans="1:60" ht="24" hidden="1" customHeight="1" outlineLevel="1" x14ac:dyDescent="0.2">
      <c r="A350" s="59" t="s">
        <v>901</v>
      </c>
      <c r="B350" s="59" t="s">
        <v>31</v>
      </c>
      <c r="C350" s="59" t="s">
        <v>83</v>
      </c>
      <c r="D350" s="65" t="s">
        <v>902</v>
      </c>
      <c r="E350" s="59" t="s">
        <v>237</v>
      </c>
      <c r="F350" s="60">
        <v>41538.339999999997</v>
      </c>
      <c r="G350" s="60">
        <v>25962</v>
      </c>
      <c r="H350" s="60">
        <v>15576.34</v>
      </c>
      <c r="I350" s="59"/>
      <c r="J350" s="60">
        <v>2596.08</v>
      </c>
      <c r="K350" s="59"/>
      <c r="L350" s="59"/>
      <c r="M350" s="60">
        <v>41538.339999999997</v>
      </c>
      <c r="N350" s="60">
        <v>28558.080000000002</v>
      </c>
      <c r="O350" s="60">
        <v>12980.26</v>
      </c>
      <c r="P350" s="55"/>
      <c r="Q350" s="55"/>
      <c r="R350" s="61">
        <f t="shared" si="140"/>
        <v>216.34</v>
      </c>
      <c r="S350" s="60">
        <v>216.34</v>
      </c>
      <c r="T350" s="60">
        <v>216.34</v>
      </c>
      <c r="U350" s="60">
        <v>216.34</v>
      </c>
      <c r="V350" s="60">
        <v>216.34</v>
      </c>
      <c r="W350" s="60">
        <v>216.34</v>
      </c>
      <c r="X350" s="61">
        <f t="shared" si="141"/>
        <v>1298.04</v>
      </c>
      <c r="Y350" s="60">
        <v>216.34</v>
      </c>
      <c r="Z350" s="60">
        <v>216.34</v>
      </c>
      <c r="AA350" s="60">
        <v>216.34</v>
      </c>
      <c r="AB350" s="60">
        <v>216.34</v>
      </c>
      <c r="AC350" s="60">
        <v>216.34</v>
      </c>
      <c r="AD350" s="60">
        <v>216.34</v>
      </c>
      <c r="AE350" s="61">
        <f t="shared" si="142"/>
        <v>1298.04</v>
      </c>
      <c r="AF350" s="62">
        <f t="shared" si="135"/>
        <v>41538.339999999997</v>
      </c>
      <c r="AG350" s="62">
        <f t="shared" si="136"/>
        <v>31154.160000000003</v>
      </c>
      <c r="AH350" s="62">
        <f t="shared" si="146"/>
        <v>10384.179999999993</v>
      </c>
      <c r="AI350" s="63"/>
      <c r="AJ350" s="63"/>
      <c r="AK350" s="62"/>
      <c r="AL350" s="60">
        <v>216.34</v>
      </c>
      <c r="AM350" s="60">
        <v>216.34</v>
      </c>
      <c r="AN350" s="60">
        <v>216.34</v>
      </c>
      <c r="AO350" s="60">
        <v>216.34</v>
      </c>
      <c r="AP350" s="60">
        <v>216.34</v>
      </c>
      <c r="AQ350" s="60">
        <v>216.34</v>
      </c>
      <c r="AR350" s="61">
        <f t="shared" si="143"/>
        <v>1298.04</v>
      </c>
      <c r="AS350" s="60">
        <v>216.34</v>
      </c>
      <c r="AT350" s="60">
        <v>216.34</v>
      </c>
      <c r="AU350" s="60">
        <v>216.34</v>
      </c>
      <c r="AV350" s="60">
        <v>216.34</v>
      </c>
      <c r="AW350" s="60">
        <v>216.34</v>
      </c>
      <c r="AX350" s="60">
        <v>216.34</v>
      </c>
      <c r="AY350" s="61">
        <f t="shared" si="144"/>
        <v>1298.04</v>
      </c>
      <c r="AZ350" s="56">
        <f t="shared" si="139"/>
        <v>2596.08</v>
      </c>
      <c r="BA350" s="62">
        <f t="shared" si="137"/>
        <v>41538.339999999997</v>
      </c>
      <c r="BB350" s="62">
        <f t="shared" si="145"/>
        <v>33750.239999999991</v>
      </c>
      <c r="BC350" s="62">
        <f t="shared" si="138"/>
        <v>7788.1000000000058</v>
      </c>
      <c r="BD350" s="63"/>
      <c r="BE350" s="57"/>
      <c r="BF350" s="35" t="e">
        <f>VLOOKUP(A:A,'2023-2027'!A:G,1,+FALSE)</f>
        <v>#N/A</v>
      </c>
      <c r="BG350" s="7" t="e">
        <f t="shared" si="147"/>
        <v>#N/A</v>
      </c>
      <c r="BH350" s="35"/>
    </row>
    <row r="351" spans="1:60" ht="24" hidden="1" customHeight="1" outlineLevel="1" x14ac:dyDescent="0.2">
      <c r="A351" s="59" t="s">
        <v>903</v>
      </c>
      <c r="B351" s="59" t="s">
        <v>31</v>
      </c>
      <c r="C351" s="59" t="s">
        <v>83</v>
      </c>
      <c r="D351" s="65" t="s">
        <v>904</v>
      </c>
      <c r="E351" s="59" t="s">
        <v>237</v>
      </c>
      <c r="F351" s="60">
        <v>41538.339999999997</v>
      </c>
      <c r="G351" s="60">
        <v>25962</v>
      </c>
      <c r="H351" s="60">
        <v>15576.34</v>
      </c>
      <c r="I351" s="59"/>
      <c r="J351" s="60">
        <v>2596.08</v>
      </c>
      <c r="K351" s="59"/>
      <c r="L351" s="59"/>
      <c r="M351" s="60">
        <v>41538.339999999997</v>
      </c>
      <c r="N351" s="60">
        <v>28558.080000000002</v>
      </c>
      <c r="O351" s="60">
        <v>12980.26</v>
      </c>
      <c r="P351" s="55"/>
      <c r="Q351" s="55"/>
      <c r="R351" s="61">
        <f t="shared" si="140"/>
        <v>216.34</v>
      </c>
      <c r="S351" s="60">
        <v>216.34</v>
      </c>
      <c r="T351" s="60">
        <v>216.34</v>
      </c>
      <c r="U351" s="60">
        <v>216.34</v>
      </c>
      <c r="V351" s="60">
        <v>216.34</v>
      </c>
      <c r="W351" s="60">
        <v>216.34</v>
      </c>
      <c r="X351" s="61">
        <f t="shared" si="141"/>
        <v>1298.04</v>
      </c>
      <c r="Y351" s="60">
        <v>216.34</v>
      </c>
      <c r="Z351" s="60">
        <v>216.34</v>
      </c>
      <c r="AA351" s="60">
        <v>216.34</v>
      </c>
      <c r="AB351" s="60">
        <v>216.34</v>
      </c>
      <c r="AC351" s="60">
        <v>216.34</v>
      </c>
      <c r="AD351" s="60">
        <v>216.34</v>
      </c>
      <c r="AE351" s="61">
        <f t="shared" si="142"/>
        <v>1298.04</v>
      </c>
      <c r="AF351" s="62">
        <f t="shared" si="135"/>
        <v>41538.339999999997</v>
      </c>
      <c r="AG351" s="62">
        <f t="shared" si="136"/>
        <v>31154.160000000003</v>
      </c>
      <c r="AH351" s="62">
        <f t="shared" si="146"/>
        <v>10384.179999999993</v>
      </c>
      <c r="AI351" s="63"/>
      <c r="AJ351" s="63"/>
      <c r="AK351" s="62"/>
      <c r="AL351" s="60">
        <v>216.34</v>
      </c>
      <c r="AM351" s="60">
        <v>216.34</v>
      </c>
      <c r="AN351" s="60">
        <v>216.34</v>
      </c>
      <c r="AO351" s="60">
        <v>216.34</v>
      </c>
      <c r="AP351" s="60">
        <v>216.34</v>
      </c>
      <c r="AQ351" s="60">
        <v>216.34</v>
      </c>
      <c r="AR351" s="61">
        <f t="shared" si="143"/>
        <v>1298.04</v>
      </c>
      <c r="AS351" s="60">
        <v>216.34</v>
      </c>
      <c r="AT351" s="60">
        <v>216.34</v>
      </c>
      <c r="AU351" s="60">
        <v>216.34</v>
      </c>
      <c r="AV351" s="60">
        <v>216.34</v>
      </c>
      <c r="AW351" s="60">
        <v>216.34</v>
      </c>
      <c r="AX351" s="60">
        <v>216.34</v>
      </c>
      <c r="AY351" s="61">
        <f t="shared" si="144"/>
        <v>1298.04</v>
      </c>
      <c r="AZ351" s="56">
        <f t="shared" si="139"/>
        <v>2596.08</v>
      </c>
      <c r="BA351" s="62">
        <f t="shared" si="137"/>
        <v>41538.339999999997</v>
      </c>
      <c r="BB351" s="62">
        <f t="shared" si="145"/>
        <v>33750.239999999991</v>
      </c>
      <c r="BC351" s="62">
        <f t="shared" si="138"/>
        <v>7788.1000000000058</v>
      </c>
      <c r="BD351" s="63"/>
      <c r="BE351" s="57"/>
      <c r="BF351" s="35" t="e">
        <f>VLOOKUP(A:A,'2023-2027'!A:G,1,+FALSE)</f>
        <v>#N/A</v>
      </c>
      <c r="BG351" s="7" t="e">
        <f t="shared" si="147"/>
        <v>#N/A</v>
      </c>
      <c r="BH351" s="35"/>
    </row>
    <row r="352" spans="1:60" ht="24" hidden="1" customHeight="1" outlineLevel="1" x14ac:dyDescent="0.2">
      <c r="A352" s="59" t="s">
        <v>905</v>
      </c>
      <c r="B352" s="59" t="s">
        <v>31</v>
      </c>
      <c r="C352" s="59" t="s">
        <v>83</v>
      </c>
      <c r="D352" s="65" t="s">
        <v>906</v>
      </c>
      <c r="E352" s="59" t="s">
        <v>237</v>
      </c>
      <c r="F352" s="60">
        <v>41538.339999999997</v>
      </c>
      <c r="G352" s="60">
        <v>25962</v>
      </c>
      <c r="H352" s="60">
        <v>15576.34</v>
      </c>
      <c r="I352" s="59"/>
      <c r="J352" s="60">
        <v>2596.08</v>
      </c>
      <c r="K352" s="59"/>
      <c r="L352" s="59"/>
      <c r="M352" s="60">
        <v>41538.339999999997</v>
      </c>
      <c r="N352" s="60">
        <v>28558.080000000002</v>
      </c>
      <c r="O352" s="60">
        <v>12980.26</v>
      </c>
      <c r="P352" s="55"/>
      <c r="Q352" s="55"/>
      <c r="R352" s="61">
        <f t="shared" si="140"/>
        <v>216.34</v>
      </c>
      <c r="S352" s="60">
        <v>216.34</v>
      </c>
      <c r="T352" s="60">
        <v>216.34</v>
      </c>
      <c r="U352" s="60">
        <v>216.34</v>
      </c>
      <c r="V352" s="60">
        <v>216.34</v>
      </c>
      <c r="W352" s="60">
        <v>216.34</v>
      </c>
      <c r="X352" s="61">
        <f t="shared" si="141"/>
        <v>1298.04</v>
      </c>
      <c r="Y352" s="60">
        <v>216.34</v>
      </c>
      <c r="Z352" s="60">
        <v>216.34</v>
      </c>
      <c r="AA352" s="60">
        <v>216.34</v>
      </c>
      <c r="AB352" s="60">
        <v>216.34</v>
      </c>
      <c r="AC352" s="60">
        <v>216.34</v>
      </c>
      <c r="AD352" s="60">
        <v>216.34</v>
      </c>
      <c r="AE352" s="61">
        <f t="shared" si="142"/>
        <v>1298.04</v>
      </c>
      <c r="AF352" s="62">
        <f t="shared" ref="AF352:AF415" si="148">M352</f>
        <v>41538.339999999997</v>
      </c>
      <c r="AG352" s="62">
        <f t="shared" ref="AG352:AG415" si="149">N352+R352+S352+T352+U352+V352+W352+Y352+Z352+AA352+AB352+AC352+AD352</f>
        <v>31154.160000000003</v>
      </c>
      <c r="AH352" s="62">
        <f t="shared" si="146"/>
        <v>10384.179999999993</v>
      </c>
      <c r="AI352" s="63"/>
      <c r="AJ352" s="63"/>
      <c r="AK352" s="62"/>
      <c r="AL352" s="60">
        <v>216.34</v>
      </c>
      <c r="AM352" s="60">
        <v>216.34</v>
      </c>
      <c r="AN352" s="60">
        <v>216.34</v>
      </c>
      <c r="AO352" s="60">
        <v>216.34</v>
      </c>
      <c r="AP352" s="60">
        <v>216.34</v>
      </c>
      <c r="AQ352" s="60">
        <v>216.34</v>
      </c>
      <c r="AR352" s="61">
        <f t="shared" si="143"/>
        <v>1298.04</v>
      </c>
      <c r="AS352" s="60">
        <v>216.34</v>
      </c>
      <c r="AT352" s="60">
        <v>216.34</v>
      </c>
      <c r="AU352" s="60">
        <v>216.34</v>
      </c>
      <c r="AV352" s="60">
        <v>216.34</v>
      </c>
      <c r="AW352" s="60">
        <v>216.34</v>
      </c>
      <c r="AX352" s="60">
        <v>216.34</v>
      </c>
      <c r="AY352" s="61">
        <f t="shared" si="144"/>
        <v>1298.04</v>
      </c>
      <c r="AZ352" s="56">
        <f t="shared" si="139"/>
        <v>2596.08</v>
      </c>
      <c r="BA352" s="62">
        <f t="shared" si="137"/>
        <v>41538.339999999997</v>
      </c>
      <c r="BB352" s="62">
        <f t="shared" si="145"/>
        <v>33750.239999999991</v>
      </c>
      <c r="BC352" s="62">
        <f t="shared" si="138"/>
        <v>7788.1000000000058</v>
      </c>
      <c r="BD352" s="63"/>
      <c r="BE352" s="57"/>
      <c r="BF352" s="35" t="e">
        <f>VLOOKUP(A:A,'2023-2027'!A:G,1,+FALSE)</f>
        <v>#N/A</v>
      </c>
      <c r="BG352" s="7" t="e">
        <f t="shared" si="147"/>
        <v>#N/A</v>
      </c>
      <c r="BH352" s="35"/>
    </row>
    <row r="353" spans="1:60" ht="24" hidden="1" customHeight="1" outlineLevel="1" x14ac:dyDescent="0.2">
      <c r="A353" s="59" t="s">
        <v>907</v>
      </c>
      <c r="B353" s="59" t="s">
        <v>31</v>
      </c>
      <c r="C353" s="59" t="s">
        <v>83</v>
      </c>
      <c r="D353" s="65" t="s">
        <v>908</v>
      </c>
      <c r="E353" s="59" t="s">
        <v>237</v>
      </c>
      <c r="F353" s="60">
        <v>41538.339999999997</v>
      </c>
      <c r="G353" s="60">
        <v>25962</v>
      </c>
      <c r="H353" s="60">
        <v>15576.34</v>
      </c>
      <c r="I353" s="59"/>
      <c r="J353" s="60">
        <v>2596.08</v>
      </c>
      <c r="K353" s="59"/>
      <c r="L353" s="59"/>
      <c r="M353" s="60">
        <v>41538.339999999997</v>
      </c>
      <c r="N353" s="60">
        <v>28558.080000000002</v>
      </c>
      <c r="O353" s="60">
        <v>12980.26</v>
      </c>
      <c r="P353" s="55"/>
      <c r="Q353" s="55"/>
      <c r="R353" s="61">
        <f t="shared" si="140"/>
        <v>216.34</v>
      </c>
      <c r="S353" s="60">
        <v>216.34</v>
      </c>
      <c r="T353" s="60">
        <v>216.34</v>
      </c>
      <c r="U353" s="60">
        <v>216.34</v>
      </c>
      <c r="V353" s="60">
        <v>216.34</v>
      </c>
      <c r="W353" s="60">
        <v>216.34</v>
      </c>
      <c r="X353" s="61">
        <f t="shared" si="141"/>
        <v>1298.04</v>
      </c>
      <c r="Y353" s="60">
        <v>216.34</v>
      </c>
      <c r="Z353" s="60">
        <v>216.34</v>
      </c>
      <c r="AA353" s="60">
        <v>216.34</v>
      </c>
      <c r="AB353" s="60">
        <v>216.34</v>
      </c>
      <c r="AC353" s="60">
        <v>216.34</v>
      </c>
      <c r="AD353" s="60">
        <v>216.34</v>
      </c>
      <c r="AE353" s="61">
        <f t="shared" si="142"/>
        <v>1298.04</v>
      </c>
      <c r="AF353" s="62">
        <f t="shared" si="148"/>
        <v>41538.339999999997</v>
      </c>
      <c r="AG353" s="62">
        <f t="shared" si="149"/>
        <v>31154.160000000003</v>
      </c>
      <c r="AH353" s="62">
        <f t="shared" si="146"/>
        <v>10384.179999999993</v>
      </c>
      <c r="AI353" s="63"/>
      <c r="AJ353" s="63"/>
      <c r="AK353" s="62"/>
      <c r="AL353" s="60">
        <v>216.34</v>
      </c>
      <c r="AM353" s="60">
        <v>216.34</v>
      </c>
      <c r="AN353" s="60">
        <v>216.34</v>
      </c>
      <c r="AO353" s="60">
        <v>216.34</v>
      </c>
      <c r="AP353" s="60">
        <v>216.34</v>
      </c>
      <c r="AQ353" s="60">
        <v>216.34</v>
      </c>
      <c r="AR353" s="61">
        <f t="shared" si="143"/>
        <v>1298.04</v>
      </c>
      <c r="AS353" s="60">
        <v>216.34</v>
      </c>
      <c r="AT353" s="60">
        <v>216.34</v>
      </c>
      <c r="AU353" s="60">
        <v>216.34</v>
      </c>
      <c r="AV353" s="60">
        <v>216.34</v>
      </c>
      <c r="AW353" s="60">
        <v>216.34</v>
      </c>
      <c r="AX353" s="60">
        <v>216.34</v>
      </c>
      <c r="AY353" s="61">
        <f t="shared" si="144"/>
        <v>1298.04</v>
      </c>
      <c r="AZ353" s="56">
        <f t="shared" si="139"/>
        <v>2596.08</v>
      </c>
      <c r="BA353" s="62">
        <f t="shared" si="137"/>
        <v>41538.339999999997</v>
      </c>
      <c r="BB353" s="62">
        <f t="shared" si="145"/>
        <v>33750.239999999991</v>
      </c>
      <c r="BC353" s="62">
        <f t="shared" si="138"/>
        <v>7788.1000000000058</v>
      </c>
      <c r="BD353" s="63"/>
      <c r="BE353" s="57"/>
      <c r="BF353" s="35" t="e">
        <f>VLOOKUP(A:A,'2023-2027'!A:G,1,+FALSE)</f>
        <v>#N/A</v>
      </c>
      <c r="BG353" s="7" t="e">
        <f t="shared" si="147"/>
        <v>#N/A</v>
      </c>
      <c r="BH353" s="35"/>
    </row>
    <row r="354" spans="1:60" ht="24" hidden="1" customHeight="1" outlineLevel="1" x14ac:dyDescent="0.2">
      <c r="A354" s="59" t="s">
        <v>909</v>
      </c>
      <c r="B354" s="59" t="s">
        <v>31</v>
      </c>
      <c r="C354" s="59" t="s">
        <v>83</v>
      </c>
      <c r="D354" s="65" t="s">
        <v>910</v>
      </c>
      <c r="E354" s="59" t="s">
        <v>237</v>
      </c>
      <c r="F354" s="60">
        <v>41538.339999999997</v>
      </c>
      <c r="G354" s="60">
        <v>25962</v>
      </c>
      <c r="H354" s="60">
        <v>15576.34</v>
      </c>
      <c r="I354" s="59"/>
      <c r="J354" s="60">
        <v>2596.08</v>
      </c>
      <c r="K354" s="59"/>
      <c r="L354" s="59"/>
      <c r="M354" s="60">
        <v>41538.339999999997</v>
      </c>
      <c r="N354" s="60">
        <v>28558.080000000002</v>
      </c>
      <c r="O354" s="60">
        <v>12980.26</v>
      </c>
      <c r="P354" s="55"/>
      <c r="Q354" s="55"/>
      <c r="R354" s="61">
        <f t="shared" si="140"/>
        <v>216.34</v>
      </c>
      <c r="S354" s="60">
        <v>216.34</v>
      </c>
      <c r="T354" s="60">
        <v>216.34</v>
      </c>
      <c r="U354" s="60">
        <v>216.34</v>
      </c>
      <c r="V354" s="60">
        <v>216.34</v>
      </c>
      <c r="W354" s="60">
        <v>216.34</v>
      </c>
      <c r="X354" s="61">
        <f t="shared" si="141"/>
        <v>1298.04</v>
      </c>
      <c r="Y354" s="60">
        <v>216.34</v>
      </c>
      <c r="Z354" s="60">
        <v>216.34</v>
      </c>
      <c r="AA354" s="60">
        <v>216.34</v>
      </c>
      <c r="AB354" s="60">
        <v>216.34</v>
      </c>
      <c r="AC354" s="60">
        <v>216.34</v>
      </c>
      <c r="AD354" s="60">
        <v>216.34</v>
      </c>
      <c r="AE354" s="61">
        <f t="shared" si="142"/>
        <v>1298.04</v>
      </c>
      <c r="AF354" s="62">
        <f t="shared" si="148"/>
        <v>41538.339999999997</v>
      </c>
      <c r="AG354" s="62">
        <f t="shared" si="149"/>
        <v>31154.160000000003</v>
      </c>
      <c r="AH354" s="62">
        <f t="shared" si="146"/>
        <v>10384.179999999993</v>
      </c>
      <c r="AI354" s="63"/>
      <c r="AJ354" s="63"/>
      <c r="AK354" s="62"/>
      <c r="AL354" s="60">
        <v>216.34</v>
      </c>
      <c r="AM354" s="60">
        <v>216.34</v>
      </c>
      <c r="AN354" s="60">
        <v>216.34</v>
      </c>
      <c r="AO354" s="60">
        <v>216.34</v>
      </c>
      <c r="AP354" s="60">
        <v>216.34</v>
      </c>
      <c r="AQ354" s="60">
        <v>216.34</v>
      </c>
      <c r="AR354" s="61">
        <f t="shared" si="143"/>
        <v>1298.04</v>
      </c>
      <c r="AS354" s="60">
        <v>216.34</v>
      </c>
      <c r="AT354" s="60">
        <v>216.34</v>
      </c>
      <c r="AU354" s="60">
        <v>216.34</v>
      </c>
      <c r="AV354" s="60">
        <v>216.34</v>
      </c>
      <c r="AW354" s="60">
        <v>216.34</v>
      </c>
      <c r="AX354" s="60">
        <v>216.34</v>
      </c>
      <c r="AY354" s="61">
        <f t="shared" si="144"/>
        <v>1298.04</v>
      </c>
      <c r="AZ354" s="56">
        <f t="shared" si="139"/>
        <v>2596.08</v>
      </c>
      <c r="BA354" s="62">
        <f t="shared" si="137"/>
        <v>41538.339999999997</v>
      </c>
      <c r="BB354" s="62">
        <f t="shared" si="145"/>
        <v>33750.239999999991</v>
      </c>
      <c r="BC354" s="62">
        <f t="shared" si="138"/>
        <v>7788.1000000000058</v>
      </c>
      <c r="BD354" s="63"/>
      <c r="BE354" s="57"/>
      <c r="BF354" s="35" t="e">
        <f>VLOOKUP(A:A,'2023-2027'!A:G,1,+FALSE)</f>
        <v>#N/A</v>
      </c>
      <c r="BG354" s="7" t="e">
        <f t="shared" si="147"/>
        <v>#N/A</v>
      </c>
      <c r="BH354" s="35"/>
    </row>
    <row r="355" spans="1:60" ht="24" hidden="1" customHeight="1" outlineLevel="1" x14ac:dyDescent="0.2">
      <c r="A355" s="59" t="s">
        <v>911</v>
      </c>
      <c r="B355" s="59" t="s">
        <v>31</v>
      </c>
      <c r="C355" s="59" t="s">
        <v>83</v>
      </c>
      <c r="D355" s="65" t="s">
        <v>912</v>
      </c>
      <c r="E355" s="59" t="s">
        <v>237</v>
      </c>
      <c r="F355" s="60">
        <v>41538.339999999997</v>
      </c>
      <c r="G355" s="60">
        <v>25962</v>
      </c>
      <c r="H355" s="60">
        <v>15576.34</v>
      </c>
      <c r="I355" s="59"/>
      <c r="J355" s="60">
        <v>2596.08</v>
      </c>
      <c r="K355" s="59"/>
      <c r="L355" s="59"/>
      <c r="M355" s="60">
        <v>41538.339999999997</v>
      </c>
      <c r="N355" s="60">
        <v>28558.080000000002</v>
      </c>
      <c r="O355" s="60">
        <v>12980.26</v>
      </c>
      <c r="P355" s="55"/>
      <c r="Q355" s="55"/>
      <c r="R355" s="61">
        <f t="shared" si="140"/>
        <v>216.34</v>
      </c>
      <c r="S355" s="60">
        <v>216.34</v>
      </c>
      <c r="T355" s="60">
        <v>216.34</v>
      </c>
      <c r="U355" s="60">
        <v>216.34</v>
      </c>
      <c r="V355" s="60">
        <v>216.34</v>
      </c>
      <c r="W355" s="60">
        <v>216.34</v>
      </c>
      <c r="X355" s="61">
        <f t="shared" si="141"/>
        <v>1298.04</v>
      </c>
      <c r="Y355" s="60">
        <v>216.34</v>
      </c>
      <c r="Z355" s="60">
        <v>216.34</v>
      </c>
      <c r="AA355" s="60">
        <v>216.34</v>
      </c>
      <c r="AB355" s="60">
        <v>216.34</v>
      </c>
      <c r="AC355" s="60">
        <v>216.34</v>
      </c>
      <c r="AD355" s="60">
        <v>216.34</v>
      </c>
      <c r="AE355" s="61">
        <f t="shared" si="142"/>
        <v>1298.04</v>
      </c>
      <c r="AF355" s="62">
        <f t="shared" si="148"/>
        <v>41538.339999999997</v>
      </c>
      <c r="AG355" s="62">
        <f t="shared" si="149"/>
        <v>31154.160000000003</v>
      </c>
      <c r="AH355" s="62">
        <f t="shared" si="146"/>
        <v>10384.179999999993</v>
      </c>
      <c r="AI355" s="63"/>
      <c r="AJ355" s="63"/>
      <c r="AK355" s="62"/>
      <c r="AL355" s="60">
        <v>216.34</v>
      </c>
      <c r="AM355" s="60">
        <v>216.34</v>
      </c>
      <c r="AN355" s="60">
        <v>216.34</v>
      </c>
      <c r="AO355" s="60">
        <v>216.34</v>
      </c>
      <c r="AP355" s="60">
        <v>216.34</v>
      </c>
      <c r="AQ355" s="60">
        <v>216.34</v>
      </c>
      <c r="AR355" s="61">
        <f t="shared" si="143"/>
        <v>1298.04</v>
      </c>
      <c r="AS355" s="60">
        <v>216.34</v>
      </c>
      <c r="AT355" s="60">
        <v>216.34</v>
      </c>
      <c r="AU355" s="60">
        <v>216.34</v>
      </c>
      <c r="AV355" s="60">
        <v>216.34</v>
      </c>
      <c r="AW355" s="60">
        <v>216.34</v>
      </c>
      <c r="AX355" s="60">
        <v>216.34</v>
      </c>
      <c r="AY355" s="61">
        <f t="shared" si="144"/>
        <v>1298.04</v>
      </c>
      <c r="AZ355" s="56">
        <f t="shared" si="139"/>
        <v>2596.08</v>
      </c>
      <c r="BA355" s="62">
        <f t="shared" si="137"/>
        <v>41538.339999999997</v>
      </c>
      <c r="BB355" s="62">
        <f t="shared" si="145"/>
        <v>33750.239999999991</v>
      </c>
      <c r="BC355" s="62">
        <f t="shared" si="138"/>
        <v>7788.1000000000058</v>
      </c>
      <c r="BD355" s="63"/>
      <c r="BE355" s="57"/>
      <c r="BF355" s="35" t="e">
        <f>VLOOKUP(A:A,'2023-2027'!A:G,1,+FALSE)</f>
        <v>#N/A</v>
      </c>
      <c r="BG355" s="7" t="e">
        <f t="shared" si="147"/>
        <v>#N/A</v>
      </c>
      <c r="BH355" s="35"/>
    </row>
    <row r="356" spans="1:60" ht="24" hidden="1" customHeight="1" outlineLevel="1" x14ac:dyDescent="0.2">
      <c r="A356" s="59" t="s">
        <v>913</v>
      </c>
      <c r="B356" s="59" t="s">
        <v>31</v>
      </c>
      <c r="C356" s="59" t="s">
        <v>83</v>
      </c>
      <c r="D356" s="65" t="s">
        <v>914</v>
      </c>
      <c r="E356" s="59" t="s">
        <v>237</v>
      </c>
      <c r="F356" s="60">
        <v>41538.339999999997</v>
      </c>
      <c r="G356" s="60">
        <v>25962</v>
      </c>
      <c r="H356" s="60">
        <v>15576.34</v>
      </c>
      <c r="I356" s="59"/>
      <c r="J356" s="60">
        <v>2596.08</v>
      </c>
      <c r="K356" s="59"/>
      <c r="L356" s="59"/>
      <c r="M356" s="60">
        <v>41538.339999999997</v>
      </c>
      <c r="N356" s="60">
        <v>28558.080000000002</v>
      </c>
      <c r="O356" s="60">
        <v>12980.26</v>
      </c>
      <c r="P356" s="55"/>
      <c r="Q356" s="55"/>
      <c r="R356" s="61">
        <f t="shared" si="140"/>
        <v>216.34</v>
      </c>
      <c r="S356" s="60">
        <v>216.34</v>
      </c>
      <c r="T356" s="60">
        <v>216.34</v>
      </c>
      <c r="U356" s="60">
        <v>216.34</v>
      </c>
      <c r="V356" s="60">
        <v>216.34</v>
      </c>
      <c r="W356" s="60">
        <v>216.34</v>
      </c>
      <c r="X356" s="61">
        <f t="shared" si="141"/>
        <v>1298.04</v>
      </c>
      <c r="Y356" s="60">
        <v>216.34</v>
      </c>
      <c r="Z356" s="60">
        <v>216.34</v>
      </c>
      <c r="AA356" s="60">
        <v>216.34</v>
      </c>
      <c r="AB356" s="60">
        <v>216.34</v>
      </c>
      <c r="AC356" s="60">
        <v>216.34</v>
      </c>
      <c r="AD356" s="60">
        <v>216.34</v>
      </c>
      <c r="AE356" s="61">
        <f t="shared" si="142"/>
        <v>1298.04</v>
      </c>
      <c r="AF356" s="62">
        <f t="shared" si="148"/>
        <v>41538.339999999997</v>
      </c>
      <c r="AG356" s="62">
        <f t="shared" si="149"/>
        <v>31154.160000000003</v>
      </c>
      <c r="AH356" s="62">
        <f t="shared" si="146"/>
        <v>10384.179999999993</v>
      </c>
      <c r="AI356" s="63"/>
      <c r="AJ356" s="63"/>
      <c r="AK356" s="62"/>
      <c r="AL356" s="60">
        <v>216.34</v>
      </c>
      <c r="AM356" s="60">
        <v>216.34</v>
      </c>
      <c r="AN356" s="60">
        <v>216.34</v>
      </c>
      <c r="AO356" s="60">
        <v>216.34</v>
      </c>
      <c r="AP356" s="60">
        <v>216.34</v>
      </c>
      <c r="AQ356" s="60">
        <v>216.34</v>
      </c>
      <c r="AR356" s="61">
        <f t="shared" si="143"/>
        <v>1298.04</v>
      </c>
      <c r="AS356" s="60">
        <v>216.34</v>
      </c>
      <c r="AT356" s="60">
        <v>216.34</v>
      </c>
      <c r="AU356" s="60">
        <v>216.34</v>
      </c>
      <c r="AV356" s="60">
        <v>216.34</v>
      </c>
      <c r="AW356" s="60">
        <v>216.34</v>
      </c>
      <c r="AX356" s="60">
        <v>216.34</v>
      </c>
      <c r="AY356" s="61">
        <f t="shared" si="144"/>
        <v>1298.04</v>
      </c>
      <c r="AZ356" s="56">
        <f t="shared" si="139"/>
        <v>2596.08</v>
      </c>
      <c r="BA356" s="62">
        <f t="shared" si="137"/>
        <v>41538.339999999997</v>
      </c>
      <c r="BB356" s="62">
        <f t="shared" si="145"/>
        <v>33750.239999999991</v>
      </c>
      <c r="BC356" s="62">
        <f t="shared" si="138"/>
        <v>7788.1000000000058</v>
      </c>
      <c r="BD356" s="63"/>
      <c r="BE356" s="57"/>
      <c r="BF356" s="35" t="e">
        <f>VLOOKUP(A:A,'2023-2027'!A:G,1,+FALSE)</f>
        <v>#N/A</v>
      </c>
      <c r="BG356" s="7" t="e">
        <f t="shared" si="147"/>
        <v>#N/A</v>
      </c>
      <c r="BH356" s="35"/>
    </row>
    <row r="357" spans="1:60" ht="24" hidden="1" customHeight="1" outlineLevel="1" x14ac:dyDescent="0.2">
      <c r="A357" s="59" t="s">
        <v>915</v>
      </c>
      <c r="B357" s="59" t="s">
        <v>31</v>
      </c>
      <c r="C357" s="59" t="s">
        <v>83</v>
      </c>
      <c r="D357" s="65" t="s">
        <v>916</v>
      </c>
      <c r="E357" s="59" t="s">
        <v>237</v>
      </c>
      <c r="F357" s="60">
        <v>41538.339999999997</v>
      </c>
      <c r="G357" s="60">
        <v>25962</v>
      </c>
      <c r="H357" s="60">
        <v>15576.34</v>
      </c>
      <c r="I357" s="59"/>
      <c r="J357" s="60">
        <v>2596.08</v>
      </c>
      <c r="K357" s="59"/>
      <c r="L357" s="59"/>
      <c r="M357" s="60">
        <v>41538.339999999997</v>
      </c>
      <c r="N357" s="60">
        <v>28558.080000000002</v>
      </c>
      <c r="O357" s="60">
        <v>12980.26</v>
      </c>
      <c r="P357" s="55"/>
      <c r="Q357" s="55"/>
      <c r="R357" s="61">
        <f t="shared" si="140"/>
        <v>216.34</v>
      </c>
      <c r="S357" s="60">
        <v>216.34</v>
      </c>
      <c r="T357" s="60">
        <v>216.34</v>
      </c>
      <c r="U357" s="60">
        <v>216.34</v>
      </c>
      <c r="V357" s="60">
        <v>216.34</v>
      </c>
      <c r="W357" s="60">
        <v>216.34</v>
      </c>
      <c r="X357" s="61">
        <f t="shared" si="141"/>
        <v>1298.04</v>
      </c>
      <c r="Y357" s="60">
        <v>216.34</v>
      </c>
      <c r="Z357" s="60">
        <v>216.34</v>
      </c>
      <c r="AA357" s="60">
        <v>216.34</v>
      </c>
      <c r="AB357" s="60">
        <v>216.34</v>
      </c>
      <c r="AC357" s="60">
        <v>216.34</v>
      </c>
      <c r="AD357" s="60">
        <v>216.34</v>
      </c>
      <c r="AE357" s="61">
        <f t="shared" si="142"/>
        <v>1298.04</v>
      </c>
      <c r="AF357" s="62">
        <f t="shared" si="148"/>
        <v>41538.339999999997</v>
      </c>
      <c r="AG357" s="62">
        <f t="shared" si="149"/>
        <v>31154.160000000003</v>
      </c>
      <c r="AH357" s="62">
        <f t="shared" si="146"/>
        <v>10384.179999999993</v>
      </c>
      <c r="AI357" s="63"/>
      <c r="AJ357" s="63"/>
      <c r="AK357" s="62"/>
      <c r="AL357" s="60">
        <v>216.34</v>
      </c>
      <c r="AM357" s="60">
        <v>216.34</v>
      </c>
      <c r="AN357" s="60">
        <v>216.34</v>
      </c>
      <c r="AO357" s="60">
        <v>216.34</v>
      </c>
      <c r="AP357" s="60">
        <v>216.34</v>
      </c>
      <c r="AQ357" s="60">
        <v>216.34</v>
      </c>
      <c r="AR357" s="61">
        <f t="shared" si="143"/>
        <v>1298.04</v>
      </c>
      <c r="AS357" s="60">
        <v>216.34</v>
      </c>
      <c r="AT357" s="60">
        <v>216.34</v>
      </c>
      <c r="AU357" s="60">
        <v>216.34</v>
      </c>
      <c r="AV357" s="60">
        <v>216.34</v>
      </c>
      <c r="AW357" s="60">
        <v>216.34</v>
      </c>
      <c r="AX357" s="60">
        <v>216.34</v>
      </c>
      <c r="AY357" s="61">
        <f t="shared" si="144"/>
        <v>1298.04</v>
      </c>
      <c r="AZ357" s="56">
        <f t="shared" si="139"/>
        <v>2596.08</v>
      </c>
      <c r="BA357" s="62">
        <f t="shared" si="137"/>
        <v>41538.339999999997</v>
      </c>
      <c r="BB357" s="62">
        <f t="shared" si="145"/>
        <v>33750.239999999991</v>
      </c>
      <c r="BC357" s="62">
        <f t="shared" si="138"/>
        <v>7788.1000000000058</v>
      </c>
      <c r="BD357" s="63"/>
      <c r="BE357" s="57"/>
      <c r="BF357" s="35" t="e">
        <f>VLOOKUP(A:A,'2023-2027'!A:G,1,+FALSE)</f>
        <v>#N/A</v>
      </c>
      <c r="BG357" s="7" t="e">
        <f t="shared" si="147"/>
        <v>#N/A</v>
      </c>
      <c r="BH357" s="35"/>
    </row>
    <row r="358" spans="1:60" ht="24" hidden="1" customHeight="1" outlineLevel="1" x14ac:dyDescent="0.2">
      <c r="A358" s="59" t="s">
        <v>917</v>
      </c>
      <c r="B358" s="59" t="s">
        <v>31</v>
      </c>
      <c r="C358" s="59" t="s">
        <v>83</v>
      </c>
      <c r="D358" s="65" t="s">
        <v>918</v>
      </c>
      <c r="E358" s="59" t="s">
        <v>237</v>
      </c>
      <c r="F358" s="60">
        <v>41538.339999999997</v>
      </c>
      <c r="G358" s="60">
        <v>25962</v>
      </c>
      <c r="H358" s="60">
        <v>15576.34</v>
      </c>
      <c r="I358" s="59"/>
      <c r="J358" s="60">
        <v>2596.08</v>
      </c>
      <c r="K358" s="59"/>
      <c r="L358" s="59"/>
      <c r="M358" s="60">
        <v>41538.339999999997</v>
      </c>
      <c r="N358" s="60">
        <v>28558.080000000002</v>
      </c>
      <c r="O358" s="60">
        <v>12980.26</v>
      </c>
      <c r="P358" s="55"/>
      <c r="Q358" s="55"/>
      <c r="R358" s="61">
        <f t="shared" si="140"/>
        <v>216.34</v>
      </c>
      <c r="S358" s="60">
        <v>216.34</v>
      </c>
      <c r="T358" s="60">
        <v>216.34</v>
      </c>
      <c r="U358" s="60">
        <v>216.34</v>
      </c>
      <c r="V358" s="60">
        <v>216.34</v>
      </c>
      <c r="W358" s="60">
        <v>216.34</v>
      </c>
      <c r="X358" s="61">
        <f t="shared" si="141"/>
        <v>1298.04</v>
      </c>
      <c r="Y358" s="60">
        <v>216.34</v>
      </c>
      <c r="Z358" s="60">
        <v>216.34</v>
      </c>
      <c r="AA358" s="60">
        <v>216.34</v>
      </c>
      <c r="AB358" s="60">
        <v>216.34</v>
      </c>
      <c r="AC358" s="60">
        <v>216.34</v>
      </c>
      <c r="AD358" s="60">
        <v>216.34</v>
      </c>
      <c r="AE358" s="61">
        <f t="shared" si="142"/>
        <v>1298.04</v>
      </c>
      <c r="AF358" s="62">
        <f t="shared" si="148"/>
        <v>41538.339999999997</v>
      </c>
      <c r="AG358" s="62">
        <f t="shared" si="149"/>
        <v>31154.160000000003</v>
      </c>
      <c r="AH358" s="62">
        <f t="shared" si="146"/>
        <v>10384.179999999993</v>
      </c>
      <c r="AI358" s="63"/>
      <c r="AJ358" s="63"/>
      <c r="AK358" s="62"/>
      <c r="AL358" s="60">
        <v>216.34</v>
      </c>
      <c r="AM358" s="60">
        <v>216.34</v>
      </c>
      <c r="AN358" s="60">
        <v>216.34</v>
      </c>
      <c r="AO358" s="60">
        <v>216.34</v>
      </c>
      <c r="AP358" s="60">
        <v>216.34</v>
      </c>
      <c r="AQ358" s="60">
        <v>216.34</v>
      </c>
      <c r="AR358" s="61">
        <f t="shared" si="143"/>
        <v>1298.04</v>
      </c>
      <c r="AS358" s="60">
        <v>216.34</v>
      </c>
      <c r="AT358" s="60">
        <v>216.34</v>
      </c>
      <c r="AU358" s="60">
        <v>216.34</v>
      </c>
      <c r="AV358" s="60">
        <v>216.34</v>
      </c>
      <c r="AW358" s="60">
        <v>216.34</v>
      </c>
      <c r="AX358" s="60">
        <v>216.34</v>
      </c>
      <c r="AY358" s="61">
        <f t="shared" si="144"/>
        <v>1298.04</v>
      </c>
      <c r="AZ358" s="56">
        <f t="shared" si="139"/>
        <v>2596.08</v>
      </c>
      <c r="BA358" s="62">
        <f t="shared" si="137"/>
        <v>41538.339999999997</v>
      </c>
      <c r="BB358" s="62">
        <f t="shared" si="145"/>
        <v>33750.239999999991</v>
      </c>
      <c r="BC358" s="62">
        <f t="shared" si="138"/>
        <v>7788.1000000000058</v>
      </c>
      <c r="BD358" s="63"/>
      <c r="BE358" s="57"/>
      <c r="BF358" s="35" t="e">
        <f>VLOOKUP(A:A,'2023-2027'!A:G,1,+FALSE)</f>
        <v>#N/A</v>
      </c>
      <c r="BG358" s="7" t="e">
        <f t="shared" si="147"/>
        <v>#N/A</v>
      </c>
      <c r="BH358" s="35"/>
    </row>
    <row r="359" spans="1:60" ht="24" hidden="1" customHeight="1" outlineLevel="1" x14ac:dyDescent="0.2">
      <c r="A359" s="59" t="s">
        <v>919</v>
      </c>
      <c r="B359" s="59" t="s">
        <v>31</v>
      </c>
      <c r="C359" s="59" t="s">
        <v>83</v>
      </c>
      <c r="D359" s="65" t="s">
        <v>920</v>
      </c>
      <c r="E359" s="59" t="s">
        <v>237</v>
      </c>
      <c r="F359" s="60">
        <v>41538.339999999997</v>
      </c>
      <c r="G359" s="60">
        <v>25962</v>
      </c>
      <c r="H359" s="60">
        <v>15576.34</v>
      </c>
      <c r="I359" s="59"/>
      <c r="J359" s="60">
        <v>2596.08</v>
      </c>
      <c r="K359" s="59"/>
      <c r="L359" s="59"/>
      <c r="M359" s="60">
        <v>41538.339999999997</v>
      </c>
      <c r="N359" s="60">
        <v>28558.080000000002</v>
      </c>
      <c r="O359" s="60">
        <v>12980.26</v>
      </c>
      <c r="P359" s="55"/>
      <c r="Q359" s="55"/>
      <c r="R359" s="61">
        <f t="shared" si="140"/>
        <v>216.34</v>
      </c>
      <c r="S359" s="60">
        <v>216.34</v>
      </c>
      <c r="T359" s="60">
        <v>216.34</v>
      </c>
      <c r="U359" s="60">
        <v>216.34</v>
      </c>
      <c r="V359" s="60">
        <v>216.34</v>
      </c>
      <c r="W359" s="60">
        <v>216.34</v>
      </c>
      <c r="X359" s="61">
        <f t="shared" si="141"/>
        <v>1298.04</v>
      </c>
      <c r="Y359" s="60">
        <v>216.34</v>
      </c>
      <c r="Z359" s="60">
        <v>216.34</v>
      </c>
      <c r="AA359" s="60">
        <v>216.34</v>
      </c>
      <c r="AB359" s="60">
        <v>216.34</v>
      </c>
      <c r="AC359" s="60">
        <v>216.34</v>
      </c>
      <c r="AD359" s="60">
        <v>216.34</v>
      </c>
      <c r="AE359" s="61">
        <f t="shared" si="142"/>
        <v>1298.04</v>
      </c>
      <c r="AF359" s="62">
        <f t="shared" si="148"/>
        <v>41538.339999999997</v>
      </c>
      <c r="AG359" s="62">
        <f t="shared" si="149"/>
        <v>31154.160000000003</v>
      </c>
      <c r="AH359" s="62">
        <f t="shared" si="146"/>
        <v>10384.179999999993</v>
      </c>
      <c r="AI359" s="63"/>
      <c r="AJ359" s="63"/>
      <c r="AK359" s="62"/>
      <c r="AL359" s="60">
        <v>216.34</v>
      </c>
      <c r="AM359" s="60">
        <v>216.34</v>
      </c>
      <c r="AN359" s="60">
        <v>216.34</v>
      </c>
      <c r="AO359" s="60">
        <v>216.34</v>
      </c>
      <c r="AP359" s="60">
        <v>216.34</v>
      </c>
      <c r="AQ359" s="60">
        <v>216.34</v>
      </c>
      <c r="AR359" s="61">
        <f t="shared" si="143"/>
        <v>1298.04</v>
      </c>
      <c r="AS359" s="60">
        <v>216.34</v>
      </c>
      <c r="AT359" s="60">
        <v>216.34</v>
      </c>
      <c r="AU359" s="60">
        <v>216.34</v>
      </c>
      <c r="AV359" s="60">
        <v>216.34</v>
      </c>
      <c r="AW359" s="60">
        <v>216.34</v>
      </c>
      <c r="AX359" s="60">
        <v>216.34</v>
      </c>
      <c r="AY359" s="61">
        <f t="shared" si="144"/>
        <v>1298.04</v>
      </c>
      <c r="AZ359" s="56">
        <f t="shared" si="139"/>
        <v>2596.08</v>
      </c>
      <c r="BA359" s="62">
        <f t="shared" si="137"/>
        <v>41538.339999999997</v>
      </c>
      <c r="BB359" s="62">
        <f t="shared" si="145"/>
        <v>33750.239999999991</v>
      </c>
      <c r="BC359" s="62">
        <f t="shared" si="138"/>
        <v>7788.1000000000058</v>
      </c>
      <c r="BD359" s="63"/>
      <c r="BE359" s="57"/>
      <c r="BF359" s="35" t="e">
        <f>VLOOKUP(A:A,'2023-2027'!A:G,1,+FALSE)</f>
        <v>#N/A</v>
      </c>
      <c r="BG359" s="7" t="e">
        <f t="shared" si="147"/>
        <v>#N/A</v>
      </c>
      <c r="BH359" s="35"/>
    </row>
    <row r="360" spans="1:60" ht="24" hidden="1" customHeight="1" outlineLevel="1" x14ac:dyDescent="0.2">
      <c r="A360" s="59" t="s">
        <v>921</v>
      </c>
      <c r="B360" s="59" t="s">
        <v>31</v>
      </c>
      <c r="C360" s="59" t="s">
        <v>83</v>
      </c>
      <c r="D360" s="65" t="s">
        <v>922</v>
      </c>
      <c r="E360" s="59" t="s">
        <v>237</v>
      </c>
      <c r="F360" s="60">
        <v>41538.339999999997</v>
      </c>
      <c r="G360" s="60">
        <v>25962</v>
      </c>
      <c r="H360" s="60">
        <v>15576.34</v>
      </c>
      <c r="I360" s="59"/>
      <c r="J360" s="60">
        <v>2596.08</v>
      </c>
      <c r="K360" s="59"/>
      <c r="L360" s="59"/>
      <c r="M360" s="60">
        <v>41538.339999999997</v>
      </c>
      <c r="N360" s="60">
        <v>28558.080000000002</v>
      </c>
      <c r="O360" s="60">
        <v>12980.26</v>
      </c>
      <c r="P360" s="55"/>
      <c r="Q360" s="55"/>
      <c r="R360" s="61">
        <f t="shared" si="140"/>
        <v>216.34</v>
      </c>
      <c r="S360" s="60">
        <v>216.34</v>
      </c>
      <c r="T360" s="60">
        <v>216.34</v>
      </c>
      <c r="U360" s="60">
        <v>216.34</v>
      </c>
      <c r="V360" s="60">
        <v>216.34</v>
      </c>
      <c r="W360" s="60">
        <v>216.34</v>
      </c>
      <c r="X360" s="61">
        <f t="shared" si="141"/>
        <v>1298.04</v>
      </c>
      <c r="Y360" s="60">
        <v>216.34</v>
      </c>
      <c r="Z360" s="60">
        <v>216.34</v>
      </c>
      <c r="AA360" s="60">
        <v>216.34</v>
      </c>
      <c r="AB360" s="60">
        <v>216.34</v>
      </c>
      <c r="AC360" s="60">
        <v>216.34</v>
      </c>
      <c r="AD360" s="60">
        <v>216.34</v>
      </c>
      <c r="AE360" s="61">
        <f t="shared" si="142"/>
        <v>1298.04</v>
      </c>
      <c r="AF360" s="62">
        <f t="shared" si="148"/>
        <v>41538.339999999997</v>
      </c>
      <c r="AG360" s="62">
        <f t="shared" si="149"/>
        <v>31154.160000000003</v>
      </c>
      <c r="AH360" s="62">
        <f t="shared" si="146"/>
        <v>10384.179999999993</v>
      </c>
      <c r="AI360" s="63"/>
      <c r="AJ360" s="63"/>
      <c r="AK360" s="62"/>
      <c r="AL360" s="60">
        <v>216.34</v>
      </c>
      <c r="AM360" s="60">
        <v>216.34</v>
      </c>
      <c r="AN360" s="60">
        <v>216.34</v>
      </c>
      <c r="AO360" s="60">
        <v>216.34</v>
      </c>
      <c r="AP360" s="60">
        <v>216.34</v>
      </c>
      <c r="AQ360" s="60">
        <v>216.34</v>
      </c>
      <c r="AR360" s="61">
        <f t="shared" si="143"/>
        <v>1298.04</v>
      </c>
      <c r="AS360" s="60">
        <v>216.34</v>
      </c>
      <c r="AT360" s="60">
        <v>216.34</v>
      </c>
      <c r="AU360" s="60">
        <v>216.34</v>
      </c>
      <c r="AV360" s="60">
        <v>216.34</v>
      </c>
      <c r="AW360" s="60">
        <v>216.34</v>
      </c>
      <c r="AX360" s="60">
        <v>216.34</v>
      </c>
      <c r="AY360" s="61">
        <f t="shared" si="144"/>
        <v>1298.04</v>
      </c>
      <c r="AZ360" s="56">
        <f t="shared" si="139"/>
        <v>2596.08</v>
      </c>
      <c r="BA360" s="62">
        <f t="shared" si="137"/>
        <v>41538.339999999997</v>
      </c>
      <c r="BB360" s="62">
        <f t="shared" si="145"/>
        <v>33750.239999999991</v>
      </c>
      <c r="BC360" s="62">
        <f t="shared" si="138"/>
        <v>7788.1000000000058</v>
      </c>
      <c r="BD360" s="63"/>
      <c r="BE360" s="57"/>
      <c r="BF360" s="35" t="e">
        <f>VLOOKUP(A:A,'2023-2027'!A:G,1,+FALSE)</f>
        <v>#N/A</v>
      </c>
      <c r="BG360" s="7" t="e">
        <f t="shared" si="147"/>
        <v>#N/A</v>
      </c>
      <c r="BH360" s="35"/>
    </row>
    <row r="361" spans="1:60" ht="24" hidden="1" customHeight="1" outlineLevel="1" x14ac:dyDescent="0.2">
      <c r="A361" s="59" t="s">
        <v>923</v>
      </c>
      <c r="B361" s="59" t="s">
        <v>31</v>
      </c>
      <c r="C361" s="59" t="s">
        <v>83</v>
      </c>
      <c r="D361" s="65" t="s">
        <v>924</v>
      </c>
      <c r="E361" s="59" t="s">
        <v>237</v>
      </c>
      <c r="F361" s="60">
        <v>41538.339999999997</v>
      </c>
      <c r="G361" s="60">
        <v>25962</v>
      </c>
      <c r="H361" s="60">
        <v>15576.34</v>
      </c>
      <c r="I361" s="59"/>
      <c r="J361" s="60">
        <v>2596.08</v>
      </c>
      <c r="K361" s="59"/>
      <c r="L361" s="59"/>
      <c r="M361" s="60">
        <v>41538.339999999997</v>
      </c>
      <c r="N361" s="60">
        <v>28558.080000000002</v>
      </c>
      <c r="O361" s="60">
        <v>12980.26</v>
      </c>
      <c r="P361" s="55"/>
      <c r="Q361" s="55"/>
      <c r="R361" s="61">
        <f t="shared" si="140"/>
        <v>216.34</v>
      </c>
      <c r="S361" s="60">
        <v>216.34</v>
      </c>
      <c r="T361" s="60">
        <v>216.34</v>
      </c>
      <c r="U361" s="60">
        <v>216.34</v>
      </c>
      <c r="V361" s="60">
        <v>216.34</v>
      </c>
      <c r="W361" s="60">
        <v>216.34</v>
      </c>
      <c r="X361" s="61">
        <f t="shared" si="141"/>
        <v>1298.04</v>
      </c>
      <c r="Y361" s="60">
        <v>216.34</v>
      </c>
      <c r="Z361" s="60">
        <v>216.34</v>
      </c>
      <c r="AA361" s="60">
        <v>216.34</v>
      </c>
      <c r="AB361" s="60">
        <v>216.34</v>
      </c>
      <c r="AC361" s="60">
        <v>216.34</v>
      </c>
      <c r="AD361" s="60">
        <v>216.34</v>
      </c>
      <c r="AE361" s="61">
        <f t="shared" si="142"/>
        <v>1298.04</v>
      </c>
      <c r="AF361" s="62">
        <f t="shared" si="148"/>
        <v>41538.339999999997</v>
      </c>
      <c r="AG361" s="62">
        <f t="shared" si="149"/>
        <v>31154.160000000003</v>
      </c>
      <c r="AH361" s="62">
        <f t="shared" si="146"/>
        <v>10384.179999999993</v>
      </c>
      <c r="AI361" s="63"/>
      <c r="AJ361" s="63"/>
      <c r="AK361" s="62"/>
      <c r="AL361" s="60">
        <v>216.34</v>
      </c>
      <c r="AM361" s="60">
        <v>216.34</v>
      </c>
      <c r="AN361" s="60">
        <v>216.34</v>
      </c>
      <c r="AO361" s="60">
        <v>216.34</v>
      </c>
      <c r="AP361" s="60">
        <v>216.34</v>
      </c>
      <c r="AQ361" s="60">
        <v>216.34</v>
      </c>
      <c r="AR361" s="61">
        <f t="shared" si="143"/>
        <v>1298.04</v>
      </c>
      <c r="AS361" s="60">
        <v>216.34</v>
      </c>
      <c r="AT361" s="60">
        <v>216.34</v>
      </c>
      <c r="AU361" s="60">
        <v>216.34</v>
      </c>
      <c r="AV361" s="60">
        <v>216.34</v>
      </c>
      <c r="AW361" s="60">
        <v>216.34</v>
      </c>
      <c r="AX361" s="60">
        <v>216.34</v>
      </c>
      <c r="AY361" s="61">
        <f t="shared" si="144"/>
        <v>1298.04</v>
      </c>
      <c r="AZ361" s="56">
        <f t="shared" si="139"/>
        <v>2596.08</v>
      </c>
      <c r="BA361" s="62">
        <f t="shared" si="137"/>
        <v>41538.339999999997</v>
      </c>
      <c r="BB361" s="62">
        <f t="shared" si="145"/>
        <v>33750.239999999991</v>
      </c>
      <c r="BC361" s="62">
        <f t="shared" si="138"/>
        <v>7788.1000000000058</v>
      </c>
      <c r="BD361" s="63"/>
      <c r="BE361" s="57"/>
      <c r="BF361" s="35" t="e">
        <f>VLOOKUP(A:A,'2023-2027'!A:G,1,+FALSE)</f>
        <v>#N/A</v>
      </c>
      <c r="BG361" s="7" t="e">
        <f t="shared" si="147"/>
        <v>#N/A</v>
      </c>
      <c r="BH361" s="35"/>
    </row>
    <row r="362" spans="1:60" ht="24" hidden="1" customHeight="1" outlineLevel="1" x14ac:dyDescent="0.2">
      <c r="A362" s="59" t="s">
        <v>925</v>
      </c>
      <c r="B362" s="59" t="s">
        <v>31</v>
      </c>
      <c r="C362" s="59" t="s">
        <v>83</v>
      </c>
      <c r="D362" s="65" t="s">
        <v>926</v>
      </c>
      <c r="E362" s="59" t="s">
        <v>237</v>
      </c>
      <c r="F362" s="60">
        <v>41538.339999999997</v>
      </c>
      <c r="G362" s="60">
        <v>25962</v>
      </c>
      <c r="H362" s="60">
        <v>15576.34</v>
      </c>
      <c r="I362" s="59"/>
      <c r="J362" s="60">
        <v>2596.08</v>
      </c>
      <c r="K362" s="59"/>
      <c r="L362" s="59"/>
      <c r="M362" s="60">
        <v>41538.339999999997</v>
      </c>
      <c r="N362" s="60">
        <v>28558.080000000002</v>
      </c>
      <c r="O362" s="60">
        <v>12980.26</v>
      </c>
      <c r="P362" s="55"/>
      <c r="Q362" s="55"/>
      <c r="R362" s="61">
        <f t="shared" si="140"/>
        <v>216.34</v>
      </c>
      <c r="S362" s="60">
        <v>216.34</v>
      </c>
      <c r="T362" s="60">
        <v>216.34</v>
      </c>
      <c r="U362" s="60">
        <v>216.34</v>
      </c>
      <c r="V362" s="60">
        <v>216.34</v>
      </c>
      <c r="W362" s="60">
        <v>216.34</v>
      </c>
      <c r="X362" s="61">
        <f t="shared" si="141"/>
        <v>1298.04</v>
      </c>
      <c r="Y362" s="60">
        <v>216.34</v>
      </c>
      <c r="Z362" s="60">
        <v>216.34</v>
      </c>
      <c r="AA362" s="60">
        <v>216.34</v>
      </c>
      <c r="AB362" s="60">
        <v>216.34</v>
      </c>
      <c r="AC362" s="60">
        <v>216.34</v>
      </c>
      <c r="AD362" s="60">
        <v>216.34</v>
      </c>
      <c r="AE362" s="61">
        <f t="shared" si="142"/>
        <v>1298.04</v>
      </c>
      <c r="AF362" s="62">
        <f t="shared" si="148"/>
        <v>41538.339999999997</v>
      </c>
      <c r="AG362" s="62">
        <f t="shared" si="149"/>
        <v>31154.160000000003</v>
      </c>
      <c r="AH362" s="62">
        <f t="shared" si="146"/>
        <v>10384.179999999993</v>
      </c>
      <c r="AI362" s="63"/>
      <c r="AJ362" s="63"/>
      <c r="AK362" s="62"/>
      <c r="AL362" s="60">
        <v>216.34</v>
      </c>
      <c r="AM362" s="60">
        <v>216.34</v>
      </c>
      <c r="AN362" s="60">
        <v>216.34</v>
      </c>
      <c r="AO362" s="60">
        <v>216.34</v>
      </c>
      <c r="AP362" s="60">
        <v>216.34</v>
      </c>
      <c r="AQ362" s="60">
        <v>216.34</v>
      </c>
      <c r="AR362" s="61">
        <f t="shared" si="143"/>
        <v>1298.04</v>
      </c>
      <c r="AS362" s="60">
        <v>216.34</v>
      </c>
      <c r="AT362" s="60">
        <v>216.34</v>
      </c>
      <c r="AU362" s="60">
        <v>216.34</v>
      </c>
      <c r="AV362" s="60">
        <v>216.34</v>
      </c>
      <c r="AW362" s="60">
        <v>216.34</v>
      </c>
      <c r="AX362" s="60">
        <v>216.34</v>
      </c>
      <c r="AY362" s="61">
        <f t="shared" si="144"/>
        <v>1298.04</v>
      </c>
      <c r="AZ362" s="56">
        <f t="shared" si="139"/>
        <v>2596.08</v>
      </c>
      <c r="BA362" s="62">
        <f t="shared" si="137"/>
        <v>41538.339999999997</v>
      </c>
      <c r="BB362" s="62">
        <f t="shared" si="145"/>
        <v>33750.239999999991</v>
      </c>
      <c r="BC362" s="62">
        <f t="shared" si="138"/>
        <v>7788.1000000000058</v>
      </c>
      <c r="BD362" s="63"/>
      <c r="BE362" s="57"/>
      <c r="BF362" s="35" t="e">
        <f>VLOOKUP(A:A,'2023-2027'!A:G,1,+FALSE)</f>
        <v>#N/A</v>
      </c>
      <c r="BG362" s="7" t="e">
        <f t="shared" si="147"/>
        <v>#N/A</v>
      </c>
      <c r="BH362" s="35"/>
    </row>
    <row r="363" spans="1:60" ht="24" hidden="1" customHeight="1" outlineLevel="1" x14ac:dyDescent="0.2">
      <c r="A363" s="59" t="s">
        <v>927</v>
      </c>
      <c r="B363" s="59" t="s">
        <v>31</v>
      </c>
      <c r="C363" s="59" t="s">
        <v>83</v>
      </c>
      <c r="D363" s="65" t="s">
        <v>928</v>
      </c>
      <c r="E363" s="59" t="s">
        <v>237</v>
      </c>
      <c r="F363" s="60">
        <v>41538.339999999997</v>
      </c>
      <c r="G363" s="60">
        <v>25962</v>
      </c>
      <c r="H363" s="60">
        <v>15576.34</v>
      </c>
      <c r="I363" s="59"/>
      <c r="J363" s="60">
        <v>2596.08</v>
      </c>
      <c r="K363" s="59"/>
      <c r="L363" s="59"/>
      <c r="M363" s="60">
        <v>41538.339999999997</v>
      </c>
      <c r="N363" s="60">
        <v>28558.080000000002</v>
      </c>
      <c r="O363" s="60">
        <v>12980.26</v>
      </c>
      <c r="P363" s="55"/>
      <c r="Q363" s="55"/>
      <c r="R363" s="61">
        <f t="shared" si="140"/>
        <v>216.34</v>
      </c>
      <c r="S363" s="60">
        <v>216.34</v>
      </c>
      <c r="T363" s="60">
        <v>216.34</v>
      </c>
      <c r="U363" s="60">
        <v>216.34</v>
      </c>
      <c r="V363" s="60">
        <v>216.34</v>
      </c>
      <c r="W363" s="60">
        <v>216.34</v>
      </c>
      <c r="X363" s="61">
        <f t="shared" si="141"/>
        <v>1298.04</v>
      </c>
      <c r="Y363" s="60">
        <v>216.34</v>
      </c>
      <c r="Z363" s="60">
        <v>216.34</v>
      </c>
      <c r="AA363" s="60">
        <v>216.34</v>
      </c>
      <c r="AB363" s="60">
        <v>216.34</v>
      </c>
      <c r="AC363" s="60">
        <v>216.34</v>
      </c>
      <c r="AD363" s="60">
        <v>216.34</v>
      </c>
      <c r="AE363" s="61">
        <f t="shared" si="142"/>
        <v>1298.04</v>
      </c>
      <c r="AF363" s="62">
        <f t="shared" si="148"/>
        <v>41538.339999999997</v>
      </c>
      <c r="AG363" s="62">
        <f t="shared" si="149"/>
        <v>31154.160000000003</v>
      </c>
      <c r="AH363" s="62">
        <f t="shared" si="146"/>
        <v>10384.179999999993</v>
      </c>
      <c r="AI363" s="63"/>
      <c r="AJ363" s="63"/>
      <c r="AK363" s="62"/>
      <c r="AL363" s="60">
        <v>216.34</v>
      </c>
      <c r="AM363" s="60">
        <v>216.34</v>
      </c>
      <c r="AN363" s="60">
        <v>216.34</v>
      </c>
      <c r="AO363" s="60">
        <v>216.34</v>
      </c>
      <c r="AP363" s="60">
        <v>216.34</v>
      </c>
      <c r="AQ363" s="60">
        <v>216.34</v>
      </c>
      <c r="AR363" s="61">
        <f t="shared" si="143"/>
        <v>1298.04</v>
      </c>
      <c r="AS363" s="60">
        <v>216.34</v>
      </c>
      <c r="AT363" s="60">
        <v>216.34</v>
      </c>
      <c r="AU363" s="60">
        <v>216.34</v>
      </c>
      <c r="AV363" s="60">
        <v>216.34</v>
      </c>
      <c r="AW363" s="60">
        <v>216.34</v>
      </c>
      <c r="AX363" s="60">
        <v>216.34</v>
      </c>
      <c r="AY363" s="61">
        <f t="shared" si="144"/>
        <v>1298.04</v>
      </c>
      <c r="AZ363" s="56">
        <f t="shared" si="139"/>
        <v>2596.08</v>
      </c>
      <c r="BA363" s="62">
        <f t="shared" si="137"/>
        <v>41538.339999999997</v>
      </c>
      <c r="BB363" s="62">
        <f t="shared" si="145"/>
        <v>33750.239999999991</v>
      </c>
      <c r="BC363" s="62">
        <f t="shared" si="138"/>
        <v>7788.1000000000058</v>
      </c>
      <c r="BD363" s="63"/>
      <c r="BE363" s="57"/>
      <c r="BF363" s="35" t="e">
        <f>VLOOKUP(A:A,'2023-2027'!A:G,1,+FALSE)</f>
        <v>#N/A</v>
      </c>
      <c r="BG363" s="7" t="e">
        <f t="shared" si="147"/>
        <v>#N/A</v>
      </c>
      <c r="BH363" s="35"/>
    </row>
    <row r="364" spans="1:60" ht="24" hidden="1" customHeight="1" outlineLevel="1" x14ac:dyDescent="0.2">
      <c r="A364" s="59" t="s">
        <v>929</v>
      </c>
      <c r="B364" s="59" t="s">
        <v>31</v>
      </c>
      <c r="C364" s="59" t="s">
        <v>83</v>
      </c>
      <c r="D364" s="65" t="s">
        <v>930</v>
      </c>
      <c r="E364" s="59" t="s">
        <v>237</v>
      </c>
      <c r="F364" s="60">
        <v>41538.339999999997</v>
      </c>
      <c r="G364" s="60">
        <v>25962</v>
      </c>
      <c r="H364" s="60">
        <v>15576.34</v>
      </c>
      <c r="I364" s="59"/>
      <c r="J364" s="60">
        <v>2596.08</v>
      </c>
      <c r="K364" s="59"/>
      <c r="L364" s="59"/>
      <c r="M364" s="60">
        <v>41538.339999999997</v>
      </c>
      <c r="N364" s="60">
        <v>28558.080000000002</v>
      </c>
      <c r="O364" s="60">
        <v>12980.26</v>
      </c>
      <c r="P364" s="55"/>
      <c r="Q364" s="55"/>
      <c r="R364" s="61">
        <f t="shared" si="140"/>
        <v>216.34</v>
      </c>
      <c r="S364" s="60">
        <v>216.34</v>
      </c>
      <c r="T364" s="60">
        <v>216.34</v>
      </c>
      <c r="U364" s="60">
        <v>216.34</v>
      </c>
      <c r="V364" s="60">
        <v>216.34</v>
      </c>
      <c r="W364" s="60">
        <v>216.34</v>
      </c>
      <c r="X364" s="61">
        <f t="shared" si="141"/>
        <v>1298.04</v>
      </c>
      <c r="Y364" s="60">
        <v>216.34</v>
      </c>
      <c r="Z364" s="60">
        <v>216.34</v>
      </c>
      <c r="AA364" s="60">
        <v>216.34</v>
      </c>
      <c r="AB364" s="60">
        <v>216.34</v>
      </c>
      <c r="AC364" s="60">
        <v>216.34</v>
      </c>
      <c r="AD364" s="60">
        <v>216.34</v>
      </c>
      <c r="AE364" s="61">
        <f t="shared" si="142"/>
        <v>1298.04</v>
      </c>
      <c r="AF364" s="62">
        <f t="shared" si="148"/>
        <v>41538.339999999997</v>
      </c>
      <c r="AG364" s="62">
        <f t="shared" si="149"/>
        <v>31154.160000000003</v>
      </c>
      <c r="AH364" s="62">
        <f t="shared" si="146"/>
        <v>10384.179999999993</v>
      </c>
      <c r="AI364" s="63"/>
      <c r="AJ364" s="63"/>
      <c r="AK364" s="62"/>
      <c r="AL364" s="60">
        <v>216.34</v>
      </c>
      <c r="AM364" s="60">
        <v>216.34</v>
      </c>
      <c r="AN364" s="60">
        <v>216.34</v>
      </c>
      <c r="AO364" s="60">
        <v>216.34</v>
      </c>
      <c r="AP364" s="60">
        <v>216.34</v>
      </c>
      <c r="AQ364" s="60">
        <v>216.34</v>
      </c>
      <c r="AR364" s="61">
        <f t="shared" si="143"/>
        <v>1298.04</v>
      </c>
      <c r="AS364" s="60">
        <v>216.34</v>
      </c>
      <c r="AT364" s="60">
        <v>216.34</v>
      </c>
      <c r="AU364" s="60">
        <v>216.34</v>
      </c>
      <c r="AV364" s="60">
        <v>216.34</v>
      </c>
      <c r="AW364" s="60">
        <v>216.34</v>
      </c>
      <c r="AX364" s="60">
        <v>216.34</v>
      </c>
      <c r="AY364" s="61">
        <f t="shared" si="144"/>
        <v>1298.04</v>
      </c>
      <c r="AZ364" s="56">
        <f t="shared" si="139"/>
        <v>2596.08</v>
      </c>
      <c r="BA364" s="62">
        <f t="shared" si="137"/>
        <v>41538.339999999997</v>
      </c>
      <c r="BB364" s="62">
        <f t="shared" si="145"/>
        <v>33750.239999999991</v>
      </c>
      <c r="BC364" s="62">
        <f t="shared" si="138"/>
        <v>7788.1000000000058</v>
      </c>
      <c r="BD364" s="63"/>
      <c r="BE364" s="57"/>
      <c r="BF364" s="35" t="e">
        <f>VLOOKUP(A:A,'2023-2027'!A:G,1,+FALSE)</f>
        <v>#N/A</v>
      </c>
      <c r="BG364" s="7" t="e">
        <f t="shared" si="147"/>
        <v>#N/A</v>
      </c>
      <c r="BH364" s="35"/>
    </row>
    <row r="365" spans="1:60" ht="24" hidden="1" customHeight="1" outlineLevel="1" x14ac:dyDescent="0.2">
      <c r="A365" s="59" t="s">
        <v>931</v>
      </c>
      <c r="B365" s="59" t="s">
        <v>31</v>
      </c>
      <c r="C365" s="59" t="s">
        <v>83</v>
      </c>
      <c r="D365" s="65" t="s">
        <v>932</v>
      </c>
      <c r="E365" s="59" t="s">
        <v>237</v>
      </c>
      <c r="F365" s="60">
        <v>41538.339999999997</v>
      </c>
      <c r="G365" s="60">
        <v>25962</v>
      </c>
      <c r="H365" s="60">
        <v>15576.34</v>
      </c>
      <c r="I365" s="59"/>
      <c r="J365" s="60">
        <v>2596.08</v>
      </c>
      <c r="K365" s="59"/>
      <c r="L365" s="59"/>
      <c r="M365" s="60">
        <v>41538.339999999997</v>
      </c>
      <c r="N365" s="60">
        <v>28558.080000000002</v>
      </c>
      <c r="O365" s="60">
        <v>12980.26</v>
      </c>
      <c r="P365" s="55"/>
      <c r="Q365" s="55"/>
      <c r="R365" s="61">
        <f t="shared" si="140"/>
        <v>216.34</v>
      </c>
      <c r="S365" s="60">
        <v>216.34</v>
      </c>
      <c r="T365" s="60">
        <v>216.34</v>
      </c>
      <c r="U365" s="60">
        <v>216.34</v>
      </c>
      <c r="V365" s="60">
        <v>216.34</v>
      </c>
      <c r="W365" s="60">
        <v>216.34</v>
      </c>
      <c r="X365" s="61">
        <f t="shared" si="141"/>
        <v>1298.04</v>
      </c>
      <c r="Y365" s="60">
        <v>216.34</v>
      </c>
      <c r="Z365" s="60">
        <v>216.34</v>
      </c>
      <c r="AA365" s="60">
        <v>216.34</v>
      </c>
      <c r="AB365" s="60">
        <v>216.34</v>
      </c>
      <c r="AC365" s="60">
        <v>216.34</v>
      </c>
      <c r="AD365" s="60">
        <v>216.34</v>
      </c>
      <c r="AE365" s="61">
        <f t="shared" si="142"/>
        <v>1298.04</v>
      </c>
      <c r="AF365" s="62">
        <f t="shared" si="148"/>
        <v>41538.339999999997</v>
      </c>
      <c r="AG365" s="62">
        <f t="shared" si="149"/>
        <v>31154.160000000003</v>
      </c>
      <c r="AH365" s="62">
        <f t="shared" si="146"/>
        <v>10384.179999999993</v>
      </c>
      <c r="AI365" s="63"/>
      <c r="AJ365" s="63"/>
      <c r="AK365" s="62"/>
      <c r="AL365" s="60">
        <v>216.34</v>
      </c>
      <c r="AM365" s="60">
        <v>216.34</v>
      </c>
      <c r="AN365" s="60">
        <v>216.34</v>
      </c>
      <c r="AO365" s="60">
        <v>216.34</v>
      </c>
      <c r="AP365" s="60">
        <v>216.34</v>
      </c>
      <c r="AQ365" s="60">
        <v>216.34</v>
      </c>
      <c r="AR365" s="61">
        <f t="shared" si="143"/>
        <v>1298.04</v>
      </c>
      <c r="AS365" s="60">
        <v>216.34</v>
      </c>
      <c r="AT365" s="60">
        <v>216.34</v>
      </c>
      <c r="AU365" s="60">
        <v>216.34</v>
      </c>
      <c r="AV365" s="60">
        <v>216.34</v>
      </c>
      <c r="AW365" s="60">
        <v>216.34</v>
      </c>
      <c r="AX365" s="60">
        <v>216.34</v>
      </c>
      <c r="AY365" s="61">
        <f t="shared" si="144"/>
        <v>1298.04</v>
      </c>
      <c r="AZ365" s="56">
        <f t="shared" si="139"/>
        <v>2596.08</v>
      </c>
      <c r="BA365" s="62">
        <f t="shared" si="137"/>
        <v>41538.339999999997</v>
      </c>
      <c r="BB365" s="62">
        <f t="shared" si="145"/>
        <v>33750.239999999991</v>
      </c>
      <c r="BC365" s="62">
        <f t="shared" si="138"/>
        <v>7788.1000000000058</v>
      </c>
      <c r="BD365" s="63"/>
      <c r="BE365" s="57"/>
      <c r="BF365" s="35" t="e">
        <f>VLOOKUP(A:A,'2023-2027'!A:G,1,+FALSE)</f>
        <v>#N/A</v>
      </c>
      <c r="BG365" s="7" t="e">
        <f t="shared" si="147"/>
        <v>#N/A</v>
      </c>
      <c r="BH365" s="35"/>
    </row>
    <row r="366" spans="1:60" ht="24" hidden="1" customHeight="1" outlineLevel="1" x14ac:dyDescent="0.2">
      <c r="A366" s="59" t="s">
        <v>933</v>
      </c>
      <c r="B366" s="59" t="s">
        <v>31</v>
      </c>
      <c r="C366" s="59" t="s">
        <v>83</v>
      </c>
      <c r="D366" s="65" t="s">
        <v>934</v>
      </c>
      <c r="E366" s="59" t="s">
        <v>237</v>
      </c>
      <c r="F366" s="60">
        <v>41538.339999999997</v>
      </c>
      <c r="G366" s="60">
        <v>25962</v>
      </c>
      <c r="H366" s="60">
        <v>15576.34</v>
      </c>
      <c r="I366" s="59"/>
      <c r="J366" s="60">
        <v>2596.08</v>
      </c>
      <c r="K366" s="59"/>
      <c r="L366" s="59"/>
      <c r="M366" s="60">
        <v>41538.339999999997</v>
      </c>
      <c r="N366" s="60">
        <v>28558.080000000002</v>
      </c>
      <c r="O366" s="60">
        <v>12980.26</v>
      </c>
      <c r="P366" s="55"/>
      <c r="Q366" s="55"/>
      <c r="R366" s="61">
        <f t="shared" si="140"/>
        <v>216.34</v>
      </c>
      <c r="S366" s="60">
        <v>216.34</v>
      </c>
      <c r="T366" s="60">
        <v>216.34</v>
      </c>
      <c r="U366" s="60">
        <v>216.34</v>
      </c>
      <c r="V366" s="60">
        <v>216.34</v>
      </c>
      <c r="W366" s="60">
        <v>216.34</v>
      </c>
      <c r="X366" s="61">
        <f t="shared" si="141"/>
        <v>1298.04</v>
      </c>
      <c r="Y366" s="60">
        <v>216.34</v>
      </c>
      <c r="Z366" s="60">
        <v>216.34</v>
      </c>
      <c r="AA366" s="60">
        <v>216.34</v>
      </c>
      <c r="AB366" s="60">
        <v>216.34</v>
      </c>
      <c r="AC366" s="60">
        <v>216.34</v>
      </c>
      <c r="AD366" s="60">
        <v>216.34</v>
      </c>
      <c r="AE366" s="61">
        <f t="shared" si="142"/>
        <v>1298.04</v>
      </c>
      <c r="AF366" s="62">
        <f t="shared" si="148"/>
        <v>41538.339999999997</v>
      </c>
      <c r="AG366" s="62">
        <f t="shared" si="149"/>
        <v>31154.160000000003</v>
      </c>
      <c r="AH366" s="62">
        <f t="shared" si="146"/>
        <v>10384.179999999993</v>
      </c>
      <c r="AI366" s="63"/>
      <c r="AJ366" s="63"/>
      <c r="AK366" s="62"/>
      <c r="AL366" s="60">
        <v>216.34</v>
      </c>
      <c r="AM366" s="60">
        <v>216.34</v>
      </c>
      <c r="AN366" s="60">
        <v>216.34</v>
      </c>
      <c r="AO366" s="60">
        <v>216.34</v>
      </c>
      <c r="AP366" s="60">
        <v>216.34</v>
      </c>
      <c r="AQ366" s="60">
        <v>216.34</v>
      </c>
      <c r="AR366" s="61">
        <f t="shared" si="143"/>
        <v>1298.04</v>
      </c>
      <c r="AS366" s="60">
        <v>216.34</v>
      </c>
      <c r="AT366" s="60">
        <v>216.34</v>
      </c>
      <c r="AU366" s="60">
        <v>216.34</v>
      </c>
      <c r="AV366" s="60">
        <v>216.34</v>
      </c>
      <c r="AW366" s="60">
        <v>216.34</v>
      </c>
      <c r="AX366" s="60">
        <v>216.34</v>
      </c>
      <c r="AY366" s="61">
        <f t="shared" si="144"/>
        <v>1298.04</v>
      </c>
      <c r="AZ366" s="56">
        <f t="shared" si="139"/>
        <v>2596.08</v>
      </c>
      <c r="BA366" s="62">
        <f t="shared" si="137"/>
        <v>41538.339999999997</v>
      </c>
      <c r="BB366" s="62">
        <f t="shared" si="145"/>
        <v>33750.239999999991</v>
      </c>
      <c r="BC366" s="62">
        <f t="shared" si="138"/>
        <v>7788.1000000000058</v>
      </c>
      <c r="BD366" s="63"/>
      <c r="BE366" s="57"/>
      <c r="BF366" s="35" t="e">
        <f>VLOOKUP(A:A,'2023-2027'!A:G,1,+FALSE)</f>
        <v>#N/A</v>
      </c>
      <c r="BG366" s="7" t="e">
        <f t="shared" si="147"/>
        <v>#N/A</v>
      </c>
      <c r="BH366" s="35"/>
    </row>
    <row r="367" spans="1:60" ht="24" hidden="1" customHeight="1" outlineLevel="1" x14ac:dyDescent="0.2">
      <c r="A367" s="59" t="s">
        <v>935</v>
      </c>
      <c r="B367" s="59" t="s">
        <v>31</v>
      </c>
      <c r="C367" s="59" t="s">
        <v>83</v>
      </c>
      <c r="D367" s="65" t="s">
        <v>936</v>
      </c>
      <c r="E367" s="59" t="s">
        <v>237</v>
      </c>
      <c r="F367" s="60">
        <v>41538.339999999997</v>
      </c>
      <c r="G367" s="60">
        <v>25962</v>
      </c>
      <c r="H367" s="60">
        <v>15576.34</v>
      </c>
      <c r="I367" s="59"/>
      <c r="J367" s="60">
        <v>2596.08</v>
      </c>
      <c r="K367" s="59"/>
      <c r="L367" s="59"/>
      <c r="M367" s="60">
        <v>41538.339999999997</v>
      </c>
      <c r="N367" s="60">
        <v>28558.080000000002</v>
      </c>
      <c r="O367" s="60">
        <v>12980.26</v>
      </c>
      <c r="P367" s="55"/>
      <c r="Q367" s="55"/>
      <c r="R367" s="61">
        <f t="shared" si="140"/>
        <v>216.34</v>
      </c>
      <c r="S367" s="60">
        <v>216.34</v>
      </c>
      <c r="T367" s="60">
        <v>216.34</v>
      </c>
      <c r="U367" s="60">
        <v>216.34</v>
      </c>
      <c r="V367" s="60">
        <v>216.34</v>
      </c>
      <c r="W367" s="60">
        <v>216.34</v>
      </c>
      <c r="X367" s="61">
        <f t="shared" si="141"/>
        <v>1298.04</v>
      </c>
      <c r="Y367" s="60">
        <v>216.34</v>
      </c>
      <c r="Z367" s="60">
        <v>216.34</v>
      </c>
      <c r="AA367" s="60">
        <v>216.34</v>
      </c>
      <c r="AB367" s="60">
        <v>216.34</v>
      </c>
      <c r="AC367" s="60">
        <v>216.34</v>
      </c>
      <c r="AD367" s="60">
        <v>216.34</v>
      </c>
      <c r="AE367" s="61">
        <f t="shared" si="142"/>
        <v>1298.04</v>
      </c>
      <c r="AF367" s="62">
        <f t="shared" si="148"/>
        <v>41538.339999999997</v>
      </c>
      <c r="AG367" s="62">
        <f t="shared" si="149"/>
        <v>31154.160000000003</v>
      </c>
      <c r="AH367" s="62">
        <f t="shared" si="146"/>
        <v>10384.179999999993</v>
      </c>
      <c r="AI367" s="63"/>
      <c r="AJ367" s="63"/>
      <c r="AK367" s="62"/>
      <c r="AL367" s="60">
        <v>216.34</v>
      </c>
      <c r="AM367" s="60">
        <v>216.34</v>
      </c>
      <c r="AN367" s="60">
        <v>216.34</v>
      </c>
      <c r="AO367" s="60">
        <v>216.34</v>
      </c>
      <c r="AP367" s="60">
        <v>216.34</v>
      </c>
      <c r="AQ367" s="60">
        <v>216.34</v>
      </c>
      <c r="AR367" s="61">
        <f t="shared" si="143"/>
        <v>1298.04</v>
      </c>
      <c r="AS367" s="60">
        <v>216.34</v>
      </c>
      <c r="AT367" s="60">
        <v>216.34</v>
      </c>
      <c r="AU367" s="60">
        <v>216.34</v>
      </c>
      <c r="AV367" s="60">
        <v>216.34</v>
      </c>
      <c r="AW367" s="60">
        <v>216.34</v>
      </c>
      <c r="AX367" s="60">
        <v>216.34</v>
      </c>
      <c r="AY367" s="61">
        <f t="shared" si="144"/>
        <v>1298.04</v>
      </c>
      <c r="AZ367" s="56">
        <f t="shared" si="139"/>
        <v>2596.08</v>
      </c>
      <c r="BA367" s="62">
        <f t="shared" si="137"/>
        <v>41538.339999999997</v>
      </c>
      <c r="BB367" s="62">
        <f t="shared" si="145"/>
        <v>33750.239999999991</v>
      </c>
      <c r="BC367" s="62">
        <f t="shared" si="138"/>
        <v>7788.1000000000058</v>
      </c>
      <c r="BD367" s="63"/>
      <c r="BE367" s="57"/>
      <c r="BF367" s="35" t="e">
        <f>VLOOKUP(A:A,'2023-2027'!A:G,1,+FALSE)</f>
        <v>#N/A</v>
      </c>
      <c r="BG367" s="7" t="e">
        <f t="shared" si="147"/>
        <v>#N/A</v>
      </c>
      <c r="BH367" s="35"/>
    </row>
    <row r="368" spans="1:60" ht="24" hidden="1" customHeight="1" outlineLevel="1" x14ac:dyDescent="0.2">
      <c r="A368" s="59" t="s">
        <v>937</v>
      </c>
      <c r="B368" s="59" t="s">
        <v>31</v>
      </c>
      <c r="C368" s="59" t="s">
        <v>83</v>
      </c>
      <c r="D368" s="65" t="s">
        <v>938</v>
      </c>
      <c r="E368" s="59" t="s">
        <v>237</v>
      </c>
      <c r="F368" s="60">
        <v>41538.339999999997</v>
      </c>
      <c r="G368" s="60">
        <v>25962</v>
      </c>
      <c r="H368" s="60">
        <v>15576.34</v>
      </c>
      <c r="I368" s="59"/>
      <c r="J368" s="60">
        <v>2596.08</v>
      </c>
      <c r="K368" s="59"/>
      <c r="L368" s="59"/>
      <c r="M368" s="60">
        <v>41538.339999999997</v>
      </c>
      <c r="N368" s="60">
        <v>28558.080000000002</v>
      </c>
      <c r="O368" s="60">
        <v>12980.26</v>
      </c>
      <c r="P368" s="55"/>
      <c r="Q368" s="55"/>
      <c r="R368" s="61">
        <f t="shared" si="140"/>
        <v>216.34</v>
      </c>
      <c r="S368" s="60">
        <v>216.34</v>
      </c>
      <c r="T368" s="60">
        <v>216.34</v>
      </c>
      <c r="U368" s="60">
        <v>216.34</v>
      </c>
      <c r="V368" s="60">
        <v>216.34</v>
      </c>
      <c r="W368" s="60">
        <v>216.34</v>
      </c>
      <c r="X368" s="61">
        <f t="shared" si="141"/>
        <v>1298.04</v>
      </c>
      <c r="Y368" s="60">
        <v>216.34</v>
      </c>
      <c r="Z368" s="60">
        <v>216.34</v>
      </c>
      <c r="AA368" s="60">
        <v>216.34</v>
      </c>
      <c r="AB368" s="60">
        <v>216.34</v>
      </c>
      <c r="AC368" s="60">
        <v>216.34</v>
      </c>
      <c r="AD368" s="60">
        <v>216.34</v>
      </c>
      <c r="AE368" s="61">
        <f t="shared" si="142"/>
        <v>1298.04</v>
      </c>
      <c r="AF368" s="62">
        <f t="shared" si="148"/>
        <v>41538.339999999997</v>
      </c>
      <c r="AG368" s="62">
        <f t="shared" si="149"/>
        <v>31154.160000000003</v>
      </c>
      <c r="AH368" s="62">
        <f t="shared" si="146"/>
        <v>10384.179999999993</v>
      </c>
      <c r="AI368" s="63"/>
      <c r="AJ368" s="63"/>
      <c r="AK368" s="62"/>
      <c r="AL368" s="60">
        <v>216.34</v>
      </c>
      <c r="AM368" s="60">
        <v>216.34</v>
      </c>
      <c r="AN368" s="60">
        <v>216.34</v>
      </c>
      <c r="AO368" s="60">
        <v>216.34</v>
      </c>
      <c r="AP368" s="60">
        <v>216.34</v>
      </c>
      <c r="AQ368" s="60">
        <v>216.34</v>
      </c>
      <c r="AR368" s="61">
        <f t="shared" si="143"/>
        <v>1298.04</v>
      </c>
      <c r="AS368" s="60">
        <v>216.34</v>
      </c>
      <c r="AT368" s="60">
        <v>216.34</v>
      </c>
      <c r="AU368" s="60">
        <v>216.34</v>
      </c>
      <c r="AV368" s="60">
        <v>216.34</v>
      </c>
      <c r="AW368" s="60">
        <v>216.34</v>
      </c>
      <c r="AX368" s="60">
        <v>216.34</v>
      </c>
      <c r="AY368" s="61">
        <f t="shared" si="144"/>
        <v>1298.04</v>
      </c>
      <c r="AZ368" s="56">
        <f t="shared" si="139"/>
        <v>2596.08</v>
      </c>
      <c r="BA368" s="62">
        <f t="shared" si="137"/>
        <v>41538.339999999997</v>
      </c>
      <c r="BB368" s="62">
        <f t="shared" si="145"/>
        <v>33750.239999999991</v>
      </c>
      <c r="BC368" s="62">
        <f t="shared" si="138"/>
        <v>7788.1000000000058</v>
      </c>
      <c r="BD368" s="63"/>
      <c r="BE368" s="57"/>
      <c r="BF368" s="35" t="e">
        <f>VLOOKUP(A:A,'2023-2027'!A:G,1,+FALSE)</f>
        <v>#N/A</v>
      </c>
      <c r="BG368" s="7" t="e">
        <f t="shared" si="147"/>
        <v>#N/A</v>
      </c>
      <c r="BH368" s="35"/>
    </row>
    <row r="369" spans="1:60" ht="24" hidden="1" customHeight="1" outlineLevel="1" x14ac:dyDescent="0.2">
      <c r="A369" s="59" t="s">
        <v>939</v>
      </c>
      <c r="B369" s="59" t="s">
        <v>31</v>
      </c>
      <c r="C369" s="59" t="s">
        <v>83</v>
      </c>
      <c r="D369" s="65" t="s">
        <v>940</v>
      </c>
      <c r="E369" s="59" t="s">
        <v>595</v>
      </c>
      <c r="F369" s="60">
        <v>41538.339999999997</v>
      </c>
      <c r="G369" s="60">
        <v>24663.9</v>
      </c>
      <c r="H369" s="60">
        <v>16874.439999999999</v>
      </c>
      <c r="I369" s="59"/>
      <c r="J369" s="60">
        <v>2596.08</v>
      </c>
      <c r="K369" s="59"/>
      <c r="L369" s="59"/>
      <c r="M369" s="60">
        <v>41538.339999999997</v>
      </c>
      <c r="N369" s="60">
        <v>27259.98</v>
      </c>
      <c r="O369" s="60">
        <v>14278.36</v>
      </c>
      <c r="P369" s="55"/>
      <c r="Q369" s="55"/>
      <c r="R369" s="61">
        <f t="shared" si="140"/>
        <v>216.34</v>
      </c>
      <c r="S369" s="60">
        <v>216.34</v>
      </c>
      <c r="T369" s="60">
        <v>216.34</v>
      </c>
      <c r="U369" s="60">
        <v>216.34</v>
      </c>
      <c r="V369" s="60">
        <v>216.34</v>
      </c>
      <c r="W369" s="60">
        <v>216.34</v>
      </c>
      <c r="X369" s="61">
        <f t="shared" si="141"/>
        <v>1298.04</v>
      </c>
      <c r="Y369" s="60">
        <v>216.34</v>
      </c>
      <c r="Z369" s="60">
        <v>216.34</v>
      </c>
      <c r="AA369" s="60">
        <v>216.34</v>
      </c>
      <c r="AB369" s="60">
        <v>216.34</v>
      </c>
      <c r="AC369" s="60">
        <v>216.34</v>
      </c>
      <c r="AD369" s="60">
        <v>216.34</v>
      </c>
      <c r="AE369" s="61">
        <f t="shared" si="142"/>
        <v>1298.04</v>
      </c>
      <c r="AF369" s="62">
        <f t="shared" si="148"/>
        <v>41538.339999999997</v>
      </c>
      <c r="AG369" s="62">
        <f t="shared" si="149"/>
        <v>29856.06</v>
      </c>
      <c r="AH369" s="62">
        <f t="shared" si="146"/>
        <v>11682.279999999995</v>
      </c>
      <c r="AI369" s="63"/>
      <c r="AJ369" s="63"/>
      <c r="AK369" s="62"/>
      <c r="AL369" s="60">
        <v>216.34</v>
      </c>
      <c r="AM369" s="60">
        <v>216.34</v>
      </c>
      <c r="AN369" s="60">
        <v>216.34</v>
      </c>
      <c r="AO369" s="60">
        <v>216.34</v>
      </c>
      <c r="AP369" s="60">
        <v>216.34</v>
      </c>
      <c r="AQ369" s="60">
        <v>216.34</v>
      </c>
      <c r="AR369" s="61">
        <f t="shared" si="143"/>
        <v>1298.04</v>
      </c>
      <c r="AS369" s="60">
        <v>216.34</v>
      </c>
      <c r="AT369" s="60">
        <v>216.34</v>
      </c>
      <c r="AU369" s="60">
        <v>216.34</v>
      </c>
      <c r="AV369" s="60">
        <v>216.34</v>
      </c>
      <c r="AW369" s="60">
        <v>216.34</v>
      </c>
      <c r="AX369" s="60">
        <v>216.34</v>
      </c>
      <c r="AY369" s="61">
        <f t="shared" si="144"/>
        <v>1298.04</v>
      </c>
      <c r="AZ369" s="56">
        <f t="shared" si="139"/>
        <v>2596.08</v>
      </c>
      <c r="BA369" s="62">
        <f t="shared" si="137"/>
        <v>41538.339999999997</v>
      </c>
      <c r="BB369" s="62">
        <f t="shared" si="145"/>
        <v>32452.140000000003</v>
      </c>
      <c r="BC369" s="62">
        <f t="shared" si="138"/>
        <v>9086.1999999999935</v>
      </c>
      <c r="BD369" s="63"/>
      <c r="BE369" s="57"/>
      <c r="BF369" s="35" t="e">
        <f>VLOOKUP(A:A,'2023-2027'!A:G,1,+FALSE)</f>
        <v>#N/A</v>
      </c>
      <c r="BG369" s="7" t="e">
        <f t="shared" si="147"/>
        <v>#N/A</v>
      </c>
      <c r="BH369" s="35"/>
    </row>
    <row r="370" spans="1:60" ht="24" hidden="1" customHeight="1" outlineLevel="1" x14ac:dyDescent="0.2">
      <c r="A370" s="59" t="s">
        <v>941</v>
      </c>
      <c r="B370" s="59" t="s">
        <v>31</v>
      </c>
      <c r="C370" s="59" t="s">
        <v>83</v>
      </c>
      <c r="D370" s="65" t="s">
        <v>942</v>
      </c>
      <c r="E370" s="59" t="s">
        <v>595</v>
      </c>
      <c r="F370" s="60">
        <v>41538.339999999997</v>
      </c>
      <c r="G370" s="60">
        <v>24663.9</v>
      </c>
      <c r="H370" s="60">
        <v>16874.439999999999</v>
      </c>
      <c r="I370" s="59"/>
      <c r="J370" s="60">
        <v>2596.08</v>
      </c>
      <c r="K370" s="59"/>
      <c r="L370" s="59"/>
      <c r="M370" s="60">
        <v>41538.339999999997</v>
      </c>
      <c r="N370" s="60">
        <v>27259.98</v>
      </c>
      <c r="O370" s="60">
        <v>14278.36</v>
      </c>
      <c r="P370" s="55"/>
      <c r="Q370" s="55"/>
      <c r="R370" s="61">
        <f t="shared" si="140"/>
        <v>216.34</v>
      </c>
      <c r="S370" s="60">
        <v>216.34</v>
      </c>
      <c r="T370" s="60">
        <v>216.34</v>
      </c>
      <c r="U370" s="60">
        <v>216.34</v>
      </c>
      <c r="V370" s="60">
        <v>216.34</v>
      </c>
      <c r="W370" s="60">
        <v>216.34</v>
      </c>
      <c r="X370" s="61">
        <f t="shared" si="141"/>
        <v>1298.04</v>
      </c>
      <c r="Y370" s="60">
        <v>216.34</v>
      </c>
      <c r="Z370" s="60">
        <v>216.34</v>
      </c>
      <c r="AA370" s="60">
        <v>216.34</v>
      </c>
      <c r="AB370" s="60">
        <v>216.34</v>
      </c>
      <c r="AC370" s="60">
        <v>216.34</v>
      </c>
      <c r="AD370" s="60">
        <v>216.34</v>
      </c>
      <c r="AE370" s="61">
        <f t="shared" si="142"/>
        <v>1298.04</v>
      </c>
      <c r="AF370" s="62">
        <f t="shared" si="148"/>
        <v>41538.339999999997</v>
      </c>
      <c r="AG370" s="62">
        <f t="shared" si="149"/>
        <v>29856.06</v>
      </c>
      <c r="AH370" s="62">
        <f t="shared" si="146"/>
        <v>11682.279999999995</v>
      </c>
      <c r="AI370" s="63"/>
      <c r="AJ370" s="63"/>
      <c r="AK370" s="62"/>
      <c r="AL370" s="60">
        <v>216.34</v>
      </c>
      <c r="AM370" s="60">
        <v>216.34</v>
      </c>
      <c r="AN370" s="60">
        <v>216.34</v>
      </c>
      <c r="AO370" s="60">
        <v>216.34</v>
      </c>
      <c r="AP370" s="60">
        <v>216.34</v>
      </c>
      <c r="AQ370" s="60">
        <v>216.34</v>
      </c>
      <c r="AR370" s="61">
        <f t="shared" si="143"/>
        <v>1298.04</v>
      </c>
      <c r="AS370" s="60">
        <v>216.34</v>
      </c>
      <c r="AT370" s="60">
        <v>216.34</v>
      </c>
      <c r="AU370" s="60">
        <v>216.34</v>
      </c>
      <c r="AV370" s="60">
        <v>216.34</v>
      </c>
      <c r="AW370" s="60">
        <v>216.34</v>
      </c>
      <c r="AX370" s="60">
        <v>216.34</v>
      </c>
      <c r="AY370" s="61">
        <f t="shared" si="144"/>
        <v>1298.04</v>
      </c>
      <c r="AZ370" s="56">
        <f t="shared" si="139"/>
        <v>2596.08</v>
      </c>
      <c r="BA370" s="62">
        <f t="shared" si="137"/>
        <v>41538.339999999997</v>
      </c>
      <c r="BB370" s="62">
        <f t="shared" si="145"/>
        <v>32452.140000000003</v>
      </c>
      <c r="BC370" s="62">
        <f t="shared" si="138"/>
        <v>9086.1999999999935</v>
      </c>
      <c r="BD370" s="63"/>
      <c r="BE370" s="57"/>
      <c r="BF370" s="35" t="e">
        <f>VLOOKUP(A:A,'2023-2027'!A:G,1,+FALSE)</f>
        <v>#N/A</v>
      </c>
      <c r="BG370" s="7" t="e">
        <f t="shared" si="147"/>
        <v>#N/A</v>
      </c>
      <c r="BH370" s="35"/>
    </row>
    <row r="371" spans="1:60" ht="24" hidden="1" customHeight="1" outlineLevel="1" x14ac:dyDescent="0.2">
      <c r="A371" s="59" t="s">
        <v>943</v>
      </c>
      <c r="B371" s="59" t="s">
        <v>31</v>
      </c>
      <c r="C371" s="59" t="s">
        <v>83</v>
      </c>
      <c r="D371" s="65" t="s">
        <v>944</v>
      </c>
      <c r="E371" s="59" t="s">
        <v>595</v>
      </c>
      <c r="F371" s="60">
        <v>41538.339999999997</v>
      </c>
      <c r="G371" s="60">
        <v>24663.9</v>
      </c>
      <c r="H371" s="60">
        <v>16874.439999999999</v>
      </c>
      <c r="I371" s="59"/>
      <c r="J371" s="60">
        <v>2596.08</v>
      </c>
      <c r="K371" s="59"/>
      <c r="L371" s="59"/>
      <c r="M371" s="60">
        <v>41538.339999999997</v>
      </c>
      <c r="N371" s="60">
        <v>27259.98</v>
      </c>
      <c r="O371" s="60">
        <v>14278.36</v>
      </c>
      <c r="P371" s="55"/>
      <c r="Q371" s="55"/>
      <c r="R371" s="61">
        <f t="shared" si="140"/>
        <v>216.34</v>
      </c>
      <c r="S371" s="60">
        <v>216.34</v>
      </c>
      <c r="T371" s="60">
        <v>216.34</v>
      </c>
      <c r="U371" s="60">
        <v>216.34</v>
      </c>
      <c r="V371" s="60">
        <v>216.34</v>
      </c>
      <c r="W371" s="60">
        <v>216.34</v>
      </c>
      <c r="X371" s="61">
        <f t="shared" si="141"/>
        <v>1298.04</v>
      </c>
      <c r="Y371" s="60">
        <v>216.34</v>
      </c>
      <c r="Z371" s="60">
        <v>216.34</v>
      </c>
      <c r="AA371" s="60">
        <v>216.34</v>
      </c>
      <c r="AB371" s="60">
        <v>216.34</v>
      </c>
      <c r="AC371" s="60">
        <v>216.34</v>
      </c>
      <c r="AD371" s="60">
        <v>216.34</v>
      </c>
      <c r="AE371" s="61">
        <f t="shared" si="142"/>
        <v>1298.04</v>
      </c>
      <c r="AF371" s="62">
        <f t="shared" si="148"/>
        <v>41538.339999999997</v>
      </c>
      <c r="AG371" s="62">
        <f t="shared" si="149"/>
        <v>29856.06</v>
      </c>
      <c r="AH371" s="62">
        <f t="shared" si="146"/>
        <v>11682.279999999995</v>
      </c>
      <c r="AI371" s="63"/>
      <c r="AJ371" s="63"/>
      <c r="AK371" s="62"/>
      <c r="AL371" s="60">
        <v>216.34</v>
      </c>
      <c r="AM371" s="60">
        <v>216.34</v>
      </c>
      <c r="AN371" s="60">
        <v>216.34</v>
      </c>
      <c r="AO371" s="60">
        <v>216.34</v>
      </c>
      <c r="AP371" s="60">
        <v>216.34</v>
      </c>
      <c r="AQ371" s="60">
        <v>216.34</v>
      </c>
      <c r="AR371" s="61">
        <f t="shared" si="143"/>
        <v>1298.04</v>
      </c>
      <c r="AS371" s="60">
        <v>216.34</v>
      </c>
      <c r="AT371" s="60">
        <v>216.34</v>
      </c>
      <c r="AU371" s="60">
        <v>216.34</v>
      </c>
      <c r="AV371" s="60">
        <v>216.34</v>
      </c>
      <c r="AW371" s="60">
        <v>216.34</v>
      </c>
      <c r="AX371" s="60">
        <v>216.34</v>
      </c>
      <c r="AY371" s="61">
        <f t="shared" si="144"/>
        <v>1298.04</v>
      </c>
      <c r="AZ371" s="56">
        <f t="shared" si="139"/>
        <v>2596.08</v>
      </c>
      <c r="BA371" s="62">
        <f t="shared" si="137"/>
        <v>41538.339999999997</v>
      </c>
      <c r="BB371" s="62">
        <f t="shared" si="145"/>
        <v>32452.140000000003</v>
      </c>
      <c r="BC371" s="62">
        <f t="shared" si="138"/>
        <v>9086.1999999999935</v>
      </c>
      <c r="BD371" s="63"/>
      <c r="BE371" s="57"/>
      <c r="BF371" s="35" t="e">
        <f>VLOOKUP(A:A,'2023-2027'!A:G,1,+FALSE)</f>
        <v>#N/A</v>
      </c>
      <c r="BG371" s="7" t="e">
        <f t="shared" si="147"/>
        <v>#N/A</v>
      </c>
      <c r="BH371" s="35"/>
    </row>
    <row r="372" spans="1:60" ht="24" hidden="1" customHeight="1" outlineLevel="1" x14ac:dyDescent="0.2">
      <c r="A372" s="59" t="s">
        <v>945</v>
      </c>
      <c r="B372" s="59" t="s">
        <v>31</v>
      </c>
      <c r="C372" s="59" t="s">
        <v>83</v>
      </c>
      <c r="D372" s="65" t="s">
        <v>946</v>
      </c>
      <c r="E372" s="59" t="s">
        <v>595</v>
      </c>
      <c r="F372" s="60">
        <v>41538.339999999997</v>
      </c>
      <c r="G372" s="60">
        <v>24663.9</v>
      </c>
      <c r="H372" s="60">
        <v>16874.439999999999</v>
      </c>
      <c r="I372" s="59"/>
      <c r="J372" s="60">
        <v>2596.08</v>
      </c>
      <c r="K372" s="59"/>
      <c r="L372" s="59"/>
      <c r="M372" s="60">
        <v>41538.339999999997</v>
      </c>
      <c r="N372" s="60">
        <v>27259.98</v>
      </c>
      <c r="O372" s="60">
        <v>14278.36</v>
      </c>
      <c r="P372" s="55"/>
      <c r="Q372" s="55"/>
      <c r="R372" s="61">
        <f t="shared" si="140"/>
        <v>216.34</v>
      </c>
      <c r="S372" s="60">
        <v>216.34</v>
      </c>
      <c r="T372" s="60">
        <v>216.34</v>
      </c>
      <c r="U372" s="60">
        <v>216.34</v>
      </c>
      <c r="V372" s="60">
        <v>216.34</v>
      </c>
      <c r="W372" s="60">
        <v>216.34</v>
      </c>
      <c r="X372" s="61">
        <f t="shared" si="141"/>
        <v>1298.04</v>
      </c>
      <c r="Y372" s="60">
        <v>216.34</v>
      </c>
      <c r="Z372" s="60">
        <v>216.34</v>
      </c>
      <c r="AA372" s="60">
        <v>216.34</v>
      </c>
      <c r="AB372" s="60">
        <v>216.34</v>
      </c>
      <c r="AC372" s="60">
        <v>216.34</v>
      </c>
      <c r="AD372" s="60">
        <v>216.34</v>
      </c>
      <c r="AE372" s="61">
        <f t="shared" si="142"/>
        <v>1298.04</v>
      </c>
      <c r="AF372" s="62">
        <f t="shared" si="148"/>
        <v>41538.339999999997</v>
      </c>
      <c r="AG372" s="62">
        <f t="shared" si="149"/>
        <v>29856.06</v>
      </c>
      <c r="AH372" s="62">
        <f t="shared" si="146"/>
        <v>11682.279999999995</v>
      </c>
      <c r="AI372" s="63"/>
      <c r="AJ372" s="63"/>
      <c r="AK372" s="62"/>
      <c r="AL372" s="60">
        <v>216.34</v>
      </c>
      <c r="AM372" s="60">
        <v>216.34</v>
      </c>
      <c r="AN372" s="60">
        <v>216.34</v>
      </c>
      <c r="AO372" s="60">
        <v>216.34</v>
      </c>
      <c r="AP372" s="60">
        <v>216.34</v>
      </c>
      <c r="AQ372" s="60">
        <v>216.34</v>
      </c>
      <c r="AR372" s="61">
        <f t="shared" si="143"/>
        <v>1298.04</v>
      </c>
      <c r="AS372" s="60">
        <v>216.34</v>
      </c>
      <c r="AT372" s="60">
        <v>216.34</v>
      </c>
      <c r="AU372" s="60">
        <v>216.34</v>
      </c>
      <c r="AV372" s="60">
        <v>216.34</v>
      </c>
      <c r="AW372" s="60">
        <v>216.34</v>
      </c>
      <c r="AX372" s="60">
        <v>216.34</v>
      </c>
      <c r="AY372" s="61">
        <f t="shared" si="144"/>
        <v>1298.04</v>
      </c>
      <c r="AZ372" s="56">
        <f t="shared" si="139"/>
        <v>2596.08</v>
      </c>
      <c r="BA372" s="62">
        <f t="shared" si="137"/>
        <v>41538.339999999997</v>
      </c>
      <c r="BB372" s="62">
        <f t="shared" si="145"/>
        <v>32452.140000000003</v>
      </c>
      <c r="BC372" s="62">
        <f t="shared" si="138"/>
        <v>9086.1999999999935</v>
      </c>
      <c r="BD372" s="63"/>
      <c r="BE372" s="57"/>
      <c r="BF372" s="35" t="e">
        <f>VLOOKUP(A:A,'2023-2027'!A:G,1,+FALSE)</f>
        <v>#N/A</v>
      </c>
      <c r="BG372" s="7" t="e">
        <f t="shared" si="147"/>
        <v>#N/A</v>
      </c>
      <c r="BH372" s="35"/>
    </row>
    <row r="373" spans="1:60" ht="24" hidden="1" customHeight="1" outlineLevel="1" x14ac:dyDescent="0.2">
      <c r="A373" s="59" t="s">
        <v>947</v>
      </c>
      <c r="B373" s="59" t="s">
        <v>31</v>
      </c>
      <c r="C373" s="59" t="s">
        <v>83</v>
      </c>
      <c r="D373" s="65" t="s">
        <v>948</v>
      </c>
      <c r="E373" s="59" t="s">
        <v>595</v>
      </c>
      <c r="F373" s="60">
        <v>41538.339999999997</v>
      </c>
      <c r="G373" s="60">
        <v>24663.9</v>
      </c>
      <c r="H373" s="60">
        <v>16874.439999999999</v>
      </c>
      <c r="I373" s="59"/>
      <c r="J373" s="60">
        <v>2596.08</v>
      </c>
      <c r="K373" s="59"/>
      <c r="L373" s="59"/>
      <c r="M373" s="60">
        <v>41538.339999999997</v>
      </c>
      <c r="N373" s="60">
        <v>27259.98</v>
      </c>
      <c r="O373" s="60">
        <v>14278.36</v>
      </c>
      <c r="P373" s="55"/>
      <c r="Q373" s="55"/>
      <c r="R373" s="61">
        <f t="shared" si="140"/>
        <v>216.34</v>
      </c>
      <c r="S373" s="60">
        <v>216.34</v>
      </c>
      <c r="T373" s="60">
        <v>216.34</v>
      </c>
      <c r="U373" s="60">
        <v>216.34</v>
      </c>
      <c r="V373" s="60">
        <v>216.34</v>
      </c>
      <c r="W373" s="60">
        <v>216.34</v>
      </c>
      <c r="X373" s="61">
        <f t="shared" si="141"/>
        <v>1298.04</v>
      </c>
      <c r="Y373" s="60">
        <v>216.34</v>
      </c>
      <c r="Z373" s="60">
        <v>216.34</v>
      </c>
      <c r="AA373" s="60">
        <v>216.34</v>
      </c>
      <c r="AB373" s="60">
        <v>216.34</v>
      </c>
      <c r="AC373" s="60">
        <v>216.34</v>
      </c>
      <c r="AD373" s="60">
        <v>216.34</v>
      </c>
      <c r="AE373" s="61">
        <f t="shared" si="142"/>
        <v>1298.04</v>
      </c>
      <c r="AF373" s="62">
        <f t="shared" si="148"/>
        <v>41538.339999999997</v>
      </c>
      <c r="AG373" s="62">
        <f t="shared" si="149"/>
        <v>29856.06</v>
      </c>
      <c r="AH373" s="62">
        <f t="shared" si="146"/>
        <v>11682.279999999995</v>
      </c>
      <c r="AI373" s="63"/>
      <c r="AJ373" s="63"/>
      <c r="AK373" s="62"/>
      <c r="AL373" s="60">
        <v>216.34</v>
      </c>
      <c r="AM373" s="60">
        <v>216.34</v>
      </c>
      <c r="AN373" s="60">
        <v>216.34</v>
      </c>
      <c r="AO373" s="60">
        <v>216.34</v>
      </c>
      <c r="AP373" s="60">
        <v>216.34</v>
      </c>
      <c r="AQ373" s="60">
        <v>216.34</v>
      </c>
      <c r="AR373" s="61">
        <f t="shared" si="143"/>
        <v>1298.04</v>
      </c>
      <c r="AS373" s="60">
        <v>216.34</v>
      </c>
      <c r="AT373" s="60">
        <v>216.34</v>
      </c>
      <c r="AU373" s="60">
        <v>216.34</v>
      </c>
      <c r="AV373" s="60">
        <v>216.34</v>
      </c>
      <c r="AW373" s="60">
        <v>216.34</v>
      </c>
      <c r="AX373" s="60">
        <v>216.34</v>
      </c>
      <c r="AY373" s="61">
        <f t="shared" si="144"/>
        <v>1298.04</v>
      </c>
      <c r="AZ373" s="56">
        <f t="shared" si="139"/>
        <v>2596.08</v>
      </c>
      <c r="BA373" s="62">
        <f t="shared" si="137"/>
        <v>41538.339999999997</v>
      </c>
      <c r="BB373" s="62">
        <f t="shared" si="145"/>
        <v>32452.140000000003</v>
      </c>
      <c r="BC373" s="62">
        <f t="shared" si="138"/>
        <v>9086.1999999999935</v>
      </c>
      <c r="BD373" s="63"/>
      <c r="BE373" s="57"/>
      <c r="BF373" s="35" t="e">
        <f>VLOOKUP(A:A,'2023-2027'!A:G,1,+FALSE)</f>
        <v>#N/A</v>
      </c>
      <c r="BG373" s="7" t="e">
        <f t="shared" si="147"/>
        <v>#N/A</v>
      </c>
      <c r="BH373" s="35"/>
    </row>
    <row r="374" spans="1:60" ht="24" hidden="1" customHeight="1" outlineLevel="1" x14ac:dyDescent="0.2">
      <c r="A374" s="59" t="s">
        <v>949</v>
      </c>
      <c r="B374" s="59" t="s">
        <v>31</v>
      </c>
      <c r="C374" s="59" t="s">
        <v>83</v>
      </c>
      <c r="D374" s="65" t="s">
        <v>950</v>
      </c>
      <c r="E374" s="59" t="s">
        <v>595</v>
      </c>
      <c r="F374" s="60">
        <v>41538.339999999997</v>
      </c>
      <c r="G374" s="60">
        <v>24663.9</v>
      </c>
      <c r="H374" s="60">
        <v>16874.439999999999</v>
      </c>
      <c r="I374" s="59"/>
      <c r="J374" s="60">
        <v>2596.08</v>
      </c>
      <c r="K374" s="59"/>
      <c r="L374" s="59"/>
      <c r="M374" s="60">
        <v>41538.339999999997</v>
      </c>
      <c r="N374" s="60">
        <v>27259.98</v>
      </c>
      <c r="O374" s="60">
        <v>14278.36</v>
      </c>
      <c r="P374" s="55"/>
      <c r="Q374" s="55"/>
      <c r="R374" s="61">
        <f t="shared" si="140"/>
        <v>216.34</v>
      </c>
      <c r="S374" s="60">
        <v>216.34</v>
      </c>
      <c r="T374" s="60">
        <v>216.34</v>
      </c>
      <c r="U374" s="60">
        <v>216.34</v>
      </c>
      <c r="V374" s="60">
        <v>216.34</v>
      </c>
      <c r="W374" s="60">
        <v>216.34</v>
      </c>
      <c r="X374" s="61">
        <f t="shared" si="141"/>
        <v>1298.04</v>
      </c>
      <c r="Y374" s="60">
        <v>216.34</v>
      </c>
      <c r="Z374" s="60">
        <v>216.34</v>
      </c>
      <c r="AA374" s="60">
        <v>216.34</v>
      </c>
      <c r="AB374" s="60">
        <v>216.34</v>
      </c>
      <c r="AC374" s="60">
        <v>216.34</v>
      </c>
      <c r="AD374" s="60">
        <v>216.34</v>
      </c>
      <c r="AE374" s="61">
        <f t="shared" si="142"/>
        <v>1298.04</v>
      </c>
      <c r="AF374" s="62">
        <f t="shared" si="148"/>
        <v>41538.339999999997</v>
      </c>
      <c r="AG374" s="62">
        <f t="shared" si="149"/>
        <v>29856.06</v>
      </c>
      <c r="AH374" s="62">
        <f t="shared" si="146"/>
        <v>11682.279999999995</v>
      </c>
      <c r="AI374" s="63"/>
      <c r="AJ374" s="63"/>
      <c r="AK374" s="62"/>
      <c r="AL374" s="60">
        <v>216.34</v>
      </c>
      <c r="AM374" s="60">
        <v>216.34</v>
      </c>
      <c r="AN374" s="60">
        <v>216.34</v>
      </c>
      <c r="AO374" s="60">
        <v>216.34</v>
      </c>
      <c r="AP374" s="60">
        <v>216.34</v>
      </c>
      <c r="AQ374" s="60">
        <v>216.34</v>
      </c>
      <c r="AR374" s="61">
        <f t="shared" si="143"/>
        <v>1298.04</v>
      </c>
      <c r="AS374" s="60">
        <v>216.34</v>
      </c>
      <c r="AT374" s="60">
        <v>216.34</v>
      </c>
      <c r="AU374" s="60">
        <v>216.34</v>
      </c>
      <c r="AV374" s="60">
        <v>216.34</v>
      </c>
      <c r="AW374" s="60">
        <v>216.34</v>
      </c>
      <c r="AX374" s="60">
        <v>216.34</v>
      </c>
      <c r="AY374" s="61">
        <f t="shared" si="144"/>
        <v>1298.04</v>
      </c>
      <c r="AZ374" s="56">
        <f t="shared" si="139"/>
        <v>2596.08</v>
      </c>
      <c r="BA374" s="62">
        <f t="shared" si="137"/>
        <v>41538.339999999997</v>
      </c>
      <c r="BB374" s="62">
        <f t="shared" si="145"/>
        <v>32452.140000000003</v>
      </c>
      <c r="BC374" s="62">
        <f t="shared" si="138"/>
        <v>9086.1999999999935</v>
      </c>
      <c r="BD374" s="63"/>
      <c r="BE374" s="57"/>
      <c r="BF374" s="35" t="e">
        <f>VLOOKUP(A:A,'2023-2027'!A:G,1,+FALSE)</f>
        <v>#N/A</v>
      </c>
      <c r="BG374" s="7" t="e">
        <f t="shared" si="147"/>
        <v>#N/A</v>
      </c>
      <c r="BH374" s="35"/>
    </row>
    <row r="375" spans="1:60" ht="24" hidden="1" customHeight="1" outlineLevel="1" x14ac:dyDescent="0.2">
      <c r="A375" s="59" t="s">
        <v>951</v>
      </c>
      <c r="B375" s="59" t="s">
        <v>31</v>
      </c>
      <c r="C375" s="59" t="s">
        <v>83</v>
      </c>
      <c r="D375" s="65" t="s">
        <v>952</v>
      </c>
      <c r="E375" s="59" t="s">
        <v>595</v>
      </c>
      <c r="F375" s="60">
        <v>41538.339999999997</v>
      </c>
      <c r="G375" s="60">
        <v>24663.9</v>
      </c>
      <c r="H375" s="60">
        <v>16874.439999999999</v>
      </c>
      <c r="I375" s="59"/>
      <c r="J375" s="60">
        <v>2596.08</v>
      </c>
      <c r="K375" s="59"/>
      <c r="L375" s="59"/>
      <c r="M375" s="60">
        <v>41538.339999999997</v>
      </c>
      <c r="N375" s="60">
        <v>27259.98</v>
      </c>
      <c r="O375" s="60">
        <v>14278.36</v>
      </c>
      <c r="P375" s="55"/>
      <c r="Q375" s="55"/>
      <c r="R375" s="61">
        <f t="shared" si="140"/>
        <v>216.34</v>
      </c>
      <c r="S375" s="60">
        <v>216.34</v>
      </c>
      <c r="T375" s="60">
        <v>216.34</v>
      </c>
      <c r="U375" s="60">
        <v>216.34</v>
      </c>
      <c r="V375" s="60">
        <v>216.34</v>
      </c>
      <c r="W375" s="60">
        <v>216.34</v>
      </c>
      <c r="X375" s="61">
        <f t="shared" si="141"/>
        <v>1298.04</v>
      </c>
      <c r="Y375" s="60">
        <v>216.34</v>
      </c>
      <c r="Z375" s="60">
        <v>216.34</v>
      </c>
      <c r="AA375" s="60">
        <v>216.34</v>
      </c>
      <c r="AB375" s="60">
        <v>216.34</v>
      </c>
      <c r="AC375" s="60">
        <v>216.34</v>
      </c>
      <c r="AD375" s="60">
        <v>216.34</v>
      </c>
      <c r="AE375" s="61">
        <f t="shared" si="142"/>
        <v>1298.04</v>
      </c>
      <c r="AF375" s="62">
        <f t="shared" si="148"/>
        <v>41538.339999999997</v>
      </c>
      <c r="AG375" s="62">
        <f t="shared" si="149"/>
        <v>29856.06</v>
      </c>
      <c r="AH375" s="62">
        <f t="shared" si="146"/>
        <v>11682.279999999995</v>
      </c>
      <c r="AI375" s="63"/>
      <c r="AJ375" s="63"/>
      <c r="AK375" s="62"/>
      <c r="AL375" s="60">
        <v>216.34</v>
      </c>
      <c r="AM375" s="60">
        <v>216.34</v>
      </c>
      <c r="AN375" s="60">
        <v>216.34</v>
      </c>
      <c r="AO375" s="60">
        <v>216.34</v>
      </c>
      <c r="AP375" s="60">
        <v>216.34</v>
      </c>
      <c r="AQ375" s="60">
        <v>216.34</v>
      </c>
      <c r="AR375" s="61">
        <f t="shared" si="143"/>
        <v>1298.04</v>
      </c>
      <c r="AS375" s="60">
        <v>216.34</v>
      </c>
      <c r="AT375" s="60">
        <v>216.34</v>
      </c>
      <c r="AU375" s="60">
        <v>216.34</v>
      </c>
      <c r="AV375" s="60">
        <v>216.34</v>
      </c>
      <c r="AW375" s="60">
        <v>216.34</v>
      </c>
      <c r="AX375" s="60">
        <v>216.34</v>
      </c>
      <c r="AY375" s="61">
        <f t="shared" si="144"/>
        <v>1298.04</v>
      </c>
      <c r="AZ375" s="56">
        <f t="shared" si="139"/>
        <v>2596.08</v>
      </c>
      <c r="BA375" s="62">
        <f t="shared" ref="BA375:BA438" si="150">AF375</f>
        <v>41538.339999999997</v>
      </c>
      <c r="BB375" s="62">
        <f t="shared" si="145"/>
        <v>32452.140000000003</v>
      </c>
      <c r="BC375" s="62">
        <f t="shared" si="138"/>
        <v>9086.1999999999935</v>
      </c>
      <c r="BD375" s="63"/>
      <c r="BE375" s="57"/>
      <c r="BF375" s="35" t="e">
        <f>VLOOKUP(A:A,'2023-2027'!A:G,1,+FALSE)</f>
        <v>#N/A</v>
      </c>
      <c r="BG375" s="7" t="e">
        <f t="shared" si="147"/>
        <v>#N/A</v>
      </c>
      <c r="BH375" s="35"/>
    </row>
    <row r="376" spans="1:60" ht="24" hidden="1" customHeight="1" outlineLevel="1" x14ac:dyDescent="0.2">
      <c r="A376" s="59" t="s">
        <v>953</v>
      </c>
      <c r="B376" s="59" t="s">
        <v>31</v>
      </c>
      <c r="C376" s="59" t="s">
        <v>83</v>
      </c>
      <c r="D376" s="65" t="s">
        <v>954</v>
      </c>
      <c r="E376" s="59" t="s">
        <v>237</v>
      </c>
      <c r="F376" s="60">
        <v>41538.339999999997</v>
      </c>
      <c r="G376" s="60">
        <v>25962</v>
      </c>
      <c r="H376" s="60">
        <v>15576.34</v>
      </c>
      <c r="I376" s="59"/>
      <c r="J376" s="60">
        <v>2596.08</v>
      </c>
      <c r="K376" s="59"/>
      <c r="L376" s="59"/>
      <c r="M376" s="60">
        <v>41538.339999999997</v>
      </c>
      <c r="N376" s="60">
        <v>28558.080000000002</v>
      </c>
      <c r="O376" s="60">
        <v>12980.26</v>
      </c>
      <c r="P376" s="55"/>
      <c r="Q376" s="55"/>
      <c r="R376" s="61">
        <f t="shared" si="140"/>
        <v>216.34</v>
      </c>
      <c r="S376" s="60">
        <v>216.34</v>
      </c>
      <c r="T376" s="60">
        <v>216.34</v>
      </c>
      <c r="U376" s="60">
        <v>216.34</v>
      </c>
      <c r="V376" s="60">
        <v>216.34</v>
      </c>
      <c r="W376" s="60">
        <v>216.34</v>
      </c>
      <c r="X376" s="61">
        <f t="shared" si="141"/>
        <v>1298.04</v>
      </c>
      <c r="Y376" s="60">
        <v>216.34</v>
      </c>
      <c r="Z376" s="60">
        <v>216.34</v>
      </c>
      <c r="AA376" s="60">
        <v>216.34</v>
      </c>
      <c r="AB376" s="60">
        <v>216.34</v>
      </c>
      <c r="AC376" s="60">
        <v>216.34</v>
      </c>
      <c r="AD376" s="60">
        <v>216.34</v>
      </c>
      <c r="AE376" s="61">
        <f t="shared" si="142"/>
        <v>1298.04</v>
      </c>
      <c r="AF376" s="62">
        <f t="shared" si="148"/>
        <v>41538.339999999997</v>
      </c>
      <c r="AG376" s="62">
        <f t="shared" si="149"/>
        <v>31154.160000000003</v>
      </c>
      <c r="AH376" s="62">
        <f t="shared" si="146"/>
        <v>10384.179999999993</v>
      </c>
      <c r="AI376" s="63"/>
      <c r="AJ376" s="63"/>
      <c r="AK376" s="62"/>
      <c r="AL376" s="60">
        <v>216.34</v>
      </c>
      <c r="AM376" s="60">
        <v>216.34</v>
      </c>
      <c r="AN376" s="60">
        <v>216.34</v>
      </c>
      <c r="AO376" s="60">
        <v>216.34</v>
      </c>
      <c r="AP376" s="60">
        <v>216.34</v>
      </c>
      <c r="AQ376" s="60">
        <v>216.34</v>
      </c>
      <c r="AR376" s="61">
        <f t="shared" si="143"/>
        <v>1298.04</v>
      </c>
      <c r="AS376" s="60">
        <v>216.34</v>
      </c>
      <c r="AT376" s="60">
        <v>216.34</v>
      </c>
      <c r="AU376" s="60">
        <v>216.34</v>
      </c>
      <c r="AV376" s="60">
        <v>216.34</v>
      </c>
      <c r="AW376" s="60">
        <v>216.34</v>
      </c>
      <c r="AX376" s="60">
        <v>216.34</v>
      </c>
      <c r="AY376" s="61">
        <f t="shared" si="144"/>
        <v>1298.04</v>
      </c>
      <c r="AZ376" s="56">
        <f t="shared" si="139"/>
        <v>2596.08</v>
      </c>
      <c r="BA376" s="62">
        <f t="shared" si="150"/>
        <v>41538.339999999997</v>
      </c>
      <c r="BB376" s="62">
        <f t="shared" si="145"/>
        <v>33750.239999999991</v>
      </c>
      <c r="BC376" s="62">
        <f t="shared" si="138"/>
        <v>7788.1000000000058</v>
      </c>
      <c r="BD376" s="63"/>
      <c r="BE376" s="57"/>
      <c r="BF376" s="35" t="e">
        <f>VLOOKUP(A:A,'2023-2027'!A:G,1,+FALSE)</f>
        <v>#N/A</v>
      </c>
      <c r="BG376" s="7" t="e">
        <f t="shared" si="147"/>
        <v>#N/A</v>
      </c>
      <c r="BH376" s="35"/>
    </row>
    <row r="377" spans="1:60" ht="24" hidden="1" customHeight="1" outlineLevel="1" x14ac:dyDescent="0.2">
      <c r="A377" s="59" t="s">
        <v>955</v>
      </c>
      <c r="B377" s="59" t="s">
        <v>31</v>
      </c>
      <c r="C377" s="59" t="s">
        <v>83</v>
      </c>
      <c r="D377" s="65" t="s">
        <v>956</v>
      </c>
      <c r="E377" s="59" t="s">
        <v>237</v>
      </c>
      <c r="F377" s="60">
        <v>41538.339999999997</v>
      </c>
      <c r="G377" s="60">
        <v>25962</v>
      </c>
      <c r="H377" s="60">
        <v>15576.34</v>
      </c>
      <c r="I377" s="59"/>
      <c r="J377" s="60">
        <v>2596.08</v>
      </c>
      <c r="K377" s="59"/>
      <c r="L377" s="59"/>
      <c r="M377" s="60">
        <v>41538.339999999997</v>
      </c>
      <c r="N377" s="60">
        <v>28558.080000000002</v>
      </c>
      <c r="O377" s="60">
        <v>12980.26</v>
      </c>
      <c r="P377" s="55"/>
      <c r="Q377" s="55"/>
      <c r="R377" s="61">
        <f t="shared" si="140"/>
        <v>216.34</v>
      </c>
      <c r="S377" s="60">
        <v>216.34</v>
      </c>
      <c r="T377" s="60">
        <v>216.34</v>
      </c>
      <c r="U377" s="60">
        <v>216.34</v>
      </c>
      <c r="V377" s="60">
        <v>216.34</v>
      </c>
      <c r="W377" s="60">
        <v>216.34</v>
      </c>
      <c r="X377" s="61">
        <f t="shared" si="141"/>
        <v>1298.04</v>
      </c>
      <c r="Y377" s="60">
        <v>216.34</v>
      </c>
      <c r="Z377" s="60">
        <v>216.34</v>
      </c>
      <c r="AA377" s="60">
        <v>216.34</v>
      </c>
      <c r="AB377" s="60">
        <v>216.34</v>
      </c>
      <c r="AC377" s="60">
        <v>216.34</v>
      </c>
      <c r="AD377" s="60">
        <v>216.34</v>
      </c>
      <c r="AE377" s="61">
        <f t="shared" si="142"/>
        <v>1298.04</v>
      </c>
      <c r="AF377" s="62">
        <f t="shared" si="148"/>
        <v>41538.339999999997</v>
      </c>
      <c r="AG377" s="62">
        <f t="shared" si="149"/>
        <v>31154.160000000003</v>
      </c>
      <c r="AH377" s="62">
        <f t="shared" si="146"/>
        <v>10384.179999999993</v>
      </c>
      <c r="AI377" s="63"/>
      <c r="AJ377" s="63"/>
      <c r="AK377" s="62"/>
      <c r="AL377" s="60">
        <v>216.34</v>
      </c>
      <c r="AM377" s="60">
        <v>216.34</v>
      </c>
      <c r="AN377" s="60">
        <v>216.34</v>
      </c>
      <c r="AO377" s="60">
        <v>216.34</v>
      </c>
      <c r="AP377" s="60">
        <v>216.34</v>
      </c>
      <c r="AQ377" s="60">
        <v>216.34</v>
      </c>
      <c r="AR377" s="61">
        <f t="shared" si="143"/>
        <v>1298.04</v>
      </c>
      <c r="AS377" s="60">
        <v>216.34</v>
      </c>
      <c r="AT377" s="60">
        <v>216.34</v>
      </c>
      <c r="AU377" s="60">
        <v>216.34</v>
      </c>
      <c r="AV377" s="60">
        <v>216.34</v>
      </c>
      <c r="AW377" s="60">
        <v>216.34</v>
      </c>
      <c r="AX377" s="60">
        <v>216.34</v>
      </c>
      <c r="AY377" s="61">
        <f t="shared" si="144"/>
        <v>1298.04</v>
      </c>
      <c r="AZ377" s="56">
        <f t="shared" si="139"/>
        <v>2596.08</v>
      </c>
      <c r="BA377" s="62">
        <f t="shared" si="150"/>
        <v>41538.339999999997</v>
      </c>
      <c r="BB377" s="62">
        <f t="shared" si="145"/>
        <v>33750.239999999991</v>
      </c>
      <c r="BC377" s="62">
        <f t="shared" si="138"/>
        <v>7788.1000000000058</v>
      </c>
      <c r="BD377" s="63"/>
      <c r="BE377" s="57"/>
      <c r="BF377" s="35" t="e">
        <f>VLOOKUP(A:A,'2023-2027'!A:G,1,+FALSE)</f>
        <v>#N/A</v>
      </c>
      <c r="BG377" s="7" t="e">
        <f t="shared" si="147"/>
        <v>#N/A</v>
      </c>
      <c r="BH377" s="35"/>
    </row>
    <row r="378" spans="1:60" ht="24" hidden="1" customHeight="1" outlineLevel="1" x14ac:dyDescent="0.2">
      <c r="A378" s="59" t="s">
        <v>957</v>
      </c>
      <c r="B378" s="59" t="s">
        <v>31</v>
      </c>
      <c r="C378" s="59" t="s">
        <v>83</v>
      </c>
      <c r="D378" s="65" t="s">
        <v>958</v>
      </c>
      <c r="E378" s="59" t="s">
        <v>237</v>
      </c>
      <c r="F378" s="60">
        <v>41538.339999999997</v>
      </c>
      <c r="G378" s="60">
        <v>25962</v>
      </c>
      <c r="H378" s="60">
        <v>15576.34</v>
      </c>
      <c r="I378" s="59"/>
      <c r="J378" s="60">
        <v>2596.08</v>
      </c>
      <c r="K378" s="59"/>
      <c r="L378" s="59"/>
      <c r="M378" s="60">
        <v>41538.339999999997</v>
      </c>
      <c r="N378" s="60">
        <v>28558.080000000002</v>
      </c>
      <c r="O378" s="60">
        <v>12980.26</v>
      </c>
      <c r="P378" s="55"/>
      <c r="Q378" s="55"/>
      <c r="R378" s="61">
        <f t="shared" si="140"/>
        <v>216.34</v>
      </c>
      <c r="S378" s="60">
        <v>216.34</v>
      </c>
      <c r="T378" s="60">
        <v>216.34</v>
      </c>
      <c r="U378" s="60">
        <v>216.34</v>
      </c>
      <c r="V378" s="60">
        <v>216.34</v>
      </c>
      <c r="W378" s="60">
        <v>216.34</v>
      </c>
      <c r="X378" s="61">
        <f t="shared" si="141"/>
        <v>1298.04</v>
      </c>
      <c r="Y378" s="60">
        <v>216.34</v>
      </c>
      <c r="Z378" s="60">
        <v>216.34</v>
      </c>
      <c r="AA378" s="60">
        <v>216.34</v>
      </c>
      <c r="AB378" s="60">
        <v>216.34</v>
      </c>
      <c r="AC378" s="60">
        <v>216.34</v>
      </c>
      <c r="AD378" s="60">
        <v>216.34</v>
      </c>
      <c r="AE378" s="61">
        <f t="shared" si="142"/>
        <v>1298.04</v>
      </c>
      <c r="AF378" s="62">
        <f t="shared" si="148"/>
        <v>41538.339999999997</v>
      </c>
      <c r="AG378" s="62">
        <f t="shared" si="149"/>
        <v>31154.160000000003</v>
      </c>
      <c r="AH378" s="62">
        <f t="shared" si="146"/>
        <v>10384.179999999993</v>
      </c>
      <c r="AI378" s="63"/>
      <c r="AJ378" s="63"/>
      <c r="AK378" s="62"/>
      <c r="AL378" s="60">
        <v>216.34</v>
      </c>
      <c r="AM378" s="60">
        <v>216.34</v>
      </c>
      <c r="AN378" s="60">
        <v>216.34</v>
      </c>
      <c r="AO378" s="60">
        <v>216.34</v>
      </c>
      <c r="AP378" s="60">
        <v>216.34</v>
      </c>
      <c r="AQ378" s="60">
        <v>216.34</v>
      </c>
      <c r="AR378" s="61">
        <f t="shared" si="143"/>
        <v>1298.04</v>
      </c>
      <c r="AS378" s="60">
        <v>216.34</v>
      </c>
      <c r="AT378" s="60">
        <v>216.34</v>
      </c>
      <c r="AU378" s="60">
        <v>216.34</v>
      </c>
      <c r="AV378" s="60">
        <v>216.34</v>
      </c>
      <c r="AW378" s="60">
        <v>216.34</v>
      </c>
      <c r="AX378" s="60">
        <v>216.34</v>
      </c>
      <c r="AY378" s="61">
        <f t="shared" si="144"/>
        <v>1298.04</v>
      </c>
      <c r="AZ378" s="56">
        <f t="shared" si="139"/>
        <v>2596.08</v>
      </c>
      <c r="BA378" s="62">
        <f t="shared" si="150"/>
        <v>41538.339999999997</v>
      </c>
      <c r="BB378" s="62">
        <f t="shared" si="145"/>
        <v>33750.239999999991</v>
      </c>
      <c r="BC378" s="62">
        <f t="shared" si="138"/>
        <v>7788.1000000000058</v>
      </c>
      <c r="BD378" s="63"/>
      <c r="BE378" s="57"/>
      <c r="BF378" s="35" t="e">
        <f>VLOOKUP(A:A,'2023-2027'!A:G,1,+FALSE)</f>
        <v>#N/A</v>
      </c>
      <c r="BG378" s="7" t="e">
        <f t="shared" si="147"/>
        <v>#N/A</v>
      </c>
      <c r="BH378" s="35"/>
    </row>
    <row r="379" spans="1:60" ht="24" hidden="1" customHeight="1" outlineLevel="1" x14ac:dyDescent="0.2">
      <c r="A379" s="59" t="s">
        <v>959</v>
      </c>
      <c r="B379" s="59" t="s">
        <v>31</v>
      </c>
      <c r="C379" s="59" t="s">
        <v>83</v>
      </c>
      <c r="D379" s="65" t="s">
        <v>960</v>
      </c>
      <c r="E379" s="59" t="s">
        <v>237</v>
      </c>
      <c r="F379" s="60">
        <v>41538.339999999997</v>
      </c>
      <c r="G379" s="60">
        <v>25962</v>
      </c>
      <c r="H379" s="60">
        <v>15576.34</v>
      </c>
      <c r="I379" s="59"/>
      <c r="J379" s="60">
        <v>2596.08</v>
      </c>
      <c r="K379" s="59"/>
      <c r="L379" s="59"/>
      <c r="M379" s="60">
        <v>41538.339999999997</v>
      </c>
      <c r="N379" s="60">
        <v>28558.080000000002</v>
      </c>
      <c r="O379" s="60">
        <v>12980.26</v>
      </c>
      <c r="P379" s="55"/>
      <c r="Q379" s="55"/>
      <c r="R379" s="61">
        <f t="shared" si="140"/>
        <v>216.34</v>
      </c>
      <c r="S379" s="60">
        <v>216.34</v>
      </c>
      <c r="T379" s="60">
        <v>216.34</v>
      </c>
      <c r="U379" s="60">
        <v>216.34</v>
      </c>
      <c r="V379" s="60">
        <v>216.34</v>
      </c>
      <c r="W379" s="60">
        <v>216.34</v>
      </c>
      <c r="X379" s="61">
        <f t="shared" si="141"/>
        <v>1298.04</v>
      </c>
      <c r="Y379" s="60">
        <v>216.34</v>
      </c>
      <c r="Z379" s="60">
        <v>216.34</v>
      </c>
      <c r="AA379" s="60">
        <v>216.34</v>
      </c>
      <c r="AB379" s="60">
        <v>216.34</v>
      </c>
      <c r="AC379" s="60">
        <v>216.34</v>
      </c>
      <c r="AD379" s="60">
        <v>216.34</v>
      </c>
      <c r="AE379" s="61">
        <f t="shared" si="142"/>
        <v>1298.04</v>
      </c>
      <c r="AF379" s="62">
        <f t="shared" si="148"/>
        <v>41538.339999999997</v>
      </c>
      <c r="AG379" s="62">
        <f t="shared" si="149"/>
        <v>31154.160000000003</v>
      </c>
      <c r="AH379" s="62">
        <f t="shared" si="146"/>
        <v>10384.179999999993</v>
      </c>
      <c r="AI379" s="63"/>
      <c r="AJ379" s="63"/>
      <c r="AK379" s="62"/>
      <c r="AL379" s="60">
        <v>216.34</v>
      </c>
      <c r="AM379" s="60">
        <v>216.34</v>
      </c>
      <c r="AN379" s="60">
        <v>216.34</v>
      </c>
      <c r="AO379" s="60">
        <v>216.34</v>
      </c>
      <c r="AP379" s="60">
        <v>216.34</v>
      </c>
      <c r="AQ379" s="60">
        <v>216.34</v>
      </c>
      <c r="AR379" s="61">
        <f t="shared" si="143"/>
        <v>1298.04</v>
      </c>
      <c r="AS379" s="60">
        <v>216.34</v>
      </c>
      <c r="AT379" s="60">
        <v>216.34</v>
      </c>
      <c r="AU379" s="60">
        <v>216.34</v>
      </c>
      <c r="AV379" s="60">
        <v>216.34</v>
      </c>
      <c r="AW379" s="60">
        <v>216.34</v>
      </c>
      <c r="AX379" s="60">
        <v>216.34</v>
      </c>
      <c r="AY379" s="61">
        <f t="shared" si="144"/>
        <v>1298.04</v>
      </c>
      <c r="AZ379" s="56">
        <f t="shared" si="139"/>
        <v>2596.08</v>
      </c>
      <c r="BA379" s="62">
        <f t="shared" si="150"/>
        <v>41538.339999999997</v>
      </c>
      <c r="BB379" s="62">
        <f t="shared" si="145"/>
        <v>33750.239999999991</v>
      </c>
      <c r="BC379" s="62">
        <f t="shared" si="138"/>
        <v>7788.1000000000058</v>
      </c>
      <c r="BD379" s="63"/>
      <c r="BE379" s="57"/>
      <c r="BF379" s="35" t="e">
        <f>VLOOKUP(A:A,'2023-2027'!A:G,1,+FALSE)</f>
        <v>#N/A</v>
      </c>
      <c r="BG379" s="7" t="e">
        <f t="shared" si="147"/>
        <v>#N/A</v>
      </c>
      <c r="BH379" s="35"/>
    </row>
    <row r="380" spans="1:60" ht="24" hidden="1" customHeight="1" outlineLevel="1" x14ac:dyDescent="0.2">
      <c r="A380" s="59" t="s">
        <v>961</v>
      </c>
      <c r="B380" s="59" t="s">
        <v>31</v>
      </c>
      <c r="C380" s="59" t="s">
        <v>83</v>
      </c>
      <c r="D380" s="65" t="s">
        <v>962</v>
      </c>
      <c r="E380" s="59" t="s">
        <v>237</v>
      </c>
      <c r="F380" s="60">
        <v>41538.339999999997</v>
      </c>
      <c r="G380" s="60">
        <v>25962</v>
      </c>
      <c r="H380" s="60">
        <v>15576.34</v>
      </c>
      <c r="I380" s="59"/>
      <c r="J380" s="60">
        <v>2596.08</v>
      </c>
      <c r="K380" s="59"/>
      <c r="L380" s="59"/>
      <c r="M380" s="60">
        <v>41538.339999999997</v>
      </c>
      <c r="N380" s="60">
        <v>28558.080000000002</v>
      </c>
      <c r="O380" s="60">
        <v>12980.26</v>
      </c>
      <c r="P380" s="55"/>
      <c r="Q380" s="55"/>
      <c r="R380" s="61">
        <f t="shared" si="140"/>
        <v>216.34</v>
      </c>
      <c r="S380" s="60">
        <v>216.34</v>
      </c>
      <c r="T380" s="60">
        <v>216.34</v>
      </c>
      <c r="U380" s="60">
        <v>216.34</v>
      </c>
      <c r="V380" s="60">
        <v>216.34</v>
      </c>
      <c r="W380" s="60">
        <v>216.34</v>
      </c>
      <c r="X380" s="61">
        <f t="shared" si="141"/>
        <v>1298.04</v>
      </c>
      <c r="Y380" s="60">
        <v>216.34</v>
      </c>
      <c r="Z380" s="60">
        <v>216.34</v>
      </c>
      <c r="AA380" s="60">
        <v>216.34</v>
      </c>
      <c r="AB380" s="60">
        <v>216.34</v>
      </c>
      <c r="AC380" s="60">
        <v>216.34</v>
      </c>
      <c r="AD380" s="60">
        <v>216.34</v>
      </c>
      <c r="AE380" s="61">
        <f t="shared" si="142"/>
        <v>1298.04</v>
      </c>
      <c r="AF380" s="62">
        <f t="shared" si="148"/>
        <v>41538.339999999997</v>
      </c>
      <c r="AG380" s="62">
        <f t="shared" si="149"/>
        <v>31154.160000000003</v>
      </c>
      <c r="AH380" s="62">
        <f t="shared" si="146"/>
        <v>10384.179999999993</v>
      </c>
      <c r="AI380" s="63"/>
      <c r="AJ380" s="63"/>
      <c r="AK380" s="62"/>
      <c r="AL380" s="60">
        <v>216.34</v>
      </c>
      <c r="AM380" s="60">
        <v>216.34</v>
      </c>
      <c r="AN380" s="60">
        <v>216.34</v>
      </c>
      <c r="AO380" s="60">
        <v>216.34</v>
      </c>
      <c r="AP380" s="60">
        <v>216.34</v>
      </c>
      <c r="AQ380" s="60">
        <v>216.34</v>
      </c>
      <c r="AR380" s="61">
        <f t="shared" si="143"/>
        <v>1298.04</v>
      </c>
      <c r="AS380" s="60">
        <v>216.34</v>
      </c>
      <c r="AT380" s="60">
        <v>216.34</v>
      </c>
      <c r="AU380" s="60">
        <v>216.34</v>
      </c>
      <c r="AV380" s="60">
        <v>216.34</v>
      </c>
      <c r="AW380" s="60">
        <v>216.34</v>
      </c>
      <c r="AX380" s="60">
        <v>216.34</v>
      </c>
      <c r="AY380" s="61">
        <f t="shared" si="144"/>
        <v>1298.04</v>
      </c>
      <c r="AZ380" s="56">
        <f t="shared" si="139"/>
        <v>2596.08</v>
      </c>
      <c r="BA380" s="62">
        <f t="shared" si="150"/>
        <v>41538.339999999997</v>
      </c>
      <c r="BB380" s="62">
        <f t="shared" si="145"/>
        <v>33750.239999999991</v>
      </c>
      <c r="BC380" s="62">
        <f t="shared" si="138"/>
        <v>7788.1000000000058</v>
      </c>
      <c r="BD380" s="63"/>
      <c r="BE380" s="57"/>
      <c r="BF380" s="35" t="e">
        <f>VLOOKUP(A:A,'2023-2027'!A:G,1,+FALSE)</f>
        <v>#N/A</v>
      </c>
      <c r="BG380" s="7" t="e">
        <f t="shared" si="147"/>
        <v>#N/A</v>
      </c>
      <c r="BH380" s="35"/>
    </row>
    <row r="381" spans="1:60" ht="24" hidden="1" customHeight="1" outlineLevel="1" x14ac:dyDescent="0.2">
      <c r="A381" s="59" t="s">
        <v>963</v>
      </c>
      <c r="B381" s="59" t="s">
        <v>31</v>
      </c>
      <c r="C381" s="59" t="s">
        <v>83</v>
      </c>
      <c r="D381" s="65" t="s">
        <v>964</v>
      </c>
      <c r="E381" s="59" t="s">
        <v>778</v>
      </c>
      <c r="F381" s="60">
        <v>41169.22</v>
      </c>
      <c r="G381" s="60">
        <v>24015.040000000001</v>
      </c>
      <c r="H381" s="60">
        <v>17154.18</v>
      </c>
      <c r="I381" s="59"/>
      <c r="J381" s="60">
        <v>2573.16</v>
      </c>
      <c r="K381" s="59"/>
      <c r="L381" s="59"/>
      <c r="M381" s="60">
        <v>41169.22</v>
      </c>
      <c r="N381" s="60">
        <v>26588.2</v>
      </c>
      <c r="O381" s="60">
        <v>14581.02</v>
      </c>
      <c r="P381" s="55"/>
      <c r="Q381" s="55"/>
      <c r="R381" s="61">
        <f t="shared" si="140"/>
        <v>214.42999999999998</v>
      </c>
      <c r="S381" s="60">
        <v>216.34</v>
      </c>
      <c r="T381" s="60">
        <v>216.34</v>
      </c>
      <c r="U381" s="60">
        <v>216.34</v>
      </c>
      <c r="V381" s="60">
        <v>216.34</v>
      </c>
      <c r="W381" s="60">
        <v>216.34</v>
      </c>
      <c r="X381" s="61">
        <f t="shared" si="141"/>
        <v>1296.1299999999999</v>
      </c>
      <c r="Y381" s="60">
        <v>216.34</v>
      </c>
      <c r="Z381" s="60">
        <v>216.34</v>
      </c>
      <c r="AA381" s="60">
        <v>216.34</v>
      </c>
      <c r="AB381" s="60">
        <v>216.34</v>
      </c>
      <c r="AC381" s="60">
        <v>216.34</v>
      </c>
      <c r="AD381" s="60">
        <v>216.34</v>
      </c>
      <c r="AE381" s="61">
        <f t="shared" si="142"/>
        <v>1298.04</v>
      </c>
      <c r="AF381" s="62">
        <f t="shared" si="148"/>
        <v>41169.22</v>
      </c>
      <c r="AG381" s="62">
        <f t="shared" si="149"/>
        <v>29182.370000000003</v>
      </c>
      <c r="AH381" s="62">
        <f t="shared" si="146"/>
        <v>11986.849999999999</v>
      </c>
      <c r="AI381" s="63"/>
      <c r="AJ381" s="63"/>
      <c r="AK381" s="62"/>
      <c r="AL381" s="60">
        <v>216.34</v>
      </c>
      <c r="AM381" s="60">
        <v>216.34</v>
      </c>
      <c r="AN381" s="60">
        <v>216.34</v>
      </c>
      <c r="AO381" s="60">
        <v>216.34</v>
      </c>
      <c r="AP381" s="60">
        <v>216.34</v>
      </c>
      <c r="AQ381" s="60">
        <v>216.34</v>
      </c>
      <c r="AR381" s="61">
        <f t="shared" si="143"/>
        <v>1298.04</v>
      </c>
      <c r="AS381" s="60">
        <v>216.34</v>
      </c>
      <c r="AT381" s="60">
        <v>216.34</v>
      </c>
      <c r="AU381" s="60">
        <v>216.34</v>
      </c>
      <c r="AV381" s="60">
        <v>216.34</v>
      </c>
      <c r="AW381" s="60">
        <v>216.34</v>
      </c>
      <c r="AX381" s="60">
        <v>216.34</v>
      </c>
      <c r="AY381" s="61">
        <f t="shared" si="144"/>
        <v>1298.04</v>
      </c>
      <c r="AZ381" s="56">
        <f t="shared" si="139"/>
        <v>2596.08</v>
      </c>
      <c r="BA381" s="62">
        <f t="shared" si="150"/>
        <v>41169.22</v>
      </c>
      <c r="BB381" s="62">
        <f t="shared" si="145"/>
        <v>31778.450000000004</v>
      </c>
      <c r="BC381" s="62">
        <f t="shared" si="138"/>
        <v>9390.7699999999968</v>
      </c>
      <c r="BD381" s="63"/>
      <c r="BE381" s="57"/>
      <c r="BF381" s="35" t="e">
        <f>VLOOKUP(A:A,'2023-2027'!A:G,1,+FALSE)</f>
        <v>#N/A</v>
      </c>
      <c r="BG381" s="7" t="e">
        <f t="shared" si="147"/>
        <v>#N/A</v>
      </c>
      <c r="BH381" s="35"/>
    </row>
    <row r="382" spans="1:60" ht="24" hidden="1" customHeight="1" outlineLevel="1" x14ac:dyDescent="0.2">
      <c r="A382" s="59" t="s">
        <v>965</v>
      </c>
      <c r="B382" s="59" t="s">
        <v>31</v>
      </c>
      <c r="C382" s="59" t="s">
        <v>83</v>
      </c>
      <c r="D382" s="65" t="s">
        <v>966</v>
      </c>
      <c r="E382" s="59" t="s">
        <v>778</v>
      </c>
      <c r="F382" s="60">
        <v>41169.22</v>
      </c>
      <c r="G382" s="60">
        <v>24015.040000000001</v>
      </c>
      <c r="H382" s="60">
        <v>17154.18</v>
      </c>
      <c r="I382" s="59"/>
      <c r="J382" s="60">
        <v>2573.16</v>
      </c>
      <c r="K382" s="59"/>
      <c r="L382" s="59"/>
      <c r="M382" s="60">
        <v>41169.22</v>
      </c>
      <c r="N382" s="60">
        <v>26588.2</v>
      </c>
      <c r="O382" s="60">
        <v>14581.02</v>
      </c>
      <c r="P382" s="55"/>
      <c r="Q382" s="55"/>
      <c r="R382" s="61">
        <f t="shared" si="140"/>
        <v>214.42999999999998</v>
      </c>
      <c r="S382" s="60">
        <v>216.34</v>
      </c>
      <c r="T382" s="60">
        <v>216.34</v>
      </c>
      <c r="U382" s="60">
        <v>216.34</v>
      </c>
      <c r="V382" s="60">
        <v>216.34</v>
      </c>
      <c r="W382" s="60">
        <v>216.34</v>
      </c>
      <c r="X382" s="61">
        <f t="shared" si="141"/>
        <v>1296.1299999999999</v>
      </c>
      <c r="Y382" s="60">
        <v>216.34</v>
      </c>
      <c r="Z382" s="60">
        <v>216.34</v>
      </c>
      <c r="AA382" s="60">
        <v>216.34</v>
      </c>
      <c r="AB382" s="60">
        <v>216.34</v>
      </c>
      <c r="AC382" s="60">
        <v>216.34</v>
      </c>
      <c r="AD382" s="60">
        <v>216.34</v>
      </c>
      <c r="AE382" s="61">
        <f t="shared" si="142"/>
        <v>1298.04</v>
      </c>
      <c r="AF382" s="62">
        <f t="shared" si="148"/>
        <v>41169.22</v>
      </c>
      <c r="AG382" s="62">
        <f t="shared" si="149"/>
        <v>29182.370000000003</v>
      </c>
      <c r="AH382" s="62">
        <f t="shared" si="146"/>
        <v>11986.849999999999</v>
      </c>
      <c r="AI382" s="63"/>
      <c r="AJ382" s="63"/>
      <c r="AK382" s="62"/>
      <c r="AL382" s="60">
        <v>216.34</v>
      </c>
      <c r="AM382" s="60">
        <v>216.34</v>
      </c>
      <c r="AN382" s="60">
        <v>216.34</v>
      </c>
      <c r="AO382" s="60">
        <v>216.34</v>
      </c>
      <c r="AP382" s="60">
        <v>216.34</v>
      </c>
      <c r="AQ382" s="60">
        <v>216.34</v>
      </c>
      <c r="AR382" s="61">
        <f t="shared" si="143"/>
        <v>1298.04</v>
      </c>
      <c r="AS382" s="60">
        <v>216.34</v>
      </c>
      <c r="AT382" s="60">
        <v>216.34</v>
      </c>
      <c r="AU382" s="60">
        <v>216.34</v>
      </c>
      <c r="AV382" s="60">
        <v>216.34</v>
      </c>
      <c r="AW382" s="60">
        <v>216.34</v>
      </c>
      <c r="AX382" s="60">
        <v>216.34</v>
      </c>
      <c r="AY382" s="61">
        <f t="shared" si="144"/>
        <v>1298.04</v>
      </c>
      <c r="AZ382" s="56">
        <f t="shared" si="139"/>
        <v>2596.08</v>
      </c>
      <c r="BA382" s="62">
        <f t="shared" si="150"/>
        <v>41169.22</v>
      </c>
      <c r="BB382" s="62">
        <f t="shared" si="145"/>
        <v>31778.450000000004</v>
      </c>
      <c r="BC382" s="62">
        <f t="shared" si="138"/>
        <v>9390.7699999999968</v>
      </c>
      <c r="BD382" s="63"/>
      <c r="BE382" s="57"/>
      <c r="BF382" s="35" t="e">
        <f>VLOOKUP(A:A,'2023-2027'!A:G,1,+FALSE)</f>
        <v>#N/A</v>
      </c>
      <c r="BG382" s="7" t="e">
        <f t="shared" si="147"/>
        <v>#N/A</v>
      </c>
      <c r="BH382" s="35"/>
    </row>
    <row r="383" spans="1:60" ht="24" hidden="1" customHeight="1" outlineLevel="1" x14ac:dyDescent="0.2">
      <c r="A383" s="59" t="s">
        <v>967</v>
      </c>
      <c r="B383" s="59" t="s">
        <v>31</v>
      </c>
      <c r="C383" s="59" t="s">
        <v>83</v>
      </c>
      <c r="D383" s="65" t="s">
        <v>968</v>
      </c>
      <c r="E383" s="59" t="s">
        <v>595</v>
      </c>
      <c r="F383" s="60">
        <v>41538.339999999997</v>
      </c>
      <c r="G383" s="60">
        <v>24663.9</v>
      </c>
      <c r="H383" s="60">
        <v>16874.439999999999</v>
      </c>
      <c r="I383" s="59"/>
      <c r="J383" s="60">
        <v>2596.08</v>
      </c>
      <c r="K383" s="59"/>
      <c r="L383" s="59"/>
      <c r="M383" s="60">
        <v>41538.339999999997</v>
      </c>
      <c r="N383" s="60">
        <v>27259.98</v>
      </c>
      <c r="O383" s="60">
        <v>14278.36</v>
      </c>
      <c r="P383" s="55"/>
      <c r="Q383" s="55"/>
      <c r="R383" s="61">
        <f t="shared" si="140"/>
        <v>216.34</v>
      </c>
      <c r="S383" s="60">
        <v>216.34</v>
      </c>
      <c r="T383" s="60">
        <v>216.34</v>
      </c>
      <c r="U383" s="60">
        <v>216.34</v>
      </c>
      <c r="V383" s="60">
        <v>216.34</v>
      </c>
      <c r="W383" s="60">
        <v>216.34</v>
      </c>
      <c r="X383" s="61">
        <f t="shared" si="141"/>
        <v>1298.04</v>
      </c>
      <c r="Y383" s="60">
        <v>216.34</v>
      </c>
      <c r="Z383" s="60">
        <v>216.34</v>
      </c>
      <c r="AA383" s="60">
        <v>216.34</v>
      </c>
      <c r="AB383" s="60">
        <v>216.34</v>
      </c>
      <c r="AC383" s="60">
        <v>216.34</v>
      </c>
      <c r="AD383" s="60">
        <v>216.34</v>
      </c>
      <c r="AE383" s="61">
        <f t="shared" si="142"/>
        <v>1298.04</v>
      </c>
      <c r="AF383" s="62">
        <f t="shared" si="148"/>
        <v>41538.339999999997</v>
      </c>
      <c r="AG383" s="62">
        <f t="shared" si="149"/>
        <v>29856.06</v>
      </c>
      <c r="AH383" s="62">
        <f t="shared" si="146"/>
        <v>11682.279999999995</v>
      </c>
      <c r="AI383" s="63"/>
      <c r="AJ383" s="63"/>
      <c r="AK383" s="62"/>
      <c r="AL383" s="60">
        <v>216.34</v>
      </c>
      <c r="AM383" s="60">
        <v>216.34</v>
      </c>
      <c r="AN383" s="60">
        <v>216.34</v>
      </c>
      <c r="AO383" s="60">
        <v>216.34</v>
      </c>
      <c r="AP383" s="60">
        <v>216.34</v>
      </c>
      <c r="AQ383" s="60">
        <v>216.34</v>
      </c>
      <c r="AR383" s="61">
        <f t="shared" si="143"/>
        <v>1298.04</v>
      </c>
      <c r="AS383" s="60">
        <v>216.34</v>
      </c>
      <c r="AT383" s="60">
        <v>216.34</v>
      </c>
      <c r="AU383" s="60">
        <v>216.34</v>
      </c>
      <c r="AV383" s="60">
        <v>216.34</v>
      </c>
      <c r="AW383" s="60">
        <v>216.34</v>
      </c>
      <c r="AX383" s="60">
        <v>216.34</v>
      </c>
      <c r="AY383" s="61">
        <f t="shared" si="144"/>
        <v>1298.04</v>
      </c>
      <c r="AZ383" s="56">
        <f t="shared" si="139"/>
        <v>2596.08</v>
      </c>
      <c r="BA383" s="62">
        <f t="shared" si="150"/>
        <v>41538.339999999997</v>
      </c>
      <c r="BB383" s="62">
        <f t="shared" si="145"/>
        <v>32452.140000000003</v>
      </c>
      <c r="BC383" s="62">
        <f t="shared" si="138"/>
        <v>9086.1999999999935</v>
      </c>
      <c r="BD383" s="63"/>
      <c r="BE383" s="57"/>
      <c r="BF383" s="35" t="e">
        <f>VLOOKUP(A:A,'2023-2027'!A:G,1,+FALSE)</f>
        <v>#N/A</v>
      </c>
      <c r="BG383" s="7" t="e">
        <f t="shared" si="147"/>
        <v>#N/A</v>
      </c>
      <c r="BH383" s="35"/>
    </row>
    <row r="384" spans="1:60" ht="24" hidden="1" customHeight="1" outlineLevel="1" x14ac:dyDescent="0.2">
      <c r="A384" s="59" t="s">
        <v>969</v>
      </c>
      <c r="B384" s="59" t="s">
        <v>31</v>
      </c>
      <c r="C384" s="59" t="s">
        <v>83</v>
      </c>
      <c r="D384" s="65" t="s">
        <v>970</v>
      </c>
      <c r="E384" s="59" t="s">
        <v>595</v>
      </c>
      <c r="F384" s="60">
        <v>41538.339999999997</v>
      </c>
      <c r="G384" s="60">
        <v>24663.9</v>
      </c>
      <c r="H384" s="60">
        <v>16874.439999999999</v>
      </c>
      <c r="I384" s="59"/>
      <c r="J384" s="60">
        <v>2596.08</v>
      </c>
      <c r="K384" s="59"/>
      <c r="L384" s="59"/>
      <c r="M384" s="60">
        <v>41538.339999999997</v>
      </c>
      <c r="N384" s="60">
        <v>27259.98</v>
      </c>
      <c r="O384" s="60">
        <v>14278.36</v>
      </c>
      <c r="P384" s="55"/>
      <c r="Q384" s="55"/>
      <c r="R384" s="61">
        <f t="shared" si="140"/>
        <v>216.34</v>
      </c>
      <c r="S384" s="60">
        <v>216.34</v>
      </c>
      <c r="T384" s="60">
        <v>216.34</v>
      </c>
      <c r="U384" s="60">
        <v>216.34</v>
      </c>
      <c r="V384" s="60">
        <v>216.34</v>
      </c>
      <c r="W384" s="60">
        <v>216.34</v>
      </c>
      <c r="X384" s="61">
        <f t="shared" si="141"/>
        <v>1298.04</v>
      </c>
      <c r="Y384" s="60">
        <v>216.34</v>
      </c>
      <c r="Z384" s="60">
        <v>216.34</v>
      </c>
      <c r="AA384" s="60">
        <v>216.34</v>
      </c>
      <c r="AB384" s="60">
        <v>216.34</v>
      </c>
      <c r="AC384" s="60">
        <v>216.34</v>
      </c>
      <c r="AD384" s="60">
        <v>216.34</v>
      </c>
      <c r="AE384" s="61">
        <f t="shared" si="142"/>
        <v>1298.04</v>
      </c>
      <c r="AF384" s="62">
        <f t="shared" si="148"/>
        <v>41538.339999999997</v>
      </c>
      <c r="AG384" s="62">
        <f t="shared" si="149"/>
        <v>29856.06</v>
      </c>
      <c r="AH384" s="62">
        <f t="shared" si="146"/>
        <v>11682.279999999995</v>
      </c>
      <c r="AI384" s="63"/>
      <c r="AJ384" s="63"/>
      <c r="AK384" s="62"/>
      <c r="AL384" s="60">
        <v>216.34</v>
      </c>
      <c r="AM384" s="60">
        <v>216.34</v>
      </c>
      <c r="AN384" s="60">
        <v>216.34</v>
      </c>
      <c r="AO384" s="60">
        <v>216.34</v>
      </c>
      <c r="AP384" s="60">
        <v>216.34</v>
      </c>
      <c r="AQ384" s="60">
        <v>216.34</v>
      </c>
      <c r="AR384" s="61">
        <f t="shared" si="143"/>
        <v>1298.04</v>
      </c>
      <c r="AS384" s="60">
        <v>216.34</v>
      </c>
      <c r="AT384" s="60">
        <v>216.34</v>
      </c>
      <c r="AU384" s="60">
        <v>216.34</v>
      </c>
      <c r="AV384" s="60">
        <v>216.34</v>
      </c>
      <c r="AW384" s="60">
        <v>216.34</v>
      </c>
      <c r="AX384" s="60">
        <v>216.34</v>
      </c>
      <c r="AY384" s="61">
        <f t="shared" si="144"/>
        <v>1298.04</v>
      </c>
      <c r="AZ384" s="56">
        <f t="shared" si="139"/>
        <v>2596.08</v>
      </c>
      <c r="BA384" s="62">
        <f t="shared" si="150"/>
        <v>41538.339999999997</v>
      </c>
      <c r="BB384" s="62">
        <f t="shared" si="145"/>
        <v>32452.140000000003</v>
      </c>
      <c r="BC384" s="62">
        <f t="shared" si="138"/>
        <v>9086.1999999999935</v>
      </c>
      <c r="BD384" s="63"/>
      <c r="BE384" s="57"/>
      <c r="BF384" s="35" t="e">
        <f>VLOOKUP(A:A,'2023-2027'!A:G,1,+FALSE)</f>
        <v>#N/A</v>
      </c>
      <c r="BG384" s="7" t="e">
        <f t="shared" si="147"/>
        <v>#N/A</v>
      </c>
      <c r="BH384" s="35"/>
    </row>
    <row r="385" spans="1:60" ht="24" hidden="1" customHeight="1" outlineLevel="1" x14ac:dyDescent="0.2">
      <c r="A385" s="59" t="s">
        <v>971</v>
      </c>
      <c r="B385" s="59" t="s">
        <v>31</v>
      </c>
      <c r="C385" s="59" t="s">
        <v>83</v>
      </c>
      <c r="D385" s="65" t="s">
        <v>972</v>
      </c>
      <c r="E385" s="59" t="s">
        <v>595</v>
      </c>
      <c r="F385" s="60">
        <v>41538.339999999997</v>
      </c>
      <c r="G385" s="60">
        <v>24663.9</v>
      </c>
      <c r="H385" s="60">
        <v>16874.439999999999</v>
      </c>
      <c r="I385" s="59"/>
      <c r="J385" s="60">
        <v>2596.08</v>
      </c>
      <c r="K385" s="59"/>
      <c r="L385" s="59"/>
      <c r="M385" s="60">
        <v>41538.339999999997</v>
      </c>
      <c r="N385" s="60">
        <v>27259.98</v>
      </c>
      <c r="O385" s="60">
        <v>14278.36</v>
      </c>
      <c r="P385" s="55"/>
      <c r="Q385" s="55"/>
      <c r="R385" s="61">
        <f t="shared" si="140"/>
        <v>216.34</v>
      </c>
      <c r="S385" s="60">
        <v>216.34</v>
      </c>
      <c r="T385" s="60">
        <v>216.34</v>
      </c>
      <c r="U385" s="60">
        <v>216.34</v>
      </c>
      <c r="V385" s="60">
        <v>216.34</v>
      </c>
      <c r="W385" s="60">
        <v>216.34</v>
      </c>
      <c r="X385" s="61">
        <f t="shared" si="141"/>
        <v>1298.04</v>
      </c>
      <c r="Y385" s="60">
        <v>216.34</v>
      </c>
      <c r="Z385" s="60">
        <v>216.34</v>
      </c>
      <c r="AA385" s="60">
        <v>216.34</v>
      </c>
      <c r="AB385" s="60">
        <v>216.34</v>
      </c>
      <c r="AC385" s="60">
        <v>216.34</v>
      </c>
      <c r="AD385" s="60">
        <v>216.34</v>
      </c>
      <c r="AE385" s="61">
        <f t="shared" si="142"/>
        <v>1298.04</v>
      </c>
      <c r="AF385" s="62">
        <f t="shared" si="148"/>
        <v>41538.339999999997</v>
      </c>
      <c r="AG385" s="62">
        <f t="shared" si="149"/>
        <v>29856.06</v>
      </c>
      <c r="AH385" s="62">
        <f t="shared" si="146"/>
        <v>11682.279999999995</v>
      </c>
      <c r="AI385" s="63"/>
      <c r="AJ385" s="63"/>
      <c r="AK385" s="62"/>
      <c r="AL385" s="60">
        <v>216.34</v>
      </c>
      <c r="AM385" s="60">
        <v>216.34</v>
      </c>
      <c r="AN385" s="60">
        <v>216.34</v>
      </c>
      <c r="AO385" s="60">
        <v>216.34</v>
      </c>
      <c r="AP385" s="60">
        <v>216.34</v>
      </c>
      <c r="AQ385" s="60">
        <v>216.34</v>
      </c>
      <c r="AR385" s="61">
        <f t="shared" si="143"/>
        <v>1298.04</v>
      </c>
      <c r="AS385" s="60">
        <v>216.34</v>
      </c>
      <c r="AT385" s="60">
        <v>216.34</v>
      </c>
      <c r="AU385" s="60">
        <v>216.34</v>
      </c>
      <c r="AV385" s="60">
        <v>216.34</v>
      </c>
      <c r="AW385" s="60">
        <v>216.34</v>
      </c>
      <c r="AX385" s="60">
        <v>216.34</v>
      </c>
      <c r="AY385" s="61">
        <f t="shared" si="144"/>
        <v>1298.04</v>
      </c>
      <c r="AZ385" s="56">
        <f t="shared" si="139"/>
        <v>2596.08</v>
      </c>
      <c r="BA385" s="62">
        <f t="shared" si="150"/>
        <v>41538.339999999997</v>
      </c>
      <c r="BB385" s="62">
        <f t="shared" si="145"/>
        <v>32452.140000000003</v>
      </c>
      <c r="BC385" s="62">
        <f t="shared" si="138"/>
        <v>9086.1999999999935</v>
      </c>
      <c r="BD385" s="63"/>
      <c r="BE385" s="57"/>
      <c r="BF385" s="35" t="e">
        <f>VLOOKUP(A:A,'2023-2027'!A:G,1,+FALSE)</f>
        <v>#N/A</v>
      </c>
      <c r="BG385" s="7" t="e">
        <f t="shared" si="147"/>
        <v>#N/A</v>
      </c>
      <c r="BH385" s="35"/>
    </row>
    <row r="386" spans="1:60" ht="24" hidden="1" customHeight="1" outlineLevel="1" x14ac:dyDescent="0.2">
      <c r="A386" s="59" t="s">
        <v>973</v>
      </c>
      <c r="B386" s="59" t="s">
        <v>31</v>
      </c>
      <c r="C386" s="59" t="s">
        <v>83</v>
      </c>
      <c r="D386" s="65" t="s">
        <v>974</v>
      </c>
      <c r="E386" s="59" t="s">
        <v>595</v>
      </c>
      <c r="F386" s="60">
        <v>41538.339999999997</v>
      </c>
      <c r="G386" s="60">
        <v>24663.9</v>
      </c>
      <c r="H386" s="60">
        <v>16874.439999999999</v>
      </c>
      <c r="I386" s="59"/>
      <c r="J386" s="60">
        <v>2596.08</v>
      </c>
      <c r="K386" s="59"/>
      <c r="L386" s="59"/>
      <c r="M386" s="60">
        <v>41538.339999999997</v>
      </c>
      <c r="N386" s="60">
        <v>27259.98</v>
      </c>
      <c r="O386" s="60">
        <v>14278.36</v>
      </c>
      <c r="P386" s="55"/>
      <c r="Q386" s="55"/>
      <c r="R386" s="61">
        <f t="shared" si="140"/>
        <v>216.34</v>
      </c>
      <c r="S386" s="60">
        <v>216.34</v>
      </c>
      <c r="T386" s="60">
        <v>216.34</v>
      </c>
      <c r="U386" s="60">
        <v>216.34</v>
      </c>
      <c r="V386" s="60">
        <v>216.34</v>
      </c>
      <c r="W386" s="60">
        <v>216.34</v>
      </c>
      <c r="X386" s="61">
        <f t="shared" si="141"/>
        <v>1298.04</v>
      </c>
      <c r="Y386" s="60">
        <v>216.34</v>
      </c>
      <c r="Z386" s="60">
        <v>216.34</v>
      </c>
      <c r="AA386" s="60">
        <v>216.34</v>
      </c>
      <c r="AB386" s="60">
        <v>216.34</v>
      </c>
      <c r="AC386" s="60">
        <v>216.34</v>
      </c>
      <c r="AD386" s="60">
        <v>216.34</v>
      </c>
      <c r="AE386" s="61">
        <f t="shared" si="142"/>
        <v>1298.04</v>
      </c>
      <c r="AF386" s="62">
        <f t="shared" si="148"/>
        <v>41538.339999999997</v>
      </c>
      <c r="AG386" s="62">
        <f t="shared" si="149"/>
        <v>29856.06</v>
      </c>
      <c r="AH386" s="62">
        <f t="shared" si="146"/>
        <v>11682.279999999995</v>
      </c>
      <c r="AI386" s="63"/>
      <c r="AJ386" s="63"/>
      <c r="AK386" s="62"/>
      <c r="AL386" s="60">
        <v>216.34</v>
      </c>
      <c r="AM386" s="60">
        <v>216.34</v>
      </c>
      <c r="AN386" s="60">
        <v>216.34</v>
      </c>
      <c r="AO386" s="60">
        <v>216.34</v>
      </c>
      <c r="AP386" s="60">
        <v>216.34</v>
      </c>
      <c r="AQ386" s="60">
        <v>216.34</v>
      </c>
      <c r="AR386" s="61">
        <f t="shared" si="143"/>
        <v>1298.04</v>
      </c>
      <c r="AS386" s="60">
        <v>216.34</v>
      </c>
      <c r="AT386" s="60">
        <v>216.34</v>
      </c>
      <c r="AU386" s="60">
        <v>216.34</v>
      </c>
      <c r="AV386" s="60">
        <v>216.34</v>
      </c>
      <c r="AW386" s="60">
        <v>216.34</v>
      </c>
      <c r="AX386" s="60">
        <v>216.34</v>
      </c>
      <c r="AY386" s="61">
        <f t="shared" si="144"/>
        <v>1298.04</v>
      </c>
      <c r="AZ386" s="56">
        <f t="shared" si="139"/>
        <v>2596.08</v>
      </c>
      <c r="BA386" s="62">
        <f t="shared" si="150"/>
        <v>41538.339999999997</v>
      </c>
      <c r="BB386" s="62">
        <f t="shared" si="145"/>
        <v>32452.140000000003</v>
      </c>
      <c r="BC386" s="62">
        <f t="shared" si="138"/>
        <v>9086.1999999999935</v>
      </c>
      <c r="BD386" s="63"/>
      <c r="BE386" s="57"/>
      <c r="BF386" s="35" t="e">
        <f>VLOOKUP(A:A,'2023-2027'!A:G,1,+FALSE)</f>
        <v>#N/A</v>
      </c>
      <c r="BG386" s="7" t="e">
        <f t="shared" si="147"/>
        <v>#N/A</v>
      </c>
      <c r="BH386" s="35"/>
    </row>
    <row r="387" spans="1:60" ht="24" hidden="1" customHeight="1" outlineLevel="1" x14ac:dyDescent="0.2">
      <c r="A387" s="59" t="s">
        <v>975</v>
      </c>
      <c r="B387" s="59" t="s">
        <v>31</v>
      </c>
      <c r="C387" s="59" t="s">
        <v>83</v>
      </c>
      <c r="D387" s="65" t="s">
        <v>976</v>
      </c>
      <c r="E387" s="59" t="s">
        <v>595</v>
      </c>
      <c r="F387" s="60">
        <v>41538.339999999997</v>
      </c>
      <c r="G387" s="60">
        <v>24663.9</v>
      </c>
      <c r="H387" s="60">
        <v>16874.439999999999</v>
      </c>
      <c r="I387" s="59"/>
      <c r="J387" s="60">
        <v>2596.08</v>
      </c>
      <c r="K387" s="59"/>
      <c r="L387" s="59"/>
      <c r="M387" s="60">
        <v>41538.339999999997</v>
      </c>
      <c r="N387" s="60">
        <v>27259.98</v>
      </c>
      <c r="O387" s="60">
        <v>14278.36</v>
      </c>
      <c r="P387" s="55"/>
      <c r="Q387" s="55"/>
      <c r="R387" s="61">
        <f t="shared" si="140"/>
        <v>216.34</v>
      </c>
      <c r="S387" s="60">
        <v>216.34</v>
      </c>
      <c r="T387" s="60">
        <v>216.34</v>
      </c>
      <c r="U387" s="60">
        <v>216.34</v>
      </c>
      <c r="V387" s="60">
        <v>216.34</v>
      </c>
      <c r="W387" s="60">
        <v>216.34</v>
      </c>
      <c r="X387" s="61">
        <f t="shared" si="141"/>
        <v>1298.04</v>
      </c>
      <c r="Y387" s="60">
        <v>216.34</v>
      </c>
      <c r="Z387" s="60">
        <v>216.34</v>
      </c>
      <c r="AA387" s="60">
        <v>216.34</v>
      </c>
      <c r="AB387" s="60">
        <v>216.34</v>
      </c>
      <c r="AC387" s="60">
        <v>216.34</v>
      </c>
      <c r="AD387" s="60">
        <v>216.34</v>
      </c>
      <c r="AE387" s="61">
        <f t="shared" si="142"/>
        <v>1298.04</v>
      </c>
      <c r="AF387" s="62">
        <f t="shared" si="148"/>
        <v>41538.339999999997</v>
      </c>
      <c r="AG387" s="62">
        <f t="shared" si="149"/>
        <v>29856.06</v>
      </c>
      <c r="AH387" s="62">
        <f t="shared" si="146"/>
        <v>11682.279999999995</v>
      </c>
      <c r="AI387" s="63"/>
      <c r="AJ387" s="63"/>
      <c r="AK387" s="62"/>
      <c r="AL387" s="60">
        <v>216.34</v>
      </c>
      <c r="AM387" s="60">
        <v>216.34</v>
      </c>
      <c r="AN387" s="60">
        <v>216.34</v>
      </c>
      <c r="AO387" s="60">
        <v>216.34</v>
      </c>
      <c r="AP387" s="60">
        <v>216.34</v>
      </c>
      <c r="AQ387" s="60">
        <v>216.34</v>
      </c>
      <c r="AR387" s="61">
        <f t="shared" si="143"/>
        <v>1298.04</v>
      </c>
      <c r="AS387" s="60">
        <v>216.34</v>
      </c>
      <c r="AT387" s="60">
        <v>216.34</v>
      </c>
      <c r="AU387" s="60">
        <v>216.34</v>
      </c>
      <c r="AV387" s="60">
        <v>216.34</v>
      </c>
      <c r="AW387" s="60">
        <v>216.34</v>
      </c>
      <c r="AX387" s="60">
        <v>216.34</v>
      </c>
      <c r="AY387" s="61">
        <f t="shared" si="144"/>
        <v>1298.04</v>
      </c>
      <c r="AZ387" s="56">
        <f t="shared" si="139"/>
        <v>2596.08</v>
      </c>
      <c r="BA387" s="62">
        <f t="shared" si="150"/>
        <v>41538.339999999997</v>
      </c>
      <c r="BB387" s="62">
        <f t="shared" si="145"/>
        <v>32452.140000000003</v>
      </c>
      <c r="BC387" s="62">
        <f t="shared" ref="BC387:BC451" si="151">BA387-BB387</f>
        <v>9086.1999999999935</v>
      </c>
      <c r="BD387" s="63"/>
      <c r="BE387" s="57"/>
      <c r="BF387" s="35" t="e">
        <f>VLOOKUP(A:A,'2023-2027'!A:G,1,+FALSE)</f>
        <v>#N/A</v>
      </c>
      <c r="BG387" s="7" t="e">
        <f t="shared" si="147"/>
        <v>#N/A</v>
      </c>
      <c r="BH387" s="35"/>
    </row>
    <row r="388" spans="1:60" ht="24" hidden="1" customHeight="1" outlineLevel="1" x14ac:dyDescent="0.2">
      <c r="A388" s="59" t="s">
        <v>977</v>
      </c>
      <c r="B388" s="59" t="s">
        <v>31</v>
      </c>
      <c r="C388" s="59" t="s">
        <v>83</v>
      </c>
      <c r="D388" s="65" t="s">
        <v>978</v>
      </c>
      <c r="E388" s="59" t="s">
        <v>595</v>
      </c>
      <c r="F388" s="60">
        <v>41538.339999999997</v>
      </c>
      <c r="G388" s="60">
        <v>24663.9</v>
      </c>
      <c r="H388" s="60">
        <v>16874.439999999999</v>
      </c>
      <c r="I388" s="59"/>
      <c r="J388" s="60">
        <v>2596.08</v>
      </c>
      <c r="K388" s="59"/>
      <c r="L388" s="59"/>
      <c r="M388" s="60">
        <v>41538.339999999997</v>
      </c>
      <c r="N388" s="60">
        <v>27259.98</v>
      </c>
      <c r="O388" s="60">
        <v>14278.36</v>
      </c>
      <c r="P388" s="55"/>
      <c r="Q388" s="55"/>
      <c r="R388" s="61">
        <f t="shared" si="140"/>
        <v>216.34</v>
      </c>
      <c r="S388" s="60">
        <v>216.34</v>
      </c>
      <c r="T388" s="60">
        <v>216.34</v>
      </c>
      <c r="U388" s="60">
        <v>216.34</v>
      </c>
      <c r="V388" s="60">
        <v>216.34</v>
      </c>
      <c r="W388" s="60">
        <v>216.34</v>
      </c>
      <c r="X388" s="61">
        <f t="shared" si="141"/>
        <v>1298.04</v>
      </c>
      <c r="Y388" s="60">
        <v>216.34</v>
      </c>
      <c r="Z388" s="60">
        <v>216.34</v>
      </c>
      <c r="AA388" s="60">
        <v>216.34</v>
      </c>
      <c r="AB388" s="60">
        <v>216.34</v>
      </c>
      <c r="AC388" s="60">
        <v>216.34</v>
      </c>
      <c r="AD388" s="60">
        <v>216.34</v>
      </c>
      <c r="AE388" s="61">
        <f t="shared" si="142"/>
        <v>1298.04</v>
      </c>
      <c r="AF388" s="62">
        <f t="shared" si="148"/>
        <v>41538.339999999997</v>
      </c>
      <c r="AG388" s="62">
        <f t="shared" si="149"/>
        <v>29856.06</v>
      </c>
      <c r="AH388" s="62">
        <f t="shared" si="146"/>
        <v>11682.279999999995</v>
      </c>
      <c r="AI388" s="63"/>
      <c r="AJ388" s="63"/>
      <c r="AK388" s="62"/>
      <c r="AL388" s="60">
        <v>216.34</v>
      </c>
      <c r="AM388" s="60">
        <v>216.34</v>
      </c>
      <c r="AN388" s="60">
        <v>216.34</v>
      </c>
      <c r="AO388" s="60">
        <v>216.34</v>
      </c>
      <c r="AP388" s="60">
        <v>216.34</v>
      </c>
      <c r="AQ388" s="60">
        <v>216.34</v>
      </c>
      <c r="AR388" s="61">
        <f t="shared" si="143"/>
        <v>1298.04</v>
      </c>
      <c r="AS388" s="60">
        <v>216.34</v>
      </c>
      <c r="AT388" s="60">
        <v>216.34</v>
      </c>
      <c r="AU388" s="60">
        <v>216.34</v>
      </c>
      <c r="AV388" s="60">
        <v>216.34</v>
      </c>
      <c r="AW388" s="60">
        <v>216.34</v>
      </c>
      <c r="AX388" s="60">
        <v>216.34</v>
      </c>
      <c r="AY388" s="61">
        <f t="shared" si="144"/>
        <v>1298.04</v>
      </c>
      <c r="AZ388" s="56">
        <f t="shared" si="139"/>
        <v>2596.08</v>
      </c>
      <c r="BA388" s="62">
        <f t="shared" si="150"/>
        <v>41538.339999999997</v>
      </c>
      <c r="BB388" s="62">
        <f t="shared" si="145"/>
        <v>32452.140000000003</v>
      </c>
      <c r="BC388" s="62">
        <f t="shared" si="151"/>
        <v>9086.1999999999935</v>
      </c>
      <c r="BD388" s="63"/>
      <c r="BE388" s="57"/>
      <c r="BF388" s="35" t="e">
        <f>VLOOKUP(A:A,'2023-2027'!A:G,1,+FALSE)</f>
        <v>#N/A</v>
      </c>
      <c r="BG388" s="7" t="e">
        <f t="shared" si="147"/>
        <v>#N/A</v>
      </c>
      <c r="BH388" s="35"/>
    </row>
    <row r="389" spans="1:60" ht="24" hidden="1" customHeight="1" outlineLevel="1" x14ac:dyDescent="0.2">
      <c r="A389" s="59" t="s">
        <v>979</v>
      </c>
      <c r="B389" s="59" t="s">
        <v>31</v>
      </c>
      <c r="C389" s="59" t="s">
        <v>83</v>
      </c>
      <c r="D389" s="65" t="s">
        <v>980</v>
      </c>
      <c r="E389" s="59" t="s">
        <v>595</v>
      </c>
      <c r="F389" s="60">
        <v>41538.339999999997</v>
      </c>
      <c r="G389" s="60">
        <v>24663.9</v>
      </c>
      <c r="H389" s="60">
        <v>16874.439999999999</v>
      </c>
      <c r="I389" s="59"/>
      <c r="J389" s="60">
        <v>2596.08</v>
      </c>
      <c r="K389" s="59"/>
      <c r="L389" s="59"/>
      <c r="M389" s="60">
        <v>41538.339999999997</v>
      </c>
      <c r="N389" s="60">
        <v>27259.98</v>
      </c>
      <c r="O389" s="60">
        <v>14278.36</v>
      </c>
      <c r="P389" s="55"/>
      <c r="Q389" s="55"/>
      <c r="R389" s="61">
        <f t="shared" si="140"/>
        <v>216.34</v>
      </c>
      <c r="S389" s="60">
        <v>216.34</v>
      </c>
      <c r="T389" s="60">
        <v>216.34</v>
      </c>
      <c r="U389" s="60">
        <v>216.34</v>
      </c>
      <c r="V389" s="60">
        <v>216.34</v>
      </c>
      <c r="W389" s="60">
        <v>216.34</v>
      </c>
      <c r="X389" s="61">
        <f t="shared" si="141"/>
        <v>1298.04</v>
      </c>
      <c r="Y389" s="60">
        <v>216.34</v>
      </c>
      <c r="Z389" s="60">
        <v>216.34</v>
      </c>
      <c r="AA389" s="60">
        <v>216.34</v>
      </c>
      <c r="AB389" s="60">
        <v>216.34</v>
      </c>
      <c r="AC389" s="60">
        <v>216.34</v>
      </c>
      <c r="AD389" s="60">
        <v>216.34</v>
      </c>
      <c r="AE389" s="61">
        <f t="shared" si="142"/>
        <v>1298.04</v>
      </c>
      <c r="AF389" s="62">
        <f t="shared" si="148"/>
        <v>41538.339999999997</v>
      </c>
      <c r="AG389" s="62">
        <f t="shared" si="149"/>
        <v>29856.06</v>
      </c>
      <c r="AH389" s="62">
        <f t="shared" si="146"/>
        <v>11682.279999999995</v>
      </c>
      <c r="AI389" s="63"/>
      <c r="AJ389" s="63"/>
      <c r="AK389" s="62"/>
      <c r="AL389" s="60">
        <v>216.34</v>
      </c>
      <c r="AM389" s="60">
        <v>216.34</v>
      </c>
      <c r="AN389" s="60">
        <v>216.34</v>
      </c>
      <c r="AO389" s="60">
        <v>216.34</v>
      </c>
      <c r="AP389" s="60">
        <v>216.34</v>
      </c>
      <c r="AQ389" s="60">
        <v>216.34</v>
      </c>
      <c r="AR389" s="61">
        <f t="shared" si="143"/>
        <v>1298.04</v>
      </c>
      <c r="AS389" s="60">
        <v>216.34</v>
      </c>
      <c r="AT389" s="60">
        <v>216.34</v>
      </c>
      <c r="AU389" s="60">
        <v>216.34</v>
      </c>
      <c r="AV389" s="60">
        <v>216.34</v>
      </c>
      <c r="AW389" s="60">
        <v>216.34</v>
      </c>
      <c r="AX389" s="60">
        <v>216.34</v>
      </c>
      <c r="AY389" s="61">
        <f t="shared" si="144"/>
        <v>1298.04</v>
      </c>
      <c r="AZ389" s="56">
        <f t="shared" si="139"/>
        <v>2596.08</v>
      </c>
      <c r="BA389" s="62">
        <f t="shared" si="150"/>
        <v>41538.339999999997</v>
      </c>
      <c r="BB389" s="62">
        <f t="shared" si="145"/>
        <v>32452.140000000003</v>
      </c>
      <c r="BC389" s="62">
        <f t="shared" si="151"/>
        <v>9086.1999999999935</v>
      </c>
      <c r="BD389" s="63"/>
      <c r="BE389" s="57"/>
      <c r="BF389" s="35" t="e">
        <f>VLOOKUP(A:A,'2023-2027'!A:G,1,+FALSE)</f>
        <v>#N/A</v>
      </c>
      <c r="BG389" s="7" t="e">
        <f t="shared" si="147"/>
        <v>#N/A</v>
      </c>
      <c r="BH389" s="35"/>
    </row>
    <row r="390" spans="1:60" ht="24" hidden="1" customHeight="1" outlineLevel="1" x14ac:dyDescent="0.2">
      <c r="A390" s="59" t="s">
        <v>981</v>
      </c>
      <c r="B390" s="59" t="s">
        <v>31</v>
      </c>
      <c r="C390" s="59" t="s">
        <v>83</v>
      </c>
      <c r="D390" s="65" t="s">
        <v>982</v>
      </c>
      <c r="E390" s="59" t="s">
        <v>595</v>
      </c>
      <c r="F390" s="60">
        <v>41538.339999999997</v>
      </c>
      <c r="G390" s="60">
        <v>24663.9</v>
      </c>
      <c r="H390" s="60">
        <v>16874.439999999999</v>
      </c>
      <c r="I390" s="59"/>
      <c r="J390" s="60">
        <v>2596.08</v>
      </c>
      <c r="K390" s="59"/>
      <c r="L390" s="59"/>
      <c r="M390" s="60">
        <v>41538.339999999997</v>
      </c>
      <c r="N390" s="60">
        <v>27259.98</v>
      </c>
      <c r="O390" s="60">
        <v>14278.36</v>
      </c>
      <c r="P390" s="55"/>
      <c r="Q390" s="55"/>
      <c r="R390" s="61">
        <f t="shared" si="140"/>
        <v>216.34</v>
      </c>
      <c r="S390" s="60">
        <v>216.34</v>
      </c>
      <c r="T390" s="60">
        <v>216.34</v>
      </c>
      <c r="U390" s="60">
        <v>216.34</v>
      </c>
      <c r="V390" s="60">
        <v>216.34</v>
      </c>
      <c r="W390" s="60">
        <v>216.34</v>
      </c>
      <c r="X390" s="61">
        <f t="shared" si="141"/>
        <v>1298.04</v>
      </c>
      <c r="Y390" s="60">
        <v>216.34</v>
      </c>
      <c r="Z390" s="60">
        <v>216.34</v>
      </c>
      <c r="AA390" s="60">
        <v>216.34</v>
      </c>
      <c r="AB390" s="60">
        <v>216.34</v>
      </c>
      <c r="AC390" s="60">
        <v>216.34</v>
      </c>
      <c r="AD390" s="60">
        <v>216.34</v>
      </c>
      <c r="AE390" s="61">
        <f t="shared" si="142"/>
        <v>1298.04</v>
      </c>
      <c r="AF390" s="62">
        <f t="shared" si="148"/>
        <v>41538.339999999997</v>
      </c>
      <c r="AG390" s="62">
        <f t="shared" si="149"/>
        <v>29856.06</v>
      </c>
      <c r="AH390" s="62">
        <f t="shared" si="146"/>
        <v>11682.279999999995</v>
      </c>
      <c r="AI390" s="63"/>
      <c r="AJ390" s="63"/>
      <c r="AK390" s="62"/>
      <c r="AL390" s="60">
        <v>216.34</v>
      </c>
      <c r="AM390" s="60">
        <v>216.34</v>
      </c>
      <c r="AN390" s="60">
        <v>216.34</v>
      </c>
      <c r="AO390" s="60">
        <v>216.34</v>
      </c>
      <c r="AP390" s="60">
        <v>216.34</v>
      </c>
      <c r="AQ390" s="60">
        <v>216.34</v>
      </c>
      <c r="AR390" s="61">
        <f t="shared" si="143"/>
        <v>1298.04</v>
      </c>
      <c r="AS390" s="60">
        <v>216.34</v>
      </c>
      <c r="AT390" s="60">
        <v>216.34</v>
      </c>
      <c r="AU390" s="60">
        <v>216.34</v>
      </c>
      <c r="AV390" s="60">
        <v>216.34</v>
      </c>
      <c r="AW390" s="60">
        <v>216.34</v>
      </c>
      <c r="AX390" s="60">
        <v>216.34</v>
      </c>
      <c r="AY390" s="61">
        <f t="shared" si="144"/>
        <v>1298.04</v>
      </c>
      <c r="AZ390" s="56">
        <f t="shared" si="139"/>
        <v>2596.08</v>
      </c>
      <c r="BA390" s="62">
        <f t="shared" si="150"/>
        <v>41538.339999999997</v>
      </c>
      <c r="BB390" s="62">
        <f t="shared" si="145"/>
        <v>32452.140000000003</v>
      </c>
      <c r="BC390" s="62">
        <f t="shared" si="151"/>
        <v>9086.1999999999935</v>
      </c>
      <c r="BD390" s="63"/>
      <c r="BE390" s="57"/>
      <c r="BF390" s="35" t="e">
        <f>VLOOKUP(A:A,'2023-2027'!A:G,1,+FALSE)</f>
        <v>#N/A</v>
      </c>
      <c r="BG390" s="7" t="e">
        <f t="shared" si="147"/>
        <v>#N/A</v>
      </c>
      <c r="BH390" s="35"/>
    </row>
    <row r="391" spans="1:60" ht="24" hidden="1" customHeight="1" outlineLevel="1" x14ac:dyDescent="0.2">
      <c r="A391" s="59" t="s">
        <v>983</v>
      </c>
      <c r="B391" s="59" t="s">
        <v>31</v>
      </c>
      <c r="C391" s="59" t="s">
        <v>83</v>
      </c>
      <c r="D391" s="65" t="s">
        <v>984</v>
      </c>
      <c r="E391" s="59" t="s">
        <v>595</v>
      </c>
      <c r="F391" s="60">
        <v>41538.339999999997</v>
      </c>
      <c r="G391" s="60">
        <v>24663.9</v>
      </c>
      <c r="H391" s="60">
        <v>16874.439999999999</v>
      </c>
      <c r="I391" s="59"/>
      <c r="J391" s="60">
        <v>2596.08</v>
      </c>
      <c r="K391" s="59"/>
      <c r="L391" s="59"/>
      <c r="M391" s="60">
        <v>41538.339999999997</v>
      </c>
      <c r="N391" s="60">
        <v>27259.98</v>
      </c>
      <c r="O391" s="60">
        <v>14278.36</v>
      </c>
      <c r="P391" s="55"/>
      <c r="Q391" s="55"/>
      <c r="R391" s="61">
        <f t="shared" si="140"/>
        <v>216.34</v>
      </c>
      <c r="S391" s="60">
        <v>216.34</v>
      </c>
      <c r="T391" s="60">
        <v>216.34</v>
      </c>
      <c r="U391" s="60">
        <v>216.34</v>
      </c>
      <c r="V391" s="60">
        <v>216.34</v>
      </c>
      <c r="W391" s="60">
        <v>216.34</v>
      </c>
      <c r="X391" s="61">
        <f t="shared" si="141"/>
        <v>1298.04</v>
      </c>
      <c r="Y391" s="60">
        <v>216.34</v>
      </c>
      <c r="Z391" s="60">
        <v>216.34</v>
      </c>
      <c r="AA391" s="60">
        <v>216.34</v>
      </c>
      <c r="AB391" s="60">
        <v>216.34</v>
      </c>
      <c r="AC391" s="60">
        <v>216.34</v>
      </c>
      <c r="AD391" s="60">
        <v>216.34</v>
      </c>
      <c r="AE391" s="61">
        <f t="shared" si="142"/>
        <v>1298.04</v>
      </c>
      <c r="AF391" s="62">
        <f t="shared" si="148"/>
        <v>41538.339999999997</v>
      </c>
      <c r="AG391" s="62">
        <f t="shared" si="149"/>
        <v>29856.06</v>
      </c>
      <c r="AH391" s="62">
        <f t="shared" si="146"/>
        <v>11682.279999999995</v>
      </c>
      <c r="AI391" s="63"/>
      <c r="AJ391" s="63"/>
      <c r="AK391" s="62"/>
      <c r="AL391" s="60">
        <v>216.34</v>
      </c>
      <c r="AM391" s="60">
        <v>216.34</v>
      </c>
      <c r="AN391" s="60">
        <v>216.34</v>
      </c>
      <c r="AO391" s="60">
        <v>216.34</v>
      </c>
      <c r="AP391" s="60">
        <v>216.34</v>
      </c>
      <c r="AQ391" s="60">
        <v>216.34</v>
      </c>
      <c r="AR391" s="61">
        <f t="shared" si="143"/>
        <v>1298.04</v>
      </c>
      <c r="AS391" s="60">
        <v>216.34</v>
      </c>
      <c r="AT391" s="60">
        <v>216.34</v>
      </c>
      <c r="AU391" s="60">
        <v>216.34</v>
      </c>
      <c r="AV391" s="60">
        <v>216.34</v>
      </c>
      <c r="AW391" s="60">
        <v>216.34</v>
      </c>
      <c r="AX391" s="60">
        <v>216.34</v>
      </c>
      <c r="AY391" s="61">
        <f t="shared" si="144"/>
        <v>1298.04</v>
      </c>
      <c r="AZ391" s="56">
        <f t="shared" si="139"/>
        <v>2596.08</v>
      </c>
      <c r="BA391" s="62">
        <f t="shared" si="150"/>
        <v>41538.339999999997</v>
      </c>
      <c r="BB391" s="62">
        <f t="shared" si="145"/>
        <v>32452.140000000003</v>
      </c>
      <c r="BC391" s="62">
        <f t="shared" si="151"/>
        <v>9086.1999999999935</v>
      </c>
      <c r="BD391" s="63"/>
      <c r="BE391" s="57"/>
      <c r="BF391" s="35" t="e">
        <f>VLOOKUP(A:A,'2023-2027'!A:G,1,+FALSE)</f>
        <v>#N/A</v>
      </c>
      <c r="BG391" s="7" t="e">
        <f t="shared" si="147"/>
        <v>#N/A</v>
      </c>
      <c r="BH391" s="35"/>
    </row>
    <row r="392" spans="1:60" ht="24" hidden="1" customHeight="1" outlineLevel="1" x14ac:dyDescent="0.2">
      <c r="A392" s="59" t="s">
        <v>985</v>
      </c>
      <c r="B392" s="59" t="s">
        <v>31</v>
      </c>
      <c r="C392" s="59" t="s">
        <v>83</v>
      </c>
      <c r="D392" s="65" t="s">
        <v>986</v>
      </c>
      <c r="E392" s="59" t="s">
        <v>237</v>
      </c>
      <c r="F392" s="60">
        <v>41538.339999999997</v>
      </c>
      <c r="G392" s="60">
        <v>25962</v>
      </c>
      <c r="H392" s="60">
        <v>15576.34</v>
      </c>
      <c r="I392" s="59"/>
      <c r="J392" s="60">
        <v>2596.08</v>
      </c>
      <c r="K392" s="59"/>
      <c r="L392" s="59"/>
      <c r="M392" s="60">
        <v>41538.339999999997</v>
      </c>
      <c r="N392" s="60">
        <v>28558.080000000002</v>
      </c>
      <c r="O392" s="60">
        <v>12980.26</v>
      </c>
      <c r="P392" s="55"/>
      <c r="Q392" s="55"/>
      <c r="R392" s="61">
        <f t="shared" si="140"/>
        <v>216.34</v>
      </c>
      <c r="S392" s="60">
        <v>216.34</v>
      </c>
      <c r="T392" s="60">
        <v>216.34</v>
      </c>
      <c r="U392" s="60">
        <v>216.34</v>
      </c>
      <c r="V392" s="60">
        <v>216.34</v>
      </c>
      <c r="W392" s="60">
        <v>216.34</v>
      </c>
      <c r="X392" s="61">
        <f t="shared" si="141"/>
        <v>1298.04</v>
      </c>
      <c r="Y392" s="60">
        <v>216.34</v>
      </c>
      <c r="Z392" s="60">
        <v>216.34</v>
      </c>
      <c r="AA392" s="60">
        <v>216.34</v>
      </c>
      <c r="AB392" s="60">
        <v>216.34</v>
      </c>
      <c r="AC392" s="60">
        <v>216.34</v>
      </c>
      <c r="AD392" s="60">
        <v>216.34</v>
      </c>
      <c r="AE392" s="61">
        <f t="shared" si="142"/>
        <v>1298.04</v>
      </c>
      <c r="AF392" s="62">
        <f t="shared" si="148"/>
        <v>41538.339999999997</v>
      </c>
      <c r="AG392" s="62">
        <f t="shared" si="149"/>
        <v>31154.160000000003</v>
      </c>
      <c r="AH392" s="62">
        <f t="shared" si="146"/>
        <v>10384.179999999993</v>
      </c>
      <c r="AI392" s="63"/>
      <c r="AJ392" s="63"/>
      <c r="AK392" s="62"/>
      <c r="AL392" s="60">
        <v>216.34</v>
      </c>
      <c r="AM392" s="60">
        <v>216.34</v>
      </c>
      <c r="AN392" s="60">
        <v>216.34</v>
      </c>
      <c r="AO392" s="60">
        <v>216.34</v>
      </c>
      <c r="AP392" s="60">
        <v>216.34</v>
      </c>
      <c r="AQ392" s="60">
        <v>216.34</v>
      </c>
      <c r="AR392" s="61">
        <f t="shared" si="143"/>
        <v>1298.04</v>
      </c>
      <c r="AS392" s="60">
        <v>216.34</v>
      </c>
      <c r="AT392" s="60">
        <v>216.34</v>
      </c>
      <c r="AU392" s="60">
        <v>216.34</v>
      </c>
      <c r="AV392" s="60">
        <v>216.34</v>
      </c>
      <c r="AW392" s="60">
        <v>216.34</v>
      </c>
      <c r="AX392" s="60">
        <v>216.34</v>
      </c>
      <c r="AY392" s="61">
        <f t="shared" si="144"/>
        <v>1298.04</v>
      </c>
      <c r="AZ392" s="56">
        <f t="shared" si="139"/>
        <v>2596.08</v>
      </c>
      <c r="BA392" s="62">
        <f t="shared" si="150"/>
        <v>41538.339999999997</v>
      </c>
      <c r="BB392" s="62">
        <f t="shared" si="145"/>
        <v>33750.239999999991</v>
      </c>
      <c r="BC392" s="62">
        <f t="shared" si="151"/>
        <v>7788.1000000000058</v>
      </c>
      <c r="BD392" s="63"/>
      <c r="BE392" s="57"/>
      <c r="BF392" s="35" t="e">
        <f>VLOOKUP(A:A,'2023-2027'!A:G,1,+FALSE)</f>
        <v>#N/A</v>
      </c>
      <c r="BG392" s="7" t="e">
        <f t="shared" si="147"/>
        <v>#N/A</v>
      </c>
      <c r="BH392" s="35"/>
    </row>
    <row r="393" spans="1:60" ht="24" hidden="1" customHeight="1" outlineLevel="1" x14ac:dyDescent="0.2">
      <c r="A393" s="59" t="s">
        <v>987</v>
      </c>
      <c r="B393" s="59" t="s">
        <v>31</v>
      </c>
      <c r="C393" s="59" t="s">
        <v>83</v>
      </c>
      <c r="D393" s="65" t="s">
        <v>988</v>
      </c>
      <c r="E393" s="59" t="s">
        <v>237</v>
      </c>
      <c r="F393" s="60">
        <v>41538.339999999997</v>
      </c>
      <c r="G393" s="60">
        <v>25962</v>
      </c>
      <c r="H393" s="60">
        <v>15576.34</v>
      </c>
      <c r="I393" s="59"/>
      <c r="J393" s="60">
        <v>2596.08</v>
      </c>
      <c r="K393" s="59"/>
      <c r="L393" s="59"/>
      <c r="M393" s="60">
        <v>41538.339999999997</v>
      </c>
      <c r="N393" s="60">
        <v>28558.080000000002</v>
      </c>
      <c r="O393" s="60">
        <v>12980.26</v>
      </c>
      <c r="P393" s="55"/>
      <c r="Q393" s="55"/>
      <c r="R393" s="61">
        <f t="shared" si="140"/>
        <v>216.34</v>
      </c>
      <c r="S393" s="60">
        <v>216.34</v>
      </c>
      <c r="T393" s="60">
        <v>216.34</v>
      </c>
      <c r="U393" s="60">
        <v>216.34</v>
      </c>
      <c r="V393" s="60">
        <v>216.34</v>
      </c>
      <c r="W393" s="60">
        <v>216.34</v>
      </c>
      <c r="X393" s="61">
        <f t="shared" si="141"/>
        <v>1298.04</v>
      </c>
      <c r="Y393" s="60">
        <v>216.34</v>
      </c>
      <c r="Z393" s="60">
        <v>216.34</v>
      </c>
      <c r="AA393" s="60">
        <v>216.34</v>
      </c>
      <c r="AB393" s="60">
        <v>216.34</v>
      </c>
      <c r="AC393" s="60">
        <v>216.34</v>
      </c>
      <c r="AD393" s="60">
        <v>216.34</v>
      </c>
      <c r="AE393" s="61">
        <f t="shared" si="142"/>
        <v>1298.04</v>
      </c>
      <c r="AF393" s="62">
        <f t="shared" si="148"/>
        <v>41538.339999999997</v>
      </c>
      <c r="AG393" s="62">
        <f t="shared" si="149"/>
        <v>31154.160000000003</v>
      </c>
      <c r="AH393" s="62">
        <f t="shared" si="146"/>
        <v>10384.179999999993</v>
      </c>
      <c r="AI393" s="63"/>
      <c r="AJ393" s="63"/>
      <c r="AK393" s="62"/>
      <c r="AL393" s="60">
        <v>216.34</v>
      </c>
      <c r="AM393" s="60">
        <v>216.34</v>
      </c>
      <c r="AN393" s="60">
        <v>216.34</v>
      </c>
      <c r="AO393" s="60">
        <v>216.34</v>
      </c>
      <c r="AP393" s="60">
        <v>216.34</v>
      </c>
      <c r="AQ393" s="60">
        <v>216.34</v>
      </c>
      <c r="AR393" s="61">
        <f t="shared" si="143"/>
        <v>1298.04</v>
      </c>
      <c r="AS393" s="60">
        <v>216.34</v>
      </c>
      <c r="AT393" s="60">
        <v>216.34</v>
      </c>
      <c r="AU393" s="60">
        <v>216.34</v>
      </c>
      <c r="AV393" s="60">
        <v>216.34</v>
      </c>
      <c r="AW393" s="60">
        <v>216.34</v>
      </c>
      <c r="AX393" s="60">
        <v>216.34</v>
      </c>
      <c r="AY393" s="61">
        <f t="shared" si="144"/>
        <v>1298.04</v>
      </c>
      <c r="AZ393" s="56">
        <f t="shared" si="139"/>
        <v>2596.08</v>
      </c>
      <c r="BA393" s="62">
        <f t="shared" si="150"/>
        <v>41538.339999999997</v>
      </c>
      <c r="BB393" s="62">
        <f t="shared" si="145"/>
        <v>33750.239999999991</v>
      </c>
      <c r="BC393" s="62">
        <f t="shared" si="151"/>
        <v>7788.1000000000058</v>
      </c>
      <c r="BD393" s="63"/>
      <c r="BE393" s="57"/>
      <c r="BF393" s="35" t="e">
        <f>VLOOKUP(A:A,'2023-2027'!A:G,1,+FALSE)</f>
        <v>#N/A</v>
      </c>
      <c r="BG393" s="7" t="e">
        <f t="shared" si="147"/>
        <v>#N/A</v>
      </c>
      <c r="BH393" s="35"/>
    </row>
    <row r="394" spans="1:60" ht="24" hidden="1" customHeight="1" outlineLevel="1" x14ac:dyDescent="0.2">
      <c r="A394" s="59" t="s">
        <v>989</v>
      </c>
      <c r="B394" s="59" t="s">
        <v>31</v>
      </c>
      <c r="C394" s="59" t="s">
        <v>83</v>
      </c>
      <c r="D394" s="65" t="s">
        <v>990</v>
      </c>
      <c r="E394" s="59" t="s">
        <v>237</v>
      </c>
      <c r="F394" s="60">
        <v>41538.339999999997</v>
      </c>
      <c r="G394" s="60">
        <v>25962</v>
      </c>
      <c r="H394" s="60">
        <v>15576.34</v>
      </c>
      <c r="I394" s="59"/>
      <c r="J394" s="60">
        <v>2596.08</v>
      </c>
      <c r="K394" s="59"/>
      <c r="L394" s="59"/>
      <c r="M394" s="60">
        <v>41538.339999999997</v>
      </c>
      <c r="N394" s="60">
        <v>28558.080000000002</v>
      </c>
      <c r="O394" s="60">
        <v>12980.26</v>
      </c>
      <c r="P394" s="55"/>
      <c r="Q394" s="55"/>
      <c r="R394" s="61">
        <f t="shared" si="140"/>
        <v>216.34</v>
      </c>
      <c r="S394" s="60">
        <v>216.34</v>
      </c>
      <c r="T394" s="60">
        <v>216.34</v>
      </c>
      <c r="U394" s="60">
        <v>216.34</v>
      </c>
      <c r="V394" s="60">
        <v>216.34</v>
      </c>
      <c r="W394" s="60">
        <v>216.34</v>
      </c>
      <c r="X394" s="61">
        <f t="shared" si="141"/>
        <v>1298.04</v>
      </c>
      <c r="Y394" s="60">
        <v>216.34</v>
      </c>
      <c r="Z394" s="60">
        <v>216.34</v>
      </c>
      <c r="AA394" s="60">
        <v>216.34</v>
      </c>
      <c r="AB394" s="60">
        <v>216.34</v>
      </c>
      <c r="AC394" s="60">
        <v>216.34</v>
      </c>
      <c r="AD394" s="60">
        <v>216.34</v>
      </c>
      <c r="AE394" s="61">
        <f t="shared" si="142"/>
        <v>1298.04</v>
      </c>
      <c r="AF394" s="62">
        <f t="shared" si="148"/>
        <v>41538.339999999997</v>
      </c>
      <c r="AG394" s="62">
        <f t="shared" si="149"/>
        <v>31154.160000000003</v>
      </c>
      <c r="AH394" s="62">
        <f t="shared" si="146"/>
        <v>10384.179999999993</v>
      </c>
      <c r="AI394" s="63"/>
      <c r="AJ394" s="63"/>
      <c r="AK394" s="62"/>
      <c r="AL394" s="60">
        <v>216.34</v>
      </c>
      <c r="AM394" s="60">
        <v>216.34</v>
      </c>
      <c r="AN394" s="60">
        <v>216.34</v>
      </c>
      <c r="AO394" s="60">
        <v>216.34</v>
      </c>
      <c r="AP394" s="60">
        <v>216.34</v>
      </c>
      <c r="AQ394" s="60">
        <v>216.34</v>
      </c>
      <c r="AR394" s="61">
        <f t="shared" si="143"/>
        <v>1298.04</v>
      </c>
      <c r="AS394" s="60">
        <v>216.34</v>
      </c>
      <c r="AT394" s="60">
        <v>216.34</v>
      </c>
      <c r="AU394" s="60">
        <v>216.34</v>
      </c>
      <c r="AV394" s="60">
        <v>216.34</v>
      </c>
      <c r="AW394" s="60">
        <v>216.34</v>
      </c>
      <c r="AX394" s="60">
        <v>216.34</v>
      </c>
      <c r="AY394" s="61">
        <f t="shared" si="144"/>
        <v>1298.04</v>
      </c>
      <c r="AZ394" s="56">
        <f t="shared" ref="AZ394:AZ457" si="152">AR394+AY394</f>
        <v>2596.08</v>
      </c>
      <c r="BA394" s="62">
        <f t="shared" si="150"/>
        <v>41538.339999999997</v>
      </c>
      <c r="BB394" s="62">
        <f t="shared" si="145"/>
        <v>33750.239999999991</v>
      </c>
      <c r="BC394" s="62">
        <f t="shared" si="151"/>
        <v>7788.1000000000058</v>
      </c>
      <c r="BD394" s="63"/>
      <c r="BE394" s="57"/>
      <c r="BF394" s="35" t="e">
        <f>VLOOKUP(A:A,'2023-2027'!A:G,1,+FALSE)</f>
        <v>#N/A</v>
      </c>
      <c r="BG394" s="7" t="e">
        <f t="shared" si="147"/>
        <v>#N/A</v>
      </c>
      <c r="BH394" s="35"/>
    </row>
    <row r="395" spans="1:60" ht="24" hidden="1" customHeight="1" outlineLevel="1" x14ac:dyDescent="0.2">
      <c r="A395" s="59" t="s">
        <v>991</v>
      </c>
      <c r="B395" s="59" t="s">
        <v>31</v>
      </c>
      <c r="C395" s="59" t="s">
        <v>83</v>
      </c>
      <c r="D395" s="65" t="s">
        <v>992</v>
      </c>
      <c r="E395" s="59" t="s">
        <v>237</v>
      </c>
      <c r="F395" s="60">
        <v>41538.339999999997</v>
      </c>
      <c r="G395" s="60">
        <v>25962</v>
      </c>
      <c r="H395" s="60">
        <v>15576.34</v>
      </c>
      <c r="I395" s="59"/>
      <c r="J395" s="60">
        <v>2596.08</v>
      </c>
      <c r="K395" s="59"/>
      <c r="L395" s="59"/>
      <c r="M395" s="60">
        <v>41538.339999999997</v>
      </c>
      <c r="N395" s="60">
        <v>28558.080000000002</v>
      </c>
      <c r="O395" s="60">
        <v>12980.26</v>
      </c>
      <c r="P395" s="55"/>
      <c r="Q395" s="55"/>
      <c r="R395" s="61">
        <f t="shared" ref="R395:R459" si="153">J395/12</f>
        <v>216.34</v>
      </c>
      <c r="S395" s="60">
        <v>216.34</v>
      </c>
      <c r="T395" s="60">
        <v>216.34</v>
      </c>
      <c r="U395" s="60">
        <v>216.34</v>
      </c>
      <c r="V395" s="60">
        <v>216.34</v>
      </c>
      <c r="W395" s="60">
        <v>216.34</v>
      </c>
      <c r="X395" s="61">
        <f t="shared" ref="X395:X459" si="154">R395+S395+T395+U395+V395+W395</f>
        <v>1298.04</v>
      </c>
      <c r="Y395" s="60">
        <v>216.34</v>
      </c>
      <c r="Z395" s="60">
        <v>216.34</v>
      </c>
      <c r="AA395" s="60">
        <v>216.34</v>
      </c>
      <c r="AB395" s="60">
        <v>216.34</v>
      </c>
      <c r="AC395" s="60">
        <v>216.34</v>
      </c>
      <c r="AD395" s="60">
        <v>216.34</v>
      </c>
      <c r="AE395" s="61">
        <f t="shared" ref="AE395:AE459" si="155">Y395+Z395+AA395+AB395+AC395+AD395</f>
        <v>1298.04</v>
      </c>
      <c r="AF395" s="62">
        <f t="shared" si="148"/>
        <v>41538.339999999997</v>
      </c>
      <c r="AG395" s="62">
        <f t="shared" si="149"/>
        <v>31154.160000000003</v>
      </c>
      <c r="AH395" s="62">
        <f t="shared" si="146"/>
        <v>10384.179999999993</v>
      </c>
      <c r="AI395" s="63"/>
      <c r="AJ395" s="63"/>
      <c r="AK395" s="62"/>
      <c r="AL395" s="60">
        <v>216.34</v>
      </c>
      <c r="AM395" s="60">
        <v>216.34</v>
      </c>
      <c r="AN395" s="60">
        <v>216.34</v>
      </c>
      <c r="AO395" s="60">
        <v>216.34</v>
      </c>
      <c r="AP395" s="60">
        <v>216.34</v>
      </c>
      <c r="AQ395" s="60">
        <v>216.34</v>
      </c>
      <c r="AR395" s="61">
        <f t="shared" ref="AR395:AR459" si="156">AL395+AM395+AN395+AO395+AP395+AQ395</f>
        <v>1298.04</v>
      </c>
      <c r="AS395" s="60">
        <v>216.34</v>
      </c>
      <c r="AT395" s="60">
        <v>216.34</v>
      </c>
      <c r="AU395" s="60">
        <v>216.34</v>
      </c>
      <c r="AV395" s="60">
        <v>216.34</v>
      </c>
      <c r="AW395" s="60">
        <v>216.34</v>
      </c>
      <c r="AX395" s="60">
        <v>216.34</v>
      </c>
      <c r="AY395" s="61">
        <f t="shared" ref="AY395:AY459" si="157">AS395+AT395+AU395+AV395+AW395+AX395</f>
        <v>1298.04</v>
      </c>
      <c r="AZ395" s="56">
        <f t="shared" si="152"/>
        <v>2596.08</v>
      </c>
      <c r="BA395" s="62">
        <f t="shared" si="150"/>
        <v>41538.339999999997</v>
      </c>
      <c r="BB395" s="62">
        <f t="shared" ref="BB395:BB459" si="158">AG395+AL395+AM395+AN395+AO395+AP395+AQ395+AS395+AT395+AU395+AV395+AW395+AX395</f>
        <v>33750.239999999991</v>
      </c>
      <c r="BC395" s="62">
        <f t="shared" si="151"/>
        <v>7788.1000000000058</v>
      </c>
      <c r="BD395" s="63"/>
      <c r="BE395" s="57"/>
      <c r="BF395" s="35" t="e">
        <f>VLOOKUP(A:A,'2023-2027'!A:G,1,+FALSE)</f>
        <v>#N/A</v>
      </c>
      <c r="BG395" s="7" t="e">
        <f t="shared" si="147"/>
        <v>#N/A</v>
      </c>
      <c r="BH395" s="35"/>
    </row>
    <row r="396" spans="1:60" ht="24" hidden="1" customHeight="1" outlineLevel="1" x14ac:dyDescent="0.2">
      <c r="A396" s="59" t="s">
        <v>993</v>
      </c>
      <c r="B396" s="59" t="s">
        <v>31</v>
      </c>
      <c r="C396" s="59" t="s">
        <v>83</v>
      </c>
      <c r="D396" s="65" t="s">
        <v>994</v>
      </c>
      <c r="E396" s="59" t="s">
        <v>237</v>
      </c>
      <c r="F396" s="60">
        <v>41538.339999999997</v>
      </c>
      <c r="G396" s="60">
        <v>25962</v>
      </c>
      <c r="H396" s="60">
        <v>15576.34</v>
      </c>
      <c r="I396" s="59"/>
      <c r="J396" s="60">
        <v>2596.08</v>
      </c>
      <c r="K396" s="59"/>
      <c r="L396" s="59"/>
      <c r="M396" s="60">
        <v>41538.339999999997</v>
      </c>
      <c r="N396" s="60">
        <v>28558.080000000002</v>
      </c>
      <c r="O396" s="60">
        <v>12980.26</v>
      </c>
      <c r="P396" s="55"/>
      <c r="Q396" s="55"/>
      <c r="R396" s="61">
        <f t="shared" si="153"/>
        <v>216.34</v>
      </c>
      <c r="S396" s="60">
        <v>216.34</v>
      </c>
      <c r="T396" s="60">
        <v>216.34</v>
      </c>
      <c r="U396" s="60">
        <v>216.34</v>
      </c>
      <c r="V396" s="60">
        <v>216.34</v>
      </c>
      <c r="W396" s="60">
        <v>216.34</v>
      </c>
      <c r="X396" s="61">
        <f t="shared" si="154"/>
        <v>1298.04</v>
      </c>
      <c r="Y396" s="60">
        <v>216.34</v>
      </c>
      <c r="Z396" s="60">
        <v>216.34</v>
      </c>
      <c r="AA396" s="60">
        <v>216.34</v>
      </c>
      <c r="AB396" s="60">
        <v>216.34</v>
      </c>
      <c r="AC396" s="60">
        <v>216.34</v>
      </c>
      <c r="AD396" s="60">
        <v>216.34</v>
      </c>
      <c r="AE396" s="61">
        <f t="shared" si="155"/>
        <v>1298.04</v>
      </c>
      <c r="AF396" s="62">
        <f t="shared" si="148"/>
        <v>41538.339999999997</v>
      </c>
      <c r="AG396" s="62">
        <f t="shared" si="149"/>
        <v>31154.160000000003</v>
      </c>
      <c r="AH396" s="62">
        <f t="shared" si="146"/>
        <v>10384.179999999993</v>
      </c>
      <c r="AI396" s="63"/>
      <c r="AJ396" s="63"/>
      <c r="AK396" s="62"/>
      <c r="AL396" s="60">
        <v>216.34</v>
      </c>
      <c r="AM396" s="60">
        <v>216.34</v>
      </c>
      <c r="AN396" s="60">
        <v>216.34</v>
      </c>
      <c r="AO396" s="60">
        <v>216.34</v>
      </c>
      <c r="AP396" s="60">
        <v>216.34</v>
      </c>
      <c r="AQ396" s="60">
        <v>216.34</v>
      </c>
      <c r="AR396" s="61">
        <f t="shared" si="156"/>
        <v>1298.04</v>
      </c>
      <c r="AS396" s="60">
        <v>216.34</v>
      </c>
      <c r="AT396" s="60">
        <v>216.34</v>
      </c>
      <c r="AU396" s="60">
        <v>216.34</v>
      </c>
      <c r="AV396" s="60">
        <v>216.34</v>
      </c>
      <c r="AW396" s="60">
        <v>216.34</v>
      </c>
      <c r="AX396" s="60">
        <v>216.34</v>
      </c>
      <c r="AY396" s="61">
        <f t="shared" si="157"/>
        <v>1298.04</v>
      </c>
      <c r="AZ396" s="56">
        <f t="shared" si="152"/>
        <v>2596.08</v>
      </c>
      <c r="BA396" s="62">
        <f t="shared" si="150"/>
        <v>41538.339999999997</v>
      </c>
      <c r="BB396" s="62">
        <f t="shared" si="158"/>
        <v>33750.239999999991</v>
      </c>
      <c r="BC396" s="62">
        <f t="shared" si="151"/>
        <v>7788.1000000000058</v>
      </c>
      <c r="BD396" s="63"/>
      <c r="BE396" s="57"/>
      <c r="BF396" s="35" t="e">
        <f>VLOOKUP(A:A,'2023-2027'!A:G,1,+FALSE)</f>
        <v>#N/A</v>
      </c>
      <c r="BG396" s="7" t="e">
        <f t="shared" si="147"/>
        <v>#N/A</v>
      </c>
      <c r="BH396" s="35"/>
    </row>
    <row r="397" spans="1:60" ht="24" hidden="1" customHeight="1" outlineLevel="1" x14ac:dyDescent="0.2">
      <c r="A397" s="59" t="s">
        <v>995</v>
      </c>
      <c r="B397" s="59" t="s">
        <v>31</v>
      </c>
      <c r="C397" s="59" t="s">
        <v>83</v>
      </c>
      <c r="D397" s="65" t="s">
        <v>996</v>
      </c>
      <c r="E397" s="59" t="s">
        <v>595</v>
      </c>
      <c r="F397" s="60">
        <v>41538.339999999997</v>
      </c>
      <c r="G397" s="60">
        <v>24663.9</v>
      </c>
      <c r="H397" s="60">
        <v>16874.439999999999</v>
      </c>
      <c r="I397" s="59"/>
      <c r="J397" s="60">
        <v>2596.08</v>
      </c>
      <c r="K397" s="59"/>
      <c r="L397" s="59"/>
      <c r="M397" s="60">
        <v>41538.339999999997</v>
      </c>
      <c r="N397" s="60">
        <v>27259.98</v>
      </c>
      <c r="O397" s="60">
        <v>14278.36</v>
      </c>
      <c r="P397" s="55"/>
      <c r="Q397" s="55"/>
      <c r="R397" s="61">
        <f t="shared" si="153"/>
        <v>216.34</v>
      </c>
      <c r="S397" s="60">
        <v>216.34</v>
      </c>
      <c r="T397" s="60">
        <v>216.34</v>
      </c>
      <c r="U397" s="60">
        <v>216.34</v>
      </c>
      <c r="V397" s="60">
        <v>216.34</v>
      </c>
      <c r="W397" s="60">
        <v>216.34</v>
      </c>
      <c r="X397" s="61">
        <f t="shared" si="154"/>
        <v>1298.04</v>
      </c>
      <c r="Y397" s="60">
        <v>216.34</v>
      </c>
      <c r="Z397" s="60">
        <v>216.34</v>
      </c>
      <c r="AA397" s="60">
        <v>216.34</v>
      </c>
      <c r="AB397" s="60">
        <v>216.34</v>
      </c>
      <c r="AC397" s="60">
        <v>216.34</v>
      </c>
      <c r="AD397" s="60">
        <v>216.34</v>
      </c>
      <c r="AE397" s="61">
        <f t="shared" si="155"/>
        <v>1298.04</v>
      </c>
      <c r="AF397" s="62">
        <f t="shared" si="148"/>
        <v>41538.339999999997</v>
      </c>
      <c r="AG397" s="62">
        <f t="shared" si="149"/>
        <v>29856.06</v>
      </c>
      <c r="AH397" s="62">
        <f t="shared" si="146"/>
        <v>11682.279999999995</v>
      </c>
      <c r="AI397" s="63"/>
      <c r="AJ397" s="63"/>
      <c r="AK397" s="62"/>
      <c r="AL397" s="60">
        <v>216.34</v>
      </c>
      <c r="AM397" s="60">
        <v>216.34</v>
      </c>
      <c r="AN397" s="60">
        <v>216.34</v>
      </c>
      <c r="AO397" s="60">
        <v>216.34</v>
      </c>
      <c r="AP397" s="60">
        <v>216.34</v>
      </c>
      <c r="AQ397" s="60">
        <v>216.34</v>
      </c>
      <c r="AR397" s="61">
        <f t="shared" si="156"/>
        <v>1298.04</v>
      </c>
      <c r="AS397" s="60">
        <v>216.34</v>
      </c>
      <c r="AT397" s="60">
        <v>216.34</v>
      </c>
      <c r="AU397" s="60">
        <v>216.34</v>
      </c>
      <c r="AV397" s="60">
        <v>216.34</v>
      </c>
      <c r="AW397" s="60">
        <v>216.34</v>
      </c>
      <c r="AX397" s="60">
        <v>216.34</v>
      </c>
      <c r="AY397" s="61">
        <f t="shared" si="157"/>
        <v>1298.04</v>
      </c>
      <c r="AZ397" s="56">
        <f t="shared" si="152"/>
        <v>2596.08</v>
      </c>
      <c r="BA397" s="62">
        <f t="shared" si="150"/>
        <v>41538.339999999997</v>
      </c>
      <c r="BB397" s="62">
        <f t="shared" si="158"/>
        <v>32452.140000000003</v>
      </c>
      <c r="BC397" s="62">
        <f t="shared" si="151"/>
        <v>9086.1999999999935</v>
      </c>
      <c r="BD397" s="63"/>
      <c r="BE397" s="57"/>
      <c r="BF397" s="35" t="e">
        <f>VLOOKUP(A:A,'2023-2027'!A:G,1,+FALSE)</f>
        <v>#N/A</v>
      </c>
      <c r="BG397" s="7" t="e">
        <f t="shared" si="147"/>
        <v>#N/A</v>
      </c>
      <c r="BH397" s="35"/>
    </row>
    <row r="398" spans="1:60" ht="24" hidden="1" customHeight="1" outlineLevel="1" x14ac:dyDescent="0.2">
      <c r="A398" s="59" t="s">
        <v>997</v>
      </c>
      <c r="B398" s="59" t="s">
        <v>31</v>
      </c>
      <c r="C398" s="59" t="s">
        <v>83</v>
      </c>
      <c r="D398" s="65" t="s">
        <v>998</v>
      </c>
      <c r="E398" s="59" t="s">
        <v>237</v>
      </c>
      <c r="F398" s="60">
        <v>41538.339999999997</v>
      </c>
      <c r="G398" s="60">
        <v>25962</v>
      </c>
      <c r="H398" s="60">
        <v>15576.34</v>
      </c>
      <c r="I398" s="59"/>
      <c r="J398" s="60">
        <v>2596.08</v>
      </c>
      <c r="K398" s="59"/>
      <c r="L398" s="59"/>
      <c r="M398" s="60">
        <v>41538.339999999997</v>
      </c>
      <c r="N398" s="60">
        <v>28558.080000000002</v>
      </c>
      <c r="O398" s="60">
        <v>12980.26</v>
      </c>
      <c r="P398" s="55"/>
      <c r="Q398" s="55"/>
      <c r="R398" s="61">
        <f t="shared" si="153"/>
        <v>216.34</v>
      </c>
      <c r="S398" s="60">
        <v>216.34</v>
      </c>
      <c r="T398" s="60">
        <v>216.34</v>
      </c>
      <c r="U398" s="60">
        <v>216.34</v>
      </c>
      <c r="V398" s="60">
        <v>216.34</v>
      </c>
      <c r="W398" s="60">
        <v>216.34</v>
      </c>
      <c r="X398" s="61">
        <f t="shared" si="154"/>
        <v>1298.04</v>
      </c>
      <c r="Y398" s="60">
        <v>216.34</v>
      </c>
      <c r="Z398" s="60">
        <v>216.34</v>
      </c>
      <c r="AA398" s="60">
        <v>216.34</v>
      </c>
      <c r="AB398" s="60">
        <v>216.34</v>
      </c>
      <c r="AC398" s="60">
        <v>216.34</v>
      </c>
      <c r="AD398" s="60">
        <v>216.34</v>
      </c>
      <c r="AE398" s="61">
        <f t="shared" si="155"/>
        <v>1298.04</v>
      </c>
      <c r="AF398" s="62">
        <f t="shared" si="148"/>
        <v>41538.339999999997</v>
      </c>
      <c r="AG398" s="62">
        <f t="shared" si="149"/>
        <v>31154.160000000003</v>
      </c>
      <c r="AH398" s="62">
        <f t="shared" ref="AH398:AH457" si="159">AF398-AG398</f>
        <v>10384.179999999993</v>
      </c>
      <c r="AI398" s="63"/>
      <c r="AJ398" s="63"/>
      <c r="AK398" s="62"/>
      <c r="AL398" s="60">
        <v>216.34</v>
      </c>
      <c r="AM398" s="60">
        <v>216.34</v>
      </c>
      <c r="AN398" s="60">
        <v>216.34</v>
      </c>
      <c r="AO398" s="60">
        <v>216.34</v>
      </c>
      <c r="AP398" s="60">
        <v>216.34</v>
      </c>
      <c r="AQ398" s="60">
        <v>216.34</v>
      </c>
      <c r="AR398" s="61">
        <f t="shared" si="156"/>
        <v>1298.04</v>
      </c>
      <c r="AS398" s="60">
        <v>216.34</v>
      </c>
      <c r="AT398" s="60">
        <v>216.34</v>
      </c>
      <c r="AU398" s="60">
        <v>216.34</v>
      </c>
      <c r="AV398" s="60">
        <v>216.34</v>
      </c>
      <c r="AW398" s="60">
        <v>216.34</v>
      </c>
      <c r="AX398" s="60">
        <v>216.34</v>
      </c>
      <c r="AY398" s="61">
        <f t="shared" si="157"/>
        <v>1298.04</v>
      </c>
      <c r="AZ398" s="56">
        <f t="shared" si="152"/>
        <v>2596.08</v>
      </c>
      <c r="BA398" s="62">
        <f t="shared" si="150"/>
        <v>41538.339999999997</v>
      </c>
      <c r="BB398" s="62">
        <f t="shared" si="158"/>
        <v>33750.239999999991</v>
      </c>
      <c r="BC398" s="62">
        <f t="shared" si="151"/>
        <v>7788.1000000000058</v>
      </c>
      <c r="BD398" s="63"/>
      <c r="BE398" s="57"/>
      <c r="BF398" s="35" t="e">
        <f>VLOOKUP(A:A,'2023-2027'!A:G,1,+FALSE)</f>
        <v>#N/A</v>
      </c>
      <c r="BG398" s="7" t="e">
        <f t="shared" si="147"/>
        <v>#N/A</v>
      </c>
      <c r="BH398" s="35"/>
    </row>
    <row r="399" spans="1:60" ht="24" hidden="1" customHeight="1" outlineLevel="1" x14ac:dyDescent="0.2">
      <c r="A399" s="59" t="s">
        <v>999</v>
      </c>
      <c r="B399" s="59" t="s">
        <v>31</v>
      </c>
      <c r="C399" s="59" t="s">
        <v>83</v>
      </c>
      <c r="D399" s="65" t="s">
        <v>1000</v>
      </c>
      <c r="E399" s="59" t="s">
        <v>595</v>
      </c>
      <c r="F399" s="60">
        <v>41538.339999999997</v>
      </c>
      <c r="G399" s="60">
        <v>24663.9</v>
      </c>
      <c r="H399" s="60">
        <v>16874.439999999999</v>
      </c>
      <c r="I399" s="59"/>
      <c r="J399" s="60">
        <v>2596.08</v>
      </c>
      <c r="K399" s="59"/>
      <c r="L399" s="59"/>
      <c r="M399" s="60">
        <v>41538.339999999997</v>
      </c>
      <c r="N399" s="60">
        <v>27259.98</v>
      </c>
      <c r="O399" s="60">
        <v>14278.36</v>
      </c>
      <c r="P399" s="55"/>
      <c r="Q399" s="55"/>
      <c r="R399" s="61">
        <f t="shared" si="153"/>
        <v>216.34</v>
      </c>
      <c r="S399" s="60">
        <v>216.34</v>
      </c>
      <c r="T399" s="60">
        <v>216.34</v>
      </c>
      <c r="U399" s="60">
        <v>216.34</v>
      </c>
      <c r="V399" s="60">
        <v>216.34</v>
      </c>
      <c r="W399" s="60">
        <v>216.34</v>
      </c>
      <c r="X399" s="61">
        <f t="shared" si="154"/>
        <v>1298.04</v>
      </c>
      <c r="Y399" s="60">
        <v>216.34</v>
      </c>
      <c r="Z399" s="60">
        <v>216.34</v>
      </c>
      <c r="AA399" s="60">
        <v>216.34</v>
      </c>
      <c r="AB399" s="60">
        <v>216.34</v>
      </c>
      <c r="AC399" s="60">
        <v>216.34</v>
      </c>
      <c r="AD399" s="60">
        <v>216.34</v>
      </c>
      <c r="AE399" s="61">
        <f t="shared" si="155"/>
        <v>1298.04</v>
      </c>
      <c r="AF399" s="62">
        <f t="shared" si="148"/>
        <v>41538.339999999997</v>
      </c>
      <c r="AG399" s="62">
        <f t="shared" si="149"/>
        <v>29856.06</v>
      </c>
      <c r="AH399" s="62">
        <f t="shared" si="159"/>
        <v>11682.279999999995</v>
      </c>
      <c r="AI399" s="63"/>
      <c r="AJ399" s="63"/>
      <c r="AK399" s="62"/>
      <c r="AL399" s="60">
        <v>216.34</v>
      </c>
      <c r="AM399" s="60">
        <v>216.34</v>
      </c>
      <c r="AN399" s="60">
        <v>216.34</v>
      </c>
      <c r="AO399" s="60">
        <v>216.34</v>
      </c>
      <c r="AP399" s="60">
        <v>216.34</v>
      </c>
      <c r="AQ399" s="60">
        <v>216.34</v>
      </c>
      <c r="AR399" s="61">
        <f t="shared" si="156"/>
        <v>1298.04</v>
      </c>
      <c r="AS399" s="60">
        <v>216.34</v>
      </c>
      <c r="AT399" s="60">
        <v>216.34</v>
      </c>
      <c r="AU399" s="60">
        <v>216.34</v>
      </c>
      <c r="AV399" s="60">
        <v>216.34</v>
      </c>
      <c r="AW399" s="60">
        <v>216.34</v>
      </c>
      <c r="AX399" s="60">
        <v>216.34</v>
      </c>
      <c r="AY399" s="61">
        <f t="shared" si="157"/>
        <v>1298.04</v>
      </c>
      <c r="AZ399" s="56">
        <f t="shared" si="152"/>
        <v>2596.08</v>
      </c>
      <c r="BA399" s="62">
        <f t="shared" si="150"/>
        <v>41538.339999999997</v>
      </c>
      <c r="BB399" s="62">
        <f t="shared" si="158"/>
        <v>32452.140000000003</v>
      </c>
      <c r="BC399" s="62">
        <f t="shared" si="151"/>
        <v>9086.1999999999935</v>
      </c>
      <c r="BD399" s="63"/>
      <c r="BE399" s="57"/>
      <c r="BF399" s="35" t="e">
        <f>VLOOKUP(A:A,'2023-2027'!A:G,1,+FALSE)</f>
        <v>#N/A</v>
      </c>
      <c r="BG399" s="7" t="e">
        <f t="shared" si="147"/>
        <v>#N/A</v>
      </c>
      <c r="BH399" s="35"/>
    </row>
    <row r="400" spans="1:60" ht="24" hidden="1" customHeight="1" outlineLevel="1" x14ac:dyDescent="0.2">
      <c r="A400" s="59" t="s">
        <v>1001</v>
      </c>
      <c r="B400" s="59" t="s">
        <v>31</v>
      </c>
      <c r="C400" s="59" t="s">
        <v>83</v>
      </c>
      <c r="D400" s="65" t="s">
        <v>1002</v>
      </c>
      <c r="E400" s="59" t="s">
        <v>595</v>
      </c>
      <c r="F400" s="60">
        <v>41538.339999999997</v>
      </c>
      <c r="G400" s="60">
        <v>24663.9</v>
      </c>
      <c r="H400" s="60">
        <v>16874.439999999999</v>
      </c>
      <c r="I400" s="59"/>
      <c r="J400" s="60">
        <v>2596.08</v>
      </c>
      <c r="K400" s="59"/>
      <c r="L400" s="59"/>
      <c r="M400" s="60">
        <v>41538.339999999997</v>
      </c>
      <c r="N400" s="60">
        <v>27259.98</v>
      </c>
      <c r="O400" s="60">
        <v>14278.36</v>
      </c>
      <c r="P400" s="55"/>
      <c r="Q400" s="55"/>
      <c r="R400" s="61">
        <f t="shared" si="153"/>
        <v>216.34</v>
      </c>
      <c r="S400" s="60">
        <v>216.34</v>
      </c>
      <c r="T400" s="60">
        <v>216.34</v>
      </c>
      <c r="U400" s="60">
        <v>216.34</v>
      </c>
      <c r="V400" s="60">
        <v>216.34</v>
      </c>
      <c r="W400" s="60">
        <v>216.34</v>
      </c>
      <c r="X400" s="61">
        <f t="shared" si="154"/>
        <v>1298.04</v>
      </c>
      <c r="Y400" s="60">
        <v>216.34</v>
      </c>
      <c r="Z400" s="60">
        <v>216.34</v>
      </c>
      <c r="AA400" s="60">
        <v>216.34</v>
      </c>
      <c r="AB400" s="60">
        <v>216.34</v>
      </c>
      <c r="AC400" s="60">
        <v>216.34</v>
      </c>
      <c r="AD400" s="60">
        <v>216.34</v>
      </c>
      <c r="AE400" s="61">
        <f t="shared" si="155"/>
        <v>1298.04</v>
      </c>
      <c r="AF400" s="62">
        <f t="shared" si="148"/>
        <v>41538.339999999997</v>
      </c>
      <c r="AG400" s="62">
        <f t="shared" si="149"/>
        <v>29856.06</v>
      </c>
      <c r="AH400" s="62">
        <f t="shared" si="159"/>
        <v>11682.279999999995</v>
      </c>
      <c r="AI400" s="63"/>
      <c r="AJ400" s="63"/>
      <c r="AK400" s="62"/>
      <c r="AL400" s="60">
        <v>216.34</v>
      </c>
      <c r="AM400" s="60">
        <v>216.34</v>
      </c>
      <c r="AN400" s="60">
        <v>216.34</v>
      </c>
      <c r="AO400" s="60">
        <v>216.34</v>
      </c>
      <c r="AP400" s="60">
        <v>216.34</v>
      </c>
      <c r="AQ400" s="60">
        <v>216.34</v>
      </c>
      <c r="AR400" s="61">
        <f t="shared" si="156"/>
        <v>1298.04</v>
      </c>
      <c r="AS400" s="60">
        <v>216.34</v>
      </c>
      <c r="AT400" s="60">
        <v>216.34</v>
      </c>
      <c r="AU400" s="60">
        <v>216.34</v>
      </c>
      <c r="AV400" s="60">
        <v>216.34</v>
      </c>
      <c r="AW400" s="60">
        <v>216.34</v>
      </c>
      <c r="AX400" s="60">
        <v>216.34</v>
      </c>
      <c r="AY400" s="61">
        <f t="shared" si="157"/>
        <v>1298.04</v>
      </c>
      <c r="AZ400" s="56">
        <f t="shared" si="152"/>
        <v>2596.08</v>
      </c>
      <c r="BA400" s="62">
        <f t="shared" si="150"/>
        <v>41538.339999999997</v>
      </c>
      <c r="BB400" s="62">
        <f t="shared" si="158"/>
        <v>32452.140000000003</v>
      </c>
      <c r="BC400" s="62">
        <f t="shared" si="151"/>
        <v>9086.1999999999935</v>
      </c>
      <c r="BD400" s="63"/>
      <c r="BE400" s="57"/>
      <c r="BF400" s="35" t="e">
        <f>VLOOKUP(A:A,'2023-2027'!A:G,1,+FALSE)</f>
        <v>#N/A</v>
      </c>
      <c r="BG400" s="7" t="e">
        <f t="shared" si="147"/>
        <v>#N/A</v>
      </c>
      <c r="BH400" s="35"/>
    </row>
    <row r="401" spans="1:60" ht="24" hidden="1" customHeight="1" outlineLevel="1" x14ac:dyDescent="0.2">
      <c r="A401" s="59" t="s">
        <v>1003</v>
      </c>
      <c r="B401" s="59" t="s">
        <v>31</v>
      </c>
      <c r="C401" s="59" t="s">
        <v>83</v>
      </c>
      <c r="D401" s="65" t="s">
        <v>1004</v>
      </c>
      <c r="E401" s="59" t="s">
        <v>237</v>
      </c>
      <c r="F401" s="60">
        <v>41538.339999999997</v>
      </c>
      <c r="G401" s="60">
        <v>25962</v>
      </c>
      <c r="H401" s="60">
        <v>15576.34</v>
      </c>
      <c r="I401" s="59"/>
      <c r="J401" s="60">
        <v>2596.08</v>
      </c>
      <c r="K401" s="59"/>
      <c r="L401" s="59"/>
      <c r="M401" s="60">
        <v>41538.339999999997</v>
      </c>
      <c r="N401" s="60">
        <v>28558.080000000002</v>
      </c>
      <c r="O401" s="60">
        <v>12980.26</v>
      </c>
      <c r="P401" s="55"/>
      <c r="Q401" s="55"/>
      <c r="R401" s="61">
        <f t="shared" si="153"/>
        <v>216.34</v>
      </c>
      <c r="S401" s="60">
        <v>216.34</v>
      </c>
      <c r="T401" s="60">
        <v>216.34</v>
      </c>
      <c r="U401" s="60">
        <v>216.34</v>
      </c>
      <c r="V401" s="60">
        <v>216.34</v>
      </c>
      <c r="W401" s="60">
        <v>216.34</v>
      </c>
      <c r="X401" s="61">
        <f t="shared" si="154"/>
        <v>1298.04</v>
      </c>
      <c r="Y401" s="60">
        <v>216.34</v>
      </c>
      <c r="Z401" s="60">
        <v>216.34</v>
      </c>
      <c r="AA401" s="60">
        <v>216.34</v>
      </c>
      <c r="AB401" s="60">
        <v>216.34</v>
      </c>
      <c r="AC401" s="60">
        <v>216.34</v>
      </c>
      <c r="AD401" s="60">
        <v>216.34</v>
      </c>
      <c r="AE401" s="61">
        <f t="shared" si="155"/>
        <v>1298.04</v>
      </c>
      <c r="AF401" s="62">
        <f t="shared" si="148"/>
        <v>41538.339999999997</v>
      </c>
      <c r="AG401" s="62">
        <f t="shared" si="149"/>
        <v>31154.160000000003</v>
      </c>
      <c r="AH401" s="62">
        <f t="shared" si="159"/>
        <v>10384.179999999993</v>
      </c>
      <c r="AI401" s="63"/>
      <c r="AJ401" s="63"/>
      <c r="AK401" s="62"/>
      <c r="AL401" s="60">
        <v>216.34</v>
      </c>
      <c r="AM401" s="60">
        <v>216.34</v>
      </c>
      <c r="AN401" s="60">
        <v>216.34</v>
      </c>
      <c r="AO401" s="60">
        <v>216.34</v>
      </c>
      <c r="AP401" s="60">
        <v>216.34</v>
      </c>
      <c r="AQ401" s="60">
        <v>216.34</v>
      </c>
      <c r="AR401" s="61">
        <f t="shared" si="156"/>
        <v>1298.04</v>
      </c>
      <c r="AS401" s="60">
        <v>216.34</v>
      </c>
      <c r="AT401" s="60">
        <v>216.34</v>
      </c>
      <c r="AU401" s="60">
        <v>216.34</v>
      </c>
      <c r="AV401" s="60">
        <v>216.34</v>
      </c>
      <c r="AW401" s="60">
        <v>216.34</v>
      </c>
      <c r="AX401" s="60">
        <v>216.34</v>
      </c>
      <c r="AY401" s="61">
        <f t="shared" si="157"/>
        <v>1298.04</v>
      </c>
      <c r="AZ401" s="56">
        <f t="shared" si="152"/>
        <v>2596.08</v>
      </c>
      <c r="BA401" s="62">
        <f t="shared" si="150"/>
        <v>41538.339999999997</v>
      </c>
      <c r="BB401" s="62">
        <f t="shared" si="158"/>
        <v>33750.239999999991</v>
      </c>
      <c r="BC401" s="62">
        <f t="shared" si="151"/>
        <v>7788.1000000000058</v>
      </c>
      <c r="BD401" s="63"/>
      <c r="BE401" s="57"/>
      <c r="BF401" s="35" t="e">
        <f>VLOOKUP(A:A,'2023-2027'!A:G,1,+FALSE)</f>
        <v>#N/A</v>
      </c>
      <c r="BG401" s="7" t="e">
        <f t="shared" si="147"/>
        <v>#N/A</v>
      </c>
      <c r="BH401" s="35"/>
    </row>
    <row r="402" spans="1:60" ht="24" hidden="1" customHeight="1" outlineLevel="1" x14ac:dyDescent="0.2">
      <c r="A402" s="59" t="s">
        <v>1005</v>
      </c>
      <c r="B402" s="59" t="s">
        <v>31</v>
      </c>
      <c r="C402" s="59" t="s">
        <v>83</v>
      </c>
      <c r="D402" s="65" t="s">
        <v>1006</v>
      </c>
      <c r="E402" s="59" t="s">
        <v>595</v>
      </c>
      <c r="F402" s="60">
        <v>41538.339999999997</v>
      </c>
      <c r="G402" s="60">
        <v>24663.9</v>
      </c>
      <c r="H402" s="60">
        <v>16874.439999999999</v>
      </c>
      <c r="I402" s="59"/>
      <c r="J402" s="60">
        <v>2596.08</v>
      </c>
      <c r="K402" s="59"/>
      <c r="L402" s="59"/>
      <c r="M402" s="60">
        <v>41538.339999999997</v>
      </c>
      <c r="N402" s="60">
        <v>27259.98</v>
      </c>
      <c r="O402" s="60">
        <v>14278.36</v>
      </c>
      <c r="P402" s="55"/>
      <c r="Q402" s="55"/>
      <c r="R402" s="61">
        <f t="shared" si="153"/>
        <v>216.34</v>
      </c>
      <c r="S402" s="60">
        <v>216.34</v>
      </c>
      <c r="T402" s="60">
        <v>216.34</v>
      </c>
      <c r="U402" s="60">
        <v>216.34</v>
      </c>
      <c r="V402" s="60">
        <v>216.34</v>
      </c>
      <c r="W402" s="60">
        <v>216.34</v>
      </c>
      <c r="X402" s="61">
        <f t="shared" si="154"/>
        <v>1298.04</v>
      </c>
      <c r="Y402" s="60">
        <v>216.34</v>
      </c>
      <c r="Z402" s="60">
        <v>216.34</v>
      </c>
      <c r="AA402" s="60">
        <v>216.34</v>
      </c>
      <c r="AB402" s="60">
        <v>216.34</v>
      </c>
      <c r="AC402" s="60">
        <v>216.34</v>
      </c>
      <c r="AD402" s="60">
        <v>216.34</v>
      </c>
      <c r="AE402" s="61">
        <f t="shared" si="155"/>
        <v>1298.04</v>
      </c>
      <c r="AF402" s="62">
        <f t="shared" si="148"/>
        <v>41538.339999999997</v>
      </c>
      <c r="AG402" s="62">
        <f t="shared" si="149"/>
        <v>29856.06</v>
      </c>
      <c r="AH402" s="62">
        <f t="shared" si="159"/>
        <v>11682.279999999995</v>
      </c>
      <c r="AI402" s="63"/>
      <c r="AJ402" s="63"/>
      <c r="AK402" s="62"/>
      <c r="AL402" s="60">
        <v>216.34</v>
      </c>
      <c r="AM402" s="60">
        <v>216.34</v>
      </c>
      <c r="AN402" s="60">
        <v>216.34</v>
      </c>
      <c r="AO402" s="60">
        <v>216.34</v>
      </c>
      <c r="AP402" s="60">
        <v>216.34</v>
      </c>
      <c r="AQ402" s="60">
        <v>216.34</v>
      </c>
      <c r="AR402" s="61">
        <f t="shared" si="156"/>
        <v>1298.04</v>
      </c>
      <c r="AS402" s="60">
        <v>216.34</v>
      </c>
      <c r="AT402" s="60">
        <v>216.34</v>
      </c>
      <c r="AU402" s="60">
        <v>216.34</v>
      </c>
      <c r="AV402" s="60">
        <v>216.34</v>
      </c>
      <c r="AW402" s="60">
        <v>216.34</v>
      </c>
      <c r="AX402" s="60">
        <v>216.34</v>
      </c>
      <c r="AY402" s="61">
        <f t="shared" si="157"/>
        <v>1298.04</v>
      </c>
      <c r="AZ402" s="56">
        <f t="shared" si="152"/>
        <v>2596.08</v>
      </c>
      <c r="BA402" s="62">
        <f t="shared" si="150"/>
        <v>41538.339999999997</v>
      </c>
      <c r="BB402" s="62">
        <f t="shared" si="158"/>
        <v>32452.140000000003</v>
      </c>
      <c r="BC402" s="62">
        <f t="shared" si="151"/>
        <v>9086.1999999999935</v>
      </c>
      <c r="BD402" s="63"/>
      <c r="BE402" s="57"/>
      <c r="BF402" s="35" t="e">
        <f>VLOOKUP(A:A,'2023-2027'!A:G,1,+FALSE)</f>
        <v>#N/A</v>
      </c>
      <c r="BG402" s="7" t="e">
        <f t="shared" si="147"/>
        <v>#N/A</v>
      </c>
      <c r="BH402" s="35"/>
    </row>
    <row r="403" spans="1:60" ht="24" hidden="1" customHeight="1" outlineLevel="1" x14ac:dyDescent="0.2">
      <c r="A403" s="59" t="s">
        <v>1007</v>
      </c>
      <c r="B403" s="59" t="s">
        <v>31</v>
      </c>
      <c r="C403" s="59" t="s">
        <v>83</v>
      </c>
      <c r="D403" s="65" t="s">
        <v>1008</v>
      </c>
      <c r="E403" s="59" t="s">
        <v>595</v>
      </c>
      <c r="F403" s="60">
        <v>41538.339999999997</v>
      </c>
      <c r="G403" s="60">
        <v>24663.9</v>
      </c>
      <c r="H403" s="60">
        <v>16874.439999999999</v>
      </c>
      <c r="I403" s="59"/>
      <c r="J403" s="60">
        <v>2596.08</v>
      </c>
      <c r="K403" s="59"/>
      <c r="L403" s="59"/>
      <c r="M403" s="60">
        <v>41538.339999999997</v>
      </c>
      <c r="N403" s="60">
        <v>27259.98</v>
      </c>
      <c r="O403" s="60">
        <v>14278.36</v>
      </c>
      <c r="P403" s="55"/>
      <c r="Q403" s="55"/>
      <c r="R403" s="61">
        <f t="shared" si="153"/>
        <v>216.34</v>
      </c>
      <c r="S403" s="60">
        <v>216.34</v>
      </c>
      <c r="T403" s="60">
        <v>216.34</v>
      </c>
      <c r="U403" s="60">
        <v>216.34</v>
      </c>
      <c r="V403" s="60">
        <v>216.34</v>
      </c>
      <c r="W403" s="60">
        <v>216.34</v>
      </c>
      <c r="X403" s="61">
        <f t="shared" si="154"/>
        <v>1298.04</v>
      </c>
      <c r="Y403" s="60">
        <v>216.34</v>
      </c>
      <c r="Z403" s="60">
        <v>216.34</v>
      </c>
      <c r="AA403" s="60">
        <v>216.34</v>
      </c>
      <c r="AB403" s="60">
        <v>216.34</v>
      </c>
      <c r="AC403" s="60">
        <v>216.34</v>
      </c>
      <c r="AD403" s="60">
        <v>216.34</v>
      </c>
      <c r="AE403" s="61">
        <f t="shared" si="155"/>
        <v>1298.04</v>
      </c>
      <c r="AF403" s="62">
        <f t="shared" si="148"/>
        <v>41538.339999999997</v>
      </c>
      <c r="AG403" s="62">
        <f t="shared" si="149"/>
        <v>29856.06</v>
      </c>
      <c r="AH403" s="62">
        <f t="shared" si="159"/>
        <v>11682.279999999995</v>
      </c>
      <c r="AI403" s="63"/>
      <c r="AJ403" s="63"/>
      <c r="AK403" s="62"/>
      <c r="AL403" s="60">
        <v>216.34</v>
      </c>
      <c r="AM403" s="60">
        <v>216.34</v>
      </c>
      <c r="AN403" s="60">
        <v>216.34</v>
      </c>
      <c r="AO403" s="60">
        <v>216.34</v>
      </c>
      <c r="AP403" s="60">
        <v>216.34</v>
      </c>
      <c r="AQ403" s="60">
        <v>216.34</v>
      </c>
      <c r="AR403" s="61">
        <f t="shared" si="156"/>
        <v>1298.04</v>
      </c>
      <c r="AS403" s="60">
        <v>216.34</v>
      </c>
      <c r="AT403" s="60">
        <v>216.34</v>
      </c>
      <c r="AU403" s="60">
        <v>216.34</v>
      </c>
      <c r="AV403" s="60">
        <v>216.34</v>
      </c>
      <c r="AW403" s="60">
        <v>216.34</v>
      </c>
      <c r="AX403" s="60">
        <v>216.34</v>
      </c>
      <c r="AY403" s="61">
        <f t="shared" si="157"/>
        <v>1298.04</v>
      </c>
      <c r="AZ403" s="56">
        <f t="shared" si="152"/>
        <v>2596.08</v>
      </c>
      <c r="BA403" s="62">
        <f t="shared" si="150"/>
        <v>41538.339999999997</v>
      </c>
      <c r="BB403" s="62">
        <f t="shared" si="158"/>
        <v>32452.140000000003</v>
      </c>
      <c r="BC403" s="62">
        <f t="shared" si="151"/>
        <v>9086.1999999999935</v>
      </c>
      <c r="BD403" s="63"/>
      <c r="BE403" s="57"/>
      <c r="BF403" s="35" t="e">
        <f>VLOOKUP(A:A,'2023-2027'!A:G,1,+FALSE)</f>
        <v>#N/A</v>
      </c>
      <c r="BG403" s="7" t="e">
        <f t="shared" si="147"/>
        <v>#N/A</v>
      </c>
      <c r="BH403" s="35"/>
    </row>
    <row r="404" spans="1:60" ht="24" hidden="1" customHeight="1" outlineLevel="1" x14ac:dyDescent="0.2">
      <c r="A404" s="59" t="s">
        <v>1009</v>
      </c>
      <c r="B404" s="59" t="s">
        <v>31</v>
      </c>
      <c r="C404" s="59" t="s">
        <v>83</v>
      </c>
      <c r="D404" s="65" t="s">
        <v>1010</v>
      </c>
      <c r="E404" s="59" t="s">
        <v>237</v>
      </c>
      <c r="F404" s="60">
        <v>41538.339999999997</v>
      </c>
      <c r="G404" s="60">
        <v>25962</v>
      </c>
      <c r="H404" s="60">
        <v>15576.34</v>
      </c>
      <c r="I404" s="59"/>
      <c r="J404" s="60">
        <v>2596.08</v>
      </c>
      <c r="K404" s="59"/>
      <c r="L404" s="59"/>
      <c r="M404" s="60">
        <v>41538.339999999997</v>
      </c>
      <c r="N404" s="60">
        <v>28558.080000000002</v>
      </c>
      <c r="O404" s="60">
        <v>12980.26</v>
      </c>
      <c r="P404" s="55"/>
      <c r="Q404" s="55"/>
      <c r="R404" s="61">
        <f t="shared" si="153"/>
        <v>216.34</v>
      </c>
      <c r="S404" s="60">
        <v>216.34</v>
      </c>
      <c r="T404" s="60">
        <v>216.34</v>
      </c>
      <c r="U404" s="60">
        <v>216.34</v>
      </c>
      <c r="V404" s="60">
        <v>216.34</v>
      </c>
      <c r="W404" s="60">
        <v>216.34</v>
      </c>
      <c r="X404" s="61">
        <f t="shared" si="154"/>
        <v>1298.04</v>
      </c>
      <c r="Y404" s="60">
        <v>216.34</v>
      </c>
      <c r="Z404" s="60">
        <v>216.34</v>
      </c>
      <c r="AA404" s="60">
        <v>216.34</v>
      </c>
      <c r="AB404" s="60">
        <v>216.34</v>
      </c>
      <c r="AC404" s="60">
        <v>216.34</v>
      </c>
      <c r="AD404" s="60">
        <v>216.34</v>
      </c>
      <c r="AE404" s="61">
        <f t="shared" si="155"/>
        <v>1298.04</v>
      </c>
      <c r="AF404" s="62">
        <f t="shared" si="148"/>
        <v>41538.339999999997</v>
      </c>
      <c r="AG404" s="62">
        <f t="shared" si="149"/>
        <v>31154.160000000003</v>
      </c>
      <c r="AH404" s="62">
        <f t="shared" si="159"/>
        <v>10384.179999999993</v>
      </c>
      <c r="AI404" s="63"/>
      <c r="AJ404" s="63"/>
      <c r="AK404" s="62"/>
      <c r="AL404" s="60">
        <v>216.34</v>
      </c>
      <c r="AM404" s="60">
        <v>216.34</v>
      </c>
      <c r="AN404" s="60">
        <v>216.34</v>
      </c>
      <c r="AO404" s="60">
        <v>216.34</v>
      </c>
      <c r="AP404" s="60">
        <v>216.34</v>
      </c>
      <c r="AQ404" s="60">
        <v>216.34</v>
      </c>
      <c r="AR404" s="61">
        <f t="shared" si="156"/>
        <v>1298.04</v>
      </c>
      <c r="AS404" s="60">
        <v>216.34</v>
      </c>
      <c r="AT404" s="60">
        <v>216.34</v>
      </c>
      <c r="AU404" s="60">
        <v>216.34</v>
      </c>
      <c r="AV404" s="60">
        <v>216.34</v>
      </c>
      <c r="AW404" s="60">
        <v>216.34</v>
      </c>
      <c r="AX404" s="60">
        <v>216.34</v>
      </c>
      <c r="AY404" s="61">
        <f t="shared" si="157"/>
        <v>1298.04</v>
      </c>
      <c r="AZ404" s="56">
        <f t="shared" si="152"/>
        <v>2596.08</v>
      </c>
      <c r="BA404" s="62">
        <f t="shared" si="150"/>
        <v>41538.339999999997</v>
      </c>
      <c r="BB404" s="62">
        <f t="shared" si="158"/>
        <v>33750.239999999991</v>
      </c>
      <c r="BC404" s="62">
        <f t="shared" si="151"/>
        <v>7788.1000000000058</v>
      </c>
      <c r="BD404" s="63"/>
      <c r="BE404" s="57"/>
      <c r="BF404" s="35" t="e">
        <f>VLOOKUP(A:A,'2023-2027'!A:G,1,+FALSE)</f>
        <v>#N/A</v>
      </c>
      <c r="BG404" s="7" t="e">
        <f t="shared" si="147"/>
        <v>#N/A</v>
      </c>
      <c r="BH404" s="35"/>
    </row>
    <row r="405" spans="1:60" ht="24" hidden="1" customHeight="1" outlineLevel="1" x14ac:dyDescent="0.2">
      <c r="A405" s="59" t="s">
        <v>1011</v>
      </c>
      <c r="B405" s="59" t="s">
        <v>31</v>
      </c>
      <c r="C405" s="59" t="s">
        <v>83</v>
      </c>
      <c r="D405" s="65" t="s">
        <v>1012</v>
      </c>
      <c r="E405" s="59" t="s">
        <v>595</v>
      </c>
      <c r="F405" s="60">
        <v>41538.339999999997</v>
      </c>
      <c r="G405" s="60">
        <v>24663.9</v>
      </c>
      <c r="H405" s="60">
        <v>16874.439999999999</v>
      </c>
      <c r="I405" s="59"/>
      <c r="J405" s="60">
        <v>2596.08</v>
      </c>
      <c r="K405" s="59"/>
      <c r="L405" s="59"/>
      <c r="M405" s="60">
        <v>41538.339999999997</v>
      </c>
      <c r="N405" s="60">
        <v>27259.98</v>
      </c>
      <c r="O405" s="60">
        <v>14278.36</v>
      </c>
      <c r="P405" s="55"/>
      <c r="Q405" s="55"/>
      <c r="R405" s="61">
        <f t="shared" si="153"/>
        <v>216.34</v>
      </c>
      <c r="S405" s="60">
        <v>216.34</v>
      </c>
      <c r="T405" s="60">
        <v>216.34</v>
      </c>
      <c r="U405" s="60">
        <v>216.34</v>
      </c>
      <c r="V405" s="60">
        <v>216.34</v>
      </c>
      <c r="W405" s="60">
        <v>216.34</v>
      </c>
      <c r="X405" s="61">
        <f t="shared" si="154"/>
        <v>1298.04</v>
      </c>
      <c r="Y405" s="60">
        <v>216.34</v>
      </c>
      <c r="Z405" s="60">
        <v>216.34</v>
      </c>
      <c r="AA405" s="60">
        <v>216.34</v>
      </c>
      <c r="AB405" s="60">
        <v>216.34</v>
      </c>
      <c r="AC405" s="60">
        <v>216.34</v>
      </c>
      <c r="AD405" s="60">
        <v>216.34</v>
      </c>
      <c r="AE405" s="61">
        <f t="shared" si="155"/>
        <v>1298.04</v>
      </c>
      <c r="AF405" s="62">
        <f t="shared" si="148"/>
        <v>41538.339999999997</v>
      </c>
      <c r="AG405" s="62">
        <f t="shared" si="149"/>
        <v>29856.06</v>
      </c>
      <c r="AH405" s="62">
        <f t="shared" si="159"/>
        <v>11682.279999999995</v>
      </c>
      <c r="AI405" s="63"/>
      <c r="AJ405" s="63"/>
      <c r="AK405" s="62"/>
      <c r="AL405" s="60">
        <v>216.34</v>
      </c>
      <c r="AM405" s="60">
        <v>216.34</v>
      </c>
      <c r="AN405" s="60">
        <v>216.34</v>
      </c>
      <c r="AO405" s="60">
        <v>216.34</v>
      </c>
      <c r="AP405" s="60">
        <v>216.34</v>
      </c>
      <c r="AQ405" s="60">
        <v>216.34</v>
      </c>
      <c r="AR405" s="61">
        <f t="shared" si="156"/>
        <v>1298.04</v>
      </c>
      <c r="AS405" s="60">
        <v>216.34</v>
      </c>
      <c r="AT405" s="60">
        <v>216.34</v>
      </c>
      <c r="AU405" s="60">
        <v>216.34</v>
      </c>
      <c r="AV405" s="60">
        <v>216.34</v>
      </c>
      <c r="AW405" s="60">
        <v>216.34</v>
      </c>
      <c r="AX405" s="60">
        <v>216.34</v>
      </c>
      <c r="AY405" s="61">
        <f t="shared" si="157"/>
        <v>1298.04</v>
      </c>
      <c r="AZ405" s="56">
        <f t="shared" si="152"/>
        <v>2596.08</v>
      </c>
      <c r="BA405" s="62">
        <f t="shared" si="150"/>
        <v>41538.339999999997</v>
      </c>
      <c r="BB405" s="62">
        <f t="shared" si="158"/>
        <v>32452.140000000003</v>
      </c>
      <c r="BC405" s="62">
        <f t="shared" si="151"/>
        <v>9086.1999999999935</v>
      </c>
      <c r="BD405" s="63"/>
      <c r="BE405" s="57"/>
      <c r="BF405" s="35" t="e">
        <f>VLOOKUP(A:A,'2023-2027'!A:G,1,+FALSE)</f>
        <v>#N/A</v>
      </c>
      <c r="BG405" s="7" t="e">
        <f t="shared" si="147"/>
        <v>#N/A</v>
      </c>
      <c r="BH405" s="35"/>
    </row>
    <row r="406" spans="1:60" ht="24" hidden="1" customHeight="1" outlineLevel="1" x14ac:dyDescent="0.2">
      <c r="A406" s="59" t="s">
        <v>1013</v>
      </c>
      <c r="B406" s="59" t="s">
        <v>31</v>
      </c>
      <c r="C406" s="59" t="s">
        <v>83</v>
      </c>
      <c r="D406" s="65" t="s">
        <v>1014</v>
      </c>
      <c r="E406" s="59" t="s">
        <v>595</v>
      </c>
      <c r="F406" s="60">
        <v>41538.339999999997</v>
      </c>
      <c r="G406" s="60">
        <v>24663.9</v>
      </c>
      <c r="H406" s="60">
        <v>16874.439999999999</v>
      </c>
      <c r="I406" s="59"/>
      <c r="J406" s="60">
        <v>2596.08</v>
      </c>
      <c r="K406" s="59"/>
      <c r="L406" s="59"/>
      <c r="M406" s="60">
        <v>41538.339999999997</v>
      </c>
      <c r="N406" s="60">
        <v>27259.98</v>
      </c>
      <c r="O406" s="60">
        <v>14278.36</v>
      </c>
      <c r="P406" s="55"/>
      <c r="Q406" s="55"/>
      <c r="R406" s="61">
        <f t="shared" si="153"/>
        <v>216.34</v>
      </c>
      <c r="S406" s="60">
        <v>216.34</v>
      </c>
      <c r="T406" s="60">
        <v>216.34</v>
      </c>
      <c r="U406" s="60">
        <v>216.34</v>
      </c>
      <c r="V406" s="60">
        <v>216.34</v>
      </c>
      <c r="W406" s="60">
        <v>216.34</v>
      </c>
      <c r="X406" s="61">
        <f t="shared" si="154"/>
        <v>1298.04</v>
      </c>
      <c r="Y406" s="60">
        <v>216.34</v>
      </c>
      <c r="Z406" s="60">
        <v>216.34</v>
      </c>
      <c r="AA406" s="60">
        <v>216.34</v>
      </c>
      <c r="AB406" s="60">
        <v>216.34</v>
      </c>
      <c r="AC406" s="60">
        <v>216.34</v>
      </c>
      <c r="AD406" s="60">
        <v>216.34</v>
      </c>
      <c r="AE406" s="61">
        <f t="shared" si="155"/>
        <v>1298.04</v>
      </c>
      <c r="AF406" s="62">
        <f t="shared" si="148"/>
        <v>41538.339999999997</v>
      </c>
      <c r="AG406" s="62">
        <f t="shared" si="149"/>
        <v>29856.06</v>
      </c>
      <c r="AH406" s="62">
        <f t="shared" si="159"/>
        <v>11682.279999999995</v>
      </c>
      <c r="AI406" s="63"/>
      <c r="AJ406" s="63"/>
      <c r="AK406" s="62"/>
      <c r="AL406" s="60">
        <v>216.34</v>
      </c>
      <c r="AM406" s="60">
        <v>216.34</v>
      </c>
      <c r="AN406" s="60">
        <v>216.34</v>
      </c>
      <c r="AO406" s="60">
        <v>216.34</v>
      </c>
      <c r="AP406" s="60">
        <v>216.34</v>
      </c>
      <c r="AQ406" s="60">
        <v>216.34</v>
      </c>
      <c r="AR406" s="61">
        <f t="shared" si="156"/>
        <v>1298.04</v>
      </c>
      <c r="AS406" s="60">
        <v>216.34</v>
      </c>
      <c r="AT406" s="60">
        <v>216.34</v>
      </c>
      <c r="AU406" s="60">
        <v>216.34</v>
      </c>
      <c r="AV406" s="60">
        <v>216.34</v>
      </c>
      <c r="AW406" s="60">
        <v>216.34</v>
      </c>
      <c r="AX406" s="60">
        <v>216.34</v>
      </c>
      <c r="AY406" s="61">
        <f t="shared" si="157"/>
        <v>1298.04</v>
      </c>
      <c r="AZ406" s="56">
        <f t="shared" si="152"/>
        <v>2596.08</v>
      </c>
      <c r="BA406" s="62">
        <f t="shared" si="150"/>
        <v>41538.339999999997</v>
      </c>
      <c r="BB406" s="62">
        <f t="shared" si="158"/>
        <v>32452.140000000003</v>
      </c>
      <c r="BC406" s="62">
        <f t="shared" si="151"/>
        <v>9086.1999999999935</v>
      </c>
      <c r="BD406" s="63"/>
      <c r="BE406" s="57"/>
      <c r="BF406" s="35" t="e">
        <f>VLOOKUP(A:A,'2023-2027'!A:G,1,+FALSE)</f>
        <v>#N/A</v>
      </c>
      <c r="BG406" s="7" t="e">
        <f t="shared" ref="BG406:BG469" si="160">OR(EXACT(BF406,$A$4:$A$1071))</f>
        <v>#N/A</v>
      </c>
      <c r="BH406" s="35"/>
    </row>
    <row r="407" spans="1:60" ht="24" hidden="1" customHeight="1" outlineLevel="1" x14ac:dyDescent="0.2">
      <c r="A407" s="59" t="s">
        <v>1015</v>
      </c>
      <c r="B407" s="59" t="s">
        <v>31</v>
      </c>
      <c r="C407" s="59" t="s">
        <v>83</v>
      </c>
      <c r="D407" s="65" t="s">
        <v>1016</v>
      </c>
      <c r="E407" s="59" t="s">
        <v>595</v>
      </c>
      <c r="F407" s="60">
        <v>41538.339999999997</v>
      </c>
      <c r="G407" s="60">
        <v>24663.9</v>
      </c>
      <c r="H407" s="60">
        <v>16874.439999999999</v>
      </c>
      <c r="I407" s="59"/>
      <c r="J407" s="60">
        <v>2596.08</v>
      </c>
      <c r="K407" s="59"/>
      <c r="L407" s="59"/>
      <c r="M407" s="60">
        <v>41538.339999999997</v>
      </c>
      <c r="N407" s="60">
        <v>27259.98</v>
      </c>
      <c r="O407" s="60">
        <v>14278.36</v>
      </c>
      <c r="P407" s="55"/>
      <c r="Q407" s="55"/>
      <c r="R407" s="61">
        <f t="shared" si="153"/>
        <v>216.34</v>
      </c>
      <c r="S407" s="60">
        <v>216.34</v>
      </c>
      <c r="T407" s="60">
        <v>216.34</v>
      </c>
      <c r="U407" s="60">
        <v>216.34</v>
      </c>
      <c r="V407" s="60">
        <v>216.34</v>
      </c>
      <c r="W407" s="60">
        <v>216.34</v>
      </c>
      <c r="X407" s="61">
        <f t="shared" si="154"/>
        <v>1298.04</v>
      </c>
      <c r="Y407" s="60">
        <v>216.34</v>
      </c>
      <c r="Z407" s="60">
        <v>216.34</v>
      </c>
      <c r="AA407" s="60">
        <v>216.34</v>
      </c>
      <c r="AB407" s="60">
        <v>216.34</v>
      </c>
      <c r="AC407" s="60">
        <v>216.34</v>
      </c>
      <c r="AD407" s="60">
        <v>216.34</v>
      </c>
      <c r="AE407" s="61">
        <f t="shared" si="155"/>
        <v>1298.04</v>
      </c>
      <c r="AF407" s="62">
        <f t="shared" si="148"/>
        <v>41538.339999999997</v>
      </c>
      <c r="AG407" s="62">
        <f t="shared" si="149"/>
        <v>29856.06</v>
      </c>
      <c r="AH407" s="62">
        <f t="shared" si="159"/>
        <v>11682.279999999995</v>
      </c>
      <c r="AI407" s="63"/>
      <c r="AJ407" s="63"/>
      <c r="AK407" s="62"/>
      <c r="AL407" s="60">
        <v>216.34</v>
      </c>
      <c r="AM407" s="60">
        <v>216.34</v>
      </c>
      <c r="AN407" s="60">
        <v>216.34</v>
      </c>
      <c r="AO407" s="60">
        <v>216.34</v>
      </c>
      <c r="AP407" s="60">
        <v>216.34</v>
      </c>
      <c r="AQ407" s="60">
        <v>216.34</v>
      </c>
      <c r="AR407" s="61">
        <f t="shared" si="156"/>
        <v>1298.04</v>
      </c>
      <c r="AS407" s="60">
        <v>216.34</v>
      </c>
      <c r="AT407" s="60">
        <v>216.34</v>
      </c>
      <c r="AU407" s="60">
        <v>216.34</v>
      </c>
      <c r="AV407" s="60">
        <v>216.34</v>
      </c>
      <c r="AW407" s="60">
        <v>216.34</v>
      </c>
      <c r="AX407" s="60">
        <v>216.34</v>
      </c>
      <c r="AY407" s="61">
        <f t="shared" si="157"/>
        <v>1298.04</v>
      </c>
      <c r="AZ407" s="56">
        <f t="shared" si="152"/>
        <v>2596.08</v>
      </c>
      <c r="BA407" s="62">
        <f t="shared" si="150"/>
        <v>41538.339999999997</v>
      </c>
      <c r="BB407" s="62">
        <f t="shared" si="158"/>
        <v>32452.140000000003</v>
      </c>
      <c r="BC407" s="62">
        <f t="shared" si="151"/>
        <v>9086.1999999999935</v>
      </c>
      <c r="BD407" s="63"/>
      <c r="BE407" s="57"/>
      <c r="BF407" s="35" t="e">
        <f>VLOOKUP(A:A,'2023-2027'!A:G,1,+FALSE)</f>
        <v>#N/A</v>
      </c>
      <c r="BG407" s="7" t="e">
        <f t="shared" si="160"/>
        <v>#N/A</v>
      </c>
      <c r="BH407" s="35"/>
    </row>
    <row r="408" spans="1:60" ht="24" hidden="1" customHeight="1" outlineLevel="1" x14ac:dyDescent="0.2">
      <c r="A408" s="59" t="s">
        <v>1017</v>
      </c>
      <c r="B408" s="59" t="s">
        <v>31</v>
      </c>
      <c r="C408" s="59" t="s">
        <v>83</v>
      </c>
      <c r="D408" s="65" t="s">
        <v>1018</v>
      </c>
      <c r="E408" s="59" t="s">
        <v>595</v>
      </c>
      <c r="F408" s="60">
        <v>41538.339999999997</v>
      </c>
      <c r="G408" s="60">
        <v>24663.9</v>
      </c>
      <c r="H408" s="60">
        <v>16874.439999999999</v>
      </c>
      <c r="I408" s="59"/>
      <c r="J408" s="60">
        <v>2596.08</v>
      </c>
      <c r="K408" s="59"/>
      <c r="L408" s="59"/>
      <c r="M408" s="60">
        <v>41538.339999999997</v>
      </c>
      <c r="N408" s="60">
        <v>27259.98</v>
      </c>
      <c r="O408" s="60">
        <v>14278.36</v>
      </c>
      <c r="P408" s="55"/>
      <c r="Q408" s="55"/>
      <c r="R408" s="61">
        <f t="shared" si="153"/>
        <v>216.34</v>
      </c>
      <c r="S408" s="60">
        <v>216.34</v>
      </c>
      <c r="T408" s="60">
        <v>216.34</v>
      </c>
      <c r="U408" s="60">
        <v>216.34</v>
      </c>
      <c r="V408" s="60">
        <v>216.34</v>
      </c>
      <c r="W408" s="60">
        <v>216.34</v>
      </c>
      <c r="X408" s="61">
        <f t="shared" si="154"/>
        <v>1298.04</v>
      </c>
      <c r="Y408" s="60">
        <v>216.34</v>
      </c>
      <c r="Z408" s="60">
        <v>216.34</v>
      </c>
      <c r="AA408" s="60">
        <v>216.34</v>
      </c>
      <c r="AB408" s="60">
        <v>216.34</v>
      </c>
      <c r="AC408" s="60">
        <v>216.34</v>
      </c>
      <c r="AD408" s="60">
        <v>216.34</v>
      </c>
      <c r="AE408" s="61">
        <f t="shared" si="155"/>
        <v>1298.04</v>
      </c>
      <c r="AF408" s="62">
        <f t="shared" si="148"/>
        <v>41538.339999999997</v>
      </c>
      <c r="AG408" s="62">
        <f t="shared" si="149"/>
        <v>29856.06</v>
      </c>
      <c r="AH408" s="62">
        <f t="shared" si="159"/>
        <v>11682.279999999995</v>
      </c>
      <c r="AI408" s="63"/>
      <c r="AJ408" s="63"/>
      <c r="AK408" s="62"/>
      <c r="AL408" s="60">
        <v>216.34</v>
      </c>
      <c r="AM408" s="60">
        <v>216.34</v>
      </c>
      <c r="AN408" s="60">
        <v>216.34</v>
      </c>
      <c r="AO408" s="60">
        <v>216.34</v>
      </c>
      <c r="AP408" s="60">
        <v>216.34</v>
      </c>
      <c r="AQ408" s="60">
        <v>216.34</v>
      </c>
      <c r="AR408" s="61">
        <f t="shared" si="156"/>
        <v>1298.04</v>
      </c>
      <c r="AS408" s="60">
        <v>216.34</v>
      </c>
      <c r="AT408" s="60">
        <v>216.34</v>
      </c>
      <c r="AU408" s="60">
        <v>216.34</v>
      </c>
      <c r="AV408" s="60">
        <v>216.34</v>
      </c>
      <c r="AW408" s="60">
        <v>216.34</v>
      </c>
      <c r="AX408" s="60">
        <v>216.34</v>
      </c>
      <c r="AY408" s="61">
        <f t="shared" si="157"/>
        <v>1298.04</v>
      </c>
      <c r="AZ408" s="56">
        <f t="shared" si="152"/>
        <v>2596.08</v>
      </c>
      <c r="BA408" s="62">
        <f t="shared" si="150"/>
        <v>41538.339999999997</v>
      </c>
      <c r="BB408" s="62">
        <f t="shared" si="158"/>
        <v>32452.140000000003</v>
      </c>
      <c r="BC408" s="62">
        <f t="shared" si="151"/>
        <v>9086.1999999999935</v>
      </c>
      <c r="BD408" s="63"/>
      <c r="BE408" s="57"/>
      <c r="BF408" s="35" t="e">
        <f>VLOOKUP(A:A,'2023-2027'!A:G,1,+FALSE)</f>
        <v>#N/A</v>
      </c>
      <c r="BG408" s="7" t="e">
        <f t="shared" si="160"/>
        <v>#N/A</v>
      </c>
      <c r="BH408" s="35"/>
    </row>
    <row r="409" spans="1:60" ht="24" hidden="1" customHeight="1" outlineLevel="1" x14ac:dyDescent="0.2">
      <c r="A409" s="59" t="s">
        <v>1019</v>
      </c>
      <c r="B409" s="59" t="s">
        <v>31</v>
      </c>
      <c r="C409" s="59" t="s">
        <v>83</v>
      </c>
      <c r="D409" s="65" t="s">
        <v>1020</v>
      </c>
      <c r="E409" s="59" t="s">
        <v>595</v>
      </c>
      <c r="F409" s="60">
        <v>41538.339999999997</v>
      </c>
      <c r="G409" s="60">
        <v>24663.9</v>
      </c>
      <c r="H409" s="60">
        <v>16874.439999999999</v>
      </c>
      <c r="I409" s="59"/>
      <c r="J409" s="60">
        <v>2596.08</v>
      </c>
      <c r="K409" s="59"/>
      <c r="L409" s="59"/>
      <c r="M409" s="60">
        <v>41538.339999999997</v>
      </c>
      <c r="N409" s="60">
        <v>27259.98</v>
      </c>
      <c r="O409" s="60">
        <v>14278.36</v>
      </c>
      <c r="P409" s="55"/>
      <c r="Q409" s="55"/>
      <c r="R409" s="61">
        <f t="shared" si="153"/>
        <v>216.34</v>
      </c>
      <c r="S409" s="60">
        <v>216.34</v>
      </c>
      <c r="T409" s="60">
        <v>216.34</v>
      </c>
      <c r="U409" s="60">
        <v>216.34</v>
      </c>
      <c r="V409" s="60">
        <v>216.34</v>
      </c>
      <c r="W409" s="60">
        <v>216.34</v>
      </c>
      <c r="X409" s="61">
        <f t="shared" si="154"/>
        <v>1298.04</v>
      </c>
      <c r="Y409" s="60">
        <v>216.34</v>
      </c>
      <c r="Z409" s="60">
        <v>216.34</v>
      </c>
      <c r="AA409" s="60">
        <v>216.34</v>
      </c>
      <c r="AB409" s="60">
        <v>216.34</v>
      </c>
      <c r="AC409" s="60">
        <v>216.34</v>
      </c>
      <c r="AD409" s="60">
        <v>216.34</v>
      </c>
      <c r="AE409" s="61">
        <f t="shared" si="155"/>
        <v>1298.04</v>
      </c>
      <c r="AF409" s="62">
        <f t="shared" si="148"/>
        <v>41538.339999999997</v>
      </c>
      <c r="AG409" s="62">
        <f t="shared" si="149"/>
        <v>29856.06</v>
      </c>
      <c r="AH409" s="62">
        <f t="shared" si="159"/>
        <v>11682.279999999995</v>
      </c>
      <c r="AI409" s="63"/>
      <c r="AJ409" s="63"/>
      <c r="AK409" s="62"/>
      <c r="AL409" s="60">
        <v>216.34</v>
      </c>
      <c r="AM409" s="60">
        <v>216.34</v>
      </c>
      <c r="AN409" s="60">
        <v>216.34</v>
      </c>
      <c r="AO409" s="60">
        <v>216.34</v>
      </c>
      <c r="AP409" s="60">
        <v>216.34</v>
      </c>
      <c r="AQ409" s="60">
        <v>216.34</v>
      </c>
      <c r="AR409" s="61">
        <f t="shared" si="156"/>
        <v>1298.04</v>
      </c>
      <c r="AS409" s="60">
        <v>216.34</v>
      </c>
      <c r="AT409" s="60">
        <v>216.34</v>
      </c>
      <c r="AU409" s="60">
        <v>216.34</v>
      </c>
      <c r="AV409" s="60">
        <v>216.34</v>
      </c>
      <c r="AW409" s="60">
        <v>216.34</v>
      </c>
      <c r="AX409" s="60">
        <v>216.34</v>
      </c>
      <c r="AY409" s="61">
        <f t="shared" si="157"/>
        <v>1298.04</v>
      </c>
      <c r="AZ409" s="56">
        <f t="shared" si="152"/>
        <v>2596.08</v>
      </c>
      <c r="BA409" s="62">
        <f t="shared" si="150"/>
        <v>41538.339999999997</v>
      </c>
      <c r="BB409" s="62">
        <f t="shared" si="158"/>
        <v>32452.140000000003</v>
      </c>
      <c r="BC409" s="62">
        <f t="shared" si="151"/>
        <v>9086.1999999999935</v>
      </c>
      <c r="BD409" s="63"/>
      <c r="BE409" s="57"/>
      <c r="BF409" s="35" t="e">
        <f>VLOOKUP(A:A,'2023-2027'!A:G,1,+FALSE)</f>
        <v>#N/A</v>
      </c>
      <c r="BG409" s="7" t="e">
        <f t="shared" si="160"/>
        <v>#N/A</v>
      </c>
      <c r="BH409" s="35"/>
    </row>
    <row r="410" spans="1:60" ht="24" hidden="1" customHeight="1" outlineLevel="1" x14ac:dyDescent="0.2">
      <c r="A410" s="59" t="s">
        <v>1021</v>
      </c>
      <c r="B410" s="59" t="s">
        <v>31</v>
      </c>
      <c r="C410" s="59" t="s">
        <v>83</v>
      </c>
      <c r="D410" s="65" t="s">
        <v>1022</v>
      </c>
      <c r="E410" s="59" t="s">
        <v>595</v>
      </c>
      <c r="F410" s="60">
        <v>41538.339999999997</v>
      </c>
      <c r="G410" s="60">
        <v>24663.9</v>
      </c>
      <c r="H410" s="60">
        <v>16874.439999999999</v>
      </c>
      <c r="I410" s="59"/>
      <c r="J410" s="60">
        <v>2596.08</v>
      </c>
      <c r="K410" s="59"/>
      <c r="L410" s="59"/>
      <c r="M410" s="60">
        <v>41538.339999999997</v>
      </c>
      <c r="N410" s="60">
        <v>27259.98</v>
      </c>
      <c r="O410" s="60">
        <v>14278.36</v>
      </c>
      <c r="P410" s="55"/>
      <c r="Q410" s="55"/>
      <c r="R410" s="61">
        <f t="shared" si="153"/>
        <v>216.34</v>
      </c>
      <c r="S410" s="60">
        <v>216.34</v>
      </c>
      <c r="T410" s="60">
        <v>216.34</v>
      </c>
      <c r="U410" s="60">
        <v>216.34</v>
      </c>
      <c r="V410" s="60">
        <v>216.34</v>
      </c>
      <c r="W410" s="60">
        <v>216.34</v>
      </c>
      <c r="X410" s="61">
        <f t="shared" si="154"/>
        <v>1298.04</v>
      </c>
      <c r="Y410" s="60">
        <v>216.34</v>
      </c>
      <c r="Z410" s="60">
        <v>216.34</v>
      </c>
      <c r="AA410" s="60">
        <v>216.34</v>
      </c>
      <c r="AB410" s="60">
        <v>216.34</v>
      </c>
      <c r="AC410" s="60">
        <v>216.34</v>
      </c>
      <c r="AD410" s="60">
        <v>216.34</v>
      </c>
      <c r="AE410" s="61">
        <f t="shared" si="155"/>
        <v>1298.04</v>
      </c>
      <c r="AF410" s="62">
        <f t="shared" si="148"/>
        <v>41538.339999999997</v>
      </c>
      <c r="AG410" s="62">
        <f t="shared" si="149"/>
        <v>29856.06</v>
      </c>
      <c r="AH410" s="62">
        <f t="shared" si="159"/>
        <v>11682.279999999995</v>
      </c>
      <c r="AI410" s="63"/>
      <c r="AJ410" s="63"/>
      <c r="AK410" s="62"/>
      <c r="AL410" s="60">
        <v>216.34</v>
      </c>
      <c r="AM410" s="60">
        <v>216.34</v>
      </c>
      <c r="AN410" s="60">
        <v>216.34</v>
      </c>
      <c r="AO410" s="60">
        <v>216.34</v>
      </c>
      <c r="AP410" s="60">
        <v>216.34</v>
      </c>
      <c r="AQ410" s="60">
        <v>216.34</v>
      </c>
      <c r="AR410" s="61">
        <f t="shared" si="156"/>
        <v>1298.04</v>
      </c>
      <c r="AS410" s="60">
        <v>216.34</v>
      </c>
      <c r="AT410" s="60">
        <v>216.34</v>
      </c>
      <c r="AU410" s="60">
        <v>216.34</v>
      </c>
      <c r="AV410" s="60">
        <v>216.34</v>
      </c>
      <c r="AW410" s="60">
        <v>216.34</v>
      </c>
      <c r="AX410" s="60">
        <v>216.34</v>
      </c>
      <c r="AY410" s="61">
        <f t="shared" si="157"/>
        <v>1298.04</v>
      </c>
      <c r="AZ410" s="56">
        <f t="shared" si="152"/>
        <v>2596.08</v>
      </c>
      <c r="BA410" s="62">
        <f t="shared" si="150"/>
        <v>41538.339999999997</v>
      </c>
      <c r="BB410" s="62">
        <f t="shared" si="158"/>
        <v>32452.140000000003</v>
      </c>
      <c r="BC410" s="62">
        <f t="shared" si="151"/>
        <v>9086.1999999999935</v>
      </c>
      <c r="BD410" s="63"/>
      <c r="BE410" s="57"/>
      <c r="BF410" s="35" t="e">
        <f>VLOOKUP(A:A,'2023-2027'!A:G,1,+FALSE)</f>
        <v>#N/A</v>
      </c>
      <c r="BG410" s="7" t="e">
        <f t="shared" si="160"/>
        <v>#N/A</v>
      </c>
      <c r="BH410" s="35"/>
    </row>
    <row r="411" spans="1:60" ht="24" hidden="1" customHeight="1" outlineLevel="1" x14ac:dyDescent="0.2">
      <c r="A411" s="59" t="s">
        <v>1023</v>
      </c>
      <c r="B411" s="59" t="s">
        <v>31</v>
      </c>
      <c r="C411" s="59" t="s">
        <v>83</v>
      </c>
      <c r="D411" s="65" t="s">
        <v>1024</v>
      </c>
      <c r="E411" s="59" t="s">
        <v>595</v>
      </c>
      <c r="F411" s="60">
        <v>41538.339999999997</v>
      </c>
      <c r="G411" s="60">
        <v>24663.9</v>
      </c>
      <c r="H411" s="60">
        <v>16874.439999999999</v>
      </c>
      <c r="I411" s="59"/>
      <c r="J411" s="60">
        <v>2596.08</v>
      </c>
      <c r="K411" s="59"/>
      <c r="L411" s="59"/>
      <c r="M411" s="60">
        <v>41538.339999999997</v>
      </c>
      <c r="N411" s="60">
        <v>27259.98</v>
      </c>
      <c r="O411" s="60">
        <v>14278.36</v>
      </c>
      <c r="P411" s="55"/>
      <c r="Q411" s="55"/>
      <c r="R411" s="61">
        <f t="shared" si="153"/>
        <v>216.34</v>
      </c>
      <c r="S411" s="60">
        <v>216.34</v>
      </c>
      <c r="T411" s="60">
        <v>216.34</v>
      </c>
      <c r="U411" s="60">
        <v>216.34</v>
      </c>
      <c r="V411" s="60">
        <v>216.34</v>
      </c>
      <c r="W411" s="60">
        <v>216.34</v>
      </c>
      <c r="X411" s="61">
        <f t="shared" si="154"/>
        <v>1298.04</v>
      </c>
      <c r="Y411" s="60">
        <v>216.34</v>
      </c>
      <c r="Z411" s="60">
        <v>216.34</v>
      </c>
      <c r="AA411" s="60">
        <v>216.34</v>
      </c>
      <c r="AB411" s="60">
        <v>216.34</v>
      </c>
      <c r="AC411" s="60">
        <v>216.34</v>
      </c>
      <c r="AD411" s="60">
        <v>216.34</v>
      </c>
      <c r="AE411" s="61">
        <f t="shared" si="155"/>
        <v>1298.04</v>
      </c>
      <c r="AF411" s="62">
        <f t="shared" si="148"/>
        <v>41538.339999999997</v>
      </c>
      <c r="AG411" s="62">
        <f t="shared" si="149"/>
        <v>29856.06</v>
      </c>
      <c r="AH411" s="62">
        <f t="shared" si="159"/>
        <v>11682.279999999995</v>
      </c>
      <c r="AI411" s="63"/>
      <c r="AJ411" s="63"/>
      <c r="AK411" s="62"/>
      <c r="AL411" s="60">
        <v>216.34</v>
      </c>
      <c r="AM411" s="60">
        <v>216.34</v>
      </c>
      <c r="AN411" s="60">
        <v>216.34</v>
      </c>
      <c r="AO411" s="60">
        <v>216.34</v>
      </c>
      <c r="AP411" s="60">
        <v>216.34</v>
      </c>
      <c r="AQ411" s="60">
        <v>216.34</v>
      </c>
      <c r="AR411" s="61">
        <f t="shared" si="156"/>
        <v>1298.04</v>
      </c>
      <c r="AS411" s="60">
        <v>216.34</v>
      </c>
      <c r="AT411" s="60">
        <v>216.34</v>
      </c>
      <c r="AU411" s="60">
        <v>216.34</v>
      </c>
      <c r="AV411" s="60">
        <v>216.34</v>
      </c>
      <c r="AW411" s="60">
        <v>216.34</v>
      </c>
      <c r="AX411" s="60">
        <v>216.34</v>
      </c>
      <c r="AY411" s="61">
        <f t="shared" si="157"/>
        <v>1298.04</v>
      </c>
      <c r="AZ411" s="56">
        <f t="shared" si="152"/>
        <v>2596.08</v>
      </c>
      <c r="BA411" s="62">
        <f t="shared" si="150"/>
        <v>41538.339999999997</v>
      </c>
      <c r="BB411" s="62">
        <f t="shared" si="158"/>
        <v>32452.140000000003</v>
      </c>
      <c r="BC411" s="62">
        <f t="shared" si="151"/>
        <v>9086.1999999999935</v>
      </c>
      <c r="BD411" s="63"/>
      <c r="BE411" s="57"/>
      <c r="BF411" s="35" t="e">
        <f>VLOOKUP(A:A,'2023-2027'!A:G,1,+FALSE)</f>
        <v>#N/A</v>
      </c>
      <c r="BG411" s="7" t="e">
        <f t="shared" si="160"/>
        <v>#N/A</v>
      </c>
      <c r="BH411" s="35"/>
    </row>
    <row r="412" spans="1:60" ht="24" hidden="1" customHeight="1" outlineLevel="1" x14ac:dyDescent="0.2">
      <c r="A412" s="59" t="s">
        <v>1025</v>
      </c>
      <c r="B412" s="59" t="s">
        <v>31</v>
      </c>
      <c r="C412" s="59" t="s">
        <v>83</v>
      </c>
      <c r="D412" s="65" t="s">
        <v>1026</v>
      </c>
      <c r="E412" s="59" t="s">
        <v>595</v>
      </c>
      <c r="F412" s="60">
        <v>41538.339999999997</v>
      </c>
      <c r="G412" s="60">
        <v>24663.9</v>
      </c>
      <c r="H412" s="60">
        <v>16874.439999999999</v>
      </c>
      <c r="I412" s="59"/>
      <c r="J412" s="60">
        <v>2596.08</v>
      </c>
      <c r="K412" s="59"/>
      <c r="L412" s="59"/>
      <c r="M412" s="60">
        <v>41538.339999999997</v>
      </c>
      <c r="N412" s="60">
        <v>27259.98</v>
      </c>
      <c r="O412" s="60">
        <v>14278.36</v>
      </c>
      <c r="P412" s="55"/>
      <c r="Q412" s="55"/>
      <c r="R412" s="61">
        <f t="shared" si="153"/>
        <v>216.34</v>
      </c>
      <c r="S412" s="60">
        <v>216.34</v>
      </c>
      <c r="T412" s="60">
        <v>216.34</v>
      </c>
      <c r="U412" s="60">
        <v>216.34</v>
      </c>
      <c r="V412" s="60">
        <v>216.34</v>
      </c>
      <c r="W412" s="60">
        <v>216.34</v>
      </c>
      <c r="X412" s="61">
        <f t="shared" si="154"/>
        <v>1298.04</v>
      </c>
      <c r="Y412" s="60">
        <v>216.34</v>
      </c>
      <c r="Z412" s="60">
        <v>216.34</v>
      </c>
      <c r="AA412" s="60">
        <v>216.34</v>
      </c>
      <c r="AB412" s="60">
        <v>216.34</v>
      </c>
      <c r="AC412" s="60">
        <v>216.34</v>
      </c>
      <c r="AD412" s="60">
        <v>216.34</v>
      </c>
      <c r="AE412" s="61">
        <f t="shared" si="155"/>
        <v>1298.04</v>
      </c>
      <c r="AF412" s="62">
        <f t="shared" si="148"/>
        <v>41538.339999999997</v>
      </c>
      <c r="AG412" s="62">
        <f t="shared" si="149"/>
        <v>29856.06</v>
      </c>
      <c r="AH412" s="62">
        <f t="shared" si="159"/>
        <v>11682.279999999995</v>
      </c>
      <c r="AI412" s="63"/>
      <c r="AJ412" s="63"/>
      <c r="AK412" s="62"/>
      <c r="AL412" s="60">
        <v>216.34</v>
      </c>
      <c r="AM412" s="60">
        <v>216.34</v>
      </c>
      <c r="AN412" s="60">
        <v>216.34</v>
      </c>
      <c r="AO412" s="60">
        <v>216.34</v>
      </c>
      <c r="AP412" s="60">
        <v>216.34</v>
      </c>
      <c r="AQ412" s="60">
        <v>216.34</v>
      </c>
      <c r="AR412" s="61">
        <f t="shared" si="156"/>
        <v>1298.04</v>
      </c>
      <c r="AS412" s="60">
        <v>216.34</v>
      </c>
      <c r="AT412" s="60">
        <v>216.34</v>
      </c>
      <c r="AU412" s="60">
        <v>216.34</v>
      </c>
      <c r="AV412" s="60">
        <v>216.34</v>
      </c>
      <c r="AW412" s="60">
        <v>216.34</v>
      </c>
      <c r="AX412" s="60">
        <v>216.34</v>
      </c>
      <c r="AY412" s="61">
        <f t="shared" si="157"/>
        <v>1298.04</v>
      </c>
      <c r="AZ412" s="56">
        <f t="shared" si="152"/>
        <v>2596.08</v>
      </c>
      <c r="BA412" s="62">
        <f t="shared" si="150"/>
        <v>41538.339999999997</v>
      </c>
      <c r="BB412" s="62">
        <f t="shared" si="158"/>
        <v>32452.140000000003</v>
      </c>
      <c r="BC412" s="62">
        <f t="shared" si="151"/>
        <v>9086.1999999999935</v>
      </c>
      <c r="BD412" s="63"/>
      <c r="BE412" s="57"/>
      <c r="BF412" s="35" t="e">
        <f>VLOOKUP(A:A,'2023-2027'!A:G,1,+FALSE)</f>
        <v>#N/A</v>
      </c>
      <c r="BG412" s="7" t="e">
        <f t="shared" si="160"/>
        <v>#N/A</v>
      </c>
      <c r="BH412" s="35"/>
    </row>
    <row r="413" spans="1:60" ht="24" hidden="1" customHeight="1" outlineLevel="1" x14ac:dyDescent="0.2">
      <c r="A413" s="59" t="s">
        <v>1027</v>
      </c>
      <c r="B413" s="59" t="s">
        <v>31</v>
      </c>
      <c r="C413" s="59" t="s">
        <v>83</v>
      </c>
      <c r="D413" s="65" t="s">
        <v>1028</v>
      </c>
      <c r="E413" s="59" t="s">
        <v>595</v>
      </c>
      <c r="F413" s="60">
        <v>41538.339999999997</v>
      </c>
      <c r="G413" s="60">
        <v>24663.9</v>
      </c>
      <c r="H413" s="60">
        <v>16874.439999999999</v>
      </c>
      <c r="I413" s="59"/>
      <c r="J413" s="60">
        <v>2596.08</v>
      </c>
      <c r="K413" s="59"/>
      <c r="L413" s="59"/>
      <c r="M413" s="60">
        <v>41538.339999999997</v>
      </c>
      <c r="N413" s="60">
        <v>27259.98</v>
      </c>
      <c r="O413" s="60">
        <v>14278.36</v>
      </c>
      <c r="P413" s="55"/>
      <c r="Q413" s="55"/>
      <c r="R413" s="61">
        <f t="shared" si="153"/>
        <v>216.34</v>
      </c>
      <c r="S413" s="60">
        <v>216.34</v>
      </c>
      <c r="T413" s="60">
        <v>216.34</v>
      </c>
      <c r="U413" s="60">
        <v>216.34</v>
      </c>
      <c r="V413" s="60">
        <v>216.34</v>
      </c>
      <c r="W413" s="60">
        <v>216.34</v>
      </c>
      <c r="X413" s="61">
        <f t="shared" si="154"/>
        <v>1298.04</v>
      </c>
      <c r="Y413" s="60">
        <v>216.34</v>
      </c>
      <c r="Z413" s="60">
        <v>216.34</v>
      </c>
      <c r="AA413" s="60">
        <v>216.34</v>
      </c>
      <c r="AB413" s="60">
        <v>216.34</v>
      </c>
      <c r="AC413" s="60">
        <v>216.34</v>
      </c>
      <c r="AD413" s="60">
        <v>216.34</v>
      </c>
      <c r="AE413" s="61">
        <f t="shared" si="155"/>
        <v>1298.04</v>
      </c>
      <c r="AF413" s="62">
        <f t="shared" si="148"/>
        <v>41538.339999999997</v>
      </c>
      <c r="AG413" s="62">
        <f t="shared" si="149"/>
        <v>29856.06</v>
      </c>
      <c r="AH413" s="62">
        <f t="shared" si="159"/>
        <v>11682.279999999995</v>
      </c>
      <c r="AI413" s="63"/>
      <c r="AJ413" s="63"/>
      <c r="AK413" s="62"/>
      <c r="AL413" s="60">
        <v>216.34</v>
      </c>
      <c r="AM413" s="60">
        <v>216.34</v>
      </c>
      <c r="AN413" s="60">
        <v>216.34</v>
      </c>
      <c r="AO413" s="60">
        <v>216.34</v>
      </c>
      <c r="AP413" s="60">
        <v>216.34</v>
      </c>
      <c r="AQ413" s="60">
        <v>216.34</v>
      </c>
      <c r="AR413" s="61">
        <f t="shared" si="156"/>
        <v>1298.04</v>
      </c>
      <c r="AS413" s="60">
        <v>216.34</v>
      </c>
      <c r="AT413" s="60">
        <v>216.34</v>
      </c>
      <c r="AU413" s="60">
        <v>216.34</v>
      </c>
      <c r="AV413" s="60">
        <v>216.34</v>
      </c>
      <c r="AW413" s="60">
        <v>216.34</v>
      </c>
      <c r="AX413" s="60">
        <v>216.34</v>
      </c>
      <c r="AY413" s="61">
        <f t="shared" si="157"/>
        <v>1298.04</v>
      </c>
      <c r="AZ413" s="56">
        <f t="shared" si="152"/>
        <v>2596.08</v>
      </c>
      <c r="BA413" s="62">
        <f t="shared" si="150"/>
        <v>41538.339999999997</v>
      </c>
      <c r="BB413" s="62">
        <f t="shared" si="158"/>
        <v>32452.140000000003</v>
      </c>
      <c r="BC413" s="62">
        <f t="shared" si="151"/>
        <v>9086.1999999999935</v>
      </c>
      <c r="BD413" s="63"/>
      <c r="BE413" s="57"/>
      <c r="BF413" s="35" t="e">
        <f>VLOOKUP(A:A,'2023-2027'!A:G,1,+FALSE)</f>
        <v>#N/A</v>
      </c>
      <c r="BG413" s="7" t="e">
        <f t="shared" si="160"/>
        <v>#N/A</v>
      </c>
      <c r="BH413" s="35"/>
    </row>
    <row r="414" spans="1:60" ht="24" hidden="1" customHeight="1" outlineLevel="1" x14ac:dyDescent="0.2">
      <c r="A414" s="59" t="s">
        <v>1029</v>
      </c>
      <c r="B414" s="59" t="s">
        <v>31</v>
      </c>
      <c r="C414" s="59" t="s">
        <v>83</v>
      </c>
      <c r="D414" s="65" t="s">
        <v>1030</v>
      </c>
      <c r="E414" s="59" t="s">
        <v>595</v>
      </c>
      <c r="F414" s="60">
        <v>41538.339999999997</v>
      </c>
      <c r="G414" s="60">
        <v>24663.9</v>
      </c>
      <c r="H414" s="60">
        <v>16874.439999999999</v>
      </c>
      <c r="I414" s="59"/>
      <c r="J414" s="60">
        <v>2596.08</v>
      </c>
      <c r="K414" s="59"/>
      <c r="L414" s="59"/>
      <c r="M414" s="60">
        <v>41538.339999999997</v>
      </c>
      <c r="N414" s="60">
        <v>27259.98</v>
      </c>
      <c r="O414" s="60">
        <v>14278.36</v>
      </c>
      <c r="P414" s="55"/>
      <c r="Q414" s="55"/>
      <c r="R414" s="61">
        <f t="shared" si="153"/>
        <v>216.34</v>
      </c>
      <c r="S414" s="60">
        <v>216.34</v>
      </c>
      <c r="T414" s="60">
        <v>216.34</v>
      </c>
      <c r="U414" s="60">
        <v>216.34</v>
      </c>
      <c r="V414" s="60">
        <v>216.34</v>
      </c>
      <c r="W414" s="60">
        <v>216.34</v>
      </c>
      <c r="X414" s="61">
        <f t="shared" si="154"/>
        <v>1298.04</v>
      </c>
      <c r="Y414" s="60">
        <v>216.34</v>
      </c>
      <c r="Z414" s="60">
        <v>216.34</v>
      </c>
      <c r="AA414" s="60">
        <v>216.34</v>
      </c>
      <c r="AB414" s="60">
        <v>216.34</v>
      </c>
      <c r="AC414" s="60">
        <v>216.34</v>
      </c>
      <c r="AD414" s="60">
        <v>216.34</v>
      </c>
      <c r="AE414" s="61">
        <f t="shared" si="155"/>
        <v>1298.04</v>
      </c>
      <c r="AF414" s="62">
        <f t="shared" si="148"/>
        <v>41538.339999999997</v>
      </c>
      <c r="AG414" s="62">
        <f t="shared" si="149"/>
        <v>29856.06</v>
      </c>
      <c r="AH414" s="62">
        <f t="shared" si="159"/>
        <v>11682.279999999995</v>
      </c>
      <c r="AI414" s="63"/>
      <c r="AJ414" s="63"/>
      <c r="AK414" s="62"/>
      <c r="AL414" s="60">
        <v>216.34</v>
      </c>
      <c r="AM414" s="60">
        <v>216.34</v>
      </c>
      <c r="AN414" s="60">
        <v>216.34</v>
      </c>
      <c r="AO414" s="60">
        <v>216.34</v>
      </c>
      <c r="AP414" s="60">
        <v>216.34</v>
      </c>
      <c r="AQ414" s="60">
        <v>216.34</v>
      </c>
      <c r="AR414" s="61">
        <f t="shared" si="156"/>
        <v>1298.04</v>
      </c>
      <c r="AS414" s="60">
        <v>216.34</v>
      </c>
      <c r="AT414" s="60">
        <v>216.34</v>
      </c>
      <c r="AU414" s="60">
        <v>216.34</v>
      </c>
      <c r="AV414" s="60">
        <v>216.34</v>
      </c>
      <c r="AW414" s="60">
        <v>216.34</v>
      </c>
      <c r="AX414" s="60">
        <v>216.34</v>
      </c>
      <c r="AY414" s="61">
        <f t="shared" si="157"/>
        <v>1298.04</v>
      </c>
      <c r="AZ414" s="56">
        <f t="shared" si="152"/>
        <v>2596.08</v>
      </c>
      <c r="BA414" s="62">
        <f t="shared" si="150"/>
        <v>41538.339999999997</v>
      </c>
      <c r="BB414" s="62">
        <f t="shared" si="158"/>
        <v>32452.140000000003</v>
      </c>
      <c r="BC414" s="62">
        <f t="shared" si="151"/>
        <v>9086.1999999999935</v>
      </c>
      <c r="BD414" s="63"/>
      <c r="BE414" s="57"/>
      <c r="BF414" s="35" t="e">
        <f>VLOOKUP(A:A,'2023-2027'!A:G,1,+FALSE)</f>
        <v>#N/A</v>
      </c>
      <c r="BG414" s="7" t="e">
        <f t="shared" si="160"/>
        <v>#N/A</v>
      </c>
      <c r="BH414" s="35"/>
    </row>
    <row r="415" spans="1:60" ht="24" hidden="1" customHeight="1" outlineLevel="1" x14ac:dyDescent="0.2">
      <c r="A415" s="59" t="s">
        <v>1031</v>
      </c>
      <c r="B415" s="59" t="s">
        <v>31</v>
      </c>
      <c r="C415" s="59" t="s">
        <v>83</v>
      </c>
      <c r="D415" s="65" t="s">
        <v>1032</v>
      </c>
      <c r="E415" s="59" t="s">
        <v>595</v>
      </c>
      <c r="F415" s="60">
        <v>41538.339999999997</v>
      </c>
      <c r="G415" s="60">
        <v>24663.9</v>
      </c>
      <c r="H415" s="60">
        <v>16874.439999999999</v>
      </c>
      <c r="I415" s="59"/>
      <c r="J415" s="60">
        <v>2596.08</v>
      </c>
      <c r="K415" s="59"/>
      <c r="L415" s="59"/>
      <c r="M415" s="60">
        <v>41538.339999999997</v>
      </c>
      <c r="N415" s="60">
        <v>27259.98</v>
      </c>
      <c r="O415" s="60">
        <v>14278.36</v>
      </c>
      <c r="P415" s="55"/>
      <c r="Q415" s="55"/>
      <c r="R415" s="61">
        <f t="shared" si="153"/>
        <v>216.34</v>
      </c>
      <c r="S415" s="60">
        <v>216.34</v>
      </c>
      <c r="T415" s="60">
        <v>216.34</v>
      </c>
      <c r="U415" s="60">
        <v>216.34</v>
      </c>
      <c r="V415" s="60">
        <v>216.34</v>
      </c>
      <c r="W415" s="60">
        <v>216.34</v>
      </c>
      <c r="X415" s="61">
        <f t="shared" si="154"/>
        <v>1298.04</v>
      </c>
      <c r="Y415" s="60">
        <v>216.34</v>
      </c>
      <c r="Z415" s="60">
        <v>216.34</v>
      </c>
      <c r="AA415" s="60">
        <v>216.34</v>
      </c>
      <c r="AB415" s="60">
        <v>216.34</v>
      </c>
      <c r="AC415" s="60">
        <v>216.34</v>
      </c>
      <c r="AD415" s="60">
        <v>216.34</v>
      </c>
      <c r="AE415" s="61">
        <f t="shared" si="155"/>
        <v>1298.04</v>
      </c>
      <c r="AF415" s="62">
        <f t="shared" si="148"/>
        <v>41538.339999999997</v>
      </c>
      <c r="AG415" s="62">
        <f t="shared" si="149"/>
        <v>29856.06</v>
      </c>
      <c r="AH415" s="62">
        <f t="shared" si="159"/>
        <v>11682.279999999995</v>
      </c>
      <c r="AI415" s="63"/>
      <c r="AJ415" s="63"/>
      <c r="AK415" s="62"/>
      <c r="AL415" s="60">
        <v>216.34</v>
      </c>
      <c r="AM415" s="60">
        <v>216.34</v>
      </c>
      <c r="AN415" s="60">
        <v>216.34</v>
      </c>
      <c r="AO415" s="60">
        <v>216.34</v>
      </c>
      <c r="AP415" s="60">
        <v>216.34</v>
      </c>
      <c r="AQ415" s="60">
        <v>216.34</v>
      </c>
      <c r="AR415" s="61">
        <f t="shared" si="156"/>
        <v>1298.04</v>
      </c>
      <c r="AS415" s="60">
        <v>216.34</v>
      </c>
      <c r="AT415" s="60">
        <v>216.34</v>
      </c>
      <c r="AU415" s="60">
        <v>216.34</v>
      </c>
      <c r="AV415" s="60">
        <v>216.34</v>
      </c>
      <c r="AW415" s="60">
        <v>216.34</v>
      </c>
      <c r="AX415" s="60">
        <v>216.34</v>
      </c>
      <c r="AY415" s="61">
        <f t="shared" si="157"/>
        <v>1298.04</v>
      </c>
      <c r="AZ415" s="56">
        <f t="shared" si="152"/>
        <v>2596.08</v>
      </c>
      <c r="BA415" s="62">
        <f t="shared" si="150"/>
        <v>41538.339999999997</v>
      </c>
      <c r="BB415" s="62">
        <f t="shared" si="158"/>
        <v>32452.140000000003</v>
      </c>
      <c r="BC415" s="62">
        <f t="shared" si="151"/>
        <v>9086.1999999999935</v>
      </c>
      <c r="BD415" s="63"/>
      <c r="BE415" s="57"/>
      <c r="BF415" s="35" t="e">
        <f>VLOOKUP(A:A,'2023-2027'!A:G,1,+FALSE)</f>
        <v>#N/A</v>
      </c>
      <c r="BG415" s="7" t="e">
        <f t="shared" si="160"/>
        <v>#N/A</v>
      </c>
      <c r="BH415" s="35"/>
    </row>
    <row r="416" spans="1:60" ht="24" hidden="1" customHeight="1" outlineLevel="1" x14ac:dyDescent="0.2">
      <c r="A416" s="59" t="s">
        <v>1033</v>
      </c>
      <c r="B416" s="59" t="s">
        <v>31</v>
      </c>
      <c r="C416" s="59" t="s">
        <v>83</v>
      </c>
      <c r="D416" s="65" t="s">
        <v>1034</v>
      </c>
      <c r="E416" s="59" t="s">
        <v>359</v>
      </c>
      <c r="F416" s="60">
        <v>146468.65</v>
      </c>
      <c r="G416" s="60">
        <v>73234.559999999998</v>
      </c>
      <c r="H416" s="60">
        <v>73234.09</v>
      </c>
      <c r="I416" s="59"/>
      <c r="J416" s="60">
        <v>9154.27</v>
      </c>
      <c r="K416" s="59"/>
      <c r="L416" s="59"/>
      <c r="M416" s="60">
        <v>146468.65</v>
      </c>
      <c r="N416" s="60">
        <v>82388.83</v>
      </c>
      <c r="O416" s="60">
        <v>64079.82</v>
      </c>
      <c r="P416" s="55"/>
      <c r="Q416" s="55"/>
      <c r="R416" s="61">
        <f t="shared" si="153"/>
        <v>762.85583333333341</v>
      </c>
      <c r="S416" s="60">
        <v>762.85583329999997</v>
      </c>
      <c r="T416" s="60">
        <v>762.85583329999997</v>
      </c>
      <c r="U416" s="60">
        <v>762.85583329999997</v>
      </c>
      <c r="V416" s="60">
        <v>762.85583329999997</v>
      </c>
      <c r="W416" s="60">
        <v>762.85583329999997</v>
      </c>
      <c r="X416" s="61">
        <f t="shared" si="154"/>
        <v>4577.1349998333335</v>
      </c>
      <c r="Y416" s="60">
        <v>762.85583329999997</v>
      </c>
      <c r="Z416" s="60">
        <v>762.85583329999997</v>
      </c>
      <c r="AA416" s="60">
        <v>762.85583329999997</v>
      </c>
      <c r="AB416" s="60">
        <v>762.85583329999997</v>
      </c>
      <c r="AC416" s="60">
        <v>762.85583329999997</v>
      </c>
      <c r="AD416" s="60">
        <v>762.85583329999997</v>
      </c>
      <c r="AE416" s="61">
        <f t="shared" si="155"/>
        <v>4577.1349997999996</v>
      </c>
      <c r="AF416" s="62">
        <f t="shared" ref="AF416:AF444" si="161">M416</f>
        <v>146468.65</v>
      </c>
      <c r="AG416" s="62">
        <f t="shared" ref="AG416:AG444" si="162">N416+R416+S416+T416+U416+V416+W416+Y416+Z416+AA416+AB416+AC416+AD416</f>
        <v>91543.099999633298</v>
      </c>
      <c r="AH416" s="62">
        <f t="shared" si="159"/>
        <v>54925.550000366697</v>
      </c>
      <c r="AI416" s="63"/>
      <c r="AJ416" s="63"/>
      <c r="AK416" s="62"/>
      <c r="AL416" s="60">
        <v>762.85583329999997</v>
      </c>
      <c r="AM416" s="60">
        <v>762.85583329999997</v>
      </c>
      <c r="AN416" s="60">
        <v>762.85583329999997</v>
      </c>
      <c r="AO416" s="60">
        <v>762.85583329999997</v>
      </c>
      <c r="AP416" s="60">
        <v>762.85583329999997</v>
      </c>
      <c r="AQ416" s="60">
        <v>762.85583329999997</v>
      </c>
      <c r="AR416" s="61">
        <f t="shared" si="156"/>
        <v>4577.1349997999996</v>
      </c>
      <c r="AS416" s="60">
        <v>762.85583329999997</v>
      </c>
      <c r="AT416" s="60">
        <v>762.85583329999997</v>
      </c>
      <c r="AU416" s="60">
        <v>762.85583329999997</v>
      </c>
      <c r="AV416" s="60">
        <v>762.85583329999997</v>
      </c>
      <c r="AW416" s="60">
        <v>762.85583329999997</v>
      </c>
      <c r="AX416" s="60">
        <v>762.85583329999997</v>
      </c>
      <c r="AY416" s="61">
        <f t="shared" si="157"/>
        <v>4577.1349997999996</v>
      </c>
      <c r="AZ416" s="56">
        <f t="shared" si="152"/>
        <v>9154.2699995999992</v>
      </c>
      <c r="BA416" s="62">
        <f t="shared" si="150"/>
        <v>146468.65</v>
      </c>
      <c r="BB416" s="62">
        <f t="shared" si="158"/>
        <v>100697.36999923325</v>
      </c>
      <c r="BC416" s="62">
        <f t="shared" si="151"/>
        <v>45771.280000766739</v>
      </c>
      <c r="BD416" s="63"/>
      <c r="BE416" s="57"/>
      <c r="BF416" s="35" t="e">
        <f>VLOOKUP(A:A,'2023-2027'!A:G,1,+FALSE)</f>
        <v>#N/A</v>
      </c>
      <c r="BG416" s="7" t="e">
        <f t="shared" si="160"/>
        <v>#N/A</v>
      </c>
      <c r="BH416" s="35"/>
    </row>
    <row r="417" spans="1:60" ht="36" hidden="1" customHeight="1" outlineLevel="1" x14ac:dyDescent="0.2">
      <c r="A417" s="59" t="s">
        <v>1035</v>
      </c>
      <c r="B417" s="59" t="s">
        <v>31</v>
      </c>
      <c r="C417" s="59" t="s">
        <v>83</v>
      </c>
      <c r="D417" s="65" t="s">
        <v>1036</v>
      </c>
      <c r="E417" s="59" t="s">
        <v>359</v>
      </c>
      <c r="F417" s="60">
        <v>160709.72</v>
      </c>
      <c r="G417" s="60">
        <v>80354.880000000005</v>
      </c>
      <c r="H417" s="60">
        <v>80354.84</v>
      </c>
      <c r="I417" s="59"/>
      <c r="J417" s="60">
        <v>10044.36</v>
      </c>
      <c r="K417" s="59"/>
      <c r="L417" s="59"/>
      <c r="M417" s="60">
        <v>160709.72</v>
      </c>
      <c r="N417" s="60">
        <v>90399.24</v>
      </c>
      <c r="O417" s="60">
        <v>70310.48</v>
      </c>
      <c r="P417" s="55"/>
      <c r="Q417" s="55"/>
      <c r="R417" s="61">
        <f t="shared" si="153"/>
        <v>837.03000000000009</v>
      </c>
      <c r="S417" s="60">
        <v>837.03</v>
      </c>
      <c r="T417" s="60">
        <v>837.03</v>
      </c>
      <c r="U417" s="60">
        <v>837.03</v>
      </c>
      <c r="V417" s="60">
        <v>837.03</v>
      </c>
      <c r="W417" s="60">
        <v>837.03</v>
      </c>
      <c r="X417" s="61">
        <f t="shared" si="154"/>
        <v>5022.1799999999994</v>
      </c>
      <c r="Y417" s="60">
        <v>837.03</v>
      </c>
      <c r="Z417" s="60">
        <v>837.03</v>
      </c>
      <c r="AA417" s="60">
        <v>837.03</v>
      </c>
      <c r="AB417" s="60">
        <v>837.03</v>
      </c>
      <c r="AC417" s="60">
        <v>837.03</v>
      </c>
      <c r="AD417" s="60">
        <v>837.03</v>
      </c>
      <c r="AE417" s="61">
        <f t="shared" si="155"/>
        <v>5022.1799999999994</v>
      </c>
      <c r="AF417" s="62">
        <f t="shared" si="161"/>
        <v>160709.72</v>
      </c>
      <c r="AG417" s="62">
        <f t="shared" si="162"/>
        <v>100443.59999999999</v>
      </c>
      <c r="AH417" s="62">
        <f t="shared" si="159"/>
        <v>60266.12000000001</v>
      </c>
      <c r="AI417" s="63"/>
      <c r="AJ417" s="63"/>
      <c r="AK417" s="62"/>
      <c r="AL417" s="60">
        <v>837.03</v>
      </c>
      <c r="AM417" s="60">
        <v>837.03</v>
      </c>
      <c r="AN417" s="60">
        <v>837.03</v>
      </c>
      <c r="AO417" s="60">
        <v>837.03</v>
      </c>
      <c r="AP417" s="60">
        <v>837.03</v>
      </c>
      <c r="AQ417" s="60">
        <v>837.03</v>
      </c>
      <c r="AR417" s="61">
        <f t="shared" si="156"/>
        <v>5022.1799999999994</v>
      </c>
      <c r="AS417" s="60">
        <v>837.03</v>
      </c>
      <c r="AT417" s="60">
        <v>837.03</v>
      </c>
      <c r="AU417" s="60">
        <v>837.03</v>
      </c>
      <c r="AV417" s="60">
        <v>837.03</v>
      </c>
      <c r="AW417" s="60">
        <v>837.03</v>
      </c>
      <c r="AX417" s="60">
        <v>837.03</v>
      </c>
      <c r="AY417" s="61">
        <f t="shared" si="157"/>
        <v>5022.1799999999994</v>
      </c>
      <c r="AZ417" s="56">
        <f t="shared" si="152"/>
        <v>10044.359999999999</v>
      </c>
      <c r="BA417" s="62">
        <f t="shared" si="150"/>
        <v>160709.72</v>
      </c>
      <c r="BB417" s="62">
        <f t="shared" si="158"/>
        <v>110487.95999999998</v>
      </c>
      <c r="BC417" s="62">
        <f t="shared" si="151"/>
        <v>50221.760000000024</v>
      </c>
      <c r="BD417" s="63"/>
      <c r="BE417" s="57"/>
      <c r="BF417" s="35" t="e">
        <f>VLOOKUP(A:A,'2023-2027'!A:G,1,+FALSE)</f>
        <v>#N/A</v>
      </c>
      <c r="BG417" s="7" t="e">
        <f t="shared" si="160"/>
        <v>#N/A</v>
      </c>
      <c r="BH417" s="35"/>
    </row>
    <row r="418" spans="1:60" ht="24" hidden="1" customHeight="1" outlineLevel="1" x14ac:dyDescent="0.2">
      <c r="A418" s="59" t="s">
        <v>1037</v>
      </c>
      <c r="B418" s="59" t="s">
        <v>31</v>
      </c>
      <c r="C418" s="59" t="s">
        <v>83</v>
      </c>
      <c r="D418" s="65" t="s">
        <v>1038</v>
      </c>
      <c r="E418" s="59" t="s">
        <v>359</v>
      </c>
      <c r="F418" s="60">
        <v>70039.100000000006</v>
      </c>
      <c r="G418" s="60">
        <v>35019.839999999997</v>
      </c>
      <c r="H418" s="60">
        <v>35019.26</v>
      </c>
      <c r="I418" s="59"/>
      <c r="J418" s="60">
        <v>4377.3599999999997</v>
      </c>
      <c r="K418" s="59"/>
      <c r="L418" s="59"/>
      <c r="M418" s="60">
        <v>70039.100000000006</v>
      </c>
      <c r="N418" s="60">
        <v>39397.199999999997</v>
      </c>
      <c r="O418" s="60">
        <v>30641.9</v>
      </c>
      <c r="P418" s="55"/>
      <c r="Q418" s="55"/>
      <c r="R418" s="61">
        <f t="shared" si="153"/>
        <v>364.78</v>
      </c>
      <c r="S418" s="60">
        <v>364.78</v>
      </c>
      <c r="T418" s="60">
        <v>364.78</v>
      </c>
      <c r="U418" s="60">
        <v>364.78</v>
      </c>
      <c r="V418" s="60">
        <v>364.78</v>
      </c>
      <c r="W418" s="60">
        <v>364.78</v>
      </c>
      <c r="X418" s="61">
        <f t="shared" si="154"/>
        <v>2188.6799999999998</v>
      </c>
      <c r="Y418" s="60">
        <v>364.78</v>
      </c>
      <c r="Z418" s="60">
        <v>364.78</v>
      </c>
      <c r="AA418" s="60">
        <v>364.78</v>
      </c>
      <c r="AB418" s="60">
        <v>364.78</v>
      </c>
      <c r="AC418" s="60">
        <v>364.78</v>
      </c>
      <c r="AD418" s="60">
        <v>364.78</v>
      </c>
      <c r="AE418" s="61">
        <f t="shared" si="155"/>
        <v>2188.6799999999998</v>
      </c>
      <c r="AF418" s="62">
        <f t="shared" si="161"/>
        <v>70039.100000000006</v>
      </c>
      <c r="AG418" s="62">
        <f t="shared" si="162"/>
        <v>43774.559999999983</v>
      </c>
      <c r="AH418" s="62">
        <f t="shared" si="159"/>
        <v>26264.540000000023</v>
      </c>
      <c r="AI418" s="63"/>
      <c r="AJ418" s="63"/>
      <c r="AK418" s="62"/>
      <c r="AL418" s="60">
        <v>364.78</v>
      </c>
      <c r="AM418" s="60">
        <v>364.78</v>
      </c>
      <c r="AN418" s="60">
        <v>364.78</v>
      </c>
      <c r="AO418" s="60">
        <v>364.78</v>
      </c>
      <c r="AP418" s="60">
        <v>364.78</v>
      </c>
      <c r="AQ418" s="60">
        <v>364.78</v>
      </c>
      <c r="AR418" s="61">
        <f t="shared" si="156"/>
        <v>2188.6799999999998</v>
      </c>
      <c r="AS418" s="60">
        <v>364.78</v>
      </c>
      <c r="AT418" s="60">
        <v>364.78</v>
      </c>
      <c r="AU418" s="60">
        <v>364.78</v>
      </c>
      <c r="AV418" s="60">
        <v>364.78</v>
      </c>
      <c r="AW418" s="60">
        <v>364.78</v>
      </c>
      <c r="AX418" s="60">
        <v>364.78</v>
      </c>
      <c r="AY418" s="61">
        <f t="shared" si="157"/>
        <v>2188.6799999999998</v>
      </c>
      <c r="AZ418" s="56">
        <f t="shared" si="152"/>
        <v>4377.3599999999997</v>
      </c>
      <c r="BA418" s="62">
        <f t="shared" si="150"/>
        <v>70039.100000000006</v>
      </c>
      <c r="BB418" s="62">
        <f t="shared" si="158"/>
        <v>48151.919999999969</v>
      </c>
      <c r="BC418" s="62">
        <f t="shared" si="151"/>
        <v>21887.180000000037</v>
      </c>
      <c r="BD418" s="63"/>
      <c r="BE418" s="57"/>
      <c r="BF418" s="35" t="e">
        <f>VLOOKUP(A:A,'2023-2027'!A:G,1,+FALSE)</f>
        <v>#N/A</v>
      </c>
      <c r="BG418" s="7" t="e">
        <f t="shared" si="160"/>
        <v>#N/A</v>
      </c>
      <c r="BH418" s="35"/>
    </row>
    <row r="419" spans="1:60" ht="24" hidden="1" customHeight="1" outlineLevel="1" x14ac:dyDescent="0.2">
      <c r="A419" s="59" t="s">
        <v>1039</v>
      </c>
      <c r="B419" s="59" t="s">
        <v>31</v>
      </c>
      <c r="C419" s="59" t="s">
        <v>83</v>
      </c>
      <c r="D419" s="65" t="s">
        <v>1040</v>
      </c>
      <c r="E419" s="59" t="s">
        <v>359</v>
      </c>
      <c r="F419" s="60">
        <v>34590.720000000001</v>
      </c>
      <c r="G419" s="60">
        <v>34590.720000000001</v>
      </c>
      <c r="H419" s="59"/>
      <c r="I419" s="59"/>
      <c r="J419" s="59"/>
      <c r="K419" s="60">
        <v>34590.720000000001</v>
      </c>
      <c r="L419" s="60">
        <v>34590.720000000001</v>
      </c>
      <c r="M419" s="59"/>
      <c r="N419" s="59"/>
      <c r="O419" s="59"/>
      <c r="P419" s="67"/>
      <c r="Q419" s="67"/>
      <c r="R419" s="61">
        <f t="shared" si="153"/>
        <v>0</v>
      </c>
      <c r="S419" s="60">
        <v>0</v>
      </c>
      <c r="T419" s="60">
        <v>0</v>
      </c>
      <c r="U419" s="60">
        <v>0</v>
      </c>
      <c r="V419" s="60">
        <v>0</v>
      </c>
      <c r="W419" s="60">
        <v>0</v>
      </c>
      <c r="X419" s="61">
        <f t="shared" si="154"/>
        <v>0</v>
      </c>
      <c r="Y419" s="60">
        <v>0</v>
      </c>
      <c r="Z419" s="60">
        <v>0</v>
      </c>
      <c r="AA419" s="60">
        <v>0</v>
      </c>
      <c r="AB419" s="60">
        <v>0</v>
      </c>
      <c r="AC419" s="60">
        <v>0</v>
      </c>
      <c r="AD419" s="60">
        <v>0</v>
      </c>
      <c r="AE419" s="61">
        <f t="shared" si="155"/>
        <v>0</v>
      </c>
      <c r="AF419" s="62">
        <f t="shared" si="161"/>
        <v>0</v>
      </c>
      <c r="AG419" s="62">
        <f t="shared" si="162"/>
        <v>0</v>
      </c>
      <c r="AH419" s="62">
        <f t="shared" si="159"/>
        <v>0</v>
      </c>
      <c r="AI419" s="63"/>
      <c r="AJ419" s="63"/>
      <c r="AK419" s="62"/>
      <c r="AL419" s="60">
        <v>0</v>
      </c>
      <c r="AM419" s="60">
        <v>0</v>
      </c>
      <c r="AN419" s="60">
        <v>0</v>
      </c>
      <c r="AO419" s="60">
        <v>0</v>
      </c>
      <c r="AP419" s="60">
        <v>0</v>
      </c>
      <c r="AQ419" s="60">
        <v>0</v>
      </c>
      <c r="AR419" s="61">
        <f t="shared" si="156"/>
        <v>0</v>
      </c>
      <c r="AS419" s="60">
        <v>0</v>
      </c>
      <c r="AT419" s="60">
        <v>0</v>
      </c>
      <c r="AU419" s="60">
        <v>0</v>
      </c>
      <c r="AV419" s="60">
        <v>0</v>
      </c>
      <c r="AW419" s="60">
        <v>0</v>
      </c>
      <c r="AX419" s="60">
        <v>0</v>
      </c>
      <c r="AY419" s="61">
        <f t="shared" si="157"/>
        <v>0</v>
      </c>
      <c r="AZ419" s="56">
        <f t="shared" si="152"/>
        <v>0</v>
      </c>
      <c r="BA419" s="62">
        <f t="shared" si="150"/>
        <v>0</v>
      </c>
      <c r="BB419" s="62">
        <f t="shared" si="158"/>
        <v>0</v>
      </c>
      <c r="BC419" s="62">
        <f t="shared" si="151"/>
        <v>0</v>
      </c>
      <c r="BD419" s="63"/>
      <c r="BE419" s="57"/>
      <c r="BF419" s="35" t="e">
        <f>VLOOKUP(A:A,'2023-2027'!A:G,1,+FALSE)</f>
        <v>#N/A</v>
      </c>
      <c r="BG419" s="7" t="e">
        <f t="shared" si="160"/>
        <v>#N/A</v>
      </c>
      <c r="BH419" s="35"/>
    </row>
    <row r="420" spans="1:60" ht="24" hidden="1" customHeight="1" outlineLevel="1" x14ac:dyDescent="0.2">
      <c r="A420" s="59" t="s">
        <v>1041</v>
      </c>
      <c r="B420" s="59" t="s">
        <v>31</v>
      </c>
      <c r="C420" s="59" t="s">
        <v>83</v>
      </c>
      <c r="D420" s="65" t="s">
        <v>1042</v>
      </c>
      <c r="E420" s="59" t="s">
        <v>359</v>
      </c>
      <c r="F420" s="60">
        <v>88273.18</v>
      </c>
      <c r="G420" s="60">
        <v>44136.959999999999</v>
      </c>
      <c r="H420" s="60">
        <v>44136.22</v>
      </c>
      <c r="I420" s="59"/>
      <c r="J420" s="60">
        <v>5517</v>
      </c>
      <c r="K420" s="59"/>
      <c r="L420" s="59"/>
      <c r="M420" s="60">
        <v>88273.18</v>
      </c>
      <c r="N420" s="60">
        <v>49653.96</v>
      </c>
      <c r="O420" s="60">
        <v>38619.22</v>
      </c>
      <c r="P420" s="55"/>
      <c r="Q420" s="55"/>
      <c r="R420" s="61">
        <f t="shared" si="153"/>
        <v>459.75</v>
      </c>
      <c r="S420" s="60">
        <v>459.75</v>
      </c>
      <c r="T420" s="60">
        <v>459.75</v>
      </c>
      <c r="U420" s="60">
        <v>459.75</v>
      </c>
      <c r="V420" s="60">
        <v>459.75</v>
      </c>
      <c r="W420" s="60">
        <v>459.75</v>
      </c>
      <c r="X420" s="61">
        <f t="shared" si="154"/>
        <v>2758.5</v>
      </c>
      <c r="Y420" s="60">
        <v>459.75</v>
      </c>
      <c r="Z420" s="60">
        <v>459.75</v>
      </c>
      <c r="AA420" s="60">
        <v>459.75</v>
      </c>
      <c r="AB420" s="60">
        <v>459.75</v>
      </c>
      <c r="AC420" s="60">
        <v>459.75</v>
      </c>
      <c r="AD420" s="60">
        <v>459.75</v>
      </c>
      <c r="AE420" s="61">
        <f t="shared" si="155"/>
        <v>2758.5</v>
      </c>
      <c r="AF420" s="62">
        <f t="shared" si="161"/>
        <v>88273.18</v>
      </c>
      <c r="AG420" s="62">
        <f t="shared" si="162"/>
        <v>55170.96</v>
      </c>
      <c r="AH420" s="62">
        <f t="shared" si="159"/>
        <v>33102.219999999994</v>
      </c>
      <c r="AI420" s="63"/>
      <c r="AJ420" s="63"/>
      <c r="AK420" s="62"/>
      <c r="AL420" s="60">
        <v>459.75</v>
      </c>
      <c r="AM420" s="60">
        <v>459.75</v>
      </c>
      <c r="AN420" s="60">
        <v>459.75</v>
      </c>
      <c r="AO420" s="60">
        <v>459.75</v>
      </c>
      <c r="AP420" s="60">
        <v>459.75</v>
      </c>
      <c r="AQ420" s="60">
        <v>459.75</v>
      </c>
      <c r="AR420" s="61">
        <f t="shared" si="156"/>
        <v>2758.5</v>
      </c>
      <c r="AS420" s="60">
        <v>459.75</v>
      </c>
      <c r="AT420" s="60">
        <v>459.75</v>
      </c>
      <c r="AU420" s="60">
        <v>459.75</v>
      </c>
      <c r="AV420" s="60">
        <v>459.75</v>
      </c>
      <c r="AW420" s="60">
        <v>459.75</v>
      </c>
      <c r="AX420" s="60">
        <v>459.75</v>
      </c>
      <c r="AY420" s="61">
        <f t="shared" si="157"/>
        <v>2758.5</v>
      </c>
      <c r="AZ420" s="56">
        <f t="shared" si="152"/>
        <v>5517</v>
      </c>
      <c r="BA420" s="62">
        <f t="shared" si="150"/>
        <v>88273.18</v>
      </c>
      <c r="BB420" s="62">
        <f t="shared" si="158"/>
        <v>60687.96</v>
      </c>
      <c r="BC420" s="62">
        <f t="shared" si="151"/>
        <v>27585.219999999994</v>
      </c>
      <c r="BD420" s="63"/>
      <c r="BE420" s="57"/>
      <c r="BF420" s="35" t="e">
        <f>VLOOKUP(A:A,'2023-2027'!A:G,1,+FALSE)</f>
        <v>#N/A</v>
      </c>
      <c r="BG420" s="7" t="e">
        <f t="shared" si="160"/>
        <v>#N/A</v>
      </c>
      <c r="BH420" s="35"/>
    </row>
    <row r="421" spans="1:60" ht="24" hidden="1" customHeight="1" outlineLevel="1" x14ac:dyDescent="0.2">
      <c r="A421" s="59" t="s">
        <v>1043</v>
      </c>
      <c r="B421" s="59" t="s">
        <v>31</v>
      </c>
      <c r="C421" s="59" t="s">
        <v>83</v>
      </c>
      <c r="D421" s="65" t="s">
        <v>1044</v>
      </c>
      <c r="E421" s="59" t="s">
        <v>359</v>
      </c>
      <c r="F421" s="60">
        <v>108004.93</v>
      </c>
      <c r="G421" s="60">
        <v>54002.879999999997</v>
      </c>
      <c r="H421" s="60">
        <v>54002.05</v>
      </c>
      <c r="I421" s="59"/>
      <c r="J421" s="60">
        <v>6750.24</v>
      </c>
      <c r="K421" s="59"/>
      <c r="L421" s="59"/>
      <c r="M421" s="60">
        <v>108004.93</v>
      </c>
      <c r="N421" s="60">
        <v>60753.120000000003</v>
      </c>
      <c r="O421" s="60">
        <v>47251.81</v>
      </c>
      <c r="P421" s="55"/>
      <c r="Q421" s="55"/>
      <c r="R421" s="61">
        <f t="shared" si="153"/>
        <v>562.52</v>
      </c>
      <c r="S421" s="60">
        <v>562.52</v>
      </c>
      <c r="T421" s="60">
        <v>562.52</v>
      </c>
      <c r="U421" s="60">
        <v>562.52</v>
      </c>
      <c r="V421" s="60">
        <v>562.52</v>
      </c>
      <c r="W421" s="60">
        <v>562.52</v>
      </c>
      <c r="X421" s="61">
        <f t="shared" si="154"/>
        <v>3375.12</v>
      </c>
      <c r="Y421" s="60">
        <v>562.52</v>
      </c>
      <c r="Z421" s="60">
        <v>562.52</v>
      </c>
      <c r="AA421" s="60">
        <v>562.52</v>
      </c>
      <c r="AB421" s="60">
        <v>562.52</v>
      </c>
      <c r="AC421" s="60">
        <v>562.52</v>
      </c>
      <c r="AD421" s="60">
        <v>562.52</v>
      </c>
      <c r="AE421" s="61">
        <f t="shared" si="155"/>
        <v>3375.12</v>
      </c>
      <c r="AF421" s="62">
        <f t="shared" si="161"/>
        <v>108004.93</v>
      </c>
      <c r="AG421" s="62">
        <f t="shared" si="162"/>
        <v>67503.359999999986</v>
      </c>
      <c r="AH421" s="62">
        <f t="shared" si="159"/>
        <v>40501.570000000007</v>
      </c>
      <c r="AI421" s="63"/>
      <c r="AJ421" s="63"/>
      <c r="AK421" s="62"/>
      <c r="AL421" s="60">
        <v>562.52</v>
      </c>
      <c r="AM421" s="60">
        <v>562.52</v>
      </c>
      <c r="AN421" s="60">
        <v>562.52</v>
      </c>
      <c r="AO421" s="60">
        <v>562.52</v>
      </c>
      <c r="AP421" s="60">
        <v>562.52</v>
      </c>
      <c r="AQ421" s="60">
        <v>562.52</v>
      </c>
      <c r="AR421" s="61">
        <f t="shared" si="156"/>
        <v>3375.12</v>
      </c>
      <c r="AS421" s="60">
        <v>562.52</v>
      </c>
      <c r="AT421" s="60">
        <v>562.52</v>
      </c>
      <c r="AU421" s="60">
        <v>562.52</v>
      </c>
      <c r="AV421" s="60">
        <v>562.52</v>
      </c>
      <c r="AW421" s="60">
        <v>562.52</v>
      </c>
      <c r="AX421" s="60">
        <v>562.52</v>
      </c>
      <c r="AY421" s="61">
        <f t="shared" si="157"/>
        <v>3375.12</v>
      </c>
      <c r="AZ421" s="56">
        <f t="shared" si="152"/>
        <v>6750.24</v>
      </c>
      <c r="BA421" s="62">
        <f t="shared" si="150"/>
        <v>108004.93</v>
      </c>
      <c r="BB421" s="62">
        <f t="shared" si="158"/>
        <v>74253.600000000035</v>
      </c>
      <c r="BC421" s="62">
        <f t="shared" si="151"/>
        <v>33751.329999999958</v>
      </c>
      <c r="BD421" s="63"/>
      <c r="BE421" s="57"/>
      <c r="BF421" s="35" t="e">
        <f>VLOOKUP(A:A,'2023-2027'!A:G,1,+FALSE)</f>
        <v>#N/A</v>
      </c>
      <c r="BG421" s="7" t="e">
        <f t="shared" si="160"/>
        <v>#N/A</v>
      </c>
      <c r="BH421" s="35"/>
    </row>
    <row r="422" spans="1:60" ht="24" hidden="1" customHeight="1" outlineLevel="1" x14ac:dyDescent="0.2">
      <c r="A422" s="59" t="s">
        <v>1045</v>
      </c>
      <c r="B422" s="59" t="s">
        <v>31</v>
      </c>
      <c r="C422" s="59" t="s">
        <v>83</v>
      </c>
      <c r="D422" s="65" t="s">
        <v>1046</v>
      </c>
      <c r="E422" s="59" t="s">
        <v>359</v>
      </c>
      <c r="F422" s="60">
        <v>118612.73</v>
      </c>
      <c r="G422" s="60">
        <v>59305.919999999998</v>
      </c>
      <c r="H422" s="60">
        <v>59306.81</v>
      </c>
      <c r="I422" s="59"/>
      <c r="J422" s="60">
        <v>7413.36</v>
      </c>
      <c r="K422" s="59"/>
      <c r="L422" s="59"/>
      <c r="M422" s="60">
        <v>118612.73</v>
      </c>
      <c r="N422" s="60">
        <v>66719.28</v>
      </c>
      <c r="O422" s="60">
        <v>51893.45</v>
      </c>
      <c r="P422" s="55"/>
      <c r="Q422" s="55"/>
      <c r="R422" s="61">
        <f t="shared" si="153"/>
        <v>617.78</v>
      </c>
      <c r="S422" s="60">
        <v>617.78</v>
      </c>
      <c r="T422" s="60">
        <v>617.78</v>
      </c>
      <c r="U422" s="60">
        <v>617.78</v>
      </c>
      <c r="V422" s="60">
        <v>617.78</v>
      </c>
      <c r="W422" s="60">
        <v>617.78</v>
      </c>
      <c r="X422" s="61">
        <f t="shared" si="154"/>
        <v>3706.6799999999994</v>
      </c>
      <c r="Y422" s="60">
        <v>617.78</v>
      </c>
      <c r="Z422" s="60">
        <v>617.78</v>
      </c>
      <c r="AA422" s="60">
        <v>617.78</v>
      </c>
      <c r="AB422" s="60">
        <v>617.78</v>
      </c>
      <c r="AC422" s="60">
        <v>617.78</v>
      </c>
      <c r="AD422" s="60">
        <v>617.78</v>
      </c>
      <c r="AE422" s="61">
        <f t="shared" si="155"/>
        <v>3706.6799999999994</v>
      </c>
      <c r="AF422" s="62">
        <f t="shared" si="161"/>
        <v>118612.73</v>
      </c>
      <c r="AG422" s="62">
        <f t="shared" si="162"/>
        <v>74132.639999999985</v>
      </c>
      <c r="AH422" s="62">
        <f t="shared" si="159"/>
        <v>44480.090000000011</v>
      </c>
      <c r="AI422" s="63"/>
      <c r="AJ422" s="63"/>
      <c r="AK422" s="62"/>
      <c r="AL422" s="60">
        <v>617.78</v>
      </c>
      <c r="AM422" s="60">
        <v>617.78</v>
      </c>
      <c r="AN422" s="60">
        <v>617.78</v>
      </c>
      <c r="AO422" s="60">
        <v>617.78</v>
      </c>
      <c r="AP422" s="60">
        <v>617.78</v>
      </c>
      <c r="AQ422" s="60">
        <v>617.78</v>
      </c>
      <c r="AR422" s="61">
        <f t="shared" si="156"/>
        <v>3706.6799999999994</v>
      </c>
      <c r="AS422" s="60">
        <v>617.78</v>
      </c>
      <c r="AT422" s="60">
        <v>617.78</v>
      </c>
      <c r="AU422" s="60">
        <v>617.78</v>
      </c>
      <c r="AV422" s="60">
        <v>617.78</v>
      </c>
      <c r="AW422" s="60">
        <v>617.78</v>
      </c>
      <c r="AX422" s="60">
        <v>617.78</v>
      </c>
      <c r="AY422" s="61">
        <f t="shared" si="157"/>
        <v>3706.6799999999994</v>
      </c>
      <c r="AZ422" s="56">
        <f t="shared" si="152"/>
        <v>7413.3599999999988</v>
      </c>
      <c r="BA422" s="62">
        <f t="shared" si="150"/>
        <v>118612.73</v>
      </c>
      <c r="BB422" s="62">
        <f t="shared" si="158"/>
        <v>81545.999999999971</v>
      </c>
      <c r="BC422" s="62">
        <f t="shared" si="151"/>
        <v>37066.730000000025</v>
      </c>
      <c r="BD422" s="63"/>
      <c r="BE422" s="57"/>
      <c r="BF422" s="35" t="e">
        <f>VLOOKUP(A:A,'2023-2027'!A:G,1,+FALSE)</f>
        <v>#N/A</v>
      </c>
      <c r="BG422" s="7" t="e">
        <f t="shared" si="160"/>
        <v>#N/A</v>
      </c>
      <c r="BH422" s="35"/>
    </row>
    <row r="423" spans="1:60" ht="24" hidden="1" customHeight="1" outlineLevel="1" x14ac:dyDescent="0.2">
      <c r="A423" s="59" t="s">
        <v>1047</v>
      </c>
      <c r="B423" s="59" t="s">
        <v>31</v>
      </c>
      <c r="C423" s="59" t="s">
        <v>83</v>
      </c>
      <c r="D423" s="65" t="s">
        <v>1048</v>
      </c>
      <c r="E423" s="59" t="s">
        <v>359</v>
      </c>
      <c r="F423" s="60">
        <v>130274.12</v>
      </c>
      <c r="G423" s="60">
        <v>65136.959999999999</v>
      </c>
      <c r="H423" s="60">
        <v>65137.16</v>
      </c>
      <c r="I423" s="59"/>
      <c r="J423" s="60">
        <v>8142.12</v>
      </c>
      <c r="K423" s="59"/>
      <c r="L423" s="59"/>
      <c r="M423" s="60">
        <v>130274.12</v>
      </c>
      <c r="N423" s="60">
        <v>73279.08</v>
      </c>
      <c r="O423" s="60">
        <v>56995.040000000001</v>
      </c>
      <c r="P423" s="55"/>
      <c r="Q423" s="55"/>
      <c r="R423" s="61">
        <f t="shared" si="153"/>
        <v>678.51</v>
      </c>
      <c r="S423" s="60">
        <v>678.51</v>
      </c>
      <c r="T423" s="60">
        <v>678.51</v>
      </c>
      <c r="U423" s="60">
        <v>678.51</v>
      </c>
      <c r="V423" s="60">
        <v>678.51</v>
      </c>
      <c r="W423" s="60">
        <v>678.51</v>
      </c>
      <c r="X423" s="61">
        <f t="shared" si="154"/>
        <v>4071.0600000000004</v>
      </c>
      <c r="Y423" s="60">
        <v>678.51</v>
      </c>
      <c r="Z423" s="60">
        <v>678.51</v>
      </c>
      <c r="AA423" s="60">
        <v>678.51</v>
      </c>
      <c r="AB423" s="60">
        <v>678.51</v>
      </c>
      <c r="AC423" s="60">
        <v>678.51</v>
      </c>
      <c r="AD423" s="60">
        <v>678.51</v>
      </c>
      <c r="AE423" s="61">
        <f t="shared" si="155"/>
        <v>4071.0600000000004</v>
      </c>
      <c r="AF423" s="62">
        <f t="shared" si="161"/>
        <v>130274.12</v>
      </c>
      <c r="AG423" s="62">
        <f t="shared" si="162"/>
        <v>81421.199999999939</v>
      </c>
      <c r="AH423" s="62">
        <f t="shared" si="159"/>
        <v>48852.920000000056</v>
      </c>
      <c r="AI423" s="63"/>
      <c r="AJ423" s="63"/>
      <c r="AK423" s="62"/>
      <c r="AL423" s="60">
        <v>678.51</v>
      </c>
      <c r="AM423" s="60">
        <v>678.51</v>
      </c>
      <c r="AN423" s="60">
        <v>678.51</v>
      </c>
      <c r="AO423" s="60">
        <v>678.51</v>
      </c>
      <c r="AP423" s="60">
        <v>678.51</v>
      </c>
      <c r="AQ423" s="60">
        <v>678.51</v>
      </c>
      <c r="AR423" s="61">
        <f t="shared" si="156"/>
        <v>4071.0600000000004</v>
      </c>
      <c r="AS423" s="60">
        <v>678.51</v>
      </c>
      <c r="AT423" s="60">
        <v>678.51</v>
      </c>
      <c r="AU423" s="60">
        <v>678.51</v>
      </c>
      <c r="AV423" s="60">
        <v>678.51</v>
      </c>
      <c r="AW423" s="60">
        <v>678.51</v>
      </c>
      <c r="AX423" s="60">
        <v>678.51</v>
      </c>
      <c r="AY423" s="61">
        <f t="shared" si="157"/>
        <v>4071.0600000000004</v>
      </c>
      <c r="AZ423" s="56">
        <f t="shared" si="152"/>
        <v>8142.1200000000008</v>
      </c>
      <c r="BA423" s="62">
        <f t="shared" si="150"/>
        <v>130274.12</v>
      </c>
      <c r="BB423" s="62">
        <f t="shared" si="158"/>
        <v>89563.319999999876</v>
      </c>
      <c r="BC423" s="62">
        <f t="shared" si="151"/>
        <v>40710.800000000119</v>
      </c>
      <c r="BD423" s="63"/>
      <c r="BE423" s="57"/>
      <c r="BF423" s="35" t="e">
        <f>VLOOKUP(A:A,'2023-2027'!A:G,1,+FALSE)</f>
        <v>#N/A</v>
      </c>
      <c r="BG423" s="7" t="e">
        <f t="shared" si="160"/>
        <v>#N/A</v>
      </c>
      <c r="BH423" s="35"/>
    </row>
    <row r="424" spans="1:60" ht="36" hidden="1" customHeight="1" outlineLevel="1" x14ac:dyDescent="0.2">
      <c r="A424" s="59" t="s">
        <v>1049</v>
      </c>
      <c r="B424" s="59" t="s">
        <v>31</v>
      </c>
      <c r="C424" s="59" t="s">
        <v>83</v>
      </c>
      <c r="D424" s="65" t="s">
        <v>1050</v>
      </c>
      <c r="E424" s="59" t="s">
        <v>359</v>
      </c>
      <c r="F424" s="60">
        <v>199210.68</v>
      </c>
      <c r="G424" s="60">
        <v>99605.759999999995</v>
      </c>
      <c r="H424" s="60">
        <v>99604.92</v>
      </c>
      <c r="I424" s="59"/>
      <c r="J424" s="60">
        <v>12450.6</v>
      </c>
      <c r="K424" s="59"/>
      <c r="L424" s="59"/>
      <c r="M424" s="60">
        <v>199210.68</v>
      </c>
      <c r="N424" s="60">
        <v>112056.36</v>
      </c>
      <c r="O424" s="60">
        <v>87154.32</v>
      </c>
      <c r="P424" s="55"/>
      <c r="Q424" s="55"/>
      <c r="R424" s="61">
        <f t="shared" si="153"/>
        <v>1037.55</v>
      </c>
      <c r="S424" s="60">
        <v>1037.55</v>
      </c>
      <c r="T424" s="60">
        <v>1037.55</v>
      </c>
      <c r="U424" s="60">
        <v>1037.55</v>
      </c>
      <c r="V424" s="60">
        <v>1037.55</v>
      </c>
      <c r="W424" s="60">
        <v>1037.55</v>
      </c>
      <c r="X424" s="61">
        <f t="shared" si="154"/>
        <v>6225.3</v>
      </c>
      <c r="Y424" s="60">
        <v>1037.55</v>
      </c>
      <c r="Z424" s="60">
        <v>1037.55</v>
      </c>
      <c r="AA424" s="60">
        <v>1037.55</v>
      </c>
      <c r="AB424" s="60">
        <v>1037.55</v>
      </c>
      <c r="AC424" s="60">
        <v>1037.55</v>
      </c>
      <c r="AD424" s="60">
        <v>1037.55</v>
      </c>
      <c r="AE424" s="61">
        <f t="shared" si="155"/>
        <v>6225.3</v>
      </c>
      <c r="AF424" s="62">
        <f t="shared" si="161"/>
        <v>199210.68</v>
      </c>
      <c r="AG424" s="62">
        <f t="shared" si="162"/>
        <v>124506.96000000004</v>
      </c>
      <c r="AH424" s="62">
        <f t="shared" si="159"/>
        <v>74703.719999999958</v>
      </c>
      <c r="AI424" s="63"/>
      <c r="AJ424" s="63"/>
      <c r="AK424" s="62"/>
      <c r="AL424" s="60">
        <v>1037.55</v>
      </c>
      <c r="AM424" s="60">
        <v>1037.55</v>
      </c>
      <c r="AN424" s="60">
        <v>1037.55</v>
      </c>
      <c r="AO424" s="60">
        <v>1037.55</v>
      </c>
      <c r="AP424" s="60">
        <v>1037.55</v>
      </c>
      <c r="AQ424" s="60">
        <v>1037.55</v>
      </c>
      <c r="AR424" s="61">
        <f t="shared" si="156"/>
        <v>6225.3</v>
      </c>
      <c r="AS424" s="60">
        <v>1037.55</v>
      </c>
      <c r="AT424" s="60">
        <v>1037.55</v>
      </c>
      <c r="AU424" s="60">
        <v>1037.55</v>
      </c>
      <c r="AV424" s="60">
        <v>1037.55</v>
      </c>
      <c r="AW424" s="60">
        <v>1037.55</v>
      </c>
      <c r="AX424" s="60">
        <v>1037.55</v>
      </c>
      <c r="AY424" s="61">
        <f t="shared" si="157"/>
        <v>6225.3</v>
      </c>
      <c r="AZ424" s="56">
        <f t="shared" si="152"/>
        <v>12450.6</v>
      </c>
      <c r="BA424" s="62">
        <f t="shared" si="150"/>
        <v>199210.68</v>
      </c>
      <c r="BB424" s="62">
        <f t="shared" si="158"/>
        <v>136957.56</v>
      </c>
      <c r="BC424" s="62">
        <f t="shared" si="151"/>
        <v>62253.119999999995</v>
      </c>
      <c r="BD424" s="63"/>
      <c r="BE424" s="57"/>
      <c r="BF424" s="35" t="e">
        <f>VLOOKUP(A:A,'2023-2027'!A:G,1,+FALSE)</f>
        <v>#N/A</v>
      </c>
      <c r="BG424" s="7" t="e">
        <f t="shared" si="160"/>
        <v>#N/A</v>
      </c>
      <c r="BH424" s="35"/>
    </row>
    <row r="425" spans="1:60" ht="24" hidden="1" customHeight="1" outlineLevel="1" x14ac:dyDescent="0.2">
      <c r="A425" s="59" t="s">
        <v>1051</v>
      </c>
      <c r="B425" s="59" t="s">
        <v>31</v>
      </c>
      <c r="C425" s="59" t="s">
        <v>83</v>
      </c>
      <c r="D425" s="65" t="s">
        <v>1052</v>
      </c>
      <c r="E425" s="59" t="s">
        <v>359</v>
      </c>
      <c r="F425" s="60">
        <v>143643.17000000001</v>
      </c>
      <c r="G425" s="60">
        <v>71821.440000000002</v>
      </c>
      <c r="H425" s="60">
        <v>71821.73</v>
      </c>
      <c r="I425" s="59"/>
      <c r="J425" s="60">
        <v>8977.68</v>
      </c>
      <c r="K425" s="59"/>
      <c r="L425" s="59"/>
      <c r="M425" s="60">
        <v>143643.17000000001</v>
      </c>
      <c r="N425" s="60">
        <v>80799.12</v>
      </c>
      <c r="O425" s="60">
        <v>62844.05</v>
      </c>
      <c r="P425" s="55"/>
      <c r="Q425" s="55"/>
      <c r="R425" s="61">
        <f t="shared" si="153"/>
        <v>748.14</v>
      </c>
      <c r="S425" s="60">
        <v>748.14</v>
      </c>
      <c r="T425" s="60">
        <v>748.14</v>
      </c>
      <c r="U425" s="60">
        <v>748.14</v>
      </c>
      <c r="V425" s="60">
        <v>748.14</v>
      </c>
      <c r="W425" s="60">
        <v>748.14</v>
      </c>
      <c r="X425" s="61">
        <f t="shared" si="154"/>
        <v>4488.84</v>
      </c>
      <c r="Y425" s="60">
        <v>748.14</v>
      </c>
      <c r="Z425" s="60">
        <v>748.14</v>
      </c>
      <c r="AA425" s="60">
        <v>748.14</v>
      </c>
      <c r="AB425" s="60">
        <v>748.14</v>
      </c>
      <c r="AC425" s="60">
        <v>748.14</v>
      </c>
      <c r="AD425" s="60">
        <v>748.14</v>
      </c>
      <c r="AE425" s="61">
        <f t="shared" si="155"/>
        <v>4488.84</v>
      </c>
      <c r="AF425" s="62">
        <f t="shared" si="161"/>
        <v>143643.17000000001</v>
      </c>
      <c r="AG425" s="62">
        <f t="shared" si="162"/>
        <v>89776.799999999988</v>
      </c>
      <c r="AH425" s="62">
        <f t="shared" si="159"/>
        <v>53866.370000000024</v>
      </c>
      <c r="AI425" s="63"/>
      <c r="AJ425" s="63"/>
      <c r="AK425" s="62"/>
      <c r="AL425" s="60">
        <v>748.14</v>
      </c>
      <c r="AM425" s="60">
        <v>748.14</v>
      </c>
      <c r="AN425" s="60">
        <v>748.14</v>
      </c>
      <c r="AO425" s="60">
        <v>748.14</v>
      </c>
      <c r="AP425" s="60">
        <v>748.14</v>
      </c>
      <c r="AQ425" s="60">
        <v>748.14</v>
      </c>
      <c r="AR425" s="61">
        <f t="shared" si="156"/>
        <v>4488.84</v>
      </c>
      <c r="AS425" s="60">
        <v>748.14</v>
      </c>
      <c r="AT425" s="60">
        <v>748.14</v>
      </c>
      <c r="AU425" s="60">
        <v>748.14</v>
      </c>
      <c r="AV425" s="60">
        <v>748.14</v>
      </c>
      <c r="AW425" s="60">
        <v>748.14</v>
      </c>
      <c r="AX425" s="60">
        <v>748.14</v>
      </c>
      <c r="AY425" s="61">
        <f t="shared" si="157"/>
        <v>4488.84</v>
      </c>
      <c r="AZ425" s="56">
        <f t="shared" si="152"/>
        <v>8977.68</v>
      </c>
      <c r="BA425" s="62">
        <f t="shared" si="150"/>
        <v>143643.17000000001</v>
      </c>
      <c r="BB425" s="62">
        <f t="shared" si="158"/>
        <v>98754.479999999981</v>
      </c>
      <c r="BC425" s="62">
        <f t="shared" si="151"/>
        <v>44888.690000000031</v>
      </c>
      <c r="BD425" s="63"/>
      <c r="BE425" s="57"/>
      <c r="BF425" s="35" t="e">
        <f>VLOOKUP(A:A,'2023-2027'!A:G,1,+FALSE)</f>
        <v>#N/A</v>
      </c>
      <c r="BG425" s="7" t="e">
        <f t="shared" si="160"/>
        <v>#N/A</v>
      </c>
      <c r="BH425" s="35"/>
    </row>
    <row r="426" spans="1:60" ht="24" hidden="1" customHeight="1" outlineLevel="1" x14ac:dyDescent="0.2">
      <c r="A426" s="59" t="s">
        <v>1053</v>
      </c>
      <c r="B426" s="59" t="s">
        <v>31</v>
      </c>
      <c r="C426" s="59" t="s">
        <v>83</v>
      </c>
      <c r="D426" s="65" t="s">
        <v>1054</v>
      </c>
      <c r="E426" s="59" t="s">
        <v>359</v>
      </c>
      <c r="F426" s="60">
        <v>195529.38</v>
      </c>
      <c r="G426" s="60">
        <v>97764.479999999996</v>
      </c>
      <c r="H426" s="60">
        <v>97764.9</v>
      </c>
      <c r="I426" s="59"/>
      <c r="J426" s="60">
        <v>12220.56</v>
      </c>
      <c r="K426" s="59"/>
      <c r="L426" s="59"/>
      <c r="M426" s="60">
        <v>195529.38</v>
      </c>
      <c r="N426" s="60">
        <v>109985.04</v>
      </c>
      <c r="O426" s="60">
        <v>85544.34</v>
      </c>
      <c r="P426" s="55"/>
      <c r="Q426" s="55"/>
      <c r="R426" s="61">
        <f t="shared" si="153"/>
        <v>1018.38</v>
      </c>
      <c r="S426" s="60">
        <v>1018.38</v>
      </c>
      <c r="T426" s="60">
        <v>1018.38</v>
      </c>
      <c r="U426" s="60">
        <v>1018.38</v>
      </c>
      <c r="V426" s="60">
        <v>1018.38</v>
      </c>
      <c r="W426" s="60">
        <v>1018.38</v>
      </c>
      <c r="X426" s="61">
        <f t="shared" si="154"/>
        <v>6110.28</v>
      </c>
      <c r="Y426" s="60">
        <v>1018.38</v>
      </c>
      <c r="Z426" s="60">
        <v>1018.38</v>
      </c>
      <c r="AA426" s="60">
        <v>1018.38</v>
      </c>
      <c r="AB426" s="60">
        <v>1018.38</v>
      </c>
      <c r="AC426" s="60">
        <v>1018.38</v>
      </c>
      <c r="AD426" s="60">
        <v>1018.38</v>
      </c>
      <c r="AE426" s="61">
        <f t="shared" si="155"/>
        <v>6110.28</v>
      </c>
      <c r="AF426" s="62">
        <f t="shared" si="161"/>
        <v>195529.38</v>
      </c>
      <c r="AG426" s="62">
        <f t="shared" si="162"/>
        <v>122205.60000000005</v>
      </c>
      <c r="AH426" s="62">
        <f t="shared" si="159"/>
        <v>73323.779999999955</v>
      </c>
      <c r="AI426" s="63"/>
      <c r="AJ426" s="63"/>
      <c r="AK426" s="62"/>
      <c r="AL426" s="60">
        <v>1018.38</v>
      </c>
      <c r="AM426" s="60">
        <v>1018.38</v>
      </c>
      <c r="AN426" s="60">
        <v>1018.38</v>
      </c>
      <c r="AO426" s="60">
        <v>1018.38</v>
      </c>
      <c r="AP426" s="60">
        <v>1018.38</v>
      </c>
      <c r="AQ426" s="60">
        <v>1018.38</v>
      </c>
      <c r="AR426" s="61">
        <f t="shared" si="156"/>
        <v>6110.28</v>
      </c>
      <c r="AS426" s="60">
        <v>1018.38</v>
      </c>
      <c r="AT426" s="60">
        <v>1018.38</v>
      </c>
      <c r="AU426" s="60">
        <v>1018.38</v>
      </c>
      <c r="AV426" s="60">
        <v>1018.38</v>
      </c>
      <c r="AW426" s="60">
        <v>1018.38</v>
      </c>
      <c r="AX426" s="60">
        <v>1018.38</v>
      </c>
      <c r="AY426" s="61">
        <f t="shared" si="157"/>
        <v>6110.28</v>
      </c>
      <c r="AZ426" s="56">
        <f t="shared" si="152"/>
        <v>12220.56</v>
      </c>
      <c r="BA426" s="62">
        <f t="shared" si="150"/>
        <v>195529.38</v>
      </c>
      <c r="BB426" s="62">
        <f t="shared" si="158"/>
        <v>134426.16000000009</v>
      </c>
      <c r="BC426" s="62">
        <f t="shared" si="151"/>
        <v>61103.219999999914</v>
      </c>
      <c r="BD426" s="63"/>
      <c r="BE426" s="57"/>
      <c r="BF426" s="35" t="e">
        <f>VLOOKUP(A:A,'2023-2027'!A:G,1,+FALSE)</f>
        <v>#N/A</v>
      </c>
      <c r="BG426" s="7" t="e">
        <f t="shared" si="160"/>
        <v>#N/A</v>
      </c>
      <c r="BH426" s="35"/>
    </row>
    <row r="427" spans="1:60" ht="24" hidden="1" customHeight="1" outlineLevel="1" x14ac:dyDescent="0.2">
      <c r="A427" s="59" t="s">
        <v>1055</v>
      </c>
      <c r="B427" s="59" t="s">
        <v>31</v>
      </c>
      <c r="C427" s="59" t="s">
        <v>83</v>
      </c>
      <c r="D427" s="65" t="s">
        <v>1056</v>
      </c>
      <c r="E427" s="59" t="s">
        <v>359</v>
      </c>
      <c r="F427" s="60">
        <v>152348.09</v>
      </c>
      <c r="G427" s="60">
        <v>76174.080000000002</v>
      </c>
      <c r="H427" s="60">
        <v>76174.009999999995</v>
      </c>
      <c r="I427" s="59"/>
      <c r="J427" s="60">
        <v>9521.76</v>
      </c>
      <c r="K427" s="59"/>
      <c r="L427" s="59"/>
      <c r="M427" s="60">
        <v>152348.09</v>
      </c>
      <c r="N427" s="60">
        <v>85695.84</v>
      </c>
      <c r="O427" s="60">
        <v>66652.25</v>
      </c>
      <c r="P427" s="55"/>
      <c r="Q427" s="55"/>
      <c r="R427" s="61">
        <f t="shared" si="153"/>
        <v>793.48</v>
      </c>
      <c r="S427" s="60">
        <v>793.48</v>
      </c>
      <c r="T427" s="60">
        <v>793.48</v>
      </c>
      <c r="U427" s="60">
        <v>793.48</v>
      </c>
      <c r="V427" s="60">
        <v>793.48</v>
      </c>
      <c r="W427" s="60">
        <v>793.48</v>
      </c>
      <c r="X427" s="61">
        <f t="shared" si="154"/>
        <v>4760.88</v>
      </c>
      <c r="Y427" s="60">
        <v>793.48</v>
      </c>
      <c r="Z427" s="60">
        <v>793.48</v>
      </c>
      <c r="AA427" s="60">
        <v>793.48</v>
      </c>
      <c r="AB427" s="60">
        <v>793.48</v>
      </c>
      <c r="AC427" s="60">
        <v>793.48</v>
      </c>
      <c r="AD427" s="60">
        <v>793.48</v>
      </c>
      <c r="AE427" s="61">
        <f t="shared" si="155"/>
        <v>4760.88</v>
      </c>
      <c r="AF427" s="62">
        <f t="shared" si="161"/>
        <v>152348.09</v>
      </c>
      <c r="AG427" s="62">
        <f t="shared" si="162"/>
        <v>95217.599999999948</v>
      </c>
      <c r="AH427" s="62">
        <f t="shared" si="159"/>
        <v>57130.490000000049</v>
      </c>
      <c r="AI427" s="63"/>
      <c r="AJ427" s="63"/>
      <c r="AK427" s="62"/>
      <c r="AL427" s="60">
        <v>793.48</v>
      </c>
      <c r="AM427" s="60">
        <v>793.48</v>
      </c>
      <c r="AN427" s="60">
        <v>793.48</v>
      </c>
      <c r="AO427" s="60">
        <v>793.48</v>
      </c>
      <c r="AP427" s="60">
        <v>793.48</v>
      </c>
      <c r="AQ427" s="60">
        <v>793.48</v>
      </c>
      <c r="AR427" s="61">
        <f t="shared" si="156"/>
        <v>4760.88</v>
      </c>
      <c r="AS427" s="60">
        <v>793.48</v>
      </c>
      <c r="AT427" s="60">
        <v>793.48</v>
      </c>
      <c r="AU427" s="60">
        <v>793.48</v>
      </c>
      <c r="AV427" s="60">
        <v>793.48</v>
      </c>
      <c r="AW427" s="60">
        <v>793.48</v>
      </c>
      <c r="AX427" s="60">
        <v>793.48</v>
      </c>
      <c r="AY427" s="61">
        <f t="shared" si="157"/>
        <v>4760.88</v>
      </c>
      <c r="AZ427" s="56">
        <f t="shared" si="152"/>
        <v>9521.76</v>
      </c>
      <c r="BA427" s="62">
        <f t="shared" si="150"/>
        <v>152348.09</v>
      </c>
      <c r="BB427" s="62">
        <f t="shared" si="158"/>
        <v>104739.3599999999</v>
      </c>
      <c r="BC427" s="62">
        <f t="shared" si="151"/>
        <v>47608.730000000098</v>
      </c>
      <c r="BD427" s="63"/>
      <c r="BE427" s="57"/>
      <c r="BF427" s="35" t="e">
        <f>VLOOKUP(A:A,'2023-2027'!A:G,1,+FALSE)</f>
        <v>#N/A</v>
      </c>
      <c r="BG427" s="7" t="e">
        <f t="shared" si="160"/>
        <v>#N/A</v>
      </c>
      <c r="BH427" s="35"/>
    </row>
    <row r="428" spans="1:60" ht="36" hidden="1" customHeight="1" outlineLevel="1" x14ac:dyDescent="0.2">
      <c r="A428" s="59" t="s">
        <v>1057</v>
      </c>
      <c r="B428" s="59" t="s">
        <v>31</v>
      </c>
      <c r="C428" s="59" t="s">
        <v>83</v>
      </c>
      <c r="D428" s="65" t="s">
        <v>1058</v>
      </c>
      <c r="E428" s="59" t="s">
        <v>359</v>
      </c>
      <c r="F428" s="60">
        <v>146748.60999999999</v>
      </c>
      <c r="G428" s="60">
        <v>73374.720000000001</v>
      </c>
      <c r="H428" s="60">
        <v>73373.89</v>
      </c>
      <c r="I428" s="59"/>
      <c r="J428" s="60">
        <v>9171.7199999999993</v>
      </c>
      <c r="K428" s="59"/>
      <c r="L428" s="59"/>
      <c r="M428" s="60">
        <v>146748.60999999999</v>
      </c>
      <c r="N428" s="60">
        <v>82546.44</v>
      </c>
      <c r="O428" s="60">
        <v>64202.17</v>
      </c>
      <c r="P428" s="55"/>
      <c r="Q428" s="55"/>
      <c r="R428" s="61">
        <f t="shared" si="153"/>
        <v>764.31</v>
      </c>
      <c r="S428" s="60">
        <v>764.13</v>
      </c>
      <c r="T428" s="60">
        <v>764.13</v>
      </c>
      <c r="U428" s="60">
        <v>764.13</v>
      </c>
      <c r="V428" s="60">
        <v>764.13</v>
      </c>
      <c r="W428" s="60">
        <v>764.13</v>
      </c>
      <c r="X428" s="61">
        <f t="shared" si="154"/>
        <v>4584.96</v>
      </c>
      <c r="Y428" s="60">
        <v>764.13</v>
      </c>
      <c r="Z428" s="60">
        <v>764.13</v>
      </c>
      <c r="AA428" s="60">
        <v>764.13</v>
      </c>
      <c r="AB428" s="60">
        <v>764.13</v>
      </c>
      <c r="AC428" s="60">
        <v>764.13</v>
      </c>
      <c r="AD428" s="60">
        <v>764.13</v>
      </c>
      <c r="AE428" s="61">
        <f t="shared" si="155"/>
        <v>4584.78</v>
      </c>
      <c r="AF428" s="62">
        <f t="shared" si="161"/>
        <v>146748.60999999999</v>
      </c>
      <c r="AG428" s="62">
        <f t="shared" si="162"/>
        <v>91716.180000000051</v>
      </c>
      <c r="AH428" s="62">
        <f t="shared" si="159"/>
        <v>55032.429999999935</v>
      </c>
      <c r="AI428" s="63"/>
      <c r="AJ428" s="63"/>
      <c r="AK428" s="62"/>
      <c r="AL428" s="60">
        <v>764.13</v>
      </c>
      <c r="AM428" s="60">
        <v>764.13</v>
      </c>
      <c r="AN428" s="60">
        <v>764.13</v>
      </c>
      <c r="AO428" s="60">
        <v>764.13</v>
      </c>
      <c r="AP428" s="60">
        <v>764.13</v>
      </c>
      <c r="AQ428" s="60">
        <v>764.13</v>
      </c>
      <c r="AR428" s="61">
        <f t="shared" si="156"/>
        <v>4584.78</v>
      </c>
      <c r="AS428" s="60">
        <v>764.13</v>
      </c>
      <c r="AT428" s="60">
        <v>764.13</v>
      </c>
      <c r="AU428" s="60">
        <v>764.13</v>
      </c>
      <c r="AV428" s="60">
        <v>764.13</v>
      </c>
      <c r="AW428" s="60">
        <v>764.13</v>
      </c>
      <c r="AX428" s="60">
        <v>764.13</v>
      </c>
      <c r="AY428" s="61">
        <f t="shared" si="157"/>
        <v>4584.78</v>
      </c>
      <c r="AZ428" s="56">
        <f t="shared" si="152"/>
        <v>9169.56</v>
      </c>
      <c r="BA428" s="62">
        <f t="shared" si="150"/>
        <v>146748.60999999999</v>
      </c>
      <c r="BB428" s="62">
        <f t="shared" si="158"/>
        <v>100885.74000000011</v>
      </c>
      <c r="BC428" s="62">
        <f t="shared" si="151"/>
        <v>45862.869999999879</v>
      </c>
      <c r="BD428" s="63"/>
      <c r="BE428" s="57"/>
      <c r="BF428" s="35" t="e">
        <f>VLOOKUP(A:A,'2023-2027'!A:G,1,+FALSE)</f>
        <v>#N/A</v>
      </c>
      <c r="BG428" s="7" t="e">
        <f t="shared" si="160"/>
        <v>#N/A</v>
      </c>
      <c r="BH428" s="35"/>
    </row>
    <row r="429" spans="1:60" ht="24" hidden="1" customHeight="1" outlineLevel="1" x14ac:dyDescent="0.2">
      <c r="A429" s="59" t="s">
        <v>1059</v>
      </c>
      <c r="B429" s="59" t="s">
        <v>31</v>
      </c>
      <c r="C429" s="59" t="s">
        <v>83</v>
      </c>
      <c r="D429" s="65" t="s">
        <v>1060</v>
      </c>
      <c r="E429" s="59" t="s">
        <v>359</v>
      </c>
      <c r="F429" s="60">
        <v>197403.13</v>
      </c>
      <c r="G429" s="60">
        <v>98701.440000000002</v>
      </c>
      <c r="H429" s="60">
        <v>98701.69</v>
      </c>
      <c r="I429" s="59"/>
      <c r="J429" s="60">
        <v>12337.68</v>
      </c>
      <c r="K429" s="59"/>
      <c r="L429" s="59"/>
      <c r="M429" s="60">
        <v>197403.13</v>
      </c>
      <c r="N429" s="60">
        <v>111039.12</v>
      </c>
      <c r="O429" s="60">
        <v>86364.01</v>
      </c>
      <c r="P429" s="55"/>
      <c r="Q429" s="55"/>
      <c r="R429" s="61">
        <f t="shared" si="153"/>
        <v>1028.1400000000001</v>
      </c>
      <c r="S429" s="60">
        <v>1028.1400000000001</v>
      </c>
      <c r="T429" s="60">
        <v>1028.1400000000001</v>
      </c>
      <c r="U429" s="60">
        <v>1028.1400000000001</v>
      </c>
      <c r="V429" s="60">
        <v>1028.1400000000001</v>
      </c>
      <c r="W429" s="60">
        <v>1028.1400000000001</v>
      </c>
      <c r="X429" s="61">
        <f t="shared" si="154"/>
        <v>6168.8400000000011</v>
      </c>
      <c r="Y429" s="60">
        <v>1028.1400000000001</v>
      </c>
      <c r="Z429" s="60">
        <v>1028.1400000000001</v>
      </c>
      <c r="AA429" s="60">
        <v>1028.1400000000001</v>
      </c>
      <c r="AB429" s="60">
        <v>1028.1400000000001</v>
      </c>
      <c r="AC429" s="60">
        <v>1028.1400000000001</v>
      </c>
      <c r="AD429" s="60">
        <v>1028.1400000000001</v>
      </c>
      <c r="AE429" s="61">
        <f t="shared" si="155"/>
        <v>6168.8400000000011</v>
      </c>
      <c r="AF429" s="62">
        <f t="shared" si="161"/>
        <v>197403.13</v>
      </c>
      <c r="AG429" s="62">
        <f t="shared" si="162"/>
        <v>123376.79999999999</v>
      </c>
      <c r="AH429" s="62">
        <f t="shared" si="159"/>
        <v>74026.330000000016</v>
      </c>
      <c r="AI429" s="63"/>
      <c r="AJ429" s="63"/>
      <c r="AK429" s="62"/>
      <c r="AL429" s="60">
        <v>1028.1400000000001</v>
      </c>
      <c r="AM429" s="60">
        <v>1028.1400000000001</v>
      </c>
      <c r="AN429" s="60">
        <v>1028.1400000000001</v>
      </c>
      <c r="AO429" s="60">
        <v>1028.1400000000001</v>
      </c>
      <c r="AP429" s="60">
        <v>1028.1400000000001</v>
      </c>
      <c r="AQ429" s="60">
        <v>1028.1400000000001</v>
      </c>
      <c r="AR429" s="61">
        <f t="shared" si="156"/>
        <v>6168.8400000000011</v>
      </c>
      <c r="AS429" s="60">
        <v>1028.1400000000001</v>
      </c>
      <c r="AT429" s="60">
        <v>1028.1400000000001</v>
      </c>
      <c r="AU429" s="60">
        <v>1028.1400000000001</v>
      </c>
      <c r="AV429" s="60">
        <v>1028.1400000000001</v>
      </c>
      <c r="AW429" s="60">
        <v>1028.1400000000001</v>
      </c>
      <c r="AX429" s="60">
        <v>1028.1400000000001</v>
      </c>
      <c r="AY429" s="61">
        <f t="shared" si="157"/>
        <v>6168.8400000000011</v>
      </c>
      <c r="AZ429" s="56">
        <f t="shared" si="152"/>
        <v>12337.680000000002</v>
      </c>
      <c r="BA429" s="62">
        <f t="shared" si="150"/>
        <v>197403.13</v>
      </c>
      <c r="BB429" s="62">
        <f t="shared" si="158"/>
        <v>135714.48000000004</v>
      </c>
      <c r="BC429" s="62">
        <f t="shared" si="151"/>
        <v>61688.649999999965</v>
      </c>
      <c r="BD429" s="63"/>
      <c r="BE429" s="57"/>
      <c r="BF429" s="35" t="e">
        <f>VLOOKUP(A:A,'2023-2027'!A:G,1,+FALSE)</f>
        <v>#N/A</v>
      </c>
      <c r="BG429" s="7" t="e">
        <f t="shared" si="160"/>
        <v>#N/A</v>
      </c>
      <c r="BH429" s="35"/>
    </row>
    <row r="430" spans="1:60" ht="36" hidden="1" customHeight="1" outlineLevel="1" x14ac:dyDescent="0.2">
      <c r="A430" s="59" t="s">
        <v>1061</v>
      </c>
      <c r="B430" s="59" t="s">
        <v>31</v>
      </c>
      <c r="C430" s="59" t="s">
        <v>83</v>
      </c>
      <c r="D430" s="65" t="s">
        <v>1062</v>
      </c>
      <c r="E430" s="59" t="s">
        <v>359</v>
      </c>
      <c r="F430" s="60">
        <v>145950.88</v>
      </c>
      <c r="G430" s="60">
        <v>72975.360000000001</v>
      </c>
      <c r="H430" s="60">
        <v>72975.520000000004</v>
      </c>
      <c r="I430" s="59"/>
      <c r="J430" s="60">
        <v>9121.92</v>
      </c>
      <c r="K430" s="59"/>
      <c r="L430" s="59"/>
      <c r="M430" s="60">
        <v>145950.88</v>
      </c>
      <c r="N430" s="60">
        <v>82097.279999999999</v>
      </c>
      <c r="O430" s="60">
        <v>63853.599999999999</v>
      </c>
      <c r="P430" s="55"/>
      <c r="Q430" s="55"/>
      <c r="R430" s="61">
        <f t="shared" si="153"/>
        <v>760.16</v>
      </c>
      <c r="S430" s="60">
        <v>760.16</v>
      </c>
      <c r="T430" s="60">
        <v>760.16</v>
      </c>
      <c r="U430" s="60">
        <v>760.16</v>
      </c>
      <c r="V430" s="60">
        <v>760.16</v>
      </c>
      <c r="W430" s="60">
        <v>760.16</v>
      </c>
      <c r="X430" s="61">
        <f t="shared" si="154"/>
        <v>4560.96</v>
      </c>
      <c r="Y430" s="60">
        <v>760.16</v>
      </c>
      <c r="Z430" s="60">
        <v>760.16</v>
      </c>
      <c r="AA430" s="60">
        <v>760.16</v>
      </c>
      <c r="AB430" s="60">
        <v>760.16</v>
      </c>
      <c r="AC430" s="60">
        <v>760.16</v>
      </c>
      <c r="AD430" s="60">
        <v>760.16</v>
      </c>
      <c r="AE430" s="61">
        <f t="shared" si="155"/>
        <v>4560.96</v>
      </c>
      <c r="AF430" s="62">
        <f t="shared" si="161"/>
        <v>145950.88</v>
      </c>
      <c r="AG430" s="62">
        <f t="shared" si="162"/>
        <v>91219.200000000041</v>
      </c>
      <c r="AH430" s="62">
        <f t="shared" si="159"/>
        <v>54731.679999999964</v>
      </c>
      <c r="AI430" s="63"/>
      <c r="AJ430" s="63"/>
      <c r="AK430" s="62"/>
      <c r="AL430" s="60">
        <v>760.16</v>
      </c>
      <c r="AM430" s="60">
        <v>760.16</v>
      </c>
      <c r="AN430" s="60">
        <v>760.16</v>
      </c>
      <c r="AO430" s="60">
        <v>760.16</v>
      </c>
      <c r="AP430" s="60">
        <v>760.16</v>
      </c>
      <c r="AQ430" s="60">
        <v>760.16</v>
      </c>
      <c r="AR430" s="61">
        <f t="shared" si="156"/>
        <v>4560.96</v>
      </c>
      <c r="AS430" s="60">
        <v>760.16</v>
      </c>
      <c r="AT430" s="60">
        <v>760.16</v>
      </c>
      <c r="AU430" s="60">
        <v>760.16</v>
      </c>
      <c r="AV430" s="60">
        <v>760.16</v>
      </c>
      <c r="AW430" s="60">
        <v>760.16</v>
      </c>
      <c r="AX430" s="60">
        <v>760.16</v>
      </c>
      <c r="AY430" s="61">
        <f t="shared" si="157"/>
        <v>4560.96</v>
      </c>
      <c r="AZ430" s="56">
        <f t="shared" si="152"/>
        <v>9121.92</v>
      </c>
      <c r="BA430" s="62">
        <f t="shared" si="150"/>
        <v>145950.88</v>
      </c>
      <c r="BB430" s="62">
        <f t="shared" si="158"/>
        <v>100341.12000000008</v>
      </c>
      <c r="BC430" s="62">
        <f t="shared" si="151"/>
        <v>45609.759999999922</v>
      </c>
      <c r="BD430" s="63"/>
      <c r="BE430" s="57"/>
      <c r="BF430" s="35" t="e">
        <f>VLOOKUP(A:A,'2023-2027'!A:G,1,+FALSE)</f>
        <v>#N/A</v>
      </c>
      <c r="BG430" s="7" t="e">
        <f t="shared" si="160"/>
        <v>#N/A</v>
      </c>
      <c r="BH430" s="35"/>
    </row>
    <row r="431" spans="1:60" ht="24" hidden="1" customHeight="1" outlineLevel="1" x14ac:dyDescent="0.2">
      <c r="A431" s="59" t="s">
        <v>1063</v>
      </c>
      <c r="B431" s="59" t="s">
        <v>31</v>
      </c>
      <c r="C431" s="59" t="s">
        <v>83</v>
      </c>
      <c r="D431" s="65" t="s">
        <v>1064</v>
      </c>
      <c r="E431" s="59" t="s">
        <v>359</v>
      </c>
      <c r="F431" s="60">
        <v>147408.49</v>
      </c>
      <c r="G431" s="60">
        <v>73704</v>
      </c>
      <c r="H431" s="60">
        <v>73704.490000000005</v>
      </c>
      <c r="I431" s="59"/>
      <c r="J431" s="60">
        <v>9213.07</v>
      </c>
      <c r="K431" s="59"/>
      <c r="L431" s="59"/>
      <c r="M431" s="60">
        <v>147408.49</v>
      </c>
      <c r="N431" s="60">
        <v>82917.070000000007</v>
      </c>
      <c r="O431" s="60">
        <v>64491.42</v>
      </c>
      <c r="P431" s="55"/>
      <c r="Q431" s="55"/>
      <c r="R431" s="61">
        <f t="shared" si="153"/>
        <v>767.75583333333327</v>
      </c>
      <c r="S431" s="60">
        <v>767.75583329999995</v>
      </c>
      <c r="T431" s="60">
        <v>767.75583329999995</v>
      </c>
      <c r="U431" s="60">
        <v>767.75583329999995</v>
      </c>
      <c r="V431" s="60">
        <v>767.75583329999995</v>
      </c>
      <c r="W431" s="60">
        <v>767.75583329999995</v>
      </c>
      <c r="X431" s="61">
        <f t="shared" si="154"/>
        <v>4606.5349998333322</v>
      </c>
      <c r="Y431" s="60">
        <v>767.75583329999995</v>
      </c>
      <c r="Z431" s="60">
        <v>767.75583329999995</v>
      </c>
      <c r="AA431" s="60">
        <v>767.75583329999995</v>
      </c>
      <c r="AB431" s="60">
        <v>767.75583329999995</v>
      </c>
      <c r="AC431" s="60">
        <v>767.75583329999995</v>
      </c>
      <c r="AD431" s="60">
        <v>767.75583329999995</v>
      </c>
      <c r="AE431" s="61">
        <f t="shared" si="155"/>
        <v>4606.5349997999992</v>
      </c>
      <c r="AF431" s="62">
        <f t="shared" si="161"/>
        <v>147408.49</v>
      </c>
      <c r="AG431" s="62">
        <f t="shared" si="162"/>
        <v>92130.139999633393</v>
      </c>
      <c r="AH431" s="62">
        <f t="shared" si="159"/>
        <v>55278.350000366598</v>
      </c>
      <c r="AI431" s="63"/>
      <c r="AJ431" s="63"/>
      <c r="AK431" s="62"/>
      <c r="AL431" s="60">
        <v>767.75583329999995</v>
      </c>
      <c r="AM431" s="60">
        <v>767.75583329999995</v>
      </c>
      <c r="AN431" s="60">
        <v>767.75583329999995</v>
      </c>
      <c r="AO431" s="60">
        <v>767.75583329999995</v>
      </c>
      <c r="AP431" s="60">
        <v>767.75583329999995</v>
      </c>
      <c r="AQ431" s="60">
        <v>767.75583329999995</v>
      </c>
      <c r="AR431" s="61">
        <f t="shared" si="156"/>
        <v>4606.5349997999992</v>
      </c>
      <c r="AS431" s="60">
        <v>767.75583329999995</v>
      </c>
      <c r="AT431" s="60">
        <v>767.75583329999995</v>
      </c>
      <c r="AU431" s="60">
        <v>767.75583329999995</v>
      </c>
      <c r="AV431" s="60">
        <v>767.75583329999995</v>
      </c>
      <c r="AW431" s="60">
        <v>767.75583329999995</v>
      </c>
      <c r="AX431" s="60">
        <v>767.75583329999995</v>
      </c>
      <c r="AY431" s="61">
        <f t="shared" si="157"/>
        <v>4606.5349997999992</v>
      </c>
      <c r="AZ431" s="56">
        <f t="shared" si="152"/>
        <v>9213.0699995999985</v>
      </c>
      <c r="BA431" s="62">
        <f t="shared" si="150"/>
        <v>147408.49</v>
      </c>
      <c r="BB431" s="62">
        <f t="shared" si="158"/>
        <v>101343.20999923346</v>
      </c>
      <c r="BC431" s="62">
        <f t="shared" si="151"/>
        <v>46065.280000766536</v>
      </c>
      <c r="BD431" s="63"/>
      <c r="BE431" s="57"/>
      <c r="BF431" s="35" t="e">
        <f>VLOOKUP(A:A,'2023-2027'!A:G,1,+FALSE)</f>
        <v>#N/A</v>
      </c>
      <c r="BG431" s="7" t="e">
        <f t="shared" si="160"/>
        <v>#N/A</v>
      </c>
      <c r="BH431" s="35"/>
    </row>
    <row r="432" spans="1:60" ht="24" hidden="1" customHeight="1" outlineLevel="1" x14ac:dyDescent="0.2">
      <c r="A432" s="59" t="s">
        <v>1065</v>
      </c>
      <c r="B432" s="59" t="s">
        <v>31</v>
      </c>
      <c r="C432" s="59" t="s">
        <v>83</v>
      </c>
      <c r="D432" s="65" t="s">
        <v>1066</v>
      </c>
      <c r="E432" s="59" t="s">
        <v>359</v>
      </c>
      <c r="F432" s="60">
        <v>45916</v>
      </c>
      <c r="G432" s="60">
        <v>22958.400000000001</v>
      </c>
      <c r="H432" s="60">
        <v>22957.599999999999</v>
      </c>
      <c r="I432" s="59"/>
      <c r="J432" s="60">
        <v>2869.68</v>
      </c>
      <c r="K432" s="59"/>
      <c r="L432" s="59"/>
      <c r="M432" s="60">
        <v>45916</v>
      </c>
      <c r="N432" s="60">
        <v>25828.080000000002</v>
      </c>
      <c r="O432" s="60">
        <v>20087.919999999998</v>
      </c>
      <c r="P432" s="55"/>
      <c r="Q432" s="55"/>
      <c r="R432" s="61">
        <f t="shared" si="153"/>
        <v>239.14</v>
      </c>
      <c r="S432" s="60">
        <v>239.14</v>
      </c>
      <c r="T432" s="60">
        <v>239.14</v>
      </c>
      <c r="U432" s="60">
        <v>239.14</v>
      </c>
      <c r="V432" s="60">
        <v>239.14</v>
      </c>
      <c r="W432" s="60">
        <v>239.14</v>
      </c>
      <c r="X432" s="61">
        <f t="shared" si="154"/>
        <v>1434.8399999999997</v>
      </c>
      <c r="Y432" s="60">
        <v>239.14</v>
      </c>
      <c r="Z432" s="60">
        <v>239.14</v>
      </c>
      <c r="AA432" s="60">
        <v>239.14</v>
      </c>
      <c r="AB432" s="60">
        <v>239.14</v>
      </c>
      <c r="AC432" s="60">
        <v>239.14</v>
      </c>
      <c r="AD432" s="60">
        <v>239.14</v>
      </c>
      <c r="AE432" s="61">
        <f t="shared" si="155"/>
        <v>1434.8399999999997</v>
      </c>
      <c r="AF432" s="62">
        <f t="shared" si="161"/>
        <v>45916</v>
      </c>
      <c r="AG432" s="62">
        <f t="shared" si="162"/>
        <v>28697.759999999995</v>
      </c>
      <c r="AH432" s="62">
        <f t="shared" si="159"/>
        <v>17218.240000000005</v>
      </c>
      <c r="AI432" s="63"/>
      <c r="AJ432" s="63"/>
      <c r="AK432" s="62"/>
      <c r="AL432" s="60">
        <v>239.14</v>
      </c>
      <c r="AM432" s="60">
        <v>239.14</v>
      </c>
      <c r="AN432" s="60">
        <v>239.14</v>
      </c>
      <c r="AO432" s="60">
        <v>239.14</v>
      </c>
      <c r="AP432" s="60">
        <v>239.14</v>
      </c>
      <c r="AQ432" s="60">
        <v>239.14</v>
      </c>
      <c r="AR432" s="61">
        <f t="shared" si="156"/>
        <v>1434.8399999999997</v>
      </c>
      <c r="AS432" s="60">
        <v>239.14</v>
      </c>
      <c r="AT432" s="60">
        <v>239.14</v>
      </c>
      <c r="AU432" s="60">
        <v>239.14</v>
      </c>
      <c r="AV432" s="60">
        <v>239.14</v>
      </c>
      <c r="AW432" s="60">
        <v>239.14</v>
      </c>
      <c r="AX432" s="60">
        <v>239.14</v>
      </c>
      <c r="AY432" s="61">
        <f t="shared" si="157"/>
        <v>1434.8399999999997</v>
      </c>
      <c r="AZ432" s="56">
        <f t="shared" si="152"/>
        <v>2869.6799999999994</v>
      </c>
      <c r="BA432" s="62">
        <f t="shared" si="150"/>
        <v>45916</v>
      </c>
      <c r="BB432" s="62">
        <f t="shared" si="158"/>
        <v>31567.439999999988</v>
      </c>
      <c r="BC432" s="62">
        <f t="shared" si="151"/>
        <v>14348.560000000012</v>
      </c>
      <c r="BD432" s="63"/>
      <c r="BE432" s="57"/>
      <c r="BF432" s="35" t="e">
        <f>VLOOKUP(A:A,'2023-2027'!A:G,1,+FALSE)</f>
        <v>#N/A</v>
      </c>
      <c r="BG432" s="7" t="e">
        <f t="shared" si="160"/>
        <v>#N/A</v>
      </c>
      <c r="BH432" s="35"/>
    </row>
    <row r="433" spans="1:60" ht="24" hidden="1" customHeight="1" outlineLevel="1" x14ac:dyDescent="0.2">
      <c r="A433" s="59" t="s">
        <v>1067</v>
      </c>
      <c r="B433" s="59" t="s">
        <v>31</v>
      </c>
      <c r="C433" s="59" t="s">
        <v>83</v>
      </c>
      <c r="D433" s="65" t="s">
        <v>1068</v>
      </c>
      <c r="E433" s="59" t="s">
        <v>359</v>
      </c>
      <c r="F433" s="60">
        <v>126924.81</v>
      </c>
      <c r="G433" s="60">
        <v>63462.720000000001</v>
      </c>
      <c r="H433" s="60">
        <v>63462.09</v>
      </c>
      <c r="I433" s="59"/>
      <c r="J433" s="60">
        <v>7932.72</v>
      </c>
      <c r="K433" s="59"/>
      <c r="L433" s="59"/>
      <c r="M433" s="60">
        <v>126924.81</v>
      </c>
      <c r="N433" s="60">
        <v>71395.44</v>
      </c>
      <c r="O433" s="60">
        <v>55529.37</v>
      </c>
      <c r="P433" s="55"/>
      <c r="Q433" s="55"/>
      <c r="R433" s="61">
        <f t="shared" si="153"/>
        <v>661.06000000000006</v>
      </c>
      <c r="S433" s="60">
        <v>661.06</v>
      </c>
      <c r="T433" s="60">
        <v>661.06</v>
      </c>
      <c r="U433" s="60">
        <v>661.06</v>
      </c>
      <c r="V433" s="60">
        <v>661.06</v>
      </c>
      <c r="W433" s="60">
        <v>661.06</v>
      </c>
      <c r="X433" s="61">
        <f t="shared" si="154"/>
        <v>3966.3599999999997</v>
      </c>
      <c r="Y433" s="60">
        <v>661.06</v>
      </c>
      <c r="Z433" s="60">
        <v>661.06</v>
      </c>
      <c r="AA433" s="60">
        <v>661.06</v>
      </c>
      <c r="AB433" s="60">
        <v>661.06</v>
      </c>
      <c r="AC433" s="60">
        <v>661.06</v>
      </c>
      <c r="AD433" s="60">
        <v>661.06</v>
      </c>
      <c r="AE433" s="61">
        <f t="shared" si="155"/>
        <v>3966.3599999999997</v>
      </c>
      <c r="AF433" s="62">
        <f t="shared" si="161"/>
        <v>126924.81</v>
      </c>
      <c r="AG433" s="62">
        <f t="shared" si="162"/>
        <v>79328.159999999974</v>
      </c>
      <c r="AH433" s="62">
        <f t="shared" si="159"/>
        <v>47596.650000000023</v>
      </c>
      <c r="AI433" s="63"/>
      <c r="AJ433" s="63"/>
      <c r="AK433" s="62"/>
      <c r="AL433" s="60">
        <v>661.06</v>
      </c>
      <c r="AM433" s="60">
        <v>661.06</v>
      </c>
      <c r="AN433" s="60">
        <v>661.06</v>
      </c>
      <c r="AO433" s="60">
        <v>661.06</v>
      </c>
      <c r="AP433" s="60">
        <v>661.06</v>
      </c>
      <c r="AQ433" s="60">
        <v>661.06</v>
      </c>
      <c r="AR433" s="61">
        <f t="shared" si="156"/>
        <v>3966.3599999999997</v>
      </c>
      <c r="AS433" s="60">
        <v>661.06</v>
      </c>
      <c r="AT433" s="60">
        <v>661.06</v>
      </c>
      <c r="AU433" s="60">
        <v>661.06</v>
      </c>
      <c r="AV433" s="60">
        <v>661.06</v>
      </c>
      <c r="AW433" s="60">
        <v>661.06</v>
      </c>
      <c r="AX433" s="60">
        <v>661.06</v>
      </c>
      <c r="AY433" s="61">
        <f t="shared" si="157"/>
        <v>3966.3599999999997</v>
      </c>
      <c r="AZ433" s="56">
        <f t="shared" si="152"/>
        <v>7932.7199999999993</v>
      </c>
      <c r="BA433" s="62">
        <f t="shared" si="150"/>
        <v>126924.81</v>
      </c>
      <c r="BB433" s="62">
        <f t="shared" si="158"/>
        <v>87260.879999999946</v>
      </c>
      <c r="BC433" s="62">
        <f t="shared" si="151"/>
        <v>39663.930000000051</v>
      </c>
      <c r="BD433" s="63"/>
      <c r="BE433" s="57"/>
      <c r="BF433" s="35" t="e">
        <f>VLOOKUP(A:A,'2023-2027'!A:G,1,+FALSE)</f>
        <v>#N/A</v>
      </c>
      <c r="BG433" s="7" t="e">
        <f t="shared" si="160"/>
        <v>#N/A</v>
      </c>
      <c r="BH433" s="35"/>
    </row>
    <row r="434" spans="1:60" ht="24" hidden="1" customHeight="1" outlineLevel="1" x14ac:dyDescent="0.2">
      <c r="A434" s="59" t="s">
        <v>1069</v>
      </c>
      <c r="B434" s="59" t="s">
        <v>31</v>
      </c>
      <c r="C434" s="59" t="s">
        <v>83</v>
      </c>
      <c r="D434" s="65" t="s">
        <v>1070</v>
      </c>
      <c r="E434" s="59" t="s">
        <v>359</v>
      </c>
      <c r="F434" s="60">
        <v>133756.35</v>
      </c>
      <c r="G434" s="60">
        <v>66878.399999999994</v>
      </c>
      <c r="H434" s="60">
        <v>66877.95</v>
      </c>
      <c r="I434" s="59"/>
      <c r="J434" s="60">
        <v>8359.77</v>
      </c>
      <c r="K434" s="59"/>
      <c r="L434" s="59"/>
      <c r="M434" s="60">
        <v>133756.35</v>
      </c>
      <c r="N434" s="60">
        <v>75238.17</v>
      </c>
      <c r="O434" s="60">
        <v>58518.18</v>
      </c>
      <c r="P434" s="55"/>
      <c r="Q434" s="55"/>
      <c r="R434" s="61">
        <f t="shared" si="153"/>
        <v>696.64750000000004</v>
      </c>
      <c r="S434" s="60">
        <v>696.64750000000004</v>
      </c>
      <c r="T434" s="60">
        <v>696.64750000000004</v>
      </c>
      <c r="U434" s="60">
        <v>696.64750000000004</v>
      </c>
      <c r="V434" s="60">
        <v>696.64750000000004</v>
      </c>
      <c r="W434" s="60">
        <v>696.64750000000004</v>
      </c>
      <c r="X434" s="61">
        <f t="shared" si="154"/>
        <v>4179.8850000000002</v>
      </c>
      <c r="Y434" s="60">
        <v>696.64750000000004</v>
      </c>
      <c r="Z434" s="60">
        <v>696.64750000000004</v>
      </c>
      <c r="AA434" s="60">
        <v>696.64750000000004</v>
      </c>
      <c r="AB434" s="60">
        <v>696.64750000000004</v>
      </c>
      <c r="AC434" s="60">
        <v>696.64750000000004</v>
      </c>
      <c r="AD434" s="60">
        <v>696.64750000000004</v>
      </c>
      <c r="AE434" s="61">
        <f t="shared" si="155"/>
        <v>4179.8850000000002</v>
      </c>
      <c r="AF434" s="62">
        <f t="shared" si="161"/>
        <v>133756.35</v>
      </c>
      <c r="AG434" s="62">
        <f t="shared" si="162"/>
        <v>83597.940000000075</v>
      </c>
      <c r="AH434" s="62">
        <f t="shared" si="159"/>
        <v>50158.409999999931</v>
      </c>
      <c r="AI434" s="63"/>
      <c r="AJ434" s="63"/>
      <c r="AK434" s="62"/>
      <c r="AL434" s="60">
        <v>696.64750000000004</v>
      </c>
      <c r="AM434" s="60">
        <v>696.64750000000004</v>
      </c>
      <c r="AN434" s="60">
        <v>696.64750000000004</v>
      </c>
      <c r="AO434" s="60">
        <v>696.64750000000004</v>
      </c>
      <c r="AP434" s="60">
        <v>696.64750000000004</v>
      </c>
      <c r="AQ434" s="60">
        <v>696.64750000000004</v>
      </c>
      <c r="AR434" s="61">
        <f t="shared" si="156"/>
        <v>4179.8850000000002</v>
      </c>
      <c r="AS434" s="60">
        <v>696.64750000000004</v>
      </c>
      <c r="AT434" s="60">
        <v>696.64750000000004</v>
      </c>
      <c r="AU434" s="60">
        <v>696.64750000000004</v>
      </c>
      <c r="AV434" s="60">
        <v>696.64750000000004</v>
      </c>
      <c r="AW434" s="60">
        <v>696.64750000000004</v>
      </c>
      <c r="AX434" s="60">
        <v>696.64750000000004</v>
      </c>
      <c r="AY434" s="61">
        <f t="shared" si="157"/>
        <v>4179.8850000000002</v>
      </c>
      <c r="AZ434" s="56">
        <f t="shared" si="152"/>
        <v>8359.77</v>
      </c>
      <c r="BA434" s="62">
        <f t="shared" si="150"/>
        <v>133756.35</v>
      </c>
      <c r="BB434" s="62">
        <f t="shared" si="158"/>
        <v>91957.710000000152</v>
      </c>
      <c r="BC434" s="62">
        <f t="shared" si="151"/>
        <v>41798.639999999854</v>
      </c>
      <c r="BD434" s="63"/>
      <c r="BE434" s="57"/>
      <c r="BF434" s="35" t="e">
        <f>VLOOKUP(A:A,'2023-2027'!A:G,1,+FALSE)</f>
        <v>#N/A</v>
      </c>
      <c r="BG434" s="7" t="e">
        <f t="shared" si="160"/>
        <v>#N/A</v>
      </c>
      <c r="BH434" s="35"/>
    </row>
    <row r="435" spans="1:60" ht="24" hidden="1" customHeight="1" outlineLevel="1" x14ac:dyDescent="0.2">
      <c r="A435" s="59" t="s">
        <v>1071</v>
      </c>
      <c r="B435" s="59" t="s">
        <v>31</v>
      </c>
      <c r="C435" s="59" t="s">
        <v>83</v>
      </c>
      <c r="D435" s="65" t="s">
        <v>1072</v>
      </c>
      <c r="E435" s="59" t="s">
        <v>359</v>
      </c>
      <c r="F435" s="60">
        <v>185324.54</v>
      </c>
      <c r="G435" s="60">
        <v>92662.080000000002</v>
      </c>
      <c r="H435" s="60">
        <v>92662.46</v>
      </c>
      <c r="I435" s="59"/>
      <c r="J435" s="60">
        <v>11582.76</v>
      </c>
      <c r="K435" s="59"/>
      <c r="L435" s="59"/>
      <c r="M435" s="60">
        <v>185324.54</v>
      </c>
      <c r="N435" s="60">
        <v>104244.84</v>
      </c>
      <c r="O435" s="60">
        <v>81079.7</v>
      </c>
      <c r="P435" s="55"/>
      <c r="Q435" s="55"/>
      <c r="R435" s="61">
        <f t="shared" si="153"/>
        <v>965.23</v>
      </c>
      <c r="S435" s="60">
        <v>965.23</v>
      </c>
      <c r="T435" s="60">
        <v>965.23</v>
      </c>
      <c r="U435" s="60">
        <v>965.23</v>
      </c>
      <c r="V435" s="60">
        <v>965.23</v>
      </c>
      <c r="W435" s="60">
        <v>965.23</v>
      </c>
      <c r="X435" s="61">
        <f t="shared" si="154"/>
        <v>5791.3799999999992</v>
      </c>
      <c r="Y435" s="60">
        <v>965.23</v>
      </c>
      <c r="Z435" s="60">
        <v>965.23</v>
      </c>
      <c r="AA435" s="60">
        <v>965.23</v>
      </c>
      <c r="AB435" s="60">
        <v>965.23</v>
      </c>
      <c r="AC435" s="60">
        <v>965.23</v>
      </c>
      <c r="AD435" s="60">
        <v>965.23</v>
      </c>
      <c r="AE435" s="61">
        <f t="shared" si="155"/>
        <v>5791.3799999999992</v>
      </c>
      <c r="AF435" s="62">
        <f t="shared" si="161"/>
        <v>185324.54</v>
      </c>
      <c r="AG435" s="62">
        <f t="shared" si="162"/>
        <v>115827.59999999995</v>
      </c>
      <c r="AH435" s="62">
        <f t="shared" si="159"/>
        <v>69496.940000000061</v>
      </c>
      <c r="AI435" s="63"/>
      <c r="AJ435" s="63"/>
      <c r="AK435" s="62"/>
      <c r="AL435" s="60">
        <v>965.23</v>
      </c>
      <c r="AM435" s="60">
        <v>965.23</v>
      </c>
      <c r="AN435" s="60">
        <v>965.23</v>
      </c>
      <c r="AO435" s="60">
        <v>965.23</v>
      </c>
      <c r="AP435" s="60">
        <v>965.23</v>
      </c>
      <c r="AQ435" s="60">
        <v>965.23</v>
      </c>
      <c r="AR435" s="61">
        <f t="shared" si="156"/>
        <v>5791.3799999999992</v>
      </c>
      <c r="AS435" s="60">
        <v>965.23</v>
      </c>
      <c r="AT435" s="60">
        <v>965.23</v>
      </c>
      <c r="AU435" s="60">
        <v>965.23</v>
      </c>
      <c r="AV435" s="60">
        <v>965.23</v>
      </c>
      <c r="AW435" s="60">
        <v>965.23</v>
      </c>
      <c r="AX435" s="60">
        <v>965.23</v>
      </c>
      <c r="AY435" s="61">
        <f t="shared" si="157"/>
        <v>5791.3799999999992</v>
      </c>
      <c r="AZ435" s="56">
        <f t="shared" si="152"/>
        <v>11582.759999999998</v>
      </c>
      <c r="BA435" s="62">
        <f t="shared" si="150"/>
        <v>185324.54</v>
      </c>
      <c r="BB435" s="62">
        <f t="shared" si="158"/>
        <v>127410.3599999999</v>
      </c>
      <c r="BC435" s="62">
        <f t="shared" si="151"/>
        <v>57914.180000000109</v>
      </c>
      <c r="BD435" s="63"/>
      <c r="BE435" s="57"/>
      <c r="BF435" s="35" t="e">
        <f>VLOOKUP(A:A,'2023-2027'!A:G,1,+FALSE)</f>
        <v>#N/A</v>
      </c>
      <c r="BG435" s="7" t="e">
        <f t="shared" si="160"/>
        <v>#N/A</v>
      </c>
      <c r="BH435" s="35"/>
    </row>
    <row r="436" spans="1:60" ht="24" hidden="1" customHeight="1" outlineLevel="1" x14ac:dyDescent="0.2">
      <c r="A436" s="59" t="s">
        <v>1073</v>
      </c>
      <c r="B436" s="59" t="s">
        <v>31</v>
      </c>
      <c r="C436" s="59" t="s">
        <v>83</v>
      </c>
      <c r="D436" s="65" t="s">
        <v>1074</v>
      </c>
      <c r="E436" s="59" t="s">
        <v>359</v>
      </c>
      <c r="F436" s="60">
        <v>195458.94</v>
      </c>
      <c r="G436" s="60">
        <v>97729.919999999998</v>
      </c>
      <c r="H436" s="60">
        <v>97729.02</v>
      </c>
      <c r="I436" s="59"/>
      <c r="J436" s="60">
        <v>12216.12</v>
      </c>
      <c r="K436" s="59"/>
      <c r="L436" s="59"/>
      <c r="M436" s="60">
        <v>195458.94</v>
      </c>
      <c r="N436" s="60">
        <v>109946.04</v>
      </c>
      <c r="O436" s="60">
        <v>85512.9</v>
      </c>
      <c r="P436" s="55"/>
      <c r="Q436" s="55"/>
      <c r="R436" s="61">
        <f t="shared" si="153"/>
        <v>1018.0100000000001</v>
      </c>
      <c r="S436" s="60">
        <v>1018.01</v>
      </c>
      <c r="T436" s="60">
        <v>1018.01</v>
      </c>
      <c r="U436" s="60">
        <v>1018.01</v>
      </c>
      <c r="V436" s="60">
        <v>1018.01</v>
      </c>
      <c r="W436" s="60">
        <v>1018.01</v>
      </c>
      <c r="X436" s="61">
        <f t="shared" si="154"/>
        <v>6108.06</v>
      </c>
      <c r="Y436" s="60">
        <v>1018.01</v>
      </c>
      <c r="Z436" s="60">
        <v>1018.01</v>
      </c>
      <c r="AA436" s="60">
        <v>1018.01</v>
      </c>
      <c r="AB436" s="60">
        <v>1018.01</v>
      </c>
      <c r="AC436" s="60">
        <v>1018.01</v>
      </c>
      <c r="AD436" s="60">
        <v>1018.01</v>
      </c>
      <c r="AE436" s="61">
        <f t="shared" si="155"/>
        <v>6108.06</v>
      </c>
      <c r="AF436" s="62">
        <f t="shared" si="161"/>
        <v>195458.94</v>
      </c>
      <c r="AG436" s="62">
        <f t="shared" si="162"/>
        <v>122162.15999999993</v>
      </c>
      <c r="AH436" s="62">
        <f t="shared" si="159"/>
        <v>73296.780000000072</v>
      </c>
      <c r="AI436" s="63"/>
      <c r="AJ436" s="63"/>
      <c r="AK436" s="62"/>
      <c r="AL436" s="60">
        <v>1018.01</v>
      </c>
      <c r="AM436" s="60">
        <v>1018.01</v>
      </c>
      <c r="AN436" s="60">
        <v>1018.01</v>
      </c>
      <c r="AO436" s="60">
        <v>1018.01</v>
      </c>
      <c r="AP436" s="60">
        <v>1018.01</v>
      </c>
      <c r="AQ436" s="60">
        <v>1018.01</v>
      </c>
      <c r="AR436" s="61">
        <f t="shared" si="156"/>
        <v>6108.06</v>
      </c>
      <c r="AS436" s="60">
        <v>1018.01</v>
      </c>
      <c r="AT436" s="60">
        <v>1018.01</v>
      </c>
      <c r="AU436" s="60">
        <v>1018.01</v>
      </c>
      <c r="AV436" s="60">
        <v>1018.01</v>
      </c>
      <c r="AW436" s="60">
        <v>1018.01</v>
      </c>
      <c r="AX436" s="60">
        <v>1018.01</v>
      </c>
      <c r="AY436" s="61">
        <f t="shared" si="157"/>
        <v>6108.06</v>
      </c>
      <c r="AZ436" s="56">
        <f t="shared" si="152"/>
        <v>12216.12</v>
      </c>
      <c r="BA436" s="62">
        <f t="shared" si="150"/>
        <v>195458.94</v>
      </c>
      <c r="BB436" s="62">
        <f t="shared" si="158"/>
        <v>134378.27999999991</v>
      </c>
      <c r="BC436" s="62">
        <f t="shared" si="151"/>
        <v>61080.660000000091</v>
      </c>
      <c r="BD436" s="63"/>
      <c r="BE436" s="57"/>
      <c r="BF436" s="35" t="e">
        <f>VLOOKUP(A:A,'2023-2027'!A:G,1,+FALSE)</f>
        <v>#N/A</v>
      </c>
      <c r="BG436" s="7" t="e">
        <f t="shared" si="160"/>
        <v>#N/A</v>
      </c>
      <c r="BH436" s="35"/>
    </row>
    <row r="437" spans="1:60" ht="24" hidden="1" customHeight="1" outlineLevel="1" x14ac:dyDescent="0.2">
      <c r="A437" s="59" t="s">
        <v>1075</v>
      </c>
      <c r="B437" s="59" t="s">
        <v>31</v>
      </c>
      <c r="C437" s="59" t="s">
        <v>83</v>
      </c>
      <c r="D437" s="65" t="s">
        <v>1076</v>
      </c>
      <c r="E437" s="59" t="s">
        <v>359</v>
      </c>
      <c r="F437" s="60">
        <v>115728.55</v>
      </c>
      <c r="G437" s="60">
        <v>57864</v>
      </c>
      <c r="H437" s="60">
        <v>57864.55</v>
      </c>
      <c r="I437" s="59"/>
      <c r="J437" s="60">
        <v>7233.12</v>
      </c>
      <c r="K437" s="59"/>
      <c r="L437" s="59"/>
      <c r="M437" s="60">
        <v>115728.55</v>
      </c>
      <c r="N437" s="60">
        <v>65097.120000000003</v>
      </c>
      <c r="O437" s="60">
        <v>50631.43</v>
      </c>
      <c r="P437" s="55"/>
      <c r="Q437" s="55"/>
      <c r="R437" s="61">
        <f t="shared" si="153"/>
        <v>602.76</v>
      </c>
      <c r="S437" s="60">
        <v>602.76</v>
      </c>
      <c r="T437" s="60">
        <v>602.76</v>
      </c>
      <c r="U437" s="60">
        <v>602.76</v>
      </c>
      <c r="V437" s="60">
        <v>602.76</v>
      </c>
      <c r="W437" s="60">
        <v>602.76</v>
      </c>
      <c r="X437" s="61">
        <f t="shared" si="154"/>
        <v>3616.5600000000004</v>
      </c>
      <c r="Y437" s="60">
        <v>602.76</v>
      </c>
      <c r="Z437" s="60">
        <v>602.76</v>
      </c>
      <c r="AA437" s="60">
        <v>602.76</v>
      </c>
      <c r="AB437" s="60">
        <v>602.76</v>
      </c>
      <c r="AC437" s="60">
        <v>602.76</v>
      </c>
      <c r="AD437" s="60">
        <v>602.76</v>
      </c>
      <c r="AE437" s="61">
        <f t="shared" si="155"/>
        <v>3616.5600000000004</v>
      </c>
      <c r="AF437" s="62">
        <f t="shared" si="161"/>
        <v>115728.55</v>
      </c>
      <c r="AG437" s="62">
        <f t="shared" si="162"/>
        <v>72330.239999999947</v>
      </c>
      <c r="AH437" s="62">
        <f t="shared" si="159"/>
        <v>43398.310000000056</v>
      </c>
      <c r="AI437" s="63"/>
      <c r="AJ437" s="63"/>
      <c r="AK437" s="62"/>
      <c r="AL437" s="60">
        <v>602.76</v>
      </c>
      <c r="AM437" s="60">
        <v>602.76</v>
      </c>
      <c r="AN437" s="60">
        <v>602.76</v>
      </c>
      <c r="AO437" s="60">
        <v>602.76</v>
      </c>
      <c r="AP437" s="60">
        <v>602.76</v>
      </c>
      <c r="AQ437" s="60">
        <v>602.76</v>
      </c>
      <c r="AR437" s="61">
        <f t="shared" si="156"/>
        <v>3616.5600000000004</v>
      </c>
      <c r="AS437" s="60">
        <v>602.76</v>
      </c>
      <c r="AT437" s="60">
        <v>602.76</v>
      </c>
      <c r="AU437" s="60">
        <v>602.76</v>
      </c>
      <c r="AV437" s="60">
        <v>602.76</v>
      </c>
      <c r="AW437" s="60">
        <v>602.76</v>
      </c>
      <c r="AX437" s="60">
        <v>602.76</v>
      </c>
      <c r="AY437" s="61">
        <f t="shared" si="157"/>
        <v>3616.5600000000004</v>
      </c>
      <c r="AZ437" s="56">
        <f t="shared" si="152"/>
        <v>7233.1200000000008</v>
      </c>
      <c r="BA437" s="62">
        <f t="shared" si="150"/>
        <v>115728.55</v>
      </c>
      <c r="BB437" s="62">
        <f t="shared" si="158"/>
        <v>79563.359999999884</v>
      </c>
      <c r="BC437" s="62">
        <f t="shared" si="151"/>
        <v>36165.190000000119</v>
      </c>
      <c r="BD437" s="63"/>
      <c r="BE437" s="57"/>
      <c r="BF437" s="35" t="e">
        <f>VLOOKUP(A:A,'2023-2027'!A:G,1,+FALSE)</f>
        <v>#N/A</v>
      </c>
      <c r="BG437" s="7" t="e">
        <f t="shared" si="160"/>
        <v>#N/A</v>
      </c>
      <c r="BH437" s="35"/>
    </row>
    <row r="438" spans="1:60" ht="36" hidden="1" customHeight="1" outlineLevel="1" x14ac:dyDescent="0.2">
      <c r="A438" s="59" t="s">
        <v>1077</v>
      </c>
      <c r="B438" s="59" t="s">
        <v>31</v>
      </c>
      <c r="C438" s="59" t="s">
        <v>83</v>
      </c>
      <c r="D438" s="65" t="s">
        <v>1078</v>
      </c>
      <c r="E438" s="59" t="s">
        <v>359</v>
      </c>
      <c r="F438" s="60">
        <v>170437.93</v>
      </c>
      <c r="G438" s="60">
        <v>85219.199999999997</v>
      </c>
      <c r="H438" s="60">
        <v>85218.73</v>
      </c>
      <c r="I438" s="59"/>
      <c r="J438" s="60">
        <v>10652.35</v>
      </c>
      <c r="K438" s="59"/>
      <c r="L438" s="59"/>
      <c r="M438" s="60">
        <v>170437.93</v>
      </c>
      <c r="N438" s="60">
        <v>95871.55</v>
      </c>
      <c r="O438" s="60">
        <v>74566.38</v>
      </c>
      <c r="P438" s="55"/>
      <c r="Q438" s="55"/>
      <c r="R438" s="61">
        <f t="shared" si="153"/>
        <v>887.69583333333333</v>
      </c>
      <c r="S438" s="60">
        <v>887.6958333</v>
      </c>
      <c r="T438" s="60">
        <v>887.6958333</v>
      </c>
      <c r="U438" s="60">
        <v>887.6958333</v>
      </c>
      <c r="V438" s="60">
        <v>887.6958333</v>
      </c>
      <c r="W438" s="60">
        <v>887.6958333</v>
      </c>
      <c r="X438" s="61">
        <f t="shared" si="154"/>
        <v>5326.1749998333344</v>
      </c>
      <c r="Y438" s="60">
        <v>887.6958333</v>
      </c>
      <c r="Z438" s="60">
        <v>887.6958333</v>
      </c>
      <c r="AA438" s="60">
        <v>887.6958333</v>
      </c>
      <c r="AB438" s="60">
        <v>887.6958333</v>
      </c>
      <c r="AC438" s="60">
        <v>887.6958333</v>
      </c>
      <c r="AD438" s="60">
        <v>887.6958333</v>
      </c>
      <c r="AE438" s="61">
        <f t="shared" si="155"/>
        <v>5326.1749998000005</v>
      </c>
      <c r="AF438" s="62">
        <f t="shared" si="161"/>
        <v>170437.93</v>
      </c>
      <c r="AG438" s="62">
        <f t="shared" si="162"/>
        <v>106523.89999963326</v>
      </c>
      <c r="AH438" s="62">
        <f t="shared" si="159"/>
        <v>63914.030000366736</v>
      </c>
      <c r="AI438" s="63"/>
      <c r="AJ438" s="63"/>
      <c r="AK438" s="62"/>
      <c r="AL438" s="60">
        <v>887.6958333</v>
      </c>
      <c r="AM438" s="60">
        <v>887.6958333</v>
      </c>
      <c r="AN438" s="60">
        <v>887.6958333</v>
      </c>
      <c r="AO438" s="60">
        <v>887.6958333</v>
      </c>
      <c r="AP438" s="60">
        <v>887.6958333</v>
      </c>
      <c r="AQ438" s="60">
        <v>887.6958333</v>
      </c>
      <c r="AR438" s="61">
        <f t="shared" si="156"/>
        <v>5326.1749998000005</v>
      </c>
      <c r="AS438" s="60">
        <v>887.6958333</v>
      </c>
      <c r="AT438" s="60">
        <v>887.6958333</v>
      </c>
      <c r="AU438" s="60">
        <v>887.6958333</v>
      </c>
      <c r="AV438" s="60">
        <v>887.6958333</v>
      </c>
      <c r="AW438" s="60">
        <v>887.6958333</v>
      </c>
      <c r="AX438" s="60">
        <v>887.6958333</v>
      </c>
      <c r="AY438" s="61">
        <f t="shared" si="157"/>
        <v>5326.1749998000005</v>
      </c>
      <c r="AZ438" s="56">
        <f t="shared" si="152"/>
        <v>10652.349999600001</v>
      </c>
      <c r="BA438" s="62">
        <f t="shared" si="150"/>
        <v>170437.93</v>
      </c>
      <c r="BB438" s="62">
        <f t="shared" si="158"/>
        <v>117176.24999923317</v>
      </c>
      <c r="BC438" s="62">
        <f t="shared" si="151"/>
        <v>53261.680000766821</v>
      </c>
      <c r="BD438" s="63"/>
      <c r="BE438" s="57"/>
      <c r="BF438" s="35" t="e">
        <f>VLOOKUP(A:A,'2023-2027'!A:G,1,+FALSE)</f>
        <v>#N/A</v>
      </c>
      <c r="BG438" s="7" t="e">
        <f t="shared" si="160"/>
        <v>#N/A</v>
      </c>
      <c r="BH438" s="35"/>
    </row>
    <row r="439" spans="1:60" ht="24" hidden="1" customHeight="1" outlineLevel="1" x14ac:dyDescent="0.2">
      <c r="A439" s="59" t="s">
        <v>1079</v>
      </c>
      <c r="B439" s="59" t="s">
        <v>31</v>
      </c>
      <c r="C439" s="59" t="s">
        <v>83</v>
      </c>
      <c r="D439" s="65" t="s">
        <v>1080</v>
      </c>
      <c r="E439" s="59" t="s">
        <v>1081</v>
      </c>
      <c r="F439" s="60">
        <v>151070</v>
      </c>
      <c r="G439" s="60">
        <v>121986.86</v>
      </c>
      <c r="H439" s="60">
        <v>29083.14</v>
      </c>
      <c r="I439" s="59"/>
      <c r="J439" s="60">
        <v>9694.3799999999992</v>
      </c>
      <c r="K439" s="59"/>
      <c r="L439" s="59"/>
      <c r="M439" s="60">
        <v>151070</v>
      </c>
      <c r="N439" s="60">
        <v>131681.24</v>
      </c>
      <c r="O439" s="60">
        <v>19388.759999999998</v>
      </c>
      <c r="P439" s="55"/>
      <c r="Q439" s="55"/>
      <c r="R439" s="61">
        <f t="shared" si="153"/>
        <v>807.8649999999999</v>
      </c>
      <c r="S439" s="60">
        <v>807.86500000000001</v>
      </c>
      <c r="T439" s="60">
        <v>807.86500000000001</v>
      </c>
      <c r="U439" s="60">
        <v>807.86500000000001</v>
      </c>
      <c r="V439" s="60">
        <v>807.86500000000001</v>
      </c>
      <c r="W439" s="60">
        <v>807.86500000000001</v>
      </c>
      <c r="X439" s="61">
        <f t="shared" si="154"/>
        <v>4847.1899999999996</v>
      </c>
      <c r="Y439" s="60">
        <v>807.86500000000001</v>
      </c>
      <c r="Z439" s="60">
        <v>807.86500000000001</v>
      </c>
      <c r="AA439" s="60">
        <v>807.86500000000001</v>
      </c>
      <c r="AB439" s="60">
        <v>807.86500000000001</v>
      </c>
      <c r="AC439" s="60">
        <v>807.86500000000001</v>
      </c>
      <c r="AD439" s="60">
        <v>807.86500000000001</v>
      </c>
      <c r="AE439" s="61">
        <f t="shared" si="155"/>
        <v>4847.1899999999996</v>
      </c>
      <c r="AF439" s="62">
        <f t="shared" si="161"/>
        <v>151070</v>
      </c>
      <c r="AG439" s="62">
        <f t="shared" si="162"/>
        <v>141375.61999999988</v>
      </c>
      <c r="AH439" s="62">
        <f t="shared" si="159"/>
        <v>9694.3800000001211</v>
      </c>
      <c r="AI439" s="63"/>
      <c r="AJ439" s="63"/>
      <c r="AK439" s="62"/>
      <c r="AL439" s="60">
        <v>807.86500000000001</v>
      </c>
      <c r="AM439" s="60">
        <v>807.86500000000001</v>
      </c>
      <c r="AN439" s="60">
        <v>807.86500000000001</v>
      </c>
      <c r="AO439" s="60">
        <v>807.86500000000001</v>
      </c>
      <c r="AP439" s="60">
        <v>807.86500000000001</v>
      </c>
      <c r="AQ439" s="60">
        <v>807.86500000000001</v>
      </c>
      <c r="AR439" s="61">
        <f t="shared" si="156"/>
        <v>4847.1899999999996</v>
      </c>
      <c r="AS439" s="60">
        <v>807.86500000000001</v>
      </c>
      <c r="AT439" s="60">
        <v>807.86500000000001</v>
      </c>
      <c r="AU439" s="60">
        <v>807.86500000000001</v>
      </c>
      <c r="AV439" s="60">
        <v>807.86500000000001</v>
      </c>
      <c r="AW439" s="60">
        <v>807.86500000000001</v>
      </c>
      <c r="AX439" s="60">
        <v>807.86500000000001</v>
      </c>
      <c r="AY439" s="61">
        <f t="shared" si="157"/>
        <v>4847.1899999999996</v>
      </c>
      <c r="AZ439" s="56">
        <f t="shared" si="152"/>
        <v>9694.3799999999992</v>
      </c>
      <c r="BA439" s="62">
        <f t="shared" ref="BA439:BA516" si="163">AF439</f>
        <v>151070</v>
      </c>
      <c r="BB439" s="62">
        <f t="shared" si="158"/>
        <v>151069.99999999977</v>
      </c>
      <c r="BC439" s="62">
        <f t="shared" si="151"/>
        <v>2.3283064365386963E-10</v>
      </c>
      <c r="BD439" s="63"/>
      <c r="BE439" s="57"/>
      <c r="BF439" s="35" t="e">
        <f>VLOOKUP(A:A,'2023-2027'!A:G,1,+FALSE)</f>
        <v>#N/A</v>
      </c>
      <c r="BG439" s="7" t="e">
        <f t="shared" si="160"/>
        <v>#N/A</v>
      </c>
      <c r="BH439" s="35"/>
    </row>
    <row r="440" spans="1:60" ht="36" hidden="1" customHeight="1" outlineLevel="1" x14ac:dyDescent="0.2">
      <c r="A440" s="59" t="s">
        <v>32</v>
      </c>
      <c r="B440" s="59" t="s">
        <v>31</v>
      </c>
      <c r="C440" s="59" t="s">
        <v>83</v>
      </c>
      <c r="D440" s="66" t="s">
        <v>33</v>
      </c>
      <c r="E440" s="59" t="s">
        <v>34</v>
      </c>
      <c r="F440" s="59"/>
      <c r="G440" s="59"/>
      <c r="H440" s="59"/>
      <c r="I440" s="60">
        <v>125516.66</v>
      </c>
      <c r="J440" s="60">
        <v>5229.8500000000004</v>
      </c>
      <c r="K440" s="59"/>
      <c r="L440" s="59"/>
      <c r="M440" s="60">
        <v>125516.66</v>
      </c>
      <c r="N440" s="60">
        <v>5229.8500000000004</v>
      </c>
      <c r="O440" s="60">
        <v>120286.81</v>
      </c>
      <c r="P440" s="55"/>
      <c r="Q440" s="55"/>
      <c r="R440" s="61">
        <f t="shared" si="153"/>
        <v>435.82083333333338</v>
      </c>
      <c r="S440" s="60">
        <v>435.8208333</v>
      </c>
      <c r="T440" s="60">
        <v>435.8208333</v>
      </c>
      <c r="U440" s="60">
        <v>435.8208333</v>
      </c>
      <c r="V440" s="60">
        <v>435.8208333</v>
      </c>
      <c r="W440" s="60">
        <v>435.8208333</v>
      </c>
      <c r="X440" s="61">
        <f t="shared" si="154"/>
        <v>2614.9249998333335</v>
      </c>
      <c r="Y440" s="60">
        <v>435.8208333</v>
      </c>
      <c r="Z440" s="60">
        <v>435.8208333</v>
      </c>
      <c r="AA440" s="60">
        <v>435.8208333</v>
      </c>
      <c r="AB440" s="60">
        <v>435.8208333</v>
      </c>
      <c r="AC440" s="60">
        <v>435.8208333</v>
      </c>
      <c r="AD440" s="60">
        <v>435.8208333</v>
      </c>
      <c r="AE440" s="61">
        <f t="shared" si="155"/>
        <v>2614.9249998000005</v>
      </c>
      <c r="AF440" s="62">
        <f t="shared" si="161"/>
        <v>125516.66</v>
      </c>
      <c r="AG440" s="62">
        <f t="shared" si="162"/>
        <v>10459.699999633336</v>
      </c>
      <c r="AH440" s="62">
        <f t="shared" si="159"/>
        <v>115056.96000036667</v>
      </c>
      <c r="AI440" s="63"/>
      <c r="AJ440" s="63"/>
      <c r="AK440" s="62"/>
      <c r="AL440" s="60">
        <v>435.8208333</v>
      </c>
      <c r="AM440" s="60">
        <v>435.8208333</v>
      </c>
      <c r="AN440" s="60">
        <v>435.8208333</v>
      </c>
      <c r="AO440" s="60">
        <v>435.8208333</v>
      </c>
      <c r="AP440" s="60">
        <v>435.8208333</v>
      </c>
      <c r="AQ440" s="60">
        <v>435.8208333</v>
      </c>
      <c r="AR440" s="61">
        <f t="shared" si="156"/>
        <v>2614.9249998000005</v>
      </c>
      <c r="AS440" s="60">
        <v>435.8208333</v>
      </c>
      <c r="AT440" s="60">
        <v>435.8208333</v>
      </c>
      <c r="AU440" s="60">
        <v>435.8208333</v>
      </c>
      <c r="AV440" s="60">
        <v>435.8208333</v>
      </c>
      <c r="AW440" s="60">
        <v>435.8208333</v>
      </c>
      <c r="AX440" s="60">
        <v>435.8208333</v>
      </c>
      <c r="AY440" s="61">
        <f t="shared" si="157"/>
        <v>2614.9249998000005</v>
      </c>
      <c r="AZ440" s="56">
        <f t="shared" si="152"/>
        <v>5229.849999600001</v>
      </c>
      <c r="BA440" s="62">
        <f t="shared" si="163"/>
        <v>125516.66</v>
      </c>
      <c r="BB440" s="62">
        <f t="shared" si="158"/>
        <v>15689.549999233339</v>
      </c>
      <c r="BC440" s="62">
        <f t="shared" si="151"/>
        <v>109827.11000076667</v>
      </c>
      <c r="BD440" s="63"/>
      <c r="BE440" s="57"/>
      <c r="BF440" s="35" t="str">
        <f>VLOOKUP(A:A,'2023-2027'!A:G,1,+FALSE)</f>
        <v>Система аудио и видеонаблюдения административного здания</v>
      </c>
      <c r="BG440" s="7" t="b">
        <f t="shared" si="160"/>
        <v>1</v>
      </c>
      <c r="BH440" s="35">
        <f>VLOOKUP(A:A,'2023-2027'!A:AT,43,+FALSE)</f>
        <v>1494.25</v>
      </c>
    </row>
    <row r="441" spans="1:60" ht="12" hidden="1" customHeight="1" outlineLevel="1" x14ac:dyDescent="0.2">
      <c r="A441" s="59" t="s">
        <v>1082</v>
      </c>
      <c r="B441" s="59" t="s">
        <v>31</v>
      </c>
      <c r="C441" s="59" t="s">
        <v>83</v>
      </c>
      <c r="D441" s="65" t="s">
        <v>1083</v>
      </c>
      <c r="E441" s="59" t="s">
        <v>1084</v>
      </c>
      <c r="F441" s="60">
        <v>25940</v>
      </c>
      <c r="G441" s="60">
        <v>25940</v>
      </c>
      <c r="H441" s="59"/>
      <c r="I441" s="59"/>
      <c r="J441" s="59"/>
      <c r="K441" s="60">
        <v>25940</v>
      </c>
      <c r="L441" s="60">
        <v>25940</v>
      </c>
      <c r="M441" s="59"/>
      <c r="N441" s="59"/>
      <c r="O441" s="59"/>
      <c r="P441" s="67"/>
      <c r="Q441" s="67"/>
      <c r="R441" s="61">
        <f t="shared" si="153"/>
        <v>0</v>
      </c>
      <c r="S441" s="60">
        <v>0</v>
      </c>
      <c r="T441" s="60">
        <v>0</v>
      </c>
      <c r="U441" s="60">
        <v>0</v>
      </c>
      <c r="V441" s="60">
        <v>0</v>
      </c>
      <c r="W441" s="60">
        <v>0</v>
      </c>
      <c r="X441" s="61">
        <f t="shared" si="154"/>
        <v>0</v>
      </c>
      <c r="Y441" s="60">
        <v>0</v>
      </c>
      <c r="Z441" s="60">
        <v>0</v>
      </c>
      <c r="AA441" s="60">
        <v>0</v>
      </c>
      <c r="AB441" s="60">
        <v>0</v>
      </c>
      <c r="AC441" s="60">
        <v>0</v>
      </c>
      <c r="AD441" s="60">
        <v>0</v>
      </c>
      <c r="AE441" s="61">
        <f t="shared" si="155"/>
        <v>0</v>
      </c>
      <c r="AF441" s="62">
        <f t="shared" si="161"/>
        <v>0</v>
      </c>
      <c r="AG441" s="62">
        <f t="shared" si="162"/>
        <v>0</v>
      </c>
      <c r="AH441" s="62">
        <f t="shared" si="159"/>
        <v>0</v>
      </c>
      <c r="AI441" s="63"/>
      <c r="AJ441" s="63"/>
      <c r="AK441" s="62"/>
      <c r="AL441" s="60">
        <v>0</v>
      </c>
      <c r="AM441" s="60">
        <v>0</v>
      </c>
      <c r="AN441" s="60">
        <v>0</v>
      </c>
      <c r="AO441" s="60">
        <v>0</v>
      </c>
      <c r="AP441" s="60">
        <v>0</v>
      </c>
      <c r="AQ441" s="60">
        <v>0</v>
      </c>
      <c r="AR441" s="61">
        <f t="shared" si="156"/>
        <v>0</v>
      </c>
      <c r="AS441" s="60">
        <v>0</v>
      </c>
      <c r="AT441" s="60">
        <v>0</v>
      </c>
      <c r="AU441" s="60">
        <v>0</v>
      </c>
      <c r="AV441" s="60">
        <v>0</v>
      </c>
      <c r="AW441" s="60">
        <v>0</v>
      </c>
      <c r="AX441" s="60">
        <v>0</v>
      </c>
      <c r="AY441" s="61">
        <f t="shared" si="157"/>
        <v>0</v>
      </c>
      <c r="AZ441" s="56">
        <f t="shared" si="152"/>
        <v>0</v>
      </c>
      <c r="BA441" s="62">
        <f t="shared" si="163"/>
        <v>0</v>
      </c>
      <c r="BB441" s="62">
        <f t="shared" si="158"/>
        <v>0</v>
      </c>
      <c r="BC441" s="62">
        <f t="shared" si="151"/>
        <v>0</v>
      </c>
      <c r="BD441" s="63"/>
      <c r="BE441" s="57"/>
      <c r="BF441" s="35" t="e">
        <f>VLOOKUP(A:A,'2023-2027'!A:G,1,+FALSE)</f>
        <v>#N/A</v>
      </c>
      <c r="BG441" s="7" t="e">
        <f t="shared" si="160"/>
        <v>#N/A</v>
      </c>
      <c r="BH441" s="35"/>
    </row>
    <row r="442" spans="1:60" s="70" customFormat="1" ht="12" hidden="1" customHeight="1" outlineLevel="1" x14ac:dyDescent="0.2">
      <c r="A442" s="66" t="s">
        <v>1085</v>
      </c>
      <c r="B442" s="66" t="s">
        <v>31</v>
      </c>
      <c r="C442" s="66" t="s">
        <v>83</v>
      </c>
      <c r="D442" s="66"/>
      <c r="E442" s="66"/>
      <c r="F442" s="74"/>
      <c r="G442" s="74"/>
      <c r="H442" s="75"/>
      <c r="I442" s="66"/>
      <c r="J442" s="74"/>
      <c r="K442" s="74"/>
      <c r="L442" s="74"/>
      <c r="M442" s="74"/>
      <c r="N442" s="74"/>
      <c r="O442" s="75"/>
      <c r="P442" s="76"/>
      <c r="Q442" s="76"/>
      <c r="R442" s="74"/>
      <c r="S442" s="74"/>
      <c r="T442" s="74"/>
      <c r="U442" s="74"/>
      <c r="V442" s="74"/>
      <c r="W442" s="74"/>
      <c r="X442" s="77">
        <v>0</v>
      </c>
      <c r="Y442" s="74"/>
      <c r="Z442" s="74"/>
      <c r="AA442" s="74"/>
      <c r="AB442" s="74">
        <v>824468.77494791662</v>
      </c>
      <c r="AC442" s="74">
        <v>824468.77494791662</v>
      </c>
      <c r="AD442" s="74">
        <v>824468.77494791662</v>
      </c>
      <c r="AE442" s="77">
        <v>2473406.3248437499</v>
      </c>
      <c r="AF442" s="62">
        <v>158298004.78999999</v>
      </c>
      <c r="AG442" s="62">
        <v>2473406.3248437499</v>
      </c>
      <c r="AH442" s="62">
        <v>155824598.46515623</v>
      </c>
      <c r="AI442" s="63"/>
      <c r="AJ442" s="63"/>
      <c r="AK442" s="78"/>
      <c r="AL442" s="74">
        <v>824468.77494791662</v>
      </c>
      <c r="AM442" s="74">
        <v>824468.77494791662</v>
      </c>
      <c r="AN442" s="74">
        <v>824468.77494791662</v>
      </c>
      <c r="AO442" s="74">
        <v>824468.77494791662</v>
      </c>
      <c r="AP442" s="74">
        <v>824468.77494791662</v>
      </c>
      <c r="AQ442" s="74">
        <v>824468.77494791662</v>
      </c>
      <c r="AR442" s="61">
        <v>4946812.6496874997</v>
      </c>
      <c r="AS442" s="74">
        <v>824468.77494791662</v>
      </c>
      <c r="AT442" s="74">
        <v>824468.77494791662</v>
      </c>
      <c r="AU442" s="74">
        <v>824468.77494791662</v>
      </c>
      <c r="AV442" s="74">
        <v>824468.77494791662</v>
      </c>
      <c r="AW442" s="74">
        <v>824468.77494791662</v>
      </c>
      <c r="AX442" s="74">
        <v>824468.77494791662</v>
      </c>
      <c r="AY442" s="61">
        <v>4946812.6496874997</v>
      </c>
      <c r="AZ442" s="56">
        <f t="shared" si="152"/>
        <v>9893625.2993749995</v>
      </c>
      <c r="BA442" s="62">
        <v>158298004.78999999</v>
      </c>
      <c r="BB442" s="62">
        <v>12367031.624218753</v>
      </c>
      <c r="BC442" s="62">
        <v>145930973.16578123</v>
      </c>
      <c r="BD442" s="63"/>
      <c r="BE442" s="57"/>
      <c r="BF442" s="35" t="e">
        <f>VLOOKUP(A:A,'2023-2027'!A:G,1,+FALSE)</f>
        <v>#N/A</v>
      </c>
      <c r="BG442" s="7" t="e">
        <f t="shared" si="160"/>
        <v>#N/A</v>
      </c>
      <c r="BH442" s="35"/>
    </row>
    <row r="443" spans="1:60" ht="36" hidden="1" customHeight="1" outlineLevel="1" x14ac:dyDescent="0.2">
      <c r="A443" s="59" t="s">
        <v>28</v>
      </c>
      <c r="B443" s="59" t="s">
        <v>31</v>
      </c>
      <c r="C443" s="59" t="s">
        <v>83</v>
      </c>
      <c r="D443" s="66" t="s">
        <v>29</v>
      </c>
      <c r="E443" s="59" t="s">
        <v>24</v>
      </c>
      <c r="F443" s="59"/>
      <c r="G443" s="59"/>
      <c r="H443" s="59"/>
      <c r="I443" s="60">
        <v>63934.8</v>
      </c>
      <c r="J443" s="60">
        <v>3196.74</v>
      </c>
      <c r="K443" s="59"/>
      <c r="L443" s="59"/>
      <c r="M443" s="60">
        <v>63934.8</v>
      </c>
      <c r="N443" s="60">
        <v>3196.74</v>
      </c>
      <c r="O443" s="60">
        <v>60738.06</v>
      </c>
      <c r="P443" s="55"/>
      <c r="Q443" s="55"/>
      <c r="R443" s="61">
        <f t="shared" si="153"/>
        <v>266.39499999999998</v>
      </c>
      <c r="S443" s="60">
        <v>266.39499999999998</v>
      </c>
      <c r="T443" s="60">
        <v>266.39499999999998</v>
      </c>
      <c r="U443" s="60">
        <v>266.39499999999998</v>
      </c>
      <c r="V443" s="60">
        <v>266.39499999999998</v>
      </c>
      <c r="W443" s="60">
        <v>266.39499999999998</v>
      </c>
      <c r="X443" s="61">
        <f t="shared" si="154"/>
        <v>1598.37</v>
      </c>
      <c r="Y443" s="60">
        <v>266.39499999999998</v>
      </c>
      <c r="Z443" s="60">
        <v>266.39499999999998</v>
      </c>
      <c r="AA443" s="60">
        <v>266.39499999999998</v>
      </c>
      <c r="AB443" s="60">
        <v>266.39499999999998</v>
      </c>
      <c r="AC443" s="60">
        <v>266.39499999999998</v>
      </c>
      <c r="AD443" s="60">
        <v>266.39499999999998</v>
      </c>
      <c r="AE443" s="61">
        <f t="shared" si="155"/>
        <v>1598.37</v>
      </c>
      <c r="AF443" s="62">
        <f t="shared" si="161"/>
        <v>63934.8</v>
      </c>
      <c r="AG443" s="62">
        <f t="shared" si="162"/>
        <v>6393.4800000000032</v>
      </c>
      <c r="AH443" s="62">
        <f t="shared" si="159"/>
        <v>57541.32</v>
      </c>
      <c r="AI443" s="63"/>
      <c r="AJ443" s="63"/>
      <c r="AK443" s="62"/>
      <c r="AL443" s="60">
        <v>266.39499999999998</v>
      </c>
      <c r="AM443" s="60">
        <v>266.39499999999998</v>
      </c>
      <c r="AN443" s="60">
        <v>266.39499999999998</v>
      </c>
      <c r="AO443" s="60">
        <v>266.39499999999998</v>
      </c>
      <c r="AP443" s="60">
        <v>266.39499999999998</v>
      </c>
      <c r="AQ443" s="60">
        <v>266.39499999999998</v>
      </c>
      <c r="AR443" s="61">
        <f t="shared" si="156"/>
        <v>1598.37</v>
      </c>
      <c r="AS443" s="60">
        <v>266.39499999999998</v>
      </c>
      <c r="AT443" s="60">
        <v>266.39499999999998</v>
      </c>
      <c r="AU443" s="60">
        <v>266.39499999999998</v>
      </c>
      <c r="AV443" s="60">
        <v>266.39499999999998</v>
      </c>
      <c r="AW443" s="60">
        <v>266.39499999999998</v>
      </c>
      <c r="AX443" s="60">
        <v>266.39499999999998</v>
      </c>
      <c r="AY443" s="61">
        <f t="shared" si="157"/>
        <v>1598.37</v>
      </c>
      <c r="AZ443" s="56">
        <f t="shared" si="152"/>
        <v>3196.74</v>
      </c>
      <c r="BA443" s="62">
        <f t="shared" si="163"/>
        <v>63934.8</v>
      </c>
      <c r="BB443" s="62">
        <f t="shared" si="158"/>
        <v>9590.2200000000084</v>
      </c>
      <c r="BC443" s="62">
        <f t="shared" si="151"/>
        <v>54344.579999999994</v>
      </c>
      <c r="BD443" s="63"/>
      <c r="BE443" s="57"/>
      <c r="BF443" s="35" t="str">
        <f>VLOOKUP(A:A,'2023-2027'!A:G,1,+FALSE)</f>
        <v>Узел учета ТУ № 643 от 05.10.2021 г.: МЖД г.Нарьян-Мар, ул.Авиаторов</v>
      </c>
      <c r="BG443" s="7" t="b">
        <f t="shared" si="160"/>
        <v>1</v>
      </c>
      <c r="BH443" s="35">
        <f>VLOOKUP(A:A,'2023-2027'!A:AT,43,+FALSE)</f>
        <v>761.13</v>
      </c>
    </row>
    <row r="444" spans="1:60" ht="12" hidden="1" customHeight="1" outlineLevel="1" x14ac:dyDescent="0.2">
      <c r="A444" s="59" t="s">
        <v>1086</v>
      </c>
      <c r="B444" s="59" t="s">
        <v>31</v>
      </c>
      <c r="C444" s="59" t="s">
        <v>83</v>
      </c>
      <c r="D444" s="66" t="s">
        <v>1087</v>
      </c>
      <c r="E444" s="59" t="s">
        <v>1088</v>
      </c>
      <c r="F444" s="60">
        <v>325000</v>
      </c>
      <c r="G444" s="60">
        <v>21666.639999999999</v>
      </c>
      <c r="H444" s="60">
        <v>303333.36</v>
      </c>
      <c r="I444" s="59"/>
      <c r="J444" s="60">
        <v>32499.96</v>
      </c>
      <c r="K444" s="59"/>
      <c r="L444" s="59"/>
      <c r="M444" s="60">
        <v>325000</v>
      </c>
      <c r="N444" s="60">
        <v>54166.6</v>
      </c>
      <c r="O444" s="60">
        <v>270833.40000000002</v>
      </c>
      <c r="P444" s="55"/>
      <c r="Q444" s="55"/>
      <c r="R444" s="61">
        <f t="shared" si="153"/>
        <v>2708.33</v>
      </c>
      <c r="S444" s="60">
        <v>2708.33</v>
      </c>
      <c r="T444" s="60">
        <v>2708.33</v>
      </c>
      <c r="U444" s="60">
        <v>2708.33</v>
      </c>
      <c r="V444" s="60">
        <v>2708.33</v>
      </c>
      <c r="W444" s="60">
        <v>2708.33</v>
      </c>
      <c r="X444" s="61">
        <f t="shared" si="154"/>
        <v>16249.98</v>
      </c>
      <c r="Y444" s="60">
        <v>2708.33</v>
      </c>
      <c r="Z444" s="60">
        <v>2708.33</v>
      </c>
      <c r="AA444" s="60">
        <v>2708.33</v>
      </c>
      <c r="AB444" s="60">
        <v>2708.33</v>
      </c>
      <c r="AC444" s="60">
        <v>2708.33</v>
      </c>
      <c r="AD444" s="60">
        <v>2708.33</v>
      </c>
      <c r="AE444" s="61">
        <f t="shared" si="155"/>
        <v>16249.98</v>
      </c>
      <c r="AF444" s="62">
        <f t="shared" si="161"/>
        <v>325000</v>
      </c>
      <c r="AG444" s="62">
        <f t="shared" si="162"/>
        <v>86666.560000000012</v>
      </c>
      <c r="AH444" s="62">
        <f t="shared" si="159"/>
        <v>238333.44</v>
      </c>
      <c r="AI444" s="63"/>
      <c r="AJ444" s="63"/>
      <c r="AK444" s="62"/>
      <c r="AL444" s="60">
        <v>2708.33</v>
      </c>
      <c r="AM444" s="60">
        <v>2708.33</v>
      </c>
      <c r="AN444" s="60">
        <v>2708.33</v>
      </c>
      <c r="AO444" s="60">
        <v>2708.33</v>
      </c>
      <c r="AP444" s="60">
        <v>2708.33</v>
      </c>
      <c r="AQ444" s="60">
        <v>2708.33</v>
      </c>
      <c r="AR444" s="61">
        <f t="shared" si="156"/>
        <v>16249.98</v>
      </c>
      <c r="AS444" s="60">
        <v>2708.33</v>
      </c>
      <c r="AT444" s="60">
        <v>2708.33</v>
      </c>
      <c r="AU444" s="60">
        <v>2708.33</v>
      </c>
      <c r="AV444" s="60">
        <v>2708.33</v>
      </c>
      <c r="AW444" s="60">
        <v>2708.33</v>
      </c>
      <c r="AX444" s="60">
        <v>2708.33</v>
      </c>
      <c r="AY444" s="61">
        <f t="shared" si="157"/>
        <v>16249.98</v>
      </c>
      <c r="AZ444" s="56">
        <f t="shared" si="152"/>
        <v>32499.96</v>
      </c>
      <c r="BA444" s="62">
        <f t="shared" si="163"/>
        <v>325000</v>
      </c>
      <c r="BB444" s="62">
        <f t="shared" si="158"/>
        <v>119166.52000000003</v>
      </c>
      <c r="BC444" s="62">
        <f t="shared" si="151"/>
        <v>205833.47999999998</v>
      </c>
      <c r="BD444" s="63"/>
      <c r="BE444" s="57"/>
      <c r="BF444" s="35" t="str">
        <f>VLOOKUP(A:A,'2023-2027'!A:G,1,+FALSE)</f>
        <v>Энерготестер ПКЭ-А-А 1 К05</v>
      </c>
      <c r="BG444" s="7" t="b">
        <f t="shared" si="160"/>
        <v>1</v>
      </c>
      <c r="BH444" s="35">
        <f>VLOOKUP(A:A,'2023-2027'!A:AT,43,+FALSE)</f>
        <v>2180.3800000000006</v>
      </c>
    </row>
    <row r="445" spans="1:60" s="58" customFormat="1" ht="13.15" hidden="1" customHeight="1" x14ac:dyDescent="0.2">
      <c r="A445" s="323" t="s">
        <v>1089</v>
      </c>
      <c r="B445" s="323"/>
      <c r="C445" s="323"/>
      <c r="D445" s="323"/>
      <c r="E445" s="323"/>
      <c r="F445" s="53">
        <v>1028511.98</v>
      </c>
      <c r="G445" s="53">
        <v>614047.04</v>
      </c>
      <c r="H445" s="53">
        <v>414464.94</v>
      </c>
      <c r="I445" s="54"/>
      <c r="J445" s="53">
        <v>60331.040000000001</v>
      </c>
      <c r="K445" s="53">
        <v>36542.22</v>
      </c>
      <c r="L445" s="53">
        <v>36542.22</v>
      </c>
      <c r="M445" s="53">
        <v>991969.76</v>
      </c>
      <c r="N445" s="53">
        <v>637835.86</v>
      </c>
      <c r="O445" s="53">
        <v>354133.9</v>
      </c>
      <c r="P445" s="55"/>
      <c r="Q445" s="55"/>
      <c r="R445" s="56">
        <f t="shared" ref="R445:BE445" si="164">R446+R447+R448+R449+R450+R451+R452+R453+R454+R455+R456+R457</f>
        <v>5027.586666666667</v>
      </c>
      <c r="S445" s="56">
        <f t="shared" si="164"/>
        <v>5027.5866666000011</v>
      </c>
      <c r="T445" s="56">
        <f t="shared" si="164"/>
        <v>5027.5866666000011</v>
      </c>
      <c r="U445" s="56">
        <f t="shared" si="164"/>
        <v>5027.5866666000011</v>
      </c>
      <c r="V445" s="56">
        <f t="shared" si="164"/>
        <v>5027.5866666000011</v>
      </c>
      <c r="W445" s="56">
        <f t="shared" si="164"/>
        <v>5027.5866666000011</v>
      </c>
      <c r="X445" s="56">
        <f t="shared" si="164"/>
        <v>30165.519999666663</v>
      </c>
      <c r="Y445" s="56">
        <f t="shared" si="164"/>
        <v>5027.5866666000011</v>
      </c>
      <c r="Z445" s="56">
        <f t="shared" si="164"/>
        <v>5027.5866666000011</v>
      </c>
      <c r="AA445" s="56">
        <f t="shared" si="164"/>
        <v>5027.5866666000011</v>
      </c>
      <c r="AB445" s="56">
        <f t="shared" si="164"/>
        <v>5027.5866666000011</v>
      </c>
      <c r="AC445" s="56">
        <f t="shared" si="164"/>
        <v>5027.5866666000011</v>
      </c>
      <c r="AD445" s="56">
        <f t="shared" si="164"/>
        <v>5027.5000000000009</v>
      </c>
      <c r="AE445" s="56">
        <f t="shared" si="164"/>
        <v>30165.433332999997</v>
      </c>
      <c r="AF445" s="56">
        <f t="shared" si="164"/>
        <v>991969.76</v>
      </c>
      <c r="AG445" s="56">
        <f t="shared" si="164"/>
        <v>698166.81333266664</v>
      </c>
      <c r="AH445" s="56">
        <f t="shared" si="164"/>
        <v>293802.94666733337</v>
      </c>
      <c r="AI445" s="57">
        <v>0</v>
      </c>
      <c r="AJ445" s="57">
        <f t="shared" si="164"/>
        <v>0</v>
      </c>
      <c r="AK445" s="56"/>
      <c r="AL445" s="56">
        <f t="shared" si="164"/>
        <v>4743.5300000000007</v>
      </c>
      <c r="AM445" s="56">
        <f t="shared" si="164"/>
        <v>4743.5300000000007</v>
      </c>
      <c r="AN445" s="56">
        <f t="shared" si="164"/>
        <v>4743.5300000000007</v>
      </c>
      <c r="AO445" s="56">
        <f t="shared" si="164"/>
        <v>4743.4000000000005</v>
      </c>
      <c r="AP445" s="56">
        <f t="shared" si="164"/>
        <v>3931.52</v>
      </c>
      <c r="AQ445" s="56">
        <f t="shared" si="164"/>
        <v>3931.52</v>
      </c>
      <c r="AR445" s="56">
        <f t="shared" si="164"/>
        <v>26837.03</v>
      </c>
      <c r="AS445" s="56">
        <f t="shared" si="164"/>
        <v>3931.52</v>
      </c>
      <c r="AT445" s="56">
        <f t="shared" si="164"/>
        <v>3931.52</v>
      </c>
      <c r="AU445" s="56">
        <f t="shared" si="164"/>
        <v>3931.52</v>
      </c>
      <c r="AV445" s="56">
        <f t="shared" si="164"/>
        <v>3931.52</v>
      </c>
      <c r="AW445" s="56">
        <f t="shared" si="164"/>
        <v>3931.52</v>
      </c>
      <c r="AX445" s="56">
        <f t="shared" si="164"/>
        <v>3931.52</v>
      </c>
      <c r="AY445" s="56">
        <f t="shared" si="164"/>
        <v>23589.119999999999</v>
      </c>
      <c r="AZ445" s="56">
        <f t="shared" si="152"/>
        <v>50426.149999999994</v>
      </c>
      <c r="BA445" s="56">
        <f t="shared" si="164"/>
        <v>991969.76</v>
      </c>
      <c r="BB445" s="56">
        <f t="shared" si="164"/>
        <v>748592.96333266655</v>
      </c>
      <c r="BC445" s="56">
        <f t="shared" si="164"/>
        <v>243376.79666733328</v>
      </c>
      <c r="BD445" s="57">
        <v>0</v>
      </c>
      <c r="BE445" s="57">
        <f t="shared" si="164"/>
        <v>0</v>
      </c>
      <c r="BF445" s="35" t="e">
        <f>VLOOKUP(A:A,'2023-2027'!A:G,1,+FALSE)</f>
        <v>#N/A</v>
      </c>
      <c r="BG445" s="7" t="e">
        <f t="shared" si="160"/>
        <v>#N/A</v>
      </c>
      <c r="BH445" s="35"/>
    </row>
    <row r="446" spans="1:60" ht="12" hidden="1" customHeight="1" outlineLevel="1" x14ac:dyDescent="0.2">
      <c r="A446" s="59" t="s">
        <v>1090</v>
      </c>
      <c r="B446" s="61" t="s">
        <v>38</v>
      </c>
      <c r="C446" s="61" t="s">
        <v>1091</v>
      </c>
      <c r="D446" s="65" t="s">
        <v>1092</v>
      </c>
      <c r="E446" s="59" t="s">
        <v>1093</v>
      </c>
      <c r="F446" s="60">
        <v>63102.71</v>
      </c>
      <c r="G446" s="60">
        <v>41217.879999999997</v>
      </c>
      <c r="H446" s="60">
        <v>21884.83</v>
      </c>
      <c r="I446" s="59"/>
      <c r="J446" s="60">
        <v>4377</v>
      </c>
      <c r="K446" s="59"/>
      <c r="L446" s="59"/>
      <c r="M446" s="60">
        <v>63102.71</v>
      </c>
      <c r="N446" s="60">
        <v>45594.879999999997</v>
      </c>
      <c r="O446" s="60">
        <v>17507.830000000002</v>
      </c>
      <c r="P446" s="55"/>
      <c r="Q446" s="55"/>
      <c r="R446" s="61">
        <f t="shared" si="153"/>
        <v>364.75</v>
      </c>
      <c r="S446" s="60">
        <v>364.75</v>
      </c>
      <c r="T446" s="60">
        <v>364.75</v>
      </c>
      <c r="U446" s="60">
        <v>364.75</v>
      </c>
      <c r="V446" s="60">
        <v>364.75</v>
      </c>
      <c r="W446" s="60">
        <v>364.75</v>
      </c>
      <c r="X446" s="61">
        <f t="shared" si="154"/>
        <v>2188.5</v>
      </c>
      <c r="Y446" s="60">
        <v>364.75</v>
      </c>
      <c r="Z446" s="60">
        <v>364.75</v>
      </c>
      <c r="AA446" s="60">
        <v>364.75</v>
      </c>
      <c r="AB446" s="60">
        <v>364.75</v>
      </c>
      <c r="AC446" s="60">
        <v>364.75</v>
      </c>
      <c r="AD446" s="60">
        <v>364.75</v>
      </c>
      <c r="AE446" s="61">
        <f t="shared" si="155"/>
        <v>2188.5</v>
      </c>
      <c r="AF446" s="62">
        <f t="shared" ref="AF446:AF457" si="165">M446</f>
        <v>63102.71</v>
      </c>
      <c r="AG446" s="62">
        <f t="shared" ref="AG446:AG457" si="166">N446+R446+S446+T446+U446+V446+W446+Y446+Z446+AA446+AB446+AC446+AD446</f>
        <v>49971.88</v>
      </c>
      <c r="AH446" s="62">
        <f t="shared" si="159"/>
        <v>13130.830000000002</v>
      </c>
      <c r="AI446" s="63"/>
      <c r="AJ446" s="63"/>
      <c r="AK446" s="62"/>
      <c r="AL446" s="60">
        <v>364.75</v>
      </c>
      <c r="AM446" s="60">
        <v>364.75</v>
      </c>
      <c r="AN446" s="60">
        <v>364.75</v>
      </c>
      <c r="AO446" s="60">
        <v>364.75</v>
      </c>
      <c r="AP446" s="60">
        <v>364.75</v>
      </c>
      <c r="AQ446" s="60">
        <v>364.75</v>
      </c>
      <c r="AR446" s="61">
        <f t="shared" si="156"/>
        <v>2188.5</v>
      </c>
      <c r="AS446" s="60">
        <v>364.75</v>
      </c>
      <c r="AT446" s="60">
        <v>364.75</v>
      </c>
      <c r="AU446" s="60">
        <v>364.75</v>
      </c>
      <c r="AV446" s="60">
        <v>364.75</v>
      </c>
      <c r="AW446" s="60">
        <v>364.75</v>
      </c>
      <c r="AX446" s="60">
        <v>364.75</v>
      </c>
      <c r="AY446" s="61">
        <f t="shared" si="157"/>
        <v>2188.5</v>
      </c>
      <c r="AZ446" s="56">
        <f t="shared" si="152"/>
        <v>4377</v>
      </c>
      <c r="BA446" s="62">
        <f t="shared" si="163"/>
        <v>63102.71</v>
      </c>
      <c r="BB446" s="62">
        <f t="shared" si="158"/>
        <v>54348.88</v>
      </c>
      <c r="BC446" s="62">
        <f t="shared" si="151"/>
        <v>8753.8300000000017</v>
      </c>
      <c r="BD446" s="63"/>
      <c r="BE446" s="57"/>
      <c r="BF446" s="35" t="e">
        <f>VLOOKUP(A:A,'2023-2027'!A:G,1,+FALSE)</f>
        <v>#N/A</v>
      </c>
      <c r="BG446" s="7" t="e">
        <f t="shared" si="160"/>
        <v>#N/A</v>
      </c>
      <c r="BH446" s="35"/>
    </row>
    <row r="447" spans="1:60" ht="24" hidden="1" customHeight="1" outlineLevel="1" x14ac:dyDescent="0.2">
      <c r="A447" s="59" t="s">
        <v>1094</v>
      </c>
      <c r="B447" s="59" t="s">
        <v>77</v>
      </c>
      <c r="C447" s="59" t="s">
        <v>81</v>
      </c>
      <c r="D447" s="65" t="s">
        <v>1095</v>
      </c>
      <c r="E447" s="59" t="s">
        <v>1096</v>
      </c>
      <c r="F447" s="60">
        <v>46610.17</v>
      </c>
      <c r="G447" s="60">
        <v>30537.18</v>
      </c>
      <c r="H447" s="60">
        <v>16072.99</v>
      </c>
      <c r="I447" s="59"/>
      <c r="J447" s="60">
        <v>3214.56</v>
      </c>
      <c r="K447" s="59"/>
      <c r="L447" s="59"/>
      <c r="M447" s="60">
        <v>46610.17</v>
      </c>
      <c r="N447" s="60">
        <v>33751.74</v>
      </c>
      <c r="O447" s="60">
        <v>12858.43</v>
      </c>
      <c r="P447" s="55"/>
      <c r="Q447" s="55"/>
      <c r="R447" s="61">
        <f t="shared" si="153"/>
        <v>267.88</v>
      </c>
      <c r="S447" s="60">
        <v>267.88</v>
      </c>
      <c r="T447" s="60">
        <v>267.88</v>
      </c>
      <c r="U447" s="60">
        <v>267.88</v>
      </c>
      <c r="V447" s="60">
        <v>267.88</v>
      </c>
      <c r="W447" s="60">
        <v>267.88</v>
      </c>
      <c r="X447" s="61">
        <f t="shared" si="154"/>
        <v>1607.2800000000002</v>
      </c>
      <c r="Y447" s="60">
        <v>267.88</v>
      </c>
      <c r="Z447" s="60">
        <v>267.88</v>
      </c>
      <c r="AA447" s="60">
        <v>267.88</v>
      </c>
      <c r="AB447" s="60">
        <v>267.88</v>
      </c>
      <c r="AC447" s="60">
        <v>267.88</v>
      </c>
      <c r="AD447" s="60">
        <v>267.88</v>
      </c>
      <c r="AE447" s="61">
        <f t="shared" si="155"/>
        <v>1607.2800000000002</v>
      </c>
      <c r="AF447" s="62">
        <f t="shared" si="165"/>
        <v>46610.17</v>
      </c>
      <c r="AG447" s="62">
        <f t="shared" si="166"/>
        <v>36966.299999999967</v>
      </c>
      <c r="AH447" s="62">
        <f t="shared" si="159"/>
        <v>9643.8700000000317</v>
      </c>
      <c r="AI447" s="63"/>
      <c r="AJ447" s="63"/>
      <c r="AK447" s="62"/>
      <c r="AL447" s="60">
        <v>267.88</v>
      </c>
      <c r="AM447" s="60">
        <v>267.88</v>
      </c>
      <c r="AN447" s="60">
        <v>267.88</v>
      </c>
      <c r="AO447" s="60">
        <v>267.88</v>
      </c>
      <c r="AP447" s="60">
        <v>267.88</v>
      </c>
      <c r="AQ447" s="60">
        <v>267.88</v>
      </c>
      <c r="AR447" s="61">
        <f t="shared" si="156"/>
        <v>1607.2800000000002</v>
      </c>
      <c r="AS447" s="60">
        <v>267.88</v>
      </c>
      <c r="AT447" s="60">
        <v>267.88</v>
      </c>
      <c r="AU447" s="60">
        <v>267.88</v>
      </c>
      <c r="AV447" s="60">
        <v>267.88</v>
      </c>
      <c r="AW447" s="60">
        <v>267.88</v>
      </c>
      <c r="AX447" s="60">
        <v>267.88</v>
      </c>
      <c r="AY447" s="61">
        <f t="shared" si="157"/>
        <v>1607.2800000000002</v>
      </c>
      <c r="AZ447" s="56">
        <f t="shared" si="152"/>
        <v>3214.5600000000004</v>
      </c>
      <c r="BA447" s="62">
        <f t="shared" si="163"/>
        <v>46610.17</v>
      </c>
      <c r="BB447" s="62">
        <f t="shared" si="158"/>
        <v>40180.859999999935</v>
      </c>
      <c r="BC447" s="62">
        <f t="shared" si="151"/>
        <v>6429.3100000000632</v>
      </c>
      <c r="BD447" s="63"/>
      <c r="BE447" s="57"/>
      <c r="BF447" s="35" t="e">
        <f>VLOOKUP(A:A,'2023-2027'!A:G,1,+FALSE)</f>
        <v>#N/A</v>
      </c>
      <c r="BG447" s="7" t="e">
        <f t="shared" si="160"/>
        <v>#N/A</v>
      </c>
      <c r="BH447" s="35"/>
    </row>
    <row r="448" spans="1:60" ht="12" hidden="1" customHeight="1" outlineLevel="1" x14ac:dyDescent="0.2">
      <c r="A448" s="59" t="s">
        <v>1097</v>
      </c>
      <c r="B448" s="61" t="s">
        <v>44</v>
      </c>
      <c r="C448" s="61" t="s">
        <v>1098</v>
      </c>
      <c r="D448" s="65" t="s">
        <v>1099</v>
      </c>
      <c r="E448" s="59" t="s">
        <v>1100</v>
      </c>
      <c r="F448" s="60">
        <v>36542.22</v>
      </c>
      <c r="G448" s="60">
        <v>36542.22</v>
      </c>
      <c r="H448" s="59"/>
      <c r="I448" s="59"/>
      <c r="J448" s="59"/>
      <c r="K448" s="60">
        <v>36542.22</v>
      </c>
      <c r="L448" s="60">
        <v>36542.22</v>
      </c>
      <c r="M448" s="59"/>
      <c r="N448" s="59"/>
      <c r="O448" s="59"/>
      <c r="P448" s="67"/>
      <c r="Q448" s="67"/>
      <c r="R448" s="61">
        <f t="shared" si="153"/>
        <v>0</v>
      </c>
      <c r="S448" s="60">
        <v>0</v>
      </c>
      <c r="T448" s="60">
        <v>0</v>
      </c>
      <c r="U448" s="60">
        <v>0</v>
      </c>
      <c r="V448" s="60">
        <v>0</v>
      </c>
      <c r="W448" s="60">
        <v>0</v>
      </c>
      <c r="X448" s="61">
        <f t="shared" si="154"/>
        <v>0</v>
      </c>
      <c r="Y448" s="60">
        <v>0</v>
      </c>
      <c r="Z448" s="60">
        <v>0</v>
      </c>
      <c r="AA448" s="60">
        <v>0</v>
      </c>
      <c r="AB448" s="60">
        <v>0</v>
      </c>
      <c r="AC448" s="60">
        <v>0</v>
      </c>
      <c r="AD448" s="60">
        <v>0</v>
      </c>
      <c r="AE448" s="61">
        <f t="shared" si="155"/>
        <v>0</v>
      </c>
      <c r="AF448" s="62">
        <f t="shared" si="165"/>
        <v>0</v>
      </c>
      <c r="AG448" s="62">
        <f t="shared" si="166"/>
        <v>0</v>
      </c>
      <c r="AH448" s="62">
        <f t="shared" si="159"/>
        <v>0</v>
      </c>
      <c r="AI448" s="63"/>
      <c r="AJ448" s="63"/>
      <c r="AK448" s="62"/>
      <c r="AL448" s="60">
        <v>0</v>
      </c>
      <c r="AM448" s="60">
        <v>0</v>
      </c>
      <c r="AN448" s="60">
        <v>0</v>
      </c>
      <c r="AO448" s="60">
        <v>0</v>
      </c>
      <c r="AP448" s="60">
        <v>0</v>
      </c>
      <c r="AQ448" s="60">
        <v>0</v>
      </c>
      <c r="AR448" s="61">
        <f t="shared" si="156"/>
        <v>0</v>
      </c>
      <c r="AS448" s="60">
        <v>0</v>
      </c>
      <c r="AT448" s="60">
        <v>0</v>
      </c>
      <c r="AU448" s="60">
        <v>0</v>
      </c>
      <c r="AV448" s="60">
        <v>0</v>
      </c>
      <c r="AW448" s="60">
        <v>0</v>
      </c>
      <c r="AX448" s="60">
        <v>0</v>
      </c>
      <c r="AY448" s="61">
        <f t="shared" si="157"/>
        <v>0</v>
      </c>
      <c r="AZ448" s="56">
        <f t="shared" si="152"/>
        <v>0</v>
      </c>
      <c r="BA448" s="62">
        <f t="shared" si="163"/>
        <v>0</v>
      </c>
      <c r="BB448" s="62">
        <f t="shared" si="158"/>
        <v>0</v>
      </c>
      <c r="BC448" s="62">
        <f t="shared" si="151"/>
        <v>0</v>
      </c>
      <c r="BD448" s="63"/>
      <c r="BE448" s="57"/>
      <c r="BF448" s="35" t="e">
        <f>VLOOKUP(A:A,'2023-2027'!A:G,1,+FALSE)</f>
        <v>#N/A</v>
      </c>
      <c r="BG448" s="7" t="e">
        <f t="shared" si="160"/>
        <v>#N/A</v>
      </c>
      <c r="BH448" s="35"/>
    </row>
    <row r="449" spans="1:60" ht="12" hidden="1" customHeight="1" outlineLevel="1" x14ac:dyDescent="0.2">
      <c r="A449" s="59" t="s">
        <v>1101</v>
      </c>
      <c r="B449" s="61" t="s">
        <v>44</v>
      </c>
      <c r="C449" s="61" t="s">
        <v>1098</v>
      </c>
      <c r="D449" s="66" t="s">
        <v>1102</v>
      </c>
      <c r="E449" s="59" t="s">
        <v>540</v>
      </c>
      <c r="F449" s="60">
        <v>42304.11</v>
      </c>
      <c r="G449" s="60">
        <v>32432.76</v>
      </c>
      <c r="H449" s="60">
        <v>9871.35</v>
      </c>
      <c r="I449" s="59"/>
      <c r="J449" s="60">
        <v>4230.6000000000004</v>
      </c>
      <c r="K449" s="59"/>
      <c r="L449" s="59"/>
      <c r="M449" s="60">
        <v>42304.11</v>
      </c>
      <c r="N449" s="60">
        <v>36663.360000000001</v>
      </c>
      <c r="O449" s="60">
        <v>5640.75</v>
      </c>
      <c r="P449" s="55"/>
      <c r="Q449" s="55"/>
      <c r="R449" s="61">
        <f t="shared" si="153"/>
        <v>352.55</v>
      </c>
      <c r="S449" s="60">
        <v>352.55</v>
      </c>
      <c r="T449" s="60">
        <v>352.55</v>
      </c>
      <c r="U449" s="60">
        <v>352.55</v>
      </c>
      <c r="V449" s="60">
        <v>352.55</v>
      </c>
      <c r="W449" s="60">
        <v>352.55</v>
      </c>
      <c r="X449" s="61">
        <f t="shared" si="154"/>
        <v>2115.3000000000002</v>
      </c>
      <c r="Y449" s="60">
        <v>352.55</v>
      </c>
      <c r="Z449" s="60">
        <v>352.55</v>
      </c>
      <c r="AA449" s="60">
        <v>352.55</v>
      </c>
      <c r="AB449" s="60">
        <v>352.55</v>
      </c>
      <c r="AC449" s="60">
        <v>352.55</v>
      </c>
      <c r="AD449" s="60">
        <v>352.55</v>
      </c>
      <c r="AE449" s="61">
        <f t="shared" si="155"/>
        <v>2115.3000000000002</v>
      </c>
      <c r="AF449" s="62">
        <f t="shared" si="165"/>
        <v>42304.11</v>
      </c>
      <c r="AG449" s="62">
        <f t="shared" si="166"/>
        <v>40893.960000000036</v>
      </c>
      <c r="AH449" s="62">
        <f t="shared" si="159"/>
        <v>1410.1499999999651</v>
      </c>
      <c r="AI449" s="63"/>
      <c r="AJ449" s="63"/>
      <c r="AK449" s="62"/>
      <c r="AL449" s="60">
        <v>352.55</v>
      </c>
      <c r="AM449" s="60">
        <v>352.55</v>
      </c>
      <c r="AN449" s="60">
        <v>352.55</v>
      </c>
      <c r="AO449" s="60">
        <v>352.5</v>
      </c>
      <c r="AP449" s="60"/>
      <c r="AQ449" s="60"/>
      <c r="AR449" s="61">
        <f t="shared" si="156"/>
        <v>1410.15</v>
      </c>
      <c r="AS449" s="60"/>
      <c r="AT449" s="60"/>
      <c r="AU449" s="60"/>
      <c r="AV449" s="60"/>
      <c r="AW449" s="60"/>
      <c r="AX449" s="60"/>
      <c r="AY449" s="61">
        <f t="shared" si="157"/>
        <v>0</v>
      </c>
      <c r="AZ449" s="56">
        <f t="shared" si="152"/>
        <v>1410.15</v>
      </c>
      <c r="BA449" s="62">
        <f t="shared" si="163"/>
        <v>42304.11</v>
      </c>
      <c r="BB449" s="62">
        <f t="shared" si="158"/>
        <v>42304.110000000044</v>
      </c>
      <c r="BC449" s="62">
        <f t="shared" si="151"/>
        <v>0</v>
      </c>
      <c r="BD449" s="63"/>
      <c r="BE449" s="57"/>
      <c r="BF449" s="35" t="str">
        <f>VLOOKUP(A:A,'2023-2027'!A:G,1,+FALSE)</f>
        <v>Панель ЩО 91-05</v>
      </c>
      <c r="BG449" s="7" t="b">
        <f t="shared" si="160"/>
        <v>1</v>
      </c>
      <c r="BH449" s="35">
        <f>VLOOKUP(A:A,'2023-2027'!A:AT,43,+FALSE)</f>
        <v>352.52999999999992</v>
      </c>
    </row>
    <row r="450" spans="1:60" ht="12" hidden="1" customHeight="1" outlineLevel="1" x14ac:dyDescent="0.2">
      <c r="A450" s="59" t="s">
        <v>1103</v>
      </c>
      <c r="B450" s="61" t="s">
        <v>44</v>
      </c>
      <c r="C450" s="61" t="s">
        <v>1098</v>
      </c>
      <c r="D450" s="66" t="s">
        <v>1104</v>
      </c>
      <c r="E450" s="59" t="s">
        <v>540</v>
      </c>
      <c r="F450" s="60">
        <v>55133.279999999999</v>
      </c>
      <c r="G450" s="60">
        <v>42268.480000000003</v>
      </c>
      <c r="H450" s="60">
        <v>12864.8</v>
      </c>
      <c r="I450" s="59"/>
      <c r="J450" s="60">
        <v>5513.52</v>
      </c>
      <c r="K450" s="59"/>
      <c r="L450" s="59"/>
      <c r="M450" s="60">
        <v>55133.279999999999</v>
      </c>
      <c r="N450" s="60">
        <v>47782</v>
      </c>
      <c r="O450" s="60">
        <v>7351.28</v>
      </c>
      <c r="P450" s="55"/>
      <c r="Q450" s="55"/>
      <c r="R450" s="61">
        <f t="shared" si="153"/>
        <v>459.46000000000004</v>
      </c>
      <c r="S450" s="60">
        <v>459.46</v>
      </c>
      <c r="T450" s="60">
        <v>459.46</v>
      </c>
      <c r="U450" s="60">
        <v>459.46</v>
      </c>
      <c r="V450" s="60">
        <v>459.46</v>
      </c>
      <c r="W450" s="60">
        <v>459.46</v>
      </c>
      <c r="X450" s="61">
        <f t="shared" si="154"/>
        <v>2756.76</v>
      </c>
      <c r="Y450" s="60">
        <v>459.46</v>
      </c>
      <c r="Z450" s="60">
        <v>459.46</v>
      </c>
      <c r="AA450" s="60">
        <v>459.46</v>
      </c>
      <c r="AB450" s="60">
        <v>459.46</v>
      </c>
      <c r="AC450" s="60">
        <v>459.46</v>
      </c>
      <c r="AD450" s="60">
        <v>459.46</v>
      </c>
      <c r="AE450" s="61">
        <f t="shared" si="155"/>
        <v>2756.7599999999998</v>
      </c>
      <c r="AF450" s="62">
        <f t="shared" si="165"/>
        <v>55133.279999999999</v>
      </c>
      <c r="AG450" s="62">
        <f t="shared" si="166"/>
        <v>53295.51999999999</v>
      </c>
      <c r="AH450" s="62">
        <f t="shared" si="159"/>
        <v>1837.7600000000093</v>
      </c>
      <c r="AI450" s="63"/>
      <c r="AJ450" s="63"/>
      <c r="AK450" s="62"/>
      <c r="AL450" s="60">
        <v>459.46</v>
      </c>
      <c r="AM450" s="60">
        <v>459.46</v>
      </c>
      <c r="AN450" s="60">
        <v>459.46</v>
      </c>
      <c r="AO450" s="60">
        <v>459.38</v>
      </c>
      <c r="AP450" s="60"/>
      <c r="AQ450" s="60"/>
      <c r="AR450" s="61">
        <f t="shared" si="156"/>
        <v>1837.7599999999998</v>
      </c>
      <c r="AS450" s="60"/>
      <c r="AT450" s="60"/>
      <c r="AU450" s="60"/>
      <c r="AV450" s="60"/>
      <c r="AW450" s="60"/>
      <c r="AX450" s="60"/>
      <c r="AY450" s="61">
        <f t="shared" si="157"/>
        <v>0</v>
      </c>
      <c r="AZ450" s="56">
        <f t="shared" si="152"/>
        <v>1837.7599999999998</v>
      </c>
      <c r="BA450" s="62">
        <f t="shared" si="163"/>
        <v>55133.279999999999</v>
      </c>
      <c r="BB450" s="62">
        <f t="shared" si="158"/>
        <v>55133.279999999984</v>
      </c>
      <c r="BC450" s="62">
        <f t="shared" si="151"/>
        <v>0</v>
      </c>
      <c r="BD450" s="63"/>
      <c r="BE450" s="57"/>
      <c r="BF450" s="35" t="str">
        <f>VLOOKUP(A:A,'2023-2027'!A:G,1,+FALSE)</f>
        <v>Панель ЩО 91-06</v>
      </c>
      <c r="BG450" s="7" t="b">
        <f t="shared" si="160"/>
        <v>1</v>
      </c>
      <c r="BH450" s="35">
        <f>VLOOKUP(A:A,'2023-2027'!A:AT,43,+FALSE)</f>
        <v>459.43999999999988</v>
      </c>
    </row>
    <row r="451" spans="1:60" ht="24" hidden="1" customHeight="1" outlineLevel="1" x14ac:dyDescent="0.2">
      <c r="A451" s="59" t="s">
        <v>1105</v>
      </c>
      <c r="B451" s="61" t="s">
        <v>44</v>
      </c>
      <c r="C451" s="61" t="s">
        <v>1098</v>
      </c>
      <c r="D451" s="66" t="s">
        <v>1106</v>
      </c>
      <c r="E451" s="59" t="s">
        <v>1107</v>
      </c>
      <c r="F451" s="60">
        <v>244269.2</v>
      </c>
      <c r="G451" s="60">
        <v>125188.17</v>
      </c>
      <c r="H451" s="60">
        <v>119081.03</v>
      </c>
      <c r="I451" s="59"/>
      <c r="J451" s="60">
        <v>12213.48</v>
      </c>
      <c r="K451" s="59"/>
      <c r="L451" s="59"/>
      <c r="M451" s="60">
        <v>244269.2</v>
      </c>
      <c r="N451" s="60">
        <v>137401.65</v>
      </c>
      <c r="O451" s="60">
        <v>106867.55</v>
      </c>
      <c r="P451" s="55"/>
      <c r="Q451" s="55"/>
      <c r="R451" s="61">
        <f t="shared" si="153"/>
        <v>1017.79</v>
      </c>
      <c r="S451" s="60">
        <v>1017.79</v>
      </c>
      <c r="T451" s="60">
        <v>1017.79</v>
      </c>
      <c r="U451" s="60">
        <v>1017.79</v>
      </c>
      <c r="V451" s="60">
        <v>1017.79</v>
      </c>
      <c r="W451" s="60">
        <v>1017.79</v>
      </c>
      <c r="X451" s="61">
        <f t="shared" si="154"/>
        <v>6106.74</v>
      </c>
      <c r="Y451" s="60">
        <v>1017.79</v>
      </c>
      <c r="Z451" s="60">
        <v>1017.79</v>
      </c>
      <c r="AA451" s="60">
        <v>1017.79</v>
      </c>
      <c r="AB451" s="60">
        <v>1017.79</v>
      </c>
      <c r="AC451" s="60">
        <v>1017.79</v>
      </c>
      <c r="AD451" s="60">
        <v>1017.79</v>
      </c>
      <c r="AE451" s="61">
        <f t="shared" si="155"/>
        <v>6106.74</v>
      </c>
      <c r="AF451" s="62">
        <f t="shared" si="165"/>
        <v>244269.2</v>
      </c>
      <c r="AG451" s="62">
        <f t="shared" si="166"/>
        <v>149615.13000000009</v>
      </c>
      <c r="AH451" s="62">
        <f t="shared" si="159"/>
        <v>94654.06999999992</v>
      </c>
      <c r="AI451" s="63"/>
      <c r="AJ451" s="63"/>
      <c r="AK451" s="62"/>
      <c r="AL451" s="60">
        <v>1017.79</v>
      </c>
      <c r="AM451" s="60">
        <v>1017.79</v>
      </c>
      <c r="AN451" s="60">
        <v>1017.79</v>
      </c>
      <c r="AO451" s="60">
        <v>1017.79</v>
      </c>
      <c r="AP451" s="60">
        <v>1017.79</v>
      </c>
      <c r="AQ451" s="60">
        <v>1017.79</v>
      </c>
      <c r="AR451" s="61">
        <f t="shared" si="156"/>
        <v>6106.74</v>
      </c>
      <c r="AS451" s="60">
        <v>1017.79</v>
      </c>
      <c r="AT451" s="60">
        <v>1017.79</v>
      </c>
      <c r="AU451" s="60">
        <v>1017.79</v>
      </c>
      <c r="AV451" s="60">
        <v>1017.79</v>
      </c>
      <c r="AW451" s="60">
        <v>1017.79</v>
      </c>
      <c r="AX451" s="60">
        <v>1017.79</v>
      </c>
      <c r="AY451" s="61">
        <f t="shared" si="157"/>
        <v>6106.74</v>
      </c>
      <c r="AZ451" s="56">
        <f t="shared" si="152"/>
        <v>12213.48</v>
      </c>
      <c r="BA451" s="62">
        <f t="shared" si="163"/>
        <v>244269.2</v>
      </c>
      <c r="BB451" s="62">
        <f t="shared" si="158"/>
        <v>161828.61000000019</v>
      </c>
      <c r="BC451" s="62">
        <f t="shared" si="151"/>
        <v>82440.589999999822</v>
      </c>
      <c r="BD451" s="63"/>
      <c r="BE451" s="57"/>
      <c r="BF451" s="35" t="str">
        <f>VLOOKUP(A:A,'2023-2027'!A:G,1,+FALSE)</f>
        <v>Трансф-р масляный ТМГ 630/6/0,4У/Ун-0 зав.№1693879</v>
      </c>
      <c r="BG451" s="7" t="b">
        <f t="shared" si="160"/>
        <v>1</v>
      </c>
      <c r="BH451" s="35">
        <f>VLOOKUP(A:A,'2023-2027'!A:AT,43,+FALSE)</f>
        <v>1017.7900000000003</v>
      </c>
    </row>
    <row r="452" spans="1:60" ht="24" hidden="1" customHeight="1" outlineLevel="1" x14ac:dyDescent="0.2">
      <c r="A452" s="59" t="s">
        <v>1108</v>
      </c>
      <c r="B452" s="61" t="s">
        <v>44</v>
      </c>
      <c r="C452" s="61" t="s">
        <v>1098</v>
      </c>
      <c r="D452" s="66" t="s">
        <v>1109</v>
      </c>
      <c r="E452" s="59" t="s">
        <v>1110</v>
      </c>
      <c r="F452" s="60">
        <v>205002.26</v>
      </c>
      <c r="G452" s="60">
        <v>108576.72</v>
      </c>
      <c r="H452" s="60">
        <v>96425.54</v>
      </c>
      <c r="I452" s="59"/>
      <c r="J452" s="60">
        <v>10100.040000000001</v>
      </c>
      <c r="K452" s="59"/>
      <c r="L452" s="59"/>
      <c r="M452" s="60">
        <v>205002.26</v>
      </c>
      <c r="N452" s="60">
        <v>118676.76</v>
      </c>
      <c r="O452" s="60">
        <v>86325.5</v>
      </c>
      <c r="P452" s="55"/>
      <c r="Q452" s="55"/>
      <c r="R452" s="61">
        <f t="shared" si="153"/>
        <v>841.67000000000007</v>
      </c>
      <c r="S452" s="60">
        <v>841.67</v>
      </c>
      <c r="T452" s="60">
        <v>841.67</v>
      </c>
      <c r="U452" s="60">
        <v>841.67</v>
      </c>
      <c r="V452" s="60">
        <v>841.67</v>
      </c>
      <c r="W452" s="60">
        <v>841.67</v>
      </c>
      <c r="X452" s="61">
        <f t="shared" si="154"/>
        <v>5050.0200000000004</v>
      </c>
      <c r="Y452" s="60">
        <v>841.67</v>
      </c>
      <c r="Z452" s="60">
        <v>841.67</v>
      </c>
      <c r="AA452" s="60">
        <v>841.67</v>
      </c>
      <c r="AB452" s="60">
        <v>841.67</v>
      </c>
      <c r="AC452" s="60">
        <v>841.67</v>
      </c>
      <c r="AD452" s="60">
        <v>841.67</v>
      </c>
      <c r="AE452" s="61">
        <f t="shared" si="155"/>
        <v>5050.0199999999995</v>
      </c>
      <c r="AF452" s="62">
        <f t="shared" si="165"/>
        <v>205002.26</v>
      </c>
      <c r="AG452" s="62">
        <f t="shared" si="166"/>
        <v>128776.79999999997</v>
      </c>
      <c r="AH452" s="62">
        <f t="shared" si="159"/>
        <v>76225.460000000036</v>
      </c>
      <c r="AI452" s="63"/>
      <c r="AJ452" s="63"/>
      <c r="AK452" s="62"/>
      <c r="AL452" s="60">
        <v>841.67</v>
      </c>
      <c r="AM452" s="60">
        <v>841.67</v>
      </c>
      <c r="AN452" s="60">
        <v>841.67</v>
      </c>
      <c r="AO452" s="60">
        <v>841.67</v>
      </c>
      <c r="AP452" s="60">
        <v>841.67</v>
      </c>
      <c r="AQ452" s="60">
        <v>841.67</v>
      </c>
      <c r="AR452" s="61">
        <f t="shared" si="156"/>
        <v>5050.0199999999995</v>
      </c>
      <c r="AS452" s="60">
        <v>841.67</v>
      </c>
      <c r="AT452" s="60">
        <v>841.67</v>
      </c>
      <c r="AU452" s="60">
        <v>841.67</v>
      </c>
      <c r="AV452" s="60">
        <v>841.67</v>
      </c>
      <c r="AW452" s="60">
        <v>841.67</v>
      </c>
      <c r="AX452" s="60">
        <v>841.67</v>
      </c>
      <c r="AY452" s="61">
        <f t="shared" si="157"/>
        <v>5050.0199999999995</v>
      </c>
      <c r="AZ452" s="56">
        <f t="shared" si="152"/>
        <v>10100.039999999999</v>
      </c>
      <c r="BA452" s="62">
        <f t="shared" si="163"/>
        <v>205002.26</v>
      </c>
      <c r="BB452" s="62">
        <f t="shared" si="158"/>
        <v>138876.84000000008</v>
      </c>
      <c r="BC452" s="62">
        <f t="shared" ref="BC452:BC523" si="167">BA452-BB452</f>
        <v>66125.419999999925</v>
      </c>
      <c r="BD452" s="63"/>
      <c r="BE452" s="57"/>
      <c r="BF452" s="35" t="str">
        <f>VLOOKUP(A:A,'2023-2027'!A:G,1,+FALSE)</f>
        <v>Трансформатор масляный ТМГ 400/6/0,4У/Ун-0 зав.№1484</v>
      </c>
      <c r="BG452" s="7" t="b">
        <f t="shared" si="160"/>
        <v>1</v>
      </c>
      <c r="BH452" s="35">
        <f>VLOOKUP(A:A,'2023-2027'!A:AT,43,+FALSE)</f>
        <v>854.18000000000018</v>
      </c>
    </row>
    <row r="453" spans="1:60" ht="12" hidden="1" customHeight="1" outlineLevel="1" x14ac:dyDescent="0.2">
      <c r="A453" s="59" t="s">
        <v>1111</v>
      </c>
      <c r="B453" s="61" t="s">
        <v>38</v>
      </c>
      <c r="C453" s="61" t="s">
        <v>1091</v>
      </c>
      <c r="D453" s="65" t="s">
        <v>1112</v>
      </c>
      <c r="E453" s="59" t="s">
        <v>1113</v>
      </c>
      <c r="F453" s="60">
        <v>49142.71</v>
      </c>
      <c r="G453" s="60">
        <v>30597.93</v>
      </c>
      <c r="H453" s="60">
        <v>18544.78</v>
      </c>
      <c r="I453" s="59"/>
      <c r="J453" s="60">
        <v>3708.96</v>
      </c>
      <c r="K453" s="59"/>
      <c r="L453" s="59"/>
      <c r="M453" s="60">
        <v>49142.71</v>
      </c>
      <c r="N453" s="60">
        <v>34306.89</v>
      </c>
      <c r="O453" s="60">
        <v>14835.82</v>
      </c>
      <c r="P453" s="55"/>
      <c r="Q453" s="55"/>
      <c r="R453" s="61">
        <f t="shared" si="153"/>
        <v>309.08</v>
      </c>
      <c r="S453" s="60">
        <v>309.08</v>
      </c>
      <c r="T453" s="60">
        <v>309.08</v>
      </c>
      <c r="U453" s="60">
        <v>309.08</v>
      </c>
      <c r="V453" s="60">
        <v>309.08</v>
      </c>
      <c r="W453" s="60">
        <v>309.08</v>
      </c>
      <c r="X453" s="61">
        <f t="shared" si="154"/>
        <v>1854.4799999999998</v>
      </c>
      <c r="Y453" s="60">
        <v>309.08</v>
      </c>
      <c r="Z453" s="60">
        <v>309.08</v>
      </c>
      <c r="AA453" s="60">
        <v>309.08</v>
      </c>
      <c r="AB453" s="60">
        <v>309.08</v>
      </c>
      <c r="AC453" s="60">
        <v>309.08</v>
      </c>
      <c r="AD453" s="60">
        <v>309.08</v>
      </c>
      <c r="AE453" s="61">
        <f t="shared" si="155"/>
        <v>1854.4799999999998</v>
      </c>
      <c r="AF453" s="62">
        <f t="shared" si="165"/>
        <v>49142.71</v>
      </c>
      <c r="AG453" s="62">
        <f t="shared" si="166"/>
        <v>38015.85000000002</v>
      </c>
      <c r="AH453" s="62">
        <f t="shared" si="159"/>
        <v>11126.859999999979</v>
      </c>
      <c r="AI453" s="63"/>
      <c r="AJ453" s="63"/>
      <c r="AK453" s="62"/>
      <c r="AL453" s="60">
        <v>309.08</v>
      </c>
      <c r="AM453" s="60">
        <v>309.08</v>
      </c>
      <c r="AN453" s="60">
        <v>309.08</v>
      </c>
      <c r="AO453" s="60">
        <v>309.08</v>
      </c>
      <c r="AP453" s="60">
        <v>309.08</v>
      </c>
      <c r="AQ453" s="60">
        <v>309.08</v>
      </c>
      <c r="AR453" s="61">
        <f t="shared" si="156"/>
        <v>1854.4799999999998</v>
      </c>
      <c r="AS453" s="60">
        <v>309.08</v>
      </c>
      <c r="AT453" s="60">
        <v>309.08</v>
      </c>
      <c r="AU453" s="60">
        <v>309.08</v>
      </c>
      <c r="AV453" s="60">
        <v>309.08</v>
      </c>
      <c r="AW453" s="60">
        <v>309.08</v>
      </c>
      <c r="AX453" s="60">
        <v>309.08</v>
      </c>
      <c r="AY453" s="61">
        <f t="shared" si="157"/>
        <v>1854.4799999999998</v>
      </c>
      <c r="AZ453" s="56">
        <f t="shared" si="152"/>
        <v>3708.9599999999996</v>
      </c>
      <c r="BA453" s="62">
        <f t="shared" si="163"/>
        <v>49142.71</v>
      </c>
      <c r="BB453" s="62">
        <f t="shared" si="158"/>
        <v>41724.810000000041</v>
      </c>
      <c r="BC453" s="62">
        <f t="shared" si="167"/>
        <v>7417.8999999999578</v>
      </c>
      <c r="BD453" s="63"/>
      <c r="BE453" s="57"/>
      <c r="BF453" s="35" t="e">
        <f>VLOOKUP(A:A,'2023-2027'!A:G,1,+FALSE)</f>
        <v>#N/A</v>
      </c>
      <c r="BG453" s="7" t="e">
        <f t="shared" si="160"/>
        <v>#N/A</v>
      </c>
      <c r="BH453" s="35"/>
    </row>
    <row r="454" spans="1:60" ht="12" hidden="1" customHeight="1" outlineLevel="1" x14ac:dyDescent="0.2">
      <c r="A454" s="59" t="s">
        <v>1114</v>
      </c>
      <c r="B454" s="61" t="s">
        <v>44</v>
      </c>
      <c r="C454" s="61" t="s">
        <v>1098</v>
      </c>
      <c r="D454" s="66" t="s">
        <v>1115</v>
      </c>
      <c r="E454" s="59" t="s">
        <v>1116</v>
      </c>
      <c r="F454" s="60">
        <v>25570</v>
      </c>
      <c r="G454" s="60">
        <v>22161.360000000001</v>
      </c>
      <c r="H454" s="60">
        <v>3408.64</v>
      </c>
      <c r="I454" s="59"/>
      <c r="J454" s="60">
        <v>1704.34</v>
      </c>
      <c r="K454" s="59"/>
      <c r="L454" s="59"/>
      <c r="M454" s="60">
        <v>25570</v>
      </c>
      <c r="N454" s="60">
        <v>23865.7</v>
      </c>
      <c r="O454" s="60">
        <v>1704.3</v>
      </c>
      <c r="P454" s="55"/>
      <c r="Q454" s="55"/>
      <c r="R454" s="61">
        <f t="shared" si="153"/>
        <v>142.02833333333334</v>
      </c>
      <c r="S454" s="60">
        <v>142.02833330000001</v>
      </c>
      <c r="T454" s="60">
        <v>142.02833330000001</v>
      </c>
      <c r="U454" s="60">
        <v>142.02833330000001</v>
      </c>
      <c r="V454" s="60">
        <v>142.02833330000001</v>
      </c>
      <c r="W454" s="60">
        <v>142.02833330000001</v>
      </c>
      <c r="X454" s="61">
        <f t="shared" si="154"/>
        <v>852.16999983333335</v>
      </c>
      <c r="Y454" s="60">
        <v>142.02833330000001</v>
      </c>
      <c r="Z454" s="60">
        <v>142.02833330000001</v>
      </c>
      <c r="AA454" s="60">
        <v>142.02833330000001</v>
      </c>
      <c r="AB454" s="60">
        <v>142.02833330000001</v>
      </c>
      <c r="AC454" s="60">
        <v>142.02833330000001</v>
      </c>
      <c r="AD454" s="60">
        <v>141.98500000000001</v>
      </c>
      <c r="AE454" s="61">
        <f t="shared" si="155"/>
        <v>852.12666650000006</v>
      </c>
      <c r="AF454" s="62">
        <f t="shared" si="165"/>
        <v>25570</v>
      </c>
      <c r="AG454" s="62">
        <f t="shared" si="166"/>
        <v>25569.99666633334</v>
      </c>
      <c r="AH454" s="62">
        <f t="shared" si="159"/>
        <v>3.3336666601826437E-3</v>
      </c>
      <c r="AI454" s="63"/>
      <c r="AJ454" s="63"/>
      <c r="AK454" s="62"/>
      <c r="AL454" s="60"/>
      <c r="AM454" s="60"/>
      <c r="AN454" s="60"/>
      <c r="AO454" s="60"/>
      <c r="AP454" s="60"/>
      <c r="AQ454" s="60"/>
      <c r="AR454" s="61">
        <f t="shared" si="156"/>
        <v>0</v>
      </c>
      <c r="AS454" s="60"/>
      <c r="AT454" s="60"/>
      <c r="AU454" s="60"/>
      <c r="AV454" s="60"/>
      <c r="AW454" s="60"/>
      <c r="AX454" s="60"/>
      <c r="AY454" s="61">
        <f t="shared" si="157"/>
        <v>0</v>
      </c>
      <c r="AZ454" s="56">
        <f t="shared" si="152"/>
        <v>0</v>
      </c>
      <c r="BA454" s="62">
        <f t="shared" si="163"/>
        <v>25570</v>
      </c>
      <c r="BB454" s="62">
        <f t="shared" si="158"/>
        <v>25569.99666633334</v>
      </c>
      <c r="BC454" s="62">
        <f t="shared" si="167"/>
        <v>3.3336666601826437E-3</v>
      </c>
      <c r="BD454" s="63"/>
      <c r="BE454" s="57"/>
      <c r="BF454" s="35" t="str">
        <f>VLOOKUP(A:A,'2023-2027'!A:G,1,+FALSE)</f>
        <v>ЩО 70-3-02 УЗ №3</v>
      </c>
      <c r="BG454" s="7" t="b">
        <f t="shared" si="160"/>
        <v>1</v>
      </c>
      <c r="BH454" s="35">
        <f>VLOOKUP(A:A,'2023-2027'!A:AT,43,+FALSE)</f>
        <v>142.05999999999997</v>
      </c>
    </row>
    <row r="455" spans="1:60" ht="12" hidden="1" customHeight="1" outlineLevel="1" x14ac:dyDescent="0.2">
      <c r="A455" s="59" t="s">
        <v>1117</v>
      </c>
      <c r="B455" s="61" t="s">
        <v>44</v>
      </c>
      <c r="C455" s="61" t="s">
        <v>1098</v>
      </c>
      <c r="D455" s="66" t="s">
        <v>1118</v>
      </c>
      <c r="E455" s="59" t="s">
        <v>1116</v>
      </c>
      <c r="F455" s="60">
        <v>25570</v>
      </c>
      <c r="G455" s="60">
        <v>22161.360000000001</v>
      </c>
      <c r="H455" s="60">
        <v>3408.64</v>
      </c>
      <c r="I455" s="59"/>
      <c r="J455" s="60">
        <v>1704.34</v>
      </c>
      <c r="K455" s="59"/>
      <c r="L455" s="59"/>
      <c r="M455" s="60">
        <v>25570</v>
      </c>
      <c r="N455" s="60">
        <v>23865.7</v>
      </c>
      <c r="O455" s="60">
        <v>1704.3</v>
      </c>
      <c r="P455" s="55"/>
      <c r="Q455" s="55"/>
      <c r="R455" s="61">
        <f t="shared" si="153"/>
        <v>142.02833333333334</v>
      </c>
      <c r="S455" s="60">
        <v>142.02833330000001</v>
      </c>
      <c r="T455" s="60">
        <v>142.02833330000001</v>
      </c>
      <c r="U455" s="60">
        <v>142.02833330000001</v>
      </c>
      <c r="V455" s="60">
        <v>142.02833330000001</v>
      </c>
      <c r="W455" s="60">
        <v>142.02833330000001</v>
      </c>
      <c r="X455" s="61">
        <f t="shared" si="154"/>
        <v>852.16999983333335</v>
      </c>
      <c r="Y455" s="60">
        <v>142.02833330000001</v>
      </c>
      <c r="Z455" s="60">
        <v>142.02833330000001</v>
      </c>
      <c r="AA455" s="60">
        <v>142.02833330000001</v>
      </c>
      <c r="AB455" s="60">
        <v>142.02833330000001</v>
      </c>
      <c r="AC455" s="60">
        <v>142.02833330000001</v>
      </c>
      <c r="AD455" s="60">
        <v>141.98500000000001</v>
      </c>
      <c r="AE455" s="61">
        <f t="shared" si="155"/>
        <v>852.12666650000006</v>
      </c>
      <c r="AF455" s="62">
        <f t="shared" si="165"/>
        <v>25570</v>
      </c>
      <c r="AG455" s="62">
        <f t="shared" si="166"/>
        <v>25569.99666633334</v>
      </c>
      <c r="AH455" s="62">
        <f t="shared" si="159"/>
        <v>3.3336666601826437E-3</v>
      </c>
      <c r="AI455" s="63"/>
      <c r="AJ455" s="63"/>
      <c r="AK455" s="62"/>
      <c r="AL455" s="60"/>
      <c r="AM455" s="60"/>
      <c r="AN455" s="60"/>
      <c r="AO455" s="60"/>
      <c r="AP455" s="60"/>
      <c r="AQ455" s="60"/>
      <c r="AR455" s="61">
        <f t="shared" si="156"/>
        <v>0</v>
      </c>
      <c r="AS455" s="60"/>
      <c r="AT455" s="60"/>
      <c r="AU455" s="60"/>
      <c r="AV455" s="60"/>
      <c r="AW455" s="60"/>
      <c r="AX455" s="60"/>
      <c r="AY455" s="61">
        <f t="shared" si="157"/>
        <v>0</v>
      </c>
      <c r="AZ455" s="56">
        <f t="shared" si="152"/>
        <v>0</v>
      </c>
      <c r="BA455" s="62">
        <f t="shared" si="163"/>
        <v>25570</v>
      </c>
      <c r="BB455" s="62">
        <f t="shared" si="158"/>
        <v>25569.99666633334</v>
      </c>
      <c r="BC455" s="62">
        <f t="shared" si="167"/>
        <v>3.3336666601826437E-3</v>
      </c>
      <c r="BD455" s="63"/>
      <c r="BE455" s="57"/>
      <c r="BF455" s="35" t="str">
        <f>VLOOKUP(A:A,'2023-2027'!A:G,1,+FALSE)</f>
        <v>ЩО 70-3-02 УЗ №4</v>
      </c>
      <c r="BG455" s="7" t="b">
        <f t="shared" si="160"/>
        <v>1</v>
      </c>
      <c r="BH455" s="35">
        <f>VLOOKUP(A:A,'2023-2027'!A:AT,43,+FALSE)</f>
        <v>142.05999999999997</v>
      </c>
    </row>
    <row r="456" spans="1:60" ht="12" hidden="1" customHeight="1" outlineLevel="1" x14ac:dyDescent="0.2">
      <c r="A456" s="59" t="s">
        <v>1119</v>
      </c>
      <c r="B456" s="61" t="s">
        <v>44</v>
      </c>
      <c r="C456" s="61" t="s">
        <v>1098</v>
      </c>
      <c r="D456" s="66" t="s">
        <v>1120</v>
      </c>
      <c r="E456" s="59" t="s">
        <v>1121</v>
      </c>
      <c r="F456" s="60">
        <v>97454.31</v>
      </c>
      <c r="G456" s="60">
        <v>55223.82</v>
      </c>
      <c r="H456" s="60">
        <v>42230.49</v>
      </c>
      <c r="I456" s="59"/>
      <c r="J456" s="60">
        <v>6497.04</v>
      </c>
      <c r="K456" s="59"/>
      <c r="L456" s="59"/>
      <c r="M456" s="60">
        <v>97454.31</v>
      </c>
      <c r="N456" s="60">
        <v>61720.86</v>
      </c>
      <c r="O456" s="60">
        <v>35733.449999999997</v>
      </c>
      <c r="P456" s="55"/>
      <c r="Q456" s="55"/>
      <c r="R456" s="61">
        <f t="shared" si="153"/>
        <v>541.41999999999996</v>
      </c>
      <c r="S456" s="60">
        <v>541.41999999999996</v>
      </c>
      <c r="T456" s="60">
        <v>541.41999999999996</v>
      </c>
      <c r="U456" s="60">
        <v>541.41999999999996</v>
      </c>
      <c r="V456" s="60">
        <v>541.41999999999996</v>
      </c>
      <c r="W456" s="60">
        <v>541.41999999999996</v>
      </c>
      <c r="X456" s="61">
        <f t="shared" si="154"/>
        <v>3248.52</v>
      </c>
      <c r="Y456" s="60">
        <v>541.41999999999996</v>
      </c>
      <c r="Z456" s="60">
        <v>541.41999999999996</v>
      </c>
      <c r="AA456" s="60">
        <v>541.41999999999996</v>
      </c>
      <c r="AB456" s="60">
        <v>541.41999999999996</v>
      </c>
      <c r="AC456" s="60">
        <v>541.41999999999996</v>
      </c>
      <c r="AD456" s="60">
        <v>541.41999999999996</v>
      </c>
      <c r="AE456" s="61">
        <f t="shared" si="155"/>
        <v>3248.52</v>
      </c>
      <c r="AF456" s="62">
        <f t="shared" si="165"/>
        <v>97454.31</v>
      </c>
      <c r="AG456" s="62">
        <f t="shared" si="166"/>
        <v>68217.89999999998</v>
      </c>
      <c r="AH456" s="62">
        <f t="shared" si="159"/>
        <v>29236.410000000018</v>
      </c>
      <c r="AI456" s="63"/>
      <c r="AJ456" s="63"/>
      <c r="AK456" s="62"/>
      <c r="AL456" s="60">
        <v>541.41999999999996</v>
      </c>
      <c r="AM456" s="60">
        <v>541.41999999999996</v>
      </c>
      <c r="AN456" s="60">
        <v>541.41999999999996</v>
      </c>
      <c r="AO456" s="60">
        <v>541.41999999999996</v>
      </c>
      <c r="AP456" s="60">
        <v>541.41999999999996</v>
      </c>
      <c r="AQ456" s="60">
        <v>541.41999999999996</v>
      </c>
      <c r="AR456" s="61">
        <f t="shared" si="156"/>
        <v>3248.52</v>
      </c>
      <c r="AS456" s="60">
        <v>541.41999999999996</v>
      </c>
      <c r="AT456" s="60">
        <v>541.41999999999996</v>
      </c>
      <c r="AU456" s="60">
        <v>541.41999999999996</v>
      </c>
      <c r="AV456" s="60">
        <v>541.41999999999996</v>
      </c>
      <c r="AW456" s="60">
        <v>541.41999999999996</v>
      </c>
      <c r="AX456" s="60">
        <v>541.41999999999996</v>
      </c>
      <c r="AY456" s="61">
        <f t="shared" si="157"/>
        <v>3248.52</v>
      </c>
      <c r="AZ456" s="56">
        <f t="shared" si="152"/>
        <v>6497.04</v>
      </c>
      <c r="BA456" s="62">
        <f t="shared" si="163"/>
        <v>97454.31</v>
      </c>
      <c r="BB456" s="62">
        <f t="shared" si="158"/>
        <v>74714.939999999959</v>
      </c>
      <c r="BC456" s="62">
        <f t="shared" si="167"/>
        <v>22739.370000000039</v>
      </c>
      <c r="BD456" s="63"/>
      <c r="BE456" s="57"/>
      <c r="BF456" s="35" t="str">
        <f>VLOOKUP(A:A,'2023-2027'!A:G,1,+FALSE)</f>
        <v>ЩО-70-2-72</v>
      </c>
      <c r="BG456" s="7" t="b">
        <f t="shared" si="160"/>
        <v>1</v>
      </c>
      <c r="BH456" s="35">
        <f>VLOOKUP(A:A,'2023-2027'!A:AT,43,+FALSE)</f>
        <v>541.41999999999996</v>
      </c>
    </row>
    <row r="457" spans="1:60" ht="48" hidden="1" customHeight="1" outlineLevel="1" x14ac:dyDescent="0.2">
      <c r="A457" s="59" t="s">
        <v>1122</v>
      </c>
      <c r="B457" s="61" t="s">
        <v>77</v>
      </c>
      <c r="C457" s="61" t="s">
        <v>1091</v>
      </c>
      <c r="D457" s="66" t="s">
        <v>1123</v>
      </c>
      <c r="E457" s="59" t="s">
        <v>595</v>
      </c>
      <c r="F457" s="60">
        <v>137811.01</v>
      </c>
      <c r="G457" s="60">
        <v>67139.16</v>
      </c>
      <c r="H457" s="60">
        <v>70671.850000000006</v>
      </c>
      <c r="I457" s="59"/>
      <c r="J457" s="60">
        <v>7067.16</v>
      </c>
      <c r="K457" s="59"/>
      <c r="L457" s="59"/>
      <c r="M457" s="60">
        <v>137811.01</v>
      </c>
      <c r="N457" s="60">
        <v>74206.320000000007</v>
      </c>
      <c r="O457" s="60">
        <v>63604.69</v>
      </c>
      <c r="P457" s="55"/>
      <c r="Q457" s="55"/>
      <c r="R457" s="61">
        <f t="shared" si="153"/>
        <v>588.92999999999995</v>
      </c>
      <c r="S457" s="60">
        <v>588.92999999999995</v>
      </c>
      <c r="T457" s="60">
        <v>588.92999999999995</v>
      </c>
      <c r="U457" s="60">
        <v>588.92999999999995</v>
      </c>
      <c r="V457" s="60">
        <v>588.92999999999995</v>
      </c>
      <c r="W457" s="60">
        <v>588.92999999999995</v>
      </c>
      <c r="X457" s="61">
        <f t="shared" si="154"/>
        <v>3533.5799999999995</v>
      </c>
      <c r="Y457" s="60">
        <v>588.92999999999995</v>
      </c>
      <c r="Z457" s="60">
        <v>588.92999999999995</v>
      </c>
      <c r="AA457" s="60">
        <v>588.92999999999995</v>
      </c>
      <c r="AB457" s="60">
        <v>588.92999999999995</v>
      </c>
      <c r="AC457" s="60">
        <v>588.92999999999995</v>
      </c>
      <c r="AD457" s="60">
        <v>588.92999999999995</v>
      </c>
      <c r="AE457" s="61">
        <f t="shared" si="155"/>
        <v>3533.5799999999995</v>
      </c>
      <c r="AF457" s="62">
        <f t="shared" si="165"/>
        <v>137811.01</v>
      </c>
      <c r="AG457" s="62">
        <f t="shared" si="166"/>
        <v>81273.479999999923</v>
      </c>
      <c r="AH457" s="62">
        <f t="shared" si="159"/>
        <v>56537.530000000086</v>
      </c>
      <c r="AI457" s="63"/>
      <c r="AJ457" s="63"/>
      <c r="AK457" s="62"/>
      <c r="AL457" s="60">
        <v>588.92999999999995</v>
      </c>
      <c r="AM457" s="60">
        <v>588.92999999999995</v>
      </c>
      <c r="AN457" s="60">
        <v>588.92999999999995</v>
      </c>
      <c r="AO457" s="60">
        <v>588.92999999999995</v>
      </c>
      <c r="AP457" s="60">
        <v>588.92999999999995</v>
      </c>
      <c r="AQ457" s="60">
        <v>588.92999999999995</v>
      </c>
      <c r="AR457" s="61">
        <f t="shared" si="156"/>
        <v>3533.5799999999995</v>
      </c>
      <c r="AS457" s="60">
        <v>588.92999999999995</v>
      </c>
      <c r="AT457" s="60">
        <v>588.92999999999995</v>
      </c>
      <c r="AU457" s="60">
        <v>588.92999999999995</v>
      </c>
      <c r="AV457" s="60">
        <v>588.92999999999995</v>
      </c>
      <c r="AW457" s="60">
        <v>588.92999999999995</v>
      </c>
      <c r="AX457" s="60">
        <v>588.92999999999995</v>
      </c>
      <c r="AY457" s="61">
        <f t="shared" si="157"/>
        <v>3533.5799999999995</v>
      </c>
      <c r="AZ457" s="56">
        <f t="shared" si="152"/>
        <v>7067.1599999999989</v>
      </c>
      <c r="BA457" s="62">
        <f t="shared" si="163"/>
        <v>137811.01</v>
      </c>
      <c r="BB457" s="62">
        <f t="shared" si="158"/>
        <v>88340.639999999839</v>
      </c>
      <c r="BC457" s="62">
        <f t="shared" si="167"/>
        <v>49470.37000000017</v>
      </c>
      <c r="BD457" s="63"/>
      <c r="BE457" s="57"/>
      <c r="BF457" s="35" t="str">
        <f>VLOOKUP(A:A,'2023-2027'!A:G,1,+FALSE)</f>
        <v>Электродвигатель ВА200LB4FБУ2.5 380 зв.6в IM1001po IP55V Ч КР146-05 К/247сл</v>
      </c>
      <c r="BG457" s="7" t="b">
        <f t="shared" si="160"/>
        <v>1</v>
      </c>
      <c r="BH457" s="35">
        <f>VLOOKUP(A:A,'2023-2027'!A:AT,43,+FALSE)</f>
        <v>0</v>
      </c>
    </row>
    <row r="458" spans="1:60" s="58" customFormat="1" ht="13.15" hidden="1" customHeight="1" x14ac:dyDescent="0.2">
      <c r="A458" s="323" t="s">
        <v>38</v>
      </c>
      <c r="B458" s="323"/>
      <c r="C458" s="323"/>
      <c r="D458" s="323"/>
      <c r="E458" s="323"/>
      <c r="F458" s="53">
        <f>F459+F460+F461+F462+F463+F464+F465+F466+F467+F468+F469+F470+F471+F472+F473+F474+F475+F476+F477+F478+F479+F480+F481+F482+F483+F484+F485+F486+F487+F488+F489+F490+F491+F492+F493+F494+F495+F496+F497+F498+F499+F500+F501+F502+F503+F504+F505+F506+F507+F508+F509+F510+F511+F512+F513+F514+F515+F516+F517+F518+F519+F520+F521+F522+F523+F524</f>
        <v>193617549.67000002</v>
      </c>
      <c r="G458" s="53">
        <f t="shared" ref="G458:BE458" si="168">G459+G460+G461+G462+G463+G464+G465+G466+G467+G468+G469+G470+G471+G472+G473+G474+G475+G476+G477+G478+G479+G480+G481+G482+G483+G484+G485+G486+G487+G488+G489+G490+G491+G492+G493+G494+G495+G496+G497+G498+G499+G500+G501+G502+G503+G504+G505+G506+G507+G508+G509+G510+G511+G512+G513+G514+G515+G516+G517+G518+G519+G520+G521+G522+G523+G524</f>
        <v>51163516.839999996</v>
      </c>
      <c r="H458" s="53">
        <f t="shared" si="168"/>
        <v>142487132.82999998</v>
      </c>
      <c r="I458" s="53">
        <f t="shared" si="168"/>
        <v>184791.67</v>
      </c>
      <c r="J458" s="53">
        <f t="shared" si="168"/>
        <v>5690203</v>
      </c>
      <c r="K458" s="53">
        <f t="shared" si="168"/>
        <v>710348.72999999986</v>
      </c>
      <c r="L458" s="53">
        <f t="shared" si="168"/>
        <v>710348.72999999986</v>
      </c>
      <c r="M458" s="53">
        <f t="shared" si="168"/>
        <v>193091992.61000001</v>
      </c>
      <c r="N458" s="53">
        <f t="shared" si="168"/>
        <v>56143371.109999999</v>
      </c>
      <c r="O458" s="53">
        <f t="shared" si="168"/>
        <v>136981721.5</v>
      </c>
      <c r="P458" s="55">
        <v>20857620.049999997</v>
      </c>
      <c r="Q458" s="55">
        <f>Q460+Q463+Q464+Q465+Q474+Q475+Q477+Q491+Q496+Q498+Q499+Q500+Q501+Q506+Q514+Q516+Q517+Q518+Q522</f>
        <v>458867.64110000001</v>
      </c>
      <c r="R458" s="53">
        <f t="shared" si="168"/>
        <v>473627.39750000002</v>
      </c>
      <c r="S458" s="53">
        <f t="shared" si="168"/>
        <v>473627.39750040002</v>
      </c>
      <c r="T458" s="53">
        <f t="shared" si="168"/>
        <v>473627.39750040002</v>
      </c>
      <c r="U458" s="53">
        <f t="shared" si="168"/>
        <v>472264.7475004</v>
      </c>
      <c r="V458" s="53">
        <f t="shared" si="168"/>
        <v>472264.7475004</v>
      </c>
      <c r="W458" s="53">
        <f t="shared" si="168"/>
        <v>472264.7475004</v>
      </c>
      <c r="X458" s="53">
        <f t="shared" si="168"/>
        <v>2837676.4350020005</v>
      </c>
      <c r="Y458" s="53">
        <f t="shared" si="168"/>
        <v>472264.7475004</v>
      </c>
      <c r="Z458" s="53">
        <f t="shared" si="168"/>
        <v>472264.7475004</v>
      </c>
      <c r="AA458" s="53">
        <f t="shared" si="168"/>
        <v>472264.7475004</v>
      </c>
      <c r="AB458" s="53">
        <f t="shared" si="168"/>
        <v>472264.7475004</v>
      </c>
      <c r="AC458" s="53">
        <f t="shared" si="168"/>
        <v>472264.7475004</v>
      </c>
      <c r="AD458" s="53">
        <f t="shared" si="168"/>
        <v>472264.70750040002</v>
      </c>
      <c r="AE458" s="53">
        <f t="shared" si="168"/>
        <v>2833588.4450024003</v>
      </c>
      <c r="AF458" s="53">
        <f t="shared" si="168"/>
        <v>87578391.540000021</v>
      </c>
      <c r="AG458" s="53">
        <f t="shared" si="168"/>
        <v>61814635.990004405</v>
      </c>
      <c r="AH458" s="53">
        <f t="shared" si="168"/>
        <v>25763755.549995601</v>
      </c>
      <c r="AI458" s="55">
        <v>18358031.850000009</v>
      </c>
      <c r="AJ458" s="55">
        <f t="shared" si="168"/>
        <v>403876.70070000016</v>
      </c>
      <c r="AK458" s="53"/>
      <c r="AL458" s="53">
        <f t="shared" si="168"/>
        <v>764960.59750040004</v>
      </c>
      <c r="AM458" s="53">
        <f t="shared" si="168"/>
        <v>709797.26750040008</v>
      </c>
      <c r="AN458" s="53">
        <f t="shared" si="168"/>
        <v>709797.26750040008</v>
      </c>
      <c r="AO458" s="53">
        <f t="shared" si="168"/>
        <v>709797.26750040008</v>
      </c>
      <c r="AP458" s="53">
        <f t="shared" si="168"/>
        <v>709797.26750040008</v>
      </c>
      <c r="AQ458" s="53">
        <f t="shared" si="168"/>
        <v>709797.26750040008</v>
      </c>
      <c r="AR458" s="53">
        <f t="shared" si="168"/>
        <v>4313946.9350024005</v>
      </c>
      <c r="AS458" s="53">
        <f t="shared" si="168"/>
        <v>709797.31750040012</v>
      </c>
      <c r="AT458" s="53">
        <f t="shared" si="168"/>
        <v>709663.65750040021</v>
      </c>
      <c r="AU458" s="53">
        <f t="shared" si="168"/>
        <v>709663.65750040021</v>
      </c>
      <c r="AV458" s="53">
        <f t="shared" si="168"/>
        <v>709663.65750040021</v>
      </c>
      <c r="AW458" s="53">
        <f t="shared" si="168"/>
        <v>709663.65750040021</v>
      </c>
      <c r="AX458" s="53">
        <f t="shared" si="168"/>
        <v>709663.50833370001</v>
      </c>
      <c r="AY458" s="53">
        <f t="shared" si="168"/>
        <v>4258115.455835701</v>
      </c>
      <c r="AZ458" s="56">
        <f t="shared" ref="AZ458:AZ521" si="169">AR458+AY458</f>
        <v>8572062.3908381015</v>
      </c>
      <c r="BA458" s="53">
        <f t="shared" si="168"/>
        <v>193091992.61000001</v>
      </c>
      <c r="BB458" s="53">
        <f t="shared" si="168"/>
        <v>70386698.380842537</v>
      </c>
      <c r="BC458" s="53">
        <f t="shared" si="168"/>
        <v>122705294.22915748</v>
      </c>
      <c r="BD458" s="55">
        <v>15860757.729230786</v>
      </c>
      <c r="BE458" s="55">
        <f t="shared" si="168"/>
        <v>348936.67004307738</v>
      </c>
      <c r="BF458" s="35" t="e">
        <f>VLOOKUP(A:A,'2023-2027'!A:G,1,+FALSE)</f>
        <v>#N/A</v>
      </c>
      <c r="BG458" s="7" t="e">
        <f t="shared" si="160"/>
        <v>#N/A</v>
      </c>
      <c r="BH458" s="35"/>
    </row>
    <row r="459" spans="1:60" ht="24" hidden="1" customHeight="1" outlineLevel="1" x14ac:dyDescent="0.2">
      <c r="A459" s="59" t="s">
        <v>1124</v>
      </c>
      <c r="B459" s="61" t="s">
        <v>38</v>
      </c>
      <c r="C459" s="61" t="s">
        <v>1091</v>
      </c>
      <c r="D459" s="65" t="s">
        <v>1125</v>
      </c>
      <c r="E459" s="59" t="s">
        <v>1126</v>
      </c>
      <c r="F459" s="60">
        <v>73528.210000000006</v>
      </c>
      <c r="G459" s="60">
        <v>63989.45</v>
      </c>
      <c r="H459" s="60">
        <v>9538.76</v>
      </c>
      <c r="I459" s="59"/>
      <c r="J459" s="60">
        <v>4769.3999999999996</v>
      </c>
      <c r="K459" s="59"/>
      <c r="L459" s="59"/>
      <c r="M459" s="60">
        <v>73528.210000000006</v>
      </c>
      <c r="N459" s="60">
        <v>68758.850000000006</v>
      </c>
      <c r="O459" s="60">
        <v>4769.3599999999997</v>
      </c>
      <c r="P459" s="55"/>
      <c r="Q459" s="55"/>
      <c r="R459" s="61">
        <f t="shared" si="153"/>
        <v>397.45</v>
      </c>
      <c r="S459" s="60">
        <v>397.45</v>
      </c>
      <c r="T459" s="60">
        <v>397.45</v>
      </c>
      <c r="U459" s="60">
        <v>397.45</v>
      </c>
      <c r="V459" s="60">
        <v>397.45</v>
      </c>
      <c r="W459" s="60">
        <v>397.45</v>
      </c>
      <c r="X459" s="61">
        <f t="shared" si="154"/>
        <v>2384.6999999999998</v>
      </c>
      <c r="Y459" s="60">
        <v>397.45</v>
      </c>
      <c r="Z459" s="60">
        <v>397.45</v>
      </c>
      <c r="AA459" s="60">
        <v>397.45</v>
      </c>
      <c r="AB459" s="60">
        <v>397.45</v>
      </c>
      <c r="AC459" s="60">
        <v>397.45</v>
      </c>
      <c r="AD459" s="60">
        <v>397.41</v>
      </c>
      <c r="AE459" s="61">
        <f t="shared" si="155"/>
        <v>2384.66</v>
      </c>
      <c r="AF459" s="62">
        <f t="shared" ref="AF459:AF522" si="170">M459</f>
        <v>73528.210000000006</v>
      </c>
      <c r="AG459" s="62">
        <f t="shared" ref="AG459:AG522" si="171">N459+R459+S459+T459+U459+V459+W459+Y459+Z459+AA459+AB459+AC459+AD459</f>
        <v>73528.209999999977</v>
      </c>
      <c r="AH459" s="62">
        <f t="shared" ref="AH459:AH530" si="172">AF459-AG459</f>
        <v>0</v>
      </c>
      <c r="AI459" s="63"/>
      <c r="AJ459" s="63"/>
      <c r="AK459" s="62"/>
      <c r="AL459" s="60"/>
      <c r="AM459" s="60"/>
      <c r="AN459" s="60"/>
      <c r="AO459" s="60"/>
      <c r="AP459" s="60"/>
      <c r="AQ459" s="60"/>
      <c r="AR459" s="61">
        <f t="shared" si="156"/>
        <v>0</v>
      </c>
      <c r="AS459" s="60"/>
      <c r="AT459" s="60"/>
      <c r="AU459" s="60"/>
      <c r="AV459" s="60"/>
      <c r="AW459" s="60"/>
      <c r="AX459" s="60"/>
      <c r="AY459" s="61">
        <f t="shared" si="157"/>
        <v>0</v>
      </c>
      <c r="AZ459" s="56">
        <f t="shared" si="169"/>
        <v>0</v>
      </c>
      <c r="BA459" s="62">
        <f t="shared" si="163"/>
        <v>73528.210000000006</v>
      </c>
      <c r="BB459" s="62">
        <f t="shared" si="158"/>
        <v>73528.209999999977</v>
      </c>
      <c r="BC459" s="62">
        <f t="shared" si="167"/>
        <v>0</v>
      </c>
      <c r="BD459" s="63"/>
      <c r="BE459" s="57"/>
      <c r="BF459" s="35" t="e">
        <f>VLOOKUP(A:A,'2023-2027'!A:G,1,+FALSE)</f>
        <v>#N/A</v>
      </c>
      <c r="BG459" s="7" t="e">
        <f t="shared" si="160"/>
        <v>#N/A</v>
      </c>
      <c r="BH459" s="35"/>
    </row>
    <row r="460" spans="1:60" ht="24" hidden="1" customHeight="1" outlineLevel="1" x14ac:dyDescent="0.2">
      <c r="A460" s="59" t="s">
        <v>1127</v>
      </c>
      <c r="B460" s="61" t="s">
        <v>38</v>
      </c>
      <c r="C460" s="61" t="s">
        <v>1091</v>
      </c>
      <c r="D460" s="65" t="s">
        <v>1128</v>
      </c>
      <c r="E460" s="59" t="s">
        <v>1129</v>
      </c>
      <c r="F460" s="60">
        <v>140713</v>
      </c>
      <c r="G460" s="60">
        <v>122417.35</v>
      </c>
      <c r="H460" s="60">
        <v>18295.650000000001</v>
      </c>
      <c r="I460" s="59"/>
      <c r="J460" s="60">
        <v>1829.52</v>
      </c>
      <c r="K460" s="59"/>
      <c r="L460" s="59"/>
      <c r="M460" s="60">
        <v>140713</v>
      </c>
      <c r="N460" s="60">
        <v>124246.87</v>
      </c>
      <c r="O460" s="60">
        <v>16466.13</v>
      </c>
      <c r="P460" s="55">
        <v>17380.89</v>
      </c>
      <c r="Q460" s="55">
        <f>P460*2.2%</f>
        <v>382.37958000000003</v>
      </c>
      <c r="R460" s="61">
        <f>J460/12</f>
        <v>152.46</v>
      </c>
      <c r="S460" s="60">
        <v>152.46</v>
      </c>
      <c r="T460" s="60">
        <v>152.46</v>
      </c>
      <c r="U460" s="60">
        <v>152.46</v>
      </c>
      <c r="V460" s="60">
        <v>152.46</v>
      </c>
      <c r="W460" s="60">
        <v>152.46</v>
      </c>
      <c r="X460" s="61">
        <f>R460+S460+T460+U460+V460+W460</f>
        <v>914.7600000000001</v>
      </c>
      <c r="Y460" s="60">
        <v>152.46</v>
      </c>
      <c r="Z460" s="60">
        <v>152.46</v>
      </c>
      <c r="AA460" s="60">
        <v>152.46</v>
      </c>
      <c r="AB460" s="60">
        <v>152.46</v>
      </c>
      <c r="AC460" s="60">
        <v>152.46</v>
      </c>
      <c r="AD460" s="60">
        <v>152.46</v>
      </c>
      <c r="AE460" s="61">
        <f>Y460+Z460+AA460+AB460+AC460+AD460</f>
        <v>914.7600000000001</v>
      </c>
      <c r="AF460" s="62">
        <f>M460</f>
        <v>140713</v>
      </c>
      <c r="AG460" s="62">
        <f>N460+R460+S460+T460+U460+V460+W460+Y460+Z460+AA460+AB460+AC460+AD460</f>
        <v>126076.39000000007</v>
      </c>
      <c r="AH460" s="62">
        <f>AF460-AG460</f>
        <v>14636.609999999928</v>
      </c>
      <c r="AI460" s="63">
        <v>15551.369999999983</v>
      </c>
      <c r="AJ460" s="63">
        <f t="shared" ref="AJ460" si="173">AI460*2.2%</f>
        <v>342.13013999999964</v>
      </c>
      <c r="AK460" s="62"/>
      <c r="AL460" s="60">
        <v>152.46</v>
      </c>
      <c r="AM460" s="60">
        <v>152.46</v>
      </c>
      <c r="AN460" s="60">
        <v>152.46</v>
      </c>
      <c r="AO460" s="60">
        <v>152.46</v>
      </c>
      <c r="AP460" s="60">
        <v>152.46</v>
      </c>
      <c r="AQ460" s="60">
        <v>152.46</v>
      </c>
      <c r="AR460" s="61">
        <f>AL460+AM460+AN460+AO460+AP460+AQ460</f>
        <v>914.7600000000001</v>
      </c>
      <c r="AS460" s="60">
        <v>152.46</v>
      </c>
      <c r="AT460" s="60">
        <v>152.46</v>
      </c>
      <c r="AU460" s="60">
        <v>152.46</v>
      </c>
      <c r="AV460" s="60">
        <v>152.46</v>
      </c>
      <c r="AW460" s="60">
        <v>152.46</v>
      </c>
      <c r="AX460" s="60">
        <v>152.46</v>
      </c>
      <c r="AY460" s="61">
        <f>AS460+AT460+AU460+AV460+AW460+AX460</f>
        <v>914.7600000000001</v>
      </c>
      <c r="AZ460" s="56">
        <f t="shared" si="169"/>
        <v>1829.5200000000002</v>
      </c>
      <c r="BA460" s="62">
        <f>AF460</f>
        <v>140713</v>
      </c>
      <c r="BB460" s="62">
        <f>AG460+AL460+AM460+AN460+AO460+AP460+AQ460+AS460+AT460+AU460+AV460+AW460+AX460</f>
        <v>127905.91000000015</v>
      </c>
      <c r="BC460" s="62">
        <f>BA460-BB460</f>
        <v>12807.089999999851</v>
      </c>
      <c r="BD460" s="63">
        <v>13721.849999999951</v>
      </c>
      <c r="BE460" s="57">
        <f t="shared" ref="BE460" si="174">BD460*2.2%</f>
        <v>301.88069999999897</v>
      </c>
      <c r="BF460" s="35" t="e">
        <f>VLOOKUP(A:A,'2023-2027'!A:G,1,+FALSE)</f>
        <v>#N/A</v>
      </c>
      <c r="BG460" s="7" t="e">
        <f t="shared" si="160"/>
        <v>#N/A</v>
      </c>
      <c r="BH460" s="35"/>
    </row>
    <row r="461" spans="1:60" ht="12" hidden="1" customHeight="1" outlineLevel="1" x14ac:dyDescent="0.2">
      <c r="A461" s="59" t="s">
        <v>1130</v>
      </c>
      <c r="B461" s="61" t="s">
        <v>38</v>
      </c>
      <c r="C461" s="61" t="s">
        <v>1091</v>
      </c>
      <c r="D461" s="65" t="s">
        <v>1131</v>
      </c>
      <c r="E461" s="59" t="s">
        <v>1132</v>
      </c>
      <c r="F461" s="60">
        <v>18103.2</v>
      </c>
      <c r="G461" s="60">
        <v>18103.2</v>
      </c>
      <c r="H461" s="59"/>
      <c r="I461" s="59"/>
      <c r="J461" s="59"/>
      <c r="K461" s="60">
        <v>18103.2</v>
      </c>
      <c r="L461" s="60">
        <v>18103.2</v>
      </c>
      <c r="M461" s="59"/>
      <c r="N461" s="59"/>
      <c r="O461" s="59"/>
      <c r="P461" s="67"/>
      <c r="Q461" s="67"/>
      <c r="R461" s="61">
        <f>J461/12</f>
        <v>0</v>
      </c>
      <c r="S461" s="60">
        <v>0</v>
      </c>
      <c r="T461" s="60">
        <v>0</v>
      </c>
      <c r="U461" s="60">
        <v>0</v>
      </c>
      <c r="V461" s="60">
        <v>0</v>
      </c>
      <c r="W461" s="60">
        <v>0</v>
      </c>
      <c r="X461" s="61">
        <f>R461+S461+T461+U461+V461+W461</f>
        <v>0</v>
      </c>
      <c r="Y461" s="60">
        <v>0</v>
      </c>
      <c r="Z461" s="60">
        <v>0</v>
      </c>
      <c r="AA461" s="60">
        <v>0</v>
      </c>
      <c r="AB461" s="60">
        <v>0</v>
      </c>
      <c r="AC461" s="60">
        <v>0</v>
      </c>
      <c r="AD461" s="60">
        <v>0</v>
      </c>
      <c r="AE461" s="61">
        <f>Y461+Z461+AA461+AB461+AC461+AD461</f>
        <v>0</v>
      </c>
      <c r="AF461" s="62">
        <f>M461</f>
        <v>0</v>
      </c>
      <c r="AG461" s="62">
        <f>N461+R461+S461+T461+U461+V461+W461+Y461+Z461+AA461+AB461+AC461+AD461</f>
        <v>0</v>
      </c>
      <c r="AH461" s="62">
        <f>AF461-AG461</f>
        <v>0</v>
      </c>
      <c r="AI461" s="63"/>
      <c r="AJ461" s="63"/>
      <c r="AK461" s="62"/>
      <c r="AL461" s="60">
        <v>0</v>
      </c>
      <c r="AM461" s="60">
        <v>0</v>
      </c>
      <c r="AN461" s="60">
        <v>0</v>
      </c>
      <c r="AO461" s="60">
        <v>0</v>
      </c>
      <c r="AP461" s="60">
        <v>0</v>
      </c>
      <c r="AQ461" s="60">
        <v>0</v>
      </c>
      <c r="AR461" s="61">
        <f>AL461+AM461+AN461+AO461+AP461+AQ461</f>
        <v>0</v>
      </c>
      <c r="AS461" s="60">
        <v>0</v>
      </c>
      <c r="AT461" s="60">
        <v>0</v>
      </c>
      <c r="AU461" s="60">
        <v>0</v>
      </c>
      <c r="AV461" s="60">
        <v>0</v>
      </c>
      <c r="AW461" s="60">
        <v>0</v>
      </c>
      <c r="AX461" s="60">
        <v>0</v>
      </c>
      <c r="AY461" s="61">
        <f>AS461+AT461+AU461+AV461+AW461+AX461</f>
        <v>0</v>
      </c>
      <c r="AZ461" s="56">
        <f t="shared" si="169"/>
        <v>0</v>
      </c>
      <c r="BA461" s="62">
        <f>AF461</f>
        <v>0</v>
      </c>
      <c r="BB461" s="62">
        <f>AG461+AL461+AM461+AN461+AO461+AP461+AQ461+AS461+AT461+AU461+AV461+AW461+AX461</f>
        <v>0</v>
      </c>
      <c r="BC461" s="62">
        <f>BA461-BB461</f>
        <v>0</v>
      </c>
      <c r="BD461" s="63"/>
      <c r="BE461" s="57"/>
      <c r="BF461" s="35" t="e">
        <f>VLOOKUP(A:A,'2023-2027'!A:G,1,+FALSE)</f>
        <v>#N/A</v>
      </c>
      <c r="BG461" s="7" t="e">
        <f t="shared" si="160"/>
        <v>#N/A</v>
      </c>
      <c r="BH461" s="35"/>
    </row>
    <row r="462" spans="1:60" ht="24" hidden="1" customHeight="1" outlineLevel="1" x14ac:dyDescent="0.2">
      <c r="A462" s="59" t="s">
        <v>1133</v>
      </c>
      <c r="B462" s="61" t="s">
        <v>38</v>
      </c>
      <c r="C462" s="61" t="s">
        <v>1091</v>
      </c>
      <c r="D462" s="66" t="s">
        <v>1134</v>
      </c>
      <c r="E462" s="59" t="s">
        <v>1135</v>
      </c>
      <c r="F462" s="60">
        <v>33100</v>
      </c>
      <c r="G462" s="60">
        <v>33100</v>
      </c>
      <c r="H462" s="60">
        <v>33100</v>
      </c>
      <c r="I462" s="59"/>
      <c r="J462" s="59"/>
      <c r="K462" s="59"/>
      <c r="L462" s="59"/>
      <c r="M462" s="60">
        <v>33100</v>
      </c>
      <c r="N462" s="60">
        <v>33100</v>
      </c>
      <c r="O462" s="60">
        <v>33100</v>
      </c>
      <c r="P462" s="55"/>
      <c r="Q462" s="55"/>
      <c r="R462" s="61">
        <f t="shared" ref="R462:R526" si="175">J462/12</f>
        <v>0</v>
      </c>
      <c r="S462" s="60">
        <v>0</v>
      </c>
      <c r="T462" s="60">
        <v>0</v>
      </c>
      <c r="U462" s="60">
        <v>0</v>
      </c>
      <c r="V462" s="60">
        <v>0</v>
      </c>
      <c r="W462" s="60">
        <v>0</v>
      </c>
      <c r="X462" s="61">
        <f t="shared" ref="X462:X526" si="176">R462+S462+T462+U462+V462+W462</f>
        <v>0</v>
      </c>
      <c r="Y462" s="60">
        <v>0</v>
      </c>
      <c r="Z462" s="60">
        <v>0</v>
      </c>
      <c r="AA462" s="60">
        <v>0</v>
      </c>
      <c r="AB462" s="60">
        <v>0</v>
      </c>
      <c r="AC462" s="60">
        <v>0</v>
      </c>
      <c r="AD462" s="60">
        <v>0</v>
      </c>
      <c r="AE462" s="61">
        <f t="shared" ref="AE462:AE526" si="177">Y462+Z462+AA462+AB462+AC462+AD462</f>
        <v>0</v>
      </c>
      <c r="AF462" s="62">
        <f t="shared" si="170"/>
        <v>33100</v>
      </c>
      <c r="AG462" s="62">
        <f t="shared" si="171"/>
        <v>33100</v>
      </c>
      <c r="AH462" s="62">
        <f t="shared" si="172"/>
        <v>0</v>
      </c>
      <c r="AI462" s="63"/>
      <c r="AJ462" s="63"/>
      <c r="AK462" s="62"/>
      <c r="AL462" s="60">
        <v>0</v>
      </c>
      <c r="AM462" s="60">
        <v>0</v>
      </c>
      <c r="AN462" s="60">
        <v>0</v>
      </c>
      <c r="AO462" s="60">
        <v>0</v>
      </c>
      <c r="AP462" s="60">
        <v>0</v>
      </c>
      <c r="AQ462" s="60">
        <v>0</v>
      </c>
      <c r="AR462" s="61">
        <f t="shared" ref="AR462:AR526" si="178">AL462+AM462+AN462+AO462+AP462+AQ462</f>
        <v>0</v>
      </c>
      <c r="AS462" s="60">
        <v>0</v>
      </c>
      <c r="AT462" s="60">
        <v>0</v>
      </c>
      <c r="AU462" s="60">
        <v>0</v>
      </c>
      <c r="AV462" s="60">
        <v>0</v>
      </c>
      <c r="AW462" s="60">
        <v>0</v>
      </c>
      <c r="AX462" s="60">
        <v>0</v>
      </c>
      <c r="AY462" s="61">
        <f t="shared" ref="AY462:AY526" si="179">AS462+AT462+AU462+AV462+AW462+AX462</f>
        <v>0</v>
      </c>
      <c r="AZ462" s="56">
        <f t="shared" si="169"/>
        <v>0</v>
      </c>
      <c r="BA462" s="62">
        <f t="shared" si="163"/>
        <v>33100</v>
      </c>
      <c r="BB462" s="62">
        <f t="shared" ref="BB462:BB526" si="180">AG462+AL462+AM462+AN462+AO462+AP462+AQ462+AS462+AT462+AU462+AV462+AW462+AX462</f>
        <v>33100</v>
      </c>
      <c r="BC462" s="62">
        <f t="shared" si="167"/>
        <v>0</v>
      </c>
      <c r="BD462" s="63"/>
      <c r="BE462" s="57"/>
      <c r="BF462" s="35" t="str">
        <f>VLOOKUP(A:A,'2023-2027'!A:G,1,+FALSE)</f>
        <v>Газон в районе основного здания</v>
      </c>
      <c r="BG462" s="7" t="b">
        <f t="shared" si="160"/>
        <v>1</v>
      </c>
      <c r="BH462" s="35">
        <f>VLOOKUP(A:A,'2023-2027'!A:AT,43,+FALSE)</f>
        <v>0</v>
      </c>
    </row>
    <row r="463" spans="1:60" ht="24" hidden="1" customHeight="1" outlineLevel="1" x14ac:dyDescent="0.2">
      <c r="A463" s="59" t="s">
        <v>1136</v>
      </c>
      <c r="B463" s="61" t="s">
        <v>38</v>
      </c>
      <c r="C463" s="61" t="s">
        <v>1091</v>
      </c>
      <c r="D463" s="65" t="s">
        <v>1137</v>
      </c>
      <c r="E463" s="59" t="s">
        <v>1138</v>
      </c>
      <c r="F463" s="60">
        <v>143607</v>
      </c>
      <c r="G463" s="60">
        <v>44567.28</v>
      </c>
      <c r="H463" s="60">
        <v>99039.72</v>
      </c>
      <c r="I463" s="59"/>
      <c r="J463" s="60">
        <v>4952.04</v>
      </c>
      <c r="K463" s="59"/>
      <c r="L463" s="59"/>
      <c r="M463" s="60">
        <v>143607</v>
      </c>
      <c r="N463" s="60">
        <v>49519.32</v>
      </c>
      <c r="O463" s="60">
        <v>94087.679999999993</v>
      </c>
      <c r="P463" s="55">
        <v>96563.7</v>
      </c>
      <c r="Q463" s="55">
        <f t="shared" ref="Q463:Q465" si="181">P463*2.2%</f>
        <v>2124.4014000000002</v>
      </c>
      <c r="R463" s="61">
        <f t="shared" si="175"/>
        <v>412.67</v>
      </c>
      <c r="S463" s="60">
        <v>412.67</v>
      </c>
      <c r="T463" s="60">
        <v>412.67</v>
      </c>
      <c r="U463" s="60">
        <v>412.67</v>
      </c>
      <c r="V463" s="60">
        <v>412.67</v>
      </c>
      <c r="W463" s="60">
        <v>412.67</v>
      </c>
      <c r="X463" s="61">
        <f t="shared" si="176"/>
        <v>2476.02</v>
      </c>
      <c r="Y463" s="60">
        <v>412.67</v>
      </c>
      <c r="Z463" s="60">
        <v>412.67</v>
      </c>
      <c r="AA463" s="60">
        <v>412.67</v>
      </c>
      <c r="AB463" s="60">
        <v>412.67</v>
      </c>
      <c r="AC463" s="60">
        <v>412.67</v>
      </c>
      <c r="AD463" s="60">
        <v>412.67</v>
      </c>
      <c r="AE463" s="61">
        <f t="shared" si="177"/>
        <v>2476.02</v>
      </c>
      <c r="AF463" s="62">
        <f t="shared" si="170"/>
        <v>143607</v>
      </c>
      <c r="AG463" s="62">
        <f t="shared" si="171"/>
        <v>54471.359999999979</v>
      </c>
      <c r="AH463" s="62">
        <f t="shared" si="172"/>
        <v>89135.640000000014</v>
      </c>
      <c r="AI463" s="63">
        <v>91611.66</v>
      </c>
      <c r="AJ463" s="63">
        <f t="shared" ref="AJ463:AJ465" si="182">AI463*2.2%</f>
        <v>2015.4565200000002</v>
      </c>
      <c r="AK463" s="62"/>
      <c r="AL463" s="60">
        <v>412.67</v>
      </c>
      <c r="AM463" s="60">
        <v>412.67</v>
      </c>
      <c r="AN463" s="60">
        <v>412.67</v>
      </c>
      <c r="AO463" s="60">
        <v>412.67</v>
      </c>
      <c r="AP463" s="60">
        <v>412.67</v>
      </c>
      <c r="AQ463" s="60">
        <v>412.67</v>
      </c>
      <c r="AR463" s="61">
        <f t="shared" si="178"/>
        <v>2476.02</v>
      </c>
      <c r="AS463" s="60">
        <v>412.67</v>
      </c>
      <c r="AT463" s="60">
        <v>412.67</v>
      </c>
      <c r="AU463" s="60">
        <v>412.67</v>
      </c>
      <c r="AV463" s="60">
        <v>412.67</v>
      </c>
      <c r="AW463" s="60">
        <v>412.67</v>
      </c>
      <c r="AX463" s="60">
        <v>412.67</v>
      </c>
      <c r="AY463" s="61">
        <f t="shared" si="179"/>
        <v>2476.02</v>
      </c>
      <c r="AZ463" s="56">
        <f t="shared" si="169"/>
        <v>4952.04</v>
      </c>
      <c r="BA463" s="62">
        <f t="shared" si="163"/>
        <v>143607</v>
      </c>
      <c r="BB463" s="62">
        <f t="shared" si="180"/>
        <v>59423.399999999958</v>
      </c>
      <c r="BC463" s="62">
        <f t="shared" si="167"/>
        <v>84183.600000000035</v>
      </c>
      <c r="BD463" s="63">
        <v>86659.620000000024</v>
      </c>
      <c r="BE463" s="57">
        <f t="shared" ref="BE463:BE465" si="183">BD463*2.2%</f>
        <v>1906.5116400000006</v>
      </c>
      <c r="BF463" s="35" t="e">
        <f>VLOOKUP(A:A,'2023-2027'!A:G,1,+FALSE)</f>
        <v>#N/A</v>
      </c>
      <c r="BG463" s="7" t="e">
        <f t="shared" si="160"/>
        <v>#N/A</v>
      </c>
      <c r="BH463" s="35"/>
    </row>
    <row r="464" spans="1:60" ht="24" hidden="1" customHeight="1" outlineLevel="1" x14ac:dyDescent="0.2">
      <c r="A464" s="59" t="s">
        <v>1139</v>
      </c>
      <c r="B464" s="61" t="s">
        <v>38</v>
      </c>
      <c r="C464" s="61" t="s">
        <v>1091</v>
      </c>
      <c r="D464" s="65" t="s">
        <v>1140</v>
      </c>
      <c r="E464" s="59" t="s">
        <v>1138</v>
      </c>
      <c r="F464" s="60">
        <v>2329059</v>
      </c>
      <c r="G464" s="60">
        <v>722811.6</v>
      </c>
      <c r="H464" s="60">
        <v>1606247.4</v>
      </c>
      <c r="I464" s="59"/>
      <c r="J464" s="60">
        <v>80312.399999999994</v>
      </c>
      <c r="K464" s="59"/>
      <c r="L464" s="59"/>
      <c r="M464" s="60">
        <v>2329059</v>
      </c>
      <c r="N464" s="60">
        <v>803124</v>
      </c>
      <c r="O464" s="60">
        <v>1525935</v>
      </c>
      <c r="P464" s="55">
        <v>1566091.2</v>
      </c>
      <c r="Q464" s="55">
        <f t="shared" si="181"/>
        <v>34454.006400000006</v>
      </c>
      <c r="R464" s="61">
        <f t="shared" si="175"/>
        <v>6692.7</v>
      </c>
      <c r="S464" s="60">
        <v>6692.7</v>
      </c>
      <c r="T464" s="60">
        <v>6692.7</v>
      </c>
      <c r="U464" s="60">
        <v>6692.7</v>
      </c>
      <c r="V464" s="60">
        <v>6692.7</v>
      </c>
      <c r="W464" s="60">
        <v>6692.7</v>
      </c>
      <c r="X464" s="61">
        <f t="shared" si="176"/>
        <v>40156.199999999997</v>
      </c>
      <c r="Y464" s="60">
        <v>6692.7</v>
      </c>
      <c r="Z464" s="60">
        <v>6692.7</v>
      </c>
      <c r="AA464" s="60">
        <v>6692.7</v>
      </c>
      <c r="AB464" s="60">
        <v>6692.7</v>
      </c>
      <c r="AC464" s="60">
        <v>6692.7</v>
      </c>
      <c r="AD464" s="60">
        <v>6692.7</v>
      </c>
      <c r="AE464" s="61">
        <f t="shared" si="177"/>
        <v>40156.199999999997</v>
      </c>
      <c r="AF464" s="62">
        <f t="shared" si="170"/>
        <v>2329059</v>
      </c>
      <c r="AG464" s="62">
        <f t="shared" si="171"/>
        <v>883436.39999999944</v>
      </c>
      <c r="AH464" s="62">
        <f t="shared" si="172"/>
        <v>1445622.6000000006</v>
      </c>
      <c r="AI464" s="63">
        <v>1485778.8000000005</v>
      </c>
      <c r="AJ464" s="63">
        <f t="shared" si="182"/>
        <v>32687.133600000016</v>
      </c>
      <c r="AK464" s="62"/>
      <c r="AL464" s="60">
        <v>6692.7</v>
      </c>
      <c r="AM464" s="60">
        <v>6692.7</v>
      </c>
      <c r="AN464" s="60">
        <v>6692.7</v>
      </c>
      <c r="AO464" s="60">
        <v>6692.7</v>
      </c>
      <c r="AP464" s="60">
        <v>6692.7</v>
      </c>
      <c r="AQ464" s="60">
        <v>6692.7</v>
      </c>
      <c r="AR464" s="61">
        <f t="shared" si="178"/>
        <v>40156.199999999997</v>
      </c>
      <c r="AS464" s="60">
        <v>6692.7</v>
      </c>
      <c r="AT464" s="60">
        <v>6692.7</v>
      </c>
      <c r="AU464" s="60">
        <v>6692.7</v>
      </c>
      <c r="AV464" s="60">
        <v>6692.7</v>
      </c>
      <c r="AW464" s="60">
        <v>6692.7</v>
      </c>
      <c r="AX464" s="60">
        <v>6692.7</v>
      </c>
      <c r="AY464" s="61">
        <f t="shared" si="179"/>
        <v>40156.199999999997</v>
      </c>
      <c r="AZ464" s="56">
        <f t="shared" si="169"/>
        <v>80312.399999999994</v>
      </c>
      <c r="BA464" s="62">
        <f t="shared" si="163"/>
        <v>2329059</v>
      </c>
      <c r="BB464" s="62">
        <f t="shared" si="180"/>
        <v>963748.79999999888</v>
      </c>
      <c r="BC464" s="62">
        <f t="shared" si="167"/>
        <v>1365310.2000000011</v>
      </c>
      <c r="BD464" s="63">
        <v>1405466.4000000008</v>
      </c>
      <c r="BE464" s="57">
        <f t="shared" si="183"/>
        <v>30920.260800000022</v>
      </c>
      <c r="BF464" s="35" t="e">
        <f>VLOOKUP(A:A,'2023-2027'!A:G,1,+FALSE)</f>
        <v>#N/A</v>
      </c>
      <c r="BG464" s="7" t="e">
        <f t="shared" si="160"/>
        <v>#N/A</v>
      </c>
      <c r="BH464" s="35"/>
    </row>
    <row r="465" spans="1:60" ht="12" hidden="1" customHeight="1" outlineLevel="1" x14ac:dyDescent="0.2">
      <c r="A465" s="59" t="s">
        <v>1141</v>
      </c>
      <c r="B465" s="61" t="s">
        <v>38</v>
      </c>
      <c r="C465" s="61" t="s">
        <v>1091</v>
      </c>
      <c r="D465" s="66" t="s">
        <v>1142</v>
      </c>
      <c r="E465" s="59" t="s">
        <v>1143</v>
      </c>
      <c r="F465" s="60">
        <v>191276.19</v>
      </c>
      <c r="G465" s="60">
        <v>183304.25</v>
      </c>
      <c r="H465" s="60">
        <v>7971.94</v>
      </c>
      <c r="I465" s="59"/>
      <c r="J465" s="60">
        <v>3826.56</v>
      </c>
      <c r="K465" s="59"/>
      <c r="L465" s="59"/>
      <c r="M465" s="60">
        <v>191276.19</v>
      </c>
      <c r="N465" s="60">
        <v>187130.81</v>
      </c>
      <c r="O465" s="60">
        <v>4145.38</v>
      </c>
      <c r="P465" s="55">
        <v>6058.66</v>
      </c>
      <c r="Q465" s="55">
        <f t="shared" si="181"/>
        <v>133.29052000000001</v>
      </c>
      <c r="R465" s="61">
        <f t="shared" si="175"/>
        <v>318.88</v>
      </c>
      <c r="S465" s="60">
        <v>318.88</v>
      </c>
      <c r="T465" s="60">
        <v>318.88</v>
      </c>
      <c r="U465" s="60">
        <v>318.88</v>
      </c>
      <c r="V465" s="60">
        <v>318.88</v>
      </c>
      <c r="W465" s="60">
        <v>318.88</v>
      </c>
      <c r="X465" s="61">
        <f t="shared" si="176"/>
        <v>1913.2800000000002</v>
      </c>
      <c r="Y465" s="60">
        <v>318.88</v>
      </c>
      <c r="Z465" s="60">
        <v>318.88</v>
      </c>
      <c r="AA465" s="60">
        <v>318.88</v>
      </c>
      <c r="AB465" s="60">
        <v>318.88</v>
      </c>
      <c r="AC465" s="60">
        <v>318.88</v>
      </c>
      <c r="AD465" s="60">
        <v>318.88</v>
      </c>
      <c r="AE465" s="61">
        <f t="shared" si="177"/>
        <v>1913.2800000000002</v>
      </c>
      <c r="AF465" s="62">
        <f t="shared" si="170"/>
        <v>191276.19</v>
      </c>
      <c r="AG465" s="62">
        <f t="shared" si="171"/>
        <v>190957.37000000005</v>
      </c>
      <c r="AH465" s="62">
        <f t="shared" si="172"/>
        <v>318.81999999994878</v>
      </c>
      <c r="AI465" s="63">
        <v>2232.1000000000049</v>
      </c>
      <c r="AJ465" s="63">
        <f t="shared" si="182"/>
        <v>49.106200000000115</v>
      </c>
      <c r="AK465" s="62"/>
      <c r="AL465" s="60">
        <v>318.82</v>
      </c>
      <c r="AM465" s="60"/>
      <c r="AN465" s="60"/>
      <c r="AO465" s="60"/>
      <c r="AP465" s="60"/>
      <c r="AQ465" s="60"/>
      <c r="AR465" s="61">
        <f t="shared" si="178"/>
        <v>318.82</v>
      </c>
      <c r="AS465" s="60"/>
      <c r="AT465" s="60"/>
      <c r="AU465" s="60"/>
      <c r="AV465" s="60"/>
      <c r="AW465" s="60"/>
      <c r="AX465" s="60"/>
      <c r="AY465" s="61">
        <f t="shared" si="179"/>
        <v>0</v>
      </c>
      <c r="AZ465" s="56">
        <f t="shared" si="169"/>
        <v>318.82</v>
      </c>
      <c r="BA465" s="62">
        <f t="shared" si="163"/>
        <v>191276.19</v>
      </c>
      <c r="BB465" s="62">
        <f t="shared" si="180"/>
        <v>191276.19000000006</v>
      </c>
      <c r="BC465" s="62">
        <f t="shared" si="167"/>
        <v>0</v>
      </c>
      <c r="BD465" s="63">
        <v>318.82000000000971</v>
      </c>
      <c r="BE465" s="57">
        <f t="shared" si="183"/>
        <v>7.0140400000002145</v>
      </c>
      <c r="BF465" s="35" t="str">
        <f>VLOOKUP(A:A,'2023-2027'!A:G,1,+FALSE)</f>
        <v>Градирня (бассейн)</v>
      </c>
      <c r="BG465" s="7" t="b">
        <f t="shared" si="160"/>
        <v>1</v>
      </c>
      <c r="BH465" s="35">
        <f>VLOOKUP(A:A,'2023-2027'!A:AT,43,+FALSE)</f>
        <v>1286.9599999999998</v>
      </c>
    </row>
    <row r="466" spans="1:60" ht="12" hidden="1" customHeight="1" outlineLevel="1" x14ac:dyDescent="0.2">
      <c r="A466" s="59" t="s">
        <v>1144</v>
      </c>
      <c r="B466" s="61" t="s">
        <v>38</v>
      </c>
      <c r="C466" s="61" t="s">
        <v>1091</v>
      </c>
      <c r="D466" s="65" t="s">
        <v>1145</v>
      </c>
      <c r="E466" s="59" t="s">
        <v>1146</v>
      </c>
      <c r="F466" s="60">
        <v>486235</v>
      </c>
      <c r="G466" s="60">
        <v>479560.77</v>
      </c>
      <c r="H466" s="60">
        <v>6674.23</v>
      </c>
      <c r="I466" s="59"/>
      <c r="J466" s="60">
        <v>6674.23</v>
      </c>
      <c r="K466" s="60">
        <v>486235</v>
      </c>
      <c r="L466" s="60">
        <v>486235</v>
      </c>
      <c r="M466" s="59"/>
      <c r="N466" s="59"/>
      <c r="O466" s="59"/>
      <c r="P466" s="67"/>
      <c r="Q466" s="67"/>
      <c r="R466" s="61"/>
      <c r="S466" s="60"/>
      <c r="T466" s="60"/>
      <c r="U466" s="60"/>
      <c r="V466" s="60"/>
      <c r="W466" s="60"/>
      <c r="X466" s="61">
        <f>R466+S466+T466+U466+V466+W466</f>
        <v>0</v>
      </c>
      <c r="Y466" s="60"/>
      <c r="Z466" s="60"/>
      <c r="AA466" s="60"/>
      <c r="AB466" s="60"/>
      <c r="AC466" s="60"/>
      <c r="AD466" s="60"/>
      <c r="AE466" s="61">
        <f>Y466+Z466+AA466+AB466+AC466+AD466</f>
        <v>0</v>
      </c>
      <c r="AF466" s="62">
        <f>M466</f>
        <v>0</v>
      </c>
      <c r="AG466" s="62">
        <f>N466+R466+S466+T466+U466+V466+W466+Y466+Z466+AA466+AB466+AC466+AD466</f>
        <v>0</v>
      </c>
      <c r="AH466" s="62">
        <f>AF466-AG466</f>
        <v>0</v>
      </c>
      <c r="AI466" s="63"/>
      <c r="AJ466" s="63"/>
      <c r="AK466" s="62"/>
      <c r="AL466" s="60"/>
      <c r="AM466" s="60"/>
      <c r="AN466" s="60"/>
      <c r="AO466" s="60"/>
      <c r="AP466" s="60"/>
      <c r="AQ466" s="60"/>
      <c r="AR466" s="61">
        <f>AL466+AM466+AN466+AO466+AP466+AQ466</f>
        <v>0</v>
      </c>
      <c r="AS466" s="60"/>
      <c r="AT466" s="60"/>
      <c r="AU466" s="60"/>
      <c r="AV466" s="60"/>
      <c r="AW466" s="60"/>
      <c r="AX466" s="60"/>
      <c r="AY466" s="61">
        <f>AS466+AT466+AU466+AV466+AW466+AX466</f>
        <v>0</v>
      </c>
      <c r="AZ466" s="56">
        <f t="shared" si="169"/>
        <v>0</v>
      </c>
      <c r="BA466" s="62">
        <f>AF466</f>
        <v>0</v>
      </c>
      <c r="BB466" s="62">
        <f>AG466+AL466+AM466+AN466+AO466+AP466+AQ466+AS466+AT466+AU466+AV466+AW466+AX466</f>
        <v>0</v>
      </c>
      <c r="BC466" s="62">
        <f>BA466-BB466</f>
        <v>0</v>
      </c>
      <c r="BD466" s="63"/>
      <c r="BE466" s="57"/>
      <c r="BF466" s="35" t="e">
        <f>VLOOKUP(A:A,'2023-2027'!A:G,1,+FALSE)</f>
        <v>#N/A</v>
      </c>
      <c r="BG466" s="7" t="e">
        <f t="shared" si="160"/>
        <v>#N/A</v>
      </c>
      <c r="BH466" s="35"/>
    </row>
    <row r="467" spans="1:60" ht="24" hidden="1" customHeight="1" outlineLevel="1" x14ac:dyDescent="0.2">
      <c r="A467" s="59" t="s">
        <v>1147</v>
      </c>
      <c r="B467" s="61" t="s">
        <v>38</v>
      </c>
      <c r="C467" s="61" t="s">
        <v>1091</v>
      </c>
      <c r="D467" s="65" t="s">
        <v>1148</v>
      </c>
      <c r="E467" s="59" t="s">
        <v>1149</v>
      </c>
      <c r="F467" s="60">
        <v>170304</v>
      </c>
      <c r="G467" s="60">
        <v>149990.94</v>
      </c>
      <c r="H467" s="60">
        <v>20313.060000000001</v>
      </c>
      <c r="I467" s="59"/>
      <c r="J467" s="60">
        <v>4062.6</v>
      </c>
      <c r="K467" s="59"/>
      <c r="L467" s="59"/>
      <c r="M467" s="60">
        <v>170304</v>
      </c>
      <c r="N467" s="60">
        <v>154053.54</v>
      </c>
      <c r="O467" s="60">
        <v>16250.46</v>
      </c>
      <c r="P467" s="55"/>
      <c r="Q467" s="55"/>
      <c r="R467" s="61">
        <f>J467/12</f>
        <v>338.55</v>
      </c>
      <c r="S467" s="60">
        <v>338.55</v>
      </c>
      <c r="T467" s="60">
        <v>338.55</v>
      </c>
      <c r="U467" s="60">
        <v>338.55</v>
      </c>
      <c r="V467" s="60">
        <v>338.55</v>
      </c>
      <c r="W467" s="60">
        <v>338.55</v>
      </c>
      <c r="X467" s="61">
        <f>R467+S467+T467+U467+V467+W467</f>
        <v>2031.3</v>
      </c>
      <c r="Y467" s="60">
        <v>338.55</v>
      </c>
      <c r="Z467" s="60">
        <v>338.55</v>
      </c>
      <c r="AA467" s="60">
        <v>338.55</v>
      </c>
      <c r="AB467" s="60">
        <v>338.55</v>
      </c>
      <c r="AC467" s="60">
        <v>338.55</v>
      </c>
      <c r="AD467" s="60">
        <v>338.55</v>
      </c>
      <c r="AE467" s="61">
        <f>Y467+Z467+AA467+AB467+AC467+AD467</f>
        <v>2031.3</v>
      </c>
      <c r="AF467" s="62">
        <f>M467</f>
        <v>170304</v>
      </c>
      <c r="AG467" s="62">
        <f>N467+R467+S467+T467+U467+V467+W467+Y467+Z467+AA467+AB467+AC467+AD467</f>
        <v>158116.13999999987</v>
      </c>
      <c r="AH467" s="62">
        <f>AF467-AG467</f>
        <v>12187.860000000132</v>
      </c>
      <c r="AI467" s="63"/>
      <c r="AJ467" s="63"/>
      <c r="AK467" s="62"/>
      <c r="AL467" s="60">
        <v>338.55</v>
      </c>
      <c r="AM467" s="60">
        <v>338.55</v>
      </c>
      <c r="AN467" s="60">
        <v>338.55</v>
      </c>
      <c r="AO467" s="60">
        <v>338.55</v>
      </c>
      <c r="AP467" s="60">
        <v>338.55</v>
      </c>
      <c r="AQ467" s="60">
        <v>338.55</v>
      </c>
      <c r="AR467" s="61">
        <f>AL467+AM467+AN467+AO467+AP467+AQ467</f>
        <v>2031.3</v>
      </c>
      <c r="AS467" s="60">
        <v>338.55</v>
      </c>
      <c r="AT467" s="60">
        <v>338.55</v>
      </c>
      <c r="AU467" s="60">
        <v>338.55</v>
      </c>
      <c r="AV467" s="60">
        <v>338.55</v>
      </c>
      <c r="AW467" s="60">
        <v>338.55</v>
      </c>
      <c r="AX467" s="60">
        <v>338.55</v>
      </c>
      <c r="AY467" s="61">
        <f>AS467+AT467+AU467+AV467+AW467+AX467</f>
        <v>2031.3</v>
      </c>
      <c r="AZ467" s="56">
        <f t="shared" si="169"/>
        <v>4062.6</v>
      </c>
      <c r="BA467" s="62">
        <f>AF467</f>
        <v>170304</v>
      </c>
      <c r="BB467" s="62">
        <f>AG467+AL467+AM467+AN467+AO467+AP467+AQ467+AS467+AT467+AU467+AV467+AW467+AX467</f>
        <v>162178.73999999973</v>
      </c>
      <c r="BC467" s="62">
        <f>BA467-BB467</f>
        <v>8125.2600000002712</v>
      </c>
      <c r="BD467" s="63"/>
      <c r="BE467" s="57"/>
      <c r="BF467" s="35" t="e">
        <f>VLOOKUP(A:A,'2023-2027'!A:G,1,+FALSE)</f>
        <v>#N/A</v>
      </c>
      <c r="BG467" s="7" t="e">
        <f t="shared" si="160"/>
        <v>#N/A</v>
      </c>
      <c r="BH467" s="35"/>
    </row>
    <row r="468" spans="1:60" ht="12" hidden="1" customHeight="1" outlineLevel="1" x14ac:dyDescent="0.2">
      <c r="A468" s="59" t="s">
        <v>1150</v>
      </c>
      <c r="B468" s="61" t="s">
        <v>38</v>
      </c>
      <c r="C468" s="61" t="s">
        <v>1091</v>
      </c>
      <c r="D468" s="65" t="s">
        <v>1151</v>
      </c>
      <c r="E468" s="59" t="s">
        <v>1152</v>
      </c>
      <c r="F468" s="60">
        <v>207730</v>
      </c>
      <c r="G468" s="60">
        <v>181707.73</v>
      </c>
      <c r="H468" s="60">
        <v>26022.27</v>
      </c>
      <c r="I468" s="59"/>
      <c r="J468" s="60">
        <v>5204.43</v>
      </c>
      <c r="K468" s="59"/>
      <c r="L468" s="59"/>
      <c r="M468" s="60">
        <v>207730</v>
      </c>
      <c r="N468" s="60">
        <v>186912.16</v>
      </c>
      <c r="O468" s="60">
        <v>20817.84</v>
      </c>
      <c r="P468" s="55"/>
      <c r="Q468" s="55"/>
      <c r="R468" s="61">
        <f>J468/12</f>
        <v>433.70250000000004</v>
      </c>
      <c r="S468" s="60">
        <v>433.70249999999999</v>
      </c>
      <c r="T468" s="60">
        <v>433.70249999999999</v>
      </c>
      <c r="U468" s="60">
        <v>433.70249999999999</v>
      </c>
      <c r="V468" s="60">
        <v>433.70249999999999</v>
      </c>
      <c r="W468" s="60">
        <v>433.70249999999999</v>
      </c>
      <c r="X468" s="61">
        <f>R468+S468+T468+U468+V468+W468</f>
        <v>2602.2149999999997</v>
      </c>
      <c r="Y468" s="60">
        <v>433.70249999999999</v>
      </c>
      <c r="Z468" s="60">
        <v>433.70249999999999</v>
      </c>
      <c r="AA468" s="60">
        <v>433.70249999999999</v>
      </c>
      <c r="AB468" s="60">
        <v>433.70249999999999</v>
      </c>
      <c r="AC468" s="60">
        <v>433.70249999999999</v>
      </c>
      <c r="AD468" s="60">
        <v>433.70249999999999</v>
      </c>
      <c r="AE468" s="61">
        <f>Y468+Z468+AA468+AB468+AC468+AD468</f>
        <v>2602.2149999999997</v>
      </c>
      <c r="AF468" s="62">
        <f>M468</f>
        <v>207730</v>
      </c>
      <c r="AG468" s="62">
        <f>N468+R468+S468+T468+U468+V468+W468+Y468+Z468+AA468+AB468+AC468+AD468</f>
        <v>192116.59000000017</v>
      </c>
      <c r="AH468" s="62">
        <f>AF468-AG468</f>
        <v>15613.409999999829</v>
      </c>
      <c r="AI468" s="63"/>
      <c r="AJ468" s="63"/>
      <c r="AK468" s="62"/>
      <c r="AL468" s="60">
        <v>433.70249999999999</v>
      </c>
      <c r="AM468" s="60">
        <v>433.70249999999999</v>
      </c>
      <c r="AN468" s="60">
        <v>433.70249999999999</v>
      </c>
      <c r="AO468" s="60">
        <v>433.70249999999999</v>
      </c>
      <c r="AP468" s="60">
        <v>433.70249999999999</v>
      </c>
      <c r="AQ468" s="60">
        <v>433.70249999999999</v>
      </c>
      <c r="AR468" s="61">
        <f>AL468+AM468+AN468+AO468+AP468+AQ468</f>
        <v>2602.2149999999997</v>
      </c>
      <c r="AS468" s="60">
        <v>433.70249999999999</v>
      </c>
      <c r="AT468" s="60">
        <v>433.70249999999999</v>
      </c>
      <c r="AU468" s="60">
        <v>433.70249999999999</v>
      </c>
      <c r="AV468" s="60">
        <v>433.70249999999999</v>
      </c>
      <c r="AW468" s="60">
        <v>433.70249999999999</v>
      </c>
      <c r="AX468" s="60">
        <v>433.70249999999999</v>
      </c>
      <c r="AY468" s="61">
        <f>AS468+AT468+AU468+AV468+AW468+AX468</f>
        <v>2602.2149999999997</v>
      </c>
      <c r="AZ468" s="56">
        <f t="shared" si="169"/>
        <v>5204.4299999999994</v>
      </c>
      <c r="BA468" s="62">
        <f>AF468</f>
        <v>207730</v>
      </c>
      <c r="BB468" s="62">
        <f>AG468+AL468+AM468+AN468+AO468+AP468+AQ468+AS468+AT468+AU468+AV468+AW468+AX468</f>
        <v>197321.02000000034</v>
      </c>
      <c r="BC468" s="62">
        <f>BA468-BB468</f>
        <v>10408.979999999661</v>
      </c>
      <c r="BD468" s="63"/>
      <c r="BE468" s="57"/>
      <c r="BF468" s="35" t="e">
        <f>VLOOKUP(A:A,'2023-2027'!A:G,1,+FALSE)</f>
        <v>#N/A</v>
      </c>
      <c r="BG468" s="7" t="e">
        <f t="shared" si="160"/>
        <v>#N/A</v>
      </c>
      <c r="BH468" s="35"/>
    </row>
    <row r="469" spans="1:60" ht="12" hidden="1" customHeight="1" outlineLevel="1" x14ac:dyDescent="0.2">
      <c r="A469" s="59" t="s">
        <v>1153</v>
      </c>
      <c r="B469" s="61" t="s">
        <v>38</v>
      </c>
      <c r="C469" s="61" t="s">
        <v>1091</v>
      </c>
      <c r="D469" s="65" t="s">
        <v>1154</v>
      </c>
      <c r="E469" s="59" t="s">
        <v>1155</v>
      </c>
      <c r="F469" s="60">
        <v>301391</v>
      </c>
      <c r="G469" s="60">
        <v>268572.09000000003</v>
      </c>
      <c r="H469" s="60">
        <v>32818.910000000003</v>
      </c>
      <c r="I469" s="59"/>
      <c r="J469" s="60">
        <v>6563.76</v>
      </c>
      <c r="K469" s="59"/>
      <c r="L469" s="59"/>
      <c r="M469" s="60">
        <v>301391</v>
      </c>
      <c r="N469" s="60">
        <v>275135.84999999998</v>
      </c>
      <c r="O469" s="60">
        <v>26255.15</v>
      </c>
      <c r="P469" s="55"/>
      <c r="Q469" s="55"/>
      <c r="R469" s="61">
        <f>J469/12</f>
        <v>546.98</v>
      </c>
      <c r="S469" s="60">
        <v>546.98</v>
      </c>
      <c r="T469" s="60">
        <v>546.98</v>
      </c>
      <c r="U469" s="60">
        <v>546.98</v>
      </c>
      <c r="V469" s="60">
        <v>546.98</v>
      </c>
      <c r="W469" s="60">
        <v>546.98</v>
      </c>
      <c r="X469" s="61">
        <f>R469+S469+T469+U469+V469+W469</f>
        <v>3281.88</v>
      </c>
      <c r="Y469" s="60">
        <v>546.98</v>
      </c>
      <c r="Z469" s="60">
        <v>546.98</v>
      </c>
      <c r="AA469" s="60">
        <v>546.98</v>
      </c>
      <c r="AB469" s="60">
        <v>546.98</v>
      </c>
      <c r="AC469" s="60">
        <v>546.98</v>
      </c>
      <c r="AD469" s="60">
        <v>546.98</v>
      </c>
      <c r="AE469" s="61">
        <f>Y469+Z469+AA469+AB469+AC469+AD469</f>
        <v>3281.88</v>
      </c>
      <c r="AF469" s="62">
        <f>M469</f>
        <v>301391</v>
      </c>
      <c r="AG469" s="62">
        <f>N469+R469+S469+T469+U469+V469+W469+Y469+Z469+AA469+AB469+AC469+AD469</f>
        <v>281699.60999999975</v>
      </c>
      <c r="AH469" s="62">
        <f>AF469-AG469</f>
        <v>19691.390000000247</v>
      </c>
      <c r="AI469" s="63"/>
      <c r="AJ469" s="63"/>
      <c r="AK469" s="62"/>
      <c r="AL469" s="60">
        <v>546.98</v>
      </c>
      <c r="AM469" s="60">
        <v>546.98</v>
      </c>
      <c r="AN469" s="60">
        <v>546.98</v>
      </c>
      <c r="AO469" s="60">
        <v>546.98</v>
      </c>
      <c r="AP469" s="60">
        <v>546.98</v>
      </c>
      <c r="AQ469" s="60">
        <v>546.98</v>
      </c>
      <c r="AR469" s="61">
        <f>AL469+AM469+AN469+AO469+AP469+AQ469</f>
        <v>3281.88</v>
      </c>
      <c r="AS469" s="60">
        <v>546.98</v>
      </c>
      <c r="AT469" s="60">
        <v>546.98</v>
      </c>
      <c r="AU469" s="60">
        <v>546.98</v>
      </c>
      <c r="AV469" s="60">
        <v>546.98</v>
      </c>
      <c r="AW469" s="60">
        <v>546.98</v>
      </c>
      <c r="AX469" s="60">
        <v>546.98</v>
      </c>
      <c r="AY469" s="61">
        <f>AS469+AT469+AU469+AV469+AW469+AX469</f>
        <v>3281.88</v>
      </c>
      <c r="AZ469" s="56">
        <f t="shared" si="169"/>
        <v>6563.76</v>
      </c>
      <c r="BA469" s="62">
        <f>AF469</f>
        <v>301391</v>
      </c>
      <c r="BB469" s="62">
        <f>AG469+AL469+AM469+AN469+AO469+AP469+AQ469+AS469+AT469+AU469+AV469+AW469+AX469</f>
        <v>288263.36999999953</v>
      </c>
      <c r="BC469" s="62">
        <f>BA469-BB469</f>
        <v>13127.63000000047</v>
      </c>
      <c r="BD469" s="63"/>
      <c r="BE469" s="57"/>
      <c r="BF469" s="35" t="e">
        <f>VLOOKUP(A:A,'2023-2027'!A:G,1,+FALSE)</f>
        <v>#N/A</v>
      </c>
      <c r="BG469" s="7" t="e">
        <f t="shared" si="160"/>
        <v>#N/A</v>
      </c>
      <c r="BH469" s="35"/>
    </row>
    <row r="470" spans="1:60" ht="48" hidden="1" customHeight="1" outlineLevel="1" x14ac:dyDescent="0.2">
      <c r="A470" s="59" t="s">
        <v>1156</v>
      </c>
      <c r="B470" s="61" t="s">
        <v>38</v>
      </c>
      <c r="C470" s="61" t="s">
        <v>1091</v>
      </c>
      <c r="D470" s="66" t="s">
        <v>1157</v>
      </c>
      <c r="E470" s="59" t="s">
        <v>1158</v>
      </c>
      <c r="F470" s="60">
        <v>2404272.6</v>
      </c>
      <c r="G470" s="60">
        <v>1311421.68</v>
      </c>
      <c r="H470" s="60">
        <v>1092850.92</v>
      </c>
      <c r="I470" s="59"/>
      <c r="J470" s="60">
        <v>218570.16</v>
      </c>
      <c r="K470" s="59"/>
      <c r="L470" s="59"/>
      <c r="M470" s="60">
        <v>2404272.6</v>
      </c>
      <c r="N470" s="60">
        <v>1529991.84</v>
      </c>
      <c r="O470" s="60">
        <v>874280.76</v>
      </c>
      <c r="P470" s="55"/>
      <c r="Q470" s="55"/>
      <c r="R470" s="61">
        <f t="shared" si="175"/>
        <v>18214.18</v>
      </c>
      <c r="S470" s="60">
        <v>18214.18</v>
      </c>
      <c r="T470" s="60">
        <v>18214.18</v>
      </c>
      <c r="U470" s="60">
        <v>18214.18</v>
      </c>
      <c r="V470" s="60">
        <v>18214.18</v>
      </c>
      <c r="W470" s="60">
        <v>18214.18</v>
      </c>
      <c r="X470" s="61">
        <f t="shared" si="176"/>
        <v>109285.07999999999</v>
      </c>
      <c r="Y470" s="60">
        <v>18214.18</v>
      </c>
      <c r="Z470" s="60">
        <v>18214.18</v>
      </c>
      <c r="AA470" s="60">
        <v>18214.18</v>
      </c>
      <c r="AB470" s="60">
        <v>18214.18</v>
      </c>
      <c r="AC470" s="60">
        <v>18214.18</v>
      </c>
      <c r="AD470" s="60">
        <v>18214.18</v>
      </c>
      <c r="AE470" s="61">
        <f t="shared" si="177"/>
        <v>109285.07999999999</v>
      </c>
      <c r="AF470" s="62">
        <f t="shared" si="170"/>
        <v>2404272.6</v>
      </c>
      <c r="AG470" s="62">
        <f t="shared" si="171"/>
        <v>1748561.9999999993</v>
      </c>
      <c r="AH470" s="62">
        <f t="shared" si="172"/>
        <v>655710.60000000079</v>
      </c>
      <c r="AI470" s="63"/>
      <c r="AJ470" s="63"/>
      <c r="AK470" s="62"/>
      <c r="AL470" s="60">
        <v>18214.18</v>
      </c>
      <c r="AM470" s="60">
        <v>18214.18</v>
      </c>
      <c r="AN470" s="60">
        <v>18214.18</v>
      </c>
      <c r="AO470" s="60">
        <v>18214.18</v>
      </c>
      <c r="AP470" s="60">
        <v>18214.18</v>
      </c>
      <c r="AQ470" s="60">
        <v>18214.18</v>
      </c>
      <c r="AR470" s="61">
        <f t="shared" si="178"/>
        <v>109285.07999999999</v>
      </c>
      <c r="AS470" s="60">
        <v>18214.18</v>
      </c>
      <c r="AT470" s="60">
        <v>18214.18</v>
      </c>
      <c r="AU470" s="60">
        <v>18214.18</v>
      </c>
      <c r="AV470" s="60">
        <v>18214.18</v>
      </c>
      <c r="AW470" s="60">
        <v>18214.18</v>
      </c>
      <c r="AX470" s="60">
        <v>18214.18</v>
      </c>
      <c r="AY470" s="61">
        <f t="shared" si="179"/>
        <v>109285.07999999999</v>
      </c>
      <c r="AZ470" s="56">
        <f t="shared" si="169"/>
        <v>218570.15999999997</v>
      </c>
      <c r="BA470" s="62">
        <f t="shared" si="163"/>
        <v>2404272.6</v>
      </c>
      <c r="BB470" s="62">
        <f t="shared" si="180"/>
        <v>1967132.1599999985</v>
      </c>
      <c r="BC470" s="62">
        <f t="shared" si="167"/>
        <v>437140.44000000157</v>
      </c>
      <c r="BD470" s="63"/>
      <c r="BE470" s="57"/>
      <c r="BF470" s="35" t="str">
        <f>VLOOKUP(A:A,'2023-2027'!A:G,1,+FALSE)</f>
        <v>Дизель электростанция ДЭС электроснабжение объекта "Ненецкая СББЖ г.Нарьян-Мара"</v>
      </c>
      <c r="BG470" s="7" t="b">
        <f t="shared" ref="BG470:BG533" si="184">OR(EXACT(BF470,$A$4:$A$1071))</f>
        <v>1</v>
      </c>
      <c r="BH470" s="35">
        <f>VLOOKUP(A:A,'2023-2027'!A:AT,43,+FALSE)</f>
        <v>0</v>
      </c>
    </row>
    <row r="471" spans="1:60" ht="24" hidden="1" customHeight="1" outlineLevel="1" x14ac:dyDescent="0.2">
      <c r="A471" s="59" t="s">
        <v>1159</v>
      </c>
      <c r="B471" s="61" t="s">
        <v>38</v>
      </c>
      <c r="C471" s="61" t="s">
        <v>1091</v>
      </c>
      <c r="D471" s="66" t="s">
        <v>1160</v>
      </c>
      <c r="E471" s="59" t="s">
        <v>1161</v>
      </c>
      <c r="F471" s="60">
        <v>9872012.8699999992</v>
      </c>
      <c r="G471" s="60">
        <v>8500900.5999999996</v>
      </c>
      <c r="H471" s="60">
        <v>1371112.27</v>
      </c>
      <c r="I471" s="59"/>
      <c r="J471" s="60">
        <v>658133.88</v>
      </c>
      <c r="K471" s="59"/>
      <c r="L471" s="59"/>
      <c r="M471" s="60">
        <v>9872012.8699999992</v>
      </c>
      <c r="N471" s="60">
        <v>9159034.4800000004</v>
      </c>
      <c r="O471" s="60">
        <v>712978.39</v>
      </c>
      <c r="P471" s="55"/>
      <c r="Q471" s="55"/>
      <c r="R471" s="61">
        <f t="shared" si="175"/>
        <v>54844.49</v>
      </c>
      <c r="S471" s="60">
        <v>54844.49</v>
      </c>
      <c r="T471" s="60">
        <v>54844.49</v>
      </c>
      <c r="U471" s="60">
        <v>54844.49</v>
      </c>
      <c r="V471" s="60">
        <v>54844.49</v>
      </c>
      <c r="W471" s="60">
        <v>54844.49</v>
      </c>
      <c r="X471" s="61">
        <f t="shared" si="176"/>
        <v>329066.94</v>
      </c>
      <c r="Y471" s="60">
        <v>54844.49</v>
      </c>
      <c r="Z471" s="60">
        <v>54844.49</v>
      </c>
      <c r="AA471" s="60">
        <v>54844.49</v>
      </c>
      <c r="AB471" s="60">
        <v>54844.49</v>
      </c>
      <c r="AC471" s="60">
        <v>54844.49</v>
      </c>
      <c r="AD471" s="60">
        <v>54844.49</v>
      </c>
      <c r="AE471" s="61">
        <f t="shared" si="177"/>
        <v>329066.94</v>
      </c>
      <c r="AF471" s="62">
        <f t="shared" si="170"/>
        <v>9872012.8699999992</v>
      </c>
      <c r="AG471" s="62">
        <f t="shared" si="171"/>
        <v>9817168.3600000031</v>
      </c>
      <c r="AH471" s="62">
        <f t="shared" si="172"/>
        <v>54844.509999996051</v>
      </c>
      <c r="AI471" s="63"/>
      <c r="AJ471" s="63"/>
      <c r="AK471" s="62"/>
      <c r="AL471" s="60">
        <v>54844.51</v>
      </c>
      <c r="AM471" s="60"/>
      <c r="AN471" s="60"/>
      <c r="AO471" s="60"/>
      <c r="AP471" s="60"/>
      <c r="AQ471" s="60"/>
      <c r="AR471" s="61">
        <f t="shared" si="178"/>
        <v>54844.51</v>
      </c>
      <c r="AS471" s="60"/>
      <c r="AT471" s="60"/>
      <c r="AU471" s="60"/>
      <c r="AV471" s="60"/>
      <c r="AW471" s="60"/>
      <c r="AX471" s="60"/>
      <c r="AY471" s="61">
        <f t="shared" si="179"/>
        <v>0</v>
      </c>
      <c r="AZ471" s="56">
        <f t="shared" si="169"/>
        <v>54844.51</v>
      </c>
      <c r="BA471" s="62">
        <f t="shared" si="163"/>
        <v>9872012.8699999992</v>
      </c>
      <c r="BB471" s="62">
        <f t="shared" si="180"/>
        <v>9872012.8700000029</v>
      </c>
      <c r="BC471" s="62">
        <f t="shared" si="167"/>
        <v>0</v>
      </c>
      <c r="BD471" s="63"/>
      <c r="BE471" s="57"/>
      <c r="BF471" s="35" t="str">
        <f>VLOOKUP(A:A,'2023-2027'!A:G,1,+FALSE)</f>
        <v>Дизель-генератор ДГР 630/1000 с пневмопуском 2009г</v>
      </c>
      <c r="BG471" s="7" t="b">
        <f t="shared" si="184"/>
        <v>1</v>
      </c>
      <c r="BH471" s="35">
        <f>VLOOKUP(A:A,'2023-2027'!A:AT,43,+FALSE)</f>
        <v>64753.660000000025</v>
      </c>
    </row>
    <row r="472" spans="1:60" ht="12" hidden="1" customHeight="1" outlineLevel="1" x14ac:dyDescent="0.2">
      <c r="A472" s="59" t="s">
        <v>1162</v>
      </c>
      <c r="B472" s="61" t="s">
        <v>38</v>
      </c>
      <c r="C472" s="61" t="s">
        <v>1091</v>
      </c>
      <c r="D472" s="65" t="s">
        <v>1163</v>
      </c>
      <c r="E472" s="59" t="s">
        <v>1164</v>
      </c>
      <c r="F472" s="60">
        <v>269064</v>
      </c>
      <c r="G472" s="60">
        <v>231607.88</v>
      </c>
      <c r="H472" s="60">
        <v>37456.120000000003</v>
      </c>
      <c r="I472" s="59"/>
      <c r="J472" s="60">
        <v>7491.24</v>
      </c>
      <c r="K472" s="59"/>
      <c r="L472" s="59"/>
      <c r="M472" s="60">
        <v>269064</v>
      </c>
      <c r="N472" s="60">
        <v>239099.12</v>
      </c>
      <c r="O472" s="60">
        <v>29964.880000000001</v>
      </c>
      <c r="P472" s="55"/>
      <c r="Q472" s="55"/>
      <c r="R472" s="61">
        <f t="shared" si="175"/>
        <v>624.27</v>
      </c>
      <c r="S472" s="60">
        <v>624.27</v>
      </c>
      <c r="T472" s="60">
        <v>624.27</v>
      </c>
      <c r="U472" s="60">
        <v>624.27</v>
      </c>
      <c r="V472" s="60">
        <v>624.27</v>
      </c>
      <c r="W472" s="60">
        <v>624.27</v>
      </c>
      <c r="X472" s="61">
        <f t="shared" si="176"/>
        <v>3745.62</v>
      </c>
      <c r="Y472" s="60">
        <v>624.27</v>
      </c>
      <c r="Z472" s="60">
        <v>624.27</v>
      </c>
      <c r="AA472" s="60">
        <v>624.27</v>
      </c>
      <c r="AB472" s="60">
        <v>624.27</v>
      </c>
      <c r="AC472" s="60">
        <v>624.27</v>
      </c>
      <c r="AD472" s="60">
        <v>624.27</v>
      </c>
      <c r="AE472" s="61">
        <f t="shared" si="177"/>
        <v>3745.62</v>
      </c>
      <c r="AF472" s="62">
        <f t="shared" si="170"/>
        <v>269064</v>
      </c>
      <c r="AG472" s="62">
        <f t="shared" si="171"/>
        <v>246590.35999999987</v>
      </c>
      <c r="AH472" s="62">
        <f t="shared" si="172"/>
        <v>22473.64000000013</v>
      </c>
      <c r="AI472" s="63"/>
      <c r="AJ472" s="63"/>
      <c r="AK472" s="62"/>
      <c r="AL472" s="60">
        <v>624.27</v>
      </c>
      <c r="AM472" s="60">
        <v>624.27</v>
      </c>
      <c r="AN472" s="60">
        <v>624.27</v>
      </c>
      <c r="AO472" s="60">
        <v>624.27</v>
      </c>
      <c r="AP472" s="60">
        <v>624.27</v>
      </c>
      <c r="AQ472" s="60">
        <v>624.27</v>
      </c>
      <c r="AR472" s="61">
        <f t="shared" si="178"/>
        <v>3745.62</v>
      </c>
      <c r="AS472" s="60">
        <v>624.27</v>
      </c>
      <c r="AT472" s="60">
        <v>624.27</v>
      </c>
      <c r="AU472" s="60">
        <v>624.27</v>
      </c>
      <c r="AV472" s="60">
        <v>624.27</v>
      </c>
      <c r="AW472" s="60">
        <v>624.27</v>
      </c>
      <c r="AX472" s="60">
        <v>624.27</v>
      </c>
      <c r="AY472" s="61">
        <f t="shared" si="179"/>
        <v>3745.62</v>
      </c>
      <c r="AZ472" s="56">
        <f t="shared" si="169"/>
        <v>7491.24</v>
      </c>
      <c r="BA472" s="62">
        <f t="shared" si="163"/>
        <v>269064</v>
      </c>
      <c r="BB472" s="62">
        <f t="shared" si="180"/>
        <v>254081.59999999974</v>
      </c>
      <c r="BC472" s="62">
        <f t="shared" si="167"/>
        <v>14982.400000000256</v>
      </c>
      <c r="BD472" s="63"/>
      <c r="BE472" s="57"/>
      <c r="BF472" s="35" t="e">
        <f>VLOOKUP(A:A,'2023-2027'!A:G,1,+FALSE)</f>
        <v>#N/A</v>
      </c>
      <c r="BG472" s="7" t="e">
        <f t="shared" si="184"/>
        <v>#N/A</v>
      </c>
      <c r="BH472" s="35"/>
    </row>
    <row r="473" spans="1:60" ht="36" hidden="1" customHeight="1" outlineLevel="1" x14ac:dyDescent="0.2">
      <c r="A473" s="59" t="s">
        <v>1165</v>
      </c>
      <c r="B473" s="61" t="s">
        <v>38</v>
      </c>
      <c r="C473" s="61" t="s">
        <v>1091</v>
      </c>
      <c r="D473" s="66" t="s">
        <v>1166</v>
      </c>
      <c r="E473" s="59" t="s">
        <v>1138</v>
      </c>
      <c r="F473" s="60">
        <v>28190060.440000001</v>
      </c>
      <c r="G473" s="60">
        <v>18122181.84</v>
      </c>
      <c r="H473" s="60">
        <v>10067878.6</v>
      </c>
      <c r="I473" s="59"/>
      <c r="J473" s="60">
        <v>2013575.76</v>
      </c>
      <c r="K473" s="59"/>
      <c r="L473" s="59"/>
      <c r="M473" s="60">
        <v>28190060.440000001</v>
      </c>
      <c r="N473" s="60">
        <v>20135757.600000001</v>
      </c>
      <c r="O473" s="60">
        <v>8054302.8399999999</v>
      </c>
      <c r="P473" s="55"/>
      <c r="Q473" s="55"/>
      <c r="R473" s="61">
        <f t="shared" si="175"/>
        <v>167797.98</v>
      </c>
      <c r="S473" s="60">
        <v>167797.98</v>
      </c>
      <c r="T473" s="60">
        <v>167797.98</v>
      </c>
      <c r="U473" s="60">
        <v>167797.98</v>
      </c>
      <c r="V473" s="60">
        <v>167797.98</v>
      </c>
      <c r="W473" s="60">
        <v>167797.98</v>
      </c>
      <c r="X473" s="61">
        <f t="shared" si="176"/>
        <v>1006787.88</v>
      </c>
      <c r="Y473" s="60">
        <v>167797.98</v>
      </c>
      <c r="Z473" s="60">
        <v>167797.98</v>
      </c>
      <c r="AA473" s="60">
        <v>167797.98</v>
      </c>
      <c r="AB473" s="60">
        <v>167797.98</v>
      </c>
      <c r="AC473" s="60">
        <v>167797.98</v>
      </c>
      <c r="AD473" s="60">
        <v>167797.98</v>
      </c>
      <c r="AE473" s="61">
        <f t="shared" si="177"/>
        <v>1006787.88</v>
      </c>
      <c r="AF473" s="62">
        <f t="shared" si="170"/>
        <v>28190060.440000001</v>
      </c>
      <c r="AG473" s="62">
        <f t="shared" si="171"/>
        <v>22149333.360000007</v>
      </c>
      <c r="AH473" s="62">
        <f t="shared" si="172"/>
        <v>6040727.0799999945</v>
      </c>
      <c r="AI473" s="63"/>
      <c r="AJ473" s="63"/>
      <c r="AK473" s="62"/>
      <c r="AL473" s="60">
        <v>167797.98</v>
      </c>
      <c r="AM473" s="60">
        <v>167797.98</v>
      </c>
      <c r="AN473" s="60">
        <v>167797.98</v>
      </c>
      <c r="AO473" s="60">
        <v>167797.98</v>
      </c>
      <c r="AP473" s="60">
        <v>167797.98</v>
      </c>
      <c r="AQ473" s="60">
        <v>167797.98</v>
      </c>
      <c r="AR473" s="61">
        <f t="shared" si="178"/>
        <v>1006787.88</v>
      </c>
      <c r="AS473" s="60">
        <v>167797.98</v>
      </c>
      <c r="AT473" s="60">
        <v>167797.98</v>
      </c>
      <c r="AU473" s="60">
        <v>167797.98</v>
      </c>
      <c r="AV473" s="60">
        <v>167797.98</v>
      </c>
      <c r="AW473" s="60">
        <v>167797.98</v>
      </c>
      <c r="AX473" s="60">
        <v>167797.98</v>
      </c>
      <c r="AY473" s="61">
        <f t="shared" si="179"/>
        <v>1006787.88</v>
      </c>
      <c r="AZ473" s="56">
        <f t="shared" si="169"/>
        <v>2013575.76</v>
      </c>
      <c r="BA473" s="62">
        <f t="shared" si="163"/>
        <v>28190060.440000001</v>
      </c>
      <c r="BB473" s="62">
        <f t="shared" si="180"/>
        <v>24162909.120000012</v>
      </c>
      <c r="BC473" s="62">
        <f t="shared" si="167"/>
        <v>4027151.3199999891</v>
      </c>
      <c r="BD473" s="63"/>
      <c r="BE473" s="57"/>
      <c r="BF473" s="35" t="str">
        <f>VLOOKUP(A:A,'2023-2027'!A:G,1,+FALSE)</f>
        <v>Дизель-генераторная установка Caterpillar 3516BHD с двутопливной системой</v>
      </c>
      <c r="BG473" s="7" t="b">
        <f t="shared" si="184"/>
        <v>1</v>
      </c>
      <c r="BH473" s="35">
        <f>VLOOKUP(A:A,'2023-2027'!A:AT,43,+FALSE)</f>
        <v>0</v>
      </c>
    </row>
    <row r="474" spans="1:60" ht="24" hidden="1" customHeight="1" outlineLevel="1" x14ac:dyDescent="0.2">
      <c r="A474" s="59" t="s">
        <v>1167</v>
      </c>
      <c r="B474" s="61" t="s">
        <v>38</v>
      </c>
      <c r="C474" s="61" t="s">
        <v>1091</v>
      </c>
      <c r="D474" s="66" t="s">
        <v>1168</v>
      </c>
      <c r="E474" s="59" t="s">
        <v>1169</v>
      </c>
      <c r="F474" s="60">
        <v>3490808.3</v>
      </c>
      <c r="G474" s="60">
        <v>1861763.84</v>
      </c>
      <c r="H474" s="60">
        <v>1629044.46</v>
      </c>
      <c r="I474" s="59"/>
      <c r="J474" s="60">
        <v>174540.48</v>
      </c>
      <c r="K474" s="59"/>
      <c r="L474" s="59"/>
      <c r="M474" s="60">
        <v>3490808.3</v>
      </c>
      <c r="N474" s="60">
        <v>2036304.32</v>
      </c>
      <c r="O474" s="60">
        <v>1454503.98</v>
      </c>
      <c r="P474" s="55">
        <v>1541774.22</v>
      </c>
      <c r="Q474" s="55">
        <f t="shared" ref="Q474:Q475" si="185">P474*2.2%</f>
        <v>33919.03284</v>
      </c>
      <c r="R474" s="61">
        <f t="shared" si="175"/>
        <v>14545.04</v>
      </c>
      <c r="S474" s="60">
        <v>14545.04</v>
      </c>
      <c r="T474" s="60">
        <v>14545.04</v>
      </c>
      <c r="U474" s="60">
        <v>14545.04</v>
      </c>
      <c r="V474" s="60">
        <v>14545.04</v>
      </c>
      <c r="W474" s="60">
        <v>14545.04</v>
      </c>
      <c r="X474" s="61">
        <f t="shared" si="176"/>
        <v>87270.24000000002</v>
      </c>
      <c r="Y474" s="60">
        <v>14545.04</v>
      </c>
      <c r="Z474" s="60">
        <v>14545.04</v>
      </c>
      <c r="AA474" s="60">
        <v>14545.04</v>
      </c>
      <c r="AB474" s="60">
        <v>14545.04</v>
      </c>
      <c r="AC474" s="60">
        <v>14545.04</v>
      </c>
      <c r="AD474" s="60">
        <v>14545.04</v>
      </c>
      <c r="AE474" s="61">
        <f t="shared" si="177"/>
        <v>87270.24000000002</v>
      </c>
      <c r="AF474" s="62">
        <f t="shared" si="170"/>
        <v>3490808.3</v>
      </c>
      <c r="AG474" s="62">
        <f t="shared" si="171"/>
        <v>2210844.8000000003</v>
      </c>
      <c r="AH474" s="62">
        <f t="shared" si="172"/>
        <v>1279963.4999999995</v>
      </c>
      <c r="AI474" s="63">
        <v>1367233.7399999998</v>
      </c>
      <c r="AJ474" s="63">
        <f t="shared" ref="AJ474:AJ475" si="186">AI474*2.2%</f>
        <v>30079.142279999996</v>
      </c>
      <c r="AK474" s="62"/>
      <c r="AL474" s="60">
        <v>14545.04</v>
      </c>
      <c r="AM474" s="60">
        <v>14545.04</v>
      </c>
      <c r="AN474" s="60">
        <v>14545.04</v>
      </c>
      <c r="AO474" s="60">
        <v>14545.04</v>
      </c>
      <c r="AP474" s="60">
        <v>14545.04</v>
      </c>
      <c r="AQ474" s="60">
        <v>14545.04</v>
      </c>
      <c r="AR474" s="61">
        <f t="shared" si="178"/>
        <v>87270.24000000002</v>
      </c>
      <c r="AS474" s="60">
        <v>14545.04</v>
      </c>
      <c r="AT474" s="60">
        <v>14545.04</v>
      </c>
      <c r="AU474" s="60">
        <v>14545.04</v>
      </c>
      <c r="AV474" s="60">
        <v>14545.04</v>
      </c>
      <c r="AW474" s="60">
        <v>14545.04</v>
      </c>
      <c r="AX474" s="60">
        <v>14545.04</v>
      </c>
      <c r="AY474" s="61">
        <f t="shared" si="179"/>
        <v>87270.24000000002</v>
      </c>
      <c r="AZ474" s="56">
        <f t="shared" si="169"/>
        <v>174540.48000000004</v>
      </c>
      <c r="BA474" s="62">
        <f t="shared" si="163"/>
        <v>3490808.3</v>
      </c>
      <c r="BB474" s="62">
        <f t="shared" si="180"/>
        <v>2385385.2800000007</v>
      </c>
      <c r="BC474" s="62">
        <f t="shared" si="167"/>
        <v>1105423.0199999991</v>
      </c>
      <c r="BD474" s="63">
        <v>1192693.2599999993</v>
      </c>
      <c r="BE474" s="57">
        <f t="shared" ref="BE474:BE475" si="187">BD474*2.2%</f>
        <v>26239.251719999986</v>
      </c>
      <c r="BF474" s="35" t="str">
        <f>VLOOKUP(A:A,'2023-2027'!A:G,1,+FALSE)</f>
        <v>Дорожное покрытие на территории электростанции</v>
      </c>
      <c r="BG474" s="7" t="b">
        <f t="shared" si="184"/>
        <v>1</v>
      </c>
      <c r="BH474" s="35">
        <f>VLOOKUP(A:A,'2023-2027'!A:AT,43,+FALSE)</f>
        <v>16475.310000000001</v>
      </c>
    </row>
    <row r="475" spans="1:60" ht="12" hidden="1" customHeight="1" outlineLevel="1" x14ac:dyDescent="0.2">
      <c r="A475" s="59" t="s">
        <v>1170</v>
      </c>
      <c r="B475" s="61" t="s">
        <v>38</v>
      </c>
      <c r="C475" s="61" t="s">
        <v>1091</v>
      </c>
      <c r="D475" s="65" t="s">
        <v>1171</v>
      </c>
      <c r="E475" s="59" t="s">
        <v>1172</v>
      </c>
      <c r="F475" s="60">
        <v>241092</v>
      </c>
      <c r="G475" s="60">
        <v>228817.71</v>
      </c>
      <c r="H475" s="60">
        <v>12274.29</v>
      </c>
      <c r="I475" s="59"/>
      <c r="J475" s="60">
        <v>4091.4</v>
      </c>
      <c r="K475" s="59"/>
      <c r="L475" s="59"/>
      <c r="M475" s="60">
        <v>241092</v>
      </c>
      <c r="N475" s="60">
        <v>232909.11</v>
      </c>
      <c r="O475" s="60">
        <v>8182.89</v>
      </c>
      <c r="P475" s="55">
        <v>10228.59</v>
      </c>
      <c r="Q475" s="55">
        <f t="shared" si="185"/>
        <v>225.02898000000002</v>
      </c>
      <c r="R475" s="61">
        <f t="shared" si="175"/>
        <v>340.95</v>
      </c>
      <c r="S475" s="60">
        <v>340.95</v>
      </c>
      <c r="T475" s="60">
        <v>340.95</v>
      </c>
      <c r="U475" s="60">
        <v>340.95</v>
      </c>
      <c r="V475" s="60">
        <v>340.95</v>
      </c>
      <c r="W475" s="60">
        <v>340.95</v>
      </c>
      <c r="X475" s="61">
        <f t="shared" si="176"/>
        <v>2045.7</v>
      </c>
      <c r="Y475" s="60">
        <v>340.95</v>
      </c>
      <c r="Z475" s="60">
        <v>340.95</v>
      </c>
      <c r="AA475" s="60">
        <v>340.95</v>
      </c>
      <c r="AB475" s="60">
        <v>340.95</v>
      </c>
      <c r="AC475" s="60">
        <v>340.95</v>
      </c>
      <c r="AD475" s="60">
        <v>340.95</v>
      </c>
      <c r="AE475" s="61">
        <f t="shared" si="177"/>
        <v>2045.7</v>
      </c>
      <c r="AF475" s="62">
        <f t="shared" si="170"/>
        <v>241092</v>
      </c>
      <c r="AG475" s="62">
        <f t="shared" si="171"/>
        <v>237000.51000000013</v>
      </c>
      <c r="AH475" s="62">
        <f t="shared" si="172"/>
        <v>4091.4899999998743</v>
      </c>
      <c r="AI475" s="63">
        <v>6137.1899999999969</v>
      </c>
      <c r="AJ475" s="63">
        <f t="shared" si="186"/>
        <v>135.01817999999994</v>
      </c>
      <c r="AK475" s="62"/>
      <c r="AL475" s="60">
        <v>340.95</v>
      </c>
      <c r="AM475" s="60">
        <v>340.95</v>
      </c>
      <c r="AN475" s="60">
        <v>340.95</v>
      </c>
      <c r="AO475" s="60">
        <v>340.95</v>
      </c>
      <c r="AP475" s="60">
        <v>340.95</v>
      </c>
      <c r="AQ475" s="60">
        <v>340.95</v>
      </c>
      <c r="AR475" s="61">
        <f t="shared" si="178"/>
        <v>2045.7</v>
      </c>
      <c r="AS475" s="60">
        <v>340.95</v>
      </c>
      <c r="AT475" s="60">
        <v>340.95</v>
      </c>
      <c r="AU475" s="60">
        <v>340.95</v>
      </c>
      <c r="AV475" s="60">
        <v>340.95</v>
      </c>
      <c r="AW475" s="60">
        <v>340.95</v>
      </c>
      <c r="AX475" s="60">
        <v>340.95</v>
      </c>
      <c r="AY475" s="61">
        <f t="shared" si="179"/>
        <v>2045.7</v>
      </c>
      <c r="AZ475" s="56">
        <f t="shared" si="169"/>
        <v>4091.4</v>
      </c>
      <c r="BA475" s="62">
        <f t="shared" si="163"/>
        <v>241092</v>
      </c>
      <c r="BB475" s="62">
        <f t="shared" si="180"/>
        <v>241091.91000000027</v>
      </c>
      <c r="BC475" s="62">
        <f t="shared" si="167"/>
        <v>8.9999999734573066E-2</v>
      </c>
      <c r="BD475" s="63">
        <v>2045.7899999999865</v>
      </c>
      <c r="BE475" s="57">
        <f t="shared" si="187"/>
        <v>45.007379999999706</v>
      </c>
      <c r="BF475" s="35" t="e">
        <f>VLOOKUP(A:A,'2023-2027'!A:G,1,+FALSE)</f>
        <v>#N/A</v>
      </c>
      <c r="BG475" s="7" t="e">
        <f t="shared" si="184"/>
        <v>#N/A</v>
      </c>
      <c r="BH475" s="35"/>
    </row>
    <row r="476" spans="1:60" ht="36" hidden="1" customHeight="1" outlineLevel="1" x14ac:dyDescent="0.2">
      <c r="A476" s="59" t="s">
        <v>1173</v>
      </c>
      <c r="B476" s="61" t="s">
        <v>38</v>
      </c>
      <c r="C476" s="61" t="s">
        <v>1091</v>
      </c>
      <c r="D476" s="66" t="s">
        <v>1174</v>
      </c>
      <c r="E476" s="59" t="s">
        <v>1113</v>
      </c>
      <c r="F476" s="60">
        <v>58050.85</v>
      </c>
      <c r="G476" s="60">
        <v>31927.5</v>
      </c>
      <c r="H476" s="60">
        <v>26123.35</v>
      </c>
      <c r="I476" s="59"/>
      <c r="J476" s="60">
        <v>3870.12</v>
      </c>
      <c r="K476" s="59"/>
      <c r="L476" s="59"/>
      <c r="M476" s="60">
        <v>58050.85</v>
      </c>
      <c r="N476" s="60">
        <v>35797.620000000003</v>
      </c>
      <c r="O476" s="60">
        <v>22253.23</v>
      </c>
      <c r="P476" s="55"/>
      <c r="Q476" s="55"/>
      <c r="R476" s="61">
        <f t="shared" si="175"/>
        <v>322.51</v>
      </c>
      <c r="S476" s="60">
        <v>322.51</v>
      </c>
      <c r="T476" s="60">
        <v>322.51</v>
      </c>
      <c r="U476" s="60">
        <v>322.51</v>
      </c>
      <c r="V476" s="60">
        <v>322.51</v>
      </c>
      <c r="W476" s="60">
        <v>322.51</v>
      </c>
      <c r="X476" s="61">
        <f t="shared" si="176"/>
        <v>1935.06</v>
      </c>
      <c r="Y476" s="60">
        <v>322.51</v>
      </c>
      <c r="Z476" s="60">
        <v>322.51</v>
      </c>
      <c r="AA476" s="60">
        <v>322.51</v>
      </c>
      <c r="AB476" s="60">
        <v>322.51</v>
      </c>
      <c r="AC476" s="60">
        <v>322.51</v>
      </c>
      <c r="AD476" s="60">
        <v>322.51</v>
      </c>
      <c r="AE476" s="61">
        <f t="shared" si="177"/>
        <v>1935.06</v>
      </c>
      <c r="AF476" s="62">
        <f t="shared" si="170"/>
        <v>58050.85</v>
      </c>
      <c r="AG476" s="62">
        <f t="shared" si="171"/>
        <v>39667.740000000027</v>
      </c>
      <c r="AH476" s="62">
        <f t="shared" si="172"/>
        <v>18383.109999999971</v>
      </c>
      <c r="AI476" s="63"/>
      <c r="AJ476" s="63"/>
      <c r="AK476" s="62"/>
      <c r="AL476" s="60">
        <v>322.51</v>
      </c>
      <c r="AM476" s="60">
        <v>322.51</v>
      </c>
      <c r="AN476" s="60">
        <v>322.51</v>
      </c>
      <c r="AO476" s="60">
        <v>322.51</v>
      </c>
      <c r="AP476" s="60">
        <v>322.51</v>
      </c>
      <c r="AQ476" s="60">
        <v>322.51</v>
      </c>
      <c r="AR476" s="61">
        <f t="shared" si="178"/>
        <v>1935.06</v>
      </c>
      <c r="AS476" s="60">
        <v>322.51</v>
      </c>
      <c r="AT476" s="60">
        <v>322.51</v>
      </c>
      <c r="AU476" s="60">
        <v>322.51</v>
      </c>
      <c r="AV476" s="60">
        <v>322.51</v>
      </c>
      <c r="AW476" s="60">
        <v>322.51</v>
      </c>
      <c r="AX476" s="60">
        <v>322.51</v>
      </c>
      <c r="AY476" s="61">
        <f t="shared" si="179"/>
        <v>1935.06</v>
      </c>
      <c r="AZ476" s="56">
        <f t="shared" si="169"/>
        <v>3870.12</v>
      </c>
      <c r="BA476" s="62">
        <f t="shared" si="163"/>
        <v>58050.85</v>
      </c>
      <c r="BB476" s="62">
        <f t="shared" si="180"/>
        <v>43537.860000000052</v>
      </c>
      <c r="BC476" s="62">
        <f t="shared" si="167"/>
        <v>14512.989999999947</v>
      </c>
      <c r="BD476" s="63"/>
      <c r="BE476" s="57"/>
      <c r="BF476" s="35" t="str">
        <f>VLOOKUP(A:A,'2023-2027'!A:G,1,+FALSE)</f>
        <v>Зарядное с автоматическим циклом зарядки 24В, 35А СТЕК МХТS 70</v>
      </c>
      <c r="BG476" s="7" t="b">
        <f t="shared" si="184"/>
        <v>1</v>
      </c>
      <c r="BH476" s="35">
        <f>VLOOKUP(A:A,'2023-2027'!A:AT,43,+FALSE)</f>
        <v>322.51</v>
      </c>
    </row>
    <row r="477" spans="1:60" ht="12" hidden="1" customHeight="1" outlineLevel="1" x14ac:dyDescent="0.2">
      <c r="A477" s="59" t="s">
        <v>1175</v>
      </c>
      <c r="B477" s="61" t="s">
        <v>38</v>
      </c>
      <c r="C477" s="61" t="s">
        <v>1091</v>
      </c>
      <c r="D477" s="65" t="s">
        <v>1176</v>
      </c>
      <c r="E477" s="59" t="s">
        <v>1172</v>
      </c>
      <c r="F477" s="60">
        <v>120549</v>
      </c>
      <c r="G477" s="60">
        <v>114412.21</v>
      </c>
      <c r="H477" s="60">
        <v>6136.79</v>
      </c>
      <c r="I477" s="59"/>
      <c r="J477" s="60">
        <v>2045.63</v>
      </c>
      <c r="K477" s="59"/>
      <c r="L477" s="59"/>
      <c r="M477" s="60">
        <v>120549</v>
      </c>
      <c r="N477" s="60">
        <v>116457.84</v>
      </c>
      <c r="O477" s="60">
        <v>4091.16</v>
      </c>
      <c r="P477" s="55">
        <v>5113.97</v>
      </c>
      <c r="Q477" s="55">
        <f>P477*2.2%</f>
        <v>112.50734000000001</v>
      </c>
      <c r="R477" s="61">
        <f>J477/12</f>
        <v>170.46916666666667</v>
      </c>
      <c r="S477" s="60">
        <v>170.46916669999999</v>
      </c>
      <c r="T477" s="60">
        <v>170.46916669999999</v>
      </c>
      <c r="U477" s="60">
        <v>170.46916669999999</v>
      </c>
      <c r="V477" s="60">
        <v>170.46916669999999</v>
      </c>
      <c r="W477" s="60">
        <v>170.46916669999999</v>
      </c>
      <c r="X477" s="61">
        <f>R477+S477+T477+U477+V477+W477</f>
        <v>1022.8150001666666</v>
      </c>
      <c r="Y477" s="60">
        <v>170.46916669999999</v>
      </c>
      <c r="Z477" s="60">
        <v>170.46916669999999</v>
      </c>
      <c r="AA477" s="60">
        <v>170.46916669999999</v>
      </c>
      <c r="AB477" s="60">
        <v>170.46916669999999</v>
      </c>
      <c r="AC477" s="60">
        <v>170.46916669999999</v>
      </c>
      <c r="AD477" s="60">
        <v>170.46916669999999</v>
      </c>
      <c r="AE477" s="61">
        <f>Y477+Z477+AA477+AB477+AC477+AD477</f>
        <v>1022.8150001999999</v>
      </c>
      <c r="AF477" s="62">
        <f>M477</f>
        <v>120549</v>
      </c>
      <c r="AG477" s="62">
        <f>N477+R477+S477+T477+U477+V477+W477+Y477+Z477+AA477+AB477+AC477+AD477</f>
        <v>118503.47000036667</v>
      </c>
      <c r="AH477" s="62">
        <f>AF477-AG477</f>
        <v>2045.5299996333342</v>
      </c>
      <c r="AI477" s="63">
        <v>3068.3399999999988</v>
      </c>
      <c r="AJ477" s="63">
        <f t="shared" ref="AJ477" si="188">AI477*2.2%</f>
        <v>67.503479999999982</v>
      </c>
      <c r="AK477" s="62"/>
      <c r="AL477" s="60">
        <v>170.46916669999999</v>
      </c>
      <c r="AM477" s="60">
        <v>170.46916669999999</v>
      </c>
      <c r="AN477" s="60">
        <v>170.46916669999999</v>
      </c>
      <c r="AO477" s="60">
        <v>170.46916669999999</v>
      </c>
      <c r="AP477" s="60">
        <v>170.46916669999999</v>
      </c>
      <c r="AQ477" s="60">
        <v>170.46916669999999</v>
      </c>
      <c r="AR477" s="61">
        <f>AL477+AM477+AN477+AO477+AP477+AQ477</f>
        <v>1022.8150001999999</v>
      </c>
      <c r="AS477" s="60">
        <v>170.46916669999999</v>
      </c>
      <c r="AT477" s="60">
        <v>170.46916669999999</v>
      </c>
      <c r="AU477" s="60">
        <v>170.46916669999999</v>
      </c>
      <c r="AV477" s="60">
        <v>170.46916669999999</v>
      </c>
      <c r="AW477" s="60">
        <v>170.46916669999999</v>
      </c>
      <c r="AX477" s="60">
        <v>170.36500000000001</v>
      </c>
      <c r="AY477" s="61">
        <f>AS477+AT477+AU477+AV477+AW477+AX477</f>
        <v>1022.7108334999999</v>
      </c>
      <c r="AZ477" s="56">
        <f t="shared" si="169"/>
        <v>2045.5258336999998</v>
      </c>
      <c r="BA477" s="62">
        <f>AF477</f>
        <v>120549</v>
      </c>
      <c r="BB477" s="62">
        <f>AG477+AL477+AM477+AN477+AO477+AP477+AQ477+AS477+AT477+AU477+AV477+AW477+AX477</f>
        <v>120548.99583406668</v>
      </c>
      <c r="BC477" s="62">
        <f>BA477-BB477</f>
        <v>4.1659333219286054E-3</v>
      </c>
      <c r="BD477" s="63">
        <v>1022.7092307692263</v>
      </c>
      <c r="BE477" s="57">
        <f t="shared" ref="BE477" si="189">BD477*2.2%</f>
        <v>22.49960307692298</v>
      </c>
      <c r="BF477" s="35" t="e">
        <f>VLOOKUP(A:A,'2023-2027'!A:G,1,+FALSE)</f>
        <v>#N/A</v>
      </c>
      <c r="BG477" s="7" t="e">
        <f t="shared" si="184"/>
        <v>#N/A</v>
      </c>
      <c r="BH477" s="35"/>
    </row>
    <row r="478" spans="1:60" ht="36" hidden="1" customHeight="1" outlineLevel="1" x14ac:dyDescent="0.2">
      <c r="A478" s="59" t="s">
        <v>1177</v>
      </c>
      <c r="B478" s="61" t="s">
        <v>38</v>
      </c>
      <c r="C478" s="61" t="s">
        <v>1091</v>
      </c>
      <c r="D478" s="66" t="s">
        <v>1178</v>
      </c>
      <c r="E478" s="59" t="s">
        <v>540</v>
      </c>
      <c r="F478" s="60">
        <v>85000</v>
      </c>
      <c r="G478" s="60">
        <v>61093.52</v>
      </c>
      <c r="H478" s="60">
        <v>23906.48</v>
      </c>
      <c r="I478" s="59"/>
      <c r="J478" s="60">
        <v>7968.84</v>
      </c>
      <c r="K478" s="59"/>
      <c r="L478" s="59"/>
      <c r="M478" s="60">
        <v>85000</v>
      </c>
      <c r="N478" s="60">
        <v>69062.36</v>
      </c>
      <c r="O478" s="60">
        <v>15937.64</v>
      </c>
      <c r="P478" s="55"/>
      <c r="Q478" s="55"/>
      <c r="R478" s="61">
        <f t="shared" si="175"/>
        <v>664.07</v>
      </c>
      <c r="S478" s="60">
        <v>664.07</v>
      </c>
      <c r="T478" s="60">
        <v>664.07</v>
      </c>
      <c r="U478" s="60">
        <v>664.07</v>
      </c>
      <c r="V478" s="60">
        <v>664.07</v>
      </c>
      <c r="W478" s="60">
        <v>664.07</v>
      </c>
      <c r="X478" s="61">
        <f t="shared" si="176"/>
        <v>3984.4200000000005</v>
      </c>
      <c r="Y478" s="60">
        <v>664.07</v>
      </c>
      <c r="Z478" s="60">
        <v>664.07</v>
      </c>
      <c r="AA478" s="60">
        <v>664.07</v>
      </c>
      <c r="AB478" s="60">
        <v>664.07</v>
      </c>
      <c r="AC478" s="60">
        <v>664.07</v>
      </c>
      <c r="AD478" s="60">
        <v>664.07</v>
      </c>
      <c r="AE478" s="61">
        <f t="shared" si="177"/>
        <v>3984.4200000000005</v>
      </c>
      <c r="AF478" s="62">
        <f t="shared" si="170"/>
        <v>85000</v>
      </c>
      <c r="AG478" s="62">
        <f t="shared" si="171"/>
        <v>77031.200000000084</v>
      </c>
      <c r="AH478" s="62">
        <f t="shared" si="172"/>
        <v>7968.7999999999156</v>
      </c>
      <c r="AI478" s="63"/>
      <c r="AJ478" s="63"/>
      <c r="AK478" s="62"/>
      <c r="AL478" s="60">
        <v>664.07</v>
      </c>
      <c r="AM478" s="60">
        <v>664.07</v>
      </c>
      <c r="AN478" s="60">
        <v>664.07</v>
      </c>
      <c r="AO478" s="60">
        <v>664.07</v>
      </c>
      <c r="AP478" s="60">
        <v>664.07</v>
      </c>
      <c r="AQ478" s="60">
        <v>664.07</v>
      </c>
      <c r="AR478" s="61">
        <f t="shared" si="178"/>
        <v>3984.4200000000005</v>
      </c>
      <c r="AS478" s="60">
        <v>664.07</v>
      </c>
      <c r="AT478" s="60">
        <v>664.07</v>
      </c>
      <c r="AU478" s="60">
        <v>664.07</v>
      </c>
      <c r="AV478" s="60">
        <v>664.07</v>
      </c>
      <c r="AW478" s="60">
        <v>664.07</v>
      </c>
      <c r="AX478" s="60">
        <v>664.02499999999998</v>
      </c>
      <c r="AY478" s="61">
        <f t="shared" si="179"/>
        <v>3984.3750000000005</v>
      </c>
      <c r="AZ478" s="56">
        <f t="shared" si="169"/>
        <v>7968.795000000001</v>
      </c>
      <c r="BA478" s="62">
        <f t="shared" si="163"/>
        <v>85000</v>
      </c>
      <c r="BB478" s="62">
        <f t="shared" si="180"/>
        <v>84999.995000000155</v>
      </c>
      <c r="BC478" s="62">
        <f t="shared" si="167"/>
        <v>4.9999998445855454E-3</v>
      </c>
      <c r="BD478" s="63"/>
      <c r="BE478" s="57"/>
      <c r="BF478" s="35" t="str">
        <f>VLOOKUP(A:A,'2023-2027'!A:G,1,+FALSE)</f>
        <v>Инвертор плазменной резки Nelwin Superior Plasma 60 HF 400V</v>
      </c>
      <c r="BG478" s="7" t="b">
        <f t="shared" si="184"/>
        <v>1</v>
      </c>
      <c r="BH478" s="35">
        <f>VLOOKUP(A:A,'2023-2027'!A:AT,43,+FALSE)</f>
        <v>0</v>
      </c>
    </row>
    <row r="479" spans="1:60" ht="12" hidden="1" customHeight="1" outlineLevel="1" x14ac:dyDescent="0.2">
      <c r="A479" s="59" t="s">
        <v>1179</v>
      </c>
      <c r="B479" s="61" t="s">
        <v>38</v>
      </c>
      <c r="C479" s="61" t="s">
        <v>1091</v>
      </c>
      <c r="D479" s="66" t="s">
        <v>1180</v>
      </c>
      <c r="E479" s="59" t="s">
        <v>1181</v>
      </c>
      <c r="F479" s="60">
        <v>239750</v>
      </c>
      <c r="G479" s="60">
        <v>29968.799999999999</v>
      </c>
      <c r="H479" s="60">
        <v>209781.2</v>
      </c>
      <c r="I479" s="59"/>
      <c r="J479" s="60">
        <v>11987.52</v>
      </c>
      <c r="K479" s="59"/>
      <c r="L479" s="59"/>
      <c r="M479" s="60">
        <v>239750</v>
      </c>
      <c r="N479" s="60">
        <v>41956.32</v>
      </c>
      <c r="O479" s="60">
        <v>197793.68</v>
      </c>
      <c r="P479" s="55"/>
      <c r="Q479" s="55"/>
      <c r="R479" s="61">
        <f t="shared" si="175"/>
        <v>998.96</v>
      </c>
      <c r="S479" s="60">
        <v>998.96</v>
      </c>
      <c r="T479" s="60">
        <v>998.96</v>
      </c>
      <c r="U479" s="60">
        <v>998.96</v>
      </c>
      <c r="V479" s="60">
        <v>998.96</v>
      </c>
      <c r="W479" s="60">
        <v>998.96</v>
      </c>
      <c r="X479" s="61">
        <f t="shared" si="176"/>
        <v>5993.76</v>
      </c>
      <c r="Y479" s="60">
        <v>998.96</v>
      </c>
      <c r="Z479" s="60">
        <v>998.96</v>
      </c>
      <c r="AA479" s="60">
        <v>998.96</v>
      </c>
      <c r="AB479" s="60">
        <v>998.96</v>
      </c>
      <c r="AC479" s="60">
        <v>998.96</v>
      </c>
      <c r="AD479" s="60">
        <v>998.96</v>
      </c>
      <c r="AE479" s="61">
        <f t="shared" si="177"/>
        <v>5993.76</v>
      </c>
      <c r="AF479" s="62">
        <f t="shared" si="170"/>
        <v>239750</v>
      </c>
      <c r="AG479" s="62">
        <f t="shared" si="171"/>
        <v>53943.839999999989</v>
      </c>
      <c r="AH479" s="62">
        <f t="shared" si="172"/>
        <v>185806.16</v>
      </c>
      <c r="AI479" s="63"/>
      <c r="AJ479" s="63"/>
      <c r="AK479" s="62"/>
      <c r="AL479" s="60">
        <v>998.96</v>
      </c>
      <c r="AM479" s="60">
        <v>998.96</v>
      </c>
      <c r="AN479" s="60">
        <v>998.96</v>
      </c>
      <c r="AO479" s="60">
        <v>998.96</v>
      </c>
      <c r="AP479" s="60">
        <v>998.96</v>
      </c>
      <c r="AQ479" s="60">
        <v>998.96</v>
      </c>
      <c r="AR479" s="61">
        <f t="shared" si="178"/>
        <v>5993.76</v>
      </c>
      <c r="AS479" s="60">
        <v>998.96</v>
      </c>
      <c r="AT479" s="60">
        <v>998.96</v>
      </c>
      <c r="AU479" s="60">
        <v>998.96</v>
      </c>
      <c r="AV479" s="60">
        <v>998.96</v>
      </c>
      <c r="AW479" s="60">
        <v>998.96</v>
      </c>
      <c r="AX479" s="60">
        <v>998.96</v>
      </c>
      <c r="AY479" s="61">
        <f t="shared" si="179"/>
        <v>5993.76</v>
      </c>
      <c r="AZ479" s="56">
        <f t="shared" si="169"/>
        <v>11987.52</v>
      </c>
      <c r="BA479" s="62">
        <f t="shared" si="163"/>
        <v>239750</v>
      </c>
      <c r="BB479" s="62">
        <f t="shared" si="180"/>
        <v>65931.359999999986</v>
      </c>
      <c r="BC479" s="62">
        <f t="shared" si="167"/>
        <v>173818.64</v>
      </c>
      <c r="BD479" s="63"/>
      <c r="BE479" s="57"/>
      <c r="BF479" s="35" t="str">
        <f>VLOOKUP(A:A,'2023-2027'!A:G,1,+FALSE)</f>
        <v>Компрессор REMEZA BP 10-30</v>
      </c>
      <c r="BG479" s="7" t="b">
        <f t="shared" si="184"/>
        <v>1</v>
      </c>
      <c r="BH479" s="35">
        <f>VLOOKUP(A:A,'2023-2027'!A:AT,43,+FALSE)</f>
        <v>998.9599999999997</v>
      </c>
    </row>
    <row r="480" spans="1:60" ht="12" hidden="1" customHeight="1" outlineLevel="1" x14ac:dyDescent="0.2">
      <c r="A480" s="59" t="s">
        <v>1182</v>
      </c>
      <c r="B480" s="61" t="s">
        <v>38</v>
      </c>
      <c r="C480" s="61" t="s">
        <v>1091</v>
      </c>
      <c r="D480" s="66" t="s">
        <v>1183</v>
      </c>
      <c r="E480" s="59" t="s">
        <v>587</v>
      </c>
      <c r="F480" s="60">
        <v>50847.46</v>
      </c>
      <c r="G480" s="60">
        <v>29378.959999999999</v>
      </c>
      <c r="H480" s="60">
        <v>21468.5</v>
      </c>
      <c r="I480" s="59"/>
      <c r="J480" s="60">
        <v>3389.76</v>
      </c>
      <c r="K480" s="59"/>
      <c r="L480" s="59"/>
      <c r="M480" s="60">
        <v>50847.46</v>
      </c>
      <c r="N480" s="60">
        <v>32768.720000000001</v>
      </c>
      <c r="O480" s="60">
        <v>18078.740000000002</v>
      </c>
      <c r="P480" s="55"/>
      <c r="Q480" s="55"/>
      <c r="R480" s="61">
        <f t="shared" si="175"/>
        <v>282.48</v>
      </c>
      <c r="S480" s="60">
        <v>282.48</v>
      </c>
      <c r="T480" s="60">
        <v>282.48</v>
      </c>
      <c r="U480" s="60">
        <v>282.48</v>
      </c>
      <c r="V480" s="60">
        <v>282.48</v>
      </c>
      <c r="W480" s="60">
        <v>282.48</v>
      </c>
      <c r="X480" s="61">
        <f t="shared" si="176"/>
        <v>1694.88</v>
      </c>
      <c r="Y480" s="60">
        <v>282.48</v>
      </c>
      <c r="Z480" s="60">
        <v>282.48</v>
      </c>
      <c r="AA480" s="60">
        <v>282.48</v>
      </c>
      <c r="AB480" s="60">
        <v>282.48</v>
      </c>
      <c r="AC480" s="60">
        <v>282.48</v>
      </c>
      <c r="AD480" s="60">
        <v>282.48</v>
      </c>
      <c r="AE480" s="61">
        <f t="shared" si="177"/>
        <v>1694.88</v>
      </c>
      <c r="AF480" s="62">
        <f t="shared" si="170"/>
        <v>50847.46</v>
      </c>
      <c r="AG480" s="62">
        <f t="shared" si="171"/>
        <v>36158.48000000004</v>
      </c>
      <c r="AH480" s="62">
        <f t="shared" si="172"/>
        <v>14688.97999999996</v>
      </c>
      <c r="AI480" s="63"/>
      <c r="AJ480" s="63"/>
      <c r="AK480" s="62"/>
      <c r="AL480" s="60">
        <v>282.48</v>
      </c>
      <c r="AM480" s="60">
        <v>282.48</v>
      </c>
      <c r="AN480" s="60">
        <v>282.48</v>
      </c>
      <c r="AO480" s="60">
        <v>282.48</v>
      </c>
      <c r="AP480" s="60">
        <v>282.48</v>
      </c>
      <c r="AQ480" s="60">
        <v>282.48</v>
      </c>
      <c r="AR480" s="61">
        <f t="shared" si="178"/>
        <v>1694.88</v>
      </c>
      <c r="AS480" s="60">
        <v>282.48</v>
      </c>
      <c r="AT480" s="60">
        <v>282.48</v>
      </c>
      <c r="AU480" s="60">
        <v>282.48</v>
      </c>
      <c r="AV480" s="60">
        <v>282.48</v>
      </c>
      <c r="AW480" s="60">
        <v>282.48</v>
      </c>
      <c r="AX480" s="60">
        <v>282.48</v>
      </c>
      <c r="AY480" s="61">
        <f t="shared" si="179"/>
        <v>1694.88</v>
      </c>
      <c r="AZ480" s="56">
        <f t="shared" si="169"/>
        <v>3389.76</v>
      </c>
      <c r="BA480" s="62">
        <f t="shared" si="163"/>
        <v>50847.46</v>
      </c>
      <c r="BB480" s="62">
        <f t="shared" si="180"/>
        <v>39548.240000000078</v>
      </c>
      <c r="BC480" s="62">
        <f t="shared" si="167"/>
        <v>11299.219999999921</v>
      </c>
      <c r="BD480" s="63"/>
      <c r="BE480" s="57"/>
      <c r="BF480" s="35" t="str">
        <f>VLOOKUP(A:A,'2023-2027'!A:G,1,+FALSE)</f>
        <v>Контейнер 20 ф №2</v>
      </c>
      <c r="BG480" s="7" t="b">
        <f t="shared" si="184"/>
        <v>1</v>
      </c>
      <c r="BH480" s="35">
        <f>VLOOKUP(A:A,'2023-2027'!A:AT,43,+FALSE)</f>
        <v>282.48</v>
      </c>
    </row>
    <row r="481" spans="1:60" ht="12" hidden="1" customHeight="1" outlineLevel="1" x14ac:dyDescent="0.2">
      <c r="A481" s="59" t="s">
        <v>1184</v>
      </c>
      <c r="B481" s="61" t="s">
        <v>38</v>
      </c>
      <c r="C481" s="61" t="s">
        <v>1091</v>
      </c>
      <c r="D481" s="65" t="s">
        <v>1185</v>
      </c>
      <c r="E481" s="59" t="s">
        <v>1186</v>
      </c>
      <c r="F481" s="60">
        <v>4080</v>
      </c>
      <c r="G481" s="60">
        <v>4080</v>
      </c>
      <c r="H481" s="59"/>
      <c r="I481" s="59"/>
      <c r="J481" s="59"/>
      <c r="K481" s="60">
        <v>4080</v>
      </c>
      <c r="L481" s="60">
        <v>4080</v>
      </c>
      <c r="M481" s="59"/>
      <c r="N481" s="59"/>
      <c r="O481" s="59"/>
      <c r="P481" s="67"/>
      <c r="Q481" s="67"/>
      <c r="R481" s="61">
        <f t="shared" si="175"/>
        <v>0</v>
      </c>
      <c r="S481" s="60">
        <v>0</v>
      </c>
      <c r="T481" s="60">
        <v>0</v>
      </c>
      <c r="U481" s="60">
        <v>0</v>
      </c>
      <c r="V481" s="60">
        <v>0</v>
      </c>
      <c r="W481" s="60">
        <v>0</v>
      </c>
      <c r="X481" s="61">
        <f t="shared" si="176"/>
        <v>0</v>
      </c>
      <c r="Y481" s="60">
        <v>0</v>
      </c>
      <c r="Z481" s="60">
        <v>0</v>
      </c>
      <c r="AA481" s="60">
        <v>0</v>
      </c>
      <c r="AB481" s="60">
        <v>0</v>
      </c>
      <c r="AC481" s="60">
        <v>0</v>
      </c>
      <c r="AD481" s="60">
        <v>0</v>
      </c>
      <c r="AE481" s="61">
        <f t="shared" si="177"/>
        <v>0</v>
      </c>
      <c r="AF481" s="62">
        <f t="shared" si="170"/>
        <v>0</v>
      </c>
      <c r="AG481" s="62">
        <f t="shared" si="171"/>
        <v>0</v>
      </c>
      <c r="AH481" s="62">
        <f t="shared" si="172"/>
        <v>0</v>
      </c>
      <c r="AI481" s="63"/>
      <c r="AJ481" s="63"/>
      <c r="AK481" s="62"/>
      <c r="AL481" s="60">
        <v>0</v>
      </c>
      <c r="AM481" s="60">
        <v>0</v>
      </c>
      <c r="AN481" s="60">
        <v>0</v>
      </c>
      <c r="AO481" s="60">
        <v>0</v>
      </c>
      <c r="AP481" s="60">
        <v>0</v>
      </c>
      <c r="AQ481" s="60">
        <v>0</v>
      </c>
      <c r="AR481" s="61">
        <f t="shared" si="178"/>
        <v>0</v>
      </c>
      <c r="AS481" s="60">
        <v>0</v>
      </c>
      <c r="AT481" s="60">
        <v>0</v>
      </c>
      <c r="AU481" s="60">
        <v>0</v>
      </c>
      <c r="AV481" s="60">
        <v>0</v>
      </c>
      <c r="AW481" s="60">
        <v>0</v>
      </c>
      <c r="AX481" s="60">
        <v>0</v>
      </c>
      <c r="AY481" s="61">
        <f t="shared" si="179"/>
        <v>0</v>
      </c>
      <c r="AZ481" s="56">
        <f t="shared" si="169"/>
        <v>0</v>
      </c>
      <c r="BA481" s="62">
        <f t="shared" si="163"/>
        <v>0</v>
      </c>
      <c r="BB481" s="62">
        <f t="shared" si="180"/>
        <v>0</v>
      </c>
      <c r="BC481" s="62">
        <f t="shared" si="167"/>
        <v>0</v>
      </c>
      <c r="BD481" s="63"/>
      <c r="BE481" s="57"/>
      <c r="BF481" s="35" t="e">
        <f>VLOOKUP(A:A,'2023-2027'!A:G,1,+FALSE)</f>
        <v>#N/A</v>
      </c>
      <c r="BG481" s="7" t="e">
        <f t="shared" si="184"/>
        <v>#N/A</v>
      </c>
      <c r="BH481" s="35"/>
    </row>
    <row r="482" spans="1:60" ht="12" hidden="1" customHeight="1" outlineLevel="1" x14ac:dyDescent="0.2">
      <c r="A482" s="59" t="s">
        <v>1187</v>
      </c>
      <c r="B482" s="61" t="s">
        <v>38</v>
      </c>
      <c r="C482" s="61" t="s">
        <v>1091</v>
      </c>
      <c r="D482" s="65" t="s">
        <v>1188</v>
      </c>
      <c r="E482" s="59" t="s">
        <v>1189</v>
      </c>
      <c r="F482" s="60">
        <v>4536</v>
      </c>
      <c r="G482" s="60">
        <v>4536</v>
      </c>
      <c r="H482" s="59"/>
      <c r="I482" s="59"/>
      <c r="J482" s="59"/>
      <c r="K482" s="60">
        <v>4536</v>
      </c>
      <c r="L482" s="60">
        <v>4536</v>
      </c>
      <c r="M482" s="59"/>
      <c r="N482" s="59"/>
      <c r="O482" s="59"/>
      <c r="P482" s="67"/>
      <c r="Q482" s="67"/>
      <c r="R482" s="61">
        <f t="shared" si="175"/>
        <v>0</v>
      </c>
      <c r="S482" s="60">
        <v>0</v>
      </c>
      <c r="T482" s="60">
        <v>0</v>
      </c>
      <c r="U482" s="60">
        <v>0</v>
      </c>
      <c r="V482" s="60">
        <v>0</v>
      </c>
      <c r="W482" s="60">
        <v>0</v>
      </c>
      <c r="X482" s="61">
        <f t="shared" si="176"/>
        <v>0</v>
      </c>
      <c r="Y482" s="60">
        <v>0</v>
      </c>
      <c r="Z482" s="60">
        <v>0</v>
      </c>
      <c r="AA482" s="60">
        <v>0</v>
      </c>
      <c r="AB482" s="60">
        <v>0</v>
      </c>
      <c r="AC482" s="60">
        <v>0</v>
      </c>
      <c r="AD482" s="60">
        <v>0</v>
      </c>
      <c r="AE482" s="61">
        <f t="shared" si="177"/>
        <v>0</v>
      </c>
      <c r="AF482" s="62">
        <f t="shared" si="170"/>
        <v>0</v>
      </c>
      <c r="AG482" s="62">
        <f t="shared" si="171"/>
        <v>0</v>
      </c>
      <c r="AH482" s="62">
        <f t="shared" si="172"/>
        <v>0</v>
      </c>
      <c r="AI482" s="63"/>
      <c r="AJ482" s="63"/>
      <c r="AK482" s="62"/>
      <c r="AL482" s="60">
        <v>0</v>
      </c>
      <c r="AM482" s="60">
        <v>0</v>
      </c>
      <c r="AN482" s="60">
        <v>0</v>
      </c>
      <c r="AO482" s="60">
        <v>0</v>
      </c>
      <c r="AP482" s="60">
        <v>0</v>
      </c>
      <c r="AQ482" s="60">
        <v>0</v>
      </c>
      <c r="AR482" s="61">
        <f t="shared" si="178"/>
        <v>0</v>
      </c>
      <c r="AS482" s="60">
        <v>0</v>
      </c>
      <c r="AT482" s="60">
        <v>0</v>
      </c>
      <c r="AU482" s="60">
        <v>0</v>
      </c>
      <c r="AV482" s="60">
        <v>0</v>
      </c>
      <c r="AW482" s="60">
        <v>0</v>
      </c>
      <c r="AX482" s="60">
        <v>0</v>
      </c>
      <c r="AY482" s="61">
        <f t="shared" si="179"/>
        <v>0</v>
      </c>
      <c r="AZ482" s="56">
        <f t="shared" si="169"/>
        <v>0</v>
      </c>
      <c r="BA482" s="62">
        <f t="shared" si="163"/>
        <v>0</v>
      </c>
      <c r="BB482" s="62">
        <f t="shared" si="180"/>
        <v>0</v>
      </c>
      <c r="BC482" s="62">
        <f t="shared" si="167"/>
        <v>0</v>
      </c>
      <c r="BD482" s="63"/>
      <c r="BE482" s="57"/>
      <c r="BF482" s="35" t="e">
        <f>VLOOKUP(A:A,'2023-2027'!A:G,1,+FALSE)</f>
        <v>#N/A</v>
      </c>
      <c r="BG482" s="7" t="e">
        <f t="shared" si="184"/>
        <v>#N/A</v>
      </c>
      <c r="BH482" s="35"/>
    </row>
    <row r="483" spans="1:60" ht="36" hidden="1" customHeight="1" outlineLevel="1" x14ac:dyDescent="0.2">
      <c r="A483" s="59" t="s">
        <v>1190</v>
      </c>
      <c r="B483" s="61" t="s">
        <v>38</v>
      </c>
      <c r="C483" s="61" t="s">
        <v>1091</v>
      </c>
      <c r="D483" s="65" t="s">
        <v>1191</v>
      </c>
      <c r="E483" s="59" t="s">
        <v>1192</v>
      </c>
      <c r="F483" s="60">
        <v>64322.03</v>
      </c>
      <c r="G483" s="60">
        <v>48352.4</v>
      </c>
      <c r="H483" s="60">
        <v>15969.63</v>
      </c>
      <c r="I483" s="59"/>
      <c r="J483" s="60">
        <v>5323.2</v>
      </c>
      <c r="K483" s="59"/>
      <c r="L483" s="59"/>
      <c r="M483" s="60">
        <v>64322.03</v>
      </c>
      <c r="N483" s="60">
        <v>53675.6</v>
      </c>
      <c r="O483" s="60">
        <v>10646.43</v>
      </c>
      <c r="P483" s="55"/>
      <c r="Q483" s="55"/>
      <c r="R483" s="61">
        <f t="shared" si="175"/>
        <v>443.59999999999997</v>
      </c>
      <c r="S483" s="60">
        <v>443.6</v>
      </c>
      <c r="T483" s="60">
        <v>443.6</v>
      </c>
      <c r="U483" s="60">
        <v>443.6</v>
      </c>
      <c r="V483" s="60">
        <v>443.6</v>
      </c>
      <c r="W483" s="60">
        <v>443.6</v>
      </c>
      <c r="X483" s="61">
        <f t="shared" si="176"/>
        <v>2661.6</v>
      </c>
      <c r="Y483" s="60">
        <v>443.6</v>
      </c>
      <c r="Z483" s="60">
        <v>443.6</v>
      </c>
      <c r="AA483" s="60">
        <v>443.6</v>
      </c>
      <c r="AB483" s="60">
        <v>443.6</v>
      </c>
      <c r="AC483" s="60">
        <v>443.6</v>
      </c>
      <c r="AD483" s="60">
        <v>443.6</v>
      </c>
      <c r="AE483" s="61">
        <f t="shared" si="177"/>
        <v>2661.6</v>
      </c>
      <c r="AF483" s="62">
        <f t="shared" si="170"/>
        <v>64322.03</v>
      </c>
      <c r="AG483" s="62">
        <f t="shared" si="171"/>
        <v>58998.799999999981</v>
      </c>
      <c r="AH483" s="62">
        <f t="shared" si="172"/>
        <v>5323.2300000000178</v>
      </c>
      <c r="AI483" s="63"/>
      <c r="AJ483" s="63"/>
      <c r="AK483" s="62"/>
      <c r="AL483" s="60">
        <v>443.6</v>
      </c>
      <c r="AM483" s="60">
        <v>443.6</v>
      </c>
      <c r="AN483" s="60">
        <v>443.6</v>
      </c>
      <c r="AO483" s="60">
        <v>443.6</v>
      </c>
      <c r="AP483" s="60">
        <v>443.6</v>
      </c>
      <c r="AQ483" s="60">
        <v>443.6</v>
      </c>
      <c r="AR483" s="61">
        <f t="shared" si="178"/>
        <v>2661.6</v>
      </c>
      <c r="AS483" s="60">
        <v>443.6</v>
      </c>
      <c r="AT483" s="60">
        <v>443.6</v>
      </c>
      <c r="AU483" s="60">
        <v>443.6</v>
      </c>
      <c r="AV483" s="60">
        <v>443.6</v>
      </c>
      <c r="AW483" s="60">
        <v>443.6</v>
      </c>
      <c r="AX483" s="60">
        <v>443.6</v>
      </c>
      <c r="AY483" s="61">
        <f t="shared" si="179"/>
        <v>2661.6</v>
      </c>
      <c r="AZ483" s="56">
        <f t="shared" si="169"/>
        <v>5323.2</v>
      </c>
      <c r="BA483" s="62">
        <f t="shared" si="163"/>
        <v>64322.03</v>
      </c>
      <c r="BB483" s="62">
        <f t="shared" si="180"/>
        <v>64321.999999999964</v>
      </c>
      <c r="BC483" s="62">
        <f t="shared" si="167"/>
        <v>3.0000000035215635E-2</v>
      </c>
      <c r="BD483" s="63"/>
      <c r="BE483" s="57"/>
      <c r="BF483" s="35" t="e">
        <f>VLOOKUP(A:A,'2023-2027'!A:G,1,+FALSE)</f>
        <v>#N/A</v>
      </c>
      <c r="BG483" s="7" t="e">
        <f t="shared" si="184"/>
        <v>#N/A</v>
      </c>
      <c r="BH483" s="35"/>
    </row>
    <row r="484" spans="1:60" ht="12" hidden="1" customHeight="1" outlineLevel="1" x14ac:dyDescent="0.2">
      <c r="A484" s="59" t="s">
        <v>1193</v>
      </c>
      <c r="B484" s="61" t="s">
        <v>38</v>
      </c>
      <c r="C484" s="61" t="s">
        <v>1091</v>
      </c>
      <c r="D484" s="66" t="s">
        <v>1194</v>
      </c>
      <c r="E484" s="59" t="s">
        <v>1195</v>
      </c>
      <c r="F484" s="60">
        <v>5528</v>
      </c>
      <c r="G484" s="60">
        <v>5528</v>
      </c>
      <c r="H484" s="59"/>
      <c r="I484" s="59"/>
      <c r="J484" s="59"/>
      <c r="K484" s="60">
        <v>5528</v>
      </c>
      <c r="L484" s="60">
        <v>5528</v>
      </c>
      <c r="M484" s="59"/>
      <c r="N484" s="59"/>
      <c r="O484" s="59"/>
      <c r="P484" s="67"/>
      <c r="Q484" s="67"/>
      <c r="R484" s="61">
        <f t="shared" si="175"/>
        <v>0</v>
      </c>
      <c r="S484" s="60">
        <v>0</v>
      </c>
      <c r="T484" s="60">
        <v>0</v>
      </c>
      <c r="U484" s="60">
        <v>0</v>
      </c>
      <c r="V484" s="60">
        <v>0</v>
      </c>
      <c r="W484" s="60">
        <v>0</v>
      </c>
      <c r="X484" s="61">
        <f t="shared" si="176"/>
        <v>0</v>
      </c>
      <c r="Y484" s="60">
        <v>0</v>
      </c>
      <c r="Z484" s="60">
        <v>0</v>
      </c>
      <c r="AA484" s="60">
        <v>0</v>
      </c>
      <c r="AB484" s="60">
        <v>0</v>
      </c>
      <c r="AC484" s="60">
        <v>0</v>
      </c>
      <c r="AD484" s="60">
        <v>0</v>
      </c>
      <c r="AE484" s="61">
        <f t="shared" si="177"/>
        <v>0</v>
      </c>
      <c r="AF484" s="62">
        <f t="shared" si="170"/>
        <v>0</v>
      </c>
      <c r="AG484" s="62">
        <f t="shared" si="171"/>
        <v>0</v>
      </c>
      <c r="AH484" s="62">
        <f t="shared" si="172"/>
        <v>0</v>
      </c>
      <c r="AI484" s="63"/>
      <c r="AJ484" s="63"/>
      <c r="AK484" s="62"/>
      <c r="AL484" s="60">
        <v>0</v>
      </c>
      <c r="AM484" s="60">
        <v>0</v>
      </c>
      <c r="AN484" s="60">
        <v>0</v>
      </c>
      <c r="AO484" s="60">
        <v>0</v>
      </c>
      <c r="AP484" s="60">
        <v>0</v>
      </c>
      <c r="AQ484" s="60">
        <v>0</v>
      </c>
      <c r="AR484" s="61">
        <f t="shared" si="178"/>
        <v>0</v>
      </c>
      <c r="AS484" s="60">
        <v>0</v>
      </c>
      <c r="AT484" s="60">
        <v>0</v>
      </c>
      <c r="AU484" s="60">
        <v>0</v>
      </c>
      <c r="AV484" s="60">
        <v>0</v>
      </c>
      <c r="AW484" s="60">
        <v>0</v>
      </c>
      <c r="AX484" s="60">
        <v>0</v>
      </c>
      <c r="AY484" s="61">
        <f t="shared" si="179"/>
        <v>0</v>
      </c>
      <c r="AZ484" s="56">
        <f t="shared" si="169"/>
        <v>0</v>
      </c>
      <c r="BA484" s="62">
        <f t="shared" si="163"/>
        <v>0</v>
      </c>
      <c r="BB484" s="62">
        <f t="shared" si="180"/>
        <v>0</v>
      </c>
      <c r="BC484" s="62">
        <f t="shared" si="167"/>
        <v>0</v>
      </c>
      <c r="BD484" s="63"/>
      <c r="BE484" s="57"/>
      <c r="BF484" s="35" t="str">
        <f>VLOOKUP(A:A,'2023-2027'!A:G,1,+FALSE)</f>
        <v>Насос агрегатный  1994г.</v>
      </c>
      <c r="BG484" s="7" t="b">
        <f t="shared" si="184"/>
        <v>1</v>
      </c>
      <c r="BH484" s="35">
        <f>VLOOKUP(A:A,'2023-2027'!A:AT,43,+FALSE)</f>
        <v>0</v>
      </c>
    </row>
    <row r="485" spans="1:60" ht="24" hidden="1" customHeight="1" outlineLevel="1" x14ac:dyDescent="0.2">
      <c r="A485" s="59" t="s">
        <v>1196</v>
      </c>
      <c r="B485" s="61" t="s">
        <v>38</v>
      </c>
      <c r="C485" s="61" t="s">
        <v>1091</v>
      </c>
      <c r="D485" s="65" t="s">
        <v>1197</v>
      </c>
      <c r="E485" s="59" t="s">
        <v>1198</v>
      </c>
      <c r="F485" s="60">
        <v>19959.2</v>
      </c>
      <c r="G485" s="60">
        <v>19959.2</v>
      </c>
      <c r="H485" s="59"/>
      <c r="I485" s="59"/>
      <c r="J485" s="59"/>
      <c r="K485" s="60">
        <v>19959.2</v>
      </c>
      <c r="L485" s="60">
        <v>19959.2</v>
      </c>
      <c r="M485" s="59"/>
      <c r="N485" s="59"/>
      <c r="O485" s="59"/>
      <c r="P485" s="67"/>
      <c r="Q485" s="67"/>
      <c r="R485" s="61">
        <f t="shared" si="175"/>
        <v>0</v>
      </c>
      <c r="S485" s="60">
        <v>0</v>
      </c>
      <c r="T485" s="60">
        <v>0</v>
      </c>
      <c r="U485" s="60">
        <v>0</v>
      </c>
      <c r="V485" s="60">
        <v>0</v>
      </c>
      <c r="W485" s="60">
        <v>0</v>
      </c>
      <c r="X485" s="61">
        <f t="shared" si="176"/>
        <v>0</v>
      </c>
      <c r="Y485" s="60">
        <v>0</v>
      </c>
      <c r="Z485" s="60">
        <v>0</v>
      </c>
      <c r="AA485" s="60">
        <v>0</v>
      </c>
      <c r="AB485" s="60">
        <v>0</v>
      </c>
      <c r="AC485" s="60">
        <v>0</v>
      </c>
      <c r="AD485" s="60">
        <v>0</v>
      </c>
      <c r="AE485" s="61">
        <f t="shared" si="177"/>
        <v>0</v>
      </c>
      <c r="AF485" s="62">
        <f t="shared" si="170"/>
        <v>0</v>
      </c>
      <c r="AG485" s="62">
        <f t="shared" si="171"/>
        <v>0</v>
      </c>
      <c r="AH485" s="62">
        <f t="shared" si="172"/>
        <v>0</v>
      </c>
      <c r="AI485" s="63"/>
      <c r="AJ485" s="63"/>
      <c r="AK485" s="62"/>
      <c r="AL485" s="60">
        <v>0</v>
      </c>
      <c r="AM485" s="60">
        <v>0</v>
      </c>
      <c r="AN485" s="60">
        <v>0</v>
      </c>
      <c r="AO485" s="60">
        <v>0</v>
      </c>
      <c r="AP485" s="60">
        <v>0</v>
      </c>
      <c r="AQ485" s="60">
        <v>0</v>
      </c>
      <c r="AR485" s="61">
        <f t="shared" si="178"/>
        <v>0</v>
      </c>
      <c r="AS485" s="60">
        <v>0</v>
      </c>
      <c r="AT485" s="60">
        <v>0</v>
      </c>
      <c r="AU485" s="60">
        <v>0</v>
      </c>
      <c r="AV485" s="60">
        <v>0</v>
      </c>
      <c r="AW485" s="60">
        <v>0</v>
      </c>
      <c r="AX485" s="60">
        <v>0</v>
      </c>
      <c r="AY485" s="61">
        <f t="shared" si="179"/>
        <v>0</v>
      </c>
      <c r="AZ485" s="56">
        <f t="shared" si="169"/>
        <v>0</v>
      </c>
      <c r="BA485" s="62">
        <f t="shared" si="163"/>
        <v>0</v>
      </c>
      <c r="BB485" s="62">
        <f t="shared" si="180"/>
        <v>0</v>
      </c>
      <c r="BC485" s="62">
        <f t="shared" si="167"/>
        <v>0</v>
      </c>
      <c r="BD485" s="63"/>
      <c r="BE485" s="57"/>
      <c r="BF485" s="35" t="e">
        <f>VLOOKUP(A:A,'2023-2027'!A:G,1,+FALSE)</f>
        <v>#N/A</v>
      </c>
      <c r="BG485" s="7" t="e">
        <f t="shared" si="184"/>
        <v>#N/A</v>
      </c>
      <c r="BH485" s="35"/>
    </row>
    <row r="486" spans="1:60" ht="24" hidden="1" customHeight="1" outlineLevel="1" x14ac:dyDescent="0.2">
      <c r="A486" s="59" t="s">
        <v>1199</v>
      </c>
      <c r="B486" s="61" t="s">
        <v>38</v>
      </c>
      <c r="C486" s="61" t="s">
        <v>1091</v>
      </c>
      <c r="D486" s="65" t="s">
        <v>1200</v>
      </c>
      <c r="E486" s="59" t="s">
        <v>1198</v>
      </c>
      <c r="F486" s="60">
        <v>22059.200000000001</v>
      </c>
      <c r="G486" s="60">
        <v>22059.200000000001</v>
      </c>
      <c r="H486" s="59"/>
      <c r="I486" s="59"/>
      <c r="J486" s="59"/>
      <c r="K486" s="60">
        <v>22059.200000000001</v>
      </c>
      <c r="L486" s="60">
        <v>22059.200000000001</v>
      </c>
      <c r="M486" s="59"/>
      <c r="N486" s="59"/>
      <c r="O486" s="59"/>
      <c r="P486" s="67"/>
      <c r="Q486" s="67"/>
      <c r="R486" s="61">
        <f t="shared" si="175"/>
        <v>0</v>
      </c>
      <c r="S486" s="60">
        <v>0</v>
      </c>
      <c r="T486" s="60">
        <v>0</v>
      </c>
      <c r="U486" s="60">
        <v>0</v>
      </c>
      <c r="V486" s="60">
        <v>0</v>
      </c>
      <c r="W486" s="60">
        <v>0</v>
      </c>
      <c r="X486" s="61">
        <f t="shared" si="176"/>
        <v>0</v>
      </c>
      <c r="Y486" s="60">
        <v>0</v>
      </c>
      <c r="Z486" s="60">
        <v>0</v>
      </c>
      <c r="AA486" s="60">
        <v>0</v>
      </c>
      <c r="AB486" s="60">
        <v>0</v>
      </c>
      <c r="AC486" s="60">
        <v>0</v>
      </c>
      <c r="AD486" s="60">
        <v>0</v>
      </c>
      <c r="AE486" s="61">
        <f t="shared" si="177"/>
        <v>0</v>
      </c>
      <c r="AF486" s="62">
        <f t="shared" si="170"/>
        <v>0</v>
      </c>
      <c r="AG486" s="62">
        <f t="shared" si="171"/>
        <v>0</v>
      </c>
      <c r="AH486" s="62">
        <f t="shared" si="172"/>
        <v>0</v>
      </c>
      <c r="AI486" s="63"/>
      <c r="AJ486" s="63"/>
      <c r="AK486" s="62"/>
      <c r="AL486" s="60">
        <v>0</v>
      </c>
      <c r="AM486" s="60">
        <v>0</v>
      </c>
      <c r="AN486" s="60">
        <v>0</v>
      </c>
      <c r="AO486" s="60">
        <v>0</v>
      </c>
      <c r="AP486" s="60">
        <v>0</v>
      </c>
      <c r="AQ486" s="60">
        <v>0</v>
      </c>
      <c r="AR486" s="61">
        <f t="shared" si="178"/>
        <v>0</v>
      </c>
      <c r="AS486" s="60">
        <v>0</v>
      </c>
      <c r="AT486" s="60">
        <v>0</v>
      </c>
      <c r="AU486" s="60">
        <v>0</v>
      </c>
      <c r="AV486" s="60">
        <v>0</v>
      </c>
      <c r="AW486" s="60">
        <v>0</v>
      </c>
      <c r="AX486" s="60">
        <v>0</v>
      </c>
      <c r="AY486" s="61">
        <f t="shared" si="179"/>
        <v>0</v>
      </c>
      <c r="AZ486" s="56">
        <f t="shared" si="169"/>
        <v>0</v>
      </c>
      <c r="BA486" s="62">
        <f t="shared" si="163"/>
        <v>0</v>
      </c>
      <c r="BB486" s="62">
        <f t="shared" si="180"/>
        <v>0</v>
      </c>
      <c r="BC486" s="62">
        <f t="shared" si="167"/>
        <v>0</v>
      </c>
      <c r="BD486" s="63"/>
      <c r="BE486" s="57"/>
      <c r="BF486" s="35" t="e">
        <f>VLOOKUP(A:A,'2023-2027'!A:G,1,+FALSE)</f>
        <v>#N/A</v>
      </c>
      <c r="BG486" s="7" t="e">
        <f t="shared" si="184"/>
        <v>#N/A</v>
      </c>
      <c r="BH486" s="35"/>
    </row>
    <row r="487" spans="1:60" ht="12" hidden="1" customHeight="1" outlineLevel="1" x14ac:dyDescent="0.2">
      <c r="A487" s="59" t="s">
        <v>1201</v>
      </c>
      <c r="B487" s="61" t="s">
        <v>38</v>
      </c>
      <c r="C487" s="61" t="s">
        <v>1091</v>
      </c>
      <c r="D487" s="65" t="s">
        <v>1202</v>
      </c>
      <c r="E487" s="59" t="s">
        <v>1198</v>
      </c>
      <c r="F487" s="60">
        <v>19959.189999999999</v>
      </c>
      <c r="G487" s="60">
        <v>19959.189999999999</v>
      </c>
      <c r="H487" s="59"/>
      <c r="I487" s="59"/>
      <c r="J487" s="59"/>
      <c r="K487" s="60">
        <v>19959.189999999999</v>
      </c>
      <c r="L487" s="60">
        <v>19959.189999999999</v>
      </c>
      <c r="M487" s="59"/>
      <c r="N487" s="59"/>
      <c r="O487" s="59"/>
      <c r="P487" s="67"/>
      <c r="Q487" s="67"/>
      <c r="R487" s="61">
        <f t="shared" si="175"/>
        <v>0</v>
      </c>
      <c r="S487" s="60">
        <v>0</v>
      </c>
      <c r="T487" s="60">
        <v>0</v>
      </c>
      <c r="U487" s="60">
        <v>0</v>
      </c>
      <c r="V487" s="60">
        <v>0</v>
      </c>
      <c r="W487" s="60">
        <v>0</v>
      </c>
      <c r="X487" s="61">
        <f t="shared" si="176"/>
        <v>0</v>
      </c>
      <c r="Y487" s="60">
        <v>0</v>
      </c>
      <c r="Z487" s="60">
        <v>0</v>
      </c>
      <c r="AA487" s="60">
        <v>0</v>
      </c>
      <c r="AB487" s="60">
        <v>0</v>
      </c>
      <c r="AC487" s="60">
        <v>0</v>
      </c>
      <c r="AD487" s="60">
        <v>0</v>
      </c>
      <c r="AE487" s="61">
        <f t="shared" si="177"/>
        <v>0</v>
      </c>
      <c r="AF487" s="62">
        <f t="shared" si="170"/>
        <v>0</v>
      </c>
      <c r="AG487" s="62">
        <f t="shared" si="171"/>
        <v>0</v>
      </c>
      <c r="AH487" s="62">
        <f t="shared" si="172"/>
        <v>0</v>
      </c>
      <c r="AI487" s="63"/>
      <c r="AJ487" s="63"/>
      <c r="AK487" s="62"/>
      <c r="AL487" s="60">
        <v>0</v>
      </c>
      <c r="AM487" s="60">
        <v>0</v>
      </c>
      <c r="AN487" s="60">
        <v>0</v>
      </c>
      <c r="AO487" s="60">
        <v>0</v>
      </c>
      <c r="AP487" s="60">
        <v>0</v>
      </c>
      <c r="AQ487" s="60">
        <v>0</v>
      </c>
      <c r="AR487" s="61">
        <f t="shared" si="178"/>
        <v>0</v>
      </c>
      <c r="AS487" s="60">
        <v>0</v>
      </c>
      <c r="AT487" s="60">
        <v>0</v>
      </c>
      <c r="AU487" s="60">
        <v>0</v>
      </c>
      <c r="AV487" s="60">
        <v>0</v>
      </c>
      <c r="AW487" s="60">
        <v>0</v>
      </c>
      <c r="AX487" s="60">
        <v>0</v>
      </c>
      <c r="AY487" s="61">
        <f t="shared" si="179"/>
        <v>0</v>
      </c>
      <c r="AZ487" s="56">
        <f t="shared" si="169"/>
        <v>0</v>
      </c>
      <c r="BA487" s="62">
        <f t="shared" si="163"/>
        <v>0</v>
      </c>
      <c r="BB487" s="62">
        <f t="shared" si="180"/>
        <v>0</v>
      </c>
      <c r="BC487" s="62">
        <f t="shared" si="167"/>
        <v>0</v>
      </c>
      <c r="BD487" s="63"/>
      <c r="BE487" s="57"/>
      <c r="BF487" s="35" t="e">
        <f>VLOOKUP(A:A,'2023-2027'!A:G,1,+FALSE)</f>
        <v>#N/A</v>
      </c>
      <c r="BG487" s="7" t="e">
        <f t="shared" si="184"/>
        <v>#N/A</v>
      </c>
      <c r="BH487" s="35"/>
    </row>
    <row r="488" spans="1:60" ht="24" hidden="1" customHeight="1" outlineLevel="1" x14ac:dyDescent="0.2">
      <c r="A488" s="59" t="s">
        <v>1203</v>
      </c>
      <c r="B488" s="61" t="s">
        <v>38</v>
      </c>
      <c r="C488" s="61" t="s">
        <v>1091</v>
      </c>
      <c r="D488" s="65" t="s">
        <v>1204</v>
      </c>
      <c r="E488" s="59" t="s">
        <v>1198</v>
      </c>
      <c r="F488" s="60">
        <v>23359.200000000001</v>
      </c>
      <c r="G488" s="60">
        <v>23359.200000000001</v>
      </c>
      <c r="H488" s="59"/>
      <c r="I488" s="59"/>
      <c r="J488" s="59"/>
      <c r="K488" s="60">
        <v>23359.200000000001</v>
      </c>
      <c r="L488" s="60">
        <v>23359.200000000001</v>
      </c>
      <c r="M488" s="59"/>
      <c r="N488" s="59"/>
      <c r="O488" s="59"/>
      <c r="P488" s="67"/>
      <c r="Q488" s="67"/>
      <c r="R488" s="61">
        <f t="shared" si="175"/>
        <v>0</v>
      </c>
      <c r="S488" s="60">
        <v>0</v>
      </c>
      <c r="T488" s="60">
        <v>0</v>
      </c>
      <c r="U488" s="60">
        <v>0</v>
      </c>
      <c r="V488" s="60">
        <v>0</v>
      </c>
      <c r="W488" s="60">
        <v>0</v>
      </c>
      <c r="X488" s="61">
        <f t="shared" si="176"/>
        <v>0</v>
      </c>
      <c r="Y488" s="60">
        <v>0</v>
      </c>
      <c r="Z488" s="60">
        <v>0</v>
      </c>
      <c r="AA488" s="60">
        <v>0</v>
      </c>
      <c r="AB488" s="60">
        <v>0</v>
      </c>
      <c r="AC488" s="60">
        <v>0</v>
      </c>
      <c r="AD488" s="60">
        <v>0</v>
      </c>
      <c r="AE488" s="61">
        <f t="shared" si="177"/>
        <v>0</v>
      </c>
      <c r="AF488" s="62">
        <f t="shared" si="170"/>
        <v>0</v>
      </c>
      <c r="AG488" s="62">
        <f t="shared" si="171"/>
        <v>0</v>
      </c>
      <c r="AH488" s="62">
        <f t="shared" si="172"/>
        <v>0</v>
      </c>
      <c r="AI488" s="63"/>
      <c r="AJ488" s="63"/>
      <c r="AK488" s="62"/>
      <c r="AL488" s="60">
        <v>0</v>
      </c>
      <c r="AM488" s="60">
        <v>0</v>
      </c>
      <c r="AN488" s="60">
        <v>0</v>
      </c>
      <c r="AO488" s="60">
        <v>0</v>
      </c>
      <c r="AP488" s="60">
        <v>0</v>
      </c>
      <c r="AQ488" s="60">
        <v>0</v>
      </c>
      <c r="AR488" s="61">
        <f t="shared" si="178"/>
        <v>0</v>
      </c>
      <c r="AS488" s="60">
        <v>0</v>
      </c>
      <c r="AT488" s="60">
        <v>0</v>
      </c>
      <c r="AU488" s="60">
        <v>0</v>
      </c>
      <c r="AV488" s="60">
        <v>0</v>
      </c>
      <c r="AW488" s="60">
        <v>0</v>
      </c>
      <c r="AX488" s="60">
        <v>0</v>
      </c>
      <c r="AY488" s="61">
        <f t="shared" si="179"/>
        <v>0</v>
      </c>
      <c r="AZ488" s="56">
        <f t="shared" si="169"/>
        <v>0</v>
      </c>
      <c r="BA488" s="62">
        <f t="shared" si="163"/>
        <v>0</v>
      </c>
      <c r="BB488" s="62">
        <f t="shared" si="180"/>
        <v>0</v>
      </c>
      <c r="BC488" s="62">
        <f t="shared" si="167"/>
        <v>0</v>
      </c>
      <c r="BD488" s="63"/>
      <c r="BE488" s="57"/>
      <c r="BF488" s="35" t="e">
        <f>VLOOKUP(A:A,'2023-2027'!A:G,1,+FALSE)</f>
        <v>#N/A</v>
      </c>
      <c r="BG488" s="7" t="e">
        <f t="shared" si="184"/>
        <v>#N/A</v>
      </c>
      <c r="BH488" s="35"/>
    </row>
    <row r="489" spans="1:60" ht="36" hidden="1" customHeight="1" outlineLevel="1" x14ac:dyDescent="0.2">
      <c r="A489" s="59" t="s">
        <v>35</v>
      </c>
      <c r="B489" s="61" t="s">
        <v>38</v>
      </c>
      <c r="C489" s="61" t="s">
        <v>1091</v>
      </c>
      <c r="D489" s="66" t="s">
        <v>36</v>
      </c>
      <c r="E489" s="59" t="s">
        <v>37</v>
      </c>
      <c r="F489" s="59"/>
      <c r="G489" s="59"/>
      <c r="H489" s="59"/>
      <c r="I489" s="60">
        <v>184791.67</v>
      </c>
      <c r="J489" s="60">
        <v>12319.44</v>
      </c>
      <c r="K489" s="59"/>
      <c r="L489" s="59"/>
      <c r="M489" s="60">
        <v>184791.67</v>
      </c>
      <c r="N489" s="60">
        <v>12319.44</v>
      </c>
      <c r="O489" s="60">
        <v>172472.23</v>
      </c>
      <c r="P489" s="55"/>
      <c r="Q489" s="55"/>
      <c r="R489" s="61">
        <f t="shared" si="175"/>
        <v>1026.6200000000001</v>
      </c>
      <c r="S489" s="60">
        <v>1026.6199999999999</v>
      </c>
      <c r="T489" s="60">
        <v>1026.6199999999999</v>
      </c>
      <c r="U489" s="60">
        <v>1026.6199999999999</v>
      </c>
      <c r="V489" s="60">
        <v>1026.6199999999999</v>
      </c>
      <c r="W489" s="60">
        <v>1026.6199999999999</v>
      </c>
      <c r="X489" s="61">
        <f t="shared" si="176"/>
        <v>6159.7199999999993</v>
      </c>
      <c r="Y489" s="60">
        <v>1026.6199999999999</v>
      </c>
      <c r="Z489" s="60">
        <v>1026.6199999999999</v>
      </c>
      <c r="AA489" s="60">
        <v>1026.6199999999999</v>
      </c>
      <c r="AB489" s="60">
        <v>1026.6199999999999</v>
      </c>
      <c r="AC489" s="60">
        <v>1026.6199999999999</v>
      </c>
      <c r="AD489" s="60">
        <v>1026.6199999999999</v>
      </c>
      <c r="AE489" s="61">
        <f t="shared" si="177"/>
        <v>6159.7199999999993</v>
      </c>
      <c r="AF489" s="62">
        <f t="shared" si="170"/>
        <v>184791.67</v>
      </c>
      <c r="AG489" s="62">
        <f t="shared" si="171"/>
        <v>24638.87999999999</v>
      </c>
      <c r="AH489" s="62">
        <f t="shared" si="172"/>
        <v>160152.79000000004</v>
      </c>
      <c r="AI489" s="63"/>
      <c r="AJ489" s="63"/>
      <c r="AK489" s="62"/>
      <c r="AL489" s="60">
        <v>1026.6199999999999</v>
      </c>
      <c r="AM489" s="60">
        <v>1026.6199999999999</v>
      </c>
      <c r="AN489" s="60">
        <v>1026.6199999999999</v>
      </c>
      <c r="AO489" s="60">
        <v>1026.6199999999999</v>
      </c>
      <c r="AP489" s="60">
        <v>1026.6199999999999</v>
      </c>
      <c r="AQ489" s="60">
        <v>1026.6199999999999</v>
      </c>
      <c r="AR489" s="61">
        <f t="shared" si="178"/>
        <v>6159.7199999999993</v>
      </c>
      <c r="AS489" s="60">
        <v>1026.6199999999999</v>
      </c>
      <c r="AT489" s="60">
        <v>1026.6199999999999</v>
      </c>
      <c r="AU489" s="60">
        <v>1026.6199999999999</v>
      </c>
      <c r="AV489" s="60">
        <v>1026.6199999999999</v>
      </c>
      <c r="AW489" s="60">
        <v>1026.6199999999999</v>
      </c>
      <c r="AX489" s="60">
        <v>1026.6199999999999</v>
      </c>
      <c r="AY489" s="61">
        <f t="shared" si="179"/>
        <v>6159.7199999999993</v>
      </c>
      <c r="AZ489" s="56">
        <f t="shared" si="169"/>
        <v>12319.439999999999</v>
      </c>
      <c r="BA489" s="62">
        <f t="shared" si="163"/>
        <v>184791.67</v>
      </c>
      <c r="BB489" s="62">
        <f t="shared" si="180"/>
        <v>36958.319999999992</v>
      </c>
      <c r="BC489" s="62">
        <f t="shared" si="167"/>
        <v>147833.35000000003</v>
      </c>
      <c r="BD489" s="63"/>
      <c r="BE489" s="57"/>
      <c r="BF489" s="35" t="str">
        <f>VLOOKUP(A:A,'2023-2027'!A:G,1,+FALSE)</f>
        <v>Насос КМ 80-65-160Е-ТМ-ХЛ2 (50 куб.м/ч; 32 м; 7,5 кВт) стальная проточная часть россия</v>
      </c>
      <c r="BG489" s="7" t="b">
        <f t="shared" si="184"/>
        <v>1</v>
      </c>
      <c r="BH489" s="35">
        <f>VLOOKUP(A:A,'2023-2027'!A:AT,43,+FALSE)</f>
        <v>5133.1000000000004</v>
      </c>
    </row>
    <row r="490" spans="1:60" ht="24" hidden="1" customHeight="1" outlineLevel="1" x14ac:dyDescent="0.2">
      <c r="A490" s="59" t="s">
        <v>1205</v>
      </c>
      <c r="B490" s="61" t="s">
        <v>38</v>
      </c>
      <c r="C490" s="61" t="s">
        <v>1091</v>
      </c>
      <c r="D490" s="65" t="s">
        <v>1206</v>
      </c>
      <c r="E490" s="59" t="s">
        <v>237</v>
      </c>
      <c r="F490" s="60">
        <v>66101.69</v>
      </c>
      <c r="G490" s="60">
        <v>50847.6</v>
      </c>
      <c r="H490" s="60">
        <v>15254.09</v>
      </c>
      <c r="I490" s="59"/>
      <c r="J490" s="60">
        <v>5084.6899999999996</v>
      </c>
      <c r="K490" s="59"/>
      <c r="L490" s="59"/>
      <c r="M490" s="60">
        <v>66101.69</v>
      </c>
      <c r="N490" s="60">
        <v>55932.29</v>
      </c>
      <c r="O490" s="60">
        <v>10169.4</v>
      </c>
      <c r="P490" s="55"/>
      <c r="Q490" s="55"/>
      <c r="R490" s="61">
        <f t="shared" si="175"/>
        <v>423.72416666666663</v>
      </c>
      <c r="S490" s="60">
        <v>423.72416670000001</v>
      </c>
      <c r="T490" s="60">
        <v>423.72416670000001</v>
      </c>
      <c r="U490" s="60">
        <v>423.72416670000001</v>
      </c>
      <c r="V490" s="60">
        <v>423.72416670000001</v>
      </c>
      <c r="W490" s="60">
        <v>423.72416670000001</v>
      </c>
      <c r="X490" s="61">
        <f t="shared" si="176"/>
        <v>2542.3450001666665</v>
      </c>
      <c r="Y490" s="60">
        <v>423.72416670000001</v>
      </c>
      <c r="Z490" s="60">
        <v>423.72416670000001</v>
      </c>
      <c r="AA490" s="60">
        <v>423.72416670000001</v>
      </c>
      <c r="AB490" s="60">
        <v>423.72416670000001</v>
      </c>
      <c r="AC490" s="60">
        <v>423.72416670000001</v>
      </c>
      <c r="AD490" s="60">
        <v>423.72416670000001</v>
      </c>
      <c r="AE490" s="61">
        <f t="shared" si="177"/>
        <v>2542.3450002</v>
      </c>
      <c r="AF490" s="62">
        <f t="shared" si="170"/>
        <v>66101.69</v>
      </c>
      <c r="AG490" s="62">
        <f t="shared" si="171"/>
        <v>61016.980000366646</v>
      </c>
      <c r="AH490" s="62">
        <f t="shared" si="172"/>
        <v>5084.7099996333563</v>
      </c>
      <c r="AI490" s="63"/>
      <c r="AJ490" s="63"/>
      <c r="AK490" s="62"/>
      <c r="AL490" s="60">
        <v>423.72416670000001</v>
      </c>
      <c r="AM490" s="60">
        <v>423.72416670000001</v>
      </c>
      <c r="AN490" s="60">
        <v>423.72416670000001</v>
      </c>
      <c r="AO490" s="60">
        <v>423.72416670000001</v>
      </c>
      <c r="AP490" s="60">
        <v>423.72416670000001</v>
      </c>
      <c r="AQ490" s="60">
        <v>423.72416670000001</v>
      </c>
      <c r="AR490" s="61">
        <f t="shared" si="178"/>
        <v>2542.3450002</v>
      </c>
      <c r="AS490" s="60">
        <v>423.72416670000001</v>
      </c>
      <c r="AT490" s="60">
        <v>423.72416670000001</v>
      </c>
      <c r="AU490" s="60">
        <v>423.72416670000001</v>
      </c>
      <c r="AV490" s="60">
        <v>423.72416670000001</v>
      </c>
      <c r="AW490" s="60">
        <v>423.72416670000001</v>
      </c>
      <c r="AX490" s="60">
        <v>423.72416670000001</v>
      </c>
      <c r="AY490" s="61">
        <f t="shared" si="179"/>
        <v>2542.3450002</v>
      </c>
      <c r="AZ490" s="56">
        <f t="shared" si="169"/>
        <v>5084.6900003999999</v>
      </c>
      <c r="BA490" s="62">
        <f t="shared" si="163"/>
        <v>66101.69</v>
      </c>
      <c r="BB490" s="62">
        <f t="shared" si="180"/>
        <v>66101.670000766637</v>
      </c>
      <c r="BC490" s="62">
        <f t="shared" si="167"/>
        <v>1.999923336552456E-2</v>
      </c>
      <c r="BD490" s="63"/>
      <c r="BE490" s="57"/>
      <c r="BF490" s="35" t="e">
        <f>VLOOKUP(A:A,'2023-2027'!A:G,1,+FALSE)</f>
        <v>#N/A</v>
      </c>
      <c r="BG490" s="7" t="e">
        <f t="shared" si="184"/>
        <v>#N/A</v>
      </c>
      <c r="BH490" s="35"/>
    </row>
    <row r="491" spans="1:60" ht="12" hidden="1" customHeight="1" outlineLevel="1" x14ac:dyDescent="0.2">
      <c r="A491" s="59" t="s">
        <v>1207</v>
      </c>
      <c r="B491" s="61" t="s">
        <v>38</v>
      </c>
      <c r="C491" s="61" t="s">
        <v>1091</v>
      </c>
      <c r="D491" s="65" t="s">
        <v>1208</v>
      </c>
      <c r="E491" s="59" t="s">
        <v>1209</v>
      </c>
      <c r="F491" s="60">
        <v>443791</v>
      </c>
      <c r="G491" s="60">
        <v>272830.05</v>
      </c>
      <c r="H491" s="60">
        <v>170960.95</v>
      </c>
      <c r="I491" s="59"/>
      <c r="J491" s="60">
        <v>8548.08</v>
      </c>
      <c r="K491" s="59"/>
      <c r="L491" s="59"/>
      <c r="M491" s="60">
        <v>443791</v>
      </c>
      <c r="N491" s="60">
        <v>281378.13</v>
      </c>
      <c r="O491" s="60">
        <v>162412.87</v>
      </c>
      <c r="P491" s="55">
        <v>166686.91</v>
      </c>
      <c r="Q491" s="55">
        <f>P491*2.2%</f>
        <v>3667.1120200000005</v>
      </c>
      <c r="R491" s="61">
        <f t="shared" si="175"/>
        <v>712.34</v>
      </c>
      <c r="S491" s="60">
        <v>712.34</v>
      </c>
      <c r="T491" s="60">
        <v>712.34</v>
      </c>
      <c r="U491" s="60">
        <v>712.34</v>
      </c>
      <c r="V491" s="60">
        <v>712.34</v>
      </c>
      <c r="W491" s="60">
        <v>712.34</v>
      </c>
      <c r="X491" s="61">
        <f t="shared" si="176"/>
        <v>4274.04</v>
      </c>
      <c r="Y491" s="60">
        <v>712.34</v>
      </c>
      <c r="Z491" s="60">
        <v>712.34</v>
      </c>
      <c r="AA491" s="60">
        <v>712.34</v>
      </c>
      <c r="AB491" s="60">
        <v>712.34</v>
      </c>
      <c r="AC491" s="60">
        <v>712.34</v>
      </c>
      <c r="AD491" s="60">
        <v>712.34</v>
      </c>
      <c r="AE491" s="61">
        <f t="shared" si="177"/>
        <v>4274.04</v>
      </c>
      <c r="AF491" s="62">
        <f t="shared" si="170"/>
        <v>443791</v>
      </c>
      <c r="AG491" s="62">
        <f t="shared" si="171"/>
        <v>289926.21000000031</v>
      </c>
      <c r="AH491" s="62">
        <f t="shared" si="172"/>
        <v>153864.78999999969</v>
      </c>
      <c r="AI491" s="63">
        <v>158138.82999999981</v>
      </c>
      <c r="AJ491" s="63">
        <f t="shared" ref="AJ491" si="190">AI491*2.2%</f>
        <v>3479.0542599999962</v>
      </c>
      <c r="AK491" s="62"/>
      <c r="AL491" s="60">
        <v>712.34</v>
      </c>
      <c r="AM491" s="60">
        <v>712.34</v>
      </c>
      <c r="AN491" s="60">
        <v>712.34</v>
      </c>
      <c r="AO491" s="60">
        <v>712.34</v>
      </c>
      <c r="AP491" s="60">
        <v>712.34</v>
      </c>
      <c r="AQ491" s="60">
        <v>712.34</v>
      </c>
      <c r="AR491" s="61">
        <f t="shared" si="178"/>
        <v>4274.04</v>
      </c>
      <c r="AS491" s="60">
        <v>712.34</v>
      </c>
      <c r="AT491" s="60">
        <v>712.34</v>
      </c>
      <c r="AU491" s="60">
        <v>712.34</v>
      </c>
      <c r="AV491" s="60">
        <v>712.34</v>
      </c>
      <c r="AW491" s="60">
        <v>712.34</v>
      </c>
      <c r="AX491" s="60">
        <v>712.34</v>
      </c>
      <c r="AY491" s="61">
        <f t="shared" si="179"/>
        <v>4274.04</v>
      </c>
      <c r="AZ491" s="56">
        <f t="shared" si="169"/>
        <v>8548.08</v>
      </c>
      <c r="BA491" s="62">
        <f t="shared" si="163"/>
        <v>443791</v>
      </c>
      <c r="BB491" s="62">
        <f t="shared" si="180"/>
        <v>298474.29000000062</v>
      </c>
      <c r="BC491" s="62">
        <f t="shared" si="167"/>
        <v>145316.70999999938</v>
      </c>
      <c r="BD491" s="63">
        <v>149590.74999999953</v>
      </c>
      <c r="BE491" s="57">
        <f t="shared" ref="BE491" si="191">BD491*2.2%</f>
        <v>3290.9964999999902</v>
      </c>
      <c r="BF491" s="35" t="e">
        <f>VLOOKUP(A:A,'2023-2027'!A:G,1,+FALSE)</f>
        <v>#N/A</v>
      </c>
      <c r="BG491" s="7" t="e">
        <f t="shared" si="184"/>
        <v>#N/A</v>
      </c>
      <c r="BH491" s="35"/>
    </row>
    <row r="492" spans="1:60" ht="12" hidden="1" customHeight="1" outlineLevel="1" x14ac:dyDescent="0.2">
      <c r="A492" s="59" t="s">
        <v>1210</v>
      </c>
      <c r="B492" s="61" t="s">
        <v>38</v>
      </c>
      <c r="C492" s="61" t="s">
        <v>1091</v>
      </c>
      <c r="D492" s="65" t="s">
        <v>1211</v>
      </c>
      <c r="E492" s="59" t="s">
        <v>1212</v>
      </c>
      <c r="F492" s="60">
        <v>5427</v>
      </c>
      <c r="G492" s="60">
        <v>5427</v>
      </c>
      <c r="H492" s="59"/>
      <c r="I492" s="59"/>
      <c r="J492" s="59"/>
      <c r="K492" s="60">
        <v>5427</v>
      </c>
      <c r="L492" s="60">
        <v>5427</v>
      </c>
      <c r="M492" s="59"/>
      <c r="N492" s="59"/>
      <c r="O492" s="59"/>
      <c r="P492" s="67"/>
      <c r="Q492" s="67"/>
      <c r="R492" s="61">
        <f>J492/12</f>
        <v>0</v>
      </c>
      <c r="S492" s="60">
        <v>0</v>
      </c>
      <c r="T492" s="60">
        <v>0</v>
      </c>
      <c r="U492" s="60">
        <v>0</v>
      </c>
      <c r="V492" s="60">
        <v>0</v>
      </c>
      <c r="W492" s="60">
        <v>0</v>
      </c>
      <c r="X492" s="61">
        <f>R492+S492+T492+U492+V492+W492</f>
        <v>0</v>
      </c>
      <c r="Y492" s="60">
        <v>0</v>
      </c>
      <c r="Z492" s="60">
        <v>0</v>
      </c>
      <c r="AA492" s="60">
        <v>0</v>
      </c>
      <c r="AB492" s="60">
        <v>0</v>
      </c>
      <c r="AC492" s="60">
        <v>0</v>
      </c>
      <c r="AD492" s="60">
        <v>0</v>
      </c>
      <c r="AE492" s="61">
        <f>Y492+Z492+AA492+AB492+AC492+AD492</f>
        <v>0</v>
      </c>
      <c r="AF492" s="62">
        <f>M492</f>
        <v>0</v>
      </c>
      <c r="AG492" s="62">
        <f>N492+R492+S492+T492+U492+V492+W492+Y492+Z492+AA492+AB492+AC492+AD492</f>
        <v>0</v>
      </c>
      <c r="AH492" s="62">
        <f>AF492-AG492</f>
        <v>0</v>
      </c>
      <c r="AI492" s="63"/>
      <c r="AJ492" s="63"/>
      <c r="AK492" s="62"/>
      <c r="AL492" s="60">
        <v>0</v>
      </c>
      <c r="AM492" s="60">
        <v>0</v>
      </c>
      <c r="AN492" s="60">
        <v>0</v>
      </c>
      <c r="AO492" s="60">
        <v>0</v>
      </c>
      <c r="AP492" s="60">
        <v>0</v>
      </c>
      <c r="AQ492" s="60">
        <v>0</v>
      </c>
      <c r="AR492" s="61">
        <f>AL492+AM492+AN492+AO492+AP492+AQ492</f>
        <v>0</v>
      </c>
      <c r="AS492" s="60">
        <v>0</v>
      </c>
      <c r="AT492" s="60">
        <v>0</v>
      </c>
      <c r="AU492" s="60">
        <v>0</v>
      </c>
      <c r="AV492" s="60">
        <v>0</v>
      </c>
      <c r="AW492" s="60">
        <v>0</v>
      </c>
      <c r="AX492" s="60">
        <v>0</v>
      </c>
      <c r="AY492" s="61">
        <f>AS492+AT492+AU492+AV492+AW492+AX492</f>
        <v>0</v>
      </c>
      <c r="AZ492" s="56">
        <f t="shared" si="169"/>
        <v>0</v>
      </c>
      <c r="BA492" s="62">
        <f>AF492</f>
        <v>0</v>
      </c>
      <c r="BB492" s="62">
        <f>AG492+AL492+AM492+AN492+AO492+AP492+AQ492+AS492+AT492+AU492+AV492+AW492+AX492</f>
        <v>0</v>
      </c>
      <c r="BC492" s="62">
        <f>BA492-BB492</f>
        <v>0</v>
      </c>
      <c r="BD492" s="63"/>
      <c r="BE492" s="57"/>
      <c r="BF492" s="35" t="e">
        <f>VLOOKUP(A:A,'2023-2027'!A:G,1,+FALSE)</f>
        <v>#N/A</v>
      </c>
      <c r="BG492" s="7" t="e">
        <f t="shared" si="184"/>
        <v>#N/A</v>
      </c>
      <c r="BH492" s="35"/>
    </row>
    <row r="493" spans="1:60" ht="12" hidden="1" customHeight="1" outlineLevel="1" x14ac:dyDescent="0.2">
      <c r="A493" s="59" t="s">
        <v>1213</v>
      </c>
      <c r="B493" s="61" t="s">
        <v>38</v>
      </c>
      <c r="C493" s="61" t="s">
        <v>1091</v>
      </c>
      <c r="D493" s="65" t="s">
        <v>1214</v>
      </c>
      <c r="E493" s="59" t="s">
        <v>1215</v>
      </c>
      <c r="F493" s="60">
        <v>1242</v>
      </c>
      <c r="G493" s="60">
        <v>1242</v>
      </c>
      <c r="H493" s="59"/>
      <c r="I493" s="59"/>
      <c r="J493" s="59"/>
      <c r="K493" s="60">
        <v>1242</v>
      </c>
      <c r="L493" s="60">
        <v>1242</v>
      </c>
      <c r="M493" s="59"/>
      <c r="N493" s="59"/>
      <c r="O493" s="59"/>
      <c r="P493" s="67"/>
      <c r="Q493" s="67"/>
      <c r="R493" s="61">
        <f>J493/12</f>
        <v>0</v>
      </c>
      <c r="S493" s="60">
        <v>0</v>
      </c>
      <c r="T493" s="60">
        <v>0</v>
      </c>
      <c r="U493" s="60">
        <v>0</v>
      </c>
      <c r="V493" s="60">
        <v>0</v>
      </c>
      <c r="W493" s="60">
        <v>0</v>
      </c>
      <c r="X493" s="61">
        <f>R493+S493+T493+U493+V493+W493</f>
        <v>0</v>
      </c>
      <c r="Y493" s="60">
        <v>0</v>
      </c>
      <c r="Z493" s="60">
        <v>0</v>
      </c>
      <c r="AA493" s="60">
        <v>0</v>
      </c>
      <c r="AB493" s="60">
        <v>0</v>
      </c>
      <c r="AC493" s="60">
        <v>0</v>
      </c>
      <c r="AD493" s="60">
        <v>0</v>
      </c>
      <c r="AE493" s="61">
        <f>Y493+Z493+AA493+AB493+AC493+AD493</f>
        <v>0</v>
      </c>
      <c r="AF493" s="62">
        <f>M493</f>
        <v>0</v>
      </c>
      <c r="AG493" s="62">
        <f>N493+R493+S493+T493+U493+V493+W493+Y493+Z493+AA493+AB493+AC493+AD493</f>
        <v>0</v>
      </c>
      <c r="AH493" s="62">
        <f>AF493-AG493</f>
        <v>0</v>
      </c>
      <c r="AI493" s="63"/>
      <c r="AJ493" s="63"/>
      <c r="AK493" s="62"/>
      <c r="AL493" s="60">
        <v>0</v>
      </c>
      <c r="AM493" s="60">
        <v>0</v>
      </c>
      <c r="AN493" s="60">
        <v>0</v>
      </c>
      <c r="AO493" s="60">
        <v>0</v>
      </c>
      <c r="AP493" s="60">
        <v>0</v>
      </c>
      <c r="AQ493" s="60">
        <v>0</v>
      </c>
      <c r="AR493" s="61">
        <f>AL493+AM493+AN493+AO493+AP493+AQ493</f>
        <v>0</v>
      </c>
      <c r="AS493" s="60">
        <v>0</v>
      </c>
      <c r="AT493" s="60">
        <v>0</v>
      </c>
      <c r="AU493" s="60">
        <v>0</v>
      </c>
      <c r="AV493" s="60">
        <v>0</v>
      </c>
      <c r="AW493" s="60">
        <v>0</v>
      </c>
      <c r="AX493" s="60">
        <v>0</v>
      </c>
      <c r="AY493" s="61">
        <f>AS493+AT493+AU493+AV493+AW493+AX493</f>
        <v>0</v>
      </c>
      <c r="AZ493" s="56">
        <f t="shared" si="169"/>
        <v>0</v>
      </c>
      <c r="BA493" s="62">
        <f>AF493</f>
        <v>0</v>
      </c>
      <c r="BB493" s="62">
        <f>AG493+AL493+AM493+AN493+AO493+AP493+AQ493+AS493+AT493+AU493+AV493+AW493+AX493</f>
        <v>0</v>
      </c>
      <c r="BC493" s="62">
        <f>BA493-BB493</f>
        <v>0</v>
      </c>
      <c r="BD493" s="63"/>
      <c r="BE493" s="57"/>
      <c r="BF493" s="35" t="e">
        <f>VLOOKUP(A:A,'2023-2027'!A:G,1,+FALSE)</f>
        <v>#N/A</v>
      </c>
      <c r="BG493" s="7" t="e">
        <f t="shared" si="184"/>
        <v>#N/A</v>
      </c>
      <c r="BH493" s="35"/>
    </row>
    <row r="494" spans="1:60" ht="12" hidden="1" customHeight="1" outlineLevel="1" x14ac:dyDescent="0.2">
      <c r="A494" s="59" t="s">
        <v>1216</v>
      </c>
      <c r="B494" s="61" t="s">
        <v>38</v>
      </c>
      <c r="C494" s="61" t="s">
        <v>1091</v>
      </c>
      <c r="D494" s="65" t="s">
        <v>1217</v>
      </c>
      <c r="E494" s="59" t="s">
        <v>1215</v>
      </c>
      <c r="F494" s="60">
        <v>1242</v>
      </c>
      <c r="G494" s="60">
        <v>1242</v>
      </c>
      <c r="H494" s="59"/>
      <c r="I494" s="59"/>
      <c r="J494" s="59"/>
      <c r="K494" s="60">
        <v>1242</v>
      </c>
      <c r="L494" s="60">
        <v>1242</v>
      </c>
      <c r="M494" s="59"/>
      <c r="N494" s="59"/>
      <c r="O494" s="59"/>
      <c r="P494" s="67"/>
      <c r="Q494" s="67"/>
      <c r="R494" s="61">
        <f>J494/12</f>
        <v>0</v>
      </c>
      <c r="S494" s="60">
        <v>0</v>
      </c>
      <c r="T494" s="60">
        <v>0</v>
      </c>
      <c r="U494" s="60">
        <v>0</v>
      </c>
      <c r="V494" s="60">
        <v>0</v>
      </c>
      <c r="W494" s="60">
        <v>0</v>
      </c>
      <c r="X494" s="61">
        <f>R494+S494+T494+U494+V494+W494</f>
        <v>0</v>
      </c>
      <c r="Y494" s="60">
        <v>0</v>
      </c>
      <c r="Z494" s="60">
        <v>0</v>
      </c>
      <c r="AA494" s="60">
        <v>0</v>
      </c>
      <c r="AB494" s="60">
        <v>0</v>
      </c>
      <c r="AC494" s="60">
        <v>0</v>
      </c>
      <c r="AD494" s="60">
        <v>0</v>
      </c>
      <c r="AE494" s="61">
        <f>Y494+Z494+AA494+AB494+AC494+AD494</f>
        <v>0</v>
      </c>
      <c r="AF494" s="62">
        <f>M494</f>
        <v>0</v>
      </c>
      <c r="AG494" s="62">
        <f>N494+R494+S494+T494+U494+V494+W494+Y494+Z494+AA494+AB494+AC494+AD494</f>
        <v>0</v>
      </c>
      <c r="AH494" s="62">
        <f>AF494-AG494</f>
        <v>0</v>
      </c>
      <c r="AI494" s="63"/>
      <c r="AJ494" s="63"/>
      <c r="AK494" s="62"/>
      <c r="AL494" s="60">
        <v>0</v>
      </c>
      <c r="AM494" s="60">
        <v>0</v>
      </c>
      <c r="AN494" s="60">
        <v>0</v>
      </c>
      <c r="AO494" s="60">
        <v>0</v>
      </c>
      <c r="AP494" s="60">
        <v>0</v>
      </c>
      <c r="AQ494" s="60">
        <v>0</v>
      </c>
      <c r="AR494" s="61">
        <f>AL494+AM494+AN494+AO494+AP494+AQ494</f>
        <v>0</v>
      </c>
      <c r="AS494" s="60">
        <v>0</v>
      </c>
      <c r="AT494" s="60">
        <v>0</v>
      </c>
      <c r="AU494" s="60">
        <v>0</v>
      </c>
      <c r="AV494" s="60">
        <v>0</v>
      </c>
      <c r="AW494" s="60">
        <v>0</v>
      </c>
      <c r="AX494" s="60">
        <v>0</v>
      </c>
      <c r="AY494" s="61">
        <f>AS494+AT494+AU494+AV494+AW494+AX494</f>
        <v>0</v>
      </c>
      <c r="AZ494" s="56">
        <f t="shared" si="169"/>
        <v>0</v>
      </c>
      <c r="BA494" s="62">
        <f>AF494</f>
        <v>0</v>
      </c>
      <c r="BB494" s="62">
        <f>AG494+AL494+AM494+AN494+AO494+AP494+AQ494+AS494+AT494+AU494+AV494+AW494+AX494</f>
        <v>0</v>
      </c>
      <c r="BC494" s="62">
        <f>BA494-BB494</f>
        <v>0</v>
      </c>
      <c r="BD494" s="63"/>
      <c r="BE494" s="57"/>
      <c r="BF494" s="35" t="e">
        <f>VLOOKUP(A:A,'2023-2027'!A:G,1,+FALSE)</f>
        <v>#N/A</v>
      </c>
      <c r="BG494" s="7" t="e">
        <f t="shared" si="184"/>
        <v>#N/A</v>
      </c>
      <c r="BH494" s="35"/>
    </row>
    <row r="495" spans="1:60" ht="12" hidden="1" customHeight="1" outlineLevel="1" x14ac:dyDescent="0.2">
      <c r="A495" s="59" t="s">
        <v>1218</v>
      </c>
      <c r="B495" s="61" t="s">
        <v>38</v>
      </c>
      <c r="C495" s="61" t="s">
        <v>1091</v>
      </c>
      <c r="D495" s="65" t="s">
        <v>1219</v>
      </c>
      <c r="E495" s="59" t="s">
        <v>721</v>
      </c>
      <c r="F495" s="60">
        <v>1575</v>
      </c>
      <c r="G495" s="60">
        <v>1575</v>
      </c>
      <c r="H495" s="59"/>
      <c r="I495" s="59"/>
      <c r="J495" s="59"/>
      <c r="K495" s="60">
        <v>1575</v>
      </c>
      <c r="L495" s="60">
        <v>1575</v>
      </c>
      <c r="M495" s="59"/>
      <c r="N495" s="59"/>
      <c r="O495" s="59"/>
      <c r="P495" s="67"/>
      <c r="Q495" s="67"/>
      <c r="R495" s="61">
        <f>J495/12</f>
        <v>0</v>
      </c>
      <c r="S495" s="60">
        <v>0</v>
      </c>
      <c r="T495" s="60">
        <v>0</v>
      </c>
      <c r="U495" s="60">
        <v>0</v>
      </c>
      <c r="V495" s="60">
        <v>0</v>
      </c>
      <c r="W495" s="60">
        <v>0</v>
      </c>
      <c r="X495" s="61">
        <f>R495+S495+T495+U495+V495+W495</f>
        <v>0</v>
      </c>
      <c r="Y495" s="60">
        <v>0</v>
      </c>
      <c r="Z495" s="60">
        <v>0</v>
      </c>
      <c r="AA495" s="60">
        <v>0</v>
      </c>
      <c r="AB495" s="60">
        <v>0</v>
      </c>
      <c r="AC495" s="60">
        <v>0</v>
      </c>
      <c r="AD495" s="60">
        <v>0</v>
      </c>
      <c r="AE495" s="61">
        <f>Y495+Z495+AA495+AB495+AC495+AD495</f>
        <v>0</v>
      </c>
      <c r="AF495" s="62">
        <f>M495</f>
        <v>0</v>
      </c>
      <c r="AG495" s="62">
        <f>N495+R495+S495+T495+U495+V495+W495+Y495+Z495+AA495+AB495+AC495+AD495</f>
        <v>0</v>
      </c>
      <c r="AH495" s="62">
        <f>AF495-AG495</f>
        <v>0</v>
      </c>
      <c r="AI495" s="63"/>
      <c r="AJ495" s="63"/>
      <c r="AK495" s="62"/>
      <c r="AL495" s="60">
        <v>0</v>
      </c>
      <c r="AM495" s="60">
        <v>0</v>
      </c>
      <c r="AN495" s="60">
        <v>0</v>
      </c>
      <c r="AO495" s="60">
        <v>0</v>
      </c>
      <c r="AP495" s="60">
        <v>0</v>
      </c>
      <c r="AQ495" s="60">
        <v>0</v>
      </c>
      <c r="AR495" s="61">
        <f>AL495+AM495+AN495+AO495+AP495+AQ495</f>
        <v>0</v>
      </c>
      <c r="AS495" s="60">
        <v>0</v>
      </c>
      <c r="AT495" s="60">
        <v>0</v>
      </c>
      <c r="AU495" s="60">
        <v>0</v>
      </c>
      <c r="AV495" s="60">
        <v>0</v>
      </c>
      <c r="AW495" s="60">
        <v>0</v>
      </c>
      <c r="AX495" s="60">
        <v>0</v>
      </c>
      <c r="AY495" s="61">
        <f>AS495+AT495+AU495+AV495+AW495+AX495</f>
        <v>0</v>
      </c>
      <c r="AZ495" s="56">
        <f t="shared" si="169"/>
        <v>0</v>
      </c>
      <c r="BA495" s="62">
        <f>AF495</f>
        <v>0</v>
      </c>
      <c r="BB495" s="62">
        <f>AG495+AL495+AM495+AN495+AO495+AP495+AQ495+AS495+AT495+AU495+AV495+AW495+AX495</f>
        <v>0</v>
      </c>
      <c r="BC495" s="62">
        <f>BA495-BB495</f>
        <v>0</v>
      </c>
      <c r="BD495" s="63"/>
      <c r="BE495" s="57"/>
      <c r="BF495" s="35" t="e">
        <f>VLOOKUP(A:A,'2023-2027'!A:G,1,+FALSE)</f>
        <v>#N/A</v>
      </c>
      <c r="BG495" s="7" t="e">
        <f t="shared" si="184"/>
        <v>#N/A</v>
      </c>
      <c r="BH495" s="35"/>
    </row>
    <row r="496" spans="1:60" ht="36" hidden="1" customHeight="1" outlineLevel="1" x14ac:dyDescent="0.2">
      <c r="A496" s="59" t="s">
        <v>1220</v>
      </c>
      <c r="B496" s="61" t="s">
        <v>38</v>
      </c>
      <c r="C496" s="61" t="s">
        <v>1091</v>
      </c>
      <c r="D496" s="66" t="s">
        <v>1221</v>
      </c>
      <c r="E496" s="59" t="s">
        <v>1158</v>
      </c>
      <c r="F496" s="60">
        <v>3443108.29</v>
      </c>
      <c r="G496" s="60">
        <v>1377243.36</v>
      </c>
      <c r="H496" s="60">
        <v>2065864.93</v>
      </c>
      <c r="I496" s="59"/>
      <c r="J496" s="60">
        <v>229540.56</v>
      </c>
      <c r="K496" s="59"/>
      <c r="L496" s="59"/>
      <c r="M496" s="60">
        <v>3443108.29</v>
      </c>
      <c r="N496" s="60">
        <v>1606783.92</v>
      </c>
      <c r="O496" s="60">
        <v>1836324.37</v>
      </c>
      <c r="P496" s="55">
        <v>1951094.65</v>
      </c>
      <c r="Q496" s="55">
        <f>P496*2.2%</f>
        <v>42924.082300000002</v>
      </c>
      <c r="R496" s="61">
        <f t="shared" si="175"/>
        <v>19128.38</v>
      </c>
      <c r="S496" s="60">
        <v>19128.38</v>
      </c>
      <c r="T496" s="60">
        <v>19128.38</v>
      </c>
      <c r="U496" s="60">
        <v>19128.38</v>
      </c>
      <c r="V496" s="60">
        <v>19128.38</v>
      </c>
      <c r="W496" s="60">
        <v>19128.38</v>
      </c>
      <c r="X496" s="61">
        <f t="shared" si="176"/>
        <v>114770.28000000001</v>
      </c>
      <c r="Y496" s="60">
        <v>19128.38</v>
      </c>
      <c r="Z496" s="60">
        <v>19128.38</v>
      </c>
      <c r="AA496" s="60">
        <v>19128.38</v>
      </c>
      <c r="AB496" s="60">
        <v>19128.38</v>
      </c>
      <c r="AC496" s="60">
        <v>19128.38</v>
      </c>
      <c r="AD496" s="60">
        <v>19128.38</v>
      </c>
      <c r="AE496" s="61">
        <f t="shared" si="177"/>
        <v>114770.28000000001</v>
      </c>
      <c r="AF496" s="62">
        <f t="shared" si="170"/>
        <v>3443108.29</v>
      </c>
      <c r="AG496" s="62">
        <f t="shared" si="171"/>
        <v>1836324.4799999986</v>
      </c>
      <c r="AH496" s="62">
        <f t="shared" si="172"/>
        <v>1606783.8100000015</v>
      </c>
      <c r="AI496" s="63">
        <v>1721554.090000001</v>
      </c>
      <c r="AJ496" s="63">
        <f t="shared" ref="AJ496" si="192">AI496*2.2%</f>
        <v>37874.189980000025</v>
      </c>
      <c r="AK496" s="62"/>
      <c r="AL496" s="60">
        <v>19128.38</v>
      </c>
      <c r="AM496" s="60">
        <v>19128.38</v>
      </c>
      <c r="AN496" s="60">
        <v>19128.38</v>
      </c>
      <c r="AO496" s="60">
        <v>19128.38</v>
      </c>
      <c r="AP496" s="60">
        <v>19128.38</v>
      </c>
      <c r="AQ496" s="60">
        <v>19128.38</v>
      </c>
      <c r="AR496" s="61">
        <f t="shared" si="178"/>
        <v>114770.28000000001</v>
      </c>
      <c r="AS496" s="60">
        <v>19128.38</v>
      </c>
      <c r="AT496" s="60">
        <v>19128.38</v>
      </c>
      <c r="AU496" s="60">
        <v>19128.38</v>
      </c>
      <c r="AV496" s="60">
        <v>19128.38</v>
      </c>
      <c r="AW496" s="60">
        <v>19128.38</v>
      </c>
      <c r="AX496" s="60">
        <v>19128.38</v>
      </c>
      <c r="AY496" s="61">
        <f t="shared" si="179"/>
        <v>114770.28000000001</v>
      </c>
      <c r="AZ496" s="56">
        <f t="shared" si="169"/>
        <v>229540.56000000003</v>
      </c>
      <c r="BA496" s="62">
        <f t="shared" si="163"/>
        <v>3443108.29</v>
      </c>
      <c r="BB496" s="62">
        <f t="shared" si="180"/>
        <v>2065865.0399999972</v>
      </c>
      <c r="BC496" s="62">
        <f t="shared" si="167"/>
        <v>1377243.2500000028</v>
      </c>
      <c r="BD496" s="63">
        <v>1492013.5300000024</v>
      </c>
      <c r="BE496" s="57">
        <f t="shared" ref="BE496" si="193">BD496*2.2%</f>
        <v>32824.297660000055</v>
      </c>
      <c r="BF496" s="35" t="str">
        <f>VLOOKUP(A:A,'2023-2027'!A:G,1,+FALSE)</f>
        <v>Новый технологический трубопровод для перекачки дизельного топлива</v>
      </c>
      <c r="BG496" s="7" t="b">
        <f t="shared" si="184"/>
        <v>1</v>
      </c>
      <c r="BH496" s="35">
        <f>VLOOKUP(A:A,'2023-2027'!A:AT,43,+FALSE)</f>
        <v>19128.38</v>
      </c>
    </row>
    <row r="497" spans="1:60" ht="12" hidden="1" customHeight="1" outlineLevel="1" x14ac:dyDescent="0.2">
      <c r="A497" s="59" t="s">
        <v>1222</v>
      </c>
      <c r="B497" s="61" t="s">
        <v>38</v>
      </c>
      <c r="C497" s="61" t="s">
        <v>1091</v>
      </c>
      <c r="D497" s="65" t="s">
        <v>1223</v>
      </c>
      <c r="E497" s="59" t="s">
        <v>1224</v>
      </c>
      <c r="F497" s="60">
        <v>4881</v>
      </c>
      <c r="G497" s="60">
        <v>4881</v>
      </c>
      <c r="H497" s="59"/>
      <c r="I497" s="59"/>
      <c r="J497" s="59"/>
      <c r="K497" s="60">
        <v>4881</v>
      </c>
      <c r="L497" s="60">
        <v>4881</v>
      </c>
      <c r="M497" s="59"/>
      <c r="N497" s="59"/>
      <c r="O497" s="59"/>
      <c r="P497" s="67"/>
      <c r="Q497" s="67"/>
      <c r="R497" s="61">
        <f t="shared" si="175"/>
        <v>0</v>
      </c>
      <c r="S497" s="60">
        <v>0</v>
      </c>
      <c r="T497" s="60">
        <v>0</v>
      </c>
      <c r="U497" s="60">
        <v>0</v>
      </c>
      <c r="V497" s="60">
        <v>0</v>
      </c>
      <c r="W497" s="60">
        <v>0</v>
      </c>
      <c r="X497" s="61">
        <f t="shared" si="176"/>
        <v>0</v>
      </c>
      <c r="Y497" s="60">
        <v>0</v>
      </c>
      <c r="Z497" s="60">
        <v>0</v>
      </c>
      <c r="AA497" s="60">
        <v>0</v>
      </c>
      <c r="AB497" s="60">
        <v>0</v>
      </c>
      <c r="AC497" s="60">
        <v>0</v>
      </c>
      <c r="AD497" s="60">
        <v>0</v>
      </c>
      <c r="AE497" s="61">
        <f t="shared" si="177"/>
        <v>0</v>
      </c>
      <c r="AF497" s="62">
        <f t="shared" si="170"/>
        <v>0</v>
      </c>
      <c r="AG497" s="62">
        <f t="shared" si="171"/>
        <v>0</v>
      </c>
      <c r="AH497" s="62">
        <f t="shared" si="172"/>
        <v>0</v>
      </c>
      <c r="AI497" s="63"/>
      <c r="AJ497" s="63"/>
      <c r="AK497" s="62"/>
      <c r="AL497" s="60">
        <v>0</v>
      </c>
      <c r="AM497" s="60">
        <v>0</v>
      </c>
      <c r="AN497" s="60">
        <v>0</v>
      </c>
      <c r="AO497" s="60">
        <v>0</v>
      </c>
      <c r="AP497" s="60">
        <v>0</v>
      </c>
      <c r="AQ497" s="60">
        <v>0</v>
      </c>
      <c r="AR497" s="61">
        <f t="shared" si="178"/>
        <v>0</v>
      </c>
      <c r="AS497" s="60">
        <v>0</v>
      </c>
      <c r="AT497" s="60">
        <v>0</v>
      </c>
      <c r="AU497" s="60">
        <v>0</v>
      </c>
      <c r="AV497" s="60">
        <v>0</v>
      </c>
      <c r="AW497" s="60">
        <v>0</v>
      </c>
      <c r="AX497" s="60">
        <v>0</v>
      </c>
      <c r="AY497" s="61">
        <f t="shared" si="179"/>
        <v>0</v>
      </c>
      <c r="AZ497" s="56">
        <f t="shared" si="169"/>
        <v>0</v>
      </c>
      <c r="BA497" s="62">
        <f t="shared" si="163"/>
        <v>0</v>
      </c>
      <c r="BB497" s="62">
        <f t="shared" si="180"/>
        <v>0</v>
      </c>
      <c r="BC497" s="62">
        <f t="shared" si="167"/>
        <v>0</v>
      </c>
      <c r="BD497" s="63"/>
      <c r="BE497" s="57"/>
      <c r="BF497" s="35" t="e">
        <f>VLOOKUP(A:A,'2023-2027'!A:G,1,+FALSE)</f>
        <v>#N/A</v>
      </c>
      <c r="BG497" s="7" t="e">
        <f t="shared" si="184"/>
        <v>#N/A</v>
      </c>
      <c r="BH497" s="35"/>
    </row>
    <row r="498" spans="1:60" ht="12" hidden="1" customHeight="1" outlineLevel="1" x14ac:dyDescent="0.2">
      <c r="A498" s="59" t="s">
        <v>1225</v>
      </c>
      <c r="B498" s="61" t="s">
        <v>38</v>
      </c>
      <c r="C498" s="61" t="s">
        <v>1091</v>
      </c>
      <c r="D498" s="66" t="s">
        <v>1226</v>
      </c>
      <c r="E498" s="59" t="s">
        <v>1227</v>
      </c>
      <c r="F498" s="60">
        <v>39415</v>
      </c>
      <c r="G498" s="60">
        <v>35273.040000000001</v>
      </c>
      <c r="H498" s="60">
        <v>4141.96</v>
      </c>
      <c r="I498" s="59"/>
      <c r="J498" s="60">
        <v>1603.32</v>
      </c>
      <c r="K498" s="59"/>
      <c r="L498" s="59"/>
      <c r="M498" s="60">
        <v>39415</v>
      </c>
      <c r="N498" s="60">
        <v>36876.36</v>
      </c>
      <c r="O498" s="60">
        <v>2538.64</v>
      </c>
      <c r="P498" s="55">
        <v>3340.3</v>
      </c>
      <c r="Q498" s="55">
        <f t="shared" ref="Q498:Q501" si="194">P498*2.2%</f>
        <v>73.48660000000001</v>
      </c>
      <c r="R498" s="61">
        <f t="shared" si="175"/>
        <v>133.60999999999999</v>
      </c>
      <c r="S498" s="60">
        <v>133.61000000000001</v>
      </c>
      <c r="T498" s="60">
        <v>133.61000000000001</v>
      </c>
      <c r="U498" s="60">
        <v>133.61000000000001</v>
      </c>
      <c r="V498" s="60">
        <v>133.61000000000001</v>
      </c>
      <c r="W498" s="60">
        <v>133.61000000000001</v>
      </c>
      <c r="X498" s="61">
        <f t="shared" si="176"/>
        <v>801.66000000000008</v>
      </c>
      <c r="Y498" s="60">
        <v>133.61000000000001</v>
      </c>
      <c r="Z498" s="60">
        <v>133.61000000000001</v>
      </c>
      <c r="AA498" s="60">
        <v>133.61000000000001</v>
      </c>
      <c r="AB498" s="60">
        <v>133.61000000000001</v>
      </c>
      <c r="AC498" s="60">
        <v>133.61000000000001</v>
      </c>
      <c r="AD498" s="60">
        <v>133.61000000000001</v>
      </c>
      <c r="AE498" s="61">
        <f t="shared" si="177"/>
        <v>801.66000000000008</v>
      </c>
      <c r="AF498" s="62">
        <f t="shared" si="170"/>
        <v>39415</v>
      </c>
      <c r="AG498" s="62">
        <f t="shared" si="171"/>
        <v>38479.680000000008</v>
      </c>
      <c r="AH498" s="62">
        <f t="shared" si="172"/>
        <v>935.31999999999243</v>
      </c>
      <c r="AI498" s="63">
        <v>1736.9799999999993</v>
      </c>
      <c r="AJ498" s="63">
        <f t="shared" ref="AJ498:AJ501" si="195">AI498*2.2%</f>
        <v>38.213559999999987</v>
      </c>
      <c r="AK498" s="62"/>
      <c r="AL498" s="60">
        <v>133.61000000000001</v>
      </c>
      <c r="AM498" s="60">
        <v>133.61000000000001</v>
      </c>
      <c r="AN498" s="60">
        <v>133.61000000000001</v>
      </c>
      <c r="AO498" s="60">
        <v>133.61000000000001</v>
      </c>
      <c r="AP498" s="60">
        <v>133.61000000000001</v>
      </c>
      <c r="AQ498" s="60">
        <v>133.61000000000001</v>
      </c>
      <c r="AR498" s="61">
        <f t="shared" si="178"/>
        <v>801.66000000000008</v>
      </c>
      <c r="AS498" s="60">
        <v>133.66</v>
      </c>
      <c r="AT498" s="60"/>
      <c r="AU498" s="60"/>
      <c r="AV498" s="60"/>
      <c r="AW498" s="60"/>
      <c r="AX498" s="60"/>
      <c r="AY498" s="61">
        <f t="shared" si="179"/>
        <v>133.66</v>
      </c>
      <c r="AZ498" s="56">
        <f t="shared" si="169"/>
        <v>935.32</v>
      </c>
      <c r="BA498" s="62">
        <f t="shared" si="163"/>
        <v>39415</v>
      </c>
      <c r="BB498" s="62">
        <f t="shared" si="180"/>
        <v>39415.000000000015</v>
      </c>
      <c r="BC498" s="62">
        <f t="shared" si="167"/>
        <v>0</v>
      </c>
      <c r="BD498" s="63">
        <v>534.48999999999796</v>
      </c>
      <c r="BE498" s="57">
        <f t="shared" ref="BE498:BE501" si="196">BD498*2.2%</f>
        <v>11.758779999999957</v>
      </c>
      <c r="BF498" s="35" t="str">
        <f>VLOOKUP(A:A,'2023-2027'!A:G,1,+FALSE)</f>
        <v>Пристройка для машинистов</v>
      </c>
      <c r="BG498" s="7" t="b">
        <f t="shared" si="184"/>
        <v>1</v>
      </c>
      <c r="BH498" s="35">
        <f>VLOOKUP(A:A,'2023-2027'!A:AT,43,+FALSE)</f>
        <v>164.23</v>
      </c>
    </row>
    <row r="499" spans="1:60" ht="12" hidden="1" customHeight="1" outlineLevel="1" x14ac:dyDescent="0.2">
      <c r="A499" s="59" t="s">
        <v>1228</v>
      </c>
      <c r="B499" s="61" t="s">
        <v>38</v>
      </c>
      <c r="C499" s="61" t="s">
        <v>1091</v>
      </c>
      <c r="D499" s="65" t="s">
        <v>1229</v>
      </c>
      <c r="E499" s="59" t="s">
        <v>732</v>
      </c>
      <c r="F499" s="60">
        <v>415215.62</v>
      </c>
      <c r="G499" s="60">
        <v>353165.64</v>
      </c>
      <c r="H499" s="60">
        <v>62049.98</v>
      </c>
      <c r="I499" s="59"/>
      <c r="J499" s="60">
        <v>6204.96</v>
      </c>
      <c r="K499" s="59"/>
      <c r="L499" s="59"/>
      <c r="M499" s="60">
        <v>415215.62</v>
      </c>
      <c r="N499" s="60">
        <v>359370.6</v>
      </c>
      <c r="O499" s="60">
        <v>55845.02</v>
      </c>
      <c r="P499" s="55">
        <v>58947.5</v>
      </c>
      <c r="Q499" s="55">
        <f t="shared" si="194"/>
        <v>1296.845</v>
      </c>
      <c r="R499" s="61">
        <f t="shared" si="175"/>
        <v>517.08000000000004</v>
      </c>
      <c r="S499" s="60">
        <v>517.08000000000004</v>
      </c>
      <c r="T499" s="60">
        <v>517.08000000000004</v>
      </c>
      <c r="U499" s="60">
        <v>517.08000000000004</v>
      </c>
      <c r="V499" s="60">
        <v>517.08000000000004</v>
      </c>
      <c r="W499" s="60">
        <v>517.08000000000004</v>
      </c>
      <c r="X499" s="61">
        <f t="shared" si="176"/>
        <v>3102.48</v>
      </c>
      <c r="Y499" s="60">
        <v>517.08000000000004</v>
      </c>
      <c r="Z499" s="60">
        <v>517.08000000000004</v>
      </c>
      <c r="AA499" s="60">
        <v>517.08000000000004</v>
      </c>
      <c r="AB499" s="60">
        <v>517.08000000000004</v>
      </c>
      <c r="AC499" s="60">
        <v>517.08000000000004</v>
      </c>
      <c r="AD499" s="60">
        <v>517.08000000000004</v>
      </c>
      <c r="AE499" s="61">
        <f t="shared" si="177"/>
        <v>3102.48</v>
      </c>
      <c r="AF499" s="62">
        <f t="shared" si="170"/>
        <v>415215.62</v>
      </c>
      <c r="AG499" s="62">
        <f t="shared" si="171"/>
        <v>365575.56000000017</v>
      </c>
      <c r="AH499" s="62">
        <f t="shared" si="172"/>
        <v>49640.059999999823</v>
      </c>
      <c r="AI499" s="63">
        <v>52742.539999999986</v>
      </c>
      <c r="AJ499" s="63">
        <f t="shared" si="195"/>
        <v>1160.3358799999999</v>
      </c>
      <c r="AK499" s="62"/>
      <c r="AL499" s="60">
        <v>517.08000000000004</v>
      </c>
      <c r="AM499" s="60">
        <v>517.08000000000004</v>
      </c>
      <c r="AN499" s="60">
        <v>517.08000000000004</v>
      </c>
      <c r="AO499" s="60">
        <v>517.08000000000004</v>
      </c>
      <c r="AP499" s="60">
        <v>517.08000000000004</v>
      </c>
      <c r="AQ499" s="60">
        <v>517.08000000000004</v>
      </c>
      <c r="AR499" s="61">
        <f t="shared" si="178"/>
        <v>3102.48</v>
      </c>
      <c r="AS499" s="60">
        <v>517.08000000000004</v>
      </c>
      <c r="AT499" s="60">
        <v>517.08000000000004</v>
      </c>
      <c r="AU499" s="60">
        <v>517.08000000000004</v>
      </c>
      <c r="AV499" s="60">
        <v>517.08000000000004</v>
      </c>
      <c r="AW499" s="60">
        <v>517.08000000000004</v>
      </c>
      <c r="AX499" s="60">
        <v>517.08000000000004</v>
      </c>
      <c r="AY499" s="61">
        <f t="shared" si="179"/>
        <v>3102.48</v>
      </c>
      <c r="AZ499" s="56">
        <f t="shared" si="169"/>
        <v>6204.96</v>
      </c>
      <c r="BA499" s="62">
        <f t="shared" si="163"/>
        <v>415215.62</v>
      </c>
      <c r="BB499" s="62">
        <f t="shared" si="180"/>
        <v>371780.52000000037</v>
      </c>
      <c r="BC499" s="62">
        <f t="shared" si="167"/>
        <v>43435.099999999627</v>
      </c>
      <c r="BD499" s="63">
        <v>46537.579999999965</v>
      </c>
      <c r="BE499" s="57">
        <f t="shared" si="196"/>
        <v>1023.8267599999994</v>
      </c>
      <c r="BF499" s="35" t="e">
        <f>VLOOKUP(A:A,'2023-2027'!A:G,1,+FALSE)</f>
        <v>#N/A</v>
      </c>
      <c r="BG499" s="7" t="e">
        <f t="shared" si="184"/>
        <v>#N/A</v>
      </c>
      <c r="BH499" s="35"/>
    </row>
    <row r="500" spans="1:60" ht="36" hidden="1" customHeight="1" outlineLevel="1" x14ac:dyDescent="0.2">
      <c r="A500" s="59" t="s">
        <v>1230</v>
      </c>
      <c r="B500" s="61" t="s">
        <v>38</v>
      </c>
      <c r="C500" s="61" t="s">
        <v>1091</v>
      </c>
      <c r="D500" s="66" t="s">
        <v>1231</v>
      </c>
      <c r="E500" s="59" t="s">
        <v>1232</v>
      </c>
      <c r="F500" s="60">
        <v>16224413.98</v>
      </c>
      <c r="G500" s="60">
        <v>3244882.8</v>
      </c>
      <c r="H500" s="60">
        <v>12979531.18</v>
      </c>
      <c r="I500" s="59"/>
      <c r="J500" s="60">
        <v>1622441.4</v>
      </c>
      <c r="K500" s="59"/>
      <c r="L500" s="59"/>
      <c r="M500" s="60">
        <v>16224413.98</v>
      </c>
      <c r="N500" s="60">
        <v>4867324.2</v>
      </c>
      <c r="O500" s="60">
        <v>11357089.779999999</v>
      </c>
      <c r="P500" s="55">
        <v>12168310.449999999</v>
      </c>
      <c r="Q500" s="55">
        <f t="shared" si="194"/>
        <v>267702.82990000001</v>
      </c>
      <c r="R500" s="61">
        <f t="shared" si="175"/>
        <v>135203.44999999998</v>
      </c>
      <c r="S500" s="60">
        <v>135203.45000000001</v>
      </c>
      <c r="T500" s="60">
        <v>135203.45000000001</v>
      </c>
      <c r="U500" s="60">
        <v>135203.45000000001</v>
      </c>
      <c r="V500" s="60">
        <v>135203.45000000001</v>
      </c>
      <c r="W500" s="60">
        <v>135203.45000000001</v>
      </c>
      <c r="X500" s="61">
        <f t="shared" si="176"/>
        <v>811220.7</v>
      </c>
      <c r="Y500" s="60">
        <v>135203.45000000001</v>
      </c>
      <c r="Z500" s="60">
        <v>135203.45000000001</v>
      </c>
      <c r="AA500" s="60">
        <v>135203.45000000001</v>
      </c>
      <c r="AB500" s="60">
        <v>135203.45000000001</v>
      </c>
      <c r="AC500" s="60">
        <v>135203.45000000001</v>
      </c>
      <c r="AD500" s="60">
        <v>135203.45000000001</v>
      </c>
      <c r="AE500" s="61">
        <f t="shared" si="177"/>
        <v>811220.7</v>
      </c>
      <c r="AF500" s="62">
        <f t="shared" si="170"/>
        <v>16224413.98</v>
      </c>
      <c r="AG500" s="62">
        <f t="shared" si="171"/>
        <v>6489765.6000000024</v>
      </c>
      <c r="AH500" s="62">
        <f t="shared" si="172"/>
        <v>9734648.379999999</v>
      </c>
      <c r="AI500" s="63">
        <v>10545869.080000004</v>
      </c>
      <c r="AJ500" s="63">
        <f t="shared" si="195"/>
        <v>232009.11976000012</v>
      </c>
      <c r="AK500" s="62"/>
      <c r="AL500" s="60">
        <v>135203.45000000001</v>
      </c>
      <c r="AM500" s="60">
        <v>135203.45000000001</v>
      </c>
      <c r="AN500" s="60">
        <v>135203.45000000001</v>
      </c>
      <c r="AO500" s="60">
        <v>135203.45000000001</v>
      </c>
      <c r="AP500" s="60">
        <v>135203.45000000001</v>
      </c>
      <c r="AQ500" s="60">
        <v>135203.45000000001</v>
      </c>
      <c r="AR500" s="61">
        <f t="shared" si="178"/>
        <v>811220.7</v>
      </c>
      <c r="AS500" s="60">
        <v>135203.45000000001</v>
      </c>
      <c r="AT500" s="60">
        <v>135203.45000000001</v>
      </c>
      <c r="AU500" s="60">
        <v>135203.45000000001</v>
      </c>
      <c r="AV500" s="60">
        <v>135203.45000000001</v>
      </c>
      <c r="AW500" s="60">
        <v>135203.45000000001</v>
      </c>
      <c r="AX500" s="60">
        <v>135203.45000000001</v>
      </c>
      <c r="AY500" s="61">
        <f t="shared" si="179"/>
        <v>811220.7</v>
      </c>
      <c r="AZ500" s="56">
        <f t="shared" si="169"/>
        <v>1622441.4</v>
      </c>
      <c r="BA500" s="62">
        <f t="shared" si="163"/>
        <v>16224413.98</v>
      </c>
      <c r="BB500" s="62">
        <f t="shared" si="180"/>
        <v>8112207.0000000047</v>
      </c>
      <c r="BC500" s="62">
        <f t="shared" si="167"/>
        <v>8112206.9799999958</v>
      </c>
      <c r="BD500" s="63">
        <v>8923427.6800000127</v>
      </c>
      <c r="BE500" s="57">
        <f t="shared" si="196"/>
        <v>196315.40896000029</v>
      </c>
      <c r="BF500" s="35" t="str">
        <f>VLOOKUP(A:A,'2023-2027'!A:G,1,+FALSE)</f>
        <v>РВС-400 (резервуар вертикальный стальной объемом 400 м3)</v>
      </c>
      <c r="BG500" s="7" t="b">
        <f t="shared" si="184"/>
        <v>1</v>
      </c>
      <c r="BH500" s="35">
        <f>VLOOKUP(A:A,'2023-2027'!A:AT,43,+FALSE)</f>
        <v>135203.44999999998</v>
      </c>
    </row>
    <row r="501" spans="1:60" ht="24" hidden="1" customHeight="1" outlineLevel="1" x14ac:dyDescent="0.2">
      <c r="A501" s="59" t="s">
        <v>1233</v>
      </c>
      <c r="B501" s="61" t="s">
        <v>38</v>
      </c>
      <c r="C501" s="61" t="s">
        <v>1091</v>
      </c>
      <c r="D501" s="65" t="s">
        <v>1234</v>
      </c>
      <c r="E501" s="59" t="s">
        <v>1235</v>
      </c>
      <c r="F501" s="60">
        <v>9564</v>
      </c>
      <c r="G501" s="60">
        <v>7280.83</v>
      </c>
      <c r="H501" s="60">
        <v>2283.17</v>
      </c>
      <c r="I501" s="59"/>
      <c r="J501" s="68">
        <v>228.36</v>
      </c>
      <c r="K501" s="59"/>
      <c r="L501" s="59"/>
      <c r="M501" s="60">
        <v>9564</v>
      </c>
      <c r="N501" s="60">
        <v>7509.19</v>
      </c>
      <c r="O501" s="60">
        <v>2054.81</v>
      </c>
      <c r="P501" s="55">
        <v>2168.9899999999998</v>
      </c>
      <c r="Q501" s="55">
        <f t="shared" si="194"/>
        <v>47.717779999999998</v>
      </c>
      <c r="R501" s="61">
        <f t="shared" si="175"/>
        <v>19.03</v>
      </c>
      <c r="S501" s="60">
        <v>19.03</v>
      </c>
      <c r="T501" s="60">
        <v>19.03</v>
      </c>
      <c r="U501" s="60">
        <v>19.03</v>
      </c>
      <c r="V501" s="60">
        <v>19.03</v>
      </c>
      <c r="W501" s="60">
        <v>19.03</v>
      </c>
      <c r="X501" s="61">
        <f t="shared" si="176"/>
        <v>114.18</v>
      </c>
      <c r="Y501" s="60">
        <v>19.03</v>
      </c>
      <c r="Z501" s="60">
        <v>19.03</v>
      </c>
      <c r="AA501" s="60">
        <v>19.03</v>
      </c>
      <c r="AB501" s="60">
        <v>19.03</v>
      </c>
      <c r="AC501" s="60">
        <v>19.03</v>
      </c>
      <c r="AD501" s="60">
        <v>19.03</v>
      </c>
      <c r="AE501" s="61">
        <f t="shared" si="177"/>
        <v>114.18</v>
      </c>
      <c r="AF501" s="62">
        <f t="shared" si="170"/>
        <v>9564</v>
      </c>
      <c r="AG501" s="62">
        <f t="shared" si="171"/>
        <v>7737.5499999999965</v>
      </c>
      <c r="AH501" s="62">
        <f t="shared" si="172"/>
        <v>1826.4500000000035</v>
      </c>
      <c r="AI501" s="63">
        <v>1940.6299999999985</v>
      </c>
      <c r="AJ501" s="63">
        <f t="shared" si="195"/>
        <v>42.693859999999972</v>
      </c>
      <c r="AK501" s="62"/>
      <c r="AL501" s="60">
        <v>19.03</v>
      </c>
      <c r="AM501" s="60">
        <v>19.03</v>
      </c>
      <c r="AN501" s="60">
        <v>19.03</v>
      </c>
      <c r="AO501" s="60">
        <v>19.03</v>
      </c>
      <c r="AP501" s="60">
        <v>19.03</v>
      </c>
      <c r="AQ501" s="60">
        <v>19.03</v>
      </c>
      <c r="AR501" s="61">
        <f t="shared" si="178"/>
        <v>114.18</v>
      </c>
      <c r="AS501" s="60">
        <v>19.03</v>
      </c>
      <c r="AT501" s="60">
        <v>19.03</v>
      </c>
      <c r="AU501" s="60">
        <v>19.03</v>
      </c>
      <c r="AV501" s="60">
        <v>19.03</v>
      </c>
      <c r="AW501" s="60">
        <v>19.03</v>
      </c>
      <c r="AX501" s="60">
        <v>19.03</v>
      </c>
      <c r="AY501" s="61">
        <f t="shared" si="179"/>
        <v>114.18</v>
      </c>
      <c r="AZ501" s="56">
        <f t="shared" si="169"/>
        <v>228.36</v>
      </c>
      <c r="BA501" s="62">
        <f t="shared" si="163"/>
        <v>9564</v>
      </c>
      <c r="BB501" s="62">
        <f t="shared" si="180"/>
        <v>7965.9099999999935</v>
      </c>
      <c r="BC501" s="62">
        <f t="shared" si="167"/>
        <v>1598.0900000000065</v>
      </c>
      <c r="BD501" s="63">
        <v>1712.2699999999963</v>
      </c>
      <c r="BE501" s="57">
        <f t="shared" si="196"/>
        <v>37.669939999999926</v>
      </c>
      <c r="BF501" s="35" t="e">
        <f>VLOOKUP(A:A,'2023-2027'!A:G,1,+FALSE)</f>
        <v>#N/A</v>
      </c>
      <c r="BG501" s="7" t="e">
        <f t="shared" si="184"/>
        <v>#N/A</v>
      </c>
      <c r="BH501" s="35"/>
    </row>
    <row r="502" spans="1:60" ht="24" hidden="1" customHeight="1" outlineLevel="1" x14ac:dyDescent="0.2">
      <c r="A502" s="59" t="s">
        <v>1236</v>
      </c>
      <c r="B502" s="61" t="s">
        <v>38</v>
      </c>
      <c r="C502" s="61" t="s">
        <v>1091</v>
      </c>
      <c r="D502" s="66" t="s">
        <v>1237</v>
      </c>
      <c r="E502" s="59" t="s">
        <v>1238</v>
      </c>
      <c r="F502" s="60">
        <v>535420.01</v>
      </c>
      <c r="G502" s="60">
        <v>5577.29</v>
      </c>
      <c r="H502" s="60">
        <v>529842.72</v>
      </c>
      <c r="I502" s="59"/>
      <c r="J502" s="60">
        <v>66927.48</v>
      </c>
      <c r="K502" s="59"/>
      <c r="L502" s="59"/>
      <c r="M502" s="60">
        <v>535420.01</v>
      </c>
      <c r="N502" s="60">
        <v>72504.77</v>
      </c>
      <c r="O502" s="60">
        <v>462915.24</v>
      </c>
      <c r="P502" s="55"/>
      <c r="Q502" s="55"/>
      <c r="R502" s="61">
        <f t="shared" si="175"/>
        <v>5577.29</v>
      </c>
      <c r="S502" s="60">
        <v>5577.29</v>
      </c>
      <c r="T502" s="60">
        <v>5577.29</v>
      </c>
      <c r="U502" s="60">
        <v>5577.29</v>
      </c>
      <c r="V502" s="60">
        <v>5577.29</v>
      </c>
      <c r="W502" s="60">
        <v>5577.29</v>
      </c>
      <c r="X502" s="61">
        <f t="shared" si="176"/>
        <v>33463.74</v>
      </c>
      <c r="Y502" s="60">
        <v>5577.29</v>
      </c>
      <c r="Z502" s="60">
        <v>5577.29</v>
      </c>
      <c r="AA502" s="60">
        <v>5577.29</v>
      </c>
      <c r="AB502" s="60">
        <v>5577.29</v>
      </c>
      <c r="AC502" s="60">
        <v>5577.29</v>
      </c>
      <c r="AD502" s="60">
        <v>5577.29</v>
      </c>
      <c r="AE502" s="61">
        <f t="shared" si="177"/>
        <v>33463.74</v>
      </c>
      <c r="AF502" s="62">
        <f t="shared" si="170"/>
        <v>535420.01</v>
      </c>
      <c r="AG502" s="62">
        <f t="shared" si="171"/>
        <v>139432.24999999994</v>
      </c>
      <c r="AH502" s="62">
        <f t="shared" si="172"/>
        <v>395987.76000000007</v>
      </c>
      <c r="AI502" s="63"/>
      <c r="AJ502" s="63"/>
      <c r="AK502" s="62"/>
      <c r="AL502" s="60">
        <v>5577.29</v>
      </c>
      <c r="AM502" s="60">
        <v>5577.29</v>
      </c>
      <c r="AN502" s="60">
        <v>5577.29</v>
      </c>
      <c r="AO502" s="60">
        <v>5577.29</v>
      </c>
      <c r="AP502" s="60">
        <v>5577.29</v>
      </c>
      <c r="AQ502" s="60">
        <v>5577.29</v>
      </c>
      <c r="AR502" s="61">
        <f t="shared" si="178"/>
        <v>33463.74</v>
      </c>
      <c r="AS502" s="60">
        <v>5577.29</v>
      </c>
      <c r="AT502" s="60">
        <v>5577.29</v>
      </c>
      <c r="AU502" s="60">
        <v>5577.29</v>
      </c>
      <c r="AV502" s="60">
        <v>5577.29</v>
      </c>
      <c r="AW502" s="60">
        <v>5577.29</v>
      </c>
      <c r="AX502" s="60">
        <v>5577.29</v>
      </c>
      <c r="AY502" s="61">
        <f t="shared" si="179"/>
        <v>33463.74</v>
      </c>
      <c r="AZ502" s="56">
        <f t="shared" si="169"/>
        <v>66927.48</v>
      </c>
      <c r="BA502" s="62">
        <f t="shared" si="163"/>
        <v>535420.01</v>
      </c>
      <c r="BB502" s="62">
        <f t="shared" si="180"/>
        <v>206359.73000000004</v>
      </c>
      <c r="BC502" s="62">
        <f t="shared" si="167"/>
        <v>329060.27999999997</v>
      </c>
      <c r="BD502" s="63"/>
      <c r="BE502" s="57"/>
      <c r="BF502" s="35" t="str">
        <f>VLOOKUP(A:A,'2023-2027'!A:G,1,+FALSE)</f>
        <v>Система видеонаблюдения в машинном зале ТМЦ</v>
      </c>
      <c r="BG502" s="7" t="b">
        <f t="shared" si="184"/>
        <v>1</v>
      </c>
      <c r="BH502" s="35">
        <f>VLOOKUP(A:A,'2023-2027'!A:AT,43,+FALSE)</f>
        <v>5577.29</v>
      </c>
    </row>
    <row r="503" spans="1:60" ht="24" hidden="1" customHeight="1" outlineLevel="1" x14ac:dyDescent="0.2">
      <c r="A503" s="59" t="s">
        <v>1239</v>
      </c>
      <c r="B503" s="61" t="s">
        <v>38</v>
      </c>
      <c r="C503" s="61" t="s">
        <v>1091</v>
      </c>
      <c r="D503" s="66" t="s">
        <v>1240</v>
      </c>
      <c r="E503" s="59" t="s">
        <v>237</v>
      </c>
      <c r="F503" s="60">
        <v>601793.94999999995</v>
      </c>
      <c r="G503" s="60">
        <v>300896.40000000002</v>
      </c>
      <c r="H503" s="60">
        <v>300897.55</v>
      </c>
      <c r="I503" s="59"/>
      <c r="J503" s="60">
        <v>30089.759999999998</v>
      </c>
      <c r="K503" s="59"/>
      <c r="L503" s="59"/>
      <c r="M503" s="60">
        <v>601793.94999999995</v>
      </c>
      <c r="N503" s="60">
        <v>330986.15999999997</v>
      </c>
      <c r="O503" s="60">
        <v>270807.78999999998</v>
      </c>
      <c r="P503" s="55"/>
      <c r="Q503" s="55"/>
      <c r="R503" s="61">
        <f t="shared" si="175"/>
        <v>2507.48</v>
      </c>
      <c r="S503" s="60">
        <v>2507.48</v>
      </c>
      <c r="T503" s="60">
        <v>2507.48</v>
      </c>
      <c r="U503" s="60">
        <v>2507.48</v>
      </c>
      <c r="V503" s="60">
        <v>2507.48</v>
      </c>
      <c r="W503" s="60">
        <v>2507.48</v>
      </c>
      <c r="X503" s="61">
        <f t="shared" si="176"/>
        <v>15044.88</v>
      </c>
      <c r="Y503" s="60">
        <v>2507.48</v>
      </c>
      <c r="Z503" s="60">
        <v>2507.48</v>
      </c>
      <c r="AA503" s="60">
        <v>2507.48</v>
      </c>
      <c r="AB503" s="60">
        <v>2507.48</v>
      </c>
      <c r="AC503" s="60">
        <v>2507.48</v>
      </c>
      <c r="AD503" s="60">
        <v>2507.48</v>
      </c>
      <c r="AE503" s="61">
        <f t="shared" si="177"/>
        <v>15044.88</v>
      </c>
      <c r="AF503" s="62">
        <f t="shared" si="170"/>
        <v>601793.94999999995</v>
      </c>
      <c r="AG503" s="62">
        <f t="shared" si="171"/>
        <v>361075.91999999975</v>
      </c>
      <c r="AH503" s="62">
        <f t="shared" si="172"/>
        <v>240718.0300000002</v>
      </c>
      <c r="AI503" s="63"/>
      <c r="AJ503" s="63"/>
      <c r="AK503" s="62"/>
      <c r="AL503" s="60">
        <v>2507.48</v>
      </c>
      <c r="AM503" s="60">
        <v>2507.48</v>
      </c>
      <c r="AN503" s="60">
        <v>2507.48</v>
      </c>
      <c r="AO503" s="60">
        <v>2507.48</v>
      </c>
      <c r="AP503" s="60">
        <v>2507.48</v>
      </c>
      <c r="AQ503" s="60">
        <v>2507.48</v>
      </c>
      <c r="AR503" s="61">
        <f t="shared" si="178"/>
        <v>15044.88</v>
      </c>
      <c r="AS503" s="60">
        <v>2507.48</v>
      </c>
      <c r="AT503" s="60">
        <v>2507.48</v>
      </c>
      <c r="AU503" s="60">
        <v>2507.48</v>
      </c>
      <c r="AV503" s="60">
        <v>2507.48</v>
      </c>
      <c r="AW503" s="60">
        <v>2507.48</v>
      </c>
      <c r="AX503" s="60">
        <v>2507.48</v>
      </c>
      <c r="AY503" s="61">
        <f t="shared" si="179"/>
        <v>15044.88</v>
      </c>
      <c r="AZ503" s="56">
        <f t="shared" si="169"/>
        <v>30089.759999999998</v>
      </c>
      <c r="BA503" s="62">
        <f t="shared" si="163"/>
        <v>601793.94999999995</v>
      </c>
      <c r="BB503" s="62">
        <f t="shared" si="180"/>
        <v>391165.67999999953</v>
      </c>
      <c r="BC503" s="62">
        <f t="shared" si="167"/>
        <v>210628.27000000043</v>
      </c>
      <c r="BD503" s="63"/>
      <c r="BE503" s="57"/>
      <c r="BF503" s="35" t="str">
        <f>VLOOKUP(A:A,'2023-2027'!A:G,1,+FALSE)</f>
        <v>Система газового анализа с сигнализацией</v>
      </c>
      <c r="BG503" s="7" t="b">
        <f t="shared" si="184"/>
        <v>1</v>
      </c>
      <c r="BH503" s="35">
        <f>VLOOKUP(A:A,'2023-2027'!A:AT,43,+FALSE)</f>
        <v>0</v>
      </c>
    </row>
    <row r="504" spans="1:60" ht="48" hidden="1" customHeight="1" outlineLevel="1" x14ac:dyDescent="0.2">
      <c r="A504" s="59" t="s">
        <v>2455</v>
      </c>
      <c r="B504" s="61" t="s">
        <v>38</v>
      </c>
      <c r="C504" s="61" t="s">
        <v>1091</v>
      </c>
      <c r="D504" s="66" t="s">
        <v>1241</v>
      </c>
      <c r="E504" s="59" t="s">
        <v>234</v>
      </c>
      <c r="F504" s="60">
        <v>235520.27</v>
      </c>
      <c r="G504" s="60">
        <v>56263.35</v>
      </c>
      <c r="H504" s="60">
        <v>179256.92</v>
      </c>
      <c r="I504" s="59"/>
      <c r="J504" s="60">
        <v>15701.3</v>
      </c>
      <c r="K504" s="59"/>
      <c r="L504" s="59"/>
      <c r="M504" s="60">
        <v>235520.27</v>
      </c>
      <c r="N504" s="60">
        <v>71964.649999999994</v>
      </c>
      <c r="O504" s="60">
        <v>163555.62</v>
      </c>
      <c r="P504" s="55"/>
      <c r="Q504" s="55"/>
      <c r="R504" s="61">
        <f t="shared" si="175"/>
        <v>1308.4416666666666</v>
      </c>
      <c r="S504" s="60">
        <v>1308.4416670000001</v>
      </c>
      <c r="T504" s="60">
        <v>1308.4416670000001</v>
      </c>
      <c r="U504" s="60">
        <v>1308.4416670000001</v>
      </c>
      <c r="V504" s="60">
        <v>1308.4416670000001</v>
      </c>
      <c r="W504" s="60">
        <v>1308.4416670000001</v>
      </c>
      <c r="X504" s="61">
        <f t="shared" si="176"/>
        <v>7850.6500016666669</v>
      </c>
      <c r="Y504" s="60">
        <v>1308.4416670000001</v>
      </c>
      <c r="Z504" s="60">
        <v>1308.4416670000001</v>
      </c>
      <c r="AA504" s="60">
        <v>1308.4416670000001</v>
      </c>
      <c r="AB504" s="60">
        <v>1308.4416670000001</v>
      </c>
      <c r="AC504" s="60">
        <v>1308.4416670000001</v>
      </c>
      <c r="AD504" s="60">
        <v>1308.4416670000001</v>
      </c>
      <c r="AE504" s="61">
        <f t="shared" si="177"/>
        <v>7850.6500020000003</v>
      </c>
      <c r="AF504" s="62">
        <f t="shared" si="170"/>
        <v>235520.27</v>
      </c>
      <c r="AG504" s="62">
        <f t="shared" si="171"/>
        <v>87665.95000366673</v>
      </c>
      <c r="AH504" s="62">
        <f t="shared" si="172"/>
        <v>147854.31999633327</v>
      </c>
      <c r="AI504" s="63"/>
      <c r="AJ504" s="63"/>
      <c r="AK504" s="62"/>
      <c r="AL504" s="60">
        <v>1308.4416670000001</v>
      </c>
      <c r="AM504" s="60">
        <v>1308.4416670000001</v>
      </c>
      <c r="AN504" s="60">
        <v>1308.4416670000001</v>
      </c>
      <c r="AO504" s="60">
        <v>1308.4416670000001</v>
      </c>
      <c r="AP504" s="60">
        <v>1308.4416670000001</v>
      </c>
      <c r="AQ504" s="60">
        <v>1308.4416670000001</v>
      </c>
      <c r="AR504" s="61">
        <f t="shared" si="178"/>
        <v>7850.6500020000003</v>
      </c>
      <c r="AS504" s="60">
        <v>1308.4416670000001</v>
      </c>
      <c r="AT504" s="60">
        <v>1308.4416670000001</v>
      </c>
      <c r="AU504" s="60">
        <v>1308.4416670000001</v>
      </c>
      <c r="AV504" s="60">
        <v>1308.4416670000001</v>
      </c>
      <c r="AW504" s="60">
        <v>1308.4416670000001</v>
      </c>
      <c r="AX504" s="60">
        <v>1308.4416670000001</v>
      </c>
      <c r="AY504" s="61">
        <f t="shared" si="179"/>
        <v>7850.6500020000003</v>
      </c>
      <c r="AZ504" s="56">
        <f t="shared" si="169"/>
        <v>15701.300004000001</v>
      </c>
      <c r="BA504" s="62">
        <f t="shared" si="163"/>
        <v>235520.27</v>
      </c>
      <c r="BB504" s="62">
        <f t="shared" si="180"/>
        <v>103367.25000766681</v>
      </c>
      <c r="BC504" s="62">
        <f t="shared" si="167"/>
        <v>132153.0199923332</v>
      </c>
      <c r="BD504" s="63"/>
      <c r="BE504" s="57"/>
      <c r="BF504" s="35" t="str">
        <f>VLOOKUP(A:A,'2023-2027'!A:G,1,+FALSE)</f>
        <v>Система охранно-пожарной сигнализации в производственных помещениях ТМЦ ГУП НАО "Нарьян-Марская электростанция"</v>
      </c>
      <c r="BG504" s="7" t="b">
        <f t="shared" si="184"/>
        <v>1</v>
      </c>
      <c r="BH504" s="35">
        <f>VLOOKUP(A:A,'2023-2027'!A:AT,43,+FALSE)</f>
        <v>1308.4416670000001</v>
      </c>
    </row>
    <row r="505" spans="1:60" ht="12" hidden="1" customHeight="1" outlineLevel="1" x14ac:dyDescent="0.2">
      <c r="A505" s="59" t="s">
        <v>1242</v>
      </c>
      <c r="B505" s="61" t="s">
        <v>38</v>
      </c>
      <c r="C505" s="61" t="s">
        <v>1091</v>
      </c>
      <c r="D505" s="65" t="s">
        <v>1243</v>
      </c>
      <c r="E505" s="59" t="s">
        <v>243</v>
      </c>
      <c r="F505" s="60">
        <v>4500</v>
      </c>
      <c r="G505" s="60">
        <v>4500</v>
      </c>
      <c r="H505" s="59"/>
      <c r="I505" s="59"/>
      <c r="J505" s="59"/>
      <c r="K505" s="60">
        <v>4500</v>
      </c>
      <c r="L505" s="60">
        <v>4500</v>
      </c>
      <c r="M505" s="59"/>
      <c r="N505" s="59"/>
      <c r="O505" s="59"/>
      <c r="P505" s="67"/>
      <c r="Q505" s="67"/>
      <c r="R505" s="61">
        <f t="shared" si="175"/>
        <v>0</v>
      </c>
      <c r="S505" s="60">
        <v>0</v>
      </c>
      <c r="T505" s="60">
        <v>0</v>
      </c>
      <c r="U505" s="60">
        <v>0</v>
      </c>
      <c r="V505" s="60">
        <v>0</v>
      </c>
      <c r="W505" s="60">
        <v>0</v>
      </c>
      <c r="X505" s="61">
        <f t="shared" si="176"/>
        <v>0</v>
      </c>
      <c r="Y505" s="60">
        <v>0</v>
      </c>
      <c r="Z505" s="60">
        <v>0</v>
      </c>
      <c r="AA505" s="60">
        <v>0</v>
      </c>
      <c r="AB505" s="60">
        <v>0</v>
      </c>
      <c r="AC505" s="60">
        <v>0</v>
      </c>
      <c r="AD505" s="60">
        <v>0</v>
      </c>
      <c r="AE505" s="61">
        <f t="shared" si="177"/>
        <v>0</v>
      </c>
      <c r="AF505" s="62">
        <f t="shared" si="170"/>
        <v>0</v>
      </c>
      <c r="AG505" s="62">
        <f t="shared" si="171"/>
        <v>0</v>
      </c>
      <c r="AH505" s="62">
        <f t="shared" si="172"/>
        <v>0</v>
      </c>
      <c r="AI505" s="63"/>
      <c r="AJ505" s="63"/>
      <c r="AK505" s="62"/>
      <c r="AL505" s="60">
        <v>0</v>
      </c>
      <c r="AM505" s="60">
        <v>0</v>
      </c>
      <c r="AN505" s="60">
        <v>0</v>
      </c>
      <c r="AO505" s="60">
        <v>0</v>
      </c>
      <c r="AP505" s="60">
        <v>0</v>
      </c>
      <c r="AQ505" s="60">
        <v>0</v>
      </c>
      <c r="AR505" s="61">
        <f t="shared" si="178"/>
        <v>0</v>
      </c>
      <c r="AS505" s="60">
        <v>0</v>
      </c>
      <c r="AT505" s="60">
        <v>0</v>
      </c>
      <c r="AU505" s="60">
        <v>0</v>
      </c>
      <c r="AV505" s="60">
        <v>0</v>
      </c>
      <c r="AW505" s="60">
        <v>0</v>
      </c>
      <c r="AX505" s="60">
        <v>0</v>
      </c>
      <c r="AY505" s="61">
        <f t="shared" si="179"/>
        <v>0</v>
      </c>
      <c r="AZ505" s="56">
        <f t="shared" si="169"/>
        <v>0</v>
      </c>
      <c r="BA505" s="62">
        <f t="shared" si="163"/>
        <v>0</v>
      </c>
      <c r="BB505" s="62">
        <f t="shared" si="180"/>
        <v>0</v>
      </c>
      <c r="BC505" s="62">
        <f t="shared" si="167"/>
        <v>0</v>
      </c>
      <c r="BD505" s="63"/>
      <c r="BE505" s="57"/>
      <c r="BF505" s="35" t="e">
        <f>VLOOKUP(A:A,'2023-2027'!A:G,1,+FALSE)</f>
        <v>#N/A</v>
      </c>
      <c r="BG505" s="7" t="e">
        <f t="shared" si="184"/>
        <v>#N/A</v>
      </c>
      <c r="BH505" s="35"/>
    </row>
    <row r="506" spans="1:60" ht="12" hidden="1" customHeight="1" outlineLevel="1" x14ac:dyDescent="0.2">
      <c r="A506" s="59" t="s">
        <v>1244</v>
      </c>
      <c r="B506" s="61" t="s">
        <v>38</v>
      </c>
      <c r="C506" s="61" t="s">
        <v>1091</v>
      </c>
      <c r="D506" s="66" t="s">
        <v>1245</v>
      </c>
      <c r="E506" s="59" t="s">
        <v>275</v>
      </c>
      <c r="F506" s="60">
        <v>56080</v>
      </c>
      <c r="G506" s="60">
        <v>25422.48</v>
      </c>
      <c r="H506" s="60">
        <v>30657.52</v>
      </c>
      <c r="I506" s="59"/>
      <c r="J506" s="60">
        <v>2243.2800000000002</v>
      </c>
      <c r="K506" s="59"/>
      <c r="L506" s="59"/>
      <c r="M506" s="60">
        <v>56080</v>
      </c>
      <c r="N506" s="60">
        <v>27665.759999999998</v>
      </c>
      <c r="O506" s="60">
        <v>28414.240000000002</v>
      </c>
      <c r="P506" s="55">
        <v>29535.88</v>
      </c>
      <c r="Q506" s="55">
        <f>P506*2.2%</f>
        <v>649.7893600000001</v>
      </c>
      <c r="R506" s="61">
        <f t="shared" si="175"/>
        <v>186.94000000000003</v>
      </c>
      <c r="S506" s="60">
        <v>186.94</v>
      </c>
      <c r="T506" s="60">
        <v>186.94</v>
      </c>
      <c r="U506" s="60">
        <v>186.94</v>
      </c>
      <c r="V506" s="60">
        <v>186.94</v>
      </c>
      <c r="W506" s="60">
        <v>186.94</v>
      </c>
      <c r="X506" s="61">
        <f t="shared" si="176"/>
        <v>1121.6400000000001</v>
      </c>
      <c r="Y506" s="60">
        <v>186.94</v>
      </c>
      <c r="Z506" s="60">
        <v>186.94</v>
      </c>
      <c r="AA506" s="60">
        <v>186.94</v>
      </c>
      <c r="AB506" s="60">
        <v>186.94</v>
      </c>
      <c r="AC506" s="60">
        <v>186.94</v>
      </c>
      <c r="AD506" s="60">
        <v>186.94</v>
      </c>
      <c r="AE506" s="61">
        <f t="shared" si="177"/>
        <v>1121.6400000000001</v>
      </c>
      <c r="AF506" s="62">
        <f t="shared" si="170"/>
        <v>56080</v>
      </c>
      <c r="AG506" s="62">
        <f t="shared" si="171"/>
        <v>29909.039999999983</v>
      </c>
      <c r="AH506" s="62">
        <f t="shared" si="172"/>
        <v>26170.960000000017</v>
      </c>
      <c r="AI506" s="63">
        <v>27292.600000000009</v>
      </c>
      <c r="AJ506" s="63">
        <f t="shared" ref="AJ506" si="197">AI506*2.2%</f>
        <v>600.4372000000003</v>
      </c>
      <c r="AK506" s="62"/>
      <c r="AL506" s="60">
        <v>186.94</v>
      </c>
      <c r="AM506" s="60">
        <v>186.94</v>
      </c>
      <c r="AN506" s="60">
        <v>186.94</v>
      </c>
      <c r="AO506" s="60">
        <v>186.94</v>
      </c>
      <c r="AP506" s="60">
        <v>186.94</v>
      </c>
      <c r="AQ506" s="60">
        <v>186.94</v>
      </c>
      <c r="AR506" s="61">
        <f t="shared" si="178"/>
        <v>1121.6400000000001</v>
      </c>
      <c r="AS506" s="60">
        <v>186.94</v>
      </c>
      <c r="AT506" s="60">
        <v>186.94</v>
      </c>
      <c r="AU506" s="60">
        <v>186.94</v>
      </c>
      <c r="AV506" s="60">
        <v>186.94</v>
      </c>
      <c r="AW506" s="60">
        <v>186.94</v>
      </c>
      <c r="AX506" s="60">
        <v>186.94</v>
      </c>
      <c r="AY506" s="61">
        <f t="shared" si="179"/>
        <v>1121.6400000000001</v>
      </c>
      <c r="AZ506" s="56">
        <f t="shared" si="169"/>
        <v>2243.2800000000002</v>
      </c>
      <c r="BA506" s="62">
        <f t="shared" si="163"/>
        <v>56080</v>
      </c>
      <c r="BB506" s="62">
        <f t="shared" si="180"/>
        <v>32152.319999999967</v>
      </c>
      <c r="BC506" s="62">
        <f t="shared" si="167"/>
        <v>23927.680000000033</v>
      </c>
      <c r="BD506" s="63">
        <v>25049.320000000029</v>
      </c>
      <c r="BE506" s="57">
        <f t="shared" ref="BE506" si="198">BD506*2.2%</f>
        <v>551.08504000000073</v>
      </c>
      <c r="BF506" s="35" t="str">
        <f>VLOOKUP(A:A,'2023-2027'!A:G,1,+FALSE)</f>
        <v>Смотровой колодец Копосов ВП</v>
      </c>
      <c r="BG506" s="7" t="b">
        <f t="shared" si="184"/>
        <v>1</v>
      </c>
      <c r="BH506" s="35">
        <f>VLOOKUP(A:A,'2023-2027'!A:AT,43,+FALSE)</f>
        <v>186.94</v>
      </c>
    </row>
    <row r="507" spans="1:60" ht="12" hidden="1" customHeight="1" outlineLevel="1" x14ac:dyDescent="0.2">
      <c r="A507" s="59" t="s">
        <v>1246</v>
      </c>
      <c r="B507" s="61" t="s">
        <v>38</v>
      </c>
      <c r="C507" s="61" t="s">
        <v>1091</v>
      </c>
      <c r="D507" s="66" t="s">
        <v>1247</v>
      </c>
      <c r="E507" s="59" t="s">
        <v>1248</v>
      </c>
      <c r="F507" s="60">
        <v>163516.95000000001</v>
      </c>
      <c r="G507" s="60">
        <v>143077.20000000001</v>
      </c>
      <c r="H507" s="60">
        <v>20439.75</v>
      </c>
      <c r="I507" s="59"/>
      <c r="J507" s="60">
        <v>16351.8</v>
      </c>
      <c r="K507" s="59"/>
      <c r="L507" s="59"/>
      <c r="M507" s="60">
        <v>163516.95000000001</v>
      </c>
      <c r="N507" s="60">
        <v>159429</v>
      </c>
      <c r="O507" s="60">
        <v>4087.95</v>
      </c>
      <c r="P507" s="55"/>
      <c r="Q507" s="55"/>
      <c r="R507" s="61">
        <f t="shared" si="175"/>
        <v>1362.6499999999999</v>
      </c>
      <c r="S507" s="60">
        <v>1362.65</v>
      </c>
      <c r="T507" s="60">
        <v>1362.65</v>
      </c>
      <c r="U507" s="60"/>
      <c r="V507" s="60"/>
      <c r="W507" s="60"/>
      <c r="X507" s="61">
        <f t="shared" si="176"/>
        <v>4087.9500000000003</v>
      </c>
      <c r="Y507" s="60"/>
      <c r="Z507" s="60"/>
      <c r="AA507" s="60"/>
      <c r="AB507" s="60"/>
      <c r="AC507" s="60"/>
      <c r="AD507" s="60"/>
      <c r="AE507" s="61">
        <f t="shared" si="177"/>
        <v>0</v>
      </c>
      <c r="AF507" s="62">
        <f t="shared" si="170"/>
        <v>163516.95000000001</v>
      </c>
      <c r="AG507" s="62">
        <f t="shared" si="171"/>
        <v>163516.94999999998</v>
      </c>
      <c r="AH507" s="62">
        <f t="shared" si="172"/>
        <v>0</v>
      </c>
      <c r="AI507" s="63"/>
      <c r="AJ507" s="63"/>
      <c r="AK507" s="62"/>
      <c r="AL507" s="60"/>
      <c r="AM507" s="60"/>
      <c r="AN507" s="60"/>
      <c r="AO507" s="60"/>
      <c r="AP507" s="60"/>
      <c r="AQ507" s="60"/>
      <c r="AR507" s="61">
        <f t="shared" si="178"/>
        <v>0</v>
      </c>
      <c r="AS507" s="60"/>
      <c r="AT507" s="60"/>
      <c r="AU507" s="60"/>
      <c r="AV507" s="60"/>
      <c r="AW507" s="60"/>
      <c r="AX507" s="60"/>
      <c r="AY507" s="61">
        <f t="shared" si="179"/>
        <v>0</v>
      </c>
      <c r="AZ507" s="56">
        <f t="shared" si="169"/>
        <v>0</v>
      </c>
      <c r="BA507" s="62">
        <f t="shared" si="163"/>
        <v>163516.95000000001</v>
      </c>
      <c r="BB507" s="62">
        <f t="shared" si="180"/>
        <v>163516.94999999998</v>
      </c>
      <c r="BC507" s="62">
        <f t="shared" si="167"/>
        <v>0</v>
      </c>
      <c r="BD507" s="63"/>
      <c r="BE507" s="57"/>
      <c r="BF507" s="35" t="str">
        <f>VLOOKUP(A:A,'2023-2027'!A:G,1,+FALSE)</f>
        <v>Станок сверлильный 2С125-04</v>
      </c>
      <c r="BG507" s="7" t="b">
        <f t="shared" si="184"/>
        <v>1</v>
      </c>
      <c r="BH507" s="35">
        <f>VLOOKUP(A:A,'2023-2027'!A:AT,43,+FALSE)</f>
        <v>0</v>
      </c>
    </row>
    <row r="508" spans="1:60" ht="12" hidden="1" customHeight="1" outlineLevel="1" x14ac:dyDescent="0.2">
      <c r="A508" s="59" t="s">
        <v>1249</v>
      </c>
      <c r="B508" s="61" t="s">
        <v>38</v>
      </c>
      <c r="C508" s="61" t="s">
        <v>1091</v>
      </c>
      <c r="D508" s="65" t="s">
        <v>1250</v>
      </c>
      <c r="E508" s="59" t="s">
        <v>1251</v>
      </c>
      <c r="F508" s="60">
        <v>4844</v>
      </c>
      <c r="G508" s="60">
        <v>4844</v>
      </c>
      <c r="H508" s="59"/>
      <c r="I508" s="59"/>
      <c r="J508" s="59"/>
      <c r="K508" s="60">
        <v>4844</v>
      </c>
      <c r="L508" s="60">
        <v>4844</v>
      </c>
      <c r="M508" s="59"/>
      <c r="N508" s="59"/>
      <c r="O508" s="59"/>
      <c r="P508" s="67"/>
      <c r="Q508" s="67"/>
      <c r="R508" s="61">
        <f>J508/12</f>
        <v>0</v>
      </c>
      <c r="S508" s="60">
        <v>0</v>
      </c>
      <c r="T508" s="60">
        <v>0</v>
      </c>
      <c r="U508" s="60">
        <v>0</v>
      </c>
      <c r="V508" s="60">
        <v>0</v>
      </c>
      <c r="W508" s="60">
        <v>0</v>
      </c>
      <c r="X508" s="61">
        <f>R508+S508+T508+U508+V508+W508</f>
        <v>0</v>
      </c>
      <c r="Y508" s="60">
        <v>0</v>
      </c>
      <c r="Z508" s="60">
        <v>0</v>
      </c>
      <c r="AA508" s="60">
        <v>0</v>
      </c>
      <c r="AB508" s="60">
        <v>0</v>
      </c>
      <c r="AC508" s="60">
        <v>0</v>
      </c>
      <c r="AD508" s="60">
        <v>0</v>
      </c>
      <c r="AE508" s="61">
        <f>Y508+Z508+AA508+AB508+AC508+AD508</f>
        <v>0</v>
      </c>
      <c r="AF508" s="62">
        <f>M508</f>
        <v>0</v>
      </c>
      <c r="AG508" s="62">
        <f>N508+R508+S508+T508+U508+V508+W508+Y508+Z508+AA508+AB508+AC508+AD508</f>
        <v>0</v>
      </c>
      <c r="AH508" s="62">
        <f>AF508-AG508</f>
        <v>0</v>
      </c>
      <c r="AI508" s="63"/>
      <c r="AJ508" s="63"/>
      <c r="AK508" s="62"/>
      <c r="AL508" s="60">
        <v>0</v>
      </c>
      <c r="AM508" s="60">
        <v>0</v>
      </c>
      <c r="AN508" s="60">
        <v>0</v>
      </c>
      <c r="AO508" s="60">
        <v>0</v>
      </c>
      <c r="AP508" s="60">
        <v>0</v>
      </c>
      <c r="AQ508" s="60">
        <v>0</v>
      </c>
      <c r="AR508" s="61">
        <f>AL508+AM508+AN508+AO508+AP508+AQ508</f>
        <v>0</v>
      </c>
      <c r="AS508" s="60">
        <v>0</v>
      </c>
      <c r="AT508" s="60">
        <v>0</v>
      </c>
      <c r="AU508" s="60">
        <v>0</v>
      </c>
      <c r="AV508" s="60">
        <v>0</v>
      </c>
      <c r="AW508" s="60">
        <v>0</v>
      </c>
      <c r="AX508" s="60">
        <v>0</v>
      </c>
      <c r="AY508" s="61">
        <f>AS508+AT508+AU508+AV508+AW508+AX508</f>
        <v>0</v>
      </c>
      <c r="AZ508" s="56">
        <f t="shared" si="169"/>
        <v>0</v>
      </c>
      <c r="BA508" s="62">
        <f>AF508</f>
        <v>0</v>
      </c>
      <c r="BB508" s="62">
        <f>AG508+AL508+AM508+AN508+AO508+AP508+AQ508+AS508+AT508+AU508+AV508+AW508+AX508</f>
        <v>0</v>
      </c>
      <c r="BC508" s="62">
        <f>BA508-BB508</f>
        <v>0</v>
      </c>
      <c r="BD508" s="63"/>
      <c r="BE508" s="57"/>
      <c r="BF508" s="35" t="e">
        <f>VLOOKUP(A:A,'2023-2027'!A:G,1,+FALSE)</f>
        <v>#N/A</v>
      </c>
      <c r="BG508" s="7" t="e">
        <f t="shared" si="184"/>
        <v>#N/A</v>
      </c>
      <c r="BH508" s="35"/>
    </row>
    <row r="509" spans="1:60" ht="24" hidden="1" customHeight="1" outlineLevel="1" x14ac:dyDescent="0.2">
      <c r="A509" s="59" t="s">
        <v>1252</v>
      </c>
      <c r="B509" s="61" t="s">
        <v>38</v>
      </c>
      <c r="C509" s="61" t="s">
        <v>1091</v>
      </c>
      <c r="D509" s="65" t="s">
        <v>1253</v>
      </c>
      <c r="E509" s="59" t="s">
        <v>1198</v>
      </c>
      <c r="F509" s="60">
        <v>12825</v>
      </c>
      <c r="G509" s="60">
        <v>12825</v>
      </c>
      <c r="H509" s="59"/>
      <c r="I509" s="59"/>
      <c r="J509" s="59"/>
      <c r="K509" s="60">
        <v>12825</v>
      </c>
      <c r="L509" s="60">
        <v>12825</v>
      </c>
      <c r="M509" s="59"/>
      <c r="N509" s="59"/>
      <c r="O509" s="59"/>
      <c r="P509" s="67"/>
      <c r="Q509" s="67"/>
      <c r="R509" s="61">
        <f t="shared" si="175"/>
        <v>0</v>
      </c>
      <c r="S509" s="60">
        <v>0</v>
      </c>
      <c r="T509" s="60">
        <v>0</v>
      </c>
      <c r="U509" s="60">
        <v>0</v>
      </c>
      <c r="V509" s="60">
        <v>0</v>
      </c>
      <c r="W509" s="60">
        <v>0</v>
      </c>
      <c r="X509" s="61">
        <f t="shared" si="176"/>
        <v>0</v>
      </c>
      <c r="Y509" s="60">
        <v>0</v>
      </c>
      <c r="Z509" s="60">
        <v>0</v>
      </c>
      <c r="AA509" s="60">
        <v>0</v>
      </c>
      <c r="AB509" s="60">
        <v>0</v>
      </c>
      <c r="AC509" s="60">
        <v>0</v>
      </c>
      <c r="AD509" s="60">
        <v>0</v>
      </c>
      <c r="AE509" s="61">
        <f t="shared" si="177"/>
        <v>0</v>
      </c>
      <c r="AF509" s="62">
        <f t="shared" si="170"/>
        <v>0</v>
      </c>
      <c r="AG509" s="62">
        <f t="shared" si="171"/>
        <v>0</v>
      </c>
      <c r="AH509" s="62">
        <f t="shared" si="172"/>
        <v>0</v>
      </c>
      <c r="AI509" s="63"/>
      <c r="AJ509" s="63"/>
      <c r="AK509" s="62"/>
      <c r="AL509" s="60">
        <v>0</v>
      </c>
      <c r="AM509" s="60">
        <v>0</v>
      </c>
      <c r="AN509" s="60">
        <v>0</v>
      </c>
      <c r="AO509" s="60">
        <v>0</v>
      </c>
      <c r="AP509" s="60">
        <v>0</v>
      </c>
      <c r="AQ509" s="60">
        <v>0</v>
      </c>
      <c r="AR509" s="61">
        <f t="shared" si="178"/>
        <v>0</v>
      </c>
      <c r="AS509" s="60">
        <v>0</v>
      </c>
      <c r="AT509" s="60">
        <v>0</v>
      </c>
      <c r="AU509" s="60">
        <v>0</v>
      </c>
      <c r="AV509" s="60">
        <v>0</v>
      </c>
      <c r="AW509" s="60">
        <v>0</v>
      </c>
      <c r="AX509" s="60">
        <v>0</v>
      </c>
      <c r="AY509" s="61">
        <f t="shared" si="179"/>
        <v>0</v>
      </c>
      <c r="AZ509" s="56">
        <f t="shared" si="169"/>
        <v>0</v>
      </c>
      <c r="BA509" s="62">
        <f t="shared" si="163"/>
        <v>0</v>
      </c>
      <c r="BB509" s="62">
        <f t="shared" si="180"/>
        <v>0</v>
      </c>
      <c r="BC509" s="62">
        <f t="shared" si="167"/>
        <v>0</v>
      </c>
      <c r="BD509" s="63"/>
      <c r="BE509" s="57"/>
      <c r="BF509" s="35" t="e">
        <f>VLOOKUP(A:A,'2023-2027'!A:G,1,+FALSE)</f>
        <v>#N/A</v>
      </c>
      <c r="BG509" s="7" t="e">
        <f t="shared" si="184"/>
        <v>#N/A</v>
      </c>
      <c r="BH509" s="35"/>
    </row>
    <row r="510" spans="1:60" ht="24" hidden="1" customHeight="1" outlineLevel="1" x14ac:dyDescent="0.2">
      <c r="A510" s="59" t="s">
        <v>1254</v>
      </c>
      <c r="B510" s="61" t="s">
        <v>38</v>
      </c>
      <c r="C510" s="61" t="s">
        <v>1091</v>
      </c>
      <c r="D510" s="65" t="s">
        <v>1255</v>
      </c>
      <c r="E510" s="59" t="s">
        <v>1256</v>
      </c>
      <c r="F510" s="60">
        <v>45640.68</v>
      </c>
      <c r="G510" s="60">
        <v>30593.94</v>
      </c>
      <c r="H510" s="60">
        <v>15046.74</v>
      </c>
      <c r="I510" s="59"/>
      <c r="J510" s="60">
        <v>3009.36</v>
      </c>
      <c r="K510" s="59"/>
      <c r="L510" s="59"/>
      <c r="M510" s="60">
        <v>45640.68</v>
      </c>
      <c r="N510" s="60">
        <v>33603.300000000003</v>
      </c>
      <c r="O510" s="60">
        <v>12037.38</v>
      </c>
      <c r="P510" s="55"/>
      <c r="Q510" s="55"/>
      <c r="R510" s="61">
        <f t="shared" si="175"/>
        <v>250.78</v>
      </c>
      <c r="S510" s="60">
        <v>250.78</v>
      </c>
      <c r="T510" s="60">
        <v>250.78</v>
      </c>
      <c r="U510" s="60">
        <v>250.78</v>
      </c>
      <c r="V510" s="60">
        <v>250.78</v>
      </c>
      <c r="W510" s="60">
        <v>250.78</v>
      </c>
      <c r="X510" s="61">
        <f t="shared" si="176"/>
        <v>1504.68</v>
      </c>
      <c r="Y510" s="60">
        <v>250.78</v>
      </c>
      <c r="Z510" s="60">
        <v>250.78</v>
      </c>
      <c r="AA510" s="60">
        <v>250.78</v>
      </c>
      <c r="AB510" s="60">
        <v>250.78</v>
      </c>
      <c r="AC510" s="60">
        <v>250.78</v>
      </c>
      <c r="AD510" s="60">
        <v>250.78</v>
      </c>
      <c r="AE510" s="61">
        <f t="shared" si="177"/>
        <v>1504.68</v>
      </c>
      <c r="AF510" s="62">
        <f t="shared" si="170"/>
        <v>45640.68</v>
      </c>
      <c r="AG510" s="62">
        <f t="shared" si="171"/>
        <v>36612.659999999989</v>
      </c>
      <c r="AH510" s="62">
        <f t="shared" si="172"/>
        <v>9028.0200000000114</v>
      </c>
      <c r="AI510" s="63"/>
      <c r="AJ510" s="63"/>
      <c r="AK510" s="62"/>
      <c r="AL510" s="60">
        <v>250.78</v>
      </c>
      <c r="AM510" s="60">
        <v>250.78</v>
      </c>
      <c r="AN510" s="60">
        <v>250.78</v>
      </c>
      <c r="AO510" s="60">
        <v>250.78</v>
      </c>
      <c r="AP510" s="60">
        <v>250.78</v>
      </c>
      <c r="AQ510" s="60">
        <v>250.78</v>
      </c>
      <c r="AR510" s="61">
        <f t="shared" si="178"/>
        <v>1504.68</v>
      </c>
      <c r="AS510" s="60">
        <v>250.78</v>
      </c>
      <c r="AT510" s="60">
        <v>250.78</v>
      </c>
      <c r="AU510" s="60">
        <v>250.78</v>
      </c>
      <c r="AV510" s="60">
        <v>250.78</v>
      </c>
      <c r="AW510" s="60">
        <v>250.78</v>
      </c>
      <c r="AX510" s="60">
        <v>250.78</v>
      </c>
      <c r="AY510" s="61">
        <f t="shared" si="179"/>
        <v>1504.68</v>
      </c>
      <c r="AZ510" s="56">
        <f t="shared" si="169"/>
        <v>3009.36</v>
      </c>
      <c r="BA510" s="62">
        <f t="shared" si="163"/>
        <v>45640.68</v>
      </c>
      <c r="BB510" s="62">
        <f t="shared" si="180"/>
        <v>39622.019999999975</v>
      </c>
      <c r="BC510" s="62">
        <f t="shared" si="167"/>
        <v>6018.6600000000253</v>
      </c>
      <c r="BD510" s="63"/>
      <c r="BE510" s="57"/>
      <c r="BF510" s="35" t="e">
        <f>VLOOKUP(A:A,'2023-2027'!A:G,1,+FALSE)</f>
        <v>#N/A</v>
      </c>
      <c r="BG510" s="7" t="e">
        <f t="shared" si="184"/>
        <v>#N/A</v>
      </c>
      <c r="BH510" s="35"/>
    </row>
    <row r="511" spans="1:60" ht="24" hidden="1" customHeight="1" outlineLevel="1" x14ac:dyDescent="0.2">
      <c r="A511" s="59" t="s">
        <v>1257</v>
      </c>
      <c r="B511" s="61" t="s">
        <v>38</v>
      </c>
      <c r="C511" s="61" t="s">
        <v>1091</v>
      </c>
      <c r="D511" s="65" t="s">
        <v>1258</v>
      </c>
      <c r="E511" s="59" t="s">
        <v>237</v>
      </c>
      <c r="F511" s="60">
        <v>59830.5</v>
      </c>
      <c r="G511" s="60">
        <v>29914.799999999999</v>
      </c>
      <c r="H511" s="60">
        <v>29915.7</v>
      </c>
      <c r="I511" s="59"/>
      <c r="J511" s="60">
        <v>2991.6</v>
      </c>
      <c r="K511" s="59"/>
      <c r="L511" s="59"/>
      <c r="M511" s="60">
        <v>59830.5</v>
      </c>
      <c r="N511" s="60">
        <v>32906.400000000001</v>
      </c>
      <c r="O511" s="60">
        <v>26924.1</v>
      </c>
      <c r="P511" s="55"/>
      <c r="Q511" s="55"/>
      <c r="R511" s="61">
        <f t="shared" si="175"/>
        <v>249.29999999999998</v>
      </c>
      <c r="S511" s="60">
        <v>249.3</v>
      </c>
      <c r="T511" s="60">
        <v>249.3</v>
      </c>
      <c r="U511" s="60">
        <v>249.3</v>
      </c>
      <c r="V511" s="60">
        <v>249.3</v>
      </c>
      <c r="W511" s="60">
        <v>249.3</v>
      </c>
      <c r="X511" s="61">
        <f t="shared" si="176"/>
        <v>1495.8</v>
      </c>
      <c r="Y511" s="60">
        <v>249.3</v>
      </c>
      <c r="Z511" s="60">
        <v>249.3</v>
      </c>
      <c r="AA511" s="60">
        <v>249.3</v>
      </c>
      <c r="AB511" s="60">
        <v>249.3</v>
      </c>
      <c r="AC511" s="60">
        <v>249.3</v>
      </c>
      <c r="AD511" s="60">
        <v>249.3</v>
      </c>
      <c r="AE511" s="61">
        <f t="shared" si="177"/>
        <v>1495.8</v>
      </c>
      <c r="AF511" s="62">
        <f t="shared" si="170"/>
        <v>59830.5</v>
      </c>
      <c r="AG511" s="62">
        <f t="shared" si="171"/>
        <v>35898.000000000036</v>
      </c>
      <c r="AH511" s="62">
        <f t="shared" si="172"/>
        <v>23932.499999999964</v>
      </c>
      <c r="AI511" s="63"/>
      <c r="AJ511" s="63"/>
      <c r="AK511" s="62"/>
      <c r="AL511" s="60">
        <v>249.3</v>
      </c>
      <c r="AM511" s="60">
        <v>249.3</v>
      </c>
      <c r="AN511" s="60">
        <v>249.3</v>
      </c>
      <c r="AO511" s="60">
        <v>249.3</v>
      </c>
      <c r="AP511" s="60">
        <v>249.3</v>
      </c>
      <c r="AQ511" s="60">
        <v>249.3</v>
      </c>
      <c r="AR511" s="61">
        <f t="shared" si="178"/>
        <v>1495.8</v>
      </c>
      <c r="AS511" s="60">
        <v>249.3</v>
      </c>
      <c r="AT511" s="60">
        <v>249.3</v>
      </c>
      <c r="AU511" s="60">
        <v>249.3</v>
      </c>
      <c r="AV511" s="60">
        <v>249.3</v>
      </c>
      <c r="AW511" s="60">
        <v>249.3</v>
      </c>
      <c r="AX511" s="60">
        <v>249.3</v>
      </c>
      <c r="AY511" s="61">
        <f t="shared" si="179"/>
        <v>1495.8</v>
      </c>
      <c r="AZ511" s="56">
        <f t="shared" si="169"/>
        <v>2991.6</v>
      </c>
      <c r="BA511" s="62">
        <f t="shared" si="163"/>
        <v>59830.5</v>
      </c>
      <c r="BB511" s="62">
        <f t="shared" si="180"/>
        <v>38889.600000000071</v>
      </c>
      <c r="BC511" s="62">
        <f t="shared" si="167"/>
        <v>20940.899999999929</v>
      </c>
      <c r="BD511" s="63"/>
      <c r="BE511" s="57"/>
      <c r="BF511" s="35" t="e">
        <f>VLOOKUP(A:A,'2023-2027'!A:G,1,+FALSE)</f>
        <v>#N/A</v>
      </c>
      <c r="BG511" s="7" t="e">
        <f t="shared" si="184"/>
        <v>#N/A</v>
      </c>
      <c r="BH511" s="35"/>
    </row>
    <row r="512" spans="1:60" ht="24" hidden="1" customHeight="1" outlineLevel="1" x14ac:dyDescent="0.2">
      <c r="A512" s="59" t="s">
        <v>1259</v>
      </c>
      <c r="B512" s="61" t="s">
        <v>38</v>
      </c>
      <c r="C512" s="61" t="s">
        <v>1091</v>
      </c>
      <c r="D512" s="65" t="s">
        <v>1260</v>
      </c>
      <c r="E512" s="59" t="s">
        <v>1261</v>
      </c>
      <c r="F512" s="60">
        <v>14217.33</v>
      </c>
      <c r="G512" s="60">
        <v>14217.33</v>
      </c>
      <c r="H512" s="59"/>
      <c r="I512" s="59"/>
      <c r="J512" s="59"/>
      <c r="K512" s="60">
        <v>14217.33</v>
      </c>
      <c r="L512" s="60">
        <v>14217.33</v>
      </c>
      <c r="M512" s="59"/>
      <c r="N512" s="59"/>
      <c r="O512" s="59"/>
      <c r="P512" s="67"/>
      <c r="Q512" s="67"/>
      <c r="R512" s="61">
        <f t="shared" si="175"/>
        <v>0</v>
      </c>
      <c r="S512" s="60">
        <v>0</v>
      </c>
      <c r="T512" s="60">
        <v>0</v>
      </c>
      <c r="U512" s="60">
        <v>0</v>
      </c>
      <c r="V512" s="60">
        <v>0</v>
      </c>
      <c r="W512" s="60">
        <v>0</v>
      </c>
      <c r="X512" s="61">
        <f t="shared" si="176"/>
        <v>0</v>
      </c>
      <c r="Y512" s="60">
        <v>0</v>
      </c>
      <c r="Z512" s="60">
        <v>0</v>
      </c>
      <c r="AA512" s="60">
        <v>0</v>
      </c>
      <c r="AB512" s="60">
        <v>0</v>
      </c>
      <c r="AC512" s="60">
        <v>0</v>
      </c>
      <c r="AD512" s="60">
        <v>0</v>
      </c>
      <c r="AE512" s="61">
        <f t="shared" si="177"/>
        <v>0</v>
      </c>
      <c r="AF512" s="62">
        <f t="shared" si="170"/>
        <v>0</v>
      </c>
      <c r="AG512" s="62">
        <f t="shared" si="171"/>
        <v>0</v>
      </c>
      <c r="AH512" s="62">
        <f t="shared" si="172"/>
        <v>0</v>
      </c>
      <c r="AI512" s="63"/>
      <c r="AJ512" s="63"/>
      <c r="AK512" s="62"/>
      <c r="AL512" s="60">
        <v>0</v>
      </c>
      <c r="AM512" s="60">
        <v>0</v>
      </c>
      <c r="AN512" s="60">
        <v>0</v>
      </c>
      <c r="AO512" s="60">
        <v>0</v>
      </c>
      <c r="AP512" s="60">
        <v>0</v>
      </c>
      <c r="AQ512" s="60">
        <v>0</v>
      </c>
      <c r="AR512" s="61">
        <f t="shared" si="178"/>
        <v>0</v>
      </c>
      <c r="AS512" s="60">
        <v>0</v>
      </c>
      <c r="AT512" s="60">
        <v>0</v>
      </c>
      <c r="AU512" s="60">
        <v>0</v>
      </c>
      <c r="AV512" s="60">
        <v>0</v>
      </c>
      <c r="AW512" s="60">
        <v>0</v>
      </c>
      <c r="AX512" s="60">
        <v>0</v>
      </c>
      <c r="AY512" s="61">
        <f t="shared" si="179"/>
        <v>0</v>
      </c>
      <c r="AZ512" s="56">
        <f t="shared" si="169"/>
        <v>0</v>
      </c>
      <c r="BA512" s="62">
        <f t="shared" si="163"/>
        <v>0</v>
      </c>
      <c r="BB512" s="62">
        <f t="shared" si="180"/>
        <v>0</v>
      </c>
      <c r="BC512" s="62">
        <f t="shared" si="167"/>
        <v>0</v>
      </c>
      <c r="BD512" s="63"/>
      <c r="BE512" s="57"/>
      <c r="BF512" s="35" t="e">
        <f>VLOOKUP(A:A,'2023-2027'!A:G,1,+FALSE)</f>
        <v>#N/A</v>
      </c>
      <c r="BG512" s="7" t="e">
        <f t="shared" si="184"/>
        <v>#N/A</v>
      </c>
      <c r="BH512" s="35"/>
    </row>
    <row r="513" spans="1:60" ht="12" hidden="1" customHeight="1" outlineLevel="1" x14ac:dyDescent="0.2">
      <c r="A513" s="59" t="s">
        <v>1262</v>
      </c>
      <c r="B513" s="61" t="s">
        <v>38</v>
      </c>
      <c r="C513" s="61" t="s">
        <v>1091</v>
      </c>
      <c r="D513" s="65" t="s">
        <v>1263</v>
      </c>
      <c r="E513" s="59" t="s">
        <v>257</v>
      </c>
      <c r="F513" s="60">
        <v>20203.39</v>
      </c>
      <c r="G513" s="60">
        <v>20203.39</v>
      </c>
      <c r="H513" s="59"/>
      <c r="I513" s="59"/>
      <c r="J513" s="59"/>
      <c r="K513" s="60">
        <v>20203.39</v>
      </c>
      <c r="L513" s="60">
        <v>20203.39</v>
      </c>
      <c r="M513" s="59"/>
      <c r="N513" s="59"/>
      <c r="O513" s="59"/>
      <c r="P513" s="67"/>
      <c r="Q513" s="67"/>
      <c r="R513" s="61">
        <f t="shared" si="175"/>
        <v>0</v>
      </c>
      <c r="S513" s="60">
        <v>0</v>
      </c>
      <c r="T513" s="60">
        <v>0</v>
      </c>
      <c r="U513" s="60">
        <v>0</v>
      </c>
      <c r="V513" s="60">
        <v>0</v>
      </c>
      <c r="W513" s="60">
        <v>0</v>
      </c>
      <c r="X513" s="61">
        <f t="shared" si="176"/>
        <v>0</v>
      </c>
      <c r="Y513" s="60">
        <v>0</v>
      </c>
      <c r="Z513" s="60">
        <v>0</v>
      </c>
      <c r="AA513" s="60">
        <v>0</v>
      </c>
      <c r="AB513" s="60">
        <v>0</v>
      </c>
      <c r="AC513" s="60">
        <v>0</v>
      </c>
      <c r="AD513" s="60">
        <v>0</v>
      </c>
      <c r="AE513" s="61">
        <f t="shared" si="177"/>
        <v>0</v>
      </c>
      <c r="AF513" s="62">
        <f t="shared" si="170"/>
        <v>0</v>
      </c>
      <c r="AG513" s="62">
        <f t="shared" si="171"/>
        <v>0</v>
      </c>
      <c r="AH513" s="62">
        <f t="shared" si="172"/>
        <v>0</v>
      </c>
      <c r="AI513" s="63"/>
      <c r="AJ513" s="63"/>
      <c r="AK513" s="62"/>
      <c r="AL513" s="60">
        <v>0</v>
      </c>
      <c r="AM513" s="60">
        <v>0</v>
      </c>
      <c r="AN513" s="60">
        <v>0</v>
      </c>
      <c r="AO513" s="60">
        <v>0</v>
      </c>
      <c r="AP513" s="60">
        <v>0</v>
      </c>
      <c r="AQ513" s="60">
        <v>0</v>
      </c>
      <c r="AR513" s="61">
        <f t="shared" si="178"/>
        <v>0</v>
      </c>
      <c r="AS513" s="60">
        <v>0</v>
      </c>
      <c r="AT513" s="60">
        <v>0</v>
      </c>
      <c r="AU513" s="60">
        <v>0</v>
      </c>
      <c r="AV513" s="60">
        <v>0</v>
      </c>
      <c r="AW513" s="60">
        <v>0</v>
      </c>
      <c r="AX513" s="60">
        <v>0</v>
      </c>
      <c r="AY513" s="61">
        <f t="shared" si="179"/>
        <v>0</v>
      </c>
      <c r="AZ513" s="56">
        <f t="shared" si="169"/>
        <v>0</v>
      </c>
      <c r="BA513" s="62">
        <f t="shared" si="163"/>
        <v>0</v>
      </c>
      <c r="BB513" s="62">
        <f t="shared" si="180"/>
        <v>0</v>
      </c>
      <c r="BC513" s="62">
        <f t="shared" si="167"/>
        <v>0</v>
      </c>
      <c r="BD513" s="63"/>
      <c r="BE513" s="57"/>
      <c r="BF513" s="35" t="e">
        <f>VLOOKUP(A:A,'2023-2027'!A:G,1,+FALSE)</f>
        <v>#N/A</v>
      </c>
      <c r="BG513" s="7" t="e">
        <f t="shared" si="184"/>
        <v>#N/A</v>
      </c>
      <c r="BH513" s="35"/>
    </row>
    <row r="514" spans="1:60" ht="24" hidden="1" customHeight="1" outlineLevel="1" x14ac:dyDescent="0.2">
      <c r="A514" s="59" t="s">
        <v>1264</v>
      </c>
      <c r="B514" s="61" t="s">
        <v>38</v>
      </c>
      <c r="C514" s="61" t="s">
        <v>1091</v>
      </c>
      <c r="D514" s="65" t="s">
        <v>1265</v>
      </c>
      <c r="E514" s="59" t="s">
        <v>1266</v>
      </c>
      <c r="F514" s="60">
        <v>719974.04</v>
      </c>
      <c r="G514" s="60">
        <v>626372.12</v>
      </c>
      <c r="H514" s="60">
        <v>93601.919999999998</v>
      </c>
      <c r="I514" s="59"/>
      <c r="J514" s="60">
        <v>9360.24</v>
      </c>
      <c r="K514" s="59"/>
      <c r="L514" s="59"/>
      <c r="M514" s="60">
        <v>719974.04</v>
      </c>
      <c r="N514" s="60">
        <v>635732.36</v>
      </c>
      <c r="O514" s="60">
        <v>84241.68</v>
      </c>
      <c r="P514" s="55">
        <v>88921.8</v>
      </c>
      <c r="Q514" s="55">
        <f>P514*2.2%</f>
        <v>1956.2796000000003</v>
      </c>
      <c r="R514" s="61">
        <f>J514/12</f>
        <v>780.02</v>
      </c>
      <c r="S514" s="60">
        <v>780.02</v>
      </c>
      <c r="T514" s="60">
        <v>780.02</v>
      </c>
      <c r="U514" s="60">
        <v>780.02</v>
      </c>
      <c r="V514" s="60">
        <v>780.02</v>
      </c>
      <c r="W514" s="60">
        <v>780.02</v>
      </c>
      <c r="X514" s="61">
        <f>R514+S514+T514+U514+V514+W514</f>
        <v>4680.12</v>
      </c>
      <c r="Y514" s="60">
        <v>780.02</v>
      </c>
      <c r="Z514" s="60">
        <v>780.02</v>
      </c>
      <c r="AA514" s="60">
        <v>780.02</v>
      </c>
      <c r="AB514" s="60">
        <v>780.02</v>
      </c>
      <c r="AC514" s="60">
        <v>780.02</v>
      </c>
      <c r="AD514" s="60">
        <v>780.02</v>
      </c>
      <c r="AE514" s="61">
        <f>Y514+Z514+AA514+AB514+AC514+AD514</f>
        <v>4680.12</v>
      </c>
      <c r="AF514" s="62">
        <f>M514</f>
        <v>719974.04</v>
      </c>
      <c r="AG514" s="62">
        <f>N514+R514+S514+T514+U514+V514+W514+Y514+Z514+AA514+AB514+AC514+AD514</f>
        <v>645092.60000000021</v>
      </c>
      <c r="AH514" s="62">
        <f>AF514-AG514</f>
        <v>74881.439999999828</v>
      </c>
      <c r="AI514" s="63">
        <v>79561.559999999969</v>
      </c>
      <c r="AJ514" s="63">
        <f t="shared" ref="AJ514" si="199">AI514*2.2%</f>
        <v>1750.3543199999995</v>
      </c>
      <c r="AK514" s="62"/>
      <c r="AL514" s="60">
        <v>780.02</v>
      </c>
      <c r="AM514" s="60">
        <v>780.02</v>
      </c>
      <c r="AN514" s="60">
        <v>780.02</v>
      </c>
      <c r="AO514" s="60">
        <v>780.02</v>
      </c>
      <c r="AP514" s="60">
        <v>780.02</v>
      </c>
      <c r="AQ514" s="60">
        <v>780.02</v>
      </c>
      <c r="AR514" s="61">
        <f>AL514+AM514+AN514+AO514+AP514+AQ514</f>
        <v>4680.12</v>
      </c>
      <c r="AS514" s="60">
        <v>780.02</v>
      </c>
      <c r="AT514" s="60">
        <v>780.02</v>
      </c>
      <c r="AU514" s="60">
        <v>780.02</v>
      </c>
      <c r="AV514" s="60">
        <v>780.02</v>
      </c>
      <c r="AW514" s="60">
        <v>780.02</v>
      </c>
      <c r="AX514" s="60">
        <v>780.02</v>
      </c>
      <c r="AY514" s="61">
        <f>AS514+AT514+AU514+AV514+AW514+AX514</f>
        <v>4680.12</v>
      </c>
      <c r="AZ514" s="56">
        <f t="shared" si="169"/>
        <v>9360.24</v>
      </c>
      <c r="BA514" s="62">
        <f>AF514</f>
        <v>719974.04</v>
      </c>
      <c r="BB514" s="62">
        <f>AG514+AL514+AM514+AN514+AO514+AP514+AQ514+AS514+AT514+AU514+AV514+AW514+AX514</f>
        <v>654452.84000000043</v>
      </c>
      <c r="BC514" s="62">
        <f>BA514-BB514</f>
        <v>65521.199999999604</v>
      </c>
      <c r="BD514" s="63">
        <v>70201.319999999905</v>
      </c>
      <c r="BE514" s="57">
        <f t="shared" ref="BE514" si="200">BD514*2.2%</f>
        <v>1544.4290399999982</v>
      </c>
      <c r="BF514" s="35" t="e">
        <f>VLOOKUP(A:A,'2023-2027'!A:G,1,+FALSE)</f>
        <v>#N/A</v>
      </c>
      <c r="BG514" s="7" t="e">
        <f t="shared" si="184"/>
        <v>#N/A</v>
      </c>
      <c r="BH514" s="35"/>
    </row>
    <row r="515" spans="1:60" ht="12" hidden="1" customHeight="1" outlineLevel="1" x14ac:dyDescent="0.2">
      <c r="A515" s="59" t="s">
        <v>1267</v>
      </c>
      <c r="B515" s="61" t="s">
        <v>38</v>
      </c>
      <c r="C515" s="61" t="s">
        <v>1091</v>
      </c>
      <c r="D515" s="65" t="s">
        <v>1268</v>
      </c>
      <c r="E515" s="59" t="s">
        <v>1269</v>
      </c>
      <c r="F515" s="60">
        <v>24155.02</v>
      </c>
      <c r="G515" s="60">
        <v>24155.02</v>
      </c>
      <c r="H515" s="59"/>
      <c r="I515" s="59"/>
      <c r="J515" s="59"/>
      <c r="K515" s="60">
        <v>24155.02</v>
      </c>
      <c r="L515" s="60">
        <v>24155.02</v>
      </c>
      <c r="M515" s="59"/>
      <c r="N515" s="59"/>
      <c r="O515" s="59"/>
      <c r="P515" s="67"/>
      <c r="Q515" s="67"/>
      <c r="R515" s="61">
        <f t="shared" si="175"/>
        <v>0</v>
      </c>
      <c r="S515" s="60">
        <v>0</v>
      </c>
      <c r="T515" s="60">
        <v>0</v>
      </c>
      <c r="U515" s="60">
        <v>0</v>
      </c>
      <c r="V515" s="60">
        <v>0</v>
      </c>
      <c r="W515" s="60">
        <v>0</v>
      </c>
      <c r="X515" s="61">
        <f t="shared" si="176"/>
        <v>0</v>
      </c>
      <c r="Y515" s="60">
        <v>0</v>
      </c>
      <c r="Z515" s="60">
        <v>0</v>
      </c>
      <c r="AA515" s="60">
        <v>0</v>
      </c>
      <c r="AB515" s="60">
        <v>0</v>
      </c>
      <c r="AC515" s="60">
        <v>0</v>
      </c>
      <c r="AD515" s="60">
        <v>0</v>
      </c>
      <c r="AE515" s="61">
        <f t="shared" si="177"/>
        <v>0</v>
      </c>
      <c r="AF515" s="62">
        <f t="shared" si="170"/>
        <v>0</v>
      </c>
      <c r="AG515" s="62">
        <f t="shared" si="171"/>
        <v>0</v>
      </c>
      <c r="AH515" s="62">
        <f t="shared" si="172"/>
        <v>0</v>
      </c>
      <c r="AI515" s="63"/>
      <c r="AJ515" s="63"/>
      <c r="AK515" s="62"/>
      <c r="AL515" s="60">
        <v>0</v>
      </c>
      <c r="AM515" s="60">
        <v>0</v>
      </c>
      <c r="AN515" s="60">
        <v>0</v>
      </c>
      <c r="AO515" s="60">
        <v>0</v>
      </c>
      <c r="AP515" s="60">
        <v>0</v>
      </c>
      <c r="AQ515" s="60">
        <v>0</v>
      </c>
      <c r="AR515" s="61">
        <f t="shared" si="178"/>
        <v>0</v>
      </c>
      <c r="AS515" s="60">
        <v>0</v>
      </c>
      <c r="AT515" s="60">
        <v>0</v>
      </c>
      <c r="AU515" s="60">
        <v>0</v>
      </c>
      <c r="AV515" s="60">
        <v>0</v>
      </c>
      <c r="AW515" s="60">
        <v>0</v>
      </c>
      <c r="AX515" s="60">
        <v>0</v>
      </c>
      <c r="AY515" s="61">
        <f t="shared" si="179"/>
        <v>0</v>
      </c>
      <c r="AZ515" s="56">
        <f t="shared" si="169"/>
        <v>0</v>
      </c>
      <c r="BA515" s="62">
        <f t="shared" si="163"/>
        <v>0</v>
      </c>
      <c r="BB515" s="62">
        <f t="shared" si="180"/>
        <v>0</v>
      </c>
      <c r="BC515" s="62">
        <f t="shared" si="167"/>
        <v>0</v>
      </c>
      <c r="BD515" s="63"/>
      <c r="BE515" s="57"/>
      <c r="BF515" s="35" t="e">
        <f>VLOOKUP(A:A,'2023-2027'!A:G,1,+FALSE)</f>
        <v>#N/A</v>
      </c>
      <c r="BG515" s="7" t="e">
        <f t="shared" si="184"/>
        <v>#N/A</v>
      </c>
      <c r="BH515" s="35"/>
    </row>
    <row r="516" spans="1:60" ht="24" hidden="1" customHeight="1" outlineLevel="1" x14ac:dyDescent="0.2">
      <c r="A516" s="59" t="s">
        <v>1270</v>
      </c>
      <c r="B516" s="61" t="s">
        <v>38</v>
      </c>
      <c r="C516" s="61" t="s">
        <v>1091</v>
      </c>
      <c r="D516" s="66" t="s">
        <v>1271</v>
      </c>
      <c r="E516" s="59" t="s">
        <v>1272</v>
      </c>
      <c r="F516" s="60">
        <v>655887.52</v>
      </c>
      <c r="G516" s="60">
        <v>378228.17</v>
      </c>
      <c r="H516" s="60">
        <v>277659.34999999998</v>
      </c>
      <c r="I516" s="59"/>
      <c r="J516" s="60">
        <v>26235.48</v>
      </c>
      <c r="K516" s="59"/>
      <c r="L516" s="59"/>
      <c r="M516" s="60">
        <v>655887.52</v>
      </c>
      <c r="N516" s="60">
        <v>404463.65</v>
      </c>
      <c r="O516" s="60">
        <v>251423.87</v>
      </c>
      <c r="P516" s="55">
        <v>264541.61</v>
      </c>
      <c r="Q516" s="55">
        <f t="shared" ref="Q516:Q518" si="201">P516*2.2%</f>
        <v>5819.9154200000003</v>
      </c>
      <c r="R516" s="61">
        <f t="shared" si="175"/>
        <v>2186.29</v>
      </c>
      <c r="S516" s="60">
        <v>2186.29</v>
      </c>
      <c r="T516" s="60">
        <v>2186.29</v>
      </c>
      <c r="U516" s="60">
        <v>2186.29</v>
      </c>
      <c r="V516" s="60">
        <v>2186.29</v>
      </c>
      <c r="W516" s="60">
        <v>2186.29</v>
      </c>
      <c r="X516" s="61">
        <f t="shared" si="176"/>
        <v>13117.740000000002</v>
      </c>
      <c r="Y516" s="60">
        <v>2186.29</v>
      </c>
      <c r="Z516" s="60">
        <v>2186.29</v>
      </c>
      <c r="AA516" s="60">
        <v>2186.29</v>
      </c>
      <c r="AB516" s="60">
        <v>2186.29</v>
      </c>
      <c r="AC516" s="60">
        <v>2186.29</v>
      </c>
      <c r="AD516" s="60">
        <v>2186.29</v>
      </c>
      <c r="AE516" s="61">
        <f t="shared" si="177"/>
        <v>13117.740000000002</v>
      </c>
      <c r="AF516" s="62">
        <f t="shared" si="170"/>
        <v>655887.52</v>
      </c>
      <c r="AG516" s="62">
        <f t="shared" si="171"/>
        <v>430699.12999999977</v>
      </c>
      <c r="AH516" s="62">
        <f t="shared" si="172"/>
        <v>225188.39000000025</v>
      </c>
      <c r="AI516" s="63">
        <v>238306.13000000009</v>
      </c>
      <c r="AJ516" s="63">
        <f t="shared" ref="AJ516:AJ518" si="202">AI516*2.2%</f>
        <v>5242.7348600000023</v>
      </c>
      <c r="AK516" s="72">
        <f t="shared" ref="AK516:AK517" si="203">AI516*2.2%</f>
        <v>5242.7348600000023</v>
      </c>
      <c r="AL516" s="60">
        <v>2186.29</v>
      </c>
      <c r="AM516" s="60">
        <v>2186.29</v>
      </c>
      <c r="AN516" s="60">
        <v>2186.29</v>
      </c>
      <c r="AO516" s="60">
        <v>2186.29</v>
      </c>
      <c r="AP516" s="60">
        <v>2186.29</v>
      </c>
      <c r="AQ516" s="60">
        <v>2186.29</v>
      </c>
      <c r="AR516" s="61">
        <f t="shared" si="178"/>
        <v>13117.740000000002</v>
      </c>
      <c r="AS516" s="60">
        <v>2186.29</v>
      </c>
      <c r="AT516" s="60">
        <v>2186.29</v>
      </c>
      <c r="AU516" s="60">
        <v>2186.29</v>
      </c>
      <c r="AV516" s="60">
        <v>2186.29</v>
      </c>
      <c r="AW516" s="60">
        <v>2186.29</v>
      </c>
      <c r="AX516" s="60">
        <v>2186.29</v>
      </c>
      <c r="AY516" s="61">
        <f t="shared" si="179"/>
        <v>13117.740000000002</v>
      </c>
      <c r="AZ516" s="56">
        <f t="shared" si="169"/>
        <v>26235.480000000003</v>
      </c>
      <c r="BA516" s="62">
        <f t="shared" si="163"/>
        <v>655887.52</v>
      </c>
      <c r="BB516" s="62">
        <f t="shared" si="180"/>
        <v>456934.60999999952</v>
      </c>
      <c r="BC516" s="62">
        <f t="shared" si="167"/>
        <v>198952.9100000005</v>
      </c>
      <c r="BD516" s="63">
        <v>212070.65000000037</v>
      </c>
      <c r="BE516" s="57">
        <f t="shared" ref="BE516:BE518" si="204">BD516*2.2%</f>
        <v>4665.5543000000089</v>
      </c>
      <c r="BF516" s="35" t="str">
        <f>VLOOKUP(A:A,'2023-2027'!A:G,1,+FALSE)</f>
        <v>Устройство ограждения 2007г 120м</v>
      </c>
      <c r="BG516" s="7" t="b">
        <f t="shared" si="184"/>
        <v>1</v>
      </c>
      <c r="BH516" s="35">
        <f>VLOOKUP(A:A,'2023-2027'!A:AT,43,+FALSE)</f>
        <v>2186.2900000000004</v>
      </c>
    </row>
    <row r="517" spans="1:60" ht="12" hidden="1" customHeight="1" outlineLevel="1" x14ac:dyDescent="0.2">
      <c r="A517" s="59" t="s">
        <v>1273</v>
      </c>
      <c r="B517" s="61" t="s">
        <v>38</v>
      </c>
      <c r="C517" s="61" t="s">
        <v>1091</v>
      </c>
      <c r="D517" s="66" t="s">
        <v>1274</v>
      </c>
      <c r="E517" s="59" t="s">
        <v>1275</v>
      </c>
      <c r="F517" s="60">
        <v>1101177.48</v>
      </c>
      <c r="G517" s="60">
        <v>583623.81000000006</v>
      </c>
      <c r="H517" s="60">
        <v>517553.67</v>
      </c>
      <c r="I517" s="59"/>
      <c r="J517" s="60">
        <v>44047.08</v>
      </c>
      <c r="K517" s="59"/>
      <c r="L517" s="59"/>
      <c r="M517" s="60">
        <v>1101177.48</v>
      </c>
      <c r="N517" s="60">
        <v>627670.89</v>
      </c>
      <c r="O517" s="60">
        <v>473506.59</v>
      </c>
      <c r="P517" s="55">
        <v>495530.13</v>
      </c>
      <c r="Q517" s="55">
        <f t="shared" si="201"/>
        <v>10901.66286</v>
      </c>
      <c r="R517" s="61">
        <f t="shared" si="175"/>
        <v>3670.59</v>
      </c>
      <c r="S517" s="60">
        <v>3670.59</v>
      </c>
      <c r="T517" s="60">
        <v>3670.59</v>
      </c>
      <c r="U517" s="60">
        <v>3670.59</v>
      </c>
      <c r="V517" s="60">
        <v>3670.59</v>
      </c>
      <c r="W517" s="60">
        <v>3670.59</v>
      </c>
      <c r="X517" s="61">
        <f t="shared" si="176"/>
        <v>22023.54</v>
      </c>
      <c r="Y517" s="60">
        <v>3670.59</v>
      </c>
      <c r="Z517" s="60">
        <v>3670.59</v>
      </c>
      <c r="AA517" s="60">
        <v>3670.59</v>
      </c>
      <c r="AB517" s="60">
        <v>3670.59</v>
      </c>
      <c r="AC517" s="60">
        <v>3670.59</v>
      </c>
      <c r="AD517" s="60">
        <v>3670.59</v>
      </c>
      <c r="AE517" s="61">
        <f t="shared" si="177"/>
        <v>22023.54</v>
      </c>
      <c r="AF517" s="62">
        <f t="shared" si="170"/>
        <v>1101177.48</v>
      </c>
      <c r="AG517" s="62">
        <f t="shared" si="171"/>
        <v>671717.96999999962</v>
      </c>
      <c r="AH517" s="62">
        <f t="shared" si="172"/>
        <v>429459.51000000036</v>
      </c>
      <c r="AI517" s="63">
        <v>451483.05000000022</v>
      </c>
      <c r="AJ517" s="63">
        <f t="shared" si="202"/>
        <v>9932.6271000000052</v>
      </c>
      <c r="AK517" s="72">
        <f t="shared" si="203"/>
        <v>9932.6271000000052</v>
      </c>
      <c r="AL517" s="60">
        <v>3670.59</v>
      </c>
      <c r="AM517" s="60">
        <v>3670.59</v>
      </c>
      <c r="AN517" s="60">
        <v>3670.59</v>
      </c>
      <c r="AO517" s="60">
        <v>3670.59</v>
      </c>
      <c r="AP517" s="60">
        <v>3670.59</v>
      </c>
      <c r="AQ517" s="60">
        <v>3670.59</v>
      </c>
      <c r="AR517" s="61">
        <f t="shared" si="178"/>
        <v>22023.54</v>
      </c>
      <c r="AS517" s="60">
        <v>3670.59</v>
      </c>
      <c r="AT517" s="60">
        <v>3670.59</v>
      </c>
      <c r="AU517" s="60">
        <v>3670.59</v>
      </c>
      <c r="AV517" s="60">
        <v>3670.59</v>
      </c>
      <c r="AW517" s="60">
        <v>3670.59</v>
      </c>
      <c r="AX517" s="60">
        <v>3670.59</v>
      </c>
      <c r="AY517" s="61">
        <f t="shared" si="179"/>
        <v>22023.54</v>
      </c>
      <c r="AZ517" s="56">
        <f t="shared" si="169"/>
        <v>44047.08</v>
      </c>
      <c r="BA517" s="62">
        <f t="shared" ref="BA517:BA541" si="205">AF517</f>
        <v>1101177.48</v>
      </c>
      <c r="BB517" s="62">
        <f t="shared" si="180"/>
        <v>715765.04999999923</v>
      </c>
      <c r="BC517" s="62">
        <f t="shared" si="167"/>
        <v>385412.43000000075</v>
      </c>
      <c r="BD517" s="63">
        <v>407435.97000000055</v>
      </c>
      <c r="BE517" s="57">
        <f t="shared" si="204"/>
        <v>8963.5913400000136</v>
      </c>
      <c r="BF517" s="35" t="str">
        <f>VLOOKUP(A:A,'2023-2027'!A:G,1,+FALSE)</f>
        <v>Устройство ограждения 2008г</v>
      </c>
      <c r="BG517" s="7" t="b">
        <f t="shared" si="184"/>
        <v>1</v>
      </c>
      <c r="BH517" s="35">
        <f>VLOOKUP(A:A,'2023-2027'!A:AT,43,+FALSE)</f>
        <v>3670.5899999999988</v>
      </c>
    </row>
    <row r="518" spans="1:60" ht="12" hidden="1" customHeight="1" outlineLevel="1" x14ac:dyDescent="0.2">
      <c r="A518" s="59" t="s">
        <v>1276</v>
      </c>
      <c r="B518" s="61" t="s">
        <v>38</v>
      </c>
      <c r="C518" s="61" t="s">
        <v>1091</v>
      </c>
      <c r="D518" s="66" t="s">
        <v>1277</v>
      </c>
      <c r="E518" s="59" t="s">
        <v>1278</v>
      </c>
      <c r="F518" s="60">
        <v>2343174</v>
      </c>
      <c r="G518" s="60">
        <v>1770397.68</v>
      </c>
      <c r="H518" s="60">
        <v>572776.31999999995</v>
      </c>
      <c r="I518" s="59"/>
      <c r="J518" s="60">
        <v>156211.68</v>
      </c>
      <c r="K518" s="59"/>
      <c r="L518" s="59"/>
      <c r="M518" s="60">
        <v>2343174</v>
      </c>
      <c r="N518" s="60">
        <v>1926609.36</v>
      </c>
      <c r="O518" s="60">
        <v>416564.64</v>
      </c>
      <c r="P518" s="55">
        <v>494670.48</v>
      </c>
      <c r="Q518" s="55">
        <f t="shared" si="201"/>
        <v>10882.75056</v>
      </c>
      <c r="R518" s="61">
        <f t="shared" si="175"/>
        <v>13017.64</v>
      </c>
      <c r="S518" s="60">
        <v>13017.64</v>
      </c>
      <c r="T518" s="60">
        <v>13017.64</v>
      </c>
      <c r="U518" s="60">
        <v>13017.64</v>
      </c>
      <c r="V518" s="60">
        <v>13017.64</v>
      </c>
      <c r="W518" s="60">
        <v>13017.64</v>
      </c>
      <c r="X518" s="61">
        <f t="shared" si="176"/>
        <v>78105.84</v>
      </c>
      <c r="Y518" s="60">
        <v>13017.64</v>
      </c>
      <c r="Z518" s="60">
        <v>13017.64</v>
      </c>
      <c r="AA518" s="60">
        <v>13017.64</v>
      </c>
      <c r="AB518" s="60">
        <v>13017.64</v>
      </c>
      <c r="AC518" s="60">
        <v>13017.64</v>
      </c>
      <c r="AD518" s="60">
        <v>13017.64</v>
      </c>
      <c r="AE518" s="61">
        <f t="shared" si="177"/>
        <v>78105.84</v>
      </c>
      <c r="AF518" s="62">
        <f t="shared" si="170"/>
        <v>2343174</v>
      </c>
      <c r="AG518" s="62">
        <f t="shared" si="171"/>
        <v>2082821.0399999989</v>
      </c>
      <c r="AH518" s="62">
        <f t="shared" si="172"/>
        <v>260352.96000000113</v>
      </c>
      <c r="AI518" s="63">
        <v>338458.80000000063</v>
      </c>
      <c r="AJ518" s="63">
        <f t="shared" si="202"/>
        <v>7446.0936000000147</v>
      </c>
      <c r="AK518" s="62"/>
      <c r="AL518" s="60">
        <v>13017.64</v>
      </c>
      <c r="AM518" s="60">
        <v>13017.64</v>
      </c>
      <c r="AN518" s="60">
        <v>13017.64</v>
      </c>
      <c r="AO518" s="60">
        <v>13017.64</v>
      </c>
      <c r="AP518" s="60">
        <v>13017.64</v>
      </c>
      <c r="AQ518" s="60">
        <v>13017.64</v>
      </c>
      <c r="AR518" s="61">
        <f t="shared" si="178"/>
        <v>78105.84</v>
      </c>
      <c r="AS518" s="60">
        <v>13017.64</v>
      </c>
      <c r="AT518" s="60">
        <v>13017.64</v>
      </c>
      <c r="AU518" s="60">
        <v>13017.64</v>
      </c>
      <c r="AV518" s="60">
        <v>13017.64</v>
      </c>
      <c r="AW518" s="60">
        <v>13017.64</v>
      </c>
      <c r="AX518" s="60">
        <v>13017.64</v>
      </c>
      <c r="AY518" s="61">
        <f t="shared" si="179"/>
        <v>78105.84</v>
      </c>
      <c r="AZ518" s="56">
        <f t="shared" si="169"/>
        <v>156211.68</v>
      </c>
      <c r="BA518" s="62">
        <f t="shared" si="205"/>
        <v>2343174</v>
      </c>
      <c r="BB518" s="62">
        <f t="shared" si="180"/>
        <v>2239032.7200000002</v>
      </c>
      <c r="BC518" s="62">
        <f t="shared" si="167"/>
        <v>104141.2799999998</v>
      </c>
      <c r="BD518" s="63">
        <v>182247.12000000186</v>
      </c>
      <c r="BE518" s="57">
        <f t="shared" si="204"/>
        <v>4009.4366400000413</v>
      </c>
      <c r="BF518" s="35" t="str">
        <f>VLOOKUP(A:A,'2023-2027'!A:G,1,+FALSE)</f>
        <v>Устройство ограждения 2010г</v>
      </c>
      <c r="BG518" s="7" t="b">
        <f t="shared" si="184"/>
        <v>1</v>
      </c>
      <c r="BH518" s="35">
        <f>VLOOKUP(A:A,'2023-2027'!A:AT,43,+FALSE)</f>
        <v>14832.619999999997</v>
      </c>
    </row>
    <row r="519" spans="1:60" ht="12" hidden="1" customHeight="1" outlineLevel="1" x14ac:dyDescent="0.2">
      <c r="A519" s="59" t="s">
        <v>1279</v>
      </c>
      <c r="B519" s="61" t="s">
        <v>38</v>
      </c>
      <c r="C519" s="61" t="s">
        <v>1091</v>
      </c>
      <c r="D519" s="65" t="s">
        <v>1280</v>
      </c>
      <c r="E519" s="59" t="s">
        <v>1272</v>
      </c>
      <c r="F519" s="60">
        <v>50000</v>
      </c>
      <c r="G519" s="60">
        <v>37124.07</v>
      </c>
      <c r="H519" s="60">
        <v>12875.93</v>
      </c>
      <c r="I519" s="59"/>
      <c r="J519" s="60">
        <v>2575.1999999999998</v>
      </c>
      <c r="K519" s="59"/>
      <c r="L519" s="59"/>
      <c r="M519" s="60">
        <v>50000</v>
      </c>
      <c r="N519" s="60">
        <v>39699.269999999997</v>
      </c>
      <c r="O519" s="60">
        <v>10300.73</v>
      </c>
      <c r="P519" s="55"/>
      <c r="Q519" s="55"/>
      <c r="R519" s="61">
        <f t="shared" si="175"/>
        <v>214.6</v>
      </c>
      <c r="S519" s="60">
        <v>214.6</v>
      </c>
      <c r="T519" s="60">
        <v>214.6</v>
      </c>
      <c r="U519" s="60">
        <v>214.6</v>
      </c>
      <c r="V519" s="60">
        <v>214.6</v>
      </c>
      <c r="W519" s="60">
        <v>214.6</v>
      </c>
      <c r="X519" s="61">
        <f t="shared" si="176"/>
        <v>1287.5999999999999</v>
      </c>
      <c r="Y519" s="60">
        <v>214.6</v>
      </c>
      <c r="Z519" s="60">
        <v>214.6</v>
      </c>
      <c r="AA519" s="60">
        <v>214.6</v>
      </c>
      <c r="AB519" s="60">
        <v>214.6</v>
      </c>
      <c r="AC519" s="60">
        <v>214.6</v>
      </c>
      <c r="AD519" s="60">
        <v>214.6</v>
      </c>
      <c r="AE519" s="61">
        <f t="shared" si="177"/>
        <v>1287.5999999999999</v>
      </c>
      <c r="AF519" s="62">
        <f t="shared" si="170"/>
        <v>50000</v>
      </c>
      <c r="AG519" s="62">
        <f t="shared" si="171"/>
        <v>42274.469999999979</v>
      </c>
      <c r="AH519" s="62">
        <f t="shared" si="172"/>
        <v>7725.5300000000207</v>
      </c>
      <c r="AI519" s="63"/>
      <c r="AJ519" s="63"/>
      <c r="AK519" s="62"/>
      <c r="AL519" s="60">
        <v>214.6</v>
      </c>
      <c r="AM519" s="60">
        <v>214.6</v>
      </c>
      <c r="AN519" s="60">
        <v>214.6</v>
      </c>
      <c r="AO519" s="60">
        <v>214.6</v>
      </c>
      <c r="AP519" s="60">
        <v>214.6</v>
      </c>
      <c r="AQ519" s="60">
        <v>214.6</v>
      </c>
      <c r="AR519" s="61">
        <f t="shared" si="178"/>
        <v>1287.5999999999999</v>
      </c>
      <c r="AS519" s="60">
        <v>214.6</v>
      </c>
      <c r="AT519" s="60">
        <v>214.6</v>
      </c>
      <c r="AU519" s="60">
        <v>214.6</v>
      </c>
      <c r="AV519" s="60">
        <v>214.6</v>
      </c>
      <c r="AW519" s="60">
        <v>214.6</v>
      </c>
      <c r="AX519" s="60">
        <v>214.6</v>
      </c>
      <c r="AY519" s="61">
        <f t="shared" si="179"/>
        <v>1287.5999999999999</v>
      </c>
      <c r="AZ519" s="56">
        <f t="shared" si="169"/>
        <v>2575.1999999999998</v>
      </c>
      <c r="BA519" s="62">
        <f t="shared" si="205"/>
        <v>50000</v>
      </c>
      <c r="BB519" s="62">
        <f t="shared" si="180"/>
        <v>44849.669999999962</v>
      </c>
      <c r="BC519" s="62">
        <f t="shared" si="167"/>
        <v>5150.3300000000381</v>
      </c>
      <c r="BD519" s="63"/>
      <c r="BE519" s="57"/>
      <c r="BF519" s="35" t="e">
        <f>VLOOKUP(A:A,'2023-2027'!A:G,1,+FALSE)</f>
        <v>#N/A</v>
      </c>
      <c r="BG519" s="7" t="e">
        <f t="shared" si="184"/>
        <v>#N/A</v>
      </c>
      <c r="BH519" s="35"/>
    </row>
    <row r="520" spans="1:60" ht="24" hidden="1" customHeight="1" outlineLevel="1" x14ac:dyDescent="0.2">
      <c r="A520" s="59" t="s">
        <v>1281</v>
      </c>
      <c r="B520" s="61" t="s">
        <v>38</v>
      </c>
      <c r="C520" s="61" t="s">
        <v>1091</v>
      </c>
      <c r="D520" s="65" t="s">
        <v>1282</v>
      </c>
      <c r="E520" s="59" t="s">
        <v>1283</v>
      </c>
      <c r="F520" s="60">
        <v>1355932.2</v>
      </c>
      <c r="G520" s="60">
        <v>657597.85</v>
      </c>
      <c r="H520" s="60">
        <v>698334.35</v>
      </c>
      <c r="I520" s="59"/>
      <c r="J520" s="60">
        <v>69833.399999999994</v>
      </c>
      <c r="K520" s="59"/>
      <c r="L520" s="59"/>
      <c r="M520" s="60">
        <v>1355932.2</v>
      </c>
      <c r="N520" s="60">
        <v>727431.25</v>
      </c>
      <c r="O520" s="60">
        <v>628500.94999999995</v>
      </c>
      <c r="P520" s="55"/>
      <c r="Q520" s="55"/>
      <c r="R520" s="61">
        <f t="shared" si="175"/>
        <v>5819.45</v>
      </c>
      <c r="S520" s="60">
        <v>5819.45</v>
      </c>
      <c r="T520" s="60">
        <v>5819.45</v>
      </c>
      <c r="U520" s="60">
        <v>5819.45</v>
      </c>
      <c r="V520" s="60">
        <v>5819.45</v>
      </c>
      <c r="W520" s="60">
        <v>5819.45</v>
      </c>
      <c r="X520" s="61">
        <f t="shared" si="176"/>
        <v>34916.699999999997</v>
      </c>
      <c r="Y520" s="60">
        <v>5819.45</v>
      </c>
      <c r="Z520" s="60">
        <v>5819.45</v>
      </c>
      <c r="AA520" s="60">
        <v>5819.45</v>
      </c>
      <c r="AB520" s="60">
        <v>5819.45</v>
      </c>
      <c r="AC520" s="60">
        <v>5819.45</v>
      </c>
      <c r="AD520" s="60">
        <v>5819.45</v>
      </c>
      <c r="AE520" s="61">
        <f t="shared" si="177"/>
        <v>34916.699999999997</v>
      </c>
      <c r="AF520" s="62">
        <f t="shared" si="170"/>
        <v>1355932.2</v>
      </c>
      <c r="AG520" s="62">
        <f t="shared" si="171"/>
        <v>797264.64999999944</v>
      </c>
      <c r="AH520" s="62">
        <f t="shared" si="172"/>
        <v>558667.55000000051</v>
      </c>
      <c r="AI520" s="63"/>
      <c r="AJ520" s="63"/>
      <c r="AK520" s="62"/>
      <c r="AL520" s="60">
        <v>5819.45</v>
      </c>
      <c r="AM520" s="60">
        <v>5819.45</v>
      </c>
      <c r="AN520" s="60">
        <v>5819.45</v>
      </c>
      <c r="AO520" s="60">
        <v>5819.45</v>
      </c>
      <c r="AP520" s="60">
        <v>5819.45</v>
      </c>
      <c r="AQ520" s="60">
        <v>5819.45</v>
      </c>
      <c r="AR520" s="61">
        <f t="shared" si="178"/>
        <v>34916.699999999997</v>
      </c>
      <c r="AS520" s="60">
        <v>5819.45</v>
      </c>
      <c r="AT520" s="60">
        <v>5819.45</v>
      </c>
      <c r="AU520" s="60">
        <v>5819.45</v>
      </c>
      <c r="AV520" s="60">
        <v>5819.45</v>
      </c>
      <c r="AW520" s="60">
        <v>5819.45</v>
      </c>
      <c r="AX520" s="60">
        <v>5819.45</v>
      </c>
      <c r="AY520" s="61">
        <f t="shared" si="179"/>
        <v>34916.699999999997</v>
      </c>
      <c r="AZ520" s="56">
        <f t="shared" si="169"/>
        <v>69833.399999999994</v>
      </c>
      <c r="BA520" s="62">
        <f t="shared" si="205"/>
        <v>1355932.2</v>
      </c>
      <c r="BB520" s="62">
        <f t="shared" si="180"/>
        <v>867098.04999999888</v>
      </c>
      <c r="BC520" s="62">
        <f t="shared" si="167"/>
        <v>488834.15000000107</v>
      </c>
      <c r="BD520" s="63"/>
      <c r="BE520" s="57"/>
      <c r="BF520" s="35" t="e">
        <f>VLOOKUP(A:A,'2023-2027'!A:G,1,+FALSE)</f>
        <v>#N/A</v>
      </c>
      <c r="BG520" s="7" t="e">
        <f t="shared" si="184"/>
        <v>#N/A</v>
      </c>
      <c r="BH520" s="35"/>
    </row>
    <row r="521" spans="1:60" ht="24" hidden="1" customHeight="1" outlineLevel="1" x14ac:dyDescent="0.2">
      <c r="A521" s="59" t="s">
        <v>1284</v>
      </c>
      <c r="B521" s="61" t="s">
        <v>38</v>
      </c>
      <c r="C521" s="61" t="s">
        <v>1091</v>
      </c>
      <c r="D521" s="66" t="s">
        <v>1285</v>
      </c>
      <c r="E521" s="59" t="s">
        <v>563</v>
      </c>
      <c r="F521" s="60">
        <v>81458.27</v>
      </c>
      <c r="G521" s="60">
        <v>12218.76</v>
      </c>
      <c r="H521" s="60">
        <v>69239.509999999995</v>
      </c>
      <c r="I521" s="59"/>
      <c r="J521" s="60">
        <v>8145.84</v>
      </c>
      <c r="K521" s="59"/>
      <c r="L521" s="59"/>
      <c r="M521" s="60">
        <v>81458.27</v>
      </c>
      <c r="N521" s="60">
        <v>20364.599999999999</v>
      </c>
      <c r="O521" s="60">
        <v>61093.67</v>
      </c>
      <c r="P521" s="55"/>
      <c r="Q521" s="55"/>
      <c r="R521" s="61">
        <f t="shared" si="175"/>
        <v>678.82</v>
      </c>
      <c r="S521" s="60">
        <v>678.82</v>
      </c>
      <c r="T521" s="60">
        <v>678.82</v>
      </c>
      <c r="U521" s="60">
        <v>678.82</v>
      </c>
      <c r="V521" s="60">
        <v>678.82</v>
      </c>
      <c r="W521" s="60">
        <v>678.82</v>
      </c>
      <c r="X521" s="61">
        <f t="shared" si="176"/>
        <v>4072.9200000000005</v>
      </c>
      <c r="Y521" s="60">
        <v>678.82</v>
      </c>
      <c r="Z521" s="60">
        <v>678.82</v>
      </c>
      <c r="AA521" s="60">
        <v>678.82</v>
      </c>
      <c r="AB521" s="60">
        <v>678.82</v>
      </c>
      <c r="AC521" s="60">
        <v>678.82</v>
      </c>
      <c r="AD521" s="60">
        <v>678.82</v>
      </c>
      <c r="AE521" s="61">
        <f t="shared" si="177"/>
        <v>4072.9200000000005</v>
      </c>
      <c r="AF521" s="62">
        <f t="shared" si="170"/>
        <v>81458.27</v>
      </c>
      <c r="AG521" s="62">
        <f t="shared" si="171"/>
        <v>28510.439999999995</v>
      </c>
      <c r="AH521" s="62">
        <f t="shared" si="172"/>
        <v>52947.830000000009</v>
      </c>
      <c r="AI521" s="63"/>
      <c r="AJ521" s="63"/>
      <c r="AK521" s="62"/>
      <c r="AL521" s="60">
        <v>678.82</v>
      </c>
      <c r="AM521" s="60">
        <v>678.82</v>
      </c>
      <c r="AN521" s="60">
        <v>678.82</v>
      </c>
      <c r="AO521" s="60">
        <v>678.82</v>
      </c>
      <c r="AP521" s="60">
        <v>678.82</v>
      </c>
      <c r="AQ521" s="60">
        <v>678.82</v>
      </c>
      <c r="AR521" s="61">
        <f t="shared" si="178"/>
        <v>4072.9200000000005</v>
      </c>
      <c r="AS521" s="60">
        <v>678.82</v>
      </c>
      <c r="AT521" s="60">
        <v>678.82</v>
      </c>
      <c r="AU521" s="60">
        <v>678.82</v>
      </c>
      <c r="AV521" s="60">
        <v>678.82</v>
      </c>
      <c r="AW521" s="60">
        <v>678.82</v>
      </c>
      <c r="AX521" s="60">
        <v>678.82</v>
      </c>
      <c r="AY521" s="61">
        <f t="shared" si="179"/>
        <v>4072.9200000000005</v>
      </c>
      <c r="AZ521" s="56">
        <f t="shared" si="169"/>
        <v>8145.8400000000011</v>
      </c>
      <c r="BA521" s="62">
        <f t="shared" si="205"/>
        <v>81458.27</v>
      </c>
      <c r="BB521" s="62">
        <f t="shared" si="180"/>
        <v>36656.279999999992</v>
      </c>
      <c r="BC521" s="62">
        <f t="shared" si="167"/>
        <v>44801.990000000013</v>
      </c>
      <c r="BD521" s="63"/>
      <c r="BE521" s="57"/>
      <c r="BF521" s="35" t="str">
        <f>VLOOKUP(A:A,'2023-2027'!A:G,1,+FALSE)</f>
        <v>Электронасос типа КМ 100-80-160-5 15кВт</v>
      </c>
      <c r="BG521" s="7" t="b">
        <f t="shared" si="184"/>
        <v>1</v>
      </c>
      <c r="BH521" s="35">
        <f>VLOOKUP(A:A,'2023-2027'!A:AT,43,+FALSE)</f>
        <v>678.82</v>
      </c>
    </row>
    <row r="522" spans="1:60" ht="12" hidden="1" customHeight="1" outlineLevel="1" x14ac:dyDescent="0.2">
      <c r="A522" s="59" t="s">
        <v>1286</v>
      </c>
      <c r="B522" s="61" t="s">
        <v>38</v>
      </c>
      <c r="C522" s="61" t="s">
        <v>1091</v>
      </c>
      <c r="D522" s="66" t="s">
        <v>1287</v>
      </c>
      <c r="E522" s="59" t="s">
        <v>1288</v>
      </c>
      <c r="F522" s="60">
        <v>10070046.470000001</v>
      </c>
      <c r="G522" s="60">
        <v>8118723.4699999997</v>
      </c>
      <c r="H522" s="60">
        <v>1951323</v>
      </c>
      <c r="I522" s="59"/>
      <c r="J522" s="60">
        <v>121325.75999999999</v>
      </c>
      <c r="K522" s="59"/>
      <c r="L522" s="59"/>
      <c r="M522" s="60">
        <v>10070046.470000001</v>
      </c>
      <c r="N522" s="60">
        <v>8240049.2300000004</v>
      </c>
      <c r="O522" s="60">
        <v>1829997.24</v>
      </c>
      <c r="P522" s="55">
        <v>1890660.12</v>
      </c>
      <c r="Q522" s="55">
        <f>P522*2.2%</f>
        <v>41594.52264000001</v>
      </c>
      <c r="R522" s="61">
        <f t="shared" si="175"/>
        <v>10110.48</v>
      </c>
      <c r="S522" s="60">
        <v>10110.48</v>
      </c>
      <c r="T522" s="60">
        <v>10110.48</v>
      </c>
      <c r="U522" s="60">
        <v>10110.48</v>
      </c>
      <c r="V522" s="60">
        <v>10110.48</v>
      </c>
      <c r="W522" s="60">
        <v>10110.48</v>
      </c>
      <c r="X522" s="61">
        <f t="shared" si="176"/>
        <v>60662.87999999999</v>
      </c>
      <c r="Y522" s="60">
        <v>10110.48</v>
      </c>
      <c r="Z522" s="60">
        <v>10110.48</v>
      </c>
      <c r="AA522" s="60">
        <v>10110.48</v>
      </c>
      <c r="AB522" s="60">
        <v>10110.48</v>
      </c>
      <c r="AC522" s="60">
        <v>10110.48</v>
      </c>
      <c r="AD522" s="60">
        <v>10110.48</v>
      </c>
      <c r="AE522" s="61">
        <f t="shared" si="177"/>
        <v>60662.87999999999</v>
      </c>
      <c r="AF522" s="62">
        <f t="shared" si="170"/>
        <v>10070046.470000001</v>
      </c>
      <c r="AG522" s="62">
        <f t="shared" si="171"/>
        <v>8361374.9900000058</v>
      </c>
      <c r="AH522" s="62">
        <f t="shared" si="172"/>
        <v>1708671.4799999949</v>
      </c>
      <c r="AI522" s="63">
        <v>1769334.3600000003</v>
      </c>
      <c r="AJ522" s="63">
        <f t="shared" ref="AJ522" si="206">AI522*2.2%</f>
        <v>38925.355920000009</v>
      </c>
      <c r="AK522" s="62"/>
      <c r="AL522" s="60">
        <v>10110.48</v>
      </c>
      <c r="AM522" s="60">
        <v>10110.48</v>
      </c>
      <c r="AN522" s="60">
        <v>10110.48</v>
      </c>
      <c r="AO522" s="60">
        <v>10110.48</v>
      </c>
      <c r="AP522" s="60">
        <v>10110.48</v>
      </c>
      <c r="AQ522" s="60">
        <v>10110.48</v>
      </c>
      <c r="AR522" s="61">
        <f t="shared" si="178"/>
        <v>60662.87999999999</v>
      </c>
      <c r="AS522" s="60">
        <v>10110.48</v>
      </c>
      <c r="AT522" s="60">
        <v>10110.48</v>
      </c>
      <c r="AU522" s="60">
        <v>10110.48</v>
      </c>
      <c r="AV522" s="60">
        <v>10110.48</v>
      </c>
      <c r="AW522" s="60">
        <v>10110.48</v>
      </c>
      <c r="AX522" s="60">
        <v>10110.48</v>
      </c>
      <c r="AY522" s="61">
        <f t="shared" si="179"/>
        <v>60662.87999999999</v>
      </c>
      <c r="AZ522" s="56">
        <f t="shared" ref="AZ522:AZ585" si="207">AR522+AY522</f>
        <v>121325.75999999998</v>
      </c>
      <c r="BA522" s="62">
        <f t="shared" si="205"/>
        <v>10070046.470000001</v>
      </c>
      <c r="BB522" s="62">
        <f t="shared" si="180"/>
        <v>8482700.7500000112</v>
      </c>
      <c r="BC522" s="62">
        <f t="shared" si="167"/>
        <v>1587345.7199999895</v>
      </c>
      <c r="BD522" s="63">
        <v>1648008.6</v>
      </c>
      <c r="BE522" s="57">
        <f t="shared" ref="BE522" si="208">BD522*2.2%</f>
        <v>36256.189200000008</v>
      </c>
      <c r="BF522" s="35" t="str">
        <f>VLOOKUP(A:A,'2023-2027'!A:G,1,+FALSE)</f>
        <v>Электростанция  1955г.</v>
      </c>
      <c r="BG522" s="7" t="b">
        <f t="shared" si="184"/>
        <v>1</v>
      </c>
      <c r="BH522" s="35">
        <f>VLOOKUP(A:A,'2023-2027'!A:AT,43,+FALSE)</f>
        <v>30333.691605421103</v>
      </c>
    </row>
    <row r="523" spans="1:60" ht="12" hidden="1" customHeight="1" outlineLevel="1" x14ac:dyDescent="0.2">
      <c r="A523" s="59" t="s">
        <v>1289</v>
      </c>
      <c r="B523" s="61" t="s">
        <v>38</v>
      </c>
      <c r="C523" s="61" t="s">
        <v>1091</v>
      </c>
      <c r="D523" s="65" t="s">
        <v>1290</v>
      </c>
      <c r="E523" s="59" t="s">
        <v>1235</v>
      </c>
      <c r="F523" s="60">
        <v>11418</v>
      </c>
      <c r="G523" s="60">
        <v>11418</v>
      </c>
      <c r="H523" s="59"/>
      <c r="I523" s="59"/>
      <c r="J523" s="59"/>
      <c r="K523" s="60">
        <v>11418</v>
      </c>
      <c r="L523" s="60">
        <v>11418</v>
      </c>
      <c r="M523" s="59"/>
      <c r="N523" s="59"/>
      <c r="O523" s="59"/>
      <c r="P523" s="67"/>
      <c r="Q523" s="67"/>
      <c r="R523" s="61">
        <f t="shared" si="175"/>
        <v>0</v>
      </c>
      <c r="S523" s="60">
        <v>0</v>
      </c>
      <c r="T523" s="60">
        <v>0</v>
      </c>
      <c r="U523" s="60">
        <v>0</v>
      </c>
      <c r="V523" s="60">
        <v>0</v>
      </c>
      <c r="W523" s="60">
        <v>0</v>
      </c>
      <c r="X523" s="61">
        <f t="shared" si="176"/>
        <v>0</v>
      </c>
      <c r="Y523" s="60">
        <v>0</v>
      </c>
      <c r="Z523" s="60">
        <v>0</v>
      </c>
      <c r="AA523" s="60">
        <v>0</v>
      </c>
      <c r="AB523" s="60">
        <v>0</v>
      </c>
      <c r="AC523" s="60">
        <v>0</v>
      </c>
      <c r="AD523" s="60">
        <v>0</v>
      </c>
      <c r="AE523" s="61">
        <f t="shared" si="177"/>
        <v>0</v>
      </c>
      <c r="AF523" s="62">
        <f t="shared" ref="AF523" si="209">M523</f>
        <v>0</v>
      </c>
      <c r="AG523" s="62">
        <f t="shared" ref="AG523" si="210">N523+R523+S523+T523+U523+V523+W523+Y523+Z523+AA523+AB523+AC523+AD523</f>
        <v>0</v>
      </c>
      <c r="AH523" s="62">
        <f t="shared" si="172"/>
        <v>0</v>
      </c>
      <c r="AI523" s="63"/>
      <c r="AJ523" s="63"/>
      <c r="AK523" s="62"/>
      <c r="AL523" s="60">
        <v>0</v>
      </c>
      <c r="AM523" s="60">
        <v>0</v>
      </c>
      <c r="AN523" s="60">
        <v>0</v>
      </c>
      <c r="AO523" s="60">
        <v>0</v>
      </c>
      <c r="AP523" s="60">
        <v>0</v>
      </c>
      <c r="AQ523" s="60">
        <v>0</v>
      </c>
      <c r="AR523" s="61">
        <f t="shared" si="178"/>
        <v>0</v>
      </c>
      <c r="AS523" s="60">
        <v>0</v>
      </c>
      <c r="AT523" s="60">
        <v>0</v>
      </c>
      <c r="AU523" s="60">
        <v>0</v>
      </c>
      <c r="AV523" s="60">
        <v>0</v>
      </c>
      <c r="AW523" s="60">
        <v>0</v>
      </c>
      <c r="AX523" s="60">
        <v>0</v>
      </c>
      <c r="AY523" s="61">
        <f t="shared" si="179"/>
        <v>0</v>
      </c>
      <c r="AZ523" s="56">
        <f t="shared" si="207"/>
        <v>0</v>
      </c>
      <c r="BA523" s="62">
        <f t="shared" si="205"/>
        <v>0</v>
      </c>
      <c r="BB523" s="62">
        <f t="shared" si="180"/>
        <v>0</v>
      </c>
      <c r="BC523" s="62">
        <f t="shared" si="167"/>
        <v>0</v>
      </c>
      <c r="BD523" s="63"/>
      <c r="BE523" s="57"/>
      <c r="BF523" s="35" t="e">
        <f>VLOOKUP(A:A,'2023-2027'!A:G,1,+FALSE)</f>
        <v>#N/A</v>
      </c>
      <c r="BG523" s="7" t="e">
        <f t="shared" si="184"/>
        <v>#N/A</v>
      </c>
      <c r="BH523" s="35"/>
    </row>
    <row r="524" spans="1:60" ht="12" hidden="1" customHeight="1" outlineLevel="1" x14ac:dyDescent="0.2">
      <c r="A524" s="79" t="s">
        <v>1291</v>
      </c>
      <c r="B524" s="61" t="s">
        <v>38</v>
      </c>
      <c r="C524" s="61" t="s">
        <v>1091</v>
      </c>
      <c r="D524" s="79"/>
      <c r="E524" s="80"/>
      <c r="F524" s="80">
        <v>105513601.06999999</v>
      </c>
      <c r="G524" s="80"/>
      <c r="H524" s="59">
        <v>105513601.06999999</v>
      </c>
      <c r="I524" s="59"/>
      <c r="J524" s="59"/>
      <c r="K524" s="60"/>
      <c r="L524" s="60"/>
      <c r="M524" s="59">
        <v>105513601.06999999</v>
      </c>
      <c r="N524" s="59"/>
      <c r="O524" s="59">
        <v>105513601.06999999</v>
      </c>
      <c r="P524" s="67"/>
      <c r="Q524" s="67"/>
      <c r="R524" s="61"/>
      <c r="S524" s="60"/>
      <c r="T524" s="60"/>
      <c r="U524" s="60"/>
      <c r="V524" s="60"/>
      <c r="W524" s="60"/>
      <c r="X524" s="61"/>
      <c r="Y524" s="60"/>
      <c r="Z524" s="60"/>
      <c r="AA524" s="60"/>
      <c r="AB524" s="60"/>
      <c r="AC524" s="60"/>
      <c r="AD524" s="60"/>
      <c r="AE524" s="61"/>
      <c r="AF524" s="62"/>
      <c r="AG524" s="62"/>
      <c r="AH524" s="62"/>
      <c r="AI524" s="63"/>
      <c r="AJ524" s="63"/>
      <c r="AK524" s="62"/>
      <c r="AL524" s="60">
        <v>293093.34000000003</v>
      </c>
      <c r="AM524" s="60">
        <v>293093.34000000003</v>
      </c>
      <c r="AN524" s="60">
        <v>293093.34000000003</v>
      </c>
      <c r="AO524" s="60">
        <v>293093.34000000003</v>
      </c>
      <c r="AP524" s="60">
        <v>293093.34000000003</v>
      </c>
      <c r="AQ524" s="60">
        <v>293093.34000000003</v>
      </c>
      <c r="AR524" s="61">
        <f t="shared" si="178"/>
        <v>1758560.0400000003</v>
      </c>
      <c r="AS524" s="60">
        <v>293093.34000000003</v>
      </c>
      <c r="AT524" s="60">
        <v>293093.34000000003</v>
      </c>
      <c r="AU524" s="60">
        <v>293093.34000000003</v>
      </c>
      <c r="AV524" s="60">
        <v>293093.34000000003</v>
      </c>
      <c r="AW524" s="60">
        <v>293093.34000000003</v>
      </c>
      <c r="AX524" s="60">
        <v>293093.34000000003</v>
      </c>
      <c r="AY524" s="61">
        <f t="shared" si="179"/>
        <v>1758560.0400000003</v>
      </c>
      <c r="AZ524" s="56">
        <f t="shared" si="207"/>
        <v>3517120.0800000005</v>
      </c>
      <c r="BA524" s="59">
        <v>105513601.06999999</v>
      </c>
      <c r="BB524" s="62">
        <f>AR524+AY524</f>
        <v>3517120.0800000005</v>
      </c>
      <c r="BC524" s="62">
        <f>BA524-BB524</f>
        <v>101996480.98999999</v>
      </c>
      <c r="BD524" s="63"/>
      <c r="BE524" s="57"/>
      <c r="BF524" s="35" t="e">
        <f>VLOOKUP(A:A,'2023-2027'!A:G,1,+FALSE)</f>
        <v>#N/A</v>
      </c>
      <c r="BG524" s="7" t="e">
        <f t="shared" si="184"/>
        <v>#N/A</v>
      </c>
      <c r="BH524" s="35"/>
    </row>
    <row r="525" spans="1:60" s="58" customFormat="1" ht="13.15" hidden="1" customHeight="1" x14ac:dyDescent="0.2">
      <c r="A525" s="323" t="s">
        <v>19</v>
      </c>
      <c r="B525" s="323"/>
      <c r="C525" s="323"/>
      <c r="D525" s="323"/>
      <c r="E525" s="323"/>
      <c r="F525" s="53">
        <f>F526+F527+F528+F529+F530+F531+F532+F533+F534+F535+F536+F537</f>
        <v>5500152.5099999998</v>
      </c>
      <c r="G525" s="53">
        <f t="shared" ref="G525:BE525" si="211">G526+G527+G528+G529+G530+G531+G532+G533+G534+G535+G536+G537</f>
        <v>3557870.0700000003</v>
      </c>
      <c r="H525" s="53">
        <f t="shared" si="211"/>
        <v>1942282.44</v>
      </c>
      <c r="I525" s="53">
        <f t="shared" si="211"/>
        <v>0</v>
      </c>
      <c r="J525" s="53">
        <f t="shared" si="211"/>
        <v>270605.40000000002</v>
      </c>
      <c r="K525" s="53">
        <f t="shared" si="211"/>
        <v>0</v>
      </c>
      <c r="L525" s="53">
        <f t="shared" si="211"/>
        <v>0</v>
      </c>
      <c r="M525" s="53">
        <f t="shared" si="211"/>
        <v>5500152.5099999998</v>
      </c>
      <c r="N525" s="53">
        <f t="shared" si="211"/>
        <v>3828475.47</v>
      </c>
      <c r="O525" s="53">
        <f t="shared" si="211"/>
        <v>1671677.04</v>
      </c>
      <c r="P525" s="55">
        <v>1098142.5</v>
      </c>
      <c r="Q525" s="55">
        <f>Q526+Q530+Q532+Q534+Q535+Q536</f>
        <v>24159.135000000002</v>
      </c>
      <c r="R525" s="53">
        <f t="shared" si="211"/>
        <v>22550.442499999997</v>
      </c>
      <c r="S525" s="53">
        <f t="shared" si="211"/>
        <v>22360.872499699999</v>
      </c>
      <c r="T525" s="53">
        <f t="shared" si="211"/>
        <v>22360.872499699999</v>
      </c>
      <c r="U525" s="53">
        <f t="shared" si="211"/>
        <v>22360.872499699999</v>
      </c>
      <c r="V525" s="53">
        <f t="shared" si="211"/>
        <v>22360.872499699999</v>
      </c>
      <c r="W525" s="53">
        <f t="shared" si="211"/>
        <v>22360.872499699999</v>
      </c>
      <c r="X525" s="53">
        <f t="shared" si="211"/>
        <v>134354.80499849998</v>
      </c>
      <c r="Y525" s="53">
        <f t="shared" si="211"/>
        <v>22360.872499699999</v>
      </c>
      <c r="Z525" s="53">
        <f t="shared" si="211"/>
        <v>22360.872499699999</v>
      </c>
      <c r="AA525" s="53">
        <f t="shared" si="211"/>
        <v>22360.872499699999</v>
      </c>
      <c r="AB525" s="53">
        <f t="shared" si="211"/>
        <v>22360.872499699999</v>
      </c>
      <c r="AC525" s="53">
        <f t="shared" si="211"/>
        <v>22360.872499699999</v>
      </c>
      <c r="AD525" s="53">
        <f t="shared" si="211"/>
        <v>22360.8224997</v>
      </c>
      <c r="AE525" s="53">
        <f t="shared" si="211"/>
        <v>134165.18499819998</v>
      </c>
      <c r="AF525" s="53">
        <f t="shared" si="211"/>
        <v>5500152.5099999998</v>
      </c>
      <c r="AG525" s="53">
        <f t="shared" si="211"/>
        <v>4096995.4599966994</v>
      </c>
      <c r="AH525" s="53">
        <f t="shared" si="211"/>
        <v>1403157.0500033</v>
      </c>
      <c r="AI525" s="55">
        <v>976282.42000000027</v>
      </c>
      <c r="AJ525" s="55">
        <f t="shared" si="211"/>
        <v>21478.213240000012</v>
      </c>
      <c r="AK525" s="53"/>
      <c r="AL525" s="53">
        <f t="shared" si="211"/>
        <v>22297.802499699999</v>
      </c>
      <c r="AM525" s="53">
        <f t="shared" si="211"/>
        <v>22297.802499699999</v>
      </c>
      <c r="AN525" s="53">
        <f t="shared" si="211"/>
        <v>22297.802499699999</v>
      </c>
      <c r="AO525" s="53">
        <f t="shared" si="211"/>
        <v>22297.802499699999</v>
      </c>
      <c r="AP525" s="53">
        <f t="shared" si="211"/>
        <v>22297.802499699999</v>
      </c>
      <c r="AQ525" s="53">
        <f t="shared" si="211"/>
        <v>22297.802499699999</v>
      </c>
      <c r="AR525" s="53">
        <f t="shared" si="211"/>
        <v>133786.81499819999</v>
      </c>
      <c r="AS525" s="53">
        <f t="shared" si="211"/>
        <v>22297.802499699999</v>
      </c>
      <c r="AT525" s="53">
        <f t="shared" si="211"/>
        <v>22297.802499699999</v>
      </c>
      <c r="AU525" s="53">
        <f t="shared" si="211"/>
        <v>22297.802499699999</v>
      </c>
      <c r="AV525" s="53">
        <f t="shared" si="211"/>
        <v>22297.802499699999</v>
      </c>
      <c r="AW525" s="53">
        <f t="shared" si="211"/>
        <v>22297.802499699999</v>
      </c>
      <c r="AX525" s="53">
        <f t="shared" si="211"/>
        <v>22297.692499699999</v>
      </c>
      <c r="AY525" s="53">
        <f t="shared" si="211"/>
        <v>133786.7049982</v>
      </c>
      <c r="AZ525" s="56">
        <f t="shared" si="207"/>
        <v>267573.51999639999</v>
      </c>
      <c r="BA525" s="53">
        <f t="shared" si="211"/>
        <v>5500152.5099999998</v>
      </c>
      <c r="BB525" s="53">
        <f t="shared" si="211"/>
        <v>4364568.9799930993</v>
      </c>
      <c r="BC525" s="53">
        <f t="shared" si="211"/>
        <v>1135583.5300069</v>
      </c>
      <c r="BD525" s="55">
        <v>855748.68000000087</v>
      </c>
      <c r="BE525" s="55">
        <f t="shared" si="211"/>
        <v>18826.470960000021</v>
      </c>
      <c r="BF525" s="35" t="str">
        <f>VLOOKUP(A:A,'2023-2027'!A:G,1,+FALSE)</f>
        <v>ТЕПЛОЭНЕРГИЯ</v>
      </c>
      <c r="BG525" s="7" t="b">
        <f t="shared" si="184"/>
        <v>0</v>
      </c>
      <c r="BH525" s="35">
        <f>VLOOKUP(A:A,'2023-2027'!A:AT,43,+FALSE)</f>
        <v>0</v>
      </c>
    </row>
    <row r="526" spans="1:60" ht="12" hidden="1" customHeight="1" outlineLevel="1" x14ac:dyDescent="0.2">
      <c r="A526" s="81" t="s">
        <v>1292</v>
      </c>
      <c r="B526" s="59" t="s">
        <v>85</v>
      </c>
      <c r="C526" s="59" t="s">
        <v>1293</v>
      </c>
      <c r="D526" s="66" t="s">
        <v>1294</v>
      </c>
      <c r="E526" s="59" t="s">
        <v>1295</v>
      </c>
      <c r="F526" s="60">
        <v>32481</v>
      </c>
      <c r="G526" s="60">
        <v>30967.37</v>
      </c>
      <c r="H526" s="60">
        <v>1513.63</v>
      </c>
      <c r="I526" s="59"/>
      <c r="J526" s="68">
        <v>756.84</v>
      </c>
      <c r="K526" s="59"/>
      <c r="L526" s="59"/>
      <c r="M526" s="60">
        <v>32481</v>
      </c>
      <c r="N526" s="60">
        <v>31724.21</v>
      </c>
      <c r="O526" s="68">
        <v>756.79</v>
      </c>
      <c r="P526" s="82">
        <v>1135.21</v>
      </c>
      <c r="Q526" s="55">
        <f>P526*2.2%</f>
        <v>24.974620000000002</v>
      </c>
      <c r="R526" s="61">
        <f t="shared" si="175"/>
        <v>63.07</v>
      </c>
      <c r="S526" s="60">
        <v>63.07</v>
      </c>
      <c r="T526" s="60">
        <v>63.07</v>
      </c>
      <c r="U526" s="60">
        <v>63.07</v>
      </c>
      <c r="V526" s="60">
        <v>63.07</v>
      </c>
      <c r="W526" s="60">
        <v>63.07</v>
      </c>
      <c r="X526" s="61">
        <f t="shared" si="176"/>
        <v>378.42</v>
      </c>
      <c r="Y526" s="60">
        <v>63.07</v>
      </c>
      <c r="Z526" s="60">
        <v>63.07</v>
      </c>
      <c r="AA526" s="60">
        <v>63.07</v>
      </c>
      <c r="AB526" s="60">
        <v>63.07</v>
      </c>
      <c r="AC526" s="60">
        <v>63.07</v>
      </c>
      <c r="AD526" s="60">
        <v>63.02</v>
      </c>
      <c r="AE526" s="61">
        <f t="shared" si="177"/>
        <v>378.37</v>
      </c>
      <c r="AF526" s="62">
        <f t="shared" ref="AF526:AF535" si="212">M526</f>
        <v>32481</v>
      </c>
      <c r="AG526" s="62">
        <f t="shared" ref="AG526:AG535" si="213">N526+R526+S526+T526+U526+V526+W526+Y526+Z526+AA526+AB526+AC526+AD526</f>
        <v>32480.999999999996</v>
      </c>
      <c r="AH526" s="62">
        <f t="shared" si="172"/>
        <v>0</v>
      </c>
      <c r="AI526" s="63">
        <v>378.36999999999904</v>
      </c>
      <c r="AJ526" s="63">
        <f t="shared" ref="AJ526" si="214">AI526*2.2%</f>
        <v>8.3241399999999803</v>
      </c>
      <c r="AK526" s="62"/>
      <c r="AL526" s="60"/>
      <c r="AM526" s="60"/>
      <c r="AN526" s="60"/>
      <c r="AO526" s="60"/>
      <c r="AP526" s="60"/>
      <c r="AQ526" s="60"/>
      <c r="AR526" s="61">
        <f t="shared" si="178"/>
        <v>0</v>
      </c>
      <c r="AS526" s="60"/>
      <c r="AT526" s="60"/>
      <c r="AU526" s="60"/>
      <c r="AV526" s="60"/>
      <c r="AW526" s="60"/>
      <c r="AX526" s="60"/>
      <c r="AY526" s="61">
        <f t="shared" si="179"/>
        <v>0</v>
      </c>
      <c r="AZ526" s="56">
        <f t="shared" si="207"/>
        <v>0</v>
      </c>
      <c r="BA526" s="62">
        <f t="shared" si="205"/>
        <v>32481</v>
      </c>
      <c r="BB526" s="62">
        <f t="shared" si="180"/>
        <v>32480.999999999996</v>
      </c>
      <c r="BC526" s="62">
        <f t="shared" ref="BC526:BC541" si="215">BA526-BB526</f>
        <v>0</v>
      </c>
      <c r="BD526" s="63">
        <v>0</v>
      </c>
      <c r="BE526" s="57">
        <f t="shared" ref="BE526" si="216">BD526*2.2%</f>
        <v>0</v>
      </c>
      <c r="BF526" s="35" t="str">
        <f>VLOOKUP(A:A,'2023-2027'!A:G,1,+FALSE)</f>
        <v>Газопроводные трубы 1981г.</v>
      </c>
      <c r="BG526" s="7" t="b">
        <f t="shared" si="184"/>
        <v>1</v>
      </c>
      <c r="BH526" s="35">
        <f>VLOOKUP(A:A,'2023-2027'!A:AT,43,+FALSE)</f>
        <v>0</v>
      </c>
    </row>
    <row r="527" spans="1:60" ht="12" hidden="1" customHeight="1" outlineLevel="1" x14ac:dyDescent="0.2">
      <c r="A527" s="81" t="s">
        <v>1296</v>
      </c>
      <c r="B527" s="59" t="s">
        <v>85</v>
      </c>
      <c r="C527" s="59" t="s">
        <v>1293</v>
      </c>
      <c r="D527" s="65" t="s">
        <v>1297</v>
      </c>
      <c r="E527" s="59" t="s">
        <v>349</v>
      </c>
      <c r="F527" s="60">
        <v>44067.8</v>
      </c>
      <c r="G527" s="60">
        <v>33232.239999999998</v>
      </c>
      <c r="H527" s="60">
        <v>10835.56</v>
      </c>
      <c r="I527" s="59"/>
      <c r="J527" s="60">
        <v>2167.08</v>
      </c>
      <c r="K527" s="59"/>
      <c r="L527" s="59"/>
      <c r="M527" s="60">
        <v>44067.8</v>
      </c>
      <c r="N527" s="60">
        <v>35399.32</v>
      </c>
      <c r="O527" s="60">
        <v>8668.48</v>
      </c>
      <c r="P527" s="55"/>
      <c r="Q527" s="55"/>
      <c r="R527" s="61">
        <f>J527/12</f>
        <v>180.59</v>
      </c>
      <c r="S527" s="60">
        <v>180.59</v>
      </c>
      <c r="T527" s="60">
        <v>180.59</v>
      </c>
      <c r="U527" s="60">
        <v>180.59</v>
      </c>
      <c r="V527" s="60">
        <v>180.59</v>
      </c>
      <c r="W527" s="60">
        <v>180.59</v>
      </c>
      <c r="X527" s="61">
        <f>R527+S527+T527+U527+V527+W527</f>
        <v>1083.54</v>
      </c>
      <c r="Y527" s="60">
        <v>180.59</v>
      </c>
      <c r="Z527" s="60">
        <v>180.59</v>
      </c>
      <c r="AA527" s="60">
        <v>180.59</v>
      </c>
      <c r="AB527" s="60">
        <v>180.59</v>
      </c>
      <c r="AC527" s="60">
        <v>180.59</v>
      </c>
      <c r="AD527" s="60">
        <v>180.59</v>
      </c>
      <c r="AE527" s="61">
        <f>Y527+Z527+AA527+AB527+AC527+AD527</f>
        <v>1083.54</v>
      </c>
      <c r="AF527" s="62">
        <f>M527</f>
        <v>44067.8</v>
      </c>
      <c r="AG527" s="62">
        <f>N527+R527+S527+T527+U527+V527+W527+Y527+Z527+AA527+AB527+AC527+AD527</f>
        <v>37566.399999999958</v>
      </c>
      <c r="AH527" s="62">
        <f>AF527-AG527</f>
        <v>6501.4000000000451</v>
      </c>
      <c r="AI527" s="63"/>
      <c r="AJ527" s="63"/>
      <c r="AK527" s="62"/>
      <c r="AL527" s="60">
        <v>180.59</v>
      </c>
      <c r="AM527" s="60">
        <v>180.59</v>
      </c>
      <c r="AN527" s="60">
        <v>180.59</v>
      </c>
      <c r="AO527" s="60">
        <v>180.59</v>
      </c>
      <c r="AP527" s="60">
        <v>180.59</v>
      </c>
      <c r="AQ527" s="60">
        <v>180.59</v>
      </c>
      <c r="AR527" s="61">
        <f>AL527+AM527+AN527+AO527+AP527+AQ527</f>
        <v>1083.54</v>
      </c>
      <c r="AS527" s="60">
        <v>180.59</v>
      </c>
      <c r="AT527" s="60">
        <v>180.59</v>
      </c>
      <c r="AU527" s="60">
        <v>180.59</v>
      </c>
      <c r="AV527" s="60">
        <v>180.59</v>
      </c>
      <c r="AW527" s="60">
        <v>180.59</v>
      </c>
      <c r="AX527" s="60">
        <v>180.59</v>
      </c>
      <c r="AY527" s="61">
        <f>AS527+AT527+AU527+AV527+AW527+AX527</f>
        <v>1083.54</v>
      </c>
      <c r="AZ527" s="56">
        <f t="shared" si="207"/>
        <v>2167.08</v>
      </c>
      <c r="BA527" s="62">
        <f>AF527</f>
        <v>44067.8</v>
      </c>
      <c r="BB527" s="62">
        <f>AG527+AL527+AM527+AN527+AO527+AP527+AQ527+AS527+AT527+AU527+AV527+AW527+AX527</f>
        <v>39733.479999999916</v>
      </c>
      <c r="BC527" s="62">
        <f>BA527-BB527</f>
        <v>4334.320000000087</v>
      </c>
      <c r="BD527" s="63"/>
      <c r="BE527" s="57"/>
      <c r="BF527" s="35" t="e">
        <f>VLOOKUP(A:A,'2023-2027'!A:G,1,+FALSE)</f>
        <v>#N/A</v>
      </c>
      <c r="BG527" s="7" t="e">
        <f t="shared" si="184"/>
        <v>#N/A</v>
      </c>
      <c r="BH527" s="35"/>
    </row>
    <row r="528" spans="1:60" ht="24" hidden="1" customHeight="1" outlineLevel="1" x14ac:dyDescent="0.2">
      <c r="A528" s="81" t="s">
        <v>1298</v>
      </c>
      <c r="B528" s="59" t="s">
        <v>85</v>
      </c>
      <c r="C528" s="59" t="s">
        <v>1293</v>
      </c>
      <c r="D528" s="65" t="s">
        <v>1299</v>
      </c>
      <c r="E528" s="59" t="s">
        <v>194</v>
      </c>
      <c r="F528" s="60">
        <v>177578.39</v>
      </c>
      <c r="G528" s="60">
        <v>129870.58</v>
      </c>
      <c r="H528" s="60">
        <v>47707.81</v>
      </c>
      <c r="I528" s="59"/>
      <c r="J528" s="60">
        <v>15902.64</v>
      </c>
      <c r="K528" s="59"/>
      <c r="L528" s="59"/>
      <c r="M528" s="60">
        <v>177578.39</v>
      </c>
      <c r="N528" s="60">
        <v>145773.22</v>
      </c>
      <c r="O528" s="60">
        <v>31805.17</v>
      </c>
      <c r="P528" s="55"/>
      <c r="Q528" s="55"/>
      <c r="R528" s="61">
        <f>J528/12</f>
        <v>1325.22</v>
      </c>
      <c r="S528" s="60">
        <v>1325.22</v>
      </c>
      <c r="T528" s="60">
        <v>1325.22</v>
      </c>
      <c r="U528" s="60">
        <v>1325.22</v>
      </c>
      <c r="V528" s="60">
        <v>1325.22</v>
      </c>
      <c r="W528" s="60">
        <v>1325.22</v>
      </c>
      <c r="X528" s="61">
        <f>R528+S528+T528+U528+V528+W528</f>
        <v>7951.3200000000006</v>
      </c>
      <c r="Y528" s="60">
        <v>1325.22</v>
      </c>
      <c r="Z528" s="60">
        <v>1325.22</v>
      </c>
      <c r="AA528" s="60">
        <v>1325.22</v>
      </c>
      <c r="AB528" s="60">
        <v>1325.22</v>
      </c>
      <c r="AC528" s="60">
        <v>1325.22</v>
      </c>
      <c r="AD528" s="60">
        <v>1325.22</v>
      </c>
      <c r="AE528" s="61">
        <f>Y528+Z528+AA528+AB528+AC528+AD528</f>
        <v>7951.3200000000006</v>
      </c>
      <c r="AF528" s="62">
        <f>M528</f>
        <v>177578.39</v>
      </c>
      <c r="AG528" s="62">
        <f>N528+R528+S528+T528+U528+V528+W528+Y528+Z528+AA528+AB528+AC528+AD528</f>
        <v>161675.86000000002</v>
      </c>
      <c r="AH528" s="62">
        <f>AF528-AG528</f>
        <v>15902.529999999999</v>
      </c>
      <c r="AI528" s="63"/>
      <c r="AJ528" s="63"/>
      <c r="AK528" s="62"/>
      <c r="AL528" s="60">
        <v>1325.22</v>
      </c>
      <c r="AM528" s="60">
        <v>1325.22</v>
      </c>
      <c r="AN528" s="60">
        <v>1325.22</v>
      </c>
      <c r="AO528" s="60">
        <v>1325.22</v>
      </c>
      <c r="AP528" s="60">
        <v>1325.22</v>
      </c>
      <c r="AQ528" s="60">
        <v>1325.22</v>
      </c>
      <c r="AR528" s="61">
        <f>AL528+AM528+AN528+AO528+AP528+AQ528</f>
        <v>7951.3200000000006</v>
      </c>
      <c r="AS528" s="60">
        <v>1325.22</v>
      </c>
      <c r="AT528" s="60">
        <v>1325.22</v>
      </c>
      <c r="AU528" s="60">
        <v>1325.22</v>
      </c>
      <c r="AV528" s="60">
        <v>1325.22</v>
      </c>
      <c r="AW528" s="60">
        <v>1325.22</v>
      </c>
      <c r="AX528" s="60">
        <v>1325.11</v>
      </c>
      <c r="AY528" s="61">
        <f>AS528+AT528+AU528+AV528+AW528+AX528</f>
        <v>7951.21</v>
      </c>
      <c r="AZ528" s="56">
        <f t="shared" si="207"/>
        <v>15902.53</v>
      </c>
      <c r="BA528" s="62">
        <f>AF528</f>
        <v>177578.39</v>
      </c>
      <c r="BB528" s="62">
        <f>AG528+AL528+AM528+AN528+AO528+AP528+AQ528+AS528+AT528+AU528+AV528+AW528+AX528</f>
        <v>177578.39</v>
      </c>
      <c r="BC528" s="62">
        <f>BA528-BB528</f>
        <v>0</v>
      </c>
      <c r="BD528" s="63"/>
      <c r="BE528" s="57"/>
      <c r="BF528" s="35" t="e">
        <f>VLOOKUP(A:A,'2023-2027'!A:G,1,+FALSE)</f>
        <v>#N/A</v>
      </c>
      <c r="BG528" s="7" t="e">
        <f t="shared" si="184"/>
        <v>#N/A</v>
      </c>
      <c r="BH528" s="35"/>
    </row>
    <row r="529" spans="1:60" ht="48" hidden="1" customHeight="1" outlineLevel="1" x14ac:dyDescent="0.2">
      <c r="A529" s="81" t="s">
        <v>2500</v>
      </c>
      <c r="B529" s="59" t="s">
        <v>85</v>
      </c>
      <c r="C529" s="59" t="s">
        <v>1293</v>
      </c>
      <c r="D529" s="66" t="s">
        <v>1300</v>
      </c>
      <c r="E529" s="59" t="s">
        <v>1301</v>
      </c>
      <c r="F529" s="60">
        <v>308166.67</v>
      </c>
      <c r="G529" s="60">
        <v>82177.919999999998</v>
      </c>
      <c r="H529" s="60">
        <v>225988.75</v>
      </c>
      <c r="I529" s="59"/>
      <c r="J529" s="60">
        <v>30816.6</v>
      </c>
      <c r="K529" s="59"/>
      <c r="L529" s="59"/>
      <c r="M529" s="60">
        <v>308166.67</v>
      </c>
      <c r="N529" s="60">
        <v>112994.52</v>
      </c>
      <c r="O529" s="60">
        <v>195172.15</v>
      </c>
      <c r="P529" s="55"/>
      <c r="Q529" s="55"/>
      <c r="R529" s="61">
        <f>J529/12</f>
        <v>2568.0499999999997</v>
      </c>
      <c r="S529" s="60">
        <v>2568.0500000000002</v>
      </c>
      <c r="T529" s="60">
        <v>2568.0500000000002</v>
      </c>
      <c r="U529" s="60">
        <v>2568.0500000000002</v>
      </c>
      <c r="V529" s="60">
        <v>2568.0500000000002</v>
      </c>
      <c r="W529" s="60">
        <v>2568.0500000000002</v>
      </c>
      <c r="X529" s="61">
        <f>R529+S529+T529+U529+V529+W529</f>
        <v>15408.3</v>
      </c>
      <c r="Y529" s="60">
        <v>2568.0500000000002</v>
      </c>
      <c r="Z529" s="60">
        <v>2568.0500000000002</v>
      </c>
      <c r="AA529" s="60">
        <v>2568.0500000000002</v>
      </c>
      <c r="AB529" s="60">
        <v>2568.0500000000002</v>
      </c>
      <c r="AC529" s="60">
        <v>2568.0500000000002</v>
      </c>
      <c r="AD529" s="60">
        <v>2568.0500000000002</v>
      </c>
      <c r="AE529" s="61">
        <f>Y529+Z529+AA529+AB529+AC529+AD529</f>
        <v>15408.3</v>
      </c>
      <c r="AF529" s="62">
        <f>M529</f>
        <v>308166.67</v>
      </c>
      <c r="AG529" s="62">
        <f>N529+R529+S529+T529+U529+V529+W529+Y529+Z529+AA529+AB529+AC529+AD529</f>
        <v>143811.11999999997</v>
      </c>
      <c r="AH529" s="62">
        <f>AF529-AG529</f>
        <v>164355.55000000002</v>
      </c>
      <c r="AI529" s="63"/>
      <c r="AJ529" s="63"/>
      <c r="AK529" s="62"/>
      <c r="AL529" s="60">
        <v>2568.0500000000002</v>
      </c>
      <c r="AM529" s="60">
        <v>2568.0500000000002</v>
      </c>
      <c r="AN529" s="60">
        <v>2568.0500000000002</v>
      </c>
      <c r="AO529" s="60">
        <v>2568.0500000000002</v>
      </c>
      <c r="AP529" s="60">
        <v>2568.0500000000002</v>
      </c>
      <c r="AQ529" s="60">
        <v>2568.0500000000002</v>
      </c>
      <c r="AR529" s="61">
        <f>AL529+AM529+AN529+AO529+AP529+AQ529</f>
        <v>15408.3</v>
      </c>
      <c r="AS529" s="60">
        <v>2568.0500000000002</v>
      </c>
      <c r="AT529" s="60">
        <v>2568.0500000000002</v>
      </c>
      <c r="AU529" s="60">
        <v>2568.0500000000002</v>
      </c>
      <c r="AV529" s="60">
        <v>2568.0500000000002</v>
      </c>
      <c r="AW529" s="60">
        <v>2568.0500000000002</v>
      </c>
      <c r="AX529" s="60">
        <v>2568.0500000000002</v>
      </c>
      <c r="AY529" s="61">
        <f>AS529+AT529+AU529+AV529+AW529+AX529</f>
        <v>15408.3</v>
      </c>
      <c r="AZ529" s="56">
        <f t="shared" si="207"/>
        <v>30816.6</v>
      </c>
      <c r="BA529" s="62">
        <f>AF529</f>
        <v>308166.67</v>
      </c>
      <c r="BB529" s="62">
        <f>AG529+AL529+AM529+AN529+AO529+AP529+AQ529+AS529+AT529+AU529+AV529+AW529+AX529</f>
        <v>174627.71999999983</v>
      </c>
      <c r="BC529" s="62">
        <f>BA529-BB529</f>
        <v>133538.95000000016</v>
      </c>
      <c r="BD529" s="63"/>
      <c r="BE529" s="57"/>
      <c r="BF529" s="35" t="str">
        <f>VLOOKUP(A:A,'2023-2027'!A:G,1,+FALSE)</f>
        <v>Горелка ГБЛ-0,7К-МГ-В-Р в комплекте с группой арматурной Ду65 на низкое присоединительное давление (4,1-5 кПа)</v>
      </c>
      <c r="BG529" s="7" t="b">
        <f t="shared" si="184"/>
        <v>1</v>
      </c>
      <c r="BH529" s="35">
        <f>VLOOKUP(A:A,'2023-2027'!A:AT,43,+FALSE)</f>
        <v>2568.0500000000002</v>
      </c>
    </row>
    <row r="530" spans="1:60" ht="12" hidden="1" customHeight="1" outlineLevel="1" x14ac:dyDescent="0.2">
      <c r="A530" s="81" t="s">
        <v>1302</v>
      </c>
      <c r="B530" s="59" t="s">
        <v>85</v>
      </c>
      <c r="C530" s="59" t="s">
        <v>1293</v>
      </c>
      <c r="D530" s="66" t="s">
        <v>1303</v>
      </c>
      <c r="E530" s="59" t="s">
        <v>1266</v>
      </c>
      <c r="F530" s="60">
        <v>152831.26</v>
      </c>
      <c r="G530" s="60">
        <v>124970.89</v>
      </c>
      <c r="H530" s="60">
        <v>27860.37</v>
      </c>
      <c r="I530" s="59"/>
      <c r="J530" s="60">
        <v>1867.68</v>
      </c>
      <c r="K530" s="59"/>
      <c r="L530" s="59"/>
      <c r="M530" s="60">
        <v>152831.26</v>
      </c>
      <c r="N530" s="60">
        <v>126838.57</v>
      </c>
      <c r="O530" s="60">
        <v>25992.69</v>
      </c>
      <c r="P530" s="55">
        <v>26926.53</v>
      </c>
      <c r="Q530" s="55">
        <f>P530*2.2%</f>
        <v>592.38366000000008</v>
      </c>
      <c r="R530" s="61">
        <f t="shared" ref="R530:R593" si="217">J530/12</f>
        <v>155.64000000000001</v>
      </c>
      <c r="S530" s="60">
        <v>155.63999999999999</v>
      </c>
      <c r="T530" s="60">
        <v>155.63999999999999</v>
      </c>
      <c r="U530" s="60">
        <v>155.63999999999999</v>
      </c>
      <c r="V530" s="60">
        <v>155.63999999999999</v>
      </c>
      <c r="W530" s="60">
        <v>155.63999999999999</v>
      </c>
      <c r="X530" s="61">
        <f t="shared" ref="X530:X593" si="218">R530+S530+T530+U530+V530+W530</f>
        <v>933.83999999999992</v>
      </c>
      <c r="Y530" s="60">
        <v>155.63999999999999</v>
      </c>
      <c r="Z530" s="60">
        <v>155.63999999999999</v>
      </c>
      <c r="AA530" s="60">
        <v>155.63999999999999</v>
      </c>
      <c r="AB530" s="60">
        <v>155.63999999999999</v>
      </c>
      <c r="AC530" s="60">
        <v>155.63999999999999</v>
      </c>
      <c r="AD530" s="60">
        <v>155.63999999999999</v>
      </c>
      <c r="AE530" s="99">
        <f>Y530+Z530+AA530+AB530+AC530+AD530</f>
        <v>933.83999999999992</v>
      </c>
      <c r="AF530" s="62">
        <f t="shared" si="212"/>
        <v>152831.26</v>
      </c>
      <c r="AG530" s="62">
        <f t="shared" si="213"/>
        <v>128706.25</v>
      </c>
      <c r="AH530" s="62">
        <f t="shared" si="172"/>
        <v>24125.010000000009</v>
      </c>
      <c r="AI530" s="63">
        <v>25058.850000000002</v>
      </c>
      <c r="AJ530" s="63">
        <f t="shared" ref="AJ530" si="219">AI530*2.2%</f>
        <v>551.29470000000015</v>
      </c>
      <c r="AK530" s="62"/>
      <c r="AL530" s="60">
        <v>155.63999999999999</v>
      </c>
      <c r="AM530" s="60">
        <v>155.63999999999999</v>
      </c>
      <c r="AN530" s="60">
        <v>155.63999999999999</v>
      </c>
      <c r="AO530" s="60">
        <v>155.63999999999999</v>
      </c>
      <c r="AP530" s="60">
        <v>155.63999999999999</v>
      </c>
      <c r="AQ530" s="60">
        <v>155.63999999999999</v>
      </c>
      <c r="AR530" s="61">
        <f t="shared" ref="AR530:AR593" si="220">AL530+AM530+AN530+AO530+AP530+AQ530</f>
        <v>933.83999999999992</v>
      </c>
      <c r="AS530" s="60">
        <v>155.63999999999999</v>
      </c>
      <c r="AT530" s="60">
        <v>155.63999999999999</v>
      </c>
      <c r="AU530" s="60">
        <v>155.63999999999999</v>
      </c>
      <c r="AV530" s="60">
        <v>155.63999999999999</v>
      </c>
      <c r="AW530" s="60">
        <v>155.63999999999999</v>
      </c>
      <c r="AX530" s="60">
        <v>155.63999999999999</v>
      </c>
      <c r="AY530" s="61">
        <f t="shared" ref="AY530:AY593" si="221">AS530+AT530+AU530+AV530+AW530+AX530</f>
        <v>933.83999999999992</v>
      </c>
      <c r="AZ530" s="56">
        <f t="shared" si="207"/>
        <v>1867.6799999999998</v>
      </c>
      <c r="BA530" s="62">
        <f t="shared" si="205"/>
        <v>152831.26</v>
      </c>
      <c r="BB530" s="62">
        <f t="shared" ref="BB530:BB593" si="222">AG530+AL530+AM530+AN530+AO530+AP530+AQ530+AS530+AT530+AU530+AV530+AW530+AX530</f>
        <v>130573.93</v>
      </c>
      <c r="BC530" s="62">
        <f t="shared" si="215"/>
        <v>22257.330000000016</v>
      </c>
      <c r="BD530" s="63">
        <v>23191.170000000009</v>
      </c>
      <c r="BE530" s="57">
        <f t="shared" ref="BE530" si="223">BD530*2.2%</f>
        <v>510.20574000000028</v>
      </c>
      <c r="BF530" s="35" t="str">
        <f>VLOOKUP(A:A,'2023-2027'!A:G,1,+FALSE)</f>
        <v>Здание углеподачи  1955г.</v>
      </c>
      <c r="BG530" s="7" t="b">
        <f t="shared" si="184"/>
        <v>1</v>
      </c>
      <c r="BH530" s="35">
        <f>VLOOKUP(A:A,'2023-2027'!A:AT,43,+FALSE)</f>
        <v>595.06811111111108</v>
      </c>
    </row>
    <row r="531" spans="1:60" ht="24" hidden="1" customHeight="1" outlineLevel="1" x14ac:dyDescent="0.2">
      <c r="A531" s="81" t="s">
        <v>1304</v>
      </c>
      <c r="B531" s="59" t="s">
        <v>85</v>
      </c>
      <c r="C531" s="59" t="s">
        <v>1293</v>
      </c>
      <c r="D531" s="65" t="s">
        <v>1305</v>
      </c>
      <c r="E531" s="59" t="s">
        <v>1306</v>
      </c>
      <c r="F531" s="60">
        <v>2311236.75</v>
      </c>
      <c r="G531" s="60">
        <v>1872394.24</v>
      </c>
      <c r="H531" s="60">
        <v>438842.51</v>
      </c>
      <c r="I531" s="59"/>
      <c r="J531" s="60">
        <v>87768.48</v>
      </c>
      <c r="K531" s="59"/>
      <c r="L531" s="59"/>
      <c r="M531" s="60">
        <v>2311236.75</v>
      </c>
      <c r="N531" s="60">
        <v>1960162.72</v>
      </c>
      <c r="O531" s="60">
        <v>351074.03</v>
      </c>
      <c r="P531" s="55"/>
      <c r="Q531" s="55"/>
      <c r="R531" s="61">
        <f t="shared" si="217"/>
        <v>7314.04</v>
      </c>
      <c r="S531" s="60">
        <v>7314.04</v>
      </c>
      <c r="T531" s="60">
        <v>7314.04</v>
      </c>
      <c r="U531" s="60">
        <v>7314.04</v>
      </c>
      <c r="V531" s="60">
        <v>7314.04</v>
      </c>
      <c r="W531" s="60">
        <v>7314.04</v>
      </c>
      <c r="X531" s="61">
        <f t="shared" si="218"/>
        <v>43884.24</v>
      </c>
      <c r="Y531" s="60">
        <v>7314.04</v>
      </c>
      <c r="Z531" s="60">
        <v>7314.04</v>
      </c>
      <c r="AA531" s="60">
        <v>7314.04</v>
      </c>
      <c r="AB531" s="60">
        <v>7314.04</v>
      </c>
      <c r="AC531" s="60">
        <v>7314.04</v>
      </c>
      <c r="AD531" s="60">
        <v>7314.04</v>
      </c>
      <c r="AE531" s="61">
        <f t="shared" ref="AE531:AE593" si="224">Y531+Z531+AA531+AB531+AC531+AD531</f>
        <v>43884.24</v>
      </c>
      <c r="AF531" s="62">
        <f t="shared" si="212"/>
        <v>2311236.75</v>
      </c>
      <c r="AG531" s="62">
        <f t="shared" si="213"/>
        <v>2047931.2000000004</v>
      </c>
      <c r="AH531" s="62">
        <f t="shared" ref="AH531:AH594" si="225">AF531-AG531</f>
        <v>263305.54999999958</v>
      </c>
      <c r="AI531" s="63"/>
      <c r="AJ531" s="63"/>
      <c r="AK531" s="62"/>
      <c r="AL531" s="60">
        <v>7314.04</v>
      </c>
      <c r="AM531" s="60">
        <v>7314.04</v>
      </c>
      <c r="AN531" s="60">
        <v>7314.04</v>
      </c>
      <c r="AO531" s="60">
        <v>7314.04</v>
      </c>
      <c r="AP531" s="60">
        <v>7314.04</v>
      </c>
      <c r="AQ531" s="60">
        <v>7314.04</v>
      </c>
      <c r="AR531" s="61">
        <f t="shared" si="220"/>
        <v>43884.24</v>
      </c>
      <c r="AS531" s="60">
        <v>7314.04</v>
      </c>
      <c r="AT531" s="60">
        <v>7314.04</v>
      </c>
      <c r="AU531" s="60">
        <v>7314.04</v>
      </c>
      <c r="AV531" s="60">
        <v>7314.04</v>
      </c>
      <c r="AW531" s="60">
        <v>7314.04</v>
      </c>
      <c r="AX531" s="60">
        <v>7314.04</v>
      </c>
      <c r="AY531" s="61">
        <f t="shared" si="221"/>
        <v>43884.24</v>
      </c>
      <c r="AZ531" s="56">
        <f t="shared" si="207"/>
        <v>87768.48</v>
      </c>
      <c r="BA531" s="62">
        <f t="shared" si="205"/>
        <v>2311236.75</v>
      </c>
      <c r="BB531" s="62">
        <f t="shared" si="222"/>
        <v>2135699.6800000006</v>
      </c>
      <c r="BC531" s="62">
        <f t="shared" si="215"/>
        <v>175537.06999999937</v>
      </c>
      <c r="BD531" s="63"/>
      <c r="BE531" s="57"/>
      <c r="BF531" s="35" t="e">
        <f>VLOOKUP(A:A,'2023-2027'!A:G,1,+FALSE)</f>
        <v>#N/A</v>
      </c>
      <c r="BG531" s="7" t="e">
        <f t="shared" si="184"/>
        <v>#N/A</v>
      </c>
      <c r="BH531" s="35"/>
    </row>
    <row r="532" spans="1:60" ht="12" hidden="1" customHeight="1" outlineLevel="1" x14ac:dyDescent="0.2">
      <c r="A532" s="81" t="s">
        <v>1307</v>
      </c>
      <c r="B532" s="59" t="s">
        <v>85</v>
      </c>
      <c r="C532" s="59" t="s">
        <v>1293</v>
      </c>
      <c r="D532" s="66" t="s">
        <v>1308</v>
      </c>
      <c r="E532" s="59" t="s">
        <v>1309</v>
      </c>
      <c r="F532" s="60">
        <v>134167</v>
      </c>
      <c r="G532" s="60">
        <v>131702.5</v>
      </c>
      <c r="H532" s="60">
        <v>2464.5</v>
      </c>
      <c r="I532" s="59"/>
      <c r="J532" s="60">
        <v>2274.9299999999998</v>
      </c>
      <c r="K532" s="59"/>
      <c r="L532" s="59"/>
      <c r="M532" s="60">
        <v>134167</v>
      </c>
      <c r="N532" s="60">
        <v>133977.43</v>
      </c>
      <c r="O532" s="68">
        <v>189.57</v>
      </c>
      <c r="P532" s="82">
        <v>1327.03</v>
      </c>
      <c r="Q532" s="55">
        <f>P532*2.2%</f>
        <v>29.194660000000002</v>
      </c>
      <c r="R532" s="61">
        <v>189.57</v>
      </c>
      <c r="S532" s="60"/>
      <c r="T532" s="60"/>
      <c r="U532" s="60"/>
      <c r="V532" s="60"/>
      <c r="W532" s="60"/>
      <c r="X532" s="61">
        <f t="shared" si="218"/>
        <v>189.57</v>
      </c>
      <c r="Y532" s="60"/>
      <c r="Z532" s="60"/>
      <c r="AA532" s="60"/>
      <c r="AB532" s="60"/>
      <c r="AC532" s="60"/>
      <c r="AD532" s="60"/>
      <c r="AE532" s="61">
        <f t="shared" si="224"/>
        <v>0</v>
      </c>
      <c r="AF532" s="62">
        <f t="shared" si="212"/>
        <v>134167</v>
      </c>
      <c r="AG532" s="62">
        <f t="shared" si="213"/>
        <v>134167</v>
      </c>
      <c r="AH532" s="62">
        <f t="shared" si="225"/>
        <v>0</v>
      </c>
      <c r="AI532" s="63">
        <v>189.57</v>
      </c>
      <c r="AJ532" s="63">
        <f t="shared" ref="AJ532" si="226">AI532*2.2%</f>
        <v>4.1705399999999999</v>
      </c>
      <c r="AK532" s="62"/>
      <c r="AL532" s="60"/>
      <c r="AM532" s="60"/>
      <c r="AN532" s="60"/>
      <c r="AO532" s="60"/>
      <c r="AP532" s="60"/>
      <c r="AQ532" s="60"/>
      <c r="AR532" s="61">
        <f t="shared" si="220"/>
        <v>0</v>
      </c>
      <c r="AS532" s="60"/>
      <c r="AT532" s="60"/>
      <c r="AU532" s="60"/>
      <c r="AV532" s="60"/>
      <c r="AW532" s="60"/>
      <c r="AX532" s="60"/>
      <c r="AY532" s="61">
        <f t="shared" si="221"/>
        <v>0</v>
      </c>
      <c r="AZ532" s="56">
        <f t="shared" si="207"/>
        <v>0</v>
      </c>
      <c r="BA532" s="62">
        <f t="shared" si="205"/>
        <v>134167</v>
      </c>
      <c r="BB532" s="62">
        <f t="shared" si="222"/>
        <v>134167</v>
      </c>
      <c r="BC532" s="62">
        <f t="shared" si="215"/>
        <v>0</v>
      </c>
      <c r="BD532" s="63">
        <v>0</v>
      </c>
      <c r="BE532" s="57">
        <f t="shared" ref="BE532" si="227">BD532*2.2%</f>
        <v>0</v>
      </c>
      <c r="BF532" s="35" t="str">
        <f>VLOOKUP(A:A,'2023-2027'!A:G,1,+FALSE)</f>
        <v>Котельная  1964г.</v>
      </c>
      <c r="BG532" s="7" t="b">
        <f t="shared" si="184"/>
        <v>1</v>
      </c>
      <c r="BH532" s="35">
        <f>VLOOKUP(A:A,'2023-2027'!A:AT,43,+FALSE)</f>
        <v>189.5</v>
      </c>
    </row>
    <row r="533" spans="1:60" ht="24" hidden="1" customHeight="1" outlineLevel="1" x14ac:dyDescent="0.2">
      <c r="A533" s="81" t="s">
        <v>1310</v>
      </c>
      <c r="B533" s="59" t="s">
        <v>85</v>
      </c>
      <c r="C533" s="59" t="s">
        <v>1293</v>
      </c>
      <c r="D533" s="65" t="s">
        <v>1311</v>
      </c>
      <c r="E533" s="59" t="s">
        <v>237</v>
      </c>
      <c r="F533" s="60">
        <v>66101.69</v>
      </c>
      <c r="G533" s="60">
        <v>50847.6</v>
      </c>
      <c r="H533" s="60">
        <v>15254.09</v>
      </c>
      <c r="I533" s="59"/>
      <c r="J533" s="60">
        <v>5084.6899999999996</v>
      </c>
      <c r="K533" s="59"/>
      <c r="L533" s="59"/>
      <c r="M533" s="60">
        <v>66101.69</v>
      </c>
      <c r="N533" s="60">
        <v>55932.29</v>
      </c>
      <c r="O533" s="60">
        <v>10169.4</v>
      </c>
      <c r="P533" s="55"/>
      <c r="Q533" s="55"/>
      <c r="R533" s="61">
        <f>J533/12</f>
        <v>423.72416666666663</v>
      </c>
      <c r="S533" s="60">
        <v>423.72416670000001</v>
      </c>
      <c r="T533" s="60">
        <v>423.72416670000001</v>
      </c>
      <c r="U533" s="60">
        <v>423.72416670000001</v>
      </c>
      <c r="V533" s="60">
        <v>423.72416670000001</v>
      </c>
      <c r="W533" s="60">
        <v>423.72416670000001</v>
      </c>
      <c r="X533" s="61">
        <f>R533+S533+T533+U533+V533+W533</f>
        <v>2542.3450001666665</v>
      </c>
      <c r="Y533" s="60">
        <v>423.72416670000001</v>
      </c>
      <c r="Z533" s="60">
        <v>423.72416670000001</v>
      </c>
      <c r="AA533" s="60">
        <v>423.72416670000001</v>
      </c>
      <c r="AB533" s="60">
        <v>423.72416670000001</v>
      </c>
      <c r="AC533" s="60">
        <v>423.72416670000001</v>
      </c>
      <c r="AD533" s="60">
        <v>423.72416670000001</v>
      </c>
      <c r="AE533" s="61">
        <f>Y533+Z533+AA533+AB533+AC533+AD533</f>
        <v>2542.3450002</v>
      </c>
      <c r="AF533" s="62">
        <f>M533</f>
        <v>66101.69</v>
      </c>
      <c r="AG533" s="62">
        <f>N533+R533+S533+T533+U533+V533+W533+Y533+Z533+AA533+AB533+AC533+AD533</f>
        <v>61016.980000366646</v>
      </c>
      <c r="AH533" s="62">
        <f>AF533-AG533</f>
        <v>5084.7099996333563</v>
      </c>
      <c r="AI533" s="63"/>
      <c r="AJ533" s="63"/>
      <c r="AK533" s="62"/>
      <c r="AL533" s="60">
        <v>423.72416670000001</v>
      </c>
      <c r="AM533" s="60">
        <v>423.72416670000001</v>
      </c>
      <c r="AN533" s="60">
        <v>423.72416670000001</v>
      </c>
      <c r="AO533" s="60">
        <v>423.72416670000001</v>
      </c>
      <c r="AP533" s="60">
        <v>423.72416670000001</v>
      </c>
      <c r="AQ533" s="60">
        <v>423.72416670000001</v>
      </c>
      <c r="AR533" s="61">
        <f>AL533+AM533+AN533+AO533+AP533+AQ533</f>
        <v>2542.3450002</v>
      </c>
      <c r="AS533" s="60">
        <v>423.72416670000001</v>
      </c>
      <c r="AT533" s="60">
        <v>423.72416670000001</v>
      </c>
      <c r="AU533" s="60">
        <v>423.72416670000001</v>
      </c>
      <c r="AV533" s="60">
        <v>423.72416670000001</v>
      </c>
      <c r="AW533" s="60">
        <v>423.72416670000001</v>
      </c>
      <c r="AX533" s="60">
        <v>423.72416670000001</v>
      </c>
      <c r="AY533" s="61">
        <f>AS533+AT533+AU533+AV533+AW533+AX533</f>
        <v>2542.3450002</v>
      </c>
      <c r="AZ533" s="56">
        <f t="shared" si="207"/>
        <v>5084.6900003999999</v>
      </c>
      <c r="BA533" s="62">
        <f>AF533</f>
        <v>66101.69</v>
      </c>
      <c r="BB533" s="62">
        <f>AG533+AL533+AM533+AN533+AO533+AP533+AQ533+AS533+AT533+AU533+AV533+AW533+AX533</f>
        <v>66101.670000766637</v>
      </c>
      <c r="BC533" s="62">
        <f>BA533-BB533</f>
        <v>1.999923336552456E-2</v>
      </c>
      <c r="BD533" s="63"/>
      <c r="BE533" s="57"/>
      <c r="BF533" s="35" t="e">
        <f>VLOOKUP(A:A,'2023-2027'!A:G,1,+FALSE)</f>
        <v>#N/A</v>
      </c>
      <c r="BG533" s="7" t="e">
        <f t="shared" si="184"/>
        <v>#N/A</v>
      </c>
      <c r="BH533" s="35"/>
    </row>
    <row r="534" spans="1:60" ht="12" hidden="1" customHeight="1" outlineLevel="1" x14ac:dyDescent="0.2">
      <c r="A534" s="81" t="s">
        <v>1312</v>
      </c>
      <c r="B534" s="59" t="s">
        <v>85</v>
      </c>
      <c r="C534" s="59" t="s">
        <v>1293</v>
      </c>
      <c r="D534" s="65" t="s">
        <v>1313</v>
      </c>
      <c r="E534" s="59" t="s">
        <v>288</v>
      </c>
      <c r="F534" s="60">
        <v>1169995.2</v>
      </c>
      <c r="G534" s="60">
        <v>917479.16</v>
      </c>
      <c r="H534" s="60">
        <v>252516.04</v>
      </c>
      <c r="I534" s="59"/>
      <c r="J534" s="60">
        <v>50503.199999999997</v>
      </c>
      <c r="K534" s="59"/>
      <c r="L534" s="59"/>
      <c r="M534" s="60">
        <v>1169995.2</v>
      </c>
      <c r="N534" s="60">
        <v>967982.36</v>
      </c>
      <c r="O534" s="60">
        <v>202012.84</v>
      </c>
      <c r="P534" s="55">
        <v>227264.44</v>
      </c>
      <c r="Q534" s="55">
        <f t="shared" ref="Q534:Q536" si="228">P534*2.2%</f>
        <v>4999.8176800000001</v>
      </c>
      <c r="R534" s="61">
        <f t="shared" si="217"/>
        <v>4208.5999999999995</v>
      </c>
      <c r="S534" s="60">
        <v>4208.6000000000004</v>
      </c>
      <c r="T534" s="60">
        <v>4208.6000000000004</v>
      </c>
      <c r="U534" s="60">
        <v>4208.6000000000004</v>
      </c>
      <c r="V534" s="60">
        <v>4208.6000000000004</v>
      </c>
      <c r="W534" s="60">
        <v>4208.6000000000004</v>
      </c>
      <c r="X534" s="61">
        <f t="shared" si="218"/>
        <v>25251.599999999999</v>
      </c>
      <c r="Y534" s="60">
        <v>4208.6000000000004</v>
      </c>
      <c r="Z534" s="60">
        <v>4208.6000000000004</v>
      </c>
      <c r="AA534" s="60">
        <v>4208.6000000000004</v>
      </c>
      <c r="AB534" s="60">
        <v>4208.6000000000004</v>
      </c>
      <c r="AC534" s="60">
        <v>4208.6000000000004</v>
      </c>
      <c r="AD534" s="60">
        <v>4208.6000000000004</v>
      </c>
      <c r="AE534" s="61">
        <f t="shared" si="224"/>
        <v>25251.599999999999</v>
      </c>
      <c r="AF534" s="62">
        <f t="shared" si="212"/>
        <v>1169995.2</v>
      </c>
      <c r="AG534" s="62">
        <f t="shared" si="213"/>
        <v>1018485.5599999997</v>
      </c>
      <c r="AH534" s="62">
        <f t="shared" si="225"/>
        <v>151509.64000000025</v>
      </c>
      <c r="AI534" s="63">
        <v>176761.23999999996</v>
      </c>
      <c r="AJ534" s="63">
        <f t="shared" ref="AJ534:AJ536" si="229">AI534*2.2%</f>
        <v>3888.7472799999996</v>
      </c>
      <c r="AK534" s="62"/>
      <c r="AL534" s="60">
        <v>4208.6000000000004</v>
      </c>
      <c r="AM534" s="60">
        <v>4208.6000000000004</v>
      </c>
      <c r="AN534" s="60">
        <v>4208.6000000000004</v>
      </c>
      <c r="AO534" s="60">
        <v>4208.6000000000004</v>
      </c>
      <c r="AP534" s="60">
        <v>4208.6000000000004</v>
      </c>
      <c r="AQ534" s="60">
        <v>4208.6000000000004</v>
      </c>
      <c r="AR534" s="61">
        <f t="shared" si="220"/>
        <v>25251.599999999999</v>
      </c>
      <c r="AS534" s="60">
        <v>4208.6000000000004</v>
      </c>
      <c r="AT534" s="60">
        <v>4208.6000000000004</v>
      </c>
      <c r="AU534" s="60">
        <v>4208.6000000000004</v>
      </c>
      <c r="AV534" s="60">
        <v>4208.6000000000004</v>
      </c>
      <c r="AW534" s="60">
        <v>4208.6000000000004</v>
      </c>
      <c r="AX534" s="60">
        <v>4208.6000000000004</v>
      </c>
      <c r="AY534" s="61">
        <f t="shared" si="221"/>
        <v>25251.599999999999</v>
      </c>
      <c r="AZ534" s="56">
        <f t="shared" si="207"/>
        <v>50503.199999999997</v>
      </c>
      <c r="BA534" s="62">
        <f t="shared" si="205"/>
        <v>1169995.2</v>
      </c>
      <c r="BB534" s="62">
        <f t="shared" si="222"/>
        <v>1068988.76</v>
      </c>
      <c r="BC534" s="62">
        <f t="shared" si="215"/>
        <v>101006.43999999994</v>
      </c>
      <c r="BD534" s="63">
        <v>126258.03999999989</v>
      </c>
      <c r="BE534" s="57">
        <f t="shared" ref="BE534:BE536" si="230">BD534*2.2%</f>
        <v>2777.6768799999977</v>
      </c>
      <c r="BF534" s="35" t="e">
        <f>VLOOKUP(A:A,'2023-2027'!A:G,1,+FALSE)</f>
        <v>#N/A</v>
      </c>
      <c r="BG534" s="7" t="e">
        <f t="shared" ref="BG534:BG597" si="231">OR(EXACT(BF534,$A$4:$A$1071))</f>
        <v>#N/A</v>
      </c>
      <c r="BH534" s="35"/>
    </row>
    <row r="535" spans="1:60" ht="24" hidden="1" customHeight="1" outlineLevel="1" x14ac:dyDescent="0.2">
      <c r="A535" s="81" t="s">
        <v>1314</v>
      </c>
      <c r="B535" s="59" t="s">
        <v>85</v>
      </c>
      <c r="C535" s="59" t="s">
        <v>1293</v>
      </c>
      <c r="D535" s="65" t="s">
        <v>1315</v>
      </c>
      <c r="E535" s="59" t="s">
        <v>1235</v>
      </c>
      <c r="F535" s="60">
        <v>48152</v>
      </c>
      <c r="G535" s="60">
        <v>36664.589999999997</v>
      </c>
      <c r="H535" s="60">
        <v>11487.41</v>
      </c>
      <c r="I535" s="59"/>
      <c r="J535" s="60">
        <v>1148.76</v>
      </c>
      <c r="K535" s="59"/>
      <c r="L535" s="59"/>
      <c r="M535" s="60">
        <v>48152</v>
      </c>
      <c r="N535" s="60">
        <v>37813.35</v>
      </c>
      <c r="O535" s="60">
        <v>10338.65</v>
      </c>
      <c r="P535" s="55">
        <v>10913.03</v>
      </c>
      <c r="Q535" s="55">
        <f t="shared" si="228"/>
        <v>240.08666000000005</v>
      </c>
      <c r="R535" s="61">
        <f t="shared" si="217"/>
        <v>95.73</v>
      </c>
      <c r="S535" s="60">
        <v>95.73</v>
      </c>
      <c r="T535" s="60">
        <v>95.73</v>
      </c>
      <c r="U535" s="60">
        <v>95.73</v>
      </c>
      <c r="V535" s="60">
        <v>95.73</v>
      </c>
      <c r="W535" s="60">
        <v>95.73</v>
      </c>
      <c r="X535" s="61">
        <f t="shared" si="218"/>
        <v>574.38</v>
      </c>
      <c r="Y535" s="60">
        <v>95.73</v>
      </c>
      <c r="Z535" s="60">
        <v>95.73</v>
      </c>
      <c r="AA535" s="60">
        <v>95.73</v>
      </c>
      <c r="AB535" s="60">
        <v>95.73</v>
      </c>
      <c r="AC535" s="60">
        <v>95.73</v>
      </c>
      <c r="AD535" s="60">
        <v>95.73</v>
      </c>
      <c r="AE535" s="61">
        <f t="shared" si="224"/>
        <v>574.38</v>
      </c>
      <c r="AF535" s="62">
        <f t="shared" si="212"/>
        <v>48152</v>
      </c>
      <c r="AG535" s="62">
        <f t="shared" si="213"/>
        <v>38962.110000000037</v>
      </c>
      <c r="AH535" s="62">
        <f t="shared" si="225"/>
        <v>9189.889999999963</v>
      </c>
      <c r="AI535" s="63">
        <v>9764.2700000000023</v>
      </c>
      <c r="AJ535" s="63">
        <f t="shared" si="229"/>
        <v>214.81394000000006</v>
      </c>
      <c r="AK535" s="62"/>
      <c r="AL535" s="60">
        <v>95.73</v>
      </c>
      <c r="AM535" s="60">
        <v>95.73</v>
      </c>
      <c r="AN535" s="60">
        <v>95.73</v>
      </c>
      <c r="AO535" s="60">
        <v>95.73</v>
      </c>
      <c r="AP535" s="60">
        <v>95.73</v>
      </c>
      <c r="AQ535" s="60">
        <v>95.73</v>
      </c>
      <c r="AR535" s="61">
        <f t="shared" si="220"/>
        <v>574.38</v>
      </c>
      <c r="AS535" s="60">
        <v>95.73</v>
      </c>
      <c r="AT535" s="60">
        <v>95.73</v>
      </c>
      <c r="AU535" s="60">
        <v>95.73</v>
      </c>
      <c r="AV535" s="60">
        <v>95.73</v>
      </c>
      <c r="AW535" s="60">
        <v>95.73</v>
      </c>
      <c r="AX535" s="60">
        <v>95.73</v>
      </c>
      <c r="AY535" s="61">
        <f t="shared" si="221"/>
        <v>574.38</v>
      </c>
      <c r="AZ535" s="56">
        <f t="shared" si="207"/>
        <v>1148.76</v>
      </c>
      <c r="BA535" s="62">
        <f t="shared" si="205"/>
        <v>48152</v>
      </c>
      <c r="BB535" s="62">
        <f t="shared" si="222"/>
        <v>40110.870000000075</v>
      </c>
      <c r="BC535" s="62">
        <f t="shared" si="215"/>
        <v>8041.1299999999246</v>
      </c>
      <c r="BD535" s="63">
        <v>8615.5100000000075</v>
      </c>
      <c r="BE535" s="57">
        <f t="shared" si="230"/>
        <v>189.54122000000018</v>
      </c>
      <c r="BF535" s="35" t="e">
        <f>VLOOKUP(A:A,'2023-2027'!A:G,1,+FALSE)</f>
        <v>#N/A</v>
      </c>
      <c r="BG535" s="7" t="e">
        <f t="shared" si="231"/>
        <v>#N/A</v>
      </c>
      <c r="BH535" s="35"/>
    </row>
    <row r="536" spans="1:60" ht="24" hidden="1" customHeight="1" outlineLevel="1" x14ac:dyDescent="0.2">
      <c r="A536" s="81" t="s">
        <v>1316</v>
      </c>
      <c r="B536" s="59" t="s">
        <v>85</v>
      </c>
      <c r="C536" s="59" t="s">
        <v>1293</v>
      </c>
      <c r="D536" s="66" t="s">
        <v>1317</v>
      </c>
      <c r="E536" s="59" t="s">
        <v>547</v>
      </c>
      <c r="F536" s="60">
        <v>996691.42</v>
      </c>
      <c r="G536" s="60">
        <v>132892.07999999999</v>
      </c>
      <c r="H536" s="60">
        <v>863799.34</v>
      </c>
      <c r="I536" s="59"/>
      <c r="J536" s="60">
        <v>66446.14</v>
      </c>
      <c r="K536" s="59"/>
      <c r="L536" s="59"/>
      <c r="M536" s="60">
        <v>996691.42</v>
      </c>
      <c r="N536" s="60">
        <v>199338.22</v>
      </c>
      <c r="O536" s="60">
        <v>797353.2</v>
      </c>
      <c r="P536" s="55">
        <v>830576.26</v>
      </c>
      <c r="Q536" s="55">
        <f t="shared" si="228"/>
        <v>18272.677720000003</v>
      </c>
      <c r="R536" s="61">
        <f>J536/12</f>
        <v>5537.1783333333333</v>
      </c>
      <c r="S536" s="60">
        <v>5537.1783329999998</v>
      </c>
      <c r="T536" s="60">
        <v>5537.1783329999998</v>
      </c>
      <c r="U536" s="60">
        <v>5537.1783329999998</v>
      </c>
      <c r="V536" s="60">
        <v>5537.1783329999998</v>
      </c>
      <c r="W536" s="60">
        <v>5537.1783329999998</v>
      </c>
      <c r="X536" s="61">
        <f>R536+S536+T536+U536+V536+W536</f>
        <v>33223.069998333332</v>
      </c>
      <c r="Y536" s="60">
        <v>5537.1783329999998</v>
      </c>
      <c r="Z536" s="60">
        <v>5537.1783329999998</v>
      </c>
      <c r="AA536" s="60">
        <v>5537.1783329999998</v>
      </c>
      <c r="AB536" s="60">
        <v>5537.1783329999998</v>
      </c>
      <c r="AC536" s="60">
        <v>5537.1783329999998</v>
      </c>
      <c r="AD536" s="60">
        <v>5537.1783329999998</v>
      </c>
      <c r="AE536" s="61">
        <f>Y536+Z536+AA536+AB536+AC536+AD536</f>
        <v>33223.069997999999</v>
      </c>
      <c r="AF536" s="62">
        <f>M536</f>
        <v>996691.42</v>
      </c>
      <c r="AG536" s="62">
        <f>N536+R536+S536+T536+U536+V536+W536+Y536+Z536+AA536+AB536+AC536+AD536</f>
        <v>265784.35999633325</v>
      </c>
      <c r="AH536" s="62">
        <f>AF536-AG536</f>
        <v>730907.06000366679</v>
      </c>
      <c r="AI536" s="63">
        <v>764130.12000000034</v>
      </c>
      <c r="AJ536" s="63">
        <f t="shared" si="229"/>
        <v>16810.86264000001</v>
      </c>
      <c r="AK536" s="62"/>
      <c r="AL536" s="60">
        <v>5537.1783329999998</v>
      </c>
      <c r="AM536" s="60">
        <v>5537.1783329999998</v>
      </c>
      <c r="AN536" s="60">
        <v>5537.1783329999998</v>
      </c>
      <c r="AO536" s="60">
        <v>5537.1783329999998</v>
      </c>
      <c r="AP536" s="60">
        <v>5537.1783329999998</v>
      </c>
      <c r="AQ536" s="60">
        <v>5537.1783329999998</v>
      </c>
      <c r="AR536" s="61">
        <f>AL536+AM536+AN536+AO536+AP536+AQ536</f>
        <v>33223.069997999999</v>
      </c>
      <c r="AS536" s="60">
        <v>5537.1783329999998</v>
      </c>
      <c r="AT536" s="60">
        <v>5537.1783329999998</v>
      </c>
      <c r="AU536" s="60">
        <v>5537.1783329999998</v>
      </c>
      <c r="AV536" s="60">
        <v>5537.1783329999998</v>
      </c>
      <c r="AW536" s="60">
        <v>5537.1783329999998</v>
      </c>
      <c r="AX536" s="60">
        <v>5537.1783329999998</v>
      </c>
      <c r="AY536" s="61">
        <f>AS536+AT536+AU536+AV536+AW536+AX536</f>
        <v>33223.069997999999</v>
      </c>
      <c r="AZ536" s="56">
        <f t="shared" si="207"/>
        <v>66446.139995999998</v>
      </c>
      <c r="BA536" s="62">
        <f>AF536</f>
        <v>996691.42</v>
      </c>
      <c r="BB536" s="62">
        <f>AG536+AL536+AM536+AN536+AO536+AP536+AQ536+AS536+AT536+AU536+AV536+AW536+AX536</f>
        <v>332230.49999233312</v>
      </c>
      <c r="BC536" s="62">
        <f>BA536-BB536</f>
        <v>664460.92000766692</v>
      </c>
      <c r="BD536" s="63">
        <v>697683.96000000101</v>
      </c>
      <c r="BE536" s="57">
        <f t="shared" si="230"/>
        <v>15349.047120000023</v>
      </c>
      <c r="BF536" s="35" t="str">
        <f>VLOOKUP(A:A,'2023-2027'!A:G,1,+FALSE)</f>
        <v>Тепловые сети объекта "Ангар для складских помещений"</v>
      </c>
      <c r="BG536" s="7" t="b">
        <f t="shared" si="231"/>
        <v>1</v>
      </c>
      <c r="BH536" s="35">
        <f>VLOOKUP(A:A,'2023-2027'!A:AT,43,+FALSE)</f>
        <v>5537.1783329999998</v>
      </c>
    </row>
    <row r="537" spans="1:60" ht="24" hidden="1" customHeight="1" outlineLevel="1" x14ac:dyDescent="0.2">
      <c r="A537" s="81" t="s">
        <v>1284</v>
      </c>
      <c r="B537" s="59" t="s">
        <v>85</v>
      </c>
      <c r="C537" s="59" t="s">
        <v>1293</v>
      </c>
      <c r="D537" s="66" t="s">
        <v>1318</v>
      </c>
      <c r="E537" s="59" t="s">
        <v>1319</v>
      </c>
      <c r="F537" s="60">
        <v>58683.33</v>
      </c>
      <c r="G537" s="60">
        <v>14670.9</v>
      </c>
      <c r="H537" s="60">
        <v>44012.43</v>
      </c>
      <c r="I537" s="59"/>
      <c r="J537" s="60">
        <v>5868.36</v>
      </c>
      <c r="K537" s="59"/>
      <c r="L537" s="59"/>
      <c r="M537" s="60">
        <v>58683.33</v>
      </c>
      <c r="N537" s="60">
        <v>20539.259999999998</v>
      </c>
      <c r="O537" s="60">
        <v>38144.07</v>
      </c>
      <c r="P537" s="55"/>
      <c r="Q537" s="55"/>
      <c r="R537" s="61">
        <f>J537/12</f>
        <v>489.03</v>
      </c>
      <c r="S537" s="60">
        <v>489.03</v>
      </c>
      <c r="T537" s="60">
        <v>489.03</v>
      </c>
      <c r="U537" s="60">
        <v>489.03</v>
      </c>
      <c r="V537" s="60">
        <v>489.03</v>
      </c>
      <c r="W537" s="60">
        <v>489.03</v>
      </c>
      <c r="X537" s="61">
        <f>R537+S537+T537+U537+V537+W537</f>
        <v>2934.1799999999994</v>
      </c>
      <c r="Y537" s="60">
        <v>489.03</v>
      </c>
      <c r="Z537" s="60">
        <v>489.03</v>
      </c>
      <c r="AA537" s="60">
        <v>489.03</v>
      </c>
      <c r="AB537" s="60">
        <v>489.03</v>
      </c>
      <c r="AC537" s="60">
        <v>489.03</v>
      </c>
      <c r="AD537" s="60">
        <v>489.03</v>
      </c>
      <c r="AE537" s="61">
        <f>Y537+Z537+AA537+AB537+AC537+AD537</f>
        <v>2934.1799999999994</v>
      </c>
      <c r="AF537" s="62">
        <f>M537</f>
        <v>58683.33</v>
      </c>
      <c r="AG537" s="62">
        <f>N537+R537+S537+T537+U537+V537+W537+Y537+Z537+AA537+AB537+AC537+AD537</f>
        <v>26407.619999999984</v>
      </c>
      <c r="AH537" s="62">
        <f>AF537-AG537</f>
        <v>32275.710000000017</v>
      </c>
      <c r="AI537" s="63"/>
      <c r="AJ537" s="63"/>
      <c r="AK537" s="62"/>
      <c r="AL537" s="60">
        <v>489.03</v>
      </c>
      <c r="AM537" s="60">
        <v>489.03</v>
      </c>
      <c r="AN537" s="60">
        <v>489.03</v>
      </c>
      <c r="AO537" s="60">
        <v>489.03</v>
      </c>
      <c r="AP537" s="60">
        <v>489.03</v>
      </c>
      <c r="AQ537" s="60">
        <v>489.03</v>
      </c>
      <c r="AR537" s="61">
        <f>AL537+AM537+AN537+AO537+AP537+AQ537</f>
        <v>2934.1799999999994</v>
      </c>
      <c r="AS537" s="60">
        <v>489.03</v>
      </c>
      <c r="AT537" s="60">
        <v>489.03</v>
      </c>
      <c r="AU537" s="60">
        <v>489.03</v>
      </c>
      <c r="AV537" s="60">
        <v>489.03</v>
      </c>
      <c r="AW537" s="60">
        <v>489.03</v>
      </c>
      <c r="AX537" s="60">
        <v>489.03</v>
      </c>
      <c r="AY537" s="61">
        <f>AS537+AT537+AU537+AV537+AW537+AX537</f>
        <v>2934.1799999999994</v>
      </c>
      <c r="AZ537" s="56">
        <f t="shared" si="207"/>
        <v>5868.3599999999988</v>
      </c>
      <c r="BA537" s="62">
        <f>AF537</f>
        <v>58683.33</v>
      </c>
      <c r="BB537" s="62">
        <f>AG537+AL537+AM537+AN537+AO537+AP537+AQ537+AS537+AT537+AU537+AV537+AW537+AX537</f>
        <v>32275.97999999997</v>
      </c>
      <c r="BC537" s="62">
        <f>BA537-BB537</f>
        <v>26407.350000000031</v>
      </c>
      <c r="BD537" s="63"/>
      <c r="BE537" s="57"/>
      <c r="BF537" s="35" t="str">
        <f>VLOOKUP(A:A,'2023-2027'!A:G,1,+FALSE)</f>
        <v>Электронасос типа КМ 100-80-160-5 15кВт</v>
      </c>
      <c r="BG537" s="7" t="b">
        <f t="shared" si="231"/>
        <v>1</v>
      </c>
      <c r="BH537" s="35">
        <f>VLOOKUP(A:A,'2023-2027'!A:AT,43,+FALSE)</f>
        <v>678.82</v>
      </c>
    </row>
    <row r="538" spans="1:60" s="58" customFormat="1" ht="13.15" hidden="1" customHeight="1" x14ac:dyDescent="0.2">
      <c r="A538" s="323" t="s">
        <v>44</v>
      </c>
      <c r="B538" s="323"/>
      <c r="C538" s="323"/>
      <c r="D538" s="323"/>
      <c r="E538" s="323"/>
      <c r="F538" s="53">
        <f>SUM(F539:F789)</f>
        <v>548252405.08999979</v>
      </c>
      <c r="G538" s="53">
        <v>232186901.22999999</v>
      </c>
      <c r="H538" s="53">
        <v>485791580.23000002</v>
      </c>
      <c r="I538" s="53">
        <v>37494748.450000003</v>
      </c>
      <c r="J538" s="53">
        <v>30370172.539999999</v>
      </c>
      <c r="K538" s="53">
        <v>1987002.52</v>
      </c>
      <c r="L538" s="53">
        <v>1814380.88</v>
      </c>
      <c r="M538" s="53">
        <v>753486227.38999999</v>
      </c>
      <c r="N538" s="53">
        <v>260742692.88999999</v>
      </c>
      <c r="O538" s="53">
        <v>492743534.5</v>
      </c>
      <c r="P538" s="63">
        <v>431010190.74000025</v>
      </c>
      <c r="Q538" s="63">
        <f>Q540+Q541+Q543+Q544+Q554+Q555+Q556+Q557+Q558+Q559+Q560+Q561+Q562+Q563+Q564+Q565+Q566+Q570+Q571+Q572+Q573+Q574+Q575+Q576+Q577+Q578+Q579+Q580+Q581+Q582+Q583+Q584+Q585+Q586+Q587+Q588+Q589+Q590+Q591+Q592+Q593+Q594+Q595+Q596+Q597+Q598+Q599+Q600+Q601+Q602+Q603+Q604+Q605+Q606+Q607+Q608+Q609+Q610+Q611+Q612+Q613+Q614+Q615+Q616+Q617+Q618+Q619+Q620+Q621+Q626+Q628+Q630+Q632+Q633+Q634+Q635+Q636+Q637+Q638+Q639+Q640+Q641+Q642+Q643+Q644+Q645+Q646+Q647+Q648+Q649+Q650+Q651+Q652+Q653+Q654+Q688+Q689+Q690+Q691+Q692+Q693+Q694+Q695+Q696+Q697+Q698+Q699+Q700+Q701+Q702+Q703+Q704+Q705+Q706+Q707+Q708+Q709+Q710+Q711+Q712+Q713+Q714+Q715+Q716+Q717+Q718+Q720+Q721+Q723+Q724+Q725+Q726+Q727+Q735+Q737+Q738+Q739+Q740+Q741+Q742+Q743+Q744+Q745+Q746+Q747+Q748+Q749+Q750+Q751+Q752+Q753+Q754+Q755+Q758+Q759+Q812+Q813+Q814+Q815+Q819+Q820+Q824+Q825+Q826+Q827+Q828+Q829+Q831+Q833+Q834+Q835+Q843+Q844+Q845+Q846+Q847+Q848+Q849+Q850+Q851+Q852+Q853+Q854+Q855+Q856+Q857+Q858+Q859+Q860+Q861+Q862+Q863+Q864+Q865+Q866+Q867+Q868+Q869+Q871+Q872+Q873+Q875+Q876+Q877+Q879+Q880+Q881+Q882+Q883+Q884+Q885+Q886+Q887+Q888+Q889+Q890+Q891+Q892+Q893+Q894+Q895+Q896+Q897+Q898+Q899+Q900+Q901+Q902+Q903+Q904+Q905+Q906+Q907+Q908+Q909+Q910+Q911+Q912+Q913+Q914+Q960+Q961+Q962+Q963+Q964+Q965+Q966+Q967+Q968+Q969+Q970+Q980+Q987+Q988+Q989+Q990+Q991+Q992+Q993+Q994+Q995+Q996+Q997+Q998+Q999+Q1000+Q1001+Q1002+Q1003+Q1004</f>
        <v>9482224.1836199909</v>
      </c>
      <c r="R538" s="83">
        <f>SUM(R539:R1005)</f>
        <v>2524668.3674999983</v>
      </c>
      <c r="S538" s="83">
        <f t="shared" ref="S538:BE538" si="232">SUM(S539:S1005)</f>
        <v>2524668.367503054</v>
      </c>
      <c r="T538" s="83">
        <f t="shared" si="232"/>
        <v>2524668.367503054</v>
      </c>
      <c r="U538" s="83">
        <f t="shared" si="232"/>
        <v>2524668.367503054</v>
      </c>
      <c r="V538" s="83">
        <f t="shared" si="232"/>
        <v>2524668.367503054</v>
      </c>
      <c r="W538" s="83">
        <f t="shared" si="232"/>
        <v>2524668.367503054</v>
      </c>
      <c r="X538" s="83">
        <f t="shared" si="232"/>
        <v>15148010.205015268</v>
      </c>
      <c r="Y538" s="83">
        <f t="shared" si="232"/>
        <v>2524668.3558360538</v>
      </c>
      <c r="Z538" s="83">
        <f t="shared" si="232"/>
        <v>2524668.3608360542</v>
      </c>
      <c r="AA538" s="83">
        <f t="shared" si="232"/>
        <v>2520426.5083360542</v>
      </c>
      <c r="AB538" s="83">
        <f t="shared" si="232"/>
        <v>2519079.2841693843</v>
      </c>
      <c r="AC538" s="83">
        <f t="shared" si="232"/>
        <v>2519079.2708360841</v>
      </c>
      <c r="AD538" s="83">
        <f t="shared" si="232"/>
        <v>2516463.8458360843</v>
      </c>
      <c r="AE538" s="83">
        <f t="shared" si="232"/>
        <v>15124385.625849707</v>
      </c>
      <c r="AF538" s="83">
        <f t="shared" si="232"/>
        <v>753441019.91999924</v>
      </c>
      <c r="AG538" s="83">
        <f t="shared" si="232"/>
        <v>290972225.94086492</v>
      </c>
      <c r="AH538" s="83">
        <f t="shared" si="232"/>
        <v>462468793.97913527</v>
      </c>
      <c r="AI538" s="63">
        <v>435277774.24000025</v>
      </c>
      <c r="AJ538" s="63">
        <f t="shared" si="232"/>
        <v>9576111.0332800057</v>
      </c>
      <c r="AK538" s="83"/>
      <c r="AL538" s="83">
        <f t="shared" si="232"/>
        <v>2511830.1183364145</v>
      </c>
      <c r="AM538" s="83">
        <f t="shared" si="232"/>
        <v>2507329.3783364142</v>
      </c>
      <c r="AN538" s="83">
        <f t="shared" si="232"/>
        <v>2483374.2766704145</v>
      </c>
      <c r="AO538" s="83">
        <f t="shared" si="232"/>
        <v>2471137.5966704148</v>
      </c>
      <c r="AP538" s="83">
        <f t="shared" si="232"/>
        <v>2470977.3900034148</v>
      </c>
      <c r="AQ538" s="83">
        <f t="shared" si="232"/>
        <v>2467307.5313367443</v>
      </c>
      <c r="AR538" s="83">
        <f t="shared" si="232"/>
        <v>14911956.291353805</v>
      </c>
      <c r="AS538" s="83">
        <f t="shared" si="232"/>
        <v>2467114.3127922444</v>
      </c>
      <c r="AT538" s="83">
        <f t="shared" si="232"/>
        <v>2461708.0583367441</v>
      </c>
      <c r="AU538" s="83">
        <f t="shared" si="232"/>
        <v>2461708.0583367441</v>
      </c>
      <c r="AV538" s="83">
        <f t="shared" si="232"/>
        <v>2460066.478336744</v>
      </c>
      <c r="AW538" s="83">
        <f t="shared" si="232"/>
        <v>2459160.8783367444</v>
      </c>
      <c r="AX538" s="83">
        <f t="shared" si="232"/>
        <v>2459137.9783367449</v>
      </c>
      <c r="AY538" s="83">
        <f t="shared" si="232"/>
        <v>14768895.764475964</v>
      </c>
      <c r="AZ538" s="56">
        <f t="shared" si="207"/>
        <v>29680852.055829771</v>
      </c>
      <c r="BA538" s="83">
        <f t="shared" si="232"/>
        <v>753441019.91999924</v>
      </c>
      <c r="BB538" s="83">
        <f t="shared" si="232"/>
        <v>320653077.99669486</v>
      </c>
      <c r="BC538" s="83">
        <f t="shared" si="232"/>
        <v>432787941.93076068</v>
      </c>
      <c r="BD538" s="63">
        <v>410189128.11499989</v>
      </c>
      <c r="BE538" s="63">
        <f t="shared" si="232"/>
        <v>9024160.8185299933</v>
      </c>
      <c r="BF538" s="35" t="e">
        <f>VLOOKUP(A:A,'2023-2027'!A:G,1,+FALSE)</f>
        <v>#N/A</v>
      </c>
      <c r="BG538" s="7" t="e">
        <f t="shared" si="231"/>
        <v>#N/A</v>
      </c>
      <c r="BH538" s="35"/>
    </row>
    <row r="539" spans="1:60" ht="12" hidden="1" customHeight="1" outlineLevel="1" x14ac:dyDescent="0.2">
      <c r="A539" s="59" t="s">
        <v>2467</v>
      </c>
      <c r="B539" s="59" t="s">
        <v>44</v>
      </c>
      <c r="C539" s="59" t="s">
        <v>82</v>
      </c>
      <c r="D539" s="66" t="s">
        <v>1320</v>
      </c>
      <c r="E539" s="59" t="s">
        <v>214</v>
      </c>
      <c r="F539" s="60">
        <v>15254</v>
      </c>
      <c r="G539" s="60">
        <v>14124</v>
      </c>
      <c r="H539" s="60">
        <v>1130</v>
      </c>
      <c r="I539" s="59"/>
      <c r="J539" s="68">
        <v>564.98</v>
      </c>
      <c r="K539" s="59"/>
      <c r="L539" s="59"/>
      <c r="M539" s="60">
        <v>15254</v>
      </c>
      <c r="N539" s="60">
        <v>14688.98</v>
      </c>
      <c r="O539" s="68">
        <v>565.02</v>
      </c>
      <c r="P539" s="82"/>
      <c r="Q539" s="82"/>
      <c r="R539" s="61">
        <f t="shared" si="217"/>
        <v>47.081666666666671</v>
      </c>
      <c r="S539" s="60">
        <v>47.081666669999997</v>
      </c>
      <c r="T539" s="60">
        <v>47.081666669999997</v>
      </c>
      <c r="U539" s="60">
        <v>47.081666669999997</v>
      </c>
      <c r="V539" s="60">
        <v>47.081666669999997</v>
      </c>
      <c r="W539" s="60">
        <v>47.081666669999997</v>
      </c>
      <c r="X539" s="61">
        <f t="shared" si="218"/>
        <v>282.49000001666667</v>
      </c>
      <c r="Y539" s="60">
        <v>47.081666669999997</v>
      </c>
      <c r="Z539" s="60">
        <v>47.081666669999997</v>
      </c>
      <c r="AA539" s="60">
        <v>47.081666669999997</v>
      </c>
      <c r="AB539" s="60">
        <v>47.081666669999997</v>
      </c>
      <c r="AC539" s="60">
        <v>47.081666669999997</v>
      </c>
      <c r="AD539" s="60">
        <v>47.081666669999997</v>
      </c>
      <c r="AE539" s="61">
        <f t="shared" si="224"/>
        <v>282.49000001999997</v>
      </c>
      <c r="AF539" s="62">
        <f>M539</f>
        <v>15254</v>
      </c>
      <c r="AG539" s="62">
        <f t="shared" ref="AG539:AG602" si="233">N539+R539+S539+T539+U539+V539+W539+Y539+Z539+AA539+AB539+AC539+AD539</f>
        <v>15253.960000036659</v>
      </c>
      <c r="AH539" s="62">
        <f t="shared" si="225"/>
        <v>3.9999963340960676E-2</v>
      </c>
      <c r="AI539" s="63"/>
      <c r="AJ539" s="63"/>
      <c r="AK539" s="62"/>
      <c r="AL539" s="60">
        <v>3.5000000000000003E-2</v>
      </c>
      <c r="AM539" s="60"/>
      <c r="AN539" s="60"/>
      <c r="AO539" s="60"/>
      <c r="AP539" s="60"/>
      <c r="AQ539" s="60"/>
      <c r="AR539" s="61">
        <f t="shared" si="220"/>
        <v>3.5000000000000003E-2</v>
      </c>
      <c r="AS539" s="60"/>
      <c r="AT539" s="60"/>
      <c r="AU539" s="60"/>
      <c r="AV539" s="60"/>
      <c r="AW539" s="60"/>
      <c r="AX539" s="60"/>
      <c r="AY539" s="61">
        <f t="shared" si="221"/>
        <v>0</v>
      </c>
      <c r="AZ539" s="56">
        <f t="shared" si="207"/>
        <v>3.5000000000000003E-2</v>
      </c>
      <c r="BA539" s="62">
        <f t="shared" si="205"/>
        <v>15254</v>
      </c>
      <c r="BB539" s="62">
        <f t="shared" si="222"/>
        <v>15253.995000036659</v>
      </c>
      <c r="BC539" s="62">
        <f t="shared" si="215"/>
        <v>4.999963341106195E-3</v>
      </c>
      <c r="BD539" s="63"/>
      <c r="BE539" s="57"/>
      <c r="BF539" s="35" t="str">
        <f>VLOOKUP(A:A,'2023-2027'!A:G,1,+FALSE)</f>
        <v>Камера  КСО-366 1996г.</v>
      </c>
      <c r="BG539" s="7" t="b">
        <f t="shared" si="231"/>
        <v>1</v>
      </c>
      <c r="BH539" s="35">
        <f>VLOOKUP(A:A,'2023-2027'!A:AT,43,+FALSE)</f>
        <v>55.269999999999989</v>
      </c>
    </row>
    <row r="540" spans="1:60" ht="24" hidden="1" customHeight="1" outlineLevel="1" x14ac:dyDescent="0.2">
      <c r="A540" s="59" t="s">
        <v>2477</v>
      </c>
      <c r="B540" s="59" t="s">
        <v>44</v>
      </c>
      <c r="C540" s="59" t="s">
        <v>82</v>
      </c>
      <c r="D540" s="66" t="s">
        <v>1321</v>
      </c>
      <c r="E540" s="59" t="s">
        <v>1322</v>
      </c>
      <c r="F540" s="60">
        <v>34350</v>
      </c>
      <c r="G540" s="60">
        <v>29840.45</v>
      </c>
      <c r="H540" s="60">
        <v>4509.55</v>
      </c>
      <c r="I540" s="59"/>
      <c r="J540" s="60">
        <v>1151.4000000000001</v>
      </c>
      <c r="K540" s="59"/>
      <c r="L540" s="59"/>
      <c r="M540" s="60">
        <v>34350</v>
      </c>
      <c r="N540" s="60">
        <v>30991.85</v>
      </c>
      <c r="O540" s="60">
        <v>3358.15</v>
      </c>
      <c r="P540" s="55">
        <v>3933.85</v>
      </c>
      <c r="Q540" s="55">
        <f>P540*Q4</f>
        <v>86.544699999999992</v>
      </c>
      <c r="R540" s="61">
        <f t="shared" si="217"/>
        <v>95.95</v>
      </c>
      <c r="S540" s="60">
        <v>95.95</v>
      </c>
      <c r="T540" s="60">
        <v>95.95</v>
      </c>
      <c r="U540" s="60">
        <v>95.95</v>
      </c>
      <c r="V540" s="60">
        <v>95.95</v>
      </c>
      <c r="W540" s="60">
        <v>95.95</v>
      </c>
      <c r="X540" s="61">
        <f t="shared" si="218"/>
        <v>575.70000000000005</v>
      </c>
      <c r="Y540" s="60">
        <v>95.95</v>
      </c>
      <c r="Z540" s="60">
        <v>95.95</v>
      </c>
      <c r="AA540" s="60">
        <v>95.95</v>
      </c>
      <c r="AB540" s="60">
        <v>95.95</v>
      </c>
      <c r="AC540" s="60">
        <v>95.95</v>
      </c>
      <c r="AD540" s="60">
        <v>95.95</v>
      </c>
      <c r="AE540" s="61">
        <f t="shared" si="224"/>
        <v>575.70000000000005</v>
      </c>
      <c r="AF540" s="62">
        <f>M540</f>
        <v>34350</v>
      </c>
      <c r="AG540" s="62">
        <f t="shared" si="233"/>
        <v>32143.250000000007</v>
      </c>
      <c r="AH540" s="62">
        <f t="shared" si="225"/>
        <v>2206.7499999999927</v>
      </c>
      <c r="AI540" s="63">
        <v>2782.4500000000012</v>
      </c>
      <c r="AJ540" s="63">
        <f>AI540*AJ4</f>
        <v>61.213900000000024</v>
      </c>
      <c r="AK540" s="62"/>
      <c r="AL540" s="60">
        <v>95.95</v>
      </c>
      <c r="AM540" s="60">
        <v>95.95</v>
      </c>
      <c r="AN540" s="60">
        <v>95.95</v>
      </c>
      <c r="AO540" s="60">
        <v>95.95</v>
      </c>
      <c r="AP540" s="60">
        <v>95.95</v>
      </c>
      <c r="AQ540" s="60">
        <v>95.95</v>
      </c>
      <c r="AR540" s="61">
        <f t="shared" si="220"/>
        <v>575.70000000000005</v>
      </c>
      <c r="AS540" s="60">
        <v>95.95</v>
      </c>
      <c r="AT540" s="60">
        <v>95.95</v>
      </c>
      <c r="AU540" s="60">
        <v>95.95</v>
      </c>
      <c r="AV540" s="60">
        <v>95.95</v>
      </c>
      <c r="AW540" s="60">
        <v>95.95</v>
      </c>
      <c r="AX540" s="60">
        <v>95.95</v>
      </c>
      <c r="AY540" s="61">
        <f t="shared" si="221"/>
        <v>575.70000000000005</v>
      </c>
      <c r="AZ540" s="56">
        <f t="shared" si="207"/>
        <v>1151.4000000000001</v>
      </c>
      <c r="BA540" s="62">
        <f t="shared" si="205"/>
        <v>34350</v>
      </c>
      <c r="BB540" s="62">
        <f t="shared" si="222"/>
        <v>33294.649999999994</v>
      </c>
      <c r="BC540" s="62">
        <f t="shared" si="215"/>
        <v>1055.3500000000058</v>
      </c>
      <c r="BD540" s="63">
        <v>1631.0500000000034</v>
      </c>
      <c r="BE540" s="57">
        <f t="shared" ref="BE540:BE541" si="234">BD540*2.2%</f>
        <v>35.883100000000077</v>
      </c>
      <c r="BF540" s="35" t="str">
        <f>VLOOKUP(A:A,'2023-2027'!A:G,1,+FALSE)</f>
        <v>Н/в каб от ТП-20, 10 до банка Поморск 117м  96г</v>
      </c>
      <c r="BG540" s="7" t="b">
        <f t="shared" si="231"/>
        <v>1</v>
      </c>
      <c r="BH540" s="35">
        <f>VLOOKUP(A:A,'2023-2027'!A:AT,43,+FALSE)</f>
        <v>114.5</v>
      </c>
    </row>
    <row r="541" spans="1:60" ht="24" hidden="1" customHeight="1" outlineLevel="1" x14ac:dyDescent="0.2">
      <c r="A541" s="59" t="s">
        <v>1323</v>
      </c>
      <c r="B541" s="59" t="s">
        <v>44</v>
      </c>
      <c r="C541" s="59" t="s">
        <v>82</v>
      </c>
      <c r="D541" s="66" t="s">
        <v>1324</v>
      </c>
      <c r="E541" s="59" t="s">
        <v>1325</v>
      </c>
      <c r="F541" s="60">
        <v>270473</v>
      </c>
      <c r="G541" s="60">
        <v>212450.7</v>
      </c>
      <c r="H541" s="60">
        <v>58022.3</v>
      </c>
      <c r="I541" s="59"/>
      <c r="J541" s="60">
        <v>10711.8</v>
      </c>
      <c r="K541" s="59"/>
      <c r="L541" s="59"/>
      <c r="M541" s="60">
        <v>270473</v>
      </c>
      <c r="N541" s="60">
        <v>223162.5</v>
      </c>
      <c r="O541" s="60">
        <v>47310.5</v>
      </c>
      <c r="P541" s="55">
        <v>52666.400000000001</v>
      </c>
      <c r="Q541" s="55">
        <f>P541*2.2%</f>
        <v>1158.6608000000001</v>
      </c>
      <c r="R541" s="61">
        <f t="shared" si="217"/>
        <v>892.65</v>
      </c>
      <c r="S541" s="60">
        <v>892.65</v>
      </c>
      <c r="T541" s="60">
        <v>892.65</v>
      </c>
      <c r="U541" s="60">
        <v>892.65</v>
      </c>
      <c r="V541" s="60">
        <v>892.65</v>
      </c>
      <c r="W541" s="60">
        <v>892.65</v>
      </c>
      <c r="X541" s="61">
        <f t="shared" si="218"/>
        <v>5355.9</v>
      </c>
      <c r="Y541" s="60">
        <v>892.65</v>
      </c>
      <c r="Z541" s="60">
        <v>892.65</v>
      </c>
      <c r="AA541" s="60">
        <v>892.65</v>
      </c>
      <c r="AB541" s="60">
        <v>892.65</v>
      </c>
      <c r="AC541" s="60">
        <v>892.65</v>
      </c>
      <c r="AD541" s="60">
        <v>892.65</v>
      </c>
      <c r="AE541" s="61">
        <f t="shared" si="224"/>
        <v>5355.9</v>
      </c>
      <c r="AF541" s="62">
        <f>M541</f>
        <v>270473</v>
      </c>
      <c r="AG541" s="62">
        <f t="shared" si="233"/>
        <v>233874.29999999993</v>
      </c>
      <c r="AH541" s="62">
        <f t="shared" si="225"/>
        <v>36598.70000000007</v>
      </c>
      <c r="AI541" s="63">
        <v>41954.599999999984</v>
      </c>
      <c r="AJ541" s="63">
        <f t="shared" ref="AJ541:AJ544" si="235">AI541*2.2%</f>
        <v>923.0011999999997</v>
      </c>
      <c r="AK541" s="62"/>
      <c r="AL541" s="60">
        <v>892.65</v>
      </c>
      <c r="AM541" s="60">
        <v>892.65</v>
      </c>
      <c r="AN541" s="60">
        <v>892.65</v>
      </c>
      <c r="AO541" s="60">
        <v>892.65</v>
      </c>
      <c r="AP541" s="60">
        <v>892.65</v>
      </c>
      <c r="AQ541" s="60">
        <v>892.65</v>
      </c>
      <c r="AR541" s="61">
        <f t="shared" si="220"/>
        <v>5355.9</v>
      </c>
      <c r="AS541" s="60">
        <v>892.65</v>
      </c>
      <c r="AT541" s="60">
        <v>892.65</v>
      </c>
      <c r="AU541" s="60">
        <v>892.65</v>
      </c>
      <c r="AV541" s="60">
        <v>892.65</v>
      </c>
      <c r="AW541" s="60">
        <v>892.65</v>
      </c>
      <c r="AX541" s="60">
        <v>892.65</v>
      </c>
      <c r="AY541" s="61">
        <f t="shared" si="221"/>
        <v>5355.9</v>
      </c>
      <c r="AZ541" s="56">
        <f t="shared" si="207"/>
        <v>10711.8</v>
      </c>
      <c r="BA541" s="62">
        <f t="shared" si="205"/>
        <v>270473</v>
      </c>
      <c r="BB541" s="62">
        <f t="shared" si="222"/>
        <v>244586.09999999986</v>
      </c>
      <c r="BC541" s="62">
        <f t="shared" si="215"/>
        <v>25886.90000000014</v>
      </c>
      <c r="BD541" s="63">
        <v>31242.799999999974</v>
      </c>
      <c r="BE541" s="57">
        <f t="shared" si="234"/>
        <v>687.34159999999952</v>
      </c>
      <c r="BF541" s="35" t="str">
        <f>VLOOKUP(A:A,'2023-2027'!A:G,1,+FALSE)</f>
        <v>*- Н/в каб ТП20 до РКЦ l=117м ТП10 до РКЦ l=351,5м</v>
      </c>
      <c r="BG541" s="7" t="b">
        <f t="shared" si="231"/>
        <v>1</v>
      </c>
      <c r="BH541" s="35">
        <f>VLOOKUP(A:A,'2023-2027'!A:AT,43,+FALSE)</f>
        <v>892.64999999999975</v>
      </c>
    </row>
    <row r="542" spans="1:60" ht="24" hidden="1" customHeight="1" outlineLevel="1" x14ac:dyDescent="0.2">
      <c r="A542" s="59" t="s">
        <v>2479</v>
      </c>
      <c r="B542" s="59" t="s">
        <v>44</v>
      </c>
      <c r="C542" s="59" t="s">
        <v>82</v>
      </c>
      <c r="D542" s="66" t="s">
        <v>1326</v>
      </c>
      <c r="E542" s="59" t="s">
        <v>1327</v>
      </c>
      <c r="F542" s="60">
        <v>38224</v>
      </c>
      <c r="G542" s="60">
        <v>30556.7</v>
      </c>
      <c r="H542" s="60">
        <v>7667.3</v>
      </c>
      <c r="I542" s="59"/>
      <c r="J542" s="60">
        <v>1182.96</v>
      </c>
      <c r="K542" s="60">
        <v>38224</v>
      </c>
      <c r="L542" s="60">
        <v>31739.66</v>
      </c>
      <c r="M542" s="59"/>
      <c r="N542" s="59"/>
      <c r="O542" s="59"/>
      <c r="P542" s="67"/>
      <c r="Q542" s="67"/>
      <c r="R542" s="61"/>
      <c r="S542" s="60"/>
      <c r="T542" s="60"/>
      <c r="U542" s="60"/>
      <c r="V542" s="60"/>
      <c r="W542" s="60"/>
      <c r="X542" s="61">
        <f t="shared" si="218"/>
        <v>0</v>
      </c>
      <c r="Y542" s="60"/>
      <c r="Z542" s="60"/>
      <c r="AA542" s="60"/>
      <c r="AB542" s="60"/>
      <c r="AC542" s="60"/>
      <c r="AD542" s="60"/>
      <c r="AE542" s="61">
        <f t="shared" si="224"/>
        <v>0</v>
      </c>
      <c r="AF542" s="62"/>
      <c r="AG542" s="62">
        <f t="shared" si="233"/>
        <v>0</v>
      </c>
      <c r="AH542" s="62"/>
      <c r="AI542" s="63"/>
      <c r="AJ542" s="63"/>
      <c r="AK542" s="62"/>
      <c r="AL542" s="60"/>
      <c r="AM542" s="60"/>
      <c r="AN542" s="60"/>
      <c r="AO542" s="60"/>
      <c r="AP542" s="60"/>
      <c r="AQ542" s="60"/>
      <c r="AR542" s="61">
        <f t="shared" si="220"/>
        <v>0</v>
      </c>
      <c r="AS542" s="60"/>
      <c r="AT542" s="60"/>
      <c r="AU542" s="60"/>
      <c r="AV542" s="60"/>
      <c r="AW542" s="60"/>
      <c r="AX542" s="60"/>
      <c r="AY542" s="61">
        <f t="shared" si="221"/>
        <v>0</v>
      </c>
      <c r="AZ542" s="56">
        <f t="shared" si="207"/>
        <v>0</v>
      </c>
      <c r="BA542" s="62"/>
      <c r="BB542" s="62">
        <f t="shared" si="222"/>
        <v>0</v>
      </c>
      <c r="BC542" s="62"/>
      <c r="BD542" s="63"/>
      <c r="BE542" s="57"/>
      <c r="BF542" s="35" t="str">
        <f>VLOOKUP(A:A,'2023-2027'!A:G,1,+FALSE)</f>
        <v>Оборудование ТП-43  Рабочая Водозабор 1996г.</v>
      </c>
      <c r="BG542" s="7" t="b">
        <f t="shared" si="231"/>
        <v>1</v>
      </c>
      <c r="BH542" s="35">
        <f>VLOOKUP(A:A,'2023-2027'!A:AT,43,+FALSE)</f>
        <v>0</v>
      </c>
    </row>
    <row r="543" spans="1:60" ht="24" hidden="1" customHeight="1" outlineLevel="1" x14ac:dyDescent="0.2">
      <c r="A543" s="59" t="s">
        <v>1328</v>
      </c>
      <c r="B543" s="59" t="s">
        <v>44</v>
      </c>
      <c r="C543" s="59" t="s">
        <v>82</v>
      </c>
      <c r="D543" s="66" t="s">
        <v>1329</v>
      </c>
      <c r="E543" s="59" t="s">
        <v>179</v>
      </c>
      <c r="F543" s="60">
        <v>16516336.91</v>
      </c>
      <c r="G543" s="60">
        <v>9688997.1199999992</v>
      </c>
      <c r="H543" s="60">
        <v>6827339.79</v>
      </c>
      <c r="I543" s="59"/>
      <c r="J543" s="60">
        <v>660613.56000000006</v>
      </c>
      <c r="K543" s="59"/>
      <c r="L543" s="59"/>
      <c r="M543" s="60">
        <v>16516336.91</v>
      </c>
      <c r="N543" s="60">
        <v>10349610.68</v>
      </c>
      <c r="O543" s="60">
        <v>6166726.2300000004</v>
      </c>
      <c r="P543" s="55">
        <v>6497033.0099999998</v>
      </c>
      <c r="Q543" s="55">
        <v>142934.72</v>
      </c>
      <c r="R543" s="61">
        <f t="shared" si="217"/>
        <v>55051.130000000005</v>
      </c>
      <c r="S543" s="60">
        <v>55051.13</v>
      </c>
      <c r="T543" s="60">
        <v>55051.13</v>
      </c>
      <c r="U543" s="60">
        <v>55051.13</v>
      </c>
      <c r="V543" s="60">
        <v>55051.13</v>
      </c>
      <c r="W543" s="60">
        <v>55051.13</v>
      </c>
      <c r="X543" s="61">
        <f t="shared" si="218"/>
        <v>330306.78000000003</v>
      </c>
      <c r="Y543" s="60">
        <v>55051.13</v>
      </c>
      <c r="Z543" s="60">
        <v>55051.13</v>
      </c>
      <c r="AA543" s="60">
        <v>55051.13</v>
      </c>
      <c r="AB543" s="60">
        <v>55051.13</v>
      </c>
      <c r="AC543" s="60">
        <v>55051.13</v>
      </c>
      <c r="AD543" s="60">
        <v>55051.13</v>
      </c>
      <c r="AE543" s="61">
        <f t="shared" si="224"/>
        <v>330306.77999999997</v>
      </c>
      <c r="AF543" s="62">
        <f t="shared" ref="AF543:AF606" si="236">M543</f>
        <v>16516336.91</v>
      </c>
      <c r="AG543" s="62">
        <f t="shared" si="233"/>
        <v>11010224.24000001</v>
      </c>
      <c r="AH543" s="62">
        <f t="shared" si="225"/>
        <v>5506112.6699999906</v>
      </c>
      <c r="AI543" s="63">
        <v>5836419.450000002</v>
      </c>
      <c r="AJ543" s="63">
        <f t="shared" si="235"/>
        <v>128401.22790000006</v>
      </c>
      <c r="AK543" s="62"/>
      <c r="AL543" s="60">
        <v>55051.13</v>
      </c>
      <c r="AM543" s="60">
        <v>55051.13</v>
      </c>
      <c r="AN543" s="60">
        <v>55051.13</v>
      </c>
      <c r="AO543" s="60">
        <v>55051.13</v>
      </c>
      <c r="AP543" s="60">
        <v>55051.13</v>
      </c>
      <c r="AQ543" s="60">
        <v>55051.13</v>
      </c>
      <c r="AR543" s="61">
        <f t="shared" si="220"/>
        <v>330306.77999999997</v>
      </c>
      <c r="AS543" s="60">
        <v>55051.13</v>
      </c>
      <c r="AT543" s="60">
        <v>55051.13</v>
      </c>
      <c r="AU543" s="60">
        <v>55051.13</v>
      </c>
      <c r="AV543" s="60">
        <v>55051.13</v>
      </c>
      <c r="AW543" s="60">
        <v>55051.13</v>
      </c>
      <c r="AX543" s="60">
        <v>55051.13</v>
      </c>
      <c r="AY543" s="61">
        <f t="shared" si="221"/>
        <v>330306.77999999997</v>
      </c>
      <c r="AZ543" s="56">
        <f t="shared" si="207"/>
        <v>660613.55999999994</v>
      </c>
      <c r="BA543" s="62">
        <f t="shared" ref="BA543:BA606" si="237">AF543</f>
        <v>16516336.91</v>
      </c>
      <c r="BB543" s="62">
        <f t="shared" si="222"/>
        <v>11670837.800000019</v>
      </c>
      <c r="BC543" s="62">
        <f t="shared" ref="BC543:BC606" si="238">BA543-BB543</f>
        <v>4845499.1099999808</v>
      </c>
      <c r="BD543" s="63">
        <v>5175805.8900000025</v>
      </c>
      <c r="BE543" s="57">
        <f t="shared" ref="BE543:BE544" si="239">BD543*2.2%</f>
        <v>113867.72958000007</v>
      </c>
      <c r="BF543" s="35" t="str">
        <f>VLOOKUP(A:A,'2023-2027'!A:G,1,+FALSE)</f>
        <v>1-я кабельная линия КЛ-6кВ 2007г</v>
      </c>
      <c r="BG543" s="7" t="b">
        <f t="shared" si="231"/>
        <v>1</v>
      </c>
      <c r="BH543" s="35">
        <f>VLOOKUP(A:A,'2023-2027'!A:AT,43,+FALSE)</f>
        <v>55054.46</v>
      </c>
    </row>
    <row r="544" spans="1:60" ht="24" hidden="1" customHeight="1" outlineLevel="1" x14ac:dyDescent="0.2">
      <c r="A544" s="59" t="s">
        <v>1330</v>
      </c>
      <c r="B544" s="59" t="s">
        <v>44</v>
      </c>
      <c r="C544" s="59" t="s">
        <v>82</v>
      </c>
      <c r="D544" s="66" t="s">
        <v>1331</v>
      </c>
      <c r="E544" s="59" t="s">
        <v>179</v>
      </c>
      <c r="F544" s="60">
        <v>16516336.92</v>
      </c>
      <c r="G544" s="60">
        <v>9688997.1199999992</v>
      </c>
      <c r="H544" s="60">
        <v>6827339.7999999998</v>
      </c>
      <c r="I544" s="59"/>
      <c r="J544" s="60">
        <v>660613.56000000006</v>
      </c>
      <c r="K544" s="59"/>
      <c r="L544" s="59"/>
      <c r="M544" s="60">
        <v>16516336.92</v>
      </c>
      <c r="N544" s="60">
        <v>10349610.68</v>
      </c>
      <c r="O544" s="60">
        <v>6166726.2400000002</v>
      </c>
      <c r="P544" s="55">
        <v>6497033.0199999996</v>
      </c>
      <c r="Q544" s="55">
        <v>142934.72</v>
      </c>
      <c r="R544" s="61">
        <f t="shared" si="217"/>
        <v>55051.130000000005</v>
      </c>
      <c r="S544" s="60">
        <v>55051.13</v>
      </c>
      <c r="T544" s="60">
        <v>55051.13</v>
      </c>
      <c r="U544" s="60">
        <v>55051.13</v>
      </c>
      <c r="V544" s="60">
        <v>55051.13</v>
      </c>
      <c r="W544" s="60">
        <v>55051.13</v>
      </c>
      <c r="X544" s="61">
        <f t="shared" si="218"/>
        <v>330306.78000000003</v>
      </c>
      <c r="Y544" s="60">
        <v>55051.13</v>
      </c>
      <c r="Z544" s="60">
        <v>55051.13</v>
      </c>
      <c r="AA544" s="60">
        <v>55051.13</v>
      </c>
      <c r="AB544" s="60">
        <v>55051.13</v>
      </c>
      <c r="AC544" s="60">
        <v>55051.13</v>
      </c>
      <c r="AD544" s="60">
        <v>55051.13</v>
      </c>
      <c r="AE544" s="61">
        <f t="shared" si="224"/>
        <v>330306.77999999997</v>
      </c>
      <c r="AF544" s="62">
        <f t="shared" si="236"/>
        <v>16516336.92</v>
      </c>
      <c r="AG544" s="62">
        <f t="shared" si="233"/>
        <v>11010224.24000001</v>
      </c>
      <c r="AH544" s="62">
        <f t="shared" si="225"/>
        <v>5506112.6799999904</v>
      </c>
      <c r="AI544" s="63">
        <v>5836419.4600000018</v>
      </c>
      <c r="AJ544" s="63">
        <f t="shared" si="235"/>
        <v>128401.22812000006</v>
      </c>
      <c r="AK544" s="62"/>
      <c r="AL544" s="60">
        <v>55051.13</v>
      </c>
      <c r="AM544" s="60">
        <v>55051.13</v>
      </c>
      <c r="AN544" s="60">
        <v>55051.13</v>
      </c>
      <c r="AO544" s="60">
        <v>55051.13</v>
      </c>
      <c r="AP544" s="60">
        <v>55051.13</v>
      </c>
      <c r="AQ544" s="60">
        <v>55051.13</v>
      </c>
      <c r="AR544" s="61">
        <f t="shared" si="220"/>
        <v>330306.77999999997</v>
      </c>
      <c r="AS544" s="60">
        <v>55051.13</v>
      </c>
      <c r="AT544" s="60">
        <v>55051.13</v>
      </c>
      <c r="AU544" s="60">
        <v>55051.13</v>
      </c>
      <c r="AV544" s="60">
        <v>55051.13</v>
      </c>
      <c r="AW544" s="60">
        <v>55051.13</v>
      </c>
      <c r="AX544" s="60">
        <v>55051.13</v>
      </c>
      <c r="AY544" s="61">
        <f t="shared" si="221"/>
        <v>330306.77999999997</v>
      </c>
      <c r="AZ544" s="56">
        <f t="shared" si="207"/>
        <v>660613.55999999994</v>
      </c>
      <c r="BA544" s="62">
        <f t="shared" si="237"/>
        <v>16516336.92</v>
      </c>
      <c r="BB544" s="62">
        <f t="shared" si="222"/>
        <v>11670837.800000019</v>
      </c>
      <c r="BC544" s="62">
        <f t="shared" si="238"/>
        <v>4845499.1199999806</v>
      </c>
      <c r="BD544" s="63">
        <v>5175805.9000000022</v>
      </c>
      <c r="BE544" s="57">
        <f t="shared" si="239"/>
        <v>113867.72980000006</v>
      </c>
      <c r="BF544" s="35" t="str">
        <f>VLOOKUP(A:A,'2023-2027'!A:G,1,+FALSE)</f>
        <v>2-я кабельная линия КЛ-6кВ 2007г</v>
      </c>
      <c r="BG544" s="7" t="b">
        <f t="shared" si="231"/>
        <v>1</v>
      </c>
      <c r="BH544" s="35">
        <f>VLOOKUP(A:A,'2023-2027'!A:AT,43,+FALSE)</f>
        <v>55054.46</v>
      </c>
    </row>
    <row r="545" spans="1:60" ht="12" hidden="1" customHeight="1" outlineLevel="1" x14ac:dyDescent="0.2">
      <c r="A545" s="59" t="s">
        <v>1332</v>
      </c>
      <c r="B545" s="59" t="s">
        <v>44</v>
      </c>
      <c r="C545" s="59" t="s">
        <v>82</v>
      </c>
      <c r="D545" s="65" t="s">
        <v>1333</v>
      </c>
      <c r="E545" s="59" t="s">
        <v>611</v>
      </c>
      <c r="F545" s="60">
        <v>27034.07</v>
      </c>
      <c r="G545" s="60">
        <v>27034.07</v>
      </c>
      <c r="H545" s="59"/>
      <c r="I545" s="59"/>
      <c r="J545" s="59"/>
      <c r="K545" s="60">
        <v>27034.07</v>
      </c>
      <c r="L545" s="60">
        <v>27034.07</v>
      </c>
      <c r="M545" s="59"/>
      <c r="N545" s="59"/>
      <c r="O545" s="59"/>
      <c r="P545" s="67"/>
      <c r="Q545" s="67"/>
      <c r="R545" s="61">
        <f t="shared" si="217"/>
        <v>0</v>
      </c>
      <c r="S545" s="60">
        <v>0</v>
      </c>
      <c r="T545" s="60">
        <v>0</v>
      </c>
      <c r="U545" s="60">
        <v>0</v>
      </c>
      <c r="V545" s="60">
        <v>0</v>
      </c>
      <c r="W545" s="60">
        <v>0</v>
      </c>
      <c r="X545" s="61">
        <f t="shared" si="218"/>
        <v>0</v>
      </c>
      <c r="Y545" s="60">
        <v>0</v>
      </c>
      <c r="Z545" s="60">
        <v>0</v>
      </c>
      <c r="AA545" s="60">
        <v>0</v>
      </c>
      <c r="AB545" s="60">
        <v>0</v>
      </c>
      <c r="AC545" s="60">
        <v>0</v>
      </c>
      <c r="AD545" s="60">
        <v>0</v>
      </c>
      <c r="AE545" s="61">
        <f t="shared" si="224"/>
        <v>0</v>
      </c>
      <c r="AF545" s="62">
        <f t="shared" si="236"/>
        <v>0</v>
      </c>
      <c r="AG545" s="62">
        <f t="shared" si="233"/>
        <v>0</v>
      </c>
      <c r="AH545" s="62">
        <f t="shared" si="225"/>
        <v>0</v>
      </c>
      <c r="AI545" s="63"/>
      <c r="AJ545" s="63"/>
      <c r="AK545" s="62"/>
      <c r="AL545" s="60">
        <v>0</v>
      </c>
      <c r="AM545" s="60">
        <v>0</v>
      </c>
      <c r="AN545" s="60">
        <v>0</v>
      </c>
      <c r="AO545" s="60">
        <v>0</v>
      </c>
      <c r="AP545" s="60">
        <v>0</v>
      </c>
      <c r="AQ545" s="60">
        <v>0</v>
      </c>
      <c r="AR545" s="61">
        <f t="shared" si="220"/>
        <v>0</v>
      </c>
      <c r="AS545" s="60">
        <v>0</v>
      </c>
      <c r="AT545" s="60">
        <v>0</v>
      </c>
      <c r="AU545" s="60">
        <v>0</v>
      </c>
      <c r="AV545" s="60">
        <v>0</v>
      </c>
      <c r="AW545" s="60">
        <v>0</v>
      </c>
      <c r="AX545" s="60">
        <v>0</v>
      </c>
      <c r="AY545" s="61">
        <f t="shared" si="221"/>
        <v>0</v>
      </c>
      <c r="AZ545" s="56">
        <f t="shared" si="207"/>
        <v>0</v>
      </c>
      <c r="BA545" s="62">
        <f t="shared" si="237"/>
        <v>0</v>
      </c>
      <c r="BB545" s="62">
        <f t="shared" si="222"/>
        <v>0</v>
      </c>
      <c r="BC545" s="62">
        <f t="shared" si="238"/>
        <v>0</v>
      </c>
      <c r="BD545" s="63"/>
      <c r="BE545" s="57"/>
      <c r="BF545" s="35" t="e">
        <f>VLOOKUP(A:A,'2023-2027'!A:G,1,+FALSE)</f>
        <v>#N/A</v>
      </c>
      <c r="BG545" s="7" t="e">
        <f t="shared" si="231"/>
        <v>#N/A</v>
      </c>
      <c r="BH545" s="35"/>
    </row>
    <row r="546" spans="1:60" ht="12" hidden="1" customHeight="1" outlineLevel="1" x14ac:dyDescent="0.2">
      <c r="A546" s="59" t="s">
        <v>1334</v>
      </c>
      <c r="B546" s="59" t="s">
        <v>44</v>
      </c>
      <c r="C546" s="59" t="s">
        <v>82</v>
      </c>
      <c r="D546" s="65" t="s">
        <v>1335</v>
      </c>
      <c r="E546" s="59" t="s">
        <v>611</v>
      </c>
      <c r="F546" s="60">
        <v>27034.07</v>
      </c>
      <c r="G546" s="60">
        <v>27034.07</v>
      </c>
      <c r="H546" s="59"/>
      <c r="I546" s="59"/>
      <c r="J546" s="59"/>
      <c r="K546" s="60">
        <v>27034.07</v>
      </c>
      <c r="L546" s="60">
        <v>27034.07</v>
      </c>
      <c r="M546" s="59"/>
      <c r="N546" s="59"/>
      <c r="O546" s="59"/>
      <c r="P546" s="67"/>
      <c r="Q546" s="67"/>
      <c r="R546" s="61">
        <f t="shared" si="217"/>
        <v>0</v>
      </c>
      <c r="S546" s="60">
        <v>0</v>
      </c>
      <c r="T546" s="60">
        <v>0</v>
      </c>
      <c r="U546" s="60">
        <v>0</v>
      </c>
      <c r="V546" s="60">
        <v>0</v>
      </c>
      <c r="W546" s="60">
        <v>0</v>
      </c>
      <c r="X546" s="61">
        <f t="shared" si="218"/>
        <v>0</v>
      </c>
      <c r="Y546" s="60">
        <v>0</v>
      </c>
      <c r="Z546" s="60">
        <v>0</v>
      </c>
      <c r="AA546" s="60">
        <v>0</v>
      </c>
      <c r="AB546" s="60">
        <v>0</v>
      </c>
      <c r="AC546" s="60">
        <v>0</v>
      </c>
      <c r="AD546" s="60">
        <v>0</v>
      </c>
      <c r="AE546" s="61">
        <f t="shared" si="224"/>
        <v>0</v>
      </c>
      <c r="AF546" s="62">
        <f t="shared" si="236"/>
        <v>0</v>
      </c>
      <c r="AG546" s="62">
        <f t="shared" si="233"/>
        <v>0</v>
      </c>
      <c r="AH546" s="62">
        <f t="shared" si="225"/>
        <v>0</v>
      </c>
      <c r="AI546" s="63"/>
      <c r="AJ546" s="63"/>
      <c r="AK546" s="62"/>
      <c r="AL546" s="60">
        <v>0</v>
      </c>
      <c r="AM546" s="60">
        <v>0</v>
      </c>
      <c r="AN546" s="60">
        <v>0</v>
      </c>
      <c r="AO546" s="60">
        <v>0</v>
      </c>
      <c r="AP546" s="60">
        <v>0</v>
      </c>
      <c r="AQ546" s="60">
        <v>0</v>
      </c>
      <c r="AR546" s="61">
        <f t="shared" si="220"/>
        <v>0</v>
      </c>
      <c r="AS546" s="60">
        <v>0</v>
      </c>
      <c r="AT546" s="60">
        <v>0</v>
      </c>
      <c r="AU546" s="60">
        <v>0</v>
      </c>
      <c r="AV546" s="60">
        <v>0</v>
      </c>
      <c r="AW546" s="60">
        <v>0</v>
      </c>
      <c r="AX546" s="60">
        <v>0</v>
      </c>
      <c r="AY546" s="61">
        <f t="shared" si="221"/>
        <v>0</v>
      </c>
      <c r="AZ546" s="56">
        <f t="shared" si="207"/>
        <v>0</v>
      </c>
      <c r="BA546" s="62">
        <f t="shared" si="237"/>
        <v>0</v>
      </c>
      <c r="BB546" s="62">
        <f t="shared" si="222"/>
        <v>0</v>
      </c>
      <c r="BC546" s="62">
        <f t="shared" si="238"/>
        <v>0</v>
      </c>
      <c r="BD546" s="63"/>
      <c r="BE546" s="57"/>
      <c r="BF546" s="35" t="e">
        <f>VLOOKUP(A:A,'2023-2027'!A:G,1,+FALSE)</f>
        <v>#N/A</v>
      </c>
      <c r="BG546" s="7" t="e">
        <f t="shared" si="231"/>
        <v>#N/A</v>
      </c>
      <c r="BH546" s="35"/>
    </row>
    <row r="547" spans="1:60" ht="12" hidden="1" customHeight="1" outlineLevel="1" x14ac:dyDescent="0.2">
      <c r="A547" s="59" t="s">
        <v>1336</v>
      </c>
      <c r="B547" s="59" t="s">
        <v>44</v>
      </c>
      <c r="C547" s="59" t="s">
        <v>82</v>
      </c>
      <c r="D547" s="65" t="s">
        <v>1337</v>
      </c>
      <c r="E547" s="59" t="s">
        <v>611</v>
      </c>
      <c r="F547" s="60">
        <v>27034.07</v>
      </c>
      <c r="G547" s="60">
        <v>27034.07</v>
      </c>
      <c r="H547" s="59"/>
      <c r="I547" s="59"/>
      <c r="J547" s="59"/>
      <c r="K547" s="60">
        <v>27034.07</v>
      </c>
      <c r="L547" s="60">
        <v>27034.07</v>
      </c>
      <c r="M547" s="59"/>
      <c r="N547" s="59"/>
      <c r="O547" s="59"/>
      <c r="P547" s="67"/>
      <c r="Q547" s="67"/>
      <c r="R547" s="61">
        <f t="shared" si="217"/>
        <v>0</v>
      </c>
      <c r="S547" s="60">
        <v>0</v>
      </c>
      <c r="T547" s="60">
        <v>0</v>
      </c>
      <c r="U547" s="60">
        <v>0</v>
      </c>
      <c r="V547" s="60">
        <v>0</v>
      </c>
      <c r="W547" s="60">
        <v>0</v>
      </c>
      <c r="X547" s="61">
        <f t="shared" si="218"/>
        <v>0</v>
      </c>
      <c r="Y547" s="60">
        <v>0</v>
      </c>
      <c r="Z547" s="60">
        <v>0</v>
      </c>
      <c r="AA547" s="60">
        <v>0</v>
      </c>
      <c r="AB547" s="60">
        <v>0</v>
      </c>
      <c r="AC547" s="60">
        <v>0</v>
      </c>
      <c r="AD547" s="60">
        <v>0</v>
      </c>
      <c r="AE547" s="61">
        <f t="shared" si="224"/>
        <v>0</v>
      </c>
      <c r="AF547" s="62">
        <f t="shared" si="236"/>
        <v>0</v>
      </c>
      <c r="AG547" s="62">
        <f t="shared" si="233"/>
        <v>0</v>
      </c>
      <c r="AH547" s="62">
        <f t="shared" si="225"/>
        <v>0</v>
      </c>
      <c r="AI547" s="63"/>
      <c r="AJ547" s="63"/>
      <c r="AK547" s="62"/>
      <c r="AL547" s="60">
        <v>0</v>
      </c>
      <c r="AM547" s="60">
        <v>0</v>
      </c>
      <c r="AN547" s="60">
        <v>0</v>
      </c>
      <c r="AO547" s="60">
        <v>0</v>
      </c>
      <c r="AP547" s="60">
        <v>0</v>
      </c>
      <c r="AQ547" s="60">
        <v>0</v>
      </c>
      <c r="AR547" s="61">
        <f t="shared" si="220"/>
        <v>0</v>
      </c>
      <c r="AS547" s="60">
        <v>0</v>
      </c>
      <c r="AT547" s="60">
        <v>0</v>
      </c>
      <c r="AU547" s="60">
        <v>0</v>
      </c>
      <c r="AV547" s="60">
        <v>0</v>
      </c>
      <c r="AW547" s="60">
        <v>0</v>
      </c>
      <c r="AX547" s="60">
        <v>0</v>
      </c>
      <c r="AY547" s="61">
        <f t="shared" si="221"/>
        <v>0</v>
      </c>
      <c r="AZ547" s="56">
        <f t="shared" si="207"/>
        <v>0</v>
      </c>
      <c r="BA547" s="62">
        <f t="shared" si="237"/>
        <v>0</v>
      </c>
      <c r="BB547" s="62">
        <f t="shared" si="222"/>
        <v>0</v>
      </c>
      <c r="BC547" s="62">
        <f t="shared" si="238"/>
        <v>0</v>
      </c>
      <c r="BD547" s="63"/>
      <c r="BE547" s="57"/>
      <c r="BF547" s="35" t="e">
        <f>VLOOKUP(A:A,'2023-2027'!A:G,1,+FALSE)</f>
        <v>#N/A</v>
      </c>
      <c r="BG547" s="7" t="e">
        <f t="shared" si="231"/>
        <v>#N/A</v>
      </c>
      <c r="BH547" s="35"/>
    </row>
    <row r="548" spans="1:60" ht="12" hidden="1" customHeight="1" outlineLevel="1" x14ac:dyDescent="0.2">
      <c r="A548" s="59" t="s">
        <v>1338</v>
      </c>
      <c r="B548" s="59" t="s">
        <v>44</v>
      </c>
      <c r="C548" s="59" t="s">
        <v>82</v>
      </c>
      <c r="D548" s="65" t="s">
        <v>1339</v>
      </c>
      <c r="E548" s="59" t="s">
        <v>611</v>
      </c>
      <c r="F548" s="60">
        <v>27034.07</v>
      </c>
      <c r="G548" s="60">
        <v>27034.07</v>
      </c>
      <c r="H548" s="59"/>
      <c r="I548" s="59"/>
      <c r="J548" s="59"/>
      <c r="K548" s="60">
        <v>27034.07</v>
      </c>
      <c r="L548" s="60">
        <v>27034.07</v>
      </c>
      <c r="M548" s="59"/>
      <c r="N548" s="59"/>
      <c r="O548" s="59"/>
      <c r="P548" s="67"/>
      <c r="Q548" s="67"/>
      <c r="R548" s="61">
        <f t="shared" si="217"/>
        <v>0</v>
      </c>
      <c r="S548" s="60">
        <v>0</v>
      </c>
      <c r="T548" s="60">
        <v>0</v>
      </c>
      <c r="U548" s="60">
        <v>0</v>
      </c>
      <c r="V548" s="60">
        <v>0</v>
      </c>
      <c r="W548" s="60">
        <v>0</v>
      </c>
      <c r="X548" s="61">
        <f t="shared" si="218"/>
        <v>0</v>
      </c>
      <c r="Y548" s="60">
        <v>0</v>
      </c>
      <c r="Z548" s="60">
        <v>0</v>
      </c>
      <c r="AA548" s="60">
        <v>0</v>
      </c>
      <c r="AB548" s="60">
        <v>0</v>
      </c>
      <c r="AC548" s="60">
        <v>0</v>
      </c>
      <c r="AD548" s="60">
        <v>0</v>
      </c>
      <c r="AE548" s="61">
        <f t="shared" si="224"/>
        <v>0</v>
      </c>
      <c r="AF548" s="62">
        <f t="shared" si="236"/>
        <v>0</v>
      </c>
      <c r="AG548" s="62">
        <f t="shared" si="233"/>
        <v>0</v>
      </c>
      <c r="AH548" s="62">
        <f t="shared" si="225"/>
        <v>0</v>
      </c>
      <c r="AI548" s="63"/>
      <c r="AJ548" s="63"/>
      <c r="AK548" s="62"/>
      <c r="AL548" s="60">
        <v>0</v>
      </c>
      <c r="AM548" s="60">
        <v>0</v>
      </c>
      <c r="AN548" s="60">
        <v>0</v>
      </c>
      <c r="AO548" s="60">
        <v>0</v>
      </c>
      <c r="AP548" s="60">
        <v>0</v>
      </c>
      <c r="AQ548" s="60">
        <v>0</v>
      </c>
      <c r="AR548" s="61">
        <f t="shared" si="220"/>
        <v>0</v>
      </c>
      <c r="AS548" s="60">
        <v>0</v>
      </c>
      <c r="AT548" s="60">
        <v>0</v>
      </c>
      <c r="AU548" s="60">
        <v>0</v>
      </c>
      <c r="AV548" s="60">
        <v>0</v>
      </c>
      <c r="AW548" s="60">
        <v>0</v>
      </c>
      <c r="AX548" s="60">
        <v>0</v>
      </c>
      <c r="AY548" s="61">
        <f t="shared" si="221"/>
        <v>0</v>
      </c>
      <c r="AZ548" s="56">
        <f t="shared" si="207"/>
        <v>0</v>
      </c>
      <c r="BA548" s="62">
        <f t="shared" si="237"/>
        <v>0</v>
      </c>
      <c r="BB548" s="62">
        <f t="shared" si="222"/>
        <v>0</v>
      </c>
      <c r="BC548" s="62">
        <f t="shared" si="238"/>
        <v>0</v>
      </c>
      <c r="BD548" s="63"/>
      <c r="BE548" s="57"/>
      <c r="BF548" s="35" t="e">
        <f>VLOOKUP(A:A,'2023-2027'!A:G,1,+FALSE)</f>
        <v>#N/A</v>
      </c>
      <c r="BG548" s="7" t="e">
        <f t="shared" si="231"/>
        <v>#N/A</v>
      </c>
      <c r="BH548" s="35"/>
    </row>
    <row r="549" spans="1:60" ht="12" hidden="1" customHeight="1" outlineLevel="1" x14ac:dyDescent="0.2">
      <c r="A549" s="59" t="s">
        <v>1340</v>
      </c>
      <c r="B549" s="59" t="s">
        <v>44</v>
      </c>
      <c r="C549" s="59" t="s">
        <v>82</v>
      </c>
      <c r="D549" s="65" t="s">
        <v>1341</v>
      </c>
      <c r="E549" s="59" t="s">
        <v>611</v>
      </c>
      <c r="F549" s="60">
        <v>27034.07</v>
      </c>
      <c r="G549" s="60">
        <v>27034.07</v>
      </c>
      <c r="H549" s="59"/>
      <c r="I549" s="59"/>
      <c r="J549" s="59"/>
      <c r="K549" s="60">
        <v>27034.07</v>
      </c>
      <c r="L549" s="60">
        <v>27034.07</v>
      </c>
      <c r="M549" s="59"/>
      <c r="N549" s="59"/>
      <c r="O549" s="59"/>
      <c r="P549" s="67"/>
      <c r="Q549" s="67"/>
      <c r="R549" s="61">
        <f t="shared" si="217"/>
        <v>0</v>
      </c>
      <c r="S549" s="60">
        <v>0</v>
      </c>
      <c r="T549" s="60">
        <v>0</v>
      </c>
      <c r="U549" s="60">
        <v>0</v>
      </c>
      <c r="V549" s="60">
        <v>0</v>
      </c>
      <c r="W549" s="60">
        <v>0</v>
      </c>
      <c r="X549" s="61">
        <f t="shared" si="218"/>
        <v>0</v>
      </c>
      <c r="Y549" s="60">
        <v>0</v>
      </c>
      <c r="Z549" s="60">
        <v>0</v>
      </c>
      <c r="AA549" s="60">
        <v>0</v>
      </c>
      <c r="AB549" s="60">
        <v>0</v>
      </c>
      <c r="AC549" s="60">
        <v>0</v>
      </c>
      <c r="AD549" s="60">
        <v>0</v>
      </c>
      <c r="AE549" s="61">
        <f t="shared" si="224"/>
        <v>0</v>
      </c>
      <c r="AF549" s="62">
        <f t="shared" si="236"/>
        <v>0</v>
      </c>
      <c r="AG549" s="62">
        <f t="shared" si="233"/>
        <v>0</v>
      </c>
      <c r="AH549" s="62">
        <f t="shared" si="225"/>
        <v>0</v>
      </c>
      <c r="AI549" s="63"/>
      <c r="AJ549" s="63"/>
      <c r="AK549" s="62"/>
      <c r="AL549" s="60">
        <v>0</v>
      </c>
      <c r="AM549" s="60">
        <v>0</v>
      </c>
      <c r="AN549" s="60">
        <v>0</v>
      </c>
      <c r="AO549" s="60">
        <v>0</v>
      </c>
      <c r="AP549" s="60">
        <v>0</v>
      </c>
      <c r="AQ549" s="60">
        <v>0</v>
      </c>
      <c r="AR549" s="61">
        <f t="shared" si="220"/>
        <v>0</v>
      </c>
      <c r="AS549" s="60">
        <v>0</v>
      </c>
      <c r="AT549" s="60">
        <v>0</v>
      </c>
      <c r="AU549" s="60">
        <v>0</v>
      </c>
      <c r="AV549" s="60">
        <v>0</v>
      </c>
      <c r="AW549" s="60">
        <v>0</v>
      </c>
      <c r="AX549" s="60">
        <v>0</v>
      </c>
      <c r="AY549" s="61">
        <f t="shared" si="221"/>
        <v>0</v>
      </c>
      <c r="AZ549" s="56">
        <f t="shared" si="207"/>
        <v>0</v>
      </c>
      <c r="BA549" s="62">
        <f t="shared" si="237"/>
        <v>0</v>
      </c>
      <c r="BB549" s="62">
        <f t="shared" si="222"/>
        <v>0</v>
      </c>
      <c r="BC549" s="62">
        <f t="shared" si="238"/>
        <v>0</v>
      </c>
      <c r="BD549" s="63"/>
      <c r="BE549" s="57"/>
      <c r="BF549" s="35" t="e">
        <f>VLOOKUP(A:A,'2023-2027'!A:G,1,+FALSE)</f>
        <v>#N/A</v>
      </c>
      <c r="BG549" s="7" t="e">
        <f t="shared" si="231"/>
        <v>#N/A</v>
      </c>
      <c r="BH549" s="35"/>
    </row>
    <row r="550" spans="1:60" ht="36" hidden="1" customHeight="1" outlineLevel="1" x14ac:dyDescent="0.2">
      <c r="A550" s="59" t="s">
        <v>1342</v>
      </c>
      <c r="B550" s="59" t="s">
        <v>44</v>
      </c>
      <c r="C550" s="59" t="s">
        <v>82</v>
      </c>
      <c r="D550" s="65" t="s">
        <v>1343</v>
      </c>
      <c r="E550" s="59" t="s">
        <v>269</v>
      </c>
      <c r="F550" s="60">
        <v>122881.36</v>
      </c>
      <c r="G550" s="60">
        <v>75919.960000000006</v>
      </c>
      <c r="H550" s="60">
        <v>46961.4</v>
      </c>
      <c r="I550" s="59"/>
      <c r="J550" s="60">
        <v>9392.2800000000007</v>
      </c>
      <c r="K550" s="59"/>
      <c r="L550" s="59"/>
      <c r="M550" s="60">
        <v>122881.36</v>
      </c>
      <c r="N550" s="60">
        <v>85312.24</v>
      </c>
      <c r="O550" s="60">
        <v>37569.120000000003</v>
      </c>
      <c r="P550" s="55"/>
      <c r="Q550" s="55"/>
      <c r="R550" s="61">
        <f t="shared" si="217"/>
        <v>782.69</v>
      </c>
      <c r="S550" s="60">
        <v>782.69</v>
      </c>
      <c r="T550" s="60">
        <v>782.69</v>
      </c>
      <c r="U550" s="60">
        <v>782.69</v>
      </c>
      <c r="V550" s="60">
        <v>782.69</v>
      </c>
      <c r="W550" s="60">
        <v>782.69</v>
      </c>
      <c r="X550" s="61">
        <f t="shared" si="218"/>
        <v>4696.1400000000003</v>
      </c>
      <c r="Y550" s="60">
        <v>782.69</v>
      </c>
      <c r="Z550" s="60">
        <v>782.69</v>
      </c>
      <c r="AA550" s="60">
        <v>782.69</v>
      </c>
      <c r="AB550" s="60">
        <v>782.69</v>
      </c>
      <c r="AC550" s="60">
        <v>782.69</v>
      </c>
      <c r="AD550" s="60">
        <v>782.69</v>
      </c>
      <c r="AE550" s="61">
        <f t="shared" si="224"/>
        <v>4696.1400000000003</v>
      </c>
      <c r="AF550" s="62">
        <f t="shared" si="236"/>
        <v>122881.36</v>
      </c>
      <c r="AG550" s="62">
        <f t="shared" si="233"/>
        <v>94704.520000000033</v>
      </c>
      <c r="AH550" s="62">
        <f t="shared" si="225"/>
        <v>28176.839999999967</v>
      </c>
      <c r="AI550" s="63"/>
      <c r="AJ550" s="63"/>
      <c r="AK550" s="62"/>
      <c r="AL550" s="60">
        <v>782.69</v>
      </c>
      <c r="AM550" s="60">
        <v>782.69</v>
      </c>
      <c r="AN550" s="60">
        <v>782.69</v>
      </c>
      <c r="AO550" s="60">
        <v>782.69</v>
      </c>
      <c r="AP550" s="60">
        <v>782.69</v>
      </c>
      <c r="AQ550" s="60">
        <v>782.69</v>
      </c>
      <c r="AR550" s="61">
        <f t="shared" si="220"/>
        <v>4696.1400000000003</v>
      </c>
      <c r="AS550" s="60">
        <v>782.69</v>
      </c>
      <c r="AT550" s="60">
        <v>782.69</v>
      </c>
      <c r="AU550" s="60">
        <v>782.69</v>
      </c>
      <c r="AV550" s="60">
        <v>782.69</v>
      </c>
      <c r="AW550" s="60">
        <v>782.69</v>
      </c>
      <c r="AX550" s="60">
        <v>782.69</v>
      </c>
      <c r="AY550" s="61">
        <f t="shared" si="221"/>
        <v>4696.1400000000003</v>
      </c>
      <c r="AZ550" s="56">
        <f t="shared" si="207"/>
        <v>9392.2800000000007</v>
      </c>
      <c r="BA550" s="62">
        <f t="shared" si="237"/>
        <v>122881.36</v>
      </c>
      <c r="BB550" s="62">
        <f t="shared" si="222"/>
        <v>104096.80000000006</v>
      </c>
      <c r="BC550" s="62">
        <f t="shared" si="238"/>
        <v>18784.559999999939</v>
      </c>
      <c r="BD550" s="63"/>
      <c r="BE550" s="57"/>
      <c r="BF550" s="35" t="e">
        <f>VLOOKUP(A:A,'2023-2027'!A:G,1,+FALSE)</f>
        <v>#N/A</v>
      </c>
      <c r="BG550" s="7" t="e">
        <f t="shared" si="231"/>
        <v>#N/A</v>
      </c>
      <c r="BH550" s="35"/>
    </row>
    <row r="551" spans="1:60" ht="12" hidden="1" customHeight="1" outlineLevel="1" x14ac:dyDescent="0.2">
      <c r="A551" s="59" t="s">
        <v>1344</v>
      </c>
      <c r="B551" s="59" t="s">
        <v>44</v>
      </c>
      <c r="C551" s="59" t="s">
        <v>82</v>
      </c>
      <c r="D551" s="65" t="s">
        <v>1345</v>
      </c>
      <c r="E551" s="59" t="s">
        <v>1272</v>
      </c>
      <c r="F551" s="60">
        <v>19710</v>
      </c>
      <c r="G551" s="60">
        <v>19710</v>
      </c>
      <c r="H551" s="59"/>
      <c r="I551" s="59"/>
      <c r="J551" s="59"/>
      <c r="K551" s="60">
        <v>19710</v>
      </c>
      <c r="L551" s="60">
        <v>19710</v>
      </c>
      <c r="M551" s="59"/>
      <c r="N551" s="59"/>
      <c r="O551" s="59"/>
      <c r="P551" s="67"/>
      <c r="Q551" s="67"/>
      <c r="R551" s="61">
        <f t="shared" si="217"/>
        <v>0</v>
      </c>
      <c r="S551" s="60">
        <v>0</v>
      </c>
      <c r="T551" s="60">
        <v>0</v>
      </c>
      <c r="U551" s="60">
        <v>0</v>
      </c>
      <c r="V551" s="60">
        <v>0</v>
      </c>
      <c r="W551" s="60">
        <v>0</v>
      </c>
      <c r="X551" s="61">
        <f t="shared" si="218"/>
        <v>0</v>
      </c>
      <c r="Y551" s="60">
        <v>0</v>
      </c>
      <c r="Z551" s="60">
        <v>0</v>
      </c>
      <c r="AA551" s="60">
        <v>0</v>
      </c>
      <c r="AB551" s="60">
        <v>0</v>
      </c>
      <c r="AC551" s="60">
        <v>0</v>
      </c>
      <c r="AD551" s="60">
        <v>0</v>
      </c>
      <c r="AE551" s="61">
        <f t="shared" si="224"/>
        <v>0</v>
      </c>
      <c r="AF551" s="62">
        <f t="shared" si="236"/>
        <v>0</v>
      </c>
      <c r="AG551" s="62">
        <f t="shared" si="233"/>
        <v>0</v>
      </c>
      <c r="AH551" s="62">
        <f t="shared" si="225"/>
        <v>0</v>
      </c>
      <c r="AI551" s="63"/>
      <c r="AJ551" s="63"/>
      <c r="AK551" s="62"/>
      <c r="AL551" s="60">
        <v>0</v>
      </c>
      <c r="AM551" s="60">
        <v>0</v>
      </c>
      <c r="AN551" s="60">
        <v>0</v>
      </c>
      <c r="AO551" s="60">
        <v>0</v>
      </c>
      <c r="AP551" s="60">
        <v>0</v>
      </c>
      <c r="AQ551" s="60">
        <v>0</v>
      </c>
      <c r="AR551" s="61">
        <f t="shared" si="220"/>
        <v>0</v>
      </c>
      <c r="AS551" s="60">
        <v>0</v>
      </c>
      <c r="AT551" s="60">
        <v>0</v>
      </c>
      <c r="AU551" s="60">
        <v>0</v>
      </c>
      <c r="AV551" s="60">
        <v>0</v>
      </c>
      <c r="AW551" s="60">
        <v>0</v>
      </c>
      <c r="AX551" s="60">
        <v>0</v>
      </c>
      <c r="AY551" s="61">
        <f t="shared" si="221"/>
        <v>0</v>
      </c>
      <c r="AZ551" s="56">
        <f t="shared" si="207"/>
        <v>0</v>
      </c>
      <c r="BA551" s="62">
        <f t="shared" si="237"/>
        <v>0</v>
      </c>
      <c r="BB551" s="62">
        <f t="shared" si="222"/>
        <v>0</v>
      </c>
      <c r="BC551" s="62">
        <f t="shared" si="238"/>
        <v>0</v>
      </c>
      <c r="BD551" s="63"/>
      <c r="BE551" s="57"/>
      <c r="BF551" s="35" t="e">
        <f>VLOOKUP(A:A,'2023-2027'!A:G,1,+FALSE)</f>
        <v>#N/A</v>
      </c>
      <c r="BG551" s="7" t="e">
        <f t="shared" si="231"/>
        <v>#N/A</v>
      </c>
      <c r="BH551" s="35"/>
    </row>
    <row r="552" spans="1:60" ht="12" hidden="1" customHeight="1" outlineLevel="1" x14ac:dyDescent="0.2">
      <c r="A552" s="59" t="s">
        <v>1346</v>
      </c>
      <c r="B552" s="59" t="s">
        <v>44</v>
      </c>
      <c r="C552" s="59" t="s">
        <v>82</v>
      </c>
      <c r="D552" s="65" t="s">
        <v>1347</v>
      </c>
      <c r="E552" s="59" t="s">
        <v>1348</v>
      </c>
      <c r="F552" s="60">
        <v>39200</v>
      </c>
      <c r="G552" s="60">
        <v>39200</v>
      </c>
      <c r="H552" s="59"/>
      <c r="I552" s="59"/>
      <c r="J552" s="59"/>
      <c r="K552" s="60">
        <v>39200</v>
      </c>
      <c r="L552" s="60">
        <v>39200</v>
      </c>
      <c r="M552" s="59"/>
      <c r="N552" s="59"/>
      <c r="O552" s="59"/>
      <c r="P552" s="67"/>
      <c r="Q552" s="67"/>
      <c r="R552" s="61">
        <f t="shared" si="217"/>
        <v>0</v>
      </c>
      <c r="S552" s="60">
        <v>0</v>
      </c>
      <c r="T552" s="60">
        <v>0</v>
      </c>
      <c r="U552" s="60">
        <v>0</v>
      </c>
      <c r="V552" s="60">
        <v>0</v>
      </c>
      <c r="W552" s="60">
        <v>0</v>
      </c>
      <c r="X552" s="61">
        <f t="shared" si="218"/>
        <v>0</v>
      </c>
      <c r="Y552" s="60">
        <v>0</v>
      </c>
      <c r="Z552" s="60">
        <v>0</v>
      </c>
      <c r="AA552" s="60">
        <v>0</v>
      </c>
      <c r="AB552" s="60">
        <v>0</v>
      </c>
      <c r="AC552" s="60">
        <v>0</v>
      </c>
      <c r="AD552" s="60">
        <v>0</v>
      </c>
      <c r="AE552" s="61">
        <f t="shared" si="224"/>
        <v>0</v>
      </c>
      <c r="AF552" s="62">
        <f t="shared" si="236"/>
        <v>0</v>
      </c>
      <c r="AG552" s="62">
        <f t="shared" si="233"/>
        <v>0</v>
      </c>
      <c r="AH552" s="62">
        <f t="shared" si="225"/>
        <v>0</v>
      </c>
      <c r="AI552" s="63"/>
      <c r="AJ552" s="63"/>
      <c r="AK552" s="62"/>
      <c r="AL552" s="60">
        <v>0</v>
      </c>
      <c r="AM552" s="60">
        <v>0</v>
      </c>
      <c r="AN552" s="60">
        <v>0</v>
      </c>
      <c r="AO552" s="60">
        <v>0</v>
      </c>
      <c r="AP552" s="60">
        <v>0</v>
      </c>
      <c r="AQ552" s="60">
        <v>0</v>
      </c>
      <c r="AR552" s="61">
        <f t="shared" si="220"/>
        <v>0</v>
      </c>
      <c r="AS552" s="60">
        <v>0</v>
      </c>
      <c r="AT552" s="60">
        <v>0</v>
      </c>
      <c r="AU552" s="60">
        <v>0</v>
      </c>
      <c r="AV552" s="60">
        <v>0</v>
      </c>
      <c r="AW552" s="60">
        <v>0</v>
      </c>
      <c r="AX552" s="60">
        <v>0</v>
      </c>
      <c r="AY552" s="61">
        <f t="shared" si="221"/>
        <v>0</v>
      </c>
      <c r="AZ552" s="56">
        <f t="shared" si="207"/>
        <v>0</v>
      </c>
      <c r="BA552" s="62">
        <f t="shared" si="237"/>
        <v>0</v>
      </c>
      <c r="BB552" s="62">
        <f t="shared" si="222"/>
        <v>0</v>
      </c>
      <c r="BC552" s="62">
        <f t="shared" si="238"/>
        <v>0</v>
      </c>
      <c r="BD552" s="63"/>
      <c r="BE552" s="57"/>
      <c r="BF552" s="35" t="e">
        <f>VLOOKUP(A:A,'2023-2027'!A:G,1,+FALSE)</f>
        <v>#N/A</v>
      </c>
      <c r="BG552" s="7" t="e">
        <f t="shared" si="231"/>
        <v>#N/A</v>
      </c>
      <c r="BH552" s="35"/>
    </row>
    <row r="553" spans="1:60" ht="24" hidden="1" customHeight="1" outlineLevel="1" x14ac:dyDescent="0.2">
      <c r="A553" s="59" t="s">
        <v>1349</v>
      </c>
      <c r="B553" s="59" t="s">
        <v>44</v>
      </c>
      <c r="C553" s="59" t="s">
        <v>82</v>
      </c>
      <c r="D553" s="66" t="s">
        <v>1350</v>
      </c>
      <c r="E553" s="59" t="s">
        <v>1351</v>
      </c>
      <c r="F553" s="60">
        <v>227204.17</v>
      </c>
      <c r="G553" s="60">
        <v>27453.72</v>
      </c>
      <c r="H553" s="60">
        <v>199750.45</v>
      </c>
      <c r="I553" s="59"/>
      <c r="J553" s="60">
        <v>11360.16</v>
      </c>
      <c r="K553" s="59"/>
      <c r="L553" s="59"/>
      <c r="M553" s="60">
        <v>227204.17</v>
      </c>
      <c r="N553" s="60">
        <v>38813.879999999997</v>
      </c>
      <c r="O553" s="60">
        <v>188390.29</v>
      </c>
      <c r="P553" s="55"/>
      <c r="Q553" s="55"/>
      <c r="R553" s="61">
        <f t="shared" si="217"/>
        <v>946.68</v>
      </c>
      <c r="S553" s="60">
        <v>946.68</v>
      </c>
      <c r="T553" s="60">
        <v>946.68</v>
      </c>
      <c r="U553" s="60">
        <v>946.68</v>
      </c>
      <c r="V553" s="60">
        <v>946.68</v>
      </c>
      <c r="W553" s="60">
        <v>946.68</v>
      </c>
      <c r="X553" s="61">
        <f t="shared" si="218"/>
        <v>5680.08</v>
      </c>
      <c r="Y553" s="60">
        <v>946.68</v>
      </c>
      <c r="Z553" s="60">
        <v>946.68</v>
      </c>
      <c r="AA553" s="60">
        <v>946.68</v>
      </c>
      <c r="AB553" s="60">
        <v>946.68</v>
      </c>
      <c r="AC553" s="60">
        <v>946.68</v>
      </c>
      <c r="AD553" s="60">
        <v>946.68</v>
      </c>
      <c r="AE553" s="61">
        <f t="shared" si="224"/>
        <v>5680.08</v>
      </c>
      <c r="AF553" s="62">
        <f t="shared" si="236"/>
        <v>227204.17</v>
      </c>
      <c r="AG553" s="62">
        <f t="shared" si="233"/>
        <v>50174.04</v>
      </c>
      <c r="AH553" s="62">
        <f t="shared" si="225"/>
        <v>177030.13</v>
      </c>
      <c r="AI553" s="63"/>
      <c r="AJ553" s="63"/>
      <c r="AK553" s="62"/>
      <c r="AL553" s="60">
        <v>946.68</v>
      </c>
      <c r="AM553" s="60">
        <v>946.68</v>
      </c>
      <c r="AN553" s="60">
        <v>946.68</v>
      </c>
      <c r="AO553" s="60">
        <v>946.68</v>
      </c>
      <c r="AP553" s="60">
        <v>946.68</v>
      </c>
      <c r="AQ553" s="60">
        <v>946.68</v>
      </c>
      <c r="AR553" s="61">
        <f t="shared" si="220"/>
        <v>5680.08</v>
      </c>
      <c r="AS553" s="60">
        <v>946.68</v>
      </c>
      <c r="AT553" s="60">
        <v>946.68</v>
      </c>
      <c r="AU553" s="60">
        <v>946.68</v>
      </c>
      <c r="AV553" s="60">
        <v>946.68</v>
      </c>
      <c r="AW553" s="60">
        <v>946.68</v>
      </c>
      <c r="AX553" s="60">
        <v>946.68</v>
      </c>
      <c r="AY553" s="61">
        <f t="shared" si="221"/>
        <v>5680.08</v>
      </c>
      <c r="AZ553" s="56">
        <f t="shared" si="207"/>
        <v>11360.16</v>
      </c>
      <c r="BA553" s="62">
        <f t="shared" si="237"/>
        <v>227204.17</v>
      </c>
      <c r="BB553" s="62">
        <f t="shared" si="222"/>
        <v>61534.200000000004</v>
      </c>
      <c r="BC553" s="62">
        <f t="shared" si="238"/>
        <v>165669.97</v>
      </c>
      <c r="BD553" s="63"/>
      <c r="BE553" s="57"/>
      <c r="BF553" s="35" t="str">
        <f>VLOOKUP(A:A,'2023-2027'!A:G,1,+FALSE)</f>
        <v>Блок МПЗ SEPAM 1000+ S42 зав.19132637</v>
      </c>
      <c r="BG553" s="7" t="b">
        <f t="shared" si="231"/>
        <v>1</v>
      </c>
      <c r="BH553" s="35">
        <f>VLOOKUP(A:A,'2023-2027'!A:AT,43,+FALSE)</f>
        <v>946.68000000000018</v>
      </c>
    </row>
    <row r="554" spans="1:60" ht="24" hidden="1" customHeight="1" outlineLevel="1" x14ac:dyDescent="0.2">
      <c r="A554" s="59" t="s">
        <v>1352</v>
      </c>
      <c r="B554" s="59" t="s">
        <v>44</v>
      </c>
      <c r="C554" s="59" t="s">
        <v>82</v>
      </c>
      <c r="D554" s="65" t="s">
        <v>1353</v>
      </c>
      <c r="E554" s="59" t="s">
        <v>1354</v>
      </c>
      <c r="F554" s="60">
        <v>11323</v>
      </c>
      <c r="G554" s="60">
        <v>8746.43</v>
      </c>
      <c r="H554" s="60">
        <v>2576.5700000000002</v>
      </c>
      <c r="I554" s="59"/>
      <c r="J554" s="68">
        <v>257.64</v>
      </c>
      <c r="K554" s="59"/>
      <c r="L554" s="59"/>
      <c r="M554" s="60">
        <v>11323</v>
      </c>
      <c r="N554" s="60">
        <v>9004.07</v>
      </c>
      <c r="O554" s="60">
        <v>2318.9299999999998</v>
      </c>
      <c r="P554" s="55">
        <v>2447.75</v>
      </c>
      <c r="Q554" s="55">
        <f t="shared" ref="Q554:Q566" si="240">P554*2.2%</f>
        <v>53.850500000000004</v>
      </c>
      <c r="R554" s="61">
        <f t="shared" si="217"/>
        <v>21.47</v>
      </c>
      <c r="S554" s="60">
        <v>21.47</v>
      </c>
      <c r="T554" s="60">
        <v>21.47</v>
      </c>
      <c r="U554" s="60">
        <v>21.47</v>
      </c>
      <c r="V554" s="60">
        <v>21.47</v>
      </c>
      <c r="W554" s="60">
        <v>21.47</v>
      </c>
      <c r="X554" s="61">
        <f t="shared" si="218"/>
        <v>128.82</v>
      </c>
      <c r="Y554" s="60">
        <v>21.47</v>
      </c>
      <c r="Z554" s="60">
        <v>21.47</v>
      </c>
      <c r="AA554" s="60">
        <v>21.47</v>
      </c>
      <c r="AB554" s="60">
        <v>21.47</v>
      </c>
      <c r="AC554" s="60">
        <v>21.47</v>
      </c>
      <c r="AD554" s="60">
        <v>21.47</v>
      </c>
      <c r="AE554" s="61">
        <f t="shared" si="224"/>
        <v>128.82</v>
      </c>
      <c r="AF554" s="62">
        <f t="shared" si="236"/>
        <v>11323</v>
      </c>
      <c r="AG554" s="62">
        <f t="shared" si="233"/>
        <v>9261.7099999999919</v>
      </c>
      <c r="AH554" s="62">
        <f t="shared" si="225"/>
        <v>2061.2900000000081</v>
      </c>
      <c r="AI554" s="63">
        <v>2190.1099999999983</v>
      </c>
      <c r="AJ554" s="63">
        <f t="shared" ref="AJ554:AJ566" si="241">AI554*2.2%</f>
        <v>48.182419999999965</v>
      </c>
      <c r="AK554" s="72">
        <f t="shared" ref="AK554:AK566" si="242">AI554*2.2%</f>
        <v>48.182419999999965</v>
      </c>
      <c r="AL554" s="60">
        <v>21.47</v>
      </c>
      <c r="AM554" s="60">
        <v>21.47</v>
      </c>
      <c r="AN554" s="60">
        <v>21.47</v>
      </c>
      <c r="AO554" s="60">
        <v>21.47</v>
      </c>
      <c r="AP554" s="60">
        <v>21.47</v>
      </c>
      <c r="AQ554" s="60">
        <v>21.47</v>
      </c>
      <c r="AR554" s="61">
        <f t="shared" si="220"/>
        <v>128.82</v>
      </c>
      <c r="AS554" s="60">
        <v>21.47</v>
      </c>
      <c r="AT554" s="60">
        <v>21.47</v>
      </c>
      <c r="AU554" s="60">
        <v>21.47</v>
      </c>
      <c r="AV554" s="60">
        <v>21.47</v>
      </c>
      <c r="AW554" s="60">
        <v>21.47</v>
      </c>
      <c r="AX554" s="60">
        <v>21.47</v>
      </c>
      <c r="AY554" s="61">
        <f t="shared" si="221"/>
        <v>128.82</v>
      </c>
      <c r="AZ554" s="56">
        <f t="shared" si="207"/>
        <v>257.64</v>
      </c>
      <c r="BA554" s="62">
        <f t="shared" si="237"/>
        <v>11323</v>
      </c>
      <c r="BB554" s="62">
        <f t="shared" si="222"/>
        <v>9519.349999999984</v>
      </c>
      <c r="BC554" s="62">
        <f t="shared" si="238"/>
        <v>1803.650000000016</v>
      </c>
      <c r="BD554" s="63">
        <v>1932.4699999999953</v>
      </c>
      <c r="BE554" s="57">
        <f t="shared" ref="BE554:BE566" si="243">BD554*2.2%</f>
        <v>42.514339999999898</v>
      </c>
      <c r="BF554" s="35" t="e">
        <f>VLOOKUP(A:A,'2023-2027'!A:G,1,+FALSE)</f>
        <v>#N/A</v>
      </c>
      <c r="BG554" s="7" t="e">
        <f t="shared" si="231"/>
        <v>#N/A</v>
      </c>
      <c r="BH554" s="35"/>
    </row>
    <row r="555" spans="1:60" ht="24" hidden="1" customHeight="1" outlineLevel="1" x14ac:dyDescent="0.2">
      <c r="A555" s="59" t="s">
        <v>1355</v>
      </c>
      <c r="B555" s="59" t="s">
        <v>44</v>
      </c>
      <c r="C555" s="59" t="s">
        <v>82</v>
      </c>
      <c r="D555" s="65" t="s">
        <v>1356</v>
      </c>
      <c r="E555" s="59" t="s">
        <v>1235</v>
      </c>
      <c r="F555" s="60">
        <v>9054</v>
      </c>
      <c r="G555" s="60">
        <v>6894</v>
      </c>
      <c r="H555" s="60">
        <v>2160</v>
      </c>
      <c r="I555" s="59"/>
      <c r="J555" s="68">
        <v>216</v>
      </c>
      <c r="K555" s="59"/>
      <c r="L555" s="59"/>
      <c r="M555" s="60">
        <v>9054</v>
      </c>
      <c r="N555" s="60">
        <v>7110</v>
      </c>
      <c r="O555" s="60">
        <v>1944</v>
      </c>
      <c r="P555" s="55">
        <v>2052</v>
      </c>
      <c r="Q555" s="55">
        <f t="shared" si="240"/>
        <v>45.144000000000005</v>
      </c>
      <c r="R555" s="61">
        <f t="shared" si="217"/>
        <v>18</v>
      </c>
      <c r="S555" s="60">
        <v>18</v>
      </c>
      <c r="T555" s="60">
        <v>18</v>
      </c>
      <c r="U555" s="60">
        <v>18</v>
      </c>
      <c r="V555" s="60">
        <v>18</v>
      </c>
      <c r="W555" s="60">
        <v>18</v>
      </c>
      <c r="X555" s="61">
        <f t="shared" si="218"/>
        <v>108</v>
      </c>
      <c r="Y555" s="60">
        <v>18</v>
      </c>
      <c r="Z555" s="60">
        <v>18</v>
      </c>
      <c r="AA555" s="60">
        <v>18</v>
      </c>
      <c r="AB555" s="60">
        <v>18</v>
      </c>
      <c r="AC555" s="60">
        <v>18</v>
      </c>
      <c r="AD555" s="60">
        <v>18</v>
      </c>
      <c r="AE555" s="61">
        <f t="shared" si="224"/>
        <v>108</v>
      </c>
      <c r="AF555" s="62">
        <f t="shared" si="236"/>
        <v>9054</v>
      </c>
      <c r="AG555" s="62">
        <f t="shared" si="233"/>
        <v>7326</v>
      </c>
      <c r="AH555" s="62">
        <f t="shared" si="225"/>
        <v>1728</v>
      </c>
      <c r="AI555" s="63">
        <v>1836</v>
      </c>
      <c r="AJ555" s="63">
        <f t="shared" si="241"/>
        <v>40.392000000000003</v>
      </c>
      <c r="AK555" s="72">
        <f t="shared" si="242"/>
        <v>40.392000000000003</v>
      </c>
      <c r="AL555" s="60">
        <v>18</v>
      </c>
      <c r="AM555" s="60">
        <v>18</v>
      </c>
      <c r="AN555" s="60">
        <v>18</v>
      </c>
      <c r="AO555" s="60">
        <v>18</v>
      </c>
      <c r="AP555" s="60">
        <v>18</v>
      </c>
      <c r="AQ555" s="60">
        <v>18</v>
      </c>
      <c r="AR555" s="61">
        <f t="shared" si="220"/>
        <v>108</v>
      </c>
      <c r="AS555" s="60">
        <v>18</v>
      </c>
      <c r="AT555" s="60">
        <v>18</v>
      </c>
      <c r="AU555" s="60">
        <v>18</v>
      </c>
      <c r="AV555" s="60">
        <v>18</v>
      </c>
      <c r="AW555" s="60">
        <v>18</v>
      </c>
      <c r="AX555" s="60">
        <v>18</v>
      </c>
      <c r="AY555" s="61">
        <f t="shared" si="221"/>
        <v>108</v>
      </c>
      <c r="AZ555" s="56">
        <f t="shared" si="207"/>
        <v>216</v>
      </c>
      <c r="BA555" s="62">
        <f t="shared" si="237"/>
        <v>9054</v>
      </c>
      <c r="BB555" s="62">
        <f t="shared" si="222"/>
        <v>7542</v>
      </c>
      <c r="BC555" s="62">
        <f t="shared" si="238"/>
        <v>1512</v>
      </c>
      <c r="BD555" s="63">
        <v>1620</v>
      </c>
      <c r="BE555" s="57">
        <f t="shared" si="243"/>
        <v>35.64</v>
      </c>
      <c r="BF555" s="35" t="e">
        <f>VLOOKUP(A:A,'2023-2027'!A:G,1,+FALSE)</f>
        <v>#N/A</v>
      </c>
      <c r="BG555" s="7" t="e">
        <f t="shared" si="231"/>
        <v>#N/A</v>
      </c>
      <c r="BH555" s="35"/>
    </row>
    <row r="556" spans="1:60" ht="24" hidden="1" customHeight="1" outlineLevel="1" x14ac:dyDescent="0.2">
      <c r="A556" s="59" t="s">
        <v>1357</v>
      </c>
      <c r="B556" s="59" t="s">
        <v>44</v>
      </c>
      <c r="C556" s="59" t="s">
        <v>82</v>
      </c>
      <c r="D556" s="65" t="s">
        <v>1358</v>
      </c>
      <c r="E556" s="59" t="s">
        <v>721</v>
      </c>
      <c r="F556" s="60">
        <v>2258</v>
      </c>
      <c r="G556" s="60">
        <v>1944.04</v>
      </c>
      <c r="H556" s="68">
        <v>313.95999999999998</v>
      </c>
      <c r="I556" s="59"/>
      <c r="J556" s="68">
        <v>62.76</v>
      </c>
      <c r="K556" s="59"/>
      <c r="L556" s="59"/>
      <c r="M556" s="60">
        <v>2258</v>
      </c>
      <c r="N556" s="60">
        <v>2006.8</v>
      </c>
      <c r="O556" s="68">
        <v>251.2</v>
      </c>
      <c r="P556" s="82">
        <v>282.58</v>
      </c>
      <c r="Q556" s="55">
        <f t="shared" si="240"/>
        <v>6.2167599999999998</v>
      </c>
      <c r="R556" s="61">
        <f t="shared" si="217"/>
        <v>5.2299999999999995</v>
      </c>
      <c r="S556" s="60">
        <v>5.23</v>
      </c>
      <c r="T556" s="60">
        <v>5.23</v>
      </c>
      <c r="U556" s="60">
        <v>5.23</v>
      </c>
      <c r="V556" s="60">
        <v>5.23</v>
      </c>
      <c r="W556" s="60">
        <v>5.23</v>
      </c>
      <c r="X556" s="61">
        <f t="shared" si="218"/>
        <v>31.380000000000003</v>
      </c>
      <c r="Y556" s="60">
        <v>5.23</v>
      </c>
      <c r="Z556" s="60">
        <v>5.23</v>
      </c>
      <c r="AA556" s="60">
        <v>5.23</v>
      </c>
      <c r="AB556" s="60">
        <v>5.23</v>
      </c>
      <c r="AC556" s="60">
        <v>5.23</v>
      </c>
      <c r="AD556" s="60">
        <v>5.23</v>
      </c>
      <c r="AE556" s="61">
        <f t="shared" si="224"/>
        <v>31.380000000000003</v>
      </c>
      <c r="AF556" s="62">
        <f t="shared" si="236"/>
        <v>2258</v>
      </c>
      <c r="AG556" s="62">
        <f t="shared" si="233"/>
        <v>2069.56</v>
      </c>
      <c r="AH556" s="62">
        <f t="shared" si="225"/>
        <v>188.44000000000005</v>
      </c>
      <c r="AI556" s="63">
        <v>219.82000000000022</v>
      </c>
      <c r="AJ556" s="63">
        <f t="shared" si="241"/>
        <v>4.836040000000005</v>
      </c>
      <c r="AK556" s="72">
        <f t="shared" si="242"/>
        <v>4.836040000000005</v>
      </c>
      <c r="AL556" s="60">
        <v>5.23</v>
      </c>
      <c r="AM556" s="60">
        <v>5.23</v>
      </c>
      <c r="AN556" s="60">
        <v>5.23</v>
      </c>
      <c r="AO556" s="60">
        <v>5.23</v>
      </c>
      <c r="AP556" s="60">
        <v>5.23</v>
      </c>
      <c r="AQ556" s="60">
        <v>5.23</v>
      </c>
      <c r="AR556" s="61">
        <f t="shared" si="220"/>
        <v>31.380000000000003</v>
      </c>
      <c r="AS556" s="60">
        <v>5.23</v>
      </c>
      <c r="AT556" s="60">
        <v>5.23</v>
      </c>
      <c r="AU556" s="60">
        <v>5.23</v>
      </c>
      <c r="AV556" s="60">
        <v>5.23</v>
      </c>
      <c r="AW556" s="60">
        <v>5.23</v>
      </c>
      <c r="AX556" s="60">
        <v>5.23</v>
      </c>
      <c r="AY556" s="61">
        <f t="shared" si="221"/>
        <v>31.380000000000003</v>
      </c>
      <c r="AZ556" s="56">
        <f t="shared" si="207"/>
        <v>62.760000000000005</v>
      </c>
      <c r="BA556" s="62">
        <f t="shared" si="237"/>
        <v>2258</v>
      </c>
      <c r="BB556" s="62">
        <f t="shared" si="222"/>
        <v>2132.3200000000002</v>
      </c>
      <c r="BC556" s="62">
        <f t="shared" si="238"/>
        <v>125.67999999999984</v>
      </c>
      <c r="BD556" s="63">
        <v>157.06000000000066</v>
      </c>
      <c r="BE556" s="57">
        <f t="shared" si="243"/>
        <v>3.4553200000000146</v>
      </c>
      <c r="BF556" s="35" t="e">
        <f>VLOOKUP(A:A,'2023-2027'!A:G,1,+FALSE)</f>
        <v>#N/A</v>
      </c>
      <c r="BG556" s="7" t="e">
        <f t="shared" si="231"/>
        <v>#N/A</v>
      </c>
      <c r="BH556" s="35"/>
    </row>
    <row r="557" spans="1:60" ht="24" hidden="1" customHeight="1" outlineLevel="1" x14ac:dyDescent="0.2">
      <c r="A557" s="59" t="s">
        <v>1359</v>
      </c>
      <c r="B557" s="59" t="s">
        <v>44</v>
      </c>
      <c r="C557" s="59" t="s">
        <v>82</v>
      </c>
      <c r="D557" s="65" t="s">
        <v>1360</v>
      </c>
      <c r="E557" s="59" t="s">
        <v>1224</v>
      </c>
      <c r="F557" s="60">
        <v>10505</v>
      </c>
      <c r="G557" s="60">
        <v>8058</v>
      </c>
      <c r="H557" s="60">
        <v>2447</v>
      </c>
      <c r="I557" s="59"/>
      <c r="J557" s="68">
        <v>244.68</v>
      </c>
      <c r="K557" s="59"/>
      <c r="L557" s="59"/>
      <c r="M557" s="60">
        <v>10505</v>
      </c>
      <c r="N557" s="60">
        <v>8302.68</v>
      </c>
      <c r="O557" s="60">
        <v>2202.3200000000002</v>
      </c>
      <c r="P557" s="55">
        <v>2324.66</v>
      </c>
      <c r="Q557" s="55">
        <f t="shared" si="240"/>
        <v>51.142520000000005</v>
      </c>
      <c r="R557" s="61">
        <f t="shared" si="217"/>
        <v>20.39</v>
      </c>
      <c r="S557" s="60">
        <v>20.39</v>
      </c>
      <c r="T557" s="60">
        <v>20.39</v>
      </c>
      <c r="U557" s="60">
        <v>20.39</v>
      </c>
      <c r="V557" s="60">
        <v>20.39</v>
      </c>
      <c r="W557" s="60">
        <v>20.39</v>
      </c>
      <c r="X557" s="61">
        <f t="shared" si="218"/>
        <v>122.34</v>
      </c>
      <c r="Y557" s="60">
        <v>20.39</v>
      </c>
      <c r="Z557" s="60">
        <v>20.39</v>
      </c>
      <c r="AA557" s="60">
        <v>20.39</v>
      </c>
      <c r="AB557" s="60">
        <v>20.39</v>
      </c>
      <c r="AC557" s="60">
        <v>20.39</v>
      </c>
      <c r="AD557" s="60">
        <v>20.39</v>
      </c>
      <c r="AE557" s="61">
        <f t="shared" si="224"/>
        <v>122.34</v>
      </c>
      <c r="AF557" s="62">
        <f t="shared" si="236"/>
        <v>10505</v>
      </c>
      <c r="AG557" s="62">
        <f t="shared" si="233"/>
        <v>8547.3599999999933</v>
      </c>
      <c r="AH557" s="62">
        <f t="shared" si="225"/>
        <v>1957.6400000000067</v>
      </c>
      <c r="AI557" s="63">
        <v>2079.9800000000014</v>
      </c>
      <c r="AJ557" s="63">
        <f t="shared" si="241"/>
        <v>45.759560000000036</v>
      </c>
      <c r="AK557" s="72">
        <f t="shared" si="242"/>
        <v>45.759560000000036</v>
      </c>
      <c r="AL557" s="60">
        <v>20.39</v>
      </c>
      <c r="AM557" s="60">
        <v>20.39</v>
      </c>
      <c r="AN557" s="60">
        <v>20.39</v>
      </c>
      <c r="AO557" s="60">
        <v>20.39</v>
      </c>
      <c r="AP557" s="60">
        <v>20.39</v>
      </c>
      <c r="AQ557" s="60">
        <v>20.39</v>
      </c>
      <c r="AR557" s="61">
        <f t="shared" si="220"/>
        <v>122.34</v>
      </c>
      <c r="AS557" s="60">
        <v>20.39</v>
      </c>
      <c r="AT557" s="60">
        <v>20.39</v>
      </c>
      <c r="AU557" s="60">
        <v>20.39</v>
      </c>
      <c r="AV557" s="60">
        <v>20.39</v>
      </c>
      <c r="AW557" s="60">
        <v>20.39</v>
      </c>
      <c r="AX557" s="60">
        <v>20.39</v>
      </c>
      <c r="AY557" s="61">
        <f t="shared" si="221"/>
        <v>122.34</v>
      </c>
      <c r="AZ557" s="56">
        <f t="shared" si="207"/>
        <v>244.68</v>
      </c>
      <c r="BA557" s="62">
        <f t="shared" si="237"/>
        <v>10505</v>
      </c>
      <c r="BB557" s="62">
        <f t="shared" si="222"/>
        <v>8792.0399999999863</v>
      </c>
      <c r="BC557" s="62">
        <f t="shared" si="238"/>
        <v>1712.9600000000137</v>
      </c>
      <c r="BD557" s="63">
        <v>1835.3000000000027</v>
      </c>
      <c r="BE557" s="57">
        <f t="shared" si="243"/>
        <v>40.37660000000006</v>
      </c>
      <c r="BF557" s="35" t="e">
        <f>VLOOKUP(A:A,'2023-2027'!A:G,1,+FALSE)</f>
        <v>#N/A</v>
      </c>
      <c r="BG557" s="7" t="e">
        <f t="shared" si="231"/>
        <v>#N/A</v>
      </c>
      <c r="BH557" s="35"/>
    </row>
    <row r="558" spans="1:60" ht="24" hidden="1" customHeight="1" outlineLevel="1" x14ac:dyDescent="0.2">
      <c r="A558" s="59" t="s">
        <v>1361</v>
      </c>
      <c r="B558" s="59" t="s">
        <v>44</v>
      </c>
      <c r="C558" s="59" t="s">
        <v>82</v>
      </c>
      <c r="D558" s="65" t="s">
        <v>1362</v>
      </c>
      <c r="E558" s="59" t="s">
        <v>1224</v>
      </c>
      <c r="F558" s="60">
        <v>27690</v>
      </c>
      <c r="G558" s="60">
        <v>21239.15</v>
      </c>
      <c r="H558" s="60">
        <v>6450.85</v>
      </c>
      <c r="I558" s="59"/>
      <c r="J558" s="68">
        <v>645.12</v>
      </c>
      <c r="K558" s="59"/>
      <c r="L558" s="59"/>
      <c r="M558" s="60">
        <v>27690</v>
      </c>
      <c r="N558" s="60">
        <v>21884.27</v>
      </c>
      <c r="O558" s="60">
        <v>5805.73</v>
      </c>
      <c r="P558" s="55">
        <v>6128.29</v>
      </c>
      <c r="Q558" s="55">
        <f t="shared" si="240"/>
        <v>134.82238000000001</v>
      </c>
      <c r="R558" s="61">
        <f t="shared" si="217"/>
        <v>53.76</v>
      </c>
      <c r="S558" s="60">
        <v>53.76</v>
      </c>
      <c r="T558" s="60">
        <v>53.76</v>
      </c>
      <c r="U558" s="60">
        <v>53.76</v>
      </c>
      <c r="V558" s="60">
        <v>53.76</v>
      </c>
      <c r="W558" s="60">
        <v>53.76</v>
      </c>
      <c r="X558" s="61">
        <f t="shared" si="218"/>
        <v>322.56</v>
      </c>
      <c r="Y558" s="60">
        <v>53.76</v>
      </c>
      <c r="Z558" s="60">
        <v>53.76</v>
      </c>
      <c r="AA558" s="60">
        <v>53.76</v>
      </c>
      <c r="AB558" s="60">
        <v>53.76</v>
      </c>
      <c r="AC558" s="60">
        <v>53.76</v>
      </c>
      <c r="AD558" s="60">
        <v>53.76</v>
      </c>
      <c r="AE558" s="61">
        <f t="shared" si="224"/>
        <v>322.56</v>
      </c>
      <c r="AF558" s="62">
        <f t="shared" si="236"/>
        <v>27690</v>
      </c>
      <c r="AG558" s="62">
        <f t="shared" si="233"/>
        <v>22529.389999999981</v>
      </c>
      <c r="AH558" s="62">
        <f t="shared" si="225"/>
        <v>5160.6100000000188</v>
      </c>
      <c r="AI558" s="63">
        <v>5483.1699999999983</v>
      </c>
      <c r="AJ558" s="63">
        <f t="shared" si="241"/>
        <v>120.62973999999997</v>
      </c>
      <c r="AK558" s="72">
        <f t="shared" si="242"/>
        <v>120.62973999999997</v>
      </c>
      <c r="AL558" s="60">
        <v>53.76</v>
      </c>
      <c r="AM558" s="60">
        <v>53.76</v>
      </c>
      <c r="AN558" s="60">
        <v>53.76</v>
      </c>
      <c r="AO558" s="60">
        <v>53.76</v>
      </c>
      <c r="AP558" s="60">
        <v>53.76</v>
      </c>
      <c r="AQ558" s="60">
        <v>53.76</v>
      </c>
      <c r="AR558" s="61">
        <f t="shared" si="220"/>
        <v>322.56</v>
      </c>
      <c r="AS558" s="60">
        <v>53.76</v>
      </c>
      <c r="AT558" s="60">
        <v>53.76</v>
      </c>
      <c r="AU558" s="60">
        <v>53.76</v>
      </c>
      <c r="AV558" s="60">
        <v>53.76</v>
      </c>
      <c r="AW558" s="60">
        <v>53.76</v>
      </c>
      <c r="AX558" s="60">
        <v>53.76</v>
      </c>
      <c r="AY558" s="61">
        <f t="shared" si="221"/>
        <v>322.56</v>
      </c>
      <c r="AZ558" s="56">
        <f t="shared" si="207"/>
        <v>645.12</v>
      </c>
      <c r="BA558" s="62">
        <f t="shared" si="237"/>
        <v>27690</v>
      </c>
      <c r="BB558" s="62">
        <f t="shared" si="222"/>
        <v>23174.509999999962</v>
      </c>
      <c r="BC558" s="62">
        <f t="shared" si="238"/>
        <v>4515.490000000038</v>
      </c>
      <c r="BD558" s="63">
        <v>4838.0499999999947</v>
      </c>
      <c r="BE558" s="57">
        <f t="shared" si="243"/>
        <v>106.4370999999999</v>
      </c>
      <c r="BF558" s="35" t="e">
        <f>VLOOKUP(A:A,'2023-2027'!A:G,1,+FALSE)</f>
        <v>#N/A</v>
      </c>
      <c r="BG558" s="7" t="e">
        <f t="shared" si="231"/>
        <v>#N/A</v>
      </c>
      <c r="BH558" s="35"/>
    </row>
    <row r="559" spans="1:60" ht="24" hidden="1" customHeight="1" outlineLevel="1" x14ac:dyDescent="0.2">
      <c r="A559" s="59" t="s">
        <v>1363</v>
      </c>
      <c r="B559" s="59" t="s">
        <v>44</v>
      </c>
      <c r="C559" s="59" t="s">
        <v>82</v>
      </c>
      <c r="D559" s="65" t="s">
        <v>1364</v>
      </c>
      <c r="E559" s="59" t="s">
        <v>1224</v>
      </c>
      <c r="F559" s="60">
        <v>652392</v>
      </c>
      <c r="G559" s="60">
        <v>500378.1</v>
      </c>
      <c r="H559" s="60">
        <v>152013.9</v>
      </c>
      <c r="I559" s="59"/>
      <c r="J559" s="60">
        <v>15201.36</v>
      </c>
      <c r="K559" s="59"/>
      <c r="L559" s="59"/>
      <c r="M559" s="60">
        <v>652392</v>
      </c>
      <c r="N559" s="60">
        <v>515579.46</v>
      </c>
      <c r="O559" s="60">
        <v>136812.54</v>
      </c>
      <c r="P559" s="55">
        <v>144413.22</v>
      </c>
      <c r="Q559" s="55">
        <f t="shared" si="240"/>
        <v>3177.0908400000003</v>
      </c>
      <c r="R559" s="61">
        <f t="shared" si="217"/>
        <v>1266.78</v>
      </c>
      <c r="S559" s="60">
        <v>1266.78</v>
      </c>
      <c r="T559" s="60">
        <v>1266.78</v>
      </c>
      <c r="U559" s="60">
        <v>1266.78</v>
      </c>
      <c r="V559" s="60">
        <v>1266.78</v>
      </c>
      <c r="W559" s="60">
        <v>1266.78</v>
      </c>
      <c r="X559" s="61">
        <f t="shared" si="218"/>
        <v>7600.6799999999994</v>
      </c>
      <c r="Y559" s="60">
        <v>1266.78</v>
      </c>
      <c r="Z559" s="60">
        <v>1266.78</v>
      </c>
      <c r="AA559" s="60">
        <v>1266.78</v>
      </c>
      <c r="AB559" s="60">
        <v>1266.78</v>
      </c>
      <c r="AC559" s="60">
        <v>1266.78</v>
      </c>
      <c r="AD559" s="60">
        <v>1266.78</v>
      </c>
      <c r="AE559" s="61">
        <f t="shared" si="224"/>
        <v>7600.6799999999994</v>
      </c>
      <c r="AF559" s="62">
        <f t="shared" si="236"/>
        <v>652392</v>
      </c>
      <c r="AG559" s="62">
        <f t="shared" si="233"/>
        <v>530780.8200000003</v>
      </c>
      <c r="AH559" s="62">
        <f t="shared" si="225"/>
        <v>121611.1799999997</v>
      </c>
      <c r="AI559" s="63">
        <v>129211.86</v>
      </c>
      <c r="AJ559" s="63">
        <f t="shared" si="241"/>
        <v>2842.6609200000003</v>
      </c>
      <c r="AK559" s="72">
        <f t="shared" si="242"/>
        <v>2842.6609200000003</v>
      </c>
      <c r="AL559" s="60">
        <v>1266.78</v>
      </c>
      <c r="AM559" s="60">
        <v>1266.78</v>
      </c>
      <c r="AN559" s="60">
        <v>1266.78</v>
      </c>
      <c r="AO559" s="60">
        <v>1266.78</v>
      </c>
      <c r="AP559" s="60">
        <v>1266.78</v>
      </c>
      <c r="AQ559" s="60">
        <v>1266.78</v>
      </c>
      <c r="AR559" s="61">
        <f t="shared" si="220"/>
        <v>7600.6799999999994</v>
      </c>
      <c r="AS559" s="60">
        <v>1266.78</v>
      </c>
      <c r="AT559" s="60">
        <v>1266.78</v>
      </c>
      <c r="AU559" s="60">
        <v>1266.78</v>
      </c>
      <c r="AV559" s="60">
        <v>1266.78</v>
      </c>
      <c r="AW559" s="60">
        <v>1266.78</v>
      </c>
      <c r="AX559" s="60">
        <v>1266.78</v>
      </c>
      <c r="AY559" s="61">
        <f t="shared" si="221"/>
        <v>7600.6799999999994</v>
      </c>
      <c r="AZ559" s="56">
        <f t="shared" si="207"/>
        <v>15201.359999999999</v>
      </c>
      <c r="BA559" s="62">
        <f t="shared" si="237"/>
        <v>652392</v>
      </c>
      <c r="BB559" s="62">
        <f t="shared" si="222"/>
        <v>545982.18000000063</v>
      </c>
      <c r="BC559" s="62">
        <f t="shared" si="238"/>
        <v>106409.81999999937</v>
      </c>
      <c r="BD559" s="63">
        <v>114010.50000000003</v>
      </c>
      <c r="BE559" s="57">
        <f t="shared" si="243"/>
        <v>2508.2310000000007</v>
      </c>
      <c r="BF559" s="35" t="e">
        <f>VLOOKUP(A:A,'2023-2027'!A:G,1,+FALSE)</f>
        <v>#N/A</v>
      </c>
      <c r="BG559" s="7" t="e">
        <f t="shared" si="231"/>
        <v>#N/A</v>
      </c>
      <c r="BH559" s="35"/>
    </row>
    <row r="560" spans="1:60" ht="24" hidden="1" customHeight="1" outlineLevel="1" x14ac:dyDescent="0.2">
      <c r="A560" s="59" t="s">
        <v>1365</v>
      </c>
      <c r="B560" s="59" t="s">
        <v>44</v>
      </c>
      <c r="C560" s="59" t="s">
        <v>82</v>
      </c>
      <c r="D560" s="65" t="s">
        <v>1366</v>
      </c>
      <c r="E560" s="59" t="s">
        <v>1354</v>
      </c>
      <c r="F560" s="60">
        <v>21645</v>
      </c>
      <c r="G560" s="60">
        <v>16715.490000000002</v>
      </c>
      <c r="H560" s="60">
        <v>4929.51</v>
      </c>
      <c r="I560" s="59"/>
      <c r="J560" s="68">
        <v>492.96</v>
      </c>
      <c r="K560" s="59"/>
      <c r="L560" s="59"/>
      <c r="M560" s="60">
        <v>21645</v>
      </c>
      <c r="N560" s="60">
        <v>17208.45</v>
      </c>
      <c r="O560" s="60">
        <v>4436.55</v>
      </c>
      <c r="P560" s="55">
        <v>4683.03</v>
      </c>
      <c r="Q560" s="55">
        <f t="shared" si="240"/>
        <v>103.02666000000001</v>
      </c>
      <c r="R560" s="61">
        <f t="shared" si="217"/>
        <v>41.08</v>
      </c>
      <c r="S560" s="60">
        <v>41.08</v>
      </c>
      <c r="T560" s="60">
        <v>41.08</v>
      </c>
      <c r="U560" s="60">
        <v>41.08</v>
      </c>
      <c r="V560" s="60">
        <v>41.08</v>
      </c>
      <c r="W560" s="60">
        <v>41.08</v>
      </c>
      <c r="X560" s="61">
        <f t="shared" si="218"/>
        <v>246.47999999999996</v>
      </c>
      <c r="Y560" s="60">
        <v>41.08</v>
      </c>
      <c r="Z560" s="60">
        <v>41.08</v>
      </c>
      <c r="AA560" s="60">
        <v>41.08</v>
      </c>
      <c r="AB560" s="60">
        <v>41.08</v>
      </c>
      <c r="AC560" s="60">
        <v>41.08</v>
      </c>
      <c r="AD560" s="60">
        <v>41.08</v>
      </c>
      <c r="AE560" s="61">
        <f t="shared" si="224"/>
        <v>246.47999999999996</v>
      </c>
      <c r="AF560" s="62">
        <f t="shared" si="236"/>
        <v>21645</v>
      </c>
      <c r="AG560" s="62">
        <f t="shared" si="233"/>
        <v>17701.410000000022</v>
      </c>
      <c r="AH560" s="62">
        <f t="shared" si="225"/>
        <v>3943.5899999999783</v>
      </c>
      <c r="AI560" s="63">
        <v>4190.0700000000006</v>
      </c>
      <c r="AJ560" s="63">
        <f t="shared" si="241"/>
        <v>92.181540000000027</v>
      </c>
      <c r="AK560" s="72">
        <f t="shared" si="242"/>
        <v>92.181540000000027</v>
      </c>
      <c r="AL560" s="60">
        <v>41.08</v>
      </c>
      <c r="AM560" s="60">
        <v>41.08</v>
      </c>
      <c r="AN560" s="60">
        <v>41.08</v>
      </c>
      <c r="AO560" s="60">
        <v>41.08</v>
      </c>
      <c r="AP560" s="60">
        <v>41.08</v>
      </c>
      <c r="AQ560" s="60">
        <v>41.08</v>
      </c>
      <c r="AR560" s="61">
        <f t="shared" si="220"/>
        <v>246.47999999999996</v>
      </c>
      <c r="AS560" s="60">
        <v>41.08</v>
      </c>
      <c r="AT560" s="60">
        <v>41.08</v>
      </c>
      <c r="AU560" s="60">
        <v>41.08</v>
      </c>
      <c r="AV560" s="60">
        <v>41.08</v>
      </c>
      <c r="AW560" s="60">
        <v>41.08</v>
      </c>
      <c r="AX560" s="60">
        <v>41.08</v>
      </c>
      <c r="AY560" s="61">
        <f t="shared" si="221"/>
        <v>246.47999999999996</v>
      </c>
      <c r="AZ560" s="56">
        <f t="shared" si="207"/>
        <v>492.95999999999992</v>
      </c>
      <c r="BA560" s="62">
        <f t="shared" si="237"/>
        <v>21645</v>
      </c>
      <c r="BB560" s="62">
        <f t="shared" si="222"/>
        <v>18194.370000000043</v>
      </c>
      <c r="BC560" s="62">
        <f t="shared" si="238"/>
        <v>3450.6299999999574</v>
      </c>
      <c r="BD560" s="63">
        <v>3697.1100000000015</v>
      </c>
      <c r="BE560" s="57">
        <f t="shared" si="243"/>
        <v>81.336420000000047</v>
      </c>
      <c r="BF560" s="35" t="e">
        <f>VLOOKUP(A:A,'2023-2027'!A:G,1,+FALSE)</f>
        <v>#N/A</v>
      </c>
      <c r="BG560" s="7" t="e">
        <f t="shared" si="231"/>
        <v>#N/A</v>
      </c>
      <c r="BH560" s="35"/>
    </row>
    <row r="561" spans="1:60" ht="24" hidden="1" customHeight="1" outlineLevel="1" x14ac:dyDescent="0.2">
      <c r="A561" s="59" t="s">
        <v>1367</v>
      </c>
      <c r="B561" s="59" t="s">
        <v>44</v>
      </c>
      <c r="C561" s="59" t="s">
        <v>82</v>
      </c>
      <c r="D561" s="65" t="s">
        <v>1368</v>
      </c>
      <c r="E561" s="59" t="s">
        <v>1354</v>
      </c>
      <c r="F561" s="60">
        <v>5133</v>
      </c>
      <c r="G561" s="60">
        <v>3964.18</v>
      </c>
      <c r="H561" s="60">
        <v>1168.82</v>
      </c>
      <c r="I561" s="59"/>
      <c r="J561" s="68">
        <v>116.88</v>
      </c>
      <c r="K561" s="59"/>
      <c r="L561" s="59"/>
      <c r="M561" s="60">
        <v>5133</v>
      </c>
      <c r="N561" s="60">
        <v>4081.06</v>
      </c>
      <c r="O561" s="60">
        <v>1051.94</v>
      </c>
      <c r="P561" s="55">
        <v>1110.3800000000001</v>
      </c>
      <c r="Q561" s="55">
        <f t="shared" si="240"/>
        <v>24.428360000000005</v>
      </c>
      <c r="R561" s="61">
        <f t="shared" si="217"/>
        <v>9.74</v>
      </c>
      <c r="S561" s="60">
        <v>9.74</v>
      </c>
      <c r="T561" s="60">
        <v>9.74</v>
      </c>
      <c r="U561" s="60">
        <v>9.74</v>
      </c>
      <c r="V561" s="60">
        <v>9.74</v>
      </c>
      <c r="W561" s="60">
        <v>9.74</v>
      </c>
      <c r="X561" s="61">
        <f t="shared" si="218"/>
        <v>58.440000000000005</v>
      </c>
      <c r="Y561" s="60">
        <v>9.74</v>
      </c>
      <c r="Z561" s="60">
        <v>9.74</v>
      </c>
      <c r="AA561" s="60">
        <v>9.74</v>
      </c>
      <c r="AB561" s="60">
        <v>9.74</v>
      </c>
      <c r="AC561" s="60">
        <v>9.74</v>
      </c>
      <c r="AD561" s="60">
        <v>9.74</v>
      </c>
      <c r="AE561" s="61">
        <f t="shared" si="224"/>
        <v>58.440000000000005</v>
      </c>
      <c r="AF561" s="62">
        <f t="shared" si="236"/>
        <v>5133</v>
      </c>
      <c r="AG561" s="62">
        <f t="shared" si="233"/>
        <v>4197.9399999999978</v>
      </c>
      <c r="AH561" s="62">
        <f t="shared" si="225"/>
        <v>935.06000000000222</v>
      </c>
      <c r="AI561" s="63">
        <v>993.50000000000011</v>
      </c>
      <c r="AJ561" s="63">
        <f t="shared" si="241"/>
        <v>21.857000000000006</v>
      </c>
      <c r="AK561" s="72">
        <f t="shared" si="242"/>
        <v>21.857000000000006</v>
      </c>
      <c r="AL561" s="60">
        <v>9.74</v>
      </c>
      <c r="AM561" s="60">
        <v>9.74</v>
      </c>
      <c r="AN561" s="60">
        <v>9.74</v>
      </c>
      <c r="AO561" s="60">
        <v>9.74</v>
      </c>
      <c r="AP561" s="60">
        <v>9.74</v>
      </c>
      <c r="AQ561" s="60">
        <v>9.74</v>
      </c>
      <c r="AR561" s="61">
        <f t="shared" si="220"/>
        <v>58.440000000000005</v>
      </c>
      <c r="AS561" s="60">
        <v>9.74</v>
      </c>
      <c r="AT561" s="60">
        <v>9.74</v>
      </c>
      <c r="AU561" s="60">
        <v>9.74</v>
      </c>
      <c r="AV561" s="60">
        <v>9.74</v>
      </c>
      <c r="AW561" s="60">
        <v>9.74</v>
      </c>
      <c r="AX561" s="60">
        <v>9.74</v>
      </c>
      <c r="AY561" s="61">
        <f t="shared" si="221"/>
        <v>58.440000000000005</v>
      </c>
      <c r="AZ561" s="56">
        <f t="shared" si="207"/>
        <v>116.88000000000001</v>
      </c>
      <c r="BA561" s="62">
        <f t="shared" si="237"/>
        <v>5133</v>
      </c>
      <c r="BB561" s="62">
        <f t="shared" si="222"/>
        <v>4314.8199999999952</v>
      </c>
      <c r="BC561" s="62">
        <f t="shared" si="238"/>
        <v>818.18000000000484</v>
      </c>
      <c r="BD561" s="63">
        <v>876.62</v>
      </c>
      <c r="BE561" s="57">
        <f t="shared" si="243"/>
        <v>19.285640000000001</v>
      </c>
      <c r="BF561" s="35" t="e">
        <f>VLOOKUP(A:A,'2023-2027'!A:G,1,+FALSE)</f>
        <v>#N/A</v>
      </c>
      <c r="BG561" s="7" t="e">
        <f t="shared" si="231"/>
        <v>#N/A</v>
      </c>
      <c r="BH561" s="35"/>
    </row>
    <row r="562" spans="1:60" ht="12" hidden="1" customHeight="1" outlineLevel="1" x14ac:dyDescent="0.2">
      <c r="A562" s="59" t="s">
        <v>1369</v>
      </c>
      <c r="B562" s="59" t="s">
        <v>44</v>
      </c>
      <c r="C562" s="59" t="s">
        <v>82</v>
      </c>
      <c r="D562" s="65" t="s">
        <v>1370</v>
      </c>
      <c r="E562" s="59" t="s">
        <v>1371</v>
      </c>
      <c r="F562" s="60">
        <v>141500</v>
      </c>
      <c r="G562" s="60">
        <v>119365.03</v>
      </c>
      <c r="H562" s="60">
        <v>22134.97</v>
      </c>
      <c r="I562" s="59"/>
      <c r="J562" s="60">
        <v>2213.52</v>
      </c>
      <c r="K562" s="59"/>
      <c r="L562" s="59"/>
      <c r="M562" s="60">
        <v>141500</v>
      </c>
      <c r="N562" s="60">
        <v>121578.55</v>
      </c>
      <c r="O562" s="60">
        <v>19921.45</v>
      </c>
      <c r="P562" s="55">
        <v>21028.21</v>
      </c>
      <c r="Q562" s="55">
        <f t="shared" si="240"/>
        <v>462.62062000000003</v>
      </c>
      <c r="R562" s="61">
        <f t="shared" si="217"/>
        <v>184.46</v>
      </c>
      <c r="S562" s="60">
        <v>184.46</v>
      </c>
      <c r="T562" s="60">
        <v>184.46</v>
      </c>
      <c r="U562" s="60">
        <v>184.46</v>
      </c>
      <c r="V562" s="60">
        <v>184.46</v>
      </c>
      <c r="W562" s="60">
        <v>184.46</v>
      </c>
      <c r="X562" s="61">
        <f t="shared" si="218"/>
        <v>1106.76</v>
      </c>
      <c r="Y562" s="60">
        <v>184.46</v>
      </c>
      <c r="Z562" s="60">
        <v>184.46</v>
      </c>
      <c r="AA562" s="60">
        <v>184.46</v>
      </c>
      <c r="AB562" s="60">
        <v>184.46</v>
      </c>
      <c r="AC562" s="60">
        <v>184.46</v>
      </c>
      <c r="AD562" s="60">
        <v>184.46</v>
      </c>
      <c r="AE562" s="61">
        <f t="shared" si="224"/>
        <v>1106.76</v>
      </c>
      <c r="AF562" s="62">
        <f t="shared" si="236"/>
        <v>141500</v>
      </c>
      <c r="AG562" s="62">
        <f t="shared" si="233"/>
        <v>123792.07000000008</v>
      </c>
      <c r="AH562" s="62">
        <f t="shared" si="225"/>
        <v>17707.92999999992</v>
      </c>
      <c r="AI562" s="63">
        <v>18814.689999999981</v>
      </c>
      <c r="AJ562" s="63">
        <f t="shared" si="241"/>
        <v>413.9231799999996</v>
      </c>
      <c r="AK562" s="72">
        <f t="shared" si="242"/>
        <v>413.9231799999996</v>
      </c>
      <c r="AL562" s="60">
        <v>184.46</v>
      </c>
      <c r="AM562" s="60">
        <v>184.46</v>
      </c>
      <c r="AN562" s="60">
        <v>184.46</v>
      </c>
      <c r="AO562" s="60">
        <v>184.46</v>
      </c>
      <c r="AP562" s="60">
        <v>184.46</v>
      </c>
      <c r="AQ562" s="60">
        <v>184.46</v>
      </c>
      <c r="AR562" s="61">
        <f t="shared" si="220"/>
        <v>1106.76</v>
      </c>
      <c r="AS562" s="60">
        <v>184.46</v>
      </c>
      <c r="AT562" s="60">
        <v>184.46</v>
      </c>
      <c r="AU562" s="60">
        <v>184.46</v>
      </c>
      <c r="AV562" s="60">
        <v>184.46</v>
      </c>
      <c r="AW562" s="60">
        <v>184.46</v>
      </c>
      <c r="AX562" s="60">
        <v>184.46</v>
      </c>
      <c r="AY562" s="61">
        <f t="shared" si="221"/>
        <v>1106.76</v>
      </c>
      <c r="AZ562" s="56">
        <f t="shared" si="207"/>
        <v>2213.52</v>
      </c>
      <c r="BA562" s="62">
        <f t="shared" si="237"/>
        <v>141500</v>
      </c>
      <c r="BB562" s="62">
        <f t="shared" si="222"/>
        <v>126005.59000000016</v>
      </c>
      <c r="BC562" s="62">
        <f t="shared" si="238"/>
        <v>15494.409999999843</v>
      </c>
      <c r="BD562" s="63">
        <v>16601.169999999951</v>
      </c>
      <c r="BE562" s="57">
        <f t="shared" si="243"/>
        <v>365.22573999999895</v>
      </c>
      <c r="BF562" s="35" t="e">
        <f>VLOOKUP(A:A,'2023-2027'!A:G,1,+FALSE)</f>
        <v>#N/A</v>
      </c>
      <c r="BG562" s="7" t="e">
        <f t="shared" si="231"/>
        <v>#N/A</v>
      </c>
      <c r="BH562" s="35"/>
    </row>
    <row r="563" spans="1:60" ht="24" hidden="1" customHeight="1" outlineLevel="1" x14ac:dyDescent="0.2">
      <c r="A563" s="59" t="s">
        <v>1372</v>
      </c>
      <c r="B563" s="59" t="s">
        <v>44</v>
      </c>
      <c r="C563" s="59" t="s">
        <v>82</v>
      </c>
      <c r="D563" s="65" t="s">
        <v>1373</v>
      </c>
      <c r="E563" s="59" t="s">
        <v>399</v>
      </c>
      <c r="F563" s="60">
        <v>184409</v>
      </c>
      <c r="G563" s="60">
        <v>146712.72</v>
      </c>
      <c r="H563" s="60">
        <v>37696.28</v>
      </c>
      <c r="I563" s="59"/>
      <c r="J563" s="60">
        <v>3769.68</v>
      </c>
      <c r="K563" s="59"/>
      <c r="L563" s="59"/>
      <c r="M563" s="60">
        <v>184409</v>
      </c>
      <c r="N563" s="60">
        <v>150482.4</v>
      </c>
      <c r="O563" s="60">
        <v>33926.6</v>
      </c>
      <c r="P563" s="55">
        <v>35811.440000000002</v>
      </c>
      <c r="Q563" s="55">
        <f t="shared" si="240"/>
        <v>787.8516800000001</v>
      </c>
      <c r="R563" s="61">
        <f t="shared" si="217"/>
        <v>314.14</v>
      </c>
      <c r="S563" s="60">
        <v>314.14</v>
      </c>
      <c r="T563" s="60">
        <v>314.14</v>
      </c>
      <c r="U563" s="60">
        <v>314.14</v>
      </c>
      <c r="V563" s="60">
        <v>314.14</v>
      </c>
      <c r="W563" s="60">
        <v>314.14</v>
      </c>
      <c r="X563" s="61">
        <f t="shared" si="218"/>
        <v>1884.8399999999997</v>
      </c>
      <c r="Y563" s="60">
        <v>314.14</v>
      </c>
      <c r="Z563" s="60">
        <v>314.14</v>
      </c>
      <c r="AA563" s="60">
        <v>314.14</v>
      </c>
      <c r="AB563" s="60">
        <v>314.14</v>
      </c>
      <c r="AC563" s="60">
        <v>314.14</v>
      </c>
      <c r="AD563" s="60">
        <v>314.14</v>
      </c>
      <c r="AE563" s="61">
        <f t="shared" si="224"/>
        <v>1884.8399999999997</v>
      </c>
      <c r="AF563" s="62">
        <f t="shared" si="236"/>
        <v>184409</v>
      </c>
      <c r="AG563" s="62">
        <f t="shared" si="233"/>
        <v>154252.08000000016</v>
      </c>
      <c r="AH563" s="62">
        <f t="shared" si="225"/>
        <v>30156.919999999838</v>
      </c>
      <c r="AI563" s="63">
        <v>32041.760000000002</v>
      </c>
      <c r="AJ563" s="63">
        <f t="shared" si="241"/>
        <v>704.91872000000012</v>
      </c>
      <c r="AK563" s="72">
        <f t="shared" si="242"/>
        <v>704.91872000000012</v>
      </c>
      <c r="AL563" s="60">
        <v>314.14</v>
      </c>
      <c r="AM563" s="60">
        <v>314.14</v>
      </c>
      <c r="AN563" s="60">
        <v>314.14</v>
      </c>
      <c r="AO563" s="60">
        <v>314.14</v>
      </c>
      <c r="AP563" s="60">
        <v>314.14</v>
      </c>
      <c r="AQ563" s="60">
        <v>314.14</v>
      </c>
      <c r="AR563" s="61">
        <f t="shared" si="220"/>
        <v>1884.8399999999997</v>
      </c>
      <c r="AS563" s="60">
        <v>314.14</v>
      </c>
      <c r="AT563" s="60">
        <v>314.14</v>
      </c>
      <c r="AU563" s="60">
        <v>314.14</v>
      </c>
      <c r="AV563" s="60">
        <v>314.14</v>
      </c>
      <c r="AW563" s="60">
        <v>314.14</v>
      </c>
      <c r="AX563" s="60">
        <v>314.14</v>
      </c>
      <c r="AY563" s="61">
        <f t="shared" si="221"/>
        <v>1884.8399999999997</v>
      </c>
      <c r="AZ563" s="56">
        <f t="shared" si="207"/>
        <v>3769.6799999999994</v>
      </c>
      <c r="BA563" s="62">
        <f t="shared" si="237"/>
        <v>184409</v>
      </c>
      <c r="BB563" s="62">
        <f t="shared" si="222"/>
        <v>158021.76000000033</v>
      </c>
      <c r="BC563" s="62">
        <f t="shared" si="238"/>
        <v>26387.239999999671</v>
      </c>
      <c r="BD563" s="63">
        <v>28272.080000000009</v>
      </c>
      <c r="BE563" s="57">
        <f t="shared" si="243"/>
        <v>621.98576000000025</v>
      </c>
      <c r="BF563" s="35" t="e">
        <f>VLOOKUP(A:A,'2023-2027'!A:G,1,+FALSE)</f>
        <v>#N/A</v>
      </c>
      <c r="BG563" s="7" t="e">
        <f t="shared" si="231"/>
        <v>#N/A</v>
      </c>
      <c r="BH563" s="35"/>
    </row>
    <row r="564" spans="1:60" ht="24" hidden="1" customHeight="1" outlineLevel="1" x14ac:dyDescent="0.2">
      <c r="A564" s="59" t="s">
        <v>1374</v>
      </c>
      <c r="B564" s="59" t="s">
        <v>44</v>
      </c>
      <c r="C564" s="59" t="s">
        <v>82</v>
      </c>
      <c r="D564" s="65" t="s">
        <v>1375</v>
      </c>
      <c r="E564" s="59" t="s">
        <v>1354</v>
      </c>
      <c r="F564" s="60">
        <v>26270</v>
      </c>
      <c r="G564" s="60">
        <v>20288.95</v>
      </c>
      <c r="H564" s="60">
        <v>5981.05</v>
      </c>
      <c r="I564" s="59"/>
      <c r="J564" s="68">
        <v>598.08000000000004</v>
      </c>
      <c r="K564" s="59"/>
      <c r="L564" s="59"/>
      <c r="M564" s="60">
        <v>26270</v>
      </c>
      <c r="N564" s="60">
        <v>20887.03</v>
      </c>
      <c r="O564" s="60">
        <v>5382.97</v>
      </c>
      <c r="P564" s="55">
        <v>5682.01</v>
      </c>
      <c r="Q564" s="55">
        <f t="shared" si="240"/>
        <v>125.00422000000002</v>
      </c>
      <c r="R564" s="61">
        <f t="shared" si="217"/>
        <v>49.84</v>
      </c>
      <c r="S564" s="60">
        <v>49.84</v>
      </c>
      <c r="T564" s="60">
        <v>49.84</v>
      </c>
      <c r="U564" s="60">
        <v>49.84</v>
      </c>
      <c r="V564" s="60">
        <v>49.84</v>
      </c>
      <c r="W564" s="60">
        <v>49.84</v>
      </c>
      <c r="X564" s="61">
        <f t="shared" si="218"/>
        <v>299.04000000000002</v>
      </c>
      <c r="Y564" s="60">
        <v>49.84</v>
      </c>
      <c r="Z564" s="60">
        <v>49.84</v>
      </c>
      <c r="AA564" s="60">
        <v>49.84</v>
      </c>
      <c r="AB564" s="60">
        <v>49.84</v>
      </c>
      <c r="AC564" s="60">
        <v>49.84</v>
      </c>
      <c r="AD564" s="60">
        <v>49.84</v>
      </c>
      <c r="AE564" s="61">
        <f t="shared" si="224"/>
        <v>299.04000000000002</v>
      </c>
      <c r="AF564" s="62">
        <f t="shared" si="236"/>
        <v>26270</v>
      </c>
      <c r="AG564" s="62">
        <f t="shared" si="233"/>
        <v>21485.11</v>
      </c>
      <c r="AH564" s="62">
        <f t="shared" si="225"/>
        <v>4784.8899999999994</v>
      </c>
      <c r="AI564" s="63">
        <v>5083.9299999999985</v>
      </c>
      <c r="AJ564" s="63">
        <f t="shared" si="241"/>
        <v>111.84645999999998</v>
      </c>
      <c r="AK564" s="72">
        <f t="shared" si="242"/>
        <v>111.84645999999998</v>
      </c>
      <c r="AL564" s="60">
        <v>49.84</v>
      </c>
      <c r="AM564" s="60">
        <v>49.84</v>
      </c>
      <c r="AN564" s="60">
        <v>49.84</v>
      </c>
      <c r="AO564" s="60">
        <v>49.84</v>
      </c>
      <c r="AP564" s="60">
        <v>49.84</v>
      </c>
      <c r="AQ564" s="60">
        <v>49.84</v>
      </c>
      <c r="AR564" s="61">
        <f t="shared" si="220"/>
        <v>299.04000000000002</v>
      </c>
      <c r="AS564" s="60">
        <v>49.84</v>
      </c>
      <c r="AT564" s="60">
        <v>49.84</v>
      </c>
      <c r="AU564" s="60">
        <v>49.84</v>
      </c>
      <c r="AV564" s="60">
        <v>49.84</v>
      </c>
      <c r="AW564" s="60">
        <v>49.84</v>
      </c>
      <c r="AX564" s="60">
        <v>49.84</v>
      </c>
      <c r="AY564" s="61">
        <f t="shared" si="221"/>
        <v>299.04000000000002</v>
      </c>
      <c r="AZ564" s="56">
        <f t="shared" si="207"/>
        <v>598.08000000000004</v>
      </c>
      <c r="BA564" s="62">
        <f t="shared" si="237"/>
        <v>26270</v>
      </c>
      <c r="BB564" s="62">
        <f t="shared" si="222"/>
        <v>22083.190000000002</v>
      </c>
      <c r="BC564" s="62">
        <f t="shared" si="238"/>
        <v>4186.8099999999977</v>
      </c>
      <c r="BD564" s="63">
        <v>4485.8499999999976</v>
      </c>
      <c r="BE564" s="57">
        <f t="shared" si="243"/>
        <v>98.688699999999955</v>
      </c>
      <c r="BF564" s="35" t="e">
        <f>VLOOKUP(A:A,'2023-2027'!A:G,1,+FALSE)</f>
        <v>#N/A</v>
      </c>
      <c r="BG564" s="7" t="e">
        <f t="shared" si="231"/>
        <v>#N/A</v>
      </c>
      <c r="BH564" s="35"/>
    </row>
    <row r="565" spans="1:60" ht="24" hidden="1" customHeight="1" outlineLevel="1" x14ac:dyDescent="0.2">
      <c r="A565" s="59" t="s">
        <v>1376</v>
      </c>
      <c r="B565" s="59" t="s">
        <v>44</v>
      </c>
      <c r="C565" s="59" t="s">
        <v>82</v>
      </c>
      <c r="D565" s="65" t="s">
        <v>1377</v>
      </c>
      <c r="E565" s="59" t="s">
        <v>1354</v>
      </c>
      <c r="F565" s="60">
        <v>208765</v>
      </c>
      <c r="G565" s="60">
        <v>181941.21</v>
      </c>
      <c r="H565" s="60">
        <v>26823.79</v>
      </c>
      <c r="I565" s="59"/>
      <c r="J565" s="60">
        <v>5364.72</v>
      </c>
      <c r="K565" s="59"/>
      <c r="L565" s="59"/>
      <c r="M565" s="60">
        <v>208765</v>
      </c>
      <c r="N565" s="60">
        <v>187305.93</v>
      </c>
      <c r="O565" s="60">
        <v>21459.07</v>
      </c>
      <c r="P565" s="55">
        <v>24141.43</v>
      </c>
      <c r="Q565" s="55">
        <f t="shared" si="240"/>
        <v>531.11146000000008</v>
      </c>
      <c r="R565" s="61">
        <f t="shared" si="217"/>
        <v>447.06</v>
      </c>
      <c r="S565" s="60">
        <v>447.06</v>
      </c>
      <c r="T565" s="60">
        <v>447.06</v>
      </c>
      <c r="U565" s="60">
        <v>447.06</v>
      </c>
      <c r="V565" s="60">
        <v>447.06</v>
      </c>
      <c r="W565" s="60">
        <v>447.06</v>
      </c>
      <c r="X565" s="61">
        <f t="shared" si="218"/>
        <v>2682.36</v>
      </c>
      <c r="Y565" s="60">
        <v>447.06</v>
      </c>
      <c r="Z565" s="60">
        <v>447.06</v>
      </c>
      <c r="AA565" s="60">
        <v>447.06</v>
      </c>
      <c r="AB565" s="60">
        <v>447.06</v>
      </c>
      <c r="AC565" s="60">
        <v>447.06</v>
      </c>
      <c r="AD565" s="60">
        <v>447.06</v>
      </c>
      <c r="AE565" s="61">
        <f t="shared" si="224"/>
        <v>2682.36</v>
      </c>
      <c r="AF565" s="62">
        <f t="shared" si="236"/>
        <v>208765</v>
      </c>
      <c r="AG565" s="62">
        <f t="shared" si="233"/>
        <v>192670.64999999997</v>
      </c>
      <c r="AH565" s="62">
        <f t="shared" si="225"/>
        <v>16094.350000000035</v>
      </c>
      <c r="AI565" s="63">
        <v>18776.709999999995</v>
      </c>
      <c r="AJ565" s="63">
        <f t="shared" si="241"/>
        <v>413.08761999999996</v>
      </c>
      <c r="AK565" s="72">
        <f t="shared" si="242"/>
        <v>413.08761999999996</v>
      </c>
      <c r="AL565" s="60">
        <v>447.06</v>
      </c>
      <c r="AM565" s="60">
        <v>447.06</v>
      </c>
      <c r="AN565" s="60">
        <v>447.06</v>
      </c>
      <c r="AO565" s="60">
        <v>447.06</v>
      </c>
      <c r="AP565" s="60">
        <v>447.06</v>
      </c>
      <c r="AQ565" s="60">
        <v>447.06</v>
      </c>
      <c r="AR565" s="61">
        <f t="shared" si="220"/>
        <v>2682.36</v>
      </c>
      <c r="AS565" s="60">
        <v>447.06</v>
      </c>
      <c r="AT565" s="60">
        <v>447.06</v>
      </c>
      <c r="AU565" s="60">
        <v>447.06</v>
      </c>
      <c r="AV565" s="60">
        <v>447.06</v>
      </c>
      <c r="AW565" s="60">
        <v>447.06</v>
      </c>
      <c r="AX565" s="60">
        <v>447.06</v>
      </c>
      <c r="AY565" s="61">
        <f t="shared" si="221"/>
        <v>2682.36</v>
      </c>
      <c r="AZ565" s="56">
        <f t="shared" si="207"/>
        <v>5364.72</v>
      </c>
      <c r="BA565" s="62">
        <f t="shared" si="237"/>
        <v>208765</v>
      </c>
      <c r="BB565" s="62">
        <f t="shared" si="222"/>
        <v>198035.36999999994</v>
      </c>
      <c r="BC565" s="62">
        <f t="shared" si="238"/>
        <v>10729.630000000063</v>
      </c>
      <c r="BD565" s="63">
        <v>13411.989999999978</v>
      </c>
      <c r="BE565" s="57">
        <f t="shared" si="243"/>
        <v>295.06377999999955</v>
      </c>
      <c r="BF565" s="35" t="e">
        <f>VLOOKUP(A:A,'2023-2027'!A:G,1,+FALSE)</f>
        <v>#N/A</v>
      </c>
      <c r="BG565" s="7" t="e">
        <f t="shared" si="231"/>
        <v>#N/A</v>
      </c>
      <c r="BH565" s="35"/>
    </row>
    <row r="566" spans="1:60" ht="24" hidden="1" customHeight="1" outlineLevel="1" x14ac:dyDescent="0.2">
      <c r="A566" s="59" t="s">
        <v>1378</v>
      </c>
      <c r="B566" s="59" t="s">
        <v>44</v>
      </c>
      <c r="C566" s="59" t="s">
        <v>82</v>
      </c>
      <c r="D566" s="65" t="s">
        <v>1379</v>
      </c>
      <c r="E566" s="59" t="s">
        <v>1354</v>
      </c>
      <c r="F566" s="60">
        <v>21058</v>
      </c>
      <c r="G566" s="60">
        <v>18351.63</v>
      </c>
      <c r="H566" s="60">
        <v>2706.37</v>
      </c>
      <c r="I566" s="59"/>
      <c r="J566" s="68">
        <v>541.32000000000005</v>
      </c>
      <c r="K566" s="59"/>
      <c r="L566" s="59"/>
      <c r="M566" s="60">
        <v>21058</v>
      </c>
      <c r="N566" s="60">
        <v>18892.95</v>
      </c>
      <c r="O566" s="60">
        <v>2165.0500000000002</v>
      </c>
      <c r="P566" s="55">
        <v>2435.71</v>
      </c>
      <c r="Q566" s="55">
        <f t="shared" si="240"/>
        <v>53.585620000000006</v>
      </c>
      <c r="R566" s="61">
        <f t="shared" si="217"/>
        <v>45.110000000000007</v>
      </c>
      <c r="S566" s="60">
        <v>45.11</v>
      </c>
      <c r="T566" s="60">
        <v>45.11</v>
      </c>
      <c r="U566" s="60">
        <v>45.11</v>
      </c>
      <c r="V566" s="60">
        <v>45.11</v>
      </c>
      <c r="W566" s="60">
        <v>45.11</v>
      </c>
      <c r="X566" s="61">
        <f t="shared" si="218"/>
        <v>270.66000000000003</v>
      </c>
      <c r="Y566" s="60">
        <v>45.11</v>
      </c>
      <c r="Z566" s="60">
        <v>45.11</v>
      </c>
      <c r="AA566" s="60">
        <v>45.11</v>
      </c>
      <c r="AB566" s="60">
        <v>45.11</v>
      </c>
      <c r="AC566" s="60">
        <v>45.11</v>
      </c>
      <c r="AD566" s="60">
        <v>45.11</v>
      </c>
      <c r="AE566" s="61">
        <f t="shared" si="224"/>
        <v>270.66000000000003</v>
      </c>
      <c r="AF566" s="62">
        <f t="shared" si="236"/>
        <v>21058</v>
      </c>
      <c r="AG566" s="62">
        <f t="shared" si="233"/>
        <v>19434.270000000008</v>
      </c>
      <c r="AH566" s="62">
        <f t="shared" si="225"/>
        <v>1623.7299999999923</v>
      </c>
      <c r="AI566" s="63">
        <v>1894.3900000000021</v>
      </c>
      <c r="AJ566" s="63">
        <f t="shared" si="241"/>
        <v>41.676580000000051</v>
      </c>
      <c r="AK566" s="72">
        <f t="shared" si="242"/>
        <v>41.676580000000051</v>
      </c>
      <c r="AL566" s="60">
        <v>45.11</v>
      </c>
      <c r="AM566" s="60">
        <v>45.11</v>
      </c>
      <c r="AN566" s="60">
        <v>45.11</v>
      </c>
      <c r="AO566" s="60">
        <v>45.11</v>
      </c>
      <c r="AP566" s="60">
        <v>45.11</v>
      </c>
      <c r="AQ566" s="60">
        <v>45.11</v>
      </c>
      <c r="AR566" s="61">
        <f t="shared" si="220"/>
        <v>270.66000000000003</v>
      </c>
      <c r="AS566" s="60">
        <v>45.11</v>
      </c>
      <c r="AT566" s="60">
        <v>45.11</v>
      </c>
      <c r="AU566" s="60">
        <v>45.11</v>
      </c>
      <c r="AV566" s="60">
        <v>45.11</v>
      </c>
      <c r="AW566" s="60">
        <v>45.11</v>
      </c>
      <c r="AX566" s="60">
        <v>45.11</v>
      </c>
      <c r="AY566" s="61">
        <f t="shared" si="221"/>
        <v>270.66000000000003</v>
      </c>
      <c r="AZ566" s="56">
        <f t="shared" si="207"/>
        <v>541.32000000000005</v>
      </c>
      <c r="BA566" s="62">
        <f t="shared" si="237"/>
        <v>21058</v>
      </c>
      <c r="BB566" s="62">
        <f t="shared" si="222"/>
        <v>19975.590000000015</v>
      </c>
      <c r="BC566" s="62">
        <f t="shared" si="238"/>
        <v>1082.4099999999853</v>
      </c>
      <c r="BD566" s="63">
        <v>1353.0700000000058</v>
      </c>
      <c r="BE566" s="57">
        <f t="shared" si="243"/>
        <v>29.767540000000132</v>
      </c>
      <c r="BF566" s="35" t="e">
        <f>VLOOKUP(A:A,'2023-2027'!A:G,1,+FALSE)</f>
        <v>#N/A</v>
      </c>
      <c r="BG566" s="7" t="e">
        <f t="shared" si="231"/>
        <v>#N/A</v>
      </c>
      <c r="BH566" s="35"/>
    </row>
    <row r="567" spans="1:60" ht="24" hidden="1" customHeight="1" outlineLevel="1" x14ac:dyDescent="0.2">
      <c r="A567" s="59" t="s">
        <v>1380</v>
      </c>
      <c r="B567" s="59" t="s">
        <v>44</v>
      </c>
      <c r="C567" s="59" t="s">
        <v>82</v>
      </c>
      <c r="D567" s="65" t="s">
        <v>1381</v>
      </c>
      <c r="E567" s="59" t="s">
        <v>1382</v>
      </c>
      <c r="F567" s="60">
        <v>38847.46</v>
      </c>
      <c r="G567" s="60">
        <v>38847.46</v>
      </c>
      <c r="H567" s="59"/>
      <c r="I567" s="59"/>
      <c r="J567" s="59"/>
      <c r="K567" s="60">
        <v>38847.46</v>
      </c>
      <c r="L567" s="60">
        <v>38847.46</v>
      </c>
      <c r="M567" s="59"/>
      <c r="N567" s="59"/>
      <c r="O567" s="59"/>
      <c r="P567" s="67"/>
      <c r="Q567" s="67"/>
      <c r="R567" s="61">
        <f t="shared" si="217"/>
        <v>0</v>
      </c>
      <c r="S567" s="60">
        <v>0</v>
      </c>
      <c r="T567" s="60">
        <v>0</v>
      </c>
      <c r="U567" s="60">
        <v>0</v>
      </c>
      <c r="V567" s="60">
        <v>0</v>
      </c>
      <c r="W567" s="60">
        <v>0</v>
      </c>
      <c r="X567" s="61">
        <f t="shared" si="218"/>
        <v>0</v>
      </c>
      <c r="Y567" s="60">
        <v>0</v>
      </c>
      <c r="Z567" s="60">
        <v>0</v>
      </c>
      <c r="AA567" s="60">
        <v>0</v>
      </c>
      <c r="AB567" s="60">
        <v>0</v>
      </c>
      <c r="AC567" s="60">
        <v>0</v>
      </c>
      <c r="AD567" s="60">
        <v>0</v>
      </c>
      <c r="AE567" s="61">
        <f t="shared" si="224"/>
        <v>0</v>
      </c>
      <c r="AF567" s="62">
        <f t="shared" si="236"/>
        <v>0</v>
      </c>
      <c r="AG567" s="62">
        <f t="shared" si="233"/>
        <v>0</v>
      </c>
      <c r="AH567" s="62">
        <f t="shared" si="225"/>
        <v>0</v>
      </c>
      <c r="AI567" s="63"/>
      <c r="AJ567" s="63"/>
      <c r="AK567" s="62"/>
      <c r="AL567" s="60">
        <v>0</v>
      </c>
      <c r="AM567" s="60">
        <v>0</v>
      </c>
      <c r="AN567" s="60">
        <v>0</v>
      </c>
      <c r="AO567" s="60">
        <v>0</v>
      </c>
      <c r="AP567" s="60">
        <v>0</v>
      </c>
      <c r="AQ567" s="60">
        <v>0</v>
      </c>
      <c r="AR567" s="61">
        <f t="shared" si="220"/>
        <v>0</v>
      </c>
      <c r="AS567" s="60">
        <v>0</v>
      </c>
      <c r="AT567" s="60">
        <v>0</v>
      </c>
      <c r="AU567" s="60">
        <v>0</v>
      </c>
      <c r="AV567" s="60">
        <v>0</v>
      </c>
      <c r="AW567" s="60">
        <v>0</v>
      </c>
      <c r="AX567" s="60">
        <v>0</v>
      </c>
      <c r="AY567" s="61">
        <f t="shared" si="221"/>
        <v>0</v>
      </c>
      <c r="AZ567" s="56">
        <f t="shared" si="207"/>
        <v>0</v>
      </c>
      <c r="BA567" s="62">
        <f t="shared" si="237"/>
        <v>0</v>
      </c>
      <c r="BB567" s="62">
        <f t="shared" si="222"/>
        <v>0</v>
      </c>
      <c r="BC567" s="62">
        <f t="shared" si="238"/>
        <v>0</v>
      </c>
      <c r="BD567" s="63"/>
      <c r="BE567" s="57"/>
      <c r="BF567" s="35" t="e">
        <f>VLOOKUP(A:A,'2023-2027'!A:G,1,+FALSE)</f>
        <v>#N/A</v>
      </c>
      <c r="BG567" s="7" t="e">
        <f t="shared" si="231"/>
        <v>#N/A</v>
      </c>
      <c r="BH567" s="35"/>
    </row>
    <row r="568" spans="1:60" ht="12" hidden="1" customHeight="1" outlineLevel="1" x14ac:dyDescent="0.2">
      <c r="A568" s="59" t="s">
        <v>1383</v>
      </c>
      <c r="B568" s="59" t="s">
        <v>44</v>
      </c>
      <c r="C568" s="59" t="s">
        <v>82</v>
      </c>
      <c r="D568" s="66" t="s">
        <v>1384</v>
      </c>
      <c r="E568" s="59" t="s">
        <v>1385</v>
      </c>
      <c r="F568" s="60">
        <v>83983.05</v>
      </c>
      <c r="G568" s="60">
        <v>51789.27</v>
      </c>
      <c r="H568" s="60">
        <v>32193.78</v>
      </c>
      <c r="I568" s="59"/>
      <c r="J568" s="60">
        <v>5598.96</v>
      </c>
      <c r="K568" s="59"/>
      <c r="L568" s="59"/>
      <c r="M568" s="60">
        <v>83983.05</v>
      </c>
      <c r="N568" s="60">
        <v>57388.23</v>
      </c>
      <c r="O568" s="60">
        <v>26594.82</v>
      </c>
      <c r="P568" s="55"/>
      <c r="Q568" s="55"/>
      <c r="R568" s="61">
        <f t="shared" si="217"/>
        <v>466.58</v>
      </c>
      <c r="S568" s="60">
        <v>466.58</v>
      </c>
      <c r="T568" s="60">
        <v>466.58</v>
      </c>
      <c r="U568" s="60">
        <v>466.58</v>
      </c>
      <c r="V568" s="60">
        <v>466.58</v>
      </c>
      <c r="W568" s="60">
        <v>466.58</v>
      </c>
      <c r="X568" s="61">
        <f t="shared" si="218"/>
        <v>2799.48</v>
      </c>
      <c r="Y568" s="60">
        <v>466.58</v>
      </c>
      <c r="Z568" s="60">
        <v>466.58</v>
      </c>
      <c r="AA568" s="60">
        <v>466.58</v>
      </c>
      <c r="AB568" s="60">
        <v>466.58</v>
      </c>
      <c r="AC568" s="60">
        <v>466.58</v>
      </c>
      <c r="AD568" s="60">
        <v>466.58</v>
      </c>
      <c r="AE568" s="61">
        <f t="shared" si="224"/>
        <v>2799.48</v>
      </c>
      <c r="AF568" s="62">
        <f t="shared" si="236"/>
        <v>83983.05</v>
      </c>
      <c r="AG568" s="62">
        <f t="shared" si="233"/>
        <v>62987.190000000024</v>
      </c>
      <c r="AH568" s="62">
        <f t="shared" si="225"/>
        <v>20995.859999999979</v>
      </c>
      <c r="AI568" s="63"/>
      <c r="AJ568" s="63"/>
      <c r="AK568" s="62"/>
      <c r="AL568" s="60">
        <v>466.58</v>
      </c>
      <c r="AM568" s="60">
        <v>466.58</v>
      </c>
      <c r="AN568" s="60">
        <v>466.58</v>
      </c>
      <c r="AO568" s="60">
        <v>466.58</v>
      </c>
      <c r="AP568" s="60">
        <v>466.58</v>
      </c>
      <c r="AQ568" s="60">
        <v>466.58</v>
      </c>
      <c r="AR568" s="61">
        <f t="shared" si="220"/>
        <v>2799.48</v>
      </c>
      <c r="AS568" s="60">
        <v>466.58</v>
      </c>
      <c r="AT568" s="60">
        <v>466.58</v>
      </c>
      <c r="AU568" s="60">
        <v>466.58</v>
      </c>
      <c r="AV568" s="60">
        <v>466.58</v>
      </c>
      <c r="AW568" s="60">
        <v>466.58</v>
      </c>
      <c r="AX568" s="60">
        <v>466.58</v>
      </c>
      <c r="AY568" s="61">
        <f t="shared" si="221"/>
        <v>2799.48</v>
      </c>
      <c r="AZ568" s="56">
        <f t="shared" si="207"/>
        <v>5598.96</v>
      </c>
      <c r="BA568" s="62">
        <f t="shared" si="237"/>
        <v>83983.05</v>
      </c>
      <c r="BB568" s="62">
        <f t="shared" si="222"/>
        <v>68586.150000000038</v>
      </c>
      <c r="BC568" s="62">
        <f t="shared" si="238"/>
        <v>15396.899999999965</v>
      </c>
      <c r="BD568" s="63"/>
      <c r="BE568" s="57"/>
      <c r="BF568" s="35" t="str">
        <f>VLOOKUP(A:A,'2023-2027'!A:G,1,+FALSE)</f>
        <v>Вводной щит ЩО-70-2-34УЗ</v>
      </c>
      <c r="BG568" s="7" t="b">
        <f t="shared" si="231"/>
        <v>1</v>
      </c>
      <c r="BH568" s="35">
        <f>VLOOKUP(A:A,'2023-2027'!A:AT,43,+FALSE)</f>
        <v>466.58</v>
      </c>
    </row>
    <row r="569" spans="1:60" ht="48" hidden="1" customHeight="1" outlineLevel="1" x14ac:dyDescent="0.2">
      <c r="A569" s="59" t="s">
        <v>2461</v>
      </c>
      <c r="B569" s="59" t="s">
        <v>44</v>
      </c>
      <c r="C569" s="59" t="s">
        <v>82</v>
      </c>
      <c r="D569" s="66" t="s">
        <v>1386</v>
      </c>
      <c r="E569" s="59" t="s">
        <v>1387</v>
      </c>
      <c r="F569" s="60">
        <v>133833.32999999999</v>
      </c>
      <c r="G569" s="60">
        <v>30854.46</v>
      </c>
      <c r="H569" s="60">
        <v>102978.87</v>
      </c>
      <c r="I569" s="59"/>
      <c r="J569" s="60">
        <v>8815.56</v>
      </c>
      <c r="K569" s="59"/>
      <c r="L569" s="59"/>
      <c r="M569" s="60">
        <v>133833.32999999999</v>
      </c>
      <c r="N569" s="60">
        <v>39670.019999999997</v>
      </c>
      <c r="O569" s="60">
        <v>94163.31</v>
      </c>
      <c r="P569" s="55"/>
      <c r="Q569" s="55"/>
      <c r="R569" s="61">
        <f t="shared" si="217"/>
        <v>734.63</v>
      </c>
      <c r="S569" s="60">
        <v>734.63</v>
      </c>
      <c r="T569" s="60">
        <v>734.63</v>
      </c>
      <c r="U569" s="60">
        <v>734.63</v>
      </c>
      <c r="V569" s="60">
        <v>734.63</v>
      </c>
      <c r="W569" s="60">
        <v>734.63</v>
      </c>
      <c r="X569" s="61">
        <f t="shared" si="218"/>
        <v>4407.78</v>
      </c>
      <c r="Y569" s="60">
        <v>734.63</v>
      </c>
      <c r="Z569" s="60">
        <v>734.63</v>
      </c>
      <c r="AA569" s="60">
        <v>734.63</v>
      </c>
      <c r="AB569" s="60">
        <v>734.63</v>
      </c>
      <c r="AC569" s="60">
        <v>734.63</v>
      </c>
      <c r="AD569" s="60">
        <v>734.63</v>
      </c>
      <c r="AE569" s="61">
        <f t="shared" si="224"/>
        <v>4407.78</v>
      </c>
      <c r="AF569" s="62">
        <f t="shared" si="236"/>
        <v>133833.32999999999</v>
      </c>
      <c r="AG569" s="62">
        <f t="shared" si="233"/>
        <v>48485.579999999965</v>
      </c>
      <c r="AH569" s="62">
        <f t="shared" si="225"/>
        <v>85347.750000000029</v>
      </c>
      <c r="AI569" s="63"/>
      <c r="AJ569" s="63"/>
      <c r="AK569" s="62"/>
      <c r="AL569" s="60">
        <v>734.63</v>
      </c>
      <c r="AM569" s="60">
        <v>734.63</v>
      </c>
      <c r="AN569" s="60">
        <v>734.63</v>
      </c>
      <c r="AO569" s="60">
        <v>734.63</v>
      </c>
      <c r="AP569" s="60">
        <v>734.63</v>
      </c>
      <c r="AQ569" s="60">
        <v>734.63</v>
      </c>
      <c r="AR569" s="61">
        <f t="shared" si="220"/>
        <v>4407.78</v>
      </c>
      <c r="AS569" s="60">
        <v>734.63</v>
      </c>
      <c r="AT569" s="60">
        <v>734.63</v>
      </c>
      <c r="AU569" s="60">
        <v>734.63</v>
      </c>
      <c r="AV569" s="60">
        <v>734.63</v>
      </c>
      <c r="AW569" s="60">
        <v>734.63</v>
      </c>
      <c r="AX569" s="60">
        <v>734.63</v>
      </c>
      <c r="AY569" s="61">
        <f t="shared" si="221"/>
        <v>4407.78</v>
      </c>
      <c r="AZ569" s="56">
        <f t="shared" si="207"/>
        <v>8815.56</v>
      </c>
      <c r="BA569" s="62">
        <f t="shared" si="237"/>
        <v>133833.32999999999</v>
      </c>
      <c r="BB569" s="62">
        <f t="shared" si="222"/>
        <v>57301.139999999934</v>
      </c>
      <c r="BC569" s="62">
        <f t="shared" si="238"/>
        <v>76532.190000000061</v>
      </c>
      <c r="BD569" s="63"/>
      <c r="BE569" s="57"/>
      <c r="BF569" s="35" t="str">
        <f>VLOOKUP(A:A,'2023-2027'!A:G,1,+FALSE)</f>
        <v>Верстак 3200х700х860 (нагрузка 300кг)</v>
      </c>
      <c r="BG569" s="7" t="b">
        <f t="shared" si="231"/>
        <v>1</v>
      </c>
      <c r="BH569" s="35">
        <f>VLOOKUP(A:A,'2023-2027'!A:AT,43,+FALSE)</f>
        <v>743.5200000000001</v>
      </c>
    </row>
    <row r="570" spans="1:60" ht="24" hidden="1" customHeight="1" outlineLevel="1" x14ac:dyDescent="0.2">
      <c r="A570" s="59" t="s">
        <v>1388</v>
      </c>
      <c r="B570" s="59" t="s">
        <v>44</v>
      </c>
      <c r="C570" s="59" t="s">
        <v>82</v>
      </c>
      <c r="D570" s="66" t="s">
        <v>1389</v>
      </c>
      <c r="E570" s="59" t="s">
        <v>1390</v>
      </c>
      <c r="F570" s="60">
        <v>797219</v>
      </c>
      <c r="G570" s="60">
        <v>654044.16000000003</v>
      </c>
      <c r="H570" s="60">
        <v>143174.84</v>
      </c>
      <c r="I570" s="59"/>
      <c r="J570" s="60">
        <v>25482</v>
      </c>
      <c r="K570" s="59"/>
      <c r="L570" s="59"/>
      <c r="M570" s="60">
        <v>797219</v>
      </c>
      <c r="N570" s="60">
        <v>679526.16</v>
      </c>
      <c r="O570" s="60">
        <v>117692.84</v>
      </c>
      <c r="P570" s="55">
        <v>130433.84</v>
      </c>
      <c r="Q570" s="55">
        <f t="shared" ref="Q570:Q621" si="244">P570*2.2%</f>
        <v>2869.54448</v>
      </c>
      <c r="R570" s="61">
        <f t="shared" si="217"/>
        <v>2123.5</v>
      </c>
      <c r="S570" s="60">
        <v>2123.5</v>
      </c>
      <c r="T570" s="60">
        <v>2123.5</v>
      </c>
      <c r="U570" s="60">
        <v>2123.5</v>
      </c>
      <c r="V570" s="60">
        <v>2123.5</v>
      </c>
      <c r="W570" s="60">
        <v>2123.5</v>
      </c>
      <c r="X570" s="61">
        <f t="shared" si="218"/>
        <v>12741</v>
      </c>
      <c r="Y570" s="60">
        <v>2123.5</v>
      </c>
      <c r="Z570" s="60">
        <v>2123.5</v>
      </c>
      <c r="AA570" s="60">
        <v>2123.5</v>
      </c>
      <c r="AB570" s="60">
        <v>2123.5</v>
      </c>
      <c r="AC570" s="60">
        <v>2123.5</v>
      </c>
      <c r="AD570" s="60">
        <v>2123.5</v>
      </c>
      <c r="AE570" s="61">
        <f t="shared" si="224"/>
        <v>12741</v>
      </c>
      <c r="AF570" s="62">
        <f t="shared" si="236"/>
        <v>797219</v>
      </c>
      <c r="AG570" s="62">
        <f t="shared" si="233"/>
        <v>705008.16</v>
      </c>
      <c r="AH570" s="62">
        <f t="shared" si="225"/>
        <v>92210.839999999967</v>
      </c>
      <c r="AI570" s="63">
        <v>104951.84000000001</v>
      </c>
      <c r="AJ570" s="63">
        <f t="shared" ref="AJ570:AJ621" si="245">AI570*2.2%</f>
        <v>2308.9404800000007</v>
      </c>
      <c r="AK570" s="72">
        <f t="shared" ref="AK570:AK621" si="246">AI570*2.2%</f>
        <v>2308.9404800000007</v>
      </c>
      <c r="AL570" s="60">
        <v>2123.5</v>
      </c>
      <c r="AM570" s="60">
        <v>2123.5</v>
      </c>
      <c r="AN570" s="60">
        <v>2123.5</v>
      </c>
      <c r="AO570" s="60">
        <v>2123.5</v>
      </c>
      <c r="AP570" s="60">
        <v>2123.5</v>
      </c>
      <c r="AQ570" s="60">
        <v>2123.5</v>
      </c>
      <c r="AR570" s="61">
        <f t="shared" si="220"/>
        <v>12741</v>
      </c>
      <c r="AS570" s="60">
        <v>2123.5</v>
      </c>
      <c r="AT570" s="60">
        <v>2123.5</v>
      </c>
      <c r="AU570" s="60">
        <v>2123.5</v>
      </c>
      <c r="AV570" s="60">
        <v>2123.5</v>
      </c>
      <c r="AW570" s="60">
        <v>2123.5</v>
      </c>
      <c r="AX570" s="60">
        <v>2123.5</v>
      </c>
      <c r="AY570" s="61">
        <f t="shared" si="221"/>
        <v>12741</v>
      </c>
      <c r="AZ570" s="56">
        <f t="shared" si="207"/>
        <v>25482</v>
      </c>
      <c r="BA570" s="62">
        <f t="shared" si="237"/>
        <v>797219</v>
      </c>
      <c r="BB570" s="62">
        <f t="shared" si="222"/>
        <v>730490.16</v>
      </c>
      <c r="BC570" s="62">
        <f t="shared" si="238"/>
        <v>66728.839999999967</v>
      </c>
      <c r="BD570" s="63">
        <v>79469.839999999982</v>
      </c>
      <c r="BE570" s="57">
        <f t="shared" ref="BE570:BE621" si="247">BD570*2.2%</f>
        <v>1748.3364799999997</v>
      </c>
      <c r="BF570" s="35" t="str">
        <f>VLOOKUP(A:A,'2023-2027'!A:G,1,+FALSE)</f>
        <v>ВЛ *- Воздушные ЛЭП п Факел 1996г.  1500м</v>
      </c>
      <c r="BG570" s="7" t="b">
        <f t="shared" si="231"/>
        <v>1</v>
      </c>
      <c r="BH570" s="35">
        <f>VLOOKUP(A:A,'2023-2027'!A:AT,43,+FALSE)</f>
        <v>2657.4000000000005</v>
      </c>
    </row>
    <row r="571" spans="1:60" ht="24" hidden="1" customHeight="1" outlineLevel="1" x14ac:dyDescent="0.2">
      <c r="A571" s="59" t="s">
        <v>2462</v>
      </c>
      <c r="B571" s="59" t="s">
        <v>44</v>
      </c>
      <c r="C571" s="59" t="s">
        <v>82</v>
      </c>
      <c r="D571" s="66" t="s">
        <v>1391</v>
      </c>
      <c r="E571" s="59" t="s">
        <v>1392</v>
      </c>
      <c r="F571" s="60">
        <v>14935</v>
      </c>
      <c r="G571" s="60">
        <v>10176.969999999999</v>
      </c>
      <c r="H571" s="60">
        <v>4758.03</v>
      </c>
      <c r="I571" s="59"/>
      <c r="J571" s="68">
        <v>221.88</v>
      </c>
      <c r="K571" s="59"/>
      <c r="L571" s="59"/>
      <c r="M571" s="60">
        <v>14935</v>
      </c>
      <c r="N571" s="60">
        <v>10398.85</v>
      </c>
      <c r="O571" s="60">
        <v>4536.1499999999996</v>
      </c>
      <c r="P571" s="55">
        <v>4647.09</v>
      </c>
      <c r="Q571" s="55">
        <f t="shared" si="244"/>
        <v>102.23598000000001</v>
      </c>
      <c r="R571" s="61">
        <f t="shared" si="217"/>
        <v>18.489999999999998</v>
      </c>
      <c r="S571" s="60">
        <v>18.489999999999998</v>
      </c>
      <c r="T571" s="60">
        <v>18.489999999999998</v>
      </c>
      <c r="U571" s="60">
        <v>18.489999999999998</v>
      </c>
      <c r="V571" s="60">
        <v>18.489999999999998</v>
      </c>
      <c r="W571" s="60">
        <v>18.489999999999998</v>
      </c>
      <c r="X571" s="61">
        <f t="shared" si="218"/>
        <v>110.93999999999998</v>
      </c>
      <c r="Y571" s="60">
        <v>18.489999999999998</v>
      </c>
      <c r="Z571" s="60">
        <v>18.489999999999998</v>
      </c>
      <c r="AA571" s="60">
        <v>18.489999999999998</v>
      </c>
      <c r="AB571" s="60">
        <v>18.489999999999998</v>
      </c>
      <c r="AC571" s="60">
        <v>18.489999999999998</v>
      </c>
      <c r="AD571" s="60">
        <v>18.489999999999998</v>
      </c>
      <c r="AE571" s="61">
        <f t="shared" si="224"/>
        <v>110.93999999999998</v>
      </c>
      <c r="AF571" s="62">
        <f t="shared" si="236"/>
        <v>14935</v>
      </c>
      <c r="AG571" s="62">
        <f t="shared" si="233"/>
        <v>10620.729999999998</v>
      </c>
      <c r="AH571" s="62">
        <f t="shared" si="225"/>
        <v>4314.2700000000023</v>
      </c>
      <c r="AI571" s="63">
        <v>4425.2100000000009</v>
      </c>
      <c r="AJ571" s="63">
        <f t="shared" si="245"/>
        <v>97.354620000000025</v>
      </c>
      <c r="AK571" s="72">
        <f t="shared" si="246"/>
        <v>97.354620000000025</v>
      </c>
      <c r="AL571" s="60">
        <v>18.489999999999998</v>
      </c>
      <c r="AM571" s="60">
        <v>18.489999999999998</v>
      </c>
      <c r="AN571" s="60">
        <v>18.489999999999998</v>
      </c>
      <c r="AO571" s="60">
        <v>18.489999999999998</v>
      </c>
      <c r="AP571" s="60">
        <v>18.489999999999998</v>
      </c>
      <c r="AQ571" s="60">
        <v>18.489999999999998</v>
      </c>
      <c r="AR571" s="61">
        <f t="shared" si="220"/>
        <v>110.93999999999998</v>
      </c>
      <c r="AS571" s="60">
        <v>18.489999999999998</v>
      </c>
      <c r="AT571" s="60">
        <v>18.489999999999998</v>
      </c>
      <c r="AU571" s="60">
        <v>18.489999999999998</v>
      </c>
      <c r="AV571" s="60">
        <v>18.489999999999998</v>
      </c>
      <c r="AW571" s="60">
        <v>18.489999999999998</v>
      </c>
      <c r="AX571" s="60">
        <v>18.489999999999998</v>
      </c>
      <c r="AY571" s="61">
        <f t="shared" si="221"/>
        <v>110.93999999999998</v>
      </c>
      <c r="AZ571" s="56">
        <f t="shared" si="207"/>
        <v>221.87999999999997</v>
      </c>
      <c r="BA571" s="62">
        <f t="shared" si="237"/>
        <v>14935</v>
      </c>
      <c r="BB571" s="62">
        <f t="shared" si="222"/>
        <v>10842.609999999995</v>
      </c>
      <c r="BC571" s="62">
        <f t="shared" si="238"/>
        <v>4092.3900000000049</v>
      </c>
      <c r="BD571" s="63">
        <v>4203.3300000000036</v>
      </c>
      <c r="BE571" s="57">
        <f t="shared" si="247"/>
        <v>92.473260000000082</v>
      </c>
      <c r="BF571" s="35" t="str">
        <f>VLOOKUP(A:A,'2023-2027'!A:G,1,+FALSE)</f>
        <v>ВЛ Воздушные ЛЭП-6 кв Угольная  1976г.</v>
      </c>
      <c r="BG571" s="7" t="b">
        <f t="shared" si="231"/>
        <v>1</v>
      </c>
      <c r="BH571" s="35">
        <f>VLOOKUP(A:A,'2023-2027'!A:AT,43,+FALSE)</f>
        <v>49.779999999999994</v>
      </c>
    </row>
    <row r="572" spans="1:60" ht="24" hidden="1" customHeight="1" outlineLevel="1" x14ac:dyDescent="0.2">
      <c r="A572" s="59" t="s">
        <v>1393</v>
      </c>
      <c r="B572" s="59" t="s">
        <v>44</v>
      </c>
      <c r="C572" s="59" t="s">
        <v>82</v>
      </c>
      <c r="D572" s="66" t="s">
        <v>1394</v>
      </c>
      <c r="E572" s="59" t="s">
        <v>1395</v>
      </c>
      <c r="F572" s="60">
        <v>1948429.72</v>
      </c>
      <c r="G572" s="60">
        <v>104456.56</v>
      </c>
      <c r="H572" s="60">
        <v>1843973.16</v>
      </c>
      <c r="I572" s="59"/>
      <c r="J572" s="60">
        <v>48210.720000000001</v>
      </c>
      <c r="K572" s="59"/>
      <c r="L572" s="59"/>
      <c r="M572" s="60">
        <v>1948429.72</v>
      </c>
      <c r="N572" s="60">
        <v>152667.28</v>
      </c>
      <c r="O572" s="60">
        <v>1795762.44</v>
      </c>
      <c r="P572" s="55">
        <v>1819867.8</v>
      </c>
      <c r="Q572" s="55">
        <f t="shared" si="244"/>
        <v>40037.091600000007</v>
      </c>
      <c r="R572" s="61">
        <f t="shared" si="217"/>
        <v>4017.56</v>
      </c>
      <c r="S572" s="60">
        <v>4017.56</v>
      </c>
      <c r="T572" s="60">
        <v>4017.56</v>
      </c>
      <c r="U572" s="60">
        <v>4017.56</v>
      </c>
      <c r="V572" s="60">
        <v>4017.56</v>
      </c>
      <c r="W572" s="60">
        <v>4017.56</v>
      </c>
      <c r="X572" s="61">
        <f t="shared" si="218"/>
        <v>24105.360000000001</v>
      </c>
      <c r="Y572" s="60">
        <v>4017.56</v>
      </c>
      <c r="Z572" s="60">
        <v>4017.56</v>
      </c>
      <c r="AA572" s="60">
        <v>4017.56</v>
      </c>
      <c r="AB572" s="60">
        <v>4017.56</v>
      </c>
      <c r="AC572" s="60">
        <v>4017.56</v>
      </c>
      <c r="AD572" s="60">
        <v>4017.56</v>
      </c>
      <c r="AE572" s="61">
        <f t="shared" si="224"/>
        <v>24105.360000000001</v>
      </c>
      <c r="AF572" s="62">
        <f t="shared" si="236"/>
        <v>1948429.72</v>
      </c>
      <c r="AG572" s="62">
        <f t="shared" si="233"/>
        <v>200877.99999999997</v>
      </c>
      <c r="AH572" s="62">
        <f t="shared" si="225"/>
        <v>1747551.72</v>
      </c>
      <c r="AI572" s="63">
        <v>1771657.0800000008</v>
      </c>
      <c r="AJ572" s="63">
        <f t="shared" si="245"/>
        <v>38976.455760000019</v>
      </c>
      <c r="AK572" s="72">
        <f t="shared" si="246"/>
        <v>38976.455760000019</v>
      </c>
      <c r="AL572" s="60">
        <v>4017.56</v>
      </c>
      <c r="AM572" s="60">
        <v>4017.56</v>
      </c>
      <c r="AN572" s="60">
        <v>4017.56</v>
      </c>
      <c r="AO572" s="60">
        <v>4017.56</v>
      </c>
      <c r="AP572" s="60">
        <v>4017.56</v>
      </c>
      <c r="AQ572" s="60">
        <v>4017.56</v>
      </c>
      <c r="AR572" s="61">
        <f t="shared" si="220"/>
        <v>24105.360000000001</v>
      </c>
      <c r="AS572" s="60">
        <v>4017.56</v>
      </c>
      <c r="AT572" s="60">
        <v>4017.56</v>
      </c>
      <c r="AU572" s="60">
        <v>4017.56</v>
      </c>
      <c r="AV572" s="60">
        <v>4017.56</v>
      </c>
      <c r="AW572" s="60">
        <v>4017.56</v>
      </c>
      <c r="AX572" s="60">
        <v>4017.56</v>
      </c>
      <c r="AY572" s="61">
        <f t="shared" si="221"/>
        <v>24105.360000000001</v>
      </c>
      <c r="AZ572" s="56">
        <f t="shared" si="207"/>
        <v>48210.720000000001</v>
      </c>
      <c r="BA572" s="62">
        <f t="shared" si="237"/>
        <v>1948429.72</v>
      </c>
      <c r="BB572" s="62">
        <f t="shared" si="222"/>
        <v>249088.71999999994</v>
      </c>
      <c r="BC572" s="62">
        <f t="shared" si="238"/>
        <v>1699341</v>
      </c>
      <c r="BD572" s="63">
        <v>1723446.3600000031</v>
      </c>
      <c r="BE572" s="57">
        <f t="shared" si="247"/>
        <v>37915.819920000074</v>
      </c>
      <c r="BF572" s="35" t="str">
        <f>VLOOKUP(A:A,'2023-2027'!A:G,1,+FALSE)</f>
        <v>ВЛ 0,4 кВ от ТП-7 "Столовая" фидер "Первомайская 1"</v>
      </c>
      <c r="BG572" s="7" t="b">
        <f t="shared" si="231"/>
        <v>1</v>
      </c>
      <c r="BH572" s="35">
        <f>VLOOKUP(A:A,'2023-2027'!A:AT,43,+FALSE)</f>
        <v>4059.2300000000009</v>
      </c>
    </row>
    <row r="573" spans="1:60" ht="24" hidden="1" customHeight="1" outlineLevel="1" x14ac:dyDescent="0.2">
      <c r="A573" s="59" t="s">
        <v>1396</v>
      </c>
      <c r="B573" s="59" t="s">
        <v>44</v>
      </c>
      <c r="C573" s="59" t="s">
        <v>82</v>
      </c>
      <c r="D573" s="65" t="s">
        <v>1397</v>
      </c>
      <c r="E573" s="59" t="s">
        <v>1398</v>
      </c>
      <c r="F573" s="60">
        <v>23130.68</v>
      </c>
      <c r="G573" s="60">
        <v>4446</v>
      </c>
      <c r="H573" s="60">
        <v>18684.68</v>
      </c>
      <c r="I573" s="59"/>
      <c r="J573" s="68">
        <v>228.24</v>
      </c>
      <c r="K573" s="59"/>
      <c r="L573" s="59"/>
      <c r="M573" s="60">
        <v>23130.68</v>
      </c>
      <c r="N573" s="60">
        <v>4674.24</v>
      </c>
      <c r="O573" s="60">
        <v>18456.439999999999</v>
      </c>
      <c r="P573" s="55">
        <v>18570.560000000001</v>
      </c>
      <c r="Q573" s="55">
        <f t="shared" si="244"/>
        <v>408.55232000000007</v>
      </c>
      <c r="R573" s="61">
        <f t="shared" si="217"/>
        <v>19.02</v>
      </c>
      <c r="S573" s="60">
        <v>19.02</v>
      </c>
      <c r="T573" s="60">
        <v>19.02</v>
      </c>
      <c r="U573" s="60">
        <v>19.02</v>
      </c>
      <c r="V573" s="60">
        <v>19.02</v>
      </c>
      <c r="W573" s="60">
        <v>19.02</v>
      </c>
      <c r="X573" s="61">
        <f t="shared" si="218"/>
        <v>114.11999999999999</v>
      </c>
      <c r="Y573" s="60">
        <v>19.02</v>
      </c>
      <c r="Z573" s="60">
        <v>19.02</v>
      </c>
      <c r="AA573" s="60">
        <v>19.02</v>
      </c>
      <c r="AB573" s="60">
        <v>19.02</v>
      </c>
      <c r="AC573" s="60">
        <v>19.02</v>
      </c>
      <c r="AD573" s="60">
        <v>19.02</v>
      </c>
      <c r="AE573" s="61">
        <f t="shared" si="224"/>
        <v>114.11999999999999</v>
      </c>
      <c r="AF573" s="62">
        <f t="shared" si="236"/>
        <v>23130.68</v>
      </c>
      <c r="AG573" s="62">
        <f t="shared" si="233"/>
        <v>4902.480000000005</v>
      </c>
      <c r="AH573" s="62">
        <f t="shared" si="225"/>
        <v>18228.199999999997</v>
      </c>
      <c r="AI573" s="63">
        <v>18342.319999999992</v>
      </c>
      <c r="AJ573" s="63">
        <f t="shared" si="245"/>
        <v>403.53103999999985</v>
      </c>
      <c r="AK573" s="72">
        <f t="shared" si="246"/>
        <v>403.53103999999985</v>
      </c>
      <c r="AL573" s="60">
        <v>19.02</v>
      </c>
      <c r="AM573" s="60">
        <v>19.02</v>
      </c>
      <c r="AN573" s="60">
        <v>19.02</v>
      </c>
      <c r="AO573" s="60">
        <v>19.02</v>
      </c>
      <c r="AP573" s="60">
        <v>19.02</v>
      </c>
      <c r="AQ573" s="60">
        <v>19.02</v>
      </c>
      <c r="AR573" s="61">
        <f t="shared" si="220"/>
        <v>114.11999999999999</v>
      </c>
      <c r="AS573" s="60">
        <v>19.02</v>
      </c>
      <c r="AT573" s="60">
        <v>19.02</v>
      </c>
      <c r="AU573" s="60">
        <v>19.02</v>
      </c>
      <c r="AV573" s="60">
        <v>19.02</v>
      </c>
      <c r="AW573" s="60">
        <v>19.02</v>
      </c>
      <c r="AX573" s="60">
        <v>19.02</v>
      </c>
      <c r="AY573" s="61">
        <f t="shared" si="221"/>
        <v>114.11999999999999</v>
      </c>
      <c r="AZ573" s="56">
        <f t="shared" si="207"/>
        <v>228.23999999999998</v>
      </c>
      <c r="BA573" s="62">
        <f t="shared" si="237"/>
        <v>23130.68</v>
      </c>
      <c r="BB573" s="62">
        <f t="shared" si="222"/>
        <v>5130.7200000000103</v>
      </c>
      <c r="BC573" s="62">
        <f t="shared" si="238"/>
        <v>17999.959999999992</v>
      </c>
      <c r="BD573" s="63">
        <v>18114.079999999991</v>
      </c>
      <c r="BE573" s="57">
        <f t="shared" si="247"/>
        <v>398.50975999999986</v>
      </c>
      <c r="BF573" s="35" t="e">
        <f>VLOOKUP(A:A,'2023-2027'!A:G,1,+FALSE)</f>
        <v>#N/A</v>
      </c>
      <c r="BG573" s="7" t="e">
        <f t="shared" si="231"/>
        <v>#N/A</v>
      </c>
      <c r="BH573" s="35"/>
    </row>
    <row r="574" spans="1:60" ht="24" hidden="1" customHeight="1" outlineLevel="1" x14ac:dyDescent="0.2">
      <c r="A574" s="59" t="s">
        <v>1399</v>
      </c>
      <c r="B574" s="59" t="s">
        <v>44</v>
      </c>
      <c r="C574" s="59" t="s">
        <v>82</v>
      </c>
      <c r="D574" s="65" t="s">
        <v>1400</v>
      </c>
      <c r="E574" s="59" t="s">
        <v>712</v>
      </c>
      <c r="F574" s="60">
        <v>28484.880000000001</v>
      </c>
      <c r="G574" s="60">
        <v>11237.76</v>
      </c>
      <c r="H574" s="60">
        <v>17247.12</v>
      </c>
      <c r="I574" s="59"/>
      <c r="J574" s="68">
        <v>936.48</v>
      </c>
      <c r="K574" s="59"/>
      <c r="L574" s="59"/>
      <c r="M574" s="60">
        <v>28484.880000000001</v>
      </c>
      <c r="N574" s="60">
        <v>12174.24</v>
      </c>
      <c r="O574" s="60">
        <v>16310.64</v>
      </c>
      <c r="P574" s="55">
        <v>16778.88</v>
      </c>
      <c r="Q574" s="55">
        <f t="shared" si="244"/>
        <v>369.13536000000005</v>
      </c>
      <c r="R574" s="61">
        <f t="shared" si="217"/>
        <v>78.040000000000006</v>
      </c>
      <c r="S574" s="60">
        <v>78.040000000000006</v>
      </c>
      <c r="T574" s="60">
        <v>78.040000000000006</v>
      </c>
      <c r="U574" s="60">
        <v>78.040000000000006</v>
      </c>
      <c r="V574" s="60">
        <v>78.040000000000006</v>
      </c>
      <c r="W574" s="60">
        <v>78.040000000000006</v>
      </c>
      <c r="X574" s="61">
        <f t="shared" si="218"/>
        <v>468.24000000000007</v>
      </c>
      <c r="Y574" s="60">
        <v>78.040000000000006</v>
      </c>
      <c r="Z574" s="60">
        <v>78.040000000000006</v>
      </c>
      <c r="AA574" s="60">
        <v>78.040000000000006</v>
      </c>
      <c r="AB574" s="60">
        <v>78.040000000000006</v>
      </c>
      <c r="AC574" s="60">
        <v>78.040000000000006</v>
      </c>
      <c r="AD574" s="60">
        <v>78.040000000000006</v>
      </c>
      <c r="AE574" s="61">
        <f t="shared" si="224"/>
        <v>468.24000000000007</v>
      </c>
      <c r="AF574" s="62">
        <f t="shared" si="236"/>
        <v>28484.880000000001</v>
      </c>
      <c r="AG574" s="62">
        <f t="shared" si="233"/>
        <v>13110.72000000001</v>
      </c>
      <c r="AH574" s="62">
        <f t="shared" si="225"/>
        <v>15374.159999999991</v>
      </c>
      <c r="AI574" s="63">
        <v>15842.400000000014</v>
      </c>
      <c r="AJ574" s="63">
        <f t="shared" si="245"/>
        <v>348.53280000000035</v>
      </c>
      <c r="AK574" s="72">
        <f t="shared" si="246"/>
        <v>348.53280000000035</v>
      </c>
      <c r="AL574" s="60">
        <v>78.040000000000006</v>
      </c>
      <c r="AM574" s="60">
        <v>78.040000000000006</v>
      </c>
      <c r="AN574" s="60">
        <v>78.040000000000006</v>
      </c>
      <c r="AO574" s="60">
        <v>78.040000000000006</v>
      </c>
      <c r="AP574" s="60">
        <v>78.040000000000006</v>
      </c>
      <c r="AQ574" s="60">
        <v>78.040000000000006</v>
      </c>
      <c r="AR574" s="61">
        <f t="shared" si="220"/>
        <v>468.24000000000007</v>
      </c>
      <c r="AS574" s="60">
        <v>78.040000000000006</v>
      </c>
      <c r="AT574" s="60">
        <v>78.040000000000006</v>
      </c>
      <c r="AU574" s="60">
        <v>78.040000000000006</v>
      </c>
      <c r="AV574" s="60">
        <v>78.040000000000006</v>
      </c>
      <c r="AW574" s="60">
        <v>78.040000000000006</v>
      </c>
      <c r="AX574" s="60">
        <v>78.040000000000006</v>
      </c>
      <c r="AY574" s="61">
        <f t="shared" si="221"/>
        <v>468.24000000000007</v>
      </c>
      <c r="AZ574" s="56">
        <f t="shared" si="207"/>
        <v>936.48000000000013</v>
      </c>
      <c r="BA574" s="62">
        <f t="shared" si="237"/>
        <v>28484.880000000001</v>
      </c>
      <c r="BB574" s="62">
        <f t="shared" si="222"/>
        <v>14047.200000000021</v>
      </c>
      <c r="BC574" s="62">
        <f t="shared" si="238"/>
        <v>14437.67999999998</v>
      </c>
      <c r="BD574" s="63">
        <v>14905.920000000051</v>
      </c>
      <c r="BE574" s="57">
        <f t="shared" si="247"/>
        <v>327.93024000000116</v>
      </c>
      <c r="BF574" s="35" t="e">
        <f>VLOOKUP(A:A,'2023-2027'!A:G,1,+FALSE)</f>
        <v>#N/A</v>
      </c>
      <c r="BG574" s="7" t="e">
        <f t="shared" si="231"/>
        <v>#N/A</v>
      </c>
      <c r="BH574" s="35"/>
    </row>
    <row r="575" spans="1:60" ht="24" hidden="1" customHeight="1" outlineLevel="1" x14ac:dyDescent="0.2">
      <c r="A575" s="59" t="s">
        <v>1401</v>
      </c>
      <c r="B575" s="59" t="s">
        <v>44</v>
      </c>
      <c r="C575" s="59" t="s">
        <v>82</v>
      </c>
      <c r="D575" s="66" t="s">
        <v>1402</v>
      </c>
      <c r="E575" s="59" t="s">
        <v>1403</v>
      </c>
      <c r="F575" s="60">
        <v>184877</v>
      </c>
      <c r="G575" s="60">
        <v>58489.919999999998</v>
      </c>
      <c r="H575" s="60">
        <v>126387.08</v>
      </c>
      <c r="I575" s="59"/>
      <c r="J575" s="60">
        <v>2437.44</v>
      </c>
      <c r="K575" s="59"/>
      <c r="L575" s="59"/>
      <c r="M575" s="60">
        <v>184877</v>
      </c>
      <c r="N575" s="60">
        <v>60927.360000000001</v>
      </c>
      <c r="O575" s="60">
        <v>123949.64</v>
      </c>
      <c r="P575" s="55">
        <v>125168.36</v>
      </c>
      <c r="Q575" s="55">
        <f t="shared" si="244"/>
        <v>2753.7039200000004</v>
      </c>
      <c r="R575" s="61">
        <f t="shared" si="217"/>
        <v>203.12</v>
      </c>
      <c r="S575" s="60">
        <v>203.12</v>
      </c>
      <c r="T575" s="60">
        <v>203.12</v>
      </c>
      <c r="U575" s="60">
        <v>203.12</v>
      </c>
      <c r="V575" s="60">
        <v>203.12</v>
      </c>
      <c r="W575" s="60">
        <v>203.12</v>
      </c>
      <c r="X575" s="61">
        <f t="shared" si="218"/>
        <v>1218.72</v>
      </c>
      <c r="Y575" s="60">
        <v>203.12</v>
      </c>
      <c r="Z575" s="60">
        <v>203.12</v>
      </c>
      <c r="AA575" s="60">
        <v>203.12</v>
      </c>
      <c r="AB575" s="60">
        <v>203.12</v>
      </c>
      <c r="AC575" s="60">
        <v>203.12</v>
      </c>
      <c r="AD575" s="60">
        <v>203.12</v>
      </c>
      <c r="AE575" s="61">
        <f t="shared" si="224"/>
        <v>1218.72</v>
      </c>
      <c r="AF575" s="62">
        <f t="shared" si="236"/>
        <v>184877</v>
      </c>
      <c r="AG575" s="62">
        <f t="shared" si="233"/>
        <v>63364.800000000032</v>
      </c>
      <c r="AH575" s="62">
        <f t="shared" si="225"/>
        <v>121512.19999999997</v>
      </c>
      <c r="AI575" s="63">
        <v>122730.92000000001</v>
      </c>
      <c r="AJ575" s="63">
        <f t="shared" si="245"/>
        <v>2700.0802400000007</v>
      </c>
      <c r="AK575" s="72">
        <f t="shared" si="246"/>
        <v>2700.0802400000007</v>
      </c>
      <c r="AL575" s="60">
        <v>203.12</v>
      </c>
      <c r="AM575" s="60">
        <v>203.12</v>
      </c>
      <c r="AN575" s="60">
        <v>203.12</v>
      </c>
      <c r="AO575" s="60">
        <v>203.12</v>
      </c>
      <c r="AP575" s="60">
        <v>203.12</v>
      </c>
      <c r="AQ575" s="60">
        <v>203.12</v>
      </c>
      <c r="AR575" s="61">
        <f t="shared" si="220"/>
        <v>1218.72</v>
      </c>
      <c r="AS575" s="60">
        <v>203.12</v>
      </c>
      <c r="AT575" s="60">
        <v>203.12</v>
      </c>
      <c r="AU575" s="60">
        <v>203.12</v>
      </c>
      <c r="AV575" s="60">
        <v>203.12</v>
      </c>
      <c r="AW575" s="60">
        <v>203.12</v>
      </c>
      <c r="AX575" s="60">
        <v>203.12</v>
      </c>
      <c r="AY575" s="61">
        <f t="shared" si="221"/>
        <v>1218.72</v>
      </c>
      <c r="AZ575" s="56">
        <f t="shared" si="207"/>
        <v>2437.44</v>
      </c>
      <c r="BA575" s="62">
        <f t="shared" si="237"/>
        <v>184877</v>
      </c>
      <c r="BB575" s="62">
        <f t="shared" si="222"/>
        <v>65802.240000000049</v>
      </c>
      <c r="BC575" s="62">
        <f t="shared" si="238"/>
        <v>119074.75999999995</v>
      </c>
      <c r="BD575" s="63">
        <v>120293.48000000007</v>
      </c>
      <c r="BE575" s="57">
        <f t="shared" si="247"/>
        <v>2646.4565600000019</v>
      </c>
      <c r="BF575" s="35" t="str">
        <f>VLOOKUP(A:A,'2023-2027'!A:G,1,+FALSE)</f>
        <v>ВЛ наружные сети ВЛ-6 кв п Искат  1997г.</v>
      </c>
      <c r="BG575" s="7" t="b">
        <f t="shared" si="231"/>
        <v>1</v>
      </c>
      <c r="BH575" s="35">
        <f>VLOOKUP(A:A,'2023-2027'!A:AT,43,+FALSE)</f>
        <v>616.2600000000001</v>
      </c>
    </row>
    <row r="576" spans="1:60" ht="24" hidden="1" customHeight="1" outlineLevel="1" x14ac:dyDescent="0.2">
      <c r="A576" s="59" t="s">
        <v>1404</v>
      </c>
      <c r="B576" s="59" t="s">
        <v>44</v>
      </c>
      <c r="C576" s="59" t="s">
        <v>82</v>
      </c>
      <c r="D576" s="65" t="s">
        <v>1405</v>
      </c>
      <c r="E576" s="59" t="s">
        <v>1322</v>
      </c>
      <c r="F576" s="68">
        <v>370</v>
      </c>
      <c r="G576" s="59"/>
      <c r="H576" s="68">
        <v>370</v>
      </c>
      <c r="I576" s="59"/>
      <c r="J576" s="59"/>
      <c r="K576" s="59"/>
      <c r="L576" s="59"/>
      <c r="M576" s="68">
        <v>370</v>
      </c>
      <c r="N576" s="59"/>
      <c r="O576" s="68">
        <v>370</v>
      </c>
      <c r="P576" s="82">
        <v>370</v>
      </c>
      <c r="Q576" s="55">
        <f t="shared" si="244"/>
        <v>8.14</v>
      </c>
      <c r="R576" s="61">
        <f t="shared" si="217"/>
        <v>0</v>
      </c>
      <c r="S576" s="60">
        <v>0</v>
      </c>
      <c r="T576" s="60">
        <v>0</v>
      </c>
      <c r="U576" s="60">
        <v>0</v>
      </c>
      <c r="V576" s="60">
        <v>0</v>
      </c>
      <c r="W576" s="60">
        <v>0</v>
      </c>
      <c r="X576" s="61">
        <f t="shared" si="218"/>
        <v>0</v>
      </c>
      <c r="Y576" s="60">
        <v>0</v>
      </c>
      <c r="Z576" s="60">
        <v>0</v>
      </c>
      <c r="AA576" s="60">
        <v>0</v>
      </c>
      <c r="AB576" s="60">
        <v>0</v>
      </c>
      <c r="AC576" s="60">
        <v>0</v>
      </c>
      <c r="AD576" s="60">
        <v>0</v>
      </c>
      <c r="AE576" s="61">
        <f t="shared" si="224"/>
        <v>0</v>
      </c>
      <c r="AF576" s="62">
        <f t="shared" si="236"/>
        <v>370</v>
      </c>
      <c r="AG576" s="62">
        <f t="shared" si="233"/>
        <v>0</v>
      </c>
      <c r="AH576" s="62">
        <f t="shared" si="225"/>
        <v>370</v>
      </c>
      <c r="AI576" s="63">
        <v>370</v>
      </c>
      <c r="AJ576" s="63">
        <f t="shared" si="245"/>
        <v>8.14</v>
      </c>
      <c r="AK576" s="72">
        <f t="shared" si="246"/>
        <v>8.14</v>
      </c>
      <c r="AL576" s="60">
        <v>0</v>
      </c>
      <c r="AM576" s="60">
        <v>0</v>
      </c>
      <c r="AN576" s="60">
        <v>0</v>
      </c>
      <c r="AO576" s="60">
        <v>0</v>
      </c>
      <c r="AP576" s="60">
        <v>0</v>
      </c>
      <c r="AQ576" s="60">
        <v>0</v>
      </c>
      <c r="AR576" s="61">
        <f t="shared" si="220"/>
        <v>0</v>
      </c>
      <c r="AS576" s="60">
        <v>0</v>
      </c>
      <c r="AT576" s="60">
        <v>0</v>
      </c>
      <c r="AU576" s="60">
        <v>0</v>
      </c>
      <c r="AV576" s="60">
        <v>0</v>
      </c>
      <c r="AW576" s="60">
        <v>0</v>
      </c>
      <c r="AX576" s="60">
        <v>0</v>
      </c>
      <c r="AY576" s="61">
        <f t="shared" si="221"/>
        <v>0</v>
      </c>
      <c r="AZ576" s="56">
        <f t="shared" si="207"/>
        <v>0</v>
      </c>
      <c r="BA576" s="62">
        <f t="shared" si="237"/>
        <v>370</v>
      </c>
      <c r="BB576" s="62">
        <f t="shared" si="222"/>
        <v>0</v>
      </c>
      <c r="BC576" s="62">
        <f t="shared" si="238"/>
        <v>370</v>
      </c>
      <c r="BD576" s="63">
        <v>370</v>
      </c>
      <c r="BE576" s="57">
        <f t="shared" si="247"/>
        <v>8.14</v>
      </c>
      <c r="BF576" s="35" t="e">
        <f>VLOOKUP(A:A,'2023-2027'!A:G,1,+FALSE)</f>
        <v>#N/A</v>
      </c>
      <c r="BG576" s="7" t="e">
        <f t="shared" si="231"/>
        <v>#N/A</v>
      </c>
      <c r="BH576" s="35"/>
    </row>
    <row r="577" spans="1:60" ht="12" hidden="1" customHeight="1" outlineLevel="1" x14ac:dyDescent="0.2">
      <c r="A577" s="59" t="s">
        <v>1406</v>
      </c>
      <c r="B577" s="59" t="s">
        <v>44</v>
      </c>
      <c r="C577" s="59" t="s">
        <v>82</v>
      </c>
      <c r="D577" s="66" t="s">
        <v>1407</v>
      </c>
      <c r="E577" s="59" t="s">
        <v>1322</v>
      </c>
      <c r="F577" s="60">
        <v>256010.16</v>
      </c>
      <c r="G577" s="60">
        <v>143993</v>
      </c>
      <c r="H577" s="60">
        <v>112017.16</v>
      </c>
      <c r="I577" s="59"/>
      <c r="J577" s="60">
        <v>5555.88</v>
      </c>
      <c r="K577" s="59"/>
      <c r="L577" s="59"/>
      <c r="M577" s="60">
        <v>256010.16</v>
      </c>
      <c r="N577" s="60">
        <v>149548.88</v>
      </c>
      <c r="O577" s="60">
        <v>106461.28</v>
      </c>
      <c r="P577" s="55">
        <v>109239.22</v>
      </c>
      <c r="Q577" s="55">
        <f t="shared" si="244"/>
        <v>2403.2628400000003</v>
      </c>
      <c r="R577" s="61">
        <f t="shared" si="217"/>
        <v>462.99</v>
      </c>
      <c r="S577" s="60">
        <v>462.99</v>
      </c>
      <c r="T577" s="60">
        <v>462.99</v>
      </c>
      <c r="U577" s="60">
        <v>462.99</v>
      </c>
      <c r="V577" s="60">
        <v>462.99</v>
      </c>
      <c r="W577" s="60">
        <v>462.99</v>
      </c>
      <c r="X577" s="61">
        <f t="shared" si="218"/>
        <v>2777.9399999999996</v>
      </c>
      <c r="Y577" s="60">
        <v>462.99</v>
      </c>
      <c r="Z577" s="60">
        <v>462.99</v>
      </c>
      <c r="AA577" s="60">
        <v>462.99</v>
      </c>
      <c r="AB577" s="60">
        <v>462.99</v>
      </c>
      <c r="AC577" s="60">
        <v>462.99</v>
      </c>
      <c r="AD577" s="60">
        <v>462.99</v>
      </c>
      <c r="AE577" s="61">
        <f t="shared" si="224"/>
        <v>2777.9399999999996</v>
      </c>
      <c r="AF577" s="62">
        <f t="shared" si="236"/>
        <v>256010.16</v>
      </c>
      <c r="AG577" s="62">
        <f t="shared" si="233"/>
        <v>155104.75999999989</v>
      </c>
      <c r="AH577" s="62">
        <f t="shared" si="225"/>
        <v>100905.40000000011</v>
      </c>
      <c r="AI577" s="63">
        <v>103683.33999999998</v>
      </c>
      <c r="AJ577" s="63">
        <f t="shared" si="245"/>
        <v>2281.0334800000001</v>
      </c>
      <c r="AK577" s="72">
        <f t="shared" si="246"/>
        <v>2281.0334800000001</v>
      </c>
      <c r="AL577" s="60">
        <v>462.99</v>
      </c>
      <c r="AM577" s="60">
        <v>462.99</v>
      </c>
      <c r="AN577" s="60">
        <v>462.99</v>
      </c>
      <c r="AO577" s="60">
        <v>462.99</v>
      </c>
      <c r="AP577" s="60">
        <v>462.99</v>
      </c>
      <c r="AQ577" s="60">
        <v>462.99</v>
      </c>
      <c r="AR577" s="61">
        <f t="shared" si="220"/>
        <v>2777.9399999999996</v>
      </c>
      <c r="AS577" s="60">
        <v>462.99</v>
      </c>
      <c r="AT577" s="60">
        <v>462.99</v>
      </c>
      <c r="AU577" s="60">
        <v>462.99</v>
      </c>
      <c r="AV577" s="60">
        <v>462.99</v>
      </c>
      <c r="AW577" s="60">
        <v>462.99</v>
      </c>
      <c r="AX577" s="60">
        <v>462.99</v>
      </c>
      <c r="AY577" s="61">
        <f t="shared" si="221"/>
        <v>2777.9399999999996</v>
      </c>
      <c r="AZ577" s="56">
        <f t="shared" si="207"/>
        <v>5555.8799999999992</v>
      </c>
      <c r="BA577" s="62">
        <f t="shared" si="237"/>
        <v>256010.16</v>
      </c>
      <c r="BB577" s="62">
        <f t="shared" si="222"/>
        <v>160660.63999999978</v>
      </c>
      <c r="BC577" s="62">
        <f t="shared" si="238"/>
        <v>95349.520000000222</v>
      </c>
      <c r="BD577" s="63">
        <v>98127.45999999989</v>
      </c>
      <c r="BE577" s="57">
        <f t="shared" si="247"/>
        <v>2158.804119999998</v>
      </c>
      <c r="BF577" s="35" t="str">
        <f>VLOOKUP(A:A,'2023-2027'!A:G,1,+FALSE)</f>
        <v>ВЛ- Воздушные ЛЭП-0,4 кв 1996г</v>
      </c>
      <c r="BG577" s="7" t="b">
        <f t="shared" si="231"/>
        <v>1</v>
      </c>
      <c r="BH577" s="35">
        <f>VLOOKUP(A:A,'2023-2027'!A:AT,43,+FALSE)</f>
        <v>791.68000000000018</v>
      </c>
    </row>
    <row r="578" spans="1:60" ht="12" hidden="1" customHeight="1" outlineLevel="1" x14ac:dyDescent="0.2">
      <c r="A578" s="59" t="s">
        <v>1408</v>
      </c>
      <c r="B578" s="59" t="s">
        <v>44</v>
      </c>
      <c r="C578" s="59" t="s">
        <v>82</v>
      </c>
      <c r="D578" s="65" t="s">
        <v>1409</v>
      </c>
      <c r="E578" s="59" t="s">
        <v>614</v>
      </c>
      <c r="F578" s="60">
        <v>224979.20000000001</v>
      </c>
      <c r="G578" s="60">
        <v>109070.64</v>
      </c>
      <c r="H578" s="60">
        <v>115908.56</v>
      </c>
      <c r="I578" s="59"/>
      <c r="J578" s="60">
        <v>9840.84</v>
      </c>
      <c r="K578" s="59"/>
      <c r="L578" s="59"/>
      <c r="M578" s="60">
        <v>224979.20000000001</v>
      </c>
      <c r="N578" s="60">
        <v>118911.48</v>
      </c>
      <c r="O578" s="60">
        <v>106067.72</v>
      </c>
      <c r="P578" s="55">
        <v>110988.14</v>
      </c>
      <c r="Q578" s="55">
        <f t="shared" si="244"/>
        <v>2441.7390800000003</v>
      </c>
      <c r="R578" s="61">
        <f t="shared" si="217"/>
        <v>820.07</v>
      </c>
      <c r="S578" s="60">
        <v>820.07</v>
      </c>
      <c r="T578" s="60">
        <v>820.07</v>
      </c>
      <c r="U578" s="60">
        <v>820.07</v>
      </c>
      <c r="V578" s="60">
        <v>820.07</v>
      </c>
      <c r="W578" s="60">
        <v>820.07</v>
      </c>
      <c r="X578" s="61">
        <f t="shared" si="218"/>
        <v>4920.42</v>
      </c>
      <c r="Y578" s="60">
        <v>820.07</v>
      </c>
      <c r="Z578" s="60">
        <v>820.07</v>
      </c>
      <c r="AA578" s="60">
        <v>820.07</v>
      </c>
      <c r="AB578" s="60">
        <v>820.07</v>
      </c>
      <c r="AC578" s="60">
        <v>820.07</v>
      </c>
      <c r="AD578" s="60">
        <v>820.07</v>
      </c>
      <c r="AE578" s="61">
        <f t="shared" si="224"/>
        <v>4920.42</v>
      </c>
      <c r="AF578" s="62">
        <f t="shared" si="236"/>
        <v>224979.20000000001</v>
      </c>
      <c r="AG578" s="62">
        <f t="shared" si="233"/>
        <v>128752.32000000008</v>
      </c>
      <c r="AH578" s="62">
        <f t="shared" si="225"/>
        <v>96226.879999999932</v>
      </c>
      <c r="AI578" s="63">
        <v>101147.30000000005</v>
      </c>
      <c r="AJ578" s="63">
        <f t="shared" si="245"/>
        <v>2225.2406000000015</v>
      </c>
      <c r="AK578" s="72">
        <f t="shared" si="246"/>
        <v>2225.2406000000015</v>
      </c>
      <c r="AL578" s="60">
        <v>820.07</v>
      </c>
      <c r="AM578" s="60">
        <v>820.07</v>
      </c>
      <c r="AN578" s="60">
        <v>820.07</v>
      </c>
      <c r="AO578" s="60">
        <v>820.07</v>
      </c>
      <c r="AP578" s="60">
        <v>820.07</v>
      </c>
      <c r="AQ578" s="60">
        <v>820.07</v>
      </c>
      <c r="AR578" s="61">
        <f t="shared" si="220"/>
        <v>4920.42</v>
      </c>
      <c r="AS578" s="60">
        <v>820.07</v>
      </c>
      <c r="AT578" s="60">
        <v>820.07</v>
      </c>
      <c r="AU578" s="60">
        <v>820.07</v>
      </c>
      <c r="AV578" s="60">
        <v>820.07</v>
      </c>
      <c r="AW578" s="60">
        <v>820.07</v>
      </c>
      <c r="AX578" s="60">
        <v>820.07</v>
      </c>
      <c r="AY578" s="61">
        <f t="shared" si="221"/>
        <v>4920.42</v>
      </c>
      <c r="AZ578" s="56">
        <f t="shared" si="207"/>
        <v>9840.84</v>
      </c>
      <c r="BA578" s="62">
        <f t="shared" si="237"/>
        <v>224979.20000000001</v>
      </c>
      <c r="BB578" s="62">
        <f t="shared" si="222"/>
        <v>138593.16000000015</v>
      </c>
      <c r="BC578" s="62">
        <f t="shared" si="238"/>
        <v>86386.039999999863</v>
      </c>
      <c r="BD578" s="63">
        <v>91306.460000000137</v>
      </c>
      <c r="BE578" s="57">
        <f t="shared" si="247"/>
        <v>2008.7421200000033</v>
      </c>
      <c r="BF578" s="35" t="e">
        <f>VLOOKUP(A:A,'2023-2027'!A:G,1,+FALSE)</f>
        <v>#N/A</v>
      </c>
      <c r="BG578" s="7" t="e">
        <f t="shared" si="231"/>
        <v>#N/A</v>
      </c>
      <c r="BH578" s="35"/>
    </row>
    <row r="579" spans="1:60" ht="24" hidden="1" customHeight="1" outlineLevel="1" x14ac:dyDescent="0.2">
      <c r="A579" s="59" t="s">
        <v>1410</v>
      </c>
      <c r="B579" s="59" t="s">
        <v>44</v>
      </c>
      <c r="C579" s="59" t="s">
        <v>82</v>
      </c>
      <c r="D579" s="65" t="s">
        <v>1411</v>
      </c>
      <c r="E579" s="59" t="s">
        <v>237</v>
      </c>
      <c r="F579" s="60">
        <v>444734.28</v>
      </c>
      <c r="G579" s="60">
        <v>148244.4</v>
      </c>
      <c r="H579" s="60">
        <v>296489.88</v>
      </c>
      <c r="I579" s="59"/>
      <c r="J579" s="60">
        <v>14824.44</v>
      </c>
      <c r="K579" s="59"/>
      <c r="L579" s="59"/>
      <c r="M579" s="60">
        <v>444734.28</v>
      </c>
      <c r="N579" s="60">
        <v>163068.84</v>
      </c>
      <c r="O579" s="60">
        <v>281665.44</v>
      </c>
      <c r="P579" s="55">
        <v>289077.65999999997</v>
      </c>
      <c r="Q579" s="55">
        <f t="shared" si="244"/>
        <v>6359.7085200000001</v>
      </c>
      <c r="R579" s="61">
        <f t="shared" si="217"/>
        <v>1235.3700000000001</v>
      </c>
      <c r="S579" s="60">
        <v>1235.3699999999999</v>
      </c>
      <c r="T579" s="60">
        <v>1235.3699999999999</v>
      </c>
      <c r="U579" s="60">
        <v>1235.3699999999999</v>
      </c>
      <c r="V579" s="60">
        <v>1235.3699999999999</v>
      </c>
      <c r="W579" s="60">
        <v>1235.3699999999999</v>
      </c>
      <c r="X579" s="61">
        <f t="shared" si="218"/>
        <v>7412.2199999999993</v>
      </c>
      <c r="Y579" s="60">
        <v>1235.3699999999999</v>
      </c>
      <c r="Z579" s="60">
        <v>1235.3699999999999</v>
      </c>
      <c r="AA579" s="60">
        <v>1235.3699999999999</v>
      </c>
      <c r="AB579" s="60">
        <v>1235.3699999999999</v>
      </c>
      <c r="AC579" s="60">
        <v>1235.3699999999999</v>
      </c>
      <c r="AD579" s="60">
        <v>1235.3699999999999</v>
      </c>
      <c r="AE579" s="61">
        <f t="shared" si="224"/>
        <v>7412.2199999999993</v>
      </c>
      <c r="AF579" s="62">
        <f t="shared" si="236"/>
        <v>444734.28</v>
      </c>
      <c r="AG579" s="62">
        <f t="shared" si="233"/>
        <v>177893.27999999994</v>
      </c>
      <c r="AH579" s="62">
        <f t="shared" si="225"/>
        <v>266841.00000000012</v>
      </c>
      <c r="AI579" s="63">
        <v>274253.22000000003</v>
      </c>
      <c r="AJ579" s="63">
        <f t="shared" si="245"/>
        <v>6033.5708400000012</v>
      </c>
      <c r="AK579" s="72">
        <f t="shared" si="246"/>
        <v>6033.5708400000012</v>
      </c>
      <c r="AL579" s="60">
        <v>1235.3699999999999</v>
      </c>
      <c r="AM579" s="60">
        <v>1235.3699999999999</v>
      </c>
      <c r="AN579" s="60">
        <v>1235.3699999999999</v>
      </c>
      <c r="AO579" s="60">
        <v>1235.3699999999999</v>
      </c>
      <c r="AP579" s="60">
        <v>1235.3699999999999</v>
      </c>
      <c r="AQ579" s="60">
        <v>1235.3699999999999</v>
      </c>
      <c r="AR579" s="61">
        <f t="shared" si="220"/>
        <v>7412.2199999999993</v>
      </c>
      <c r="AS579" s="60">
        <v>1235.3699999999999</v>
      </c>
      <c r="AT579" s="60">
        <v>1235.3699999999999</v>
      </c>
      <c r="AU579" s="60">
        <v>1235.3699999999999</v>
      </c>
      <c r="AV579" s="60">
        <v>1235.3699999999999</v>
      </c>
      <c r="AW579" s="60">
        <v>1235.3699999999999</v>
      </c>
      <c r="AX579" s="60">
        <v>1235.3699999999999</v>
      </c>
      <c r="AY579" s="61">
        <f t="shared" si="221"/>
        <v>7412.2199999999993</v>
      </c>
      <c r="AZ579" s="56">
        <f t="shared" si="207"/>
        <v>14824.439999999999</v>
      </c>
      <c r="BA579" s="62">
        <f t="shared" si="237"/>
        <v>444734.28</v>
      </c>
      <c r="BB579" s="62">
        <f t="shared" si="222"/>
        <v>192717.71999999988</v>
      </c>
      <c r="BC579" s="62">
        <f t="shared" si="238"/>
        <v>252016.56000000014</v>
      </c>
      <c r="BD579" s="63">
        <v>259428.78000000009</v>
      </c>
      <c r="BE579" s="57">
        <f t="shared" si="247"/>
        <v>5707.4331600000023</v>
      </c>
      <c r="BF579" s="35" t="e">
        <f>VLOOKUP(A:A,'2023-2027'!A:G,1,+FALSE)</f>
        <v>#N/A</v>
      </c>
      <c r="BG579" s="7" t="e">
        <f t="shared" si="231"/>
        <v>#N/A</v>
      </c>
      <c r="BH579" s="35"/>
    </row>
    <row r="580" spans="1:60" ht="24" hidden="1" customHeight="1" outlineLevel="1" x14ac:dyDescent="0.2">
      <c r="A580" s="59" t="s">
        <v>1412</v>
      </c>
      <c r="B580" s="59" t="s">
        <v>44</v>
      </c>
      <c r="C580" s="59" t="s">
        <v>82</v>
      </c>
      <c r="D580" s="65" t="s">
        <v>1413</v>
      </c>
      <c r="E580" s="59" t="s">
        <v>1414</v>
      </c>
      <c r="F580" s="60">
        <v>251622.83</v>
      </c>
      <c r="G580" s="60">
        <v>100479.96</v>
      </c>
      <c r="H580" s="60">
        <v>151142.87</v>
      </c>
      <c r="I580" s="59"/>
      <c r="J580" s="60">
        <v>9569.52</v>
      </c>
      <c r="K580" s="59"/>
      <c r="L580" s="59"/>
      <c r="M580" s="60">
        <v>251622.83</v>
      </c>
      <c r="N580" s="60">
        <v>110049.48</v>
      </c>
      <c r="O580" s="60">
        <v>141573.35</v>
      </c>
      <c r="P580" s="55">
        <v>146358.10999999999</v>
      </c>
      <c r="Q580" s="55">
        <f t="shared" si="244"/>
        <v>3219.87842</v>
      </c>
      <c r="R580" s="61">
        <f t="shared" si="217"/>
        <v>797.46</v>
      </c>
      <c r="S580" s="60">
        <v>797.46</v>
      </c>
      <c r="T580" s="60">
        <v>797.46</v>
      </c>
      <c r="U580" s="60">
        <v>797.46</v>
      </c>
      <c r="V580" s="60">
        <v>797.46</v>
      </c>
      <c r="W580" s="60">
        <v>797.46</v>
      </c>
      <c r="X580" s="61">
        <f t="shared" si="218"/>
        <v>4784.76</v>
      </c>
      <c r="Y580" s="60">
        <v>797.46</v>
      </c>
      <c r="Z580" s="60">
        <v>797.46</v>
      </c>
      <c r="AA580" s="60">
        <v>797.46</v>
      </c>
      <c r="AB580" s="60">
        <v>797.46</v>
      </c>
      <c r="AC580" s="60">
        <v>797.46</v>
      </c>
      <c r="AD580" s="60">
        <v>797.46</v>
      </c>
      <c r="AE580" s="61">
        <f t="shared" si="224"/>
        <v>4784.76</v>
      </c>
      <c r="AF580" s="62">
        <f t="shared" si="236"/>
        <v>251622.83</v>
      </c>
      <c r="AG580" s="62">
        <f t="shared" si="233"/>
        <v>119619.00000000007</v>
      </c>
      <c r="AH580" s="62">
        <f t="shared" si="225"/>
        <v>132003.8299999999</v>
      </c>
      <c r="AI580" s="63">
        <v>136788.59000000005</v>
      </c>
      <c r="AJ580" s="63">
        <f t="shared" si="245"/>
        <v>3009.3489800000016</v>
      </c>
      <c r="AK580" s="72">
        <f t="shared" si="246"/>
        <v>3009.3489800000016</v>
      </c>
      <c r="AL580" s="60">
        <v>797.46</v>
      </c>
      <c r="AM580" s="60">
        <v>797.46</v>
      </c>
      <c r="AN580" s="60">
        <v>797.46</v>
      </c>
      <c r="AO580" s="60">
        <v>797.46</v>
      </c>
      <c r="AP580" s="60">
        <v>797.46</v>
      </c>
      <c r="AQ580" s="60">
        <v>797.46</v>
      </c>
      <c r="AR580" s="61">
        <f t="shared" si="220"/>
        <v>4784.76</v>
      </c>
      <c r="AS580" s="60">
        <v>797.46</v>
      </c>
      <c r="AT580" s="60">
        <v>797.46</v>
      </c>
      <c r="AU580" s="60">
        <v>797.46</v>
      </c>
      <c r="AV580" s="60">
        <v>797.46</v>
      </c>
      <c r="AW580" s="60">
        <v>797.46</v>
      </c>
      <c r="AX580" s="60">
        <v>797.46</v>
      </c>
      <c r="AY580" s="61">
        <f t="shared" si="221"/>
        <v>4784.76</v>
      </c>
      <c r="AZ580" s="56">
        <f t="shared" si="207"/>
        <v>9569.52</v>
      </c>
      <c r="BA580" s="62">
        <f t="shared" si="237"/>
        <v>251622.83</v>
      </c>
      <c r="BB580" s="62">
        <f t="shared" si="222"/>
        <v>129188.52000000015</v>
      </c>
      <c r="BC580" s="62">
        <f t="shared" si="238"/>
        <v>122434.30999999984</v>
      </c>
      <c r="BD580" s="63">
        <v>127219.07000000017</v>
      </c>
      <c r="BE580" s="57">
        <f t="shared" si="247"/>
        <v>2798.8195400000041</v>
      </c>
      <c r="BF580" s="35" t="e">
        <f>VLOOKUP(A:A,'2023-2027'!A:G,1,+FALSE)</f>
        <v>#N/A</v>
      </c>
      <c r="BG580" s="7" t="e">
        <f t="shared" si="231"/>
        <v>#N/A</v>
      </c>
      <c r="BH580" s="35"/>
    </row>
    <row r="581" spans="1:60" ht="24" hidden="1" customHeight="1" outlineLevel="1" x14ac:dyDescent="0.2">
      <c r="A581" s="59" t="s">
        <v>1415</v>
      </c>
      <c r="B581" s="59" t="s">
        <v>44</v>
      </c>
      <c r="C581" s="59" t="s">
        <v>82</v>
      </c>
      <c r="D581" s="66" t="s">
        <v>1416</v>
      </c>
      <c r="E581" s="59" t="s">
        <v>200</v>
      </c>
      <c r="F581" s="60">
        <v>858676.65</v>
      </c>
      <c r="G581" s="60">
        <v>521978.31</v>
      </c>
      <c r="H581" s="60">
        <v>336698.34</v>
      </c>
      <c r="I581" s="59"/>
      <c r="J581" s="60">
        <v>22450.799999999999</v>
      </c>
      <c r="K581" s="59"/>
      <c r="L581" s="59"/>
      <c r="M581" s="60">
        <v>858676.65</v>
      </c>
      <c r="N581" s="60">
        <v>544429.11</v>
      </c>
      <c r="O581" s="60">
        <v>314247.53999999998</v>
      </c>
      <c r="P581" s="55">
        <v>325472.94</v>
      </c>
      <c r="Q581" s="55">
        <f t="shared" si="244"/>
        <v>7160.4046800000006</v>
      </c>
      <c r="R581" s="61">
        <f t="shared" si="217"/>
        <v>1870.8999999999999</v>
      </c>
      <c r="S581" s="60">
        <v>1870.9</v>
      </c>
      <c r="T581" s="60">
        <v>1870.9</v>
      </c>
      <c r="U581" s="60">
        <v>1870.9</v>
      </c>
      <c r="V581" s="60">
        <v>1870.9</v>
      </c>
      <c r="W581" s="60">
        <v>1870.9</v>
      </c>
      <c r="X581" s="61">
        <f t="shared" si="218"/>
        <v>11225.4</v>
      </c>
      <c r="Y581" s="60">
        <v>1870.9</v>
      </c>
      <c r="Z581" s="60">
        <v>1870.9</v>
      </c>
      <c r="AA581" s="60">
        <v>1870.9</v>
      </c>
      <c r="AB581" s="60">
        <v>1870.9</v>
      </c>
      <c r="AC581" s="60">
        <v>1870.9</v>
      </c>
      <c r="AD581" s="60">
        <v>1870.9</v>
      </c>
      <c r="AE581" s="61">
        <f t="shared" si="224"/>
        <v>11225.4</v>
      </c>
      <c r="AF581" s="62">
        <f t="shared" si="236"/>
        <v>858676.65</v>
      </c>
      <c r="AG581" s="62">
        <f t="shared" si="233"/>
        <v>566879.91000000027</v>
      </c>
      <c r="AH581" s="62">
        <f t="shared" si="225"/>
        <v>291796.73999999976</v>
      </c>
      <c r="AI581" s="63">
        <v>303022.13999999984</v>
      </c>
      <c r="AJ581" s="63">
        <f t="shared" si="245"/>
        <v>6666.4870799999971</v>
      </c>
      <c r="AK581" s="72">
        <f t="shared" si="246"/>
        <v>6666.4870799999971</v>
      </c>
      <c r="AL581" s="60">
        <v>1870.9</v>
      </c>
      <c r="AM581" s="60">
        <v>1870.9</v>
      </c>
      <c r="AN581" s="60">
        <v>1870.9</v>
      </c>
      <c r="AO581" s="60">
        <v>1870.9</v>
      </c>
      <c r="AP581" s="60">
        <v>1870.9</v>
      </c>
      <c r="AQ581" s="60">
        <v>1870.9</v>
      </c>
      <c r="AR581" s="61">
        <f t="shared" si="220"/>
        <v>11225.4</v>
      </c>
      <c r="AS581" s="60">
        <v>1870.9</v>
      </c>
      <c r="AT581" s="60">
        <v>1870.9</v>
      </c>
      <c r="AU581" s="60">
        <v>1870.9</v>
      </c>
      <c r="AV581" s="60">
        <v>1870.9</v>
      </c>
      <c r="AW581" s="60">
        <v>1870.9</v>
      </c>
      <c r="AX581" s="60">
        <v>1870.9</v>
      </c>
      <c r="AY581" s="61">
        <f t="shared" si="221"/>
        <v>11225.4</v>
      </c>
      <c r="AZ581" s="56">
        <f t="shared" si="207"/>
        <v>22450.799999999999</v>
      </c>
      <c r="BA581" s="62">
        <f t="shared" si="237"/>
        <v>858676.65</v>
      </c>
      <c r="BB581" s="62">
        <f t="shared" si="222"/>
        <v>589330.71000000054</v>
      </c>
      <c r="BC581" s="62">
        <f t="shared" si="238"/>
        <v>269345.93999999948</v>
      </c>
      <c r="BD581" s="63">
        <v>280571.33999999956</v>
      </c>
      <c r="BE581" s="57">
        <f t="shared" si="247"/>
        <v>6172.569479999991</v>
      </c>
      <c r="BF581" s="35" t="str">
        <f>VLOOKUP(A:A,'2023-2027'!A:G,1,+FALSE)</f>
        <v>ВЛ-0,4 КВ 1800м на дер опоре  ул Монт 1998г</v>
      </c>
      <c r="BG581" s="7" t="b">
        <f t="shared" si="231"/>
        <v>1</v>
      </c>
      <c r="BH581" s="35">
        <f>VLOOKUP(A:A,'2023-2027'!A:AT,43,+FALSE)</f>
        <v>3562.8799999999997</v>
      </c>
    </row>
    <row r="582" spans="1:60" ht="24" hidden="1" customHeight="1" outlineLevel="1" x14ac:dyDescent="0.2">
      <c r="A582" s="59" t="s">
        <v>1417</v>
      </c>
      <c r="B582" s="59" t="s">
        <v>44</v>
      </c>
      <c r="C582" s="59" t="s">
        <v>82</v>
      </c>
      <c r="D582" s="65" t="s">
        <v>1418</v>
      </c>
      <c r="E582" s="59" t="s">
        <v>1414</v>
      </c>
      <c r="F582" s="60">
        <v>146970.03</v>
      </c>
      <c r="G582" s="60">
        <v>56398.86</v>
      </c>
      <c r="H582" s="60">
        <v>90571.17</v>
      </c>
      <c r="I582" s="59"/>
      <c r="J582" s="60">
        <v>5371.44</v>
      </c>
      <c r="K582" s="59"/>
      <c r="L582" s="59"/>
      <c r="M582" s="60">
        <v>146970.03</v>
      </c>
      <c r="N582" s="60">
        <v>61770.3</v>
      </c>
      <c r="O582" s="60">
        <v>85199.73</v>
      </c>
      <c r="P582" s="55">
        <v>87885.45</v>
      </c>
      <c r="Q582" s="55">
        <f t="shared" si="244"/>
        <v>1933.4799</v>
      </c>
      <c r="R582" s="61">
        <f t="shared" si="217"/>
        <v>447.61999999999995</v>
      </c>
      <c r="S582" s="60">
        <v>447.62</v>
      </c>
      <c r="T582" s="60">
        <v>447.62</v>
      </c>
      <c r="U582" s="60">
        <v>447.62</v>
      </c>
      <c r="V582" s="60">
        <v>447.62</v>
      </c>
      <c r="W582" s="60">
        <v>447.62</v>
      </c>
      <c r="X582" s="61">
        <f t="shared" si="218"/>
        <v>2685.72</v>
      </c>
      <c r="Y582" s="60">
        <v>447.62</v>
      </c>
      <c r="Z582" s="60">
        <v>447.62</v>
      </c>
      <c r="AA582" s="60">
        <v>447.62</v>
      </c>
      <c r="AB582" s="60">
        <v>447.62</v>
      </c>
      <c r="AC582" s="60">
        <v>447.62</v>
      </c>
      <c r="AD582" s="60">
        <v>447.62</v>
      </c>
      <c r="AE582" s="61">
        <f t="shared" si="224"/>
        <v>2685.72</v>
      </c>
      <c r="AF582" s="62">
        <f t="shared" si="236"/>
        <v>146970.03</v>
      </c>
      <c r="AG582" s="62">
        <f t="shared" si="233"/>
        <v>67141.740000000005</v>
      </c>
      <c r="AH582" s="62">
        <f t="shared" si="225"/>
        <v>79828.289999999994</v>
      </c>
      <c r="AI582" s="63">
        <v>82514.010000000024</v>
      </c>
      <c r="AJ582" s="63">
        <f t="shared" si="245"/>
        <v>1815.3082200000008</v>
      </c>
      <c r="AK582" s="72">
        <f t="shared" si="246"/>
        <v>1815.3082200000008</v>
      </c>
      <c r="AL582" s="60">
        <v>447.62</v>
      </c>
      <c r="AM582" s="60">
        <v>447.62</v>
      </c>
      <c r="AN582" s="60">
        <v>447.62</v>
      </c>
      <c r="AO582" s="60">
        <v>447.62</v>
      </c>
      <c r="AP582" s="60">
        <v>447.62</v>
      </c>
      <c r="AQ582" s="60">
        <v>447.62</v>
      </c>
      <c r="AR582" s="61">
        <f t="shared" si="220"/>
        <v>2685.72</v>
      </c>
      <c r="AS582" s="60">
        <v>447.62</v>
      </c>
      <c r="AT582" s="60">
        <v>447.62</v>
      </c>
      <c r="AU582" s="60">
        <v>447.62</v>
      </c>
      <c r="AV582" s="60">
        <v>447.62</v>
      </c>
      <c r="AW582" s="60">
        <v>447.62</v>
      </c>
      <c r="AX582" s="60">
        <v>447.62</v>
      </c>
      <c r="AY582" s="61">
        <f t="shared" si="221"/>
        <v>2685.72</v>
      </c>
      <c r="AZ582" s="56">
        <f t="shared" si="207"/>
        <v>5371.44</v>
      </c>
      <c r="BA582" s="62">
        <f t="shared" si="237"/>
        <v>146970.03</v>
      </c>
      <c r="BB582" s="62">
        <f t="shared" si="222"/>
        <v>72513.179999999949</v>
      </c>
      <c r="BC582" s="62">
        <f t="shared" si="238"/>
        <v>74456.850000000049</v>
      </c>
      <c r="BD582" s="63">
        <v>77142.57000000008</v>
      </c>
      <c r="BE582" s="57">
        <f t="shared" si="247"/>
        <v>1697.136540000002</v>
      </c>
      <c r="BF582" s="35" t="e">
        <f>VLOOKUP(A:A,'2023-2027'!A:G,1,+FALSE)</f>
        <v>#N/A</v>
      </c>
      <c r="BG582" s="7" t="e">
        <f t="shared" si="231"/>
        <v>#N/A</v>
      </c>
      <c r="BH582" s="35"/>
    </row>
    <row r="583" spans="1:60" ht="24" hidden="1" customHeight="1" outlineLevel="1" x14ac:dyDescent="0.2">
      <c r="A583" s="59" t="s">
        <v>1419</v>
      </c>
      <c r="B583" s="59" t="s">
        <v>44</v>
      </c>
      <c r="C583" s="59" t="s">
        <v>82</v>
      </c>
      <c r="D583" s="65" t="s">
        <v>1420</v>
      </c>
      <c r="E583" s="59" t="s">
        <v>237</v>
      </c>
      <c r="F583" s="60">
        <v>46959.16</v>
      </c>
      <c r="G583" s="60">
        <v>22380</v>
      </c>
      <c r="H583" s="60">
        <v>24579.16</v>
      </c>
      <c r="I583" s="59"/>
      <c r="J583" s="60">
        <v>2237.88</v>
      </c>
      <c r="K583" s="59"/>
      <c r="L583" s="59"/>
      <c r="M583" s="60">
        <v>46959.16</v>
      </c>
      <c r="N583" s="60">
        <v>24617.88</v>
      </c>
      <c r="O583" s="60">
        <v>22341.279999999999</v>
      </c>
      <c r="P583" s="55">
        <v>23460.22</v>
      </c>
      <c r="Q583" s="55">
        <f t="shared" si="244"/>
        <v>516.12484000000006</v>
      </c>
      <c r="R583" s="61">
        <f t="shared" si="217"/>
        <v>186.49</v>
      </c>
      <c r="S583" s="60">
        <v>186.49</v>
      </c>
      <c r="T583" s="60">
        <v>186.49</v>
      </c>
      <c r="U583" s="60">
        <v>186.49</v>
      </c>
      <c r="V583" s="60">
        <v>186.49</v>
      </c>
      <c r="W583" s="60">
        <v>186.49</v>
      </c>
      <c r="X583" s="61">
        <f t="shared" si="218"/>
        <v>1118.94</v>
      </c>
      <c r="Y583" s="60">
        <v>186.49</v>
      </c>
      <c r="Z583" s="60">
        <v>186.49</v>
      </c>
      <c r="AA583" s="60">
        <v>186.49</v>
      </c>
      <c r="AB583" s="60">
        <v>186.49</v>
      </c>
      <c r="AC583" s="60">
        <v>186.49</v>
      </c>
      <c r="AD583" s="60">
        <v>186.49</v>
      </c>
      <c r="AE583" s="61">
        <f t="shared" si="224"/>
        <v>1118.94</v>
      </c>
      <c r="AF583" s="62">
        <f t="shared" si="236"/>
        <v>46959.16</v>
      </c>
      <c r="AG583" s="62">
        <f t="shared" si="233"/>
        <v>26855.76000000002</v>
      </c>
      <c r="AH583" s="62">
        <f t="shared" si="225"/>
        <v>20103.399999999983</v>
      </c>
      <c r="AI583" s="63">
        <v>21222.339999999989</v>
      </c>
      <c r="AJ583" s="63">
        <f t="shared" si="245"/>
        <v>466.89147999999983</v>
      </c>
      <c r="AK583" s="72">
        <f t="shared" si="246"/>
        <v>466.89147999999983</v>
      </c>
      <c r="AL583" s="60">
        <v>186.49</v>
      </c>
      <c r="AM583" s="60">
        <v>186.49</v>
      </c>
      <c r="AN583" s="60">
        <v>186.49</v>
      </c>
      <c r="AO583" s="60">
        <v>186.49</v>
      </c>
      <c r="AP583" s="60">
        <v>186.49</v>
      </c>
      <c r="AQ583" s="60">
        <v>186.49</v>
      </c>
      <c r="AR583" s="61">
        <f t="shared" si="220"/>
        <v>1118.94</v>
      </c>
      <c r="AS583" s="60">
        <v>186.49</v>
      </c>
      <c r="AT583" s="60">
        <v>186.49</v>
      </c>
      <c r="AU583" s="60">
        <v>186.49</v>
      </c>
      <c r="AV583" s="60">
        <v>186.49</v>
      </c>
      <c r="AW583" s="60">
        <v>186.49</v>
      </c>
      <c r="AX583" s="60">
        <v>186.49</v>
      </c>
      <c r="AY583" s="61">
        <f t="shared" si="221"/>
        <v>1118.94</v>
      </c>
      <c r="AZ583" s="56">
        <f t="shared" si="207"/>
        <v>2237.88</v>
      </c>
      <c r="BA583" s="62">
        <f t="shared" si="237"/>
        <v>46959.16</v>
      </c>
      <c r="BB583" s="62">
        <f t="shared" si="222"/>
        <v>29093.640000000039</v>
      </c>
      <c r="BC583" s="62">
        <f t="shared" si="238"/>
        <v>17865.519999999964</v>
      </c>
      <c r="BD583" s="63">
        <v>18984.459999999966</v>
      </c>
      <c r="BE583" s="57">
        <f t="shared" si="247"/>
        <v>417.65811999999931</v>
      </c>
      <c r="BF583" s="35" t="e">
        <f>VLOOKUP(A:A,'2023-2027'!A:G,1,+FALSE)</f>
        <v>#N/A</v>
      </c>
      <c r="BG583" s="7" t="e">
        <f t="shared" si="231"/>
        <v>#N/A</v>
      </c>
      <c r="BH583" s="35"/>
    </row>
    <row r="584" spans="1:60" ht="36" hidden="1" customHeight="1" outlineLevel="1" x14ac:dyDescent="0.2">
      <c r="A584" s="59" t="s">
        <v>2463</v>
      </c>
      <c r="B584" s="59" t="s">
        <v>44</v>
      </c>
      <c r="C584" s="59" t="s">
        <v>82</v>
      </c>
      <c r="D584" s="66" t="s">
        <v>1421</v>
      </c>
      <c r="E584" s="59" t="s">
        <v>1422</v>
      </c>
      <c r="F584" s="60">
        <v>1251674.82</v>
      </c>
      <c r="G584" s="60">
        <v>30911.88</v>
      </c>
      <c r="H584" s="60">
        <v>1220762.94</v>
      </c>
      <c r="I584" s="59"/>
      <c r="J584" s="60">
        <v>30911.88</v>
      </c>
      <c r="K584" s="59"/>
      <c r="L584" s="59"/>
      <c r="M584" s="60">
        <v>1251674.82</v>
      </c>
      <c r="N584" s="60">
        <v>61823.76</v>
      </c>
      <c r="O584" s="60">
        <v>1189851.06</v>
      </c>
      <c r="P584" s="55">
        <v>1205307</v>
      </c>
      <c r="Q584" s="55">
        <f t="shared" si="244"/>
        <v>26516.754000000004</v>
      </c>
      <c r="R584" s="61">
        <f t="shared" si="217"/>
        <v>2575.9900000000002</v>
      </c>
      <c r="S584" s="60">
        <v>2575.9899999999998</v>
      </c>
      <c r="T584" s="60">
        <v>2575.9899999999998</v>
      </c>
      <c r="U584" s="60">
        <v>2575.9899999999998</v>
      </c>
      <c r="V584" s="60">
        <v>2575.9899999999998</v>
      </c>
      <c r="W584" s="60">
        <v>2575.9899999999998</v>
      </c>
      <c r="X584" s="61">
        <f t="shared" si="218"/>
        <v>15455.939999999999</v>
      </c>
      <c r="Y584" s="60">
        <v>2575.9899999999998</v>
      </c>
      <c r="Z584" s="60">
        <v>2575.9899999999998</v>
      </c>
      <c r="AA584" s="60">
        <v>2575.9899999999998</v>
      </c>
      <c r="AB584" s="60">
        <v>2575.9899999999998</v>
      </c>
      <c r="AC584" s="60">
        <v>2575.9899999999998</v>
      </c>
      <c r="AD584" s="60">
        <v>2575.9899999999998</v>
      </c>
      <c r="AE584" s="61">
        <f t="shared" si="224"/>
        <v>15455.939999999999</v>
      </c>
      <c r="AF584" s="62">
        <f t="shared" si="236"/>
        <v>1251674.82</v>
      </c>
      <c r="AG584" s="62">
        <f t="shared" si="233"/>
        <v>92735.640000000058</v>
      </c>
      <c r="AH584" s="62">
        <f t="shared" si="225"/>
        <v>1158939.18</v>
      </c>
      <c r="AI584" s="63">
        <v>1174395.1200000001</v>
      </c>
      <c r="AJ584" s="63">
        <f t="shared" si="245"/>
        <v>25836.692640000005</v>
      </c>
      <c r="AK584" s="72">
        <f t="shared" si="246"/>
        <v>25836.692640000005</v>
      </c>
      <c r="AL584" s="60">
        <v>2575.9899999999998</v>
      </c>
      <c r="AM584" s="60">
        <v>2575.9899999999998</v>
      </c>
      <c r="AN584" s="60">
        <v>2575.9899999999998</v>
      </c>
      <c r="AO584" s="60">
        <v>2575.9899999999998</v>
      </c>
      <c r="AP584" s="60">
        <v>2575.9899999999998</v>
      </c>
      <c r="AQ584" s="60">
        <v>2575.9899999999998</v>
      </c>
      <c r="AR584" s="61">
        <f t="shared" si="220"/>
        <v>15455.939999999999</v>
      </c>
      <c r="AS584" s="60">
        <v>2575.9899999999998</v>
      </c>
      <c r="AT584" s="60">
        <v>2575.9899999999998</v>
      </c>
      <c r="AU584" s="60">
        <v>2575.9899999999998</v>
      </c>
      <c r="AV584" s="60">
        <v>2575.9899999999998</v>
      </c>
      <c r="AW584" s="60">
        <v>2575.9899999999998</v>
      </c>
      <c r="AX584" s="60">
        <v>2575.9899999999998</v>
      </c>
      <c r="AY584" s="61">
        <f t="shared" si="221"/>
        <v>15455.939999999999</v>
      </c>
      <c r="AZ584" s="56">
        <f t="shared" si="207"/>
        <v>30911.879999999997</v>
      </c>
      <c r="BA584" s="62">
        <f t="shared" si="237"/>
        <v>1251674.82</v>
      </c>
      <c r="BB584" s="62">
        <f t="shared" si="222"/>
        <v>123647.52000000012</v>
      </c>
      <c r="BC584" s="62">
        <f t="shared" si="238"/>
        <v>1128027.3</v>
      </c>
      <c r="BD584" s="63">
        <v>1143483.2400000002</v>
      </c>
      <c r="BE584" s="57">
        <f t="shared" si="247"/>
        <v>25156.631280000009</v>
      </c>
      <c r="BF584" s="35" t="str">
        <f>VLOOKUP(A:A,'2023-2027'!A:G,1,+FALSE)</f>
        <v>ВЛ-0,4 кВ от ТП-61 "Поликлиника" фидер "Губкина 16"</v>
      </c>
      <c r="BG584" s="7" t="b">
        <f t="shared" si="231"/>
        <v>1</v>
      </c>
      <c r="BH584" s="35">
        <f>VLOOKUP(A:A,'2023-2027'!A:AT,43,+FALSE)</f>
        <v>2607.66</v>
      </c>
    </row>
    <row r="585" spans="1:60" ht="48" hidden="1" customHeight="1" outlineLevel="1" x14ac:dyDescent="0.2">
      <c r="A585" s="59" t="s">
        <v>94</v>
      </c>
      <c r="B585" s="59" t="s">
        <v>44</v>
      </c>
      <c r="C585" s="59" t="s">
        <v>82</v>
      </c>
      <c r="D585" s="66" t="s">
        <v>1423</v>
      </c>
      <c r="E585" s="59" t="s">
        <v>1424</v>
      </c>
      <c r="F585" s="59"/>
      <c r="G585" s="59"/>
      <c r="H585" s="59"/>
      <c r="I585" s="60">
        <v>4640759.96</v>
      </c>
      <c r="J585" s="60">
        <v>9668.25</v>
      </c>
      <c r="K585" s="59"/>
      <c r="L585" s="59"/>
      <c r="M585" s="60">
        <v>4640759.96</v>
      </c>
      <c r="N585" s="60">
        <v>9668.25</v>
      </c>
      <c r="O585" s="60">
        <v>4631091.71</v>
      </c>
      <c r="P585" s="55">
        <v>713219.36</v>
      </c>
      <c r="Q585" s="55">
        <f t="shared" si="244"/>
        <v>15690.825920000001</v>
      </c>
      <c r="R585" s="61">
        <f t="shared" si="217"/>
        <v>805.6875</v>
      </c>
      <c r="S585" s="60">
        <v>805.6875</v>
      </c>
      <c r="T585" s="60">
        <v>805.6875</v>
      </c>
      <c r="U585" s="60">
        <v>805.6875</v>
      </c>
      <c r="V585" s="60">
        <v>805.6875</v>
      </c>
      <c r="W585" s="60">
        <v>805.6875</v>
      </c>
      <c r="X585" s="61">
        <f t="shared" si="218"/>
        <v>4834.125</v>
      </c>
      <c r="Y585" s="60">
        <v>805.6875</v>
      </c>
      <c r="Z585" s="60">
        <v>805.6875</v>
      </c>
      <c r="AA585" s="60">
        <v>805.6875</v>
      </c>
      <c r="AB585" s="60">
        <v>805.6875</v>
      </c>
      <c r="AC585" s="60">
        <v>805.6875</v>
      </c>
      <c r="AD585" s="60">
        <v>805.6875</v>
      </c>
      <c r="AE585" s="61">
        <f t="shared" si="224"/>
        <v>4834.125</v>
      </c>
      <c r="AF585" s="62">
        <f t="shared" si="236"/>
        <v>4640759.96</v>
      </c>
      <c r="AG585" s="62">
        <f t="shared" si="233"/>
        <v>19336.5</v>
      </c>
      <c r="AH585" s="62">
        <f t="shared" si="225"/>
        <v>4621423.46</v>
      </c>
      <c r="AI585" s="63">
        <v>4631091.71</v>
      </c>
      <c r="AJ585" s="63">
        <f t="shared" si="245"/>
        <v>101884.01762000001</v>
      </c>
      <c r="AK585" s="72">
        <f t="shared" si="246"/>
        <v>101884.01762000001</v>
      </c>
      <c r="AL585" s="60">
        <v>805.6875</v>
      </c>
      <c r="AM585" s="60">
        <v>805.6875</v>
      </c>
      <c r="AN585" s="60">
        <v>805.6875</v>
      </c>
      <c r="AO585" s="60">
        <v>805.6875</v>
      </c>
      <c r="AP585" s="60">
        <v>805.6875</v>
      </c>
      <c r="AQ585" s="60">
        <v>805.6875</v>
      </c>
      <c r="AR585" s="61">
        <f t="shared" si="220"/>
        <v>4834.125</v>
      </c>
      <c r="AS585" s="60">
        <v>805.6875</v>
      </c>
      <c r="AT585" s="60">
        <v>805.6875</v>
      </c>
      <c r="AU585" s="60">
        <v>805.6875</v>
      </c>
      <c r="AV585" s="60">
        <v>805.6875</v>
      </c>
      <c r="AW585" s="60">
        <v>805.6875</v>
      </c>
      <c r="AX585" s="60">
        <v>805.6875</v>
      </c>
      <c r="AY585" s="61">
        <f t="shared" si="221"/>
        <v>4834.125</v>
      </c>
      <c r="AZ585" s="56">
        <f t="shared" si="207"/>
        <v>9668.25</v>
      </c>
      <c r="BA585" s="62">
        <f t="shared" si="237"/>
        <v>4640759.96</v>
      </c>
      <c r="BB585" s="62">
        <f t="shared" si="222"/>
        <v>29004.75</v>
      </c>
      <c r="BC585" s="62">
        <f t="shared" si="238"/>
        <v>4611755.21</v>
      </c>
      <c r="BD585" s="63">
        <v>4631091.71</v>
      </c>
      <c r="BE585" s="57">
        <f t="shared" si="247"/>
        <v>101884.01762000001</v>
      </c>
      <c r="BF585" s="35" t="str">
        <f>VLOOKUP(A:A,'2023-2027'!A:G,1,+FALSE)</f>
        <v>Строительство ВЛ-0,4кВ от ТП-58 "Монтажников 10" фидера ул. Монтажников; ул. Поморская, ул. Губкина</v>
      </c>
      <c r="BG585" s="7" t="b">
        <f t="shared" si="231"/>
        <v>1</v>
      </c>
      <c r="BH585" s="35">
        <f>VLOOKUP(A:A,'2023-2027'!A:AT,43,+FALSE)</f>
        <v>25782</v>
      </c>
    </row>
    <row r="586" spans="1:60" ht="12" hidden="1" customHeight="1" outlineLevel="1" x14ac:dyDescent="0.2">
      <c r="A586" s="59" t="s">
        <v>1425</v>
      </c>
      <c r="B586" s="59" t="s">
        <v>44</v>
      </c>
      <c r="C586" s="59" t="s">
        <v>82</v>
      </c>
      <c r="D586" s="65" t="s">
        <v>1426</v>
      </c>
      <c r="E586" s="59" t="s">
        <v>237</v>
      </c>
      <c r="F586" s="60">
        <v>7186.55</v>
      </c>
      <c r="G586" s="60">
        <v>2793.6</v>
      </c>
      <c r="H586" s="60">
        <v>4392.95</v>
      </c>
      <c r="I586" s="59"/>
      <c r="J586" s="68">
        <v>279.25</v>
      </c>
      <c r="K586" s="59"/>
      <c r="L586" s="59"/>
      <c r="M586" s="60">
        <v>7186.55</v>
      </c>
      <c r="N586" s="60">
        <v>3072.85</v>
      </c>
      <c r="O586" s="60">
        <v>4113.7</v>
      </c>
      <c r="P586" s="55">
        <v>4253.33</v>
      </c>
      <c r="Q586" s="55">
        <f t="shared" si="244"/>
        <v>93.573260000000005</v>
      </c>
      <c r="R586" s="61">
        <f t="shared" si="217"/>
        <v>23.270833333333332</v>
      </c>
      <c r="S586" s="60">
        <v>23.270833329999999</v>
      </c>
      <c r="T586" s="60">
        <v>23.270833329999999</v>
      </c>
      <c r="U586" s="60">
        <v>23.270833329999999</v>
      </c>
      <c r="V586" s="60">
        <v>23.270833329999999</v>
      </c>
      <c r="W586" s="60">
        <v>23.270833329999999</v>
      </c>
      <c r="X586" s="61">
        <f t="shared" si="218"/>
        <v>139.62499998333334</v>
      </c>
      <c r="Y586" s="60">
        <v>23.270833329999999</v>
      </c>
      <c r="Z586" s="60">
        <v>23.270833329999999</v>
      </c>
      <c r="AA586" s="60">
        <v>23.270833329999999</v>
      </c>
      <c r="AB586" s="60">
        <v>23.270833329999999</v>
      </c>
      <c r="AC586" s="60">
        <v>23.270833329999999</v>
      </c>
      <c r="AD586" s="60">
        <v>23.270833329999999</v>
      </c>
      <c r="AE586" s="61">
        <f t="shared" si="224"/>
        <v>139.62499997999998</v>
      </c>
      <c r="AF586" s="62">
        <f t="shared" si="236"/>
        <v>7186.55</v>
      </c>
      <c r="AG586" s="62">
        <f t="shared" si="233"/>
        <v>3352.0999999633354</v>
      </c>
      <c r="AH586" s="62">
        <f t="shared" si="225"/>
        <v>3834.4500000366647</v>
      </c>
      <c r="AI586" s="63">
        <v>3974.0800000000022</v>
      </c>
      <c r="AJ586" s="63">
        <f t="shared" si="245"/>
        <v>87.429760000000059</v>
      </c>
      <c r="AK586" s="72">
        <f t="shared" si="246"/>
        <v>87.429760000000059</v>
      </c>
      <c r="AL586" s="60">
        <v>23.270833329999999</v>
      </c>
      <c r="AM586" s="60">
        <v>23.270833329999999</v>
      </c>
      <c r="AN586" s="60">
        <v>23.270833329999999</v>
      </c>
      <c r="AO586" s="60">
        <v>23.270833329999999</v>
      </c>
      <c r="AP586" s="60">
        <v>23.270833329999999</v>
      </c>
      <c r="AQ586" s="60">
        <v>23.270833329999999</v>
      </c>
      <c r="AR586" s="61">
        <f t="shared" si="220"/>
        <v>139.62499997999998</v>
      </c>
      <c r="AS586" s="60">
        <v>23.270833329999999</v>
      </c>
      <c r="AT586" s="60">
        <v>23.270833329999999</v>
      </c>
      <c r="AU586" s="60">
        <v>23.270833329999999</v>
      </c>
      <c r="AV586" s="60">
        <v>23.270833329999999</v>
      </c>
      <c r="AW586" s="60">
        <v>23.270833329999999</v>
      </c>
      <c r="AX586" s="60">
        <v>23.270833329999999</v>
      </c>
      <c r="AY586" s="61">
        <f t="shared" si="221"/>
        <v>139.62499997999998</v>
      </c>
      <c r="AZ586" s="56">
        <f t="shared" ref="AZ586:AZ649" si="248">AR586+AY586</f>
        <v>279.24999995999997</v>
      </c>
      <c r="BA586" s="62">
        <f t="shared" si="237"/>
        <v>7186.55</v>
      </c>
      <c r="BB586" s="62">
        <f t="shared" si="222"/>
        <v>3631.3499999233377</v>
      </c>
      <c r="BC586" s="62">
        <f t="shared" si="238"/>
        <v>3555.2000000766625</v>
      </c>
      <c r="BD586" s="63">
        <v>3694.8400000000079</v>
      </c>
      <c r="BE586" s="57">
        <f t="shared" si="247"/>
        <v>81.286480000000182</v>
      </c>
      <c r="BF586" s="35" t="e">
        <f>VLOOKUP(A:A,'2023-2027'!A:G,1,+FALSE)</f>
        <v>#N/A</v>
      </c>
      <c r="BG586" s="7" t="e">
        <f t="shared" si="231"/>
        <v>#N/A</v>
      </c>
      <c r="BH586" s="35"/>
    </row>
    <row r="587" spans="1:60" ht="24" hidden="1" customHeight="1" outlineLevel="1" x14ac:dyDescent="0.2">
      <c r="A587" s="59" t="s">
        <v>1427</v>
      </c>
      <c r="B587" s="59" t="s">
        <v>44</v>
      </c>
      <c r="C587" s="59" t="s">
        <v>82</v>
      </c>
      <c r="D587" s="65" t="s">
        <v>1428</v>
      </c>
      <c r="E587" s="59" t="s">
        <v>1414</v>
      </c>
      <c r="F587" s="60">
        <v>53211.63</v>
      </c>
      <c r="G587" s="60">
        <v>15400.98</v>
      </c>
      <c r="H587" s="60">
        <v>37810.65</v>
      </c>
      <c r="I587" s="59"/>
      <c r="J587" s="60">
        <v>1466.88</v>
      </c>
      <c r="K587" s="59"/>
      <c r="L587" s="59"/>
      <c r="M587" s="60">
        <v>53211.63</v>
      </c>
      <c r="N587" s="60">
        <v>16867.86</v>
      </c>
      <c r="O587" s="60">
        <v>36343.769999999997</v>
      </c>
      <c r="P587" s="55">
        <v>37077.21</v>
      </c>
      <c r="Q587" s="55">
        <f t="shared" si="244"/>
        <v>815.69862000000001</v>
      </c>
      <c r="R587" s="61">
        <f t="shared" si="217"/>
        <v>122.24000000000001</v>
      </c>
      <c r="S587" s="60">
        <v>122.24</v>
      </c>
      <c r="T587" s="60">
        <v>122.24</v>
      </c>
      <c r="U587" s="60">
        <v>122.24</v>
      </c>
      <c r="V587" s="60">
        <v>122.24</v>
      </c>
      <c r="W587" s="60">
        <v>122.24</v>
      </c>
      <c r="X587" s="61">
        <f t="shared" si="218"/>
        <v>733.44</v>
      </c>
      <c r="Y587" s="60">
        <v>122.24</v>
      </c>
      <c r="Z587" s="60">
        <v>122.24</v>
      </c>
      <c r="AA587" s="60">
        <v>122.24</v>
      </c>
      <c r="AB587" s="60">
        <v>122.24</v>
      </c>
      <c r="AC587" s="60">
        <v>122.24</v>
      </c>
      <c r="AD587" s="60">
        <v>122.24</v>
      </c>
      <c r="AE587" s="61">
        <f t="shared" si="224"/>
        <v>733.43999999999994</v>
      </c>
      <c r="AF587" s="62">
        <f t="shared" si="236"/>
        <v>53211.63</v>
      </c>
      <c r="AG587" s="62">
        <f t="shared" si="233"/>
        <v>18334.74000000002</v>
      </c>
      <c r="AH587" s="62">
        <f t="shared" si="225"/>
        <v>34876.889999999978</v>
      </c>
      <c r="AI587" s="63">
        <v>35610.330000000009</v>
      </c>
      <c r="AJ587" s="63">
        <f t="shared" si="245"/>
        <v>783.42726000000027</v>
      </c>
      <c r="AK587" s="72">
        <f t="shared" si="246"/>
        <v>783.42726000000027</v>
      </c>
      <c r="AL587" s="60">
        <v>122.24</v>
      </c>
      <c r="AM587" s="60">
        <v>122.24</v>
      </c>
      <c r="AN587" s="60">
        <v>122.24</v>
      </c>
      <c r="AO587" s="60">
        <v>122.24</v>
      </c>
      <c r="AP587" s="60">
        <v>122.24</v>
      </c>
      <c r="AQ587" s="60">
        <v>122.24</v>
      </c>
      <c r="AR587" s="61">
        <f t="shared" si="220"/>
        <v>733.43999999999994</v>
      </c>
      <c r="AS587" s="60">
        <v>122.24</v>
      </c>
      <c r="AT587" s="60">
        <v>122.24</v>
      </c>
      <c r="AU587" s="60">
        <v>122.24</v>
      </c>
      <c r="AV587" s="60">
        <v>122.24</v>
      </c>
      <c r="AW587" s="60">
        <v>122.24</v>
      </c>
      <c r="AX587" s="60">
        <v>122.24</v>
      </c>
      <c r="AY587" s="61">
        <f t="shared" si="221"/>
        <v>733.43999999999994</v>
      </c>
      <c r="AZ587" s="56">
        <f t="shared" si="248"/>
        <v>1466.8799999999999</v>
      </c>
      <c r="BA587" s="62">
        <f t="shared" si="237"/>
        <v>53211.63</v>
      </c>
      <c r="BB587" s="62">
        <f t="shared" si="222"/>
        <v>19801.620000000039</v>
      </c>
      <c r="BC587" s="62">
        <f t="shared" si="238"/>
        <v>33410.009999999958</v>
      </c>
      <c r="BD587" s="63">
        <v>34143.450000000041</v>
      </c>
      <c r="BE587" s="57">
        <f t="shared" si="247"/>
        <v>751.155900000001</v>
      </c>
      <c r="BF587" s="35" t="e">
        <f>VLOOKUP(A:A,'2023-2027'!A:G,1,+FALSE)</f>
        <v>#N/A</v>
      </c>
      <c r="BG587" s="7" t="e">
        <f t="shared" si="231"/>
        <v>#N/A</v>
      </c>
      <c r="BH587" s="35"/>
    </row>
    <row r="588" spans="1:60" ht="24" hidden="1" customHeight="1" outlineLevel="1" x14ac:dyDescent="0.2">
      <c r="A588" s="59" t="s">
        <v>1429</v>
      </c>
      <c r="B588" s="59" t="s">
        <v>44</v>
      </c>
      <c r="C588" s="59" t="s">
        <v>82</v>
      </c>
      <c r="D588" s="66" t="s">
        <v>1430</v>
      </c>
      <c r="E588" s="59" t="s">
        <v>1414</v>
      </c>
      <c r="F588" s="60">
        <v>141175.79</v>
      </c>
      <c r="G588" s="60">
        <v>43471.26</v>
      </c>
      <c r="H588" s="60">
        <v>97704.53</v>
      </c>
      <c r="I588" s="59"/>
      <c r="J588" s="60">
        <v>4140.24</v>
      </c>
      <c r="K588" s="59"/>
      <c r="L588" s="59"/>
      <c r="M588" s="60">
        <v>141175.79</v>
      </c>
      <c r="N588" s="60">
        <v>47611.5</v>
      </c>
      <c r="O588" s="60">
        <v>93564.29</v>
      </c>
      <c r="P588" s="55">
        <v>95634.41</v>
      </c>
      <c r="Q588" s="55">
        <f t="shared" si="244"/>
        <v>2103.9570200000003</v>
      </c>
      <c r="R588" s="61">
        <f t="shared" si="217"/>
        <v>345.02</v>
      </c>
      <c r="S588" s="60">
        <v>345.02</v>
      </c>
      <c r="T588" s="60">
        <v>345.02</v>
      </c>
      <c r="U588" s="60">
        <v>345.02</v>
      </c>
      <c r="V588" s="60">
        <v>345.02</v>
      </c>
      <c r="W588" s="60">
        <v>345.02</v>
      </c>
      <c r="X588" s="61">
        <f t="shared" si="218"/>
        <v>2070.12</v>
      </c>
      <c r="Y588" s="60">
        <v>345.02</v>
      </c>
      <c r="Z588" s="60">
        <v>345.02</v>
      </c>
      <c r="AA588" s="60">
        <v>345.02</v>
      </c>
      <c r="AB588" s="60">
        <v>345.02</v>
      </c>
      <c r="AC588" s="60">
        <v>345.02</v>
      </c>
      <c r="AD588" s="60">
        <v>345.02</v>
      </c>
      <c r="AE588" s="61">
        <f t="shared" si="224"/>
        <v>2070.12</v>
      </c>
      <c r="AF588" s="62">
        <f t="shared" si="236"/>
        <v>141175.79</v>
      </c>
      <c r="AG588" s="62">
        <f t="shared" si="233"/>
        <v>51751.739999999962</v>
      </c>
      <c r="AH588" s="62">
        <f t="shared" si="225"/>
        <v>89424.050000000047</v>
      </c>
      <c r="AI588" s="63">
        <v>91494.169999999984</v>
      </c>
      <c r="AJ588" s="63">
        <f t="shared" si="245"/>
        <v>2012.8717399999998</v>
      </c>
      <c r="AK588" s="72">
        <f t="shared" si="246"/>
        <v>2012.8717399999998</v>
      </c>
      <c r="AL588" s="60">
        <v>345.02</v>
      </c>
      <c r="AM588" s="60">
        <v>345.02</v>
      </c>
      <c r="AN588" s="60">
        <v>345.02</v>
      </c>
      <c r="AO588" s="60">
        <v>345.02</v>
      </c>
      <c r="AP588" s="60">
        <v>345.02</v>
      </c>
      <c r="AQ588" s="60">
        <v>345.02</v>
      </c>
      <c r="AR588" s="61">
        <f t="shared" si="220"/>
        <v>2070.12</v>
      </c>
      <c r="AS588" s="60">
        <v>345.02</v>
      </c>
      <c r="AT588" s="60">
        <v>345.02</v>
      </c>
      <c r="AU588" s="60">
        <v>345.02</v>
      </c>
      <c r="AV588" s="60">
        <v>345.02</v>
      </c>
      <c r="AW588" s="60">
        <v>345.02</v>
      </c>
      <c r="AX588" s="60">
        <v>345.02</v>
      </c>
      <c r="AY588" s="61">
        <f t="shared" si="221"/>
        <v>2070.12</v>
      </c>
      <c r="AZ588" s="56">
        <f t="shared" si="248"/>
        <v>4140.24</v>
      </c>
      <c r="BA588" s="62">
        <f t="shared" si="237"/>
        <v>141175.79</v>
      </c>
      <c r="BB588" s="62">
        <f t="shared" si="222"/>
        <v>55891.979999999923</v>
      </c>
      <c r="BC588" s="62">
        <f t="shared" si="238"/>
        <v>85283.810000000085</v>
      </c>
      <c r="BD588" s="63">
        <v>87353.92999999992</v>
      </c>
      <c r="BE588" s="57">
        <f t="shared" si="247"/>
        <v>1921.7864599999984</v>
      </c>
      <c r="BF588" s="35" t="str">
        <f>VLOOKUP(A:A,'2023-2027'!A:G,1,+FALSE)</f>
        <v>ВЛ-0,4 кВ р-н ул.Первомайская, д.8  160м</v>
      </c>
      <c r="BG588" s="7" t="b">
        <f t="shared" si="231"/>
        <v>1</v>
      </c>
      <c r="BH588" s="35">
        <f>VLOOKUP(A:A,'2023-2027'!A:AT,43,+FALSE)</f>
        <v>359.34999999999997</v>
      </c>
    </row>
    <row r="589" spans="1:60" ht="24" hidden="1" customHeight="1" outlineLevel="1" x14ac:dyDescent="0.2">
      <c r="A589" s="59" t="s">
        <v>1431</v>
      </c>
      <c r="B589" s="59" t="s">
        <v>44</v>
      </c>
      <c r="C589" s="59" t="s">
        <v>82</v>
      </c>
      <c r="D589" s="65" t="s">
        <v>1432</v>
      </c>
      <c r="E589" s="59" t="s">
        <v>1414</v>
      </c>
      <c r="F589" s="60">
        <v>10694.39</v>
      </c>
      <c r="G589" s="60">
        <v>3695.58</v>
      </c>
      <c r="H589" s="60">
        <v>6998.81</v>
      </c>
      <c r="I589" s="59"/>
      <c r="J589" s="68">
        <v>351.96</v>
      </c>
      <c r="K589" s="59"/>
      <c r="L589" s="59"/>
      <c r="M589" s="60">
        <v>10694.39</v>
      </c>
      <c r="N589" s="60">
        <v>4047.54</v>
      </c>
      <c r="O589" s="60">
        <v>6646.85</v>
      </c>
      <c r="P589" s="55">
        <v>6822.83</v>
      </c>
      <c r="Q589" s="55">
        <f t="shared" si="244"/>
        <v>150.10226</v>
      </c>
      <c r="R589" s="61">
        <f t="shared" si="217"/>
        <v>29.33</v>
      </c>
      <c r="S589" s="60">
        <v>29.33</v>
      </c>
      <c r="T589" s="60">
        <v>29.33</v>
      </c>
      <c r="U589" s="60">
        <v>29.33</v>
      </c>
      <c r="V589" s="60">
        <v>29.33</v>
      </c>
      <c r="W589" s="60">
        <v>29.33</v>
      </c>
      <c r="X589" s="61">
        <f t="shared" si="218"/>
        <v>175.97999999999996</v>
      </c>
      <c r="Y589" s="60">
        <v>29.33</v>
      </c>
      <c r="Z589" s="60">
        <v>29.33</v>
      </c>
      <c r="AA589" s="60">
        <v>29.33</v>
      </c>
      <c r="AB589" s="60">
        <v>29.33</v>
      </c>
      <c r="AC589" s="60">
        <v>29.33</v>
      </c>
      <c r="AD589" s="60">
        <v>29.33</v>
      </c>
      <c r="AE589" s="61">
        <f t="shared" si="224"/>
        <v>175.97999999999996</v>
      </c>
      <c r="AF589" s="62">
        <f t="shared" si="236"/>
        <v>10694.39</v>
      </c>
      <c r="AG589" s="62">
        <f t="shared" si="233"/>
        <v>4399.4999999999991</v>
      </c>
      <c r="AH589" s="62">
        <f t="shared" si="225"/>
        <v>6294.89</v>
      </c>
      <c r="AI589" s="63">
        <v>6470.8699999999944</v>
      </c>
      <c r="AJ589" s="63">
        <f t="shared" si="245"/>
        <v>142.35913999999988</v>
      </c>
      <c r="AK589" s="72">
        <f t="shared" si="246"/>
        <v>142.35913999999988</v>
      </c>
      <c r="AL589" s="60">
        <v>29.33</v>
      </c>
      <c r="AM589" s="60">
        <v>29.33</v>
      </c>
      <c r="AN589" s="60">
        <v>29.33</v>
      </c>
      <c r="AO589" s="60">
        <v>29.33</v>
      </c>
      <c r="AP589" s="60">
        <v>29.33</v>
      </c>
      <c r="AQ589" s="60">
        <v>29.33</v>
      </c>
      <c r="AR589" s="61">
        <f t="shared" si="220"/>
        <v>175.97999999999996</v>
      </c>
      <c r="AS589" s="60">
        <v>29.33</v>
      </c>
      <c r="AT589" s="60">
        <v>29.33</v>
      </c>
      <c r="AU589" s="60">
        <v>29.33</v>
      </c>
      <c r="AV589" s="60">
        <v>29.33</v>
      </c>
      <c r="AW589" s="60">
        <v>29.33</v>
      </c>
      <c r="AX589" s="60">
        <v>29.33</v>
      </c>
      <c r="AY589" s="61">
        <f t="shared" si="221"/>
        <v>175.97999999999996</v>
      </c>
      <c r="AZ589" s="56">
        <f t="shared" si="248"/>
        <v>351.95999999999992</v>
      </c>
      <c r="BA589" s="62">
        <f t="shared" si="237"/>
        <v>10694.39</v>
      </c>
      <c r="BB589" s="62">
        <f t="shared" si="222"/>
        <v>4751.4599999999982</v>
      </c>
      <c r="BC589" s="62">
        <f t="shared" si="238"/>
        <v>5942.9300000000012</v>
      </c>
      <c r="BD589" s="63">
        <v>6118.9099999999853</v>
      </c>
      <c r="BE589" s="57">
        <f t="shared" si="247"/>
        <v>134.61601999999968</v>
      </c>
      <c r="BF589" s="35" t="e">
        <f>VLOOKUP(A:A,'2023-2027'!A:G,1,+FALSE)</f>
        <v>#N/A</v>
      </c>
      <c r="BG589" s="7" t="e">
        <f t="shared" si="231"/>
        <v>#N/A</v>
      </c>
      <c r="BH589" s="35"/>
    </row>
    <row r="590" spans="1:60" ht="12" hidden="1" customHeight="1" outlineLevel="1" x14ac:dyDescent="0.2">
      <c r="A590" s="59" t="s">
        <v>1433</v>
      </c>
      <c r="B590" s="59" t="s">
        <v>44</v>
      </c>
      <c r="C590" s="59" t="s">
        <v>82</v>
      </c>
      <c r="D590" s="65" t="s">
        <v>1434</v>
      </c>
      <c r="E590" s="59" t="s">
        <v>182</v>
      </c>
      <c r="F590" s="60">
        <v>72831.59</v>
      </c>
      <c r="G590" s="60">
        <v>37969.5</v>
      </c>
      <c r="H590" s="60">
        <v>34862.089999999997</v>
      </c>
      <c r="I590" s="59"/>
      <c r="J590" s="60">
        <v>2680.2</v>
      </c>
      <c r="K590" s="59"/>
      <c r="L590" s="59"/>
      <c r="M590" s="60">
        <v>72831.59</v>
      </c>
      <c r="N590" s="60">
        <v>40649.699999999997</v>
      </c>
      <c r="O590" s="60">
        <v>32181.89</v>
      </c>
      <c r="P590" s="55">
        <v>33521.99</v>
      </c>
      <c r="Q590" s="55">
        <f t="shared" si="244"/>
        <v>737.48378000000002</v>
      </c>
      <c r="R590" s="61">
        <f t="shared" si="217"/>
        <v>223.35</v>
      </c>
      <c r="S590" s="60">
        <v>223.35</v>
      </c>
      <c r="T590" s="60">
        <v>223.35</v>
      </c>
      <c r="U590" s="60">
        <v>223.35</v>
      </c>
      <c r="V590" s="60">
        <v>223.35</v>
      </c>
      <c r="W590" s="60">
        <v>223.35</v>
      </c>
      <c r="X590" s="61">
        <f t="shared" si="218"/>
        <v>1340.1</v>
      </c>
      <c r="Y590" s="60">
        <v>223.35</v>
      </c>
      <c r="Z590" s="60">
        <v>223.35</v>
      </c>
      <c r="AA590" s="60">
        <v>223.35</v>
      </c>
      <c r="AB590" s="60">
        <v>223.35</v>
      </c>
      <c r="AC590" s="60">
        <v>223.35</v>
      </c>
      <c r="AD590" s="60">
        <v>223.35</v>
      </c>
      <c r="AE590" s="61">
        <f t="shared" si="224"/>
        <v>1340.1</v>
      </c>
      <c r="AF590" s="62">
        <f t="shared" si="236"/>
        <v>72831.59</v>
      </c>
      <c r="AG590" s="62">
        <f t="shared" si="233"/>
        <v>43329.89999999998</v>
      </c>
      <c r="AH590" s="62">
        <f t="shared" si="225"/>
        <v>29501.690000000017</v>
      </c>
      <c r="AI590" s="63">
        <v>30841.790000000005</v>
      </c>
      <c r="AJ590" s="63">
        <f t="shared" si="245"/>
        <v>678.51938000000018</v>
      </c>
      <c r="AK590" s="72">
        <f t="shared" si="246"/>
        <v>678.51938000000018</v>
      </c>
      <c r="AL590" s="60">
        <v>223.35</v>
      </c>
      <c r="AM590" s="60">
        <v>223.35</v>
      </c>
      <c r="AN590" s="60">
        <v>223.35</v>
      </c>
      <c r="AO590" s="60">
        <v>223.35</v>
      </c>
      <c r="AP590" s="60">
        <v>223.35</v>
      </c>
      <c r="AQ590" s="60">
        <v>223.35</v>
      </c>
      <c r="AR590" s="61">
        <f t="shared" si="220"/>
        <v>1340.1</v>
      </c>
      <c r="AS590" s="60">
        <v>223.35</v>
      </c>
      <c r="AT590" s="60">
        <v>223.35</v>
      </c>
      <c r="AU590" s="60">
        <v>223.35</v>
      </c>
      <c r="AV590" s="60">
        <v>223.35</v>
      </c>
      <c r="AW590" s="60">
        <v>223.35</v>
      </c>
      <c r="AX590" s="60">
        <v>223.35</v>
      </c>
      <c r="AY590" s="61">
        <f t="shared" si="221"/>
        <v>1340.1</v>
      </c>
      <c r="AZ590" s="56">
        <f t="shared" si="248"/>
        <v>2680.2</v>
      </c>
      <c r="BA590" s="62">
        <f t="shared" si="237"/>
        <v>72831.59</v>
      </c>
      <c r="BB590" s="62">
        <f t="shared" si="222"/>
        <v>46010.099999999962</v>
      </c>
      <c r="BC590" s="62">
        <f t="shared" si="238"/>
        <v>26821.490000000034</v>
      </c>
      <c r="BD590" s="63">
        <v>28161.590000000022</v>
      </c>
      <c r="BE590" s="57">
        <f t="shared" si="247"/>
        <v>619.55498000000057</v>
      </c>
      <c r="BF590" s="35" t="e">
        <f>VLOOKUP(A:A,'2023-2027'!A:G,1,+FALSE)</f>
        <v>#N/A</v>
      </c>
      <c r="BG590" s="7" t="e">
        <f t="shared" si="231"/>
        <v>#N/A</v>
      </c>
      <c r="BH590" s="35"/>
    </row>
    <row r="591" spans="1:60" ht="12" hidden="1" customHeight="1" outlineLevel="1" x14ac:dyDescent="0.2">
      <c r="A591" s="59" t="s">
        <v>1435</v>
      </c>
      <c r="B591" s="59" t="s">
        <v>44</v>
      </c>
      <c r="C591" s="59" t="s">
        <v>82</v>
      </c>
      <c r="D591" s="65" t="s">
        <v>1436</v>
      </c>
      <c r="E591" s="59" t="s">
        <v>237</v>
      </c>
      <c r="F591" s="60">
        <v>73899.62</v>
      </c>
      <c r="G591" s="60">
        <v>34850.400000000001</v>
      </c>
      <c r="H591" s="60">
        <v>39049.22</v>
      </c>
      <c r="I591" s="59"/>
      <c r="J591" s="60">
        <v>3484.92</v>
      </c>
      <c r="K591" s="59"/>
      <c r="L591" s="59"/>
      <c r="M591" s="60">
        <v>73899.62</v>
      </c>
      <c r="N591" s="60">
        <v>38335.32</v>
      </c>
      <c r="O591" s="60">
        <v>35564.300000000003</v>
      </c>
      <c r="P591" s="55">
        <v>37306.76</v>
      </c>
      <c r="Q591" s="55">
        <f t="shared" si="244"/>
        <v>820.74872000000016</v>
      </c>
      <c r="R591" s="61">
        <f t="shared" si="217"/>
        <v>290.41000000000003</v>
      </c>
      <c r="S591" s="60">
        <v>290.41000000000003</v>
      </c>
      <c r="T591" s="60">
        <v>290.41000000000003</v>
      </c>
      <c r="U591" s="60">
        <v>290.41000000000003</v>
      </c>
      <c r="V591" s="60">
        <v>290.41000000000003</v>
      </c>
      <c r="W591" s="60">
        <v>290.41000000000003</v>
      </c>
      <c r="X591" s="61">
        <f t="shared" si="218"/>
        <v>1742.4600000000003</v>
      </c>
      <c r="Y591" s="60">
        <v>290.41000000000003</v>
      </c>
      <c r="Z591" s="60">
        <v>290.41000000000003</v>
      </c>
      <c r="AA591" s="60">
        <v>290.41000000000003</v>
      </c>
      <c r="AB591" s="60">
        <v>290.41000000000003</v>
      </c>
      <c r="AC591" s="60">
        <v>290.41000000000003</v>
      </c>
      <c r="AD591" s="60">
        <v>290.41000000000003</v>
      </c>
      <c r="AE591" s="61">
        <f t="shared" si="224"/>
        <v>1742.4600000000003</v>
      </c>
      <c r="AF591" s="62">
        <f t="shared" si="236"/>
        <v>73899.62</v>
      </c>
      <c r="AG591" s="62">
        <f t="shared" si="233"/>
        <v>41820.240000000042</v>
      </c>
      <c r="AH591" s="62">
        <f t="shared" si="225"/>
        <v>32079.379999999954</v>
      </c>
      <c r="AI591" s="63">
        <v>33821.839999999982</v>
      </c>
      <c r="AJ591" s="63">
        <f t="shared" si="245"/>
        <v>744.08047999999962</v>
      </c>
      <c r="AK591" s="72">
        <f t="shared" si="246"/>
        <v>744.08047999999962</v>
      </c>
      <c r="AL591" s="60">
        <v>290.41000000000003</v>
      </c>
      <c r="AM591" s="60">
        <v>290.41000000000003</v>
      </c>
      <c r="AN591" s="60">
        <v>290.41000000000003</v>
      </c>
      <c r="AO591" s="60">
        <v>290.41000000000003</v>
      </c>
      <c r="AP591" s="60">
        <v>290.41000000000003</v>
      </c>
      <c r="AQ591" s="60">
        <v>290.41000000000003</v>
      </c>
      <c r="AR591" s="61">
        <f t="shared" si="220"/>
        <v>1742.4600000000003</v>
      </c>
      <c r="AS591" s="60">
        <v>290.41000000000003</v>
      </c>
      <c r="AT591" s="60">
        <v>290.41000000000003</v>
      </c>
      <c r="AU591" s="60">
        <v>290.41000000000003</v>
      </c>
      <c r="AV591" s="60">
        <v>290.41000000000003</v>
      </c>
      <c r="AW591" s="60">
        <v>290.41000000000003</v>
      </c>
      <c r="AX591" s="60">
        <v>290.41000000000003</v>
      </c>
      <c r="AY591" s="61">
        <f t="shared" si="221"/>
        <v>1742.4600000000003</v>
      </c>
      <c r="AZ591" s="56">
        <f t="shared" si="248"/>
        <v>3484.9200000000005</v>
      </c>
      <c r="BA591" s="62">
        <f t="shared" si="237"/>
        <v>73899.62</v>
      </c>
      <c r="BB591" s="62">
        <f t="shared" si="222"/>
        <v>45305.160000000084</v>
      </c>
      <c r="BC591" s="62">
        <f t="shared" si="238"/>
        <v>28594.459999999912</v>
      </c>
      <c r="BD591" s="63">
        <v>30336.91999999994</v>
      </c>
      <c r="BE591" s="57">
        <f t="shared" si="247"/>
        <v>667.41223999999875</v>
      </c>
      <c r="BF591" s="35" t="e">
        <f>VLOOKUP(A:A,'2023-2027'!A:G,1,+FALSE)</f>
        <v>#N/A</v>
      </c>
      <c r="BG591" s="7" t="e">
        <f t="shared" si="231"/>
        <v>#N/A</v>
      </c>
      <c r="BH591" s="35"/>
    </row>
    <row r="592" spans="1:60" ht="12" hidden="1" customHeight="1" outlineLevel="1" x14ac:dyDescent="0.2">
      <c r="A592" s="59" t="s">
        <v>1437</v>
      </c>
      <c r="B592" s="59" t="s">
        <v>44</v>
      </c>
      <c r="C592" s="59" t="s">
        <v>82</v>
      </c>
      <c r="D592" s="65" t="s">
        <v>1438</v>
      </c>
      <c r="E592" s="59" t="s">
        <v>1439</v>
      </c>
      <c r="F592" s="60">
        <v>49505</v>
      </c>
      <c r="G592" s="60">
        <v>15246.7</v>
      </c>
      <c r="H592" s="60">
        <v>34258.300000000003</v>
      </c>
      <c r="I592" s="59"/>
      <c r="J592" s="60">
        <v>1590.96</v>
      </c>
      <c r="K592" s="59"/>
      <c r="L592" s="59"/>
      <c r="M592" s="60">
        <v>49505</v>
      </c>
      <c r="N592" s="60">
        <v>16837.66</v>
      </c>
      <c r="O592" s="60">
        <v>32667.34</v>
      </c>
      <c r="P592" s="55">
        <v>33462.82</v>
      </c>
      <c r="Q592" s="55">
        <f t="shared" si="244"/>
        <v>736.18204000000003</v>
      </c>
      <c r="R592" s="61">
        <f t="shared" si="217"/>
        <v>132.58000000000001</v>
      </c>
      <c r="S592" s="60">
        <v>132.58000000000001</v>
      </c>
      <c r="T592" s="60">
        <v>132.58000000000001</v>
      </c>
      <c r="U592" s="60">
        <v>132.58000000000001</v>
      </c>
      <c r="V592" s="60">
        <v>132.58000000000001</v>
      </c>
      <c r="W592" s="60">
        <v>132.58000000000001</v>
      </c>
      <c r="X592" s="61">
        <f t="shared" si="218"/>
        <v>795.48000000000013</v>
      </c>
      <c r="Y592" s="60">
        <v>132.58000000000001</v>
      </c>
      <c r="Z592" s="60">
        <v>132.58000000000001</v>
      </c>
      <c r="AA592" s="60">
        <v>132.58000000000001</v>
      </c>
      <c r="AB592" s="60">
        <v>132.58000000000001</v>
      </c>
      <c r="AC592" s="60">
        <v>132.58000000000001</v>
      </c>
      <c r="AD592" s="60">
        <v>132.58000000000001</v>
      </c>
      <c r="AE592" s="61">
        <f t="shared" si="224"/>
        <v>795.48000000000013</v>
      </c>
      <c r="AF592" s="62">
        <f t="shared" si="236"/>
        <v>49505</v>
      </c>
      <c r="AG592" s="62">
        <f t="shared" si="233"/>
        <v>18428.620000000021</v>
      </c>
      <c r="AH592" s="62">
        <f t="shared" si="225"/>
        <v>31076.379999999979</v>
      </c>
      <c r="AI592" s="63">
        <v>31871.859999999993</v>
      </c>
      <c r="AJ592" s="63">
        <f t="shared" si="245"/>
        <v>701.1809199999999</v>
      </c>
      <c r="AK592" s="72">
        <f t="shared" si="246"/>
        <v>701.1809199999999</v>
      </c>
      <c r="AL592" s="60">
        <v>132.58000000000001</v>
      </c>
      <c r="AM592" s="60">
        <v>132.58000000000001</v>
      </c>
      <c r="AN592" s="60">
        <v>132.58000000000001</v>
      </c>
      <c r="AO592" s="60">
        <v>132.58000000000001</v>
      </c>
      <c r="AP592" s="60">
        <v>132.58000000000001</v>
      </c>
      <c r="AQ592" s="60">
        <v>132.58000000000001</v>
      </c>
      <c r="AR592" s="61">
        <f t="shared" si="220"/>
        <v>795.48000000000013</v>
      </c>
      <c r="AS592" s="60">
        <v>132.58000000000001</v>
      </c>
      <c r="AT592" s="60">
        <v>132.58000000000001</v>
      </c>
      <c r="AU592" s="60">
        <v>132.58000000000001</v>
      </c>
      <c r="AV592" s="60">
        <v>132.58000000000001</v>
      </c>
      <c r="AW592" s="60">
        <v>132.58000000000001</v>
      </c>
      <c r="AX592" s="60">
        <v>132.58000000000001</v>
      </c>
      <c r="AY592" s="61">
        <f t="shared" si="221"/>
        <v>795.48000000000013</v>
      </c>
      <c r="AZ592" s="56">
        <f t="shared" si="248"/>
        <v>1590.9600000000003</v>
      </c>
      <c r="BA592" s="62">
        <f t="shared" si="237"/>
        <v>49505</v>
      </c>
      <c r="BB592" s="62">
        <f t="shared" si="222"/>
        <v>20019.580000000042</v>
      </c>
      <c r="BC592" s="62">
        <f t="shared" si="238"/>
        <v>29485.419999999958</v>
      </c>
      <c r="BD592" s="63">
        <v>30280.899999999972</v>
      </c>
      <c r="BE592" s="57">
        <f t="shared" si="247"/>
        <v>666.17979999999943</v>
      </c>
      <c r="BF592" s="35" t="e">
        <f>VLOOKUP(A:A,'2023-2027'!A:G,1,+FALSE)</f>
        <v>#N/A</v>
      </c>
      <c r="BG592" s="7" t="e">
        <f t="shared" si="231"/>
        <v>#N/A</v>
      </c>
      <c r="BH592" s="35"/>
    </row>
    <row r="593" spans="1:60" ht="12" hidden="1" customHeight="1" outlineLevel="1" x14ac:dyDescent="0.2">
      <c r="A593" s="59" t="s">
        <v>1440</v>
      </c>
      <c r="B593" s="59" t="s">
        <v>44</v>
      </c>
      <c r="C593" s="59" t="s">
        <v>82</v>
      </c>
      <c r="D593" s="66" t="s">
        <v>1441</v>
      </c>
      <c r="E593" s="59" t="s">
        <v>1442</v>
      </c>
      <c r="F593" s="60">
        <v>246467.05</v>
      </c>
      <c r="G593" s="60">
        <v>76489.2</v>
      </c>
      <c r="H593" s="60">
        <v>169977.85</v>
      </c>
      <c r="I593" s="59"/>
      <c r="J593" s="60">
        <v>15297.83</v>
      </c>
      <c r="K593" s="59"/>
      <c r="L593" s="59"/>
      <c r="M593" s="60">
        <v>246467.05</v>
      </c>
      <c r="N593" s="60">
        <v>91787.03</v>
      </c>
      <c r="O593" s="60">
        <v>154680.01999999999</v>
      </c>
      <c r="P593" s="55">
        <v>162328.93</v>
      </c>
      <c r="Q593" s="55">
        <f t="shared" si="244"/>
        <v>3571.2364600000001</v>
      </c>
      <c r="R593" s="61">
        <f t="shared" si="217"/>
        <v>1274.8191666666667</v>
      </c>
      <c r="S593" s="60">
        <v>1274.8191670000001</v>
      </c>
      <c r="T593" s="60">
        <v>1274.8191670000001</v>
      </c>
      <c r="U593" s="60">
        <v>1274.8191670000001</v>
      </c>
      <c r="V593" s="60">
        <v>1274.8191670000001</v>
      </c>
      <c r="W593" s="60">
        <v>1274.8191670000001</v>
      </c>
      <c r="X593" s="61">
        <f t="shared" si="218"/>
        <v>7648.9150016666663</v>
      </c>
      <c r="Y593" s="60">
        <v>1274.8191670000001</v>
      </c>
      <c r="Z593" s="60">
        <v>1274.8191670000001</v>
      </c>
      <c r="AA593" s="60">
        <v>1274.8191670000001</v>
      </c>
      <c r="AB593" s="60">
        <v>1274.8191670000001</v>
      </c>
      <c r="AC593" s="60">
        <v>1274.8191670000001</v>
      </c>
      <c r="AD593" s="60">
        <v>1274.8191670000001</v>
      </c>
      <c r="AE593" s="61">
        <f t="shared" si="224"/>
        <v>7648.9150019999997</v>
      </c>
      <c r="AF593" s="62">
        <f t="shared" si="236"/>
        <v>246467.05</v>
      </c>
      <c r="AG593" s="62">
        <f t="shared" si="233"/>
        <v>107084.8600036666</v>
      </c>
      <c r="AH593" s="62">
        <f t="shared" si="225"/>
        <v>139382.18999633339</v>
      </c>
      <c r="AI593" s="63">
        <v>147031.09999999995</v>
      </c>
      <c r="AJ593" s="63">
        <f t="shared" si="245"/>
        <v>3234.6841999999992</v>
      </c>
      <c r="AK593" s="72">
        <f t="shared" si="246"/>
        <v>3234.6841999999992</v>
      </c>
      <c r="AL593" s="60">
        <v>1274.8191670000001</v>
      </c>
      <c r="AM593" s="60">
        <v>1274.8191670000001</v>
      </c>
      <c r="AN593" s="60">
        <v>1274.8191670000001</v>
      </c>
      <c r="AO593" s="60">
        <v>1274.8191670000001</v>
      </c>
      <c r="AP593" s="60">
        <v>1274.8191670000001</v>
      </c>
      <c r="AQ593" s="60">
        <v>1274.8191670000001</v>
      </c>
      <c r="AR593" s="61">
        <f t="shared" si="220"/>
        <v>7648.9150019999997</v>
      </c>
      <c r="AS593" s="60">
        <v>1274.8191670000001</v>
      </c>
      <c r="AT593" s="60">
        <v>1274.8191670000001</v>
      </c>
      <c r="AU593" s="60">
        <v>1274.8191670000001</v>
      </c>
      <c r="AV593" s="60">
        <v>1274.8191670000001</v>
      </c>
      <c r="AW593" s="60">
        <v>1274.8191670000001</v>
      </c>
      <c r="AX593" s="60">
        <v>1274.8191670000001</v>
      </c>
      <c r="AY593" s="61">
        <f t="shared" si="221"/>
        <v>7648.9150019999997</v>
      </c>
      <c r="AZ593" s="56">
        <f t="shared" si="248"/>
        <v>15297.830003999999</v>
      </c>
      <c r="BA593" s="62">
        <f t="shared" si="237"/>
        <v>246467.05</v>
      </c>
      <c r="BB593" s="62">
        <f t="shared" si="222"/>
        <v>122382.69000766653</v>
      </c>
      <c r="BC593" s="62">
        <f t="shared" si="238"/>
        <v>124084.35999233346</v>
      </c>
      <c r="BD593" s="63">
        <v>131733.25999999986</v>
      </c>
      <c r="BE593" s="57">
        <f t="shared" si="247"/>
        <v>2898.1317199999971</v>
      </c>
      <c r="BF593" s="35" t="str">
        <f>VLOOKUP(A:A,'2023-2027'!A:G,1,+FALSE)</f>
        <v>ВЛ-0,4кВ "Малый Качгорт"</v>
      </c>
      <c r="BG593" s="7" t="b">
        <f t="shared" si="231"/>
        <v>1</v>
      </c>
      <c r="BH593" s="35">
        <f>VLOOKUP(A:A,'2023-2027'!A:AT,43,+FALSE)</f>
        <v>1369.26</v>
      </c>
    </row>
    <row r="594" spans="1:60" ht="24" hidden="1" customHeight="1" outlineLevel="1" x14ac:dyDescent="0.2">
      <c r="A594" s="59" t="s">
        <v>1443</v>
      </c>
      <c r="B594" s="59" t="s">
        <v>44</v>
      </c>
      <c r="C594" s="59" t="s">
        <v>82</v>
      </c>
      <c r="D594" s="66" t="s">
        <v>1444</v>
      </c>
      <c r="E594" s="59" t="s">
        <v>674</v>
      </c>
      <c r="F594" s="60">
        <v>511357.63</v>
      </c>
      <c r="G594" s="60">
        <v>166426.62</v>
      </c>
      <c r="H594" s="60">
        <v>344931.01</v>
      </c>
      <c r="I594" s="59"/>
      <c r="J594" s="60">
        <v>14472</v>
      </c>
      <c r="K594" s="59"/>
      <c r="L594" s="59"/>
      <c r="M594" s="60">
        <v>511357.63</v>
      </c>
      <c r="N594" s="60">
        <v>180898.62</v>
      </c>
      <c r="O594" s="60">
        <v>330459.01</v>
      </c>
      <c r="P594" s="55">
        <v>337695.01</v>
      </c>
      <c r="Q594" s="55">
        <f t="shared" si="244"/>
        <v>7429.2902200000008</v>
      </c>
      <c r="R594" s="61">
        <f t="shared" ref="R594:R657" si="249">J594/12</f>
        <v>1206</v>
      </c>
      <c r="S594" s="60">
        <v>1206</v>
      </c>
      <c r="T594" s="60">
        <v>1206</v>
      </c>
      <c r="U594" s="60">
        <v>1206</v>
      </c>
      <c r="V594" s="60">
        <v>1206</v>
      </c>
      <c r="W594" s="60">
        <v>1206</v>
      </c>
      <c r="X594" s="61">
        <f t="shared" ref="X594:X657" si="250">R594+S594+T594+U594+V594+W594</f>
        <v>7236</v>
      </c>
      <c r="Y594" s="60">
        <v>1206</v>
      </c>
      <c r="Z594" s="60">
        <v>1206</v>
      </c>
      <c r="AA594" s="60">
        <v>1206</v>
      </c>
      <c r="AB594" s="60">
        <v>1206</v>
      </c>
      <c r="AC594" s="60">
        <v>1206</v>
      </c>
      <c r="AD594" s="60">
        <v>1206</v>
      </c>
      <c r="AE594" s="61">
        <f t="shared" ref="AE594:AE657" si="251">Y594+Z594+AA594+AB594+AC594+AD594</f>
        <v>7236</v>
      </c>
      <c r="AF594" s="62">
        <f t="shared" si="236"/>
        <v>511357.63</v>
      </c>
      <c r="AG594" s="62">
        <f t="shared" si="233"/>
        <v>195370.62</v>
      </c>
      <c r="AH594" s="62">
        <f t="shared" si="225"/>
        <v>315987.01</v>
      </c>
      <c r="AI594" s="63">
        <v>323223.00999999989</v>
      </c>
      <c r="AJ594" s="63">
        <f t="shared" si="245"/>
        <v>7110.906219999998</v>
      </c>
      <c r="AK594" s="72">
        <f t="shared" si="246"/>
        <v>7110.906219999998</v>
      </c>
      <c r="AL594" s="60">
        <v>1206</v>
      </c>
      <c r="AM594" s="60">
        <v>1206</v>
      </c>
      <c r="AN594" s="60">
        <v>1206</v>
      </c>
      <c r="AO594" s="60">
        <v>1206</v>
      </c>
      <c r="AP594" s="60">
        <v>1206</v>
      </c>
      <c r="AQ594" s="60">
        <v>1206</v>
      </c>
      <c r="AR594" s="61">
        <f t="shared" ref="AR594:AR657" si="252">AL594+AM594+AN594+AO594+AP594+AQ594</f>
        <v>7236</v>
      </c>
      <c r="AS594" s="60">
        <v>1206</v>
      </c>
      <c r="AT594" s="60">
        <v>1206</v>
      </c>
      <c r="AU594" s="60">
        <v>1206</v>
      </c>
      <c r="AV594" s="60">
        <v>1206</v>
      </c>
      <c r="AW594" s="60">
        <v>1206</v>
      </c>
      <c r="AX594" s="60">
        <v>1206</v>
      </c>
      <c r="AY594" s="61">
        <f t="shared" ref="AY594:AY657" si="253">AS594+AT594+AU594+AV594+AW594+AX594</f>
        <v>7236</v>
      </c>
      <c r="AZ594" s="56">
        <f t="shared" si="248"/>
        <v>14472</v>
      </c>
      <c r="BA594" s="62">
        <f t="shared" si="237"/>
        <v>511357.63</v>
      </c>
      <c r="BB594" s="62">
        <f t="shared" ref="BB594:BB657" si="254">AG594+AL594+AM594+AN594+AO594+AP594+AQ594+AS594+AT594+AU594+AV594+AW594+AX594</f>
        <v>209842.62</v>
      </c>
      <c r="BC594" s="62">
        <f t="shared" si="238"/>
        <v>301515.01</v>
      </c>
      <c r="BD594" s="63">
        <v>308751.00999999989</v>
      </c>
      <c r="BE594" s="57">
        <f t="shared" si="247"/>
        <v>6792.522219999998</v>
      </c>
      <c r="BF594" s="35" t="str">
        <f>VLOOKUP(A:A,'2023-2027'!A:G,1,+FALSE)</f>
        <v>ВЛ-0,4кВ (от ТП Бондарная до очистных) 240м</v>
      </c>
      <c r="BG594" s="7" t="b">
        <f t="shared" si="231"/>
        <v>1</v>
      </c>
      <c r="BH594" s="35">
        <f>VLOOKUP(A:A,'2023-2027'!A:AT,43,+FALSE)</f>
        <v>1216.7700000000002</v>
      </c>
    </row>
    <row r="595" spans="1:60" ht="24" hidden="1" customHeight="1" outlineLevel="1" x14ac:dyDescent="0.2">
      <c r="A595" s="59" t="s">
        <v>1445</v>
      </c>
      <c r="B595" s="59" t="s">
        <v>44</v>
      </c>
      <c r="C595" s="59" t="s">
        <v>82</v>
      </c>
      <c r="D595" s="65" t="s">
        <v>1446</v>
      </c>
      <c r="E595" s="59" t="s">
        <v>237</v>
      </c>
      <c r="F595" s="60">
        <v>41907.769999999997</v>
      </c>
      <c r="G595" s="60">
        <v>11059.2</v>
      </c>
      <c r="H595" s="60">
        <v>30848.57</v>
      </c>
      <c r="I595" s="59"/>
      <c r="J595" s="60">
        <v>1105.92</v>
      </c>
      <c r="K595" s="59"/>
      <c r="L595" s="59"/>
      <c r="M595" s="60">
        <v>41907.769999999997</v>
      </c>
      <c r="N595" s="60">
        <v>12165.12</v>
      </c>
      <c r="O595" s="60">
        <v>29742.65</v>
      </c>
      <c r="P595" s="55">
        <v>30295.61</v>
      </c>
      <c r="Q595" s="55">
        <f t="shared" si="244"/>
        <v>666.50342000000012</v>
      </c>
      <c r="R595" s="61">
        <f t="shared" si="249"/>
        <v>92.160000000000011</v>
      </c>
      <c r="S595" s="60">
        <v>92.16</v>
      </c>
      <c r="T595" s="60">
        <v>92.16</v>
      </c>
      <c r="U595" s="60">
        <v>92.16</v>
      </c>
      <c r="V595" s="60">
        <v>92.16</v>
      </c>
      <c r="W595" s="60">
        <v>92.16</v>
      </c>
      <c r="X595" s="61">
        <f t="shared" si="250"/>
        <v>552.95999999999992</v>
      </c>
      <c r="Y595" s="60">
        <v>92.16</v>
      </c>
      <c r="Z595" s="60">
        <v>92.16</v>
      </c>
      <c r="AA595" s="60">
        <v>92.16</v>
      </c>
      <c r="AB595" s="60">
        <v>92.16</v>
      </c>
      <c r="AC595" s="60">
        <v>92.16</v>
      </c>
      <c r="AD595" s="60">
        <v>92.16</v>
      </c>
      <c r="AE595" s="61">
        <f t="shared" si="251"/>
        <v>552.95999999999992</v>
      </c>
      <c r="AF595" s="62">
        <f t="shared" si="236"/>
        <v>41907.769999999997</v>
      </c>
      <c r="AG595" s="62">
        <f t="shared" si="233"/>
        <v>13271.039999999999</v>
      </c>
      <c r="AH595" s="62">
        <f t="shared" ref="AH595:AH658" si="255">AF595-AG595</f>
        <v>28636.729999999996</v>
      </c>
      <c r="AI595" s="63">
        <v>29189.690000000002</v>
      </c>
      <c r="AJ595" s="63">
        <f t="shared" si="245"/>
        <v>642.17318000000012</v>
      </c>
      <c r="AK595" s="72">
        <f t="shared" si="246"/>
        <v>642.17318000000012</v>
      </c>
      <c r="AL595" s="60">
        <v>92.16</v>
      </c>
      <c r="AM595" s="60">
        <v>92.16</v>
      </c>
      <c r="AN595" s="60">
        <v>92.16</v>
      </c>
      <c r="AO595" s="60">
        <v>92.16</v>
      </c>
      <c r="AP595" s="60">
        <v>92.16</v>
      </c>
      <c r="AQ595" s="60">
        <v>92.16</v>
      </c>
      <c r="AR595" s="61">
        <f t="shared" si="252"/>
        <v>552.95999999999992</v>
      </c>
      <c r="AS595" s="60">
        <v>92.16</v>
      </c>
      <c r="AT595" s="60">
        <v>92.16</v>
      </c>
      <c r="AU595" s="60">
        <v>92.16</v>
      </c>
      <c r="AV595" s="60">
        <v>92.16</v>
      </c>
      <c r="AW595" s="60">
        <v>92.16</v>
      </c>
      <c r="AX595" s="60">
        <v>92.16</v>
      </c>
      <c r="AY595" s="61">
        <f t="shared" si="253"/>
        <v>552.95999999999992</v>
      </c>
      <c r="AZ595" s="56">
        <f t="shared" si="248"/>
        <v>1105.9199999999998</v>
      </c>
      <c r="BA595" s="62">
        <f t="shared" si="237"/>
        <v>41907.769999999997</v>
      </c>
      <c r="BB595" s="62">
        <f t="shared" si="254"/>
        <v>14376.959999999997</v>
      </c>
      <c r="BC595" s="62">
        <f t="shared" si="238"/>
        <v>27530.809999999998</v>
      </c>
      <c r="BD595" s="63">
        <v>28083.770000000004</v>
      </c>
      <c r="BE595" s="57">
        <f t="shared" si="247"/>
        <v>617.84294000000011</v>
      </c>
      <c r="BF595" s="35" t="e">
        <f>VLOOKUP(A:A,'2023-2027'!A:G,1,+FALSE)</f>
        <v>#N/A</v>
      </c>
      <c r="BG595" s="7" t="e">
        <f t="shared" si="231"/>
        <v>#N/A</v>
      </c>
      <c r="BH595" s="35"/>
    </row>
    <row r="596" spans="1:60" ht="36" hidden="1" customHeight="1" outlineLevel="1" x14ac:dyDescent="0.2">
      <c r="A596" s="59" t="s">
        <v>1447</v>
      </c>
      <c r="B596" s="59" t="s">
        <v>44</v>
      </c>
      <c r="C596" s="59" t="s">
        <v>82</v>
      </c>
      <c r="D596" s="66" t="s">
        <v>1448</v>
      </c>
      <c r="E596" s="59" t="s">
        <v>505</v>
      </c>
      <c r="F596" s="60">
        <v>11037518.26</v>
      </c>
      <c r="G596" s="60">
        <v>274152.96000000002</v>
      </c>
      <c r="H596" s="60">
        <v>10763365.300000001</v>
      </c>
      <c r="I596" s="59"/>
      <c r="J596" s="60">
        <v>274152.96000000002</v>
      </c>
      <c r="K596" s="59"/>
      <c r="L596" s="59"/>
      <c r="M596" s="60">
        <v>11037518.26</v>
      </c>
      <c r="N596" s="60">
        <v>548305.92000000004</v>
      </c>
      <c r="O596" s="60">
        <v>10489212.34</v>
      </c>
      <c r="P596" s="55">
        <v>10626288.810000001</v>
      </c>
      <c r="Q596" s="55">
        <f t="shared" si="244"/>
        <v>233778.35382000005</v>
      </c>
      <c r="R596" s="61">
        <f t="shared" si="249"/>
        <v>22846.080000000002</v>
      </c>
      <c r="S596" s="60">
        <v>22846.080000000002</v>
      </c>
      <c r="T596" s="60">
        <v>22846.080000000002</v>
      </c>
      <c r="U596" s="60">
        <v>22846.080000000002</v>
      </c>
      <c r="V596" s="60">
        <v>22846.080000000002</v>
      </c>
      <c r="W596" s="60">
        <v>22846.080000000002</v>
      </c>
      <c r="X596" s="61">
        <f t="shared" si="250"/>
        <v>137076.48000000001</v>
      </c>
      <c r="Y596" s="60">
        <v>22846.080000000002</v>
      </c>
      <c r="Z596" s="60">
        <v>22846.080000000002</v>
      </c>
      <c r="AA596" s="60">
        <v>22846.080000000002</v>
      </c>
      <c r="AB596" s="60">
        <v>22846.080000000002</v>
      </c>
      <c r="AC596" s="60">
        <v>22846.080000000002</v>
      </c>
      <c r="AD596" s="60">
        <v>22846.080000000002</v>
      </c>
      <c r="AE596" s="61">
        <f t="shared" si="251"/>
        <v>137076.48000000001</v>
      </c>
      <c r="AF596" s="62">
        <f t="shared" si="236"/>
        <v>11037518.26</v>
      </c>
      <c r="AG596" s="62">
        <f t="shared" si="233"/>
        <v>822458.87999999954</v>
      </c>
      <c r="AH596" s="62">
        <f t="shared" si="255"/>
        <v>10215059.380000001</v>
      </c>
      <c r="AI596" s="63">
        <v>10352135.860000001</v>
      </c>
      <c r="AJ596" s="63">
        <f t="shared" si="245"/>
        <v>227746.98892000006</v>
      </c>
      <c r="AK596" s="72">
        <f t="shared" si="246"/>
        <v>227746.98892000006</v>
      </c>
      <c r="AL596" s="60">
        <v>22846.080000000002</v>
      </c>
      <c r="AM596" s="60">
        <v>22846.080000000002</v>
      </c>
      <c r="AN596" s="60">
        <v>22846.080000000002</v>
      </c>
      <c r="AO596" s="60">
        <v>22846.080000000002</v>
      </c>
      <c r="AP596" s="60">
        <v>22846.080000000002</v>
      </c>
      <c r="AQ596" s="60">
        <v>22846.080000000002</v>
      </c>
      <c r="AR596" s="61">
        <f t="shared" si="252"/>
        <v>137076.48000000001</v>
      </c>
      <c r="AS596" s="60">
        <v>22846.080000000002</v>
      </c>
      <c r="AT596" s="60">
        <v>22846.080000000002</v>
      </c>
      <c r="AU596" s="60">
        <v>22846.080000000002</v>
      </c>
      <c r="AV596" s="60">
        <v>22846.080000000002</v>
      </c>
      <c r="AW596" s="60">
        <v>22846.080000000002</v>
      </c>
      <c r="AX596" s="60">
        <v>22846.080000000002</v>
      </c>
      <c r="AY596" s="61">
        <f t="shared" si="253"/>
        <v>137076.48000000001</v>
      </c>
      <c r="AZ596" s="56">
        <f t="shared" si="248"/>
        <v>274152.96000000002</v>
      </c>
      <c r="BA596" s="62">
        <f t="shared" si="237"/>
        <v>11037518.26</v>
      </c>
      <c r="BB596" s="62">
        <f t="shared" si="254"/>
        <v>1096611.8399999994</v>
      </c>
      <c r="BC596" s="62">
        <f t="shared" si="238"/>
        <v>9940906.4199999999</v>
      </c>
      <c r="BD596" s="63">
        <v>10077982.899999999</v>
      </c>
      <c r="BE596" s="57">
        <f t="shared" si="247"/>
        <v>221715.6238</v>
      </c>
      <c r="BF596" s="35" t="str">
        <f>VLOOKUP(A:A,'2023-2027'!A:G,1,+FALSE)</f>
        <v>ВЛ-0,4кВ от ТП22 "Поселок РБК", г.Нарьян-Мар, Ненецкий автономный округ</v>
      </c>
      <c r="BG596" s="7" t="b">
        <f t="shared" si="231"/>
        <v>1</v>
      </c>
      <c r="BH596" s="35">
        <f>VLOOKUP(A:A,'2023-2027'!A:AT,43,+FALSE)</f>
        <v>22994.830000000005</v>
      </c>
    </row>
    <row r="597" spans="1:60" ht="36" hidden="1" customHeight="1" outlineLevel="1" x14ac:dyDescent="0.2">
      <c r="A597" s="59" t="s">
        <v>1449</v>
      </c>
      <c r="B597" s="59" t="s">
        <v>44</v>
      </c>
      <c r="C597" s="59" t="s">
        <v>82</v>
      </c>
      <c r="D597" s="65" t="s">
        <v>1450</v>
      </c>
      <c r="E597" s="59" t="s">
        <v>237</v>
      </c>
      <c r="F597" s="60">
        <v>163009.82999999999</v>
      </c>
      <c r="G597" s="60">
        <v>45505.2</v>
      </c>
      <c r="H597" s="60">
        <v>117504.63</v>
      </c>
      <c r="I597" s="59"/>
      <c r="J597" s="60">
        <v>4550.6400000000003</v>
      </c>
      <c r="K597" s="59"/>
      <c r="L597" s="59"/>
      <c r="M597" s="60">
        <v>163009.82999999999</v>
      </c>
      <c r="N597" s="60">
        <v>50055.839999999997</v>
      </c>
      <c r="O597" s="60">
        <v>112953.99</v>
      </c>
      <c r="P597" s="55">
        <v>115229.31</v>
      </c>
      <c r="Q597" s="55">
        <f t="shared" si="244"/>
        <v>2535.0448200000001</v>
      </c>
      <c r="R597" s="61">
        <f t="shared" si="249"/>
        <v>379.22</v>
      </c>
      <c r="S597" s="60">
        <v>379.22</v>
      </c>
      <c r="T597" s="60">
        <v>379.22</v>
      </c>
      <c r="U597" s="60">
        <v>379.22</v>
      </c>
      <c r="V597" s="60">
        <v>379.22</v>
      </c>
      <c r="W597" s="60">
        <v>379.22</v>
      </c>
      <c r="X597" s="61">
        <f t="shared" si="250"/>
        <v>2275.3200000000002</v>
      </c>
      <c r="Y597" s="60">
        <v>379.22</v>
      </c>
      <c r="Z597" s="60">
        <v>379.22</v>
      </c>
      <c r="AA597" s="60">
        <v>379.22</v>
      </c>
      <c r="AB597" s="60">
        <v>379.22</v>
      </c>
      <c r="AC597" s="60">
        <v>379.22</v>
      </c>
      <c r="AD597" s="60">
        <v>379.22</v>
      </c>
      <c r="AE597" s="61">
        <f t="shared" si="251"/>
        <v>2275.3200000000002</v>
      </c>
      <c r="AF597" s="62">
        <f t="shared" si="236"/>
        <v>163009.82999999999</v>
      </c>
      <c r="AG597" s="62">
        <f t="shared" si="233"/>
        <v>54606.48000000001</v>
      </c>
      <c r="AH597" s="62">
        <f t="shared" si="255"/>
        <v>108403.34999999998</v>
      </c>
      <c r="AI597" s="63">
        <v>110678.67000000001</v>
      </c>
      <c r="AJ597" s="63">
        <f t="shared" si="245"/>
        <v>2434.9307400000007</v>
      </c>
      <c r="AK597" s="72">
        <f t="shared" si="246"/>
        <v>2434.9307400000007</v>
      </c>
      <c r="AL597" s="60">
        <v>379.22</v>
      </c>
      <c r="AM597" s="60">
        <v>379.22</v>
      </c>
      <c r="AN597" s="60">
        <v>379.22</v>
      </c>
      <c r="AO597" s="60">
        <v>379.22</v>
      </c>
      <c r="AP597" s="60">
        <v>379.22</v>
      </c>
      <c r="AQ597" s="60">
        <v>379.22</v>
      </c>
      <c r="AR597" s="61">
        <f t="shared" si="252"/>
        <v>2275.3200000000002</v>
      </c>
      <c r="AS597" s="60">
        <v>379.22</v>
      </c>
      <c r="AT597" s="60">
        <v>379.22</v>
      </c>
      <c r="AU597" s="60">
        <v>379.22</v>
      </c>
      <c r="AV597" s="60">
        <v>379.22</v>
      </c>
      <c r="AW597" s="60">
        <v>379.22</v>
      </c>
      <c r="AX597" s="60">
        <v>379.22</v>
      </c>
      <c r="AY597" s="61">
        <f t="shared" si="253"/>
        <v>2275.3200000000002</v>
      </c>
      <c r="AZ597" s="56">
        <f t="shared" si="248"/>
        <v>4550.6400000000003</v>
      </c>
      <c r="BA597" s="62">
        <f t="shared" si="237"/>
        <v>163009.82999999999</v>
      </c>
      <c r="BB597" s="62">
        <f t="shared" si="254"/>
        <v>59157.120000000024</v>
      </c>
      <c r="BC597" s="62">
        <f t="shared" si="238"/>
        <v>103852.70999999996</v>
      </c>
      <c r="BD597" s="63">
        <v>106128.02999999997</v>
      </c>
      <c r="BE597" s="57">
        <f t="shared" si="247"/>
        <v>2334.8166599999995</v>
      </c>
      <c r="BF597" s="35" t="e">
        <f>VLOOKUP(A:A,'2023-2027'!A:G,1,+FALSE)</f>
        <v>#N/A</v>
      </c>
      <c r="BG597" s="7" t="e">
        <f t="shared" si="231"/>
        <v>#N/A</v>
      </c>
      <c r="BH597" s="35"/>
    </row>
    <row r="598" spans="1:60" ht="12" hidden="1" customHeight="1" outlineLevel="1" x14ac:dyDescent="0.2">
      <c r="A598" s="59" t="s">
        <v>1451</v>
      </c>
      <c r="B598" s="59" t="s">
        <v>44</v>
      </c>
      <c r="C598" s="59" t="s">
        <v>82</v>
      </c>
      <c r="D598" s="66" t="s">
        <v>1452</v>
      </c>
      <c r="E598" s="59" t="s">
        <v>1442</v>
      </c>
      <c r="F598" s="60">
        <v>438055.37</v>
      </c>
      <c r="G598" s="60">
        <v>142918.20000000001</v>
      </c>
      <c r="H598" s="60">
        <v>295137.17</v>
      </c>
      <c r="I598" s="59"/>
      <c r="J598" s="60">
        <v>28583.759999999998</v>
      </c>
      <c r="K598" s="59"/>
      <c r="L598" s="59"/>
      <c r="M598" s="60">
        <v>438055.37</v>
      </c>
      <c r="N598" s="60">
        <v>171501.96</v>
      </c>
      <c r="O598" s="60">
        <v>266553.40999999997</v>
      </c>
      <c r="P598" s="55">
        <v>280845.28999999998</v>
      </c>
      <c r="Q598" s="55">
        <f t="shared" si="244"/>
        <v>6178.59638</v>
      </c>
      <c r="R598" s="61">
        <f t="shared" si="249"/>
        <v>2381.98</v>
      </c>
      <c r="S598" s="60">
        <v>2381.98</v>
      </c>
      <c r="T598" s="60">
        <v>2381.98</v>
      </c>
      <c r="U598" s="60">
        <v>2381.98</v>
      </c>
      <c r="V598" s="60">
        <v>2381.98</v>
      </c>
      <c r="W598" s="60">
        <v>2381.98</v>
      </c>
      <c r="X598" s="61">
        <f t="shared" si="250"/>
        <v>14291.88</v>
      </c>
      <c r="Y598" s="60">
        <v>2381.98</v>
      </c>
      <c r="Z598" s="60">
        <v>2381.98</v>
      </c>
      <c r="AA598" s="60">
        <v>2381.98</v>
      </c>
      <c r="AB598" s="60">
        <v>2381.98</v>
      </c>
      <c r="AC598" s="60">
        <v>2381.98</v>
      </c>
      <c r="AD598" s="60">
        <v>2381.98</v>
      </c>
      <c r="AE598" s="61">
        <f t="shared" si="251"/>
        <v>14291.88</v>
      </c>
      <c r="AF598" s="62">
        <f t="shared" si="236"/>
        <v>438055.37</v>
      </c>
      <c r="AG598" s="62">
        <f t="shared" si="233"/>
        <v>200085.72000000012</v>
      </c>
      <c r="AH598" s="62">
        <f t="shared" si="255"/>
        <v>237969.64999999988</v>
      </c>
      <c r="AI598" s="63">
        <v>252261.53000000012</v>
      </c>
      <c r="AJ598" s="63">
        <f t="shared" si="245"/>
        <v>5549.753660000003</v>
      </c>
      <c r="AK598" s="72">
        <f t="shared" si="246"/>
        <v>5549.753660000003</v>
      </c>
      <c r="AL598" s="60">
        <v>2381.98</v>
      </c>
      <c r="AM598" s="60">
        <v>2381.98</v>
      </c>
      <c r="AN598" s="60">
        <v>2381.98</v>
      </c>
      <c r="AO598" s="60">
        <v>2381.98</v>
      </c>
      <c r="AP598" s="60">
        <v>2381.98</v>
      </c>
      <c r="AQ598" s="60">
        <v>2381.98</v>
      </c>
      <c r="AR598" s="61">
        <f t="shared" si="252"/>
        <v>14291.88</v>
      </c>
      <c r="AS598" s="60">
        <v>2381.98</v>
      </c>
      <c r="AT598" s="60">
        <v>2381.98</v>
      </c>
      <c r="AU598" s="60">
        <v>2381.98</v>
      </c>
      <c r="AV598" s="60">
        <v>2381.98</v>
      </c>
      <c r="AW598" s="60">
        <v>2381.98</v>
      </c>
      <c r="AX598" s="60">
        <v>2381.98</v>
      </c>
      <c r="AY598" s="61">
        <f t="shared" si="253"/>
        <v>14291.88</v>
      </c>
      <c r="AZ598" s="56">
        <f t="shared" si="248"/>
        <v>28583.759999999998</v>
      </c>
      <c r="BA598" s="62">
        <f t="shared" si="237"/>
        <v>438055.37</v>
      </c>
      <c r="BB598" s="62">
        <f t="shared" si="254"/>
        <v>228669.48000000024</v>
      </c>
      <c r="BC598" s="62">
        <f t="shared" si="238"/>
        <v>209385.88999999975</v>
      </c>
      <c r="BD598" s="63">
        <v>223677.77000000034</v>
      </c>
      <c r="BE598" s="57">
        <f t="shared" si="247"/>
        <v>4920.9109400000079</v>
      </c>
      <c r="BF598" s="35" t="str">
        <f>VLOOKUP(A:A,'2023-2027'!A:G,1,+FALSE)</f>
        <v>ВЛ-6кВ "Малый Качгорт"</v>
      </c>
      <c r="BG598" s="7" t="b">
        <f t="shared" ref="BG598:BG661" si="256">OR(EXACT(BF598,$A$4:$A$1071))</f>
        <v>1</v>
      </c>
      <c r="BH598" s="35">
        <f>VLOOKUP(A:A,'2023-2027'!A:AT,43,+FALSE)</f>
        <v>2433.64</v>
      </c>
    </row>
    <row r="599" spans="1:60" ht="12" hidden="1" customHeight="1" outlineLevel="1" x14ac:dyDescent="0.2">
      <c r="A599" s="59" t="s">
        <v>1453</v>
      </c>
      <c r="B599" s="59" t="s">
        <v>44</v>
      </c>
      <c r="C599" s="59" t="s">
        <v>82</v>
      </c>
      <c r="D599" s="65" t="s">
        <v>1454</v>
      </c>
      <c r="E599" s="59" t="s">
        <v>614</v>
      </c>
      <c r="F599" s="60">
        <v>113423.5</v>
      </c>
      <c r="G599" s="60">
        <v>47082</v>
      </c>
      <c r="H599" s="60">
        <v>66341.5</v>
      </c>
      <c r="I599" s="59"/>
      <c r="J599" s="60">
        <v>4248.12</v>
      </c>
      <c r="K599" s="59"/>
      <c r="L599" s="59"/>
      <c r="M599" s="60">
        <v>113423.5</v>
      </c>
      <c r="N599" s="60">
        <v>51330.12</v>
      </c>
      <c r="O599" s="60">
        <v>62093.38</v>
      </c>
      <c r="P599" s="55">
        <v>64217.440000000002</v>
      </c>
      <c r="Q599" s="55">
        <f t="shared" si="244"/>
        <v>1412.7836800000002</v>
      </c>
      <c r="R599" s="61">
        <f t="shared" si="249"/>
        <v>354.01</v>
      </c>
      <c r="S599" s="60">
        <v>354.01</v>
      </c>
      <c r="T599" s="60">
        <v>354.01</v>
      </c>
      <c r="U599" s="60">
        <v>354.01</v>
      </c>
      <c r="V599" s="60">
        <v>354.01</v>
      </c>
      <c r="W599" s="60">
        <v>354.01</v>
      </c>
      <c r="X599" s="61">
        <f t="shared" si="250"/>
        <v>2124.06</v>
      </c>
      <c r="Y599" s="60">
        <v>354.01</v>
      </c>
      <c r="Z599" s="60">
        <v>354.01</v>
      </c>
      <c r="AA599" s="60">
        <v>354.01</v>
      </c>
      <c r="AB599" s="60">
        <v>354.01</v>
      </c>
      <c r="AC599" s="60">
        <v>354.01</v>
      </c>
      <c r="AD599" s="60">
        <v>354.01</v>
      </c>
      <c r="AE599" s="61">
        <f t="shared" si="251"/>
        <v>2124.06</v>
      </c>
      <c r="AF599" s="62">
        <f t="shared" si="236"/>
        <v>113423.5</v>
      </c>
      <c r="AG599" s="62">
        <f t="shared" si="233"/>
        <v>55578.240000000027</v>
      </c>
      <c r="AH599" s="62">
        <f t="shared" si="255"/>
        <v>57845.259999999973</v>
      </c>
      <c r="AI599" s="63">
        <v>59969.320000000022</v>
      </c>
      <c r="AJ599" s="63">
        <f t="shared" si="245"/>
        <v>1319.3250400000006</v>
      </c>
      <c r="AK599" s="72">
        <f t="shared" si="246"/>
        <v>1319.3250400000006</v>
      </c>
      <c r="AL599" s="60">
        <v>354.01</v>
      </c>
      <c r="AM599" s="60">
        <v>354.01</v>
      </c>
      <c r="AN599" s="60">
        <v>354.01</v>
      </c>
      <c r="AO599" s="60">
        <v>354.01</v>
      </c>
      <c r="AP599" s="60">
        <v>354.01</v>
      </c>
      <c r="AQ599" s="60">
        <v>354.01</v>
      </c>
      <c r="AR599" s="61">
        <f t="shared" si="252"/>
        <v>2124.06</v>
      </c>
      <c r="AS599" s="60">
        <v>354.01</v>
      </c>
      <c r="AT599" s="60">
        <v>354.01</v>
      </c>
      <c r="AU599" s="60">
        <v>354.01</v>
      </c>
      <c r="AV599" s="60">
        <v>354.01</v>
      </c>
      <c r="AW599" s="60">
        <v>354.01</v>
      </c>
      <c r="AX599" s="60">
        <v>354.01</v>
      </c>
      <c r="AY599" s="61">
        <f t="shared" si="253"/>
        <v>2124.06</v>
      </c>
      <c r="AZ599" s="56">
        <f t="shared" si="248"/>
        <v>4248.12</v>
      </c>
      <c r="BA599" s="62">
        <f t="shared" si="237"/>
        <v>113423.5</v>
      </c>
      <c r="BB599" s="62">
        <f t="shared" si="254"/>
        <v>59826.360000000052</v>
      </c>
      <c r="BC599" s="62">
        <f t="shared" si="238"/>
        <v>53597.139999999948</v>
      </c>
      <c r="BD599" s="63">
        <v>55721.200000000099</v>
      </c>
      <c r="BE599" s="57">
        <f t="shared" si="247"/>
        <v>1225.8664000000024</v>
      </c>
      <c r="BF599" s="35" t="e">
        <f>VLOOKUP(A:A,'2023-2027'!A:G,1,+FALSE)</f>
        <v>#N/A</v>
      </c>
      <c r="BG599" s="7" t="e">
        <f t="shared" si="256"/>
        <v>#N/A</v>
      </c>
      <c r="BH599" s="35"/>
    </row>
    <row r="600" spans="1:60" ht="12" hidden="1" customHeight="1" outlineLevel="1" x14ac:dyDescent="0.2">
      <c r="A600" s="59" t="s">
        <v>99</v>
      </c>
      <c r="B600" s="59" t="s">
        <v>44</v>
      </c>
      <c r="C600" s="59" t="s">
        <v>82</v>
      </c>
      <c r="D600" s="65" t="s">
        <v>1455</v>
      </c>
      <c r="E600" s="59" t="s">
        <v>1456</v>
      </c>
      <c r="F600" s="59"/>
      <c r="G600" s="59"/>
      <c r="H600" s="59"/>
      <c r="I600" s="60">
        <v>1751712.82</v>
      </c>
      <c r="J600" s="59"/>
      <c r="K600" s="59"/>
      <c r="L600" s="59"/>
      <c r="M600" s="60">
        <v>1751712.82</v>
      </c>
      <c r="N600" s="59"/>
      <c r="O600" s="60">
        <v>1751712.82</v>
      </c>
      <c r="P600" s="55">
        <v>134747.14000000001</v>
      </c>
      <c r="Q600" s="55">
        <f t="shared" si="244"/>
        <v>2964.4370800000006</v>
      </c>
      <c r="R600" s="61">
        <f t="shared" si="249"/>
        <v>0</v>
      </c>
      <c r="S600" s="60">
        <v>0</v>
      </c>
      <c r="T600" s="60">
        <v>0</v>
      </c>
      <c r="U600" s="60">
        <v>0</v>
      </c>
      <c r="V600" s="60">
        <v>0</v>
      </c>
      <c r="W600" s="60">
        <v>0</v>
      </c>
      <c r="X600" s="61">
        <f t="shared" si="250"/>
        <v>0</v>
      </c>
      <c r="Y600" s="60">
        <v>0</v>
      </c>
      <c r="Z600" s="60">
        <v>0</v>
      </c>
      <c r="AA600" s="60">
        <v>0</v>
      </c>
      <c r="AB600" s="60">
        <v>0</v>
      </c>
      <c r="AC600" s="60">
        <v>0</v>
      </c>
      <c r="AD600" s="60">
        <v>0</v>
      </c>
      <c r="AE600" s="61">
        <f t="shared" si="251"/>
        <v>0</v>
      </c>
      <c r="AF600" s="62">
        <f t="shared" si="236"/>
        <v>1751712.82</v>
      </c>
      <c r="AG600" s="62">
        <f t="shared" si="233"/>
        <v>0</v>
      </c>
      <c r="AH600" s="62">
        <f t="shared" si="255"/>
        <v>1751712.82</v>
      </c>
      <c r="AI600" s="63">
        <v>1751712.82</v>
      </c>
      <c r="AJ600" s="63">
        <f t="shared" si="245"/>
        <v>38537.682040000007</v>
      </c>
      <c r="AK600" s="72">
        <f t="shared" si="246"/>
        <v>38537.682040000007</v>
      </c>
      <c r="AL600" s="60">
        <v>0</v>
      </c>
      <c r="AM600" s="60">
        <v>0</v>
      </c>
      <c r="AN600" s="60">
        <v>0</v>
      </c>
      <c r="AO600" s="60">
        <v>0</v>
      </c>
      <c r="AP600" s="60">
        <v>0</v>
      </c>
      <c r="AQ600" s="60">
        <v>0</v>
      </c>
      <c r="AR600" s="61">
        <f t="shared" si="252"/>
        <v>0</v>
      </c>
      <c r="AS600" s="60">
        <v>0</v>
      </c>
      <c r="AT600" s="60">
        <v>0</v>
      </c>
      <c r="AU600" s="60">
        <v>0</v>
      </c>
      <c r="AV600" s="60">
        <v>0</v>
      </c>
      <c r="AW600" s="60">
        <v>0</v>
      </c>
      <c r="AX600" s="60">
        <v>0</v>
      </c>
      <c r="AY600" s="61">
        <f t="shared" si="253"/>
        <v>0</v>
      </c>
      <c r="AZ600" s="56">
        <f t="shared" si="248"/>
        <v>0</v>
      </c>
      <c r="BA600" s="62">
        <f t="shared" si="237"/>
        <v>1751712.82</v>
      </c>
      <c r="BB600" s="62">
        <f t="shared" si="254"/>
        <v>0</v>
      </c>
      <c r="BC600" s="62">
        <f t="shared" si="238"/>
        <v>1751712.82</v>
      </c>
      <c r="BD600" s="63">
        <v>1751712.82</v>
      </c>
      <c r="BE600" s="57">
        <f t="shared" si="247"/>
        <v>38537.682040000007</v>
      </c>
      <c r="BF600" s="35" t="str">
        <f>VLOOKUP(A:A,'2023-2027'!A:G,1,+FALSE)</f>
        <v>Трансформаторная подстанция ТП-56/1 с питающими кабельными линиями 6 кв в г. Нарьян-Маре ВЛЗ-6 Кв</v>
      </c>
      <c r="BG600" s="7" t="b">
        <f t="shared" si="256"/>
        <v>1</v>
      </c>
      <c r="BH600" s="35">
        <f>VLOOKUP(A:A,'2023-2027'!A:AT,43,+FALSE)</f>
        <v>9731.7378888888888</v>
      </c>
    </row>
    <row r="601" spans="1:60" ht="12" hidden="1" customHeight="1" outlineLevel="1" x14ac:dyDescent="0.2">
      <c r="A601" s="59" t="s">
        <v>101</v>
      </c>
      <c r="B601" s="59" t="s">
        <v>44</v>
      </c>
      <c r="C601" s="59" t="s">
        <v>82</v>
      </c>
      <c r="D601" s="65" t="s">
        <v>1457</v>
      </c>
      <c r="E601" s="59" t="s">
        <v>1456</v>
      </c>
      <c r="F601" s="59"/>
      <c r="G601" s="59"/>
      <c r="H601" s="59"/>
      <c r="I601" s="60">
        <v>686511.38</v>
      </c>
      <c r="J601" s="59"/>
      <c r="K601" s="59"/>
      <c r="L601" s="59"/>
      <c r="M601" s="60">
        <v>686511.38</v>
      </c>
      <c r="N601" s="59"/>
      <c r="O601" s="60">
        <v>686511.38</v>
      </c>
      <c r="P601" s="55">
        <v>52808.57</v>
      </c>
      <c r="Q601" s="55">
        <f t="shared" si="244"/>
        <v>1161.78854</v>
      </c>
      <c r="R601" s="61">
        <f t="shared" si="249"/>
        <v>0</v>
      </c>
      <c r="S601" s="60">
        <v>0</v>
      </c>
      <c r="T601" s="60">
        <v>0</v>
      </c>
      <c r="U601" s="60">
        <v>0</v>
      </c>
      <c r="V601" s="60">
        <v>0</v>
      </c>
      <c r="W601" s="60">
        <v>0</v>
      </c>
      <c r="X601" s="61">
        <f t="shared" si="250"/>
        <v>0</v>
      </c>
      <c r="Y601" s="60">
        <v>0</v>
      </c>
      <c r="Z601" s="60">
        <v>0</v>
      </c>
      <c r="AA601" s="60">
        <v>0</v>
      </c>
      <c r="AB601" s="60">
        <v>0</v>
      </c>
      <c r="AC601" s="60">
        <v>0</v>
      </c>
      <c r="AD601" s="60">
        <v>0</v>
      </c>
      <c r="AE601" s="61">
        <f t="shared" si="251"/>
        <v>0</v>
      </c>
      <c r="AF601" s="62">
        <f t="shared" si="236"/>
        <v>686511.38</v>
      </c>
      <c r="AG601" s="62">
        <f t="shared" si="233"/>
        <v>0</v>
      </c>
      <c r="AH601" s="62">
        <f t="shared" si="255"/>
        <v>686511.38</v>
      </c>
      <c r="AI601" s="63">
        <v>686511.38</v>
      </c>
      <c r="AJ601" s="63">
        <f t="shared" si="245"/>
        <v>15103.250360000002</v>
      </c>
      <c r="AK601" s="72">
        <f t="shared" si="246"/>
        <v>15103.250360000002</v>
      </c>
      <c r="AL601" s="60">
        <v>0</v>
      </c>
      <c r="AM601" s="60">
        <v>0</v>
      </c>
      <c r="AN601" s="60">
        <v>0</v>
      </c>
      <c r="AO601" s="60">
        <v>0</v>
      </c>
      <c r="AP601" s="60">
        <v>0</v>
      </c>
      <c r="AQ601" s="60">
        <v>0</v>
      </c>
      <c r="AR601" s="61">
        <f t="shared" si="252"/>
        <v>0</v>
      </c>
      <c r="AS601" s="60">
        <v>0</v>
      </c>
      <c r="AT601" s="60">
        <v>0</v>
      </c>
      <c r="AU601" s="60">
        <v>0</v>
      </c>
      <c r="AV601" s="60">
        <v>0</v>
      </c>
      <c r="AW601" s="60">
        <v>0</v>
      </c>
      <c r="AX601" s="60">
        <v>0</v>
      </c>
      <c r="AY601" s="61">
        <f t="shared" si="253"/>
        <v>0</v>
      </c>
      <c r="AZ601" s="56">
        <f t="shared" si="248"/>
        <v>0</v>
      </c>
      <c r="BA601" s="62">
        <f t="shared" si="237"/>
        <v>686511.38</v>
      </c>
      <c r="BB601" s="62">
        <f t="shared" si="254"/>
        <v>0</v>
      </c>
      <c r="BC601" s="62">
        <f t="shared" si="238"/>
        <v>686511.38</v>
      </c>
      <c r="BD601" s="63">
        <v>686511.38</v>
      </c>
      <c r="BE601" s="57">
        <f t="shared" si="247"/>
        <v>15103.250360000002</v>
      </c>
      <c r="BF601" s="35" t="str">
        <f>VLOOKUP(A:A,'2023-2027'!A:G,1,+FALSE)</f>
        <v>Трансформаторная подстанция ТП-56/1 с питающими кабельными линиями 6 кв в г. Нарьян-Маре ВЛИ-0,4 кВ</v>
      </c>
      <c r="BG601" s="7" t="b">
        <f t="shared" si="256"/>
        <v>1</v>
      </c>
      <c r="BH601" s="35">
        <f>VLOOKUP(A:A,'2023-2027'!A:AT,43,+FALSE)</f>
        <v>3813.9521111111112</v>
      </c>
    </row>
    <row r="602" spans="1:60" ht="24" hidden="1" customHeight="1" outlineLevel="1" x14ac:dyDescent="0.2">
      <c r="A602" s="59" t="s">
        <v>2499</v>
      </c>
      <c r="B602" s="59" t="s">
        <v>44</v>
      </c>
      <c r="C602" s="59" t="s">
        <v>82</v>
      </c>
      <c r="D602" s="66" t="s">
        <v>1458</v>
      </c>
      <c r="E602" s="59" t="s">
        <v>1459</v>
      </c>
      <c r="F602" s="60">
        <v>4978729.8</v>
      </c>
      <c r="G602" s="60">
        <v>567582.4</v>
      </c>
      <c r="H602" s="60">
        <v>4411147.4000000004</v>
      </c>
      <c r="I602" s="59"/>
      <c r="J602" s="60">
        <v>121624.68</v>
      </c>
      <c r="K602" s="59"/>
      <c r="L602" s="59"/>
      <c r="M602" s="60">
        <v>4978729.8</v>
      </c>
      <c r="N602" s="60">
        <v>689207.08</v>
      </c>
      <c r="O602" s="60">
        <v>4289522.72</v>
      </c>
      <c r="P602" s="55">
        <v>4350335.0599999996</v>
      </c>
      <c r="Q602" s="55">
        <f t="shared" si="244"/>
        <v>95707.371320000006</v>
      </c>
      <c r="R602" s="61">
        <f t="shared" si="249"/>
        <v>10135.39</v>
      </c>
      <c r="S602" s="60">
        <v>10135.39</v>
      </c>
      <c r="T602" s="60">
        <v>10135.39</v>
      </c>
      <c r="U602" s="60">
        <v>10135.39</v>
      </c>
      <c r="V602" s="60">
        <v>10135.39</v>
      </c>
      <c r="W602" s="60">
        <v>10135.39</v>
      </c>
      <c r="X602" s="61">
        <f t="shared" si="250"/>
        <v>60812.34</v>
      </c>
      <c r="Y602" s="60">
        <v>10135.39</v>
      </c>
      <c r="Z602" s="60">
        <v>10135.39</v>
      </c>
      <c r="AA602" s="60">
        <v>10135.39</v>
      </c>
      <c r="AB602" s="60">
        <v>10135.39</v>
      </c>
      <c r="AC602" s="60">
        <v>10135.39</v>
      </c>
      <c r="AD602" s="60">
        <v>10135.39</v>
      </c>
      <c r="AE602" s="61">
        <f t="shared" si="251"/>
        <v>60812.34</v>
      </c>
      <c r="AF602" s="62">
        <f t="shared" si="236"/>
        <v>4978729.8</v>
      </c>
      <c r="AG602" s="62">
        <f t="shared" si="233"/>
        <v>810831.76000000013</v>
      </c>
      <c r="AH602" s="62">
        <f t="shared" si="255"/>
        <v>4167898.0399999996</v>
      </c>
      <c r="AI602" s="63">
        <v>4228710.3799999962</v>
      </c>
      <c r="AJ602" s="63">
        <f t="shared" si="245"/>
        <v>93031.62835999993</v>
      </c>
      <c r="AK602" s="72">
        <f t="shared" si="246"/>
        <v>93031.62835999993</v>
      </c>
      <c r="AL602" s="60">
        <v>10135.39</v>
      </c>
      <c r="AM602" s="60">
        <v>10135.39</v>
      </c>
      <c r="AN602" s="60">
        <v>10135.39</v>
      </c>
      <c r="AO602" s="60">
        <v>10135.39</v>
      </c>
      <c r="AP602" s="60">
        <v>10135.39</v>
      </c>
      <c r="AQ602" s="60">
        <v>10135.39</v>
      </c>
      <c r="AR602" s="61">
        <f t="shared" si="252"/>
        <v>60812.34</v>
      </c>
      <c r="AS602" s="60">
        <v>10135.39</v>
      </c>
      <c r="AT602" s="60">
        <v>10135.39</v>
      </c>
      <c r="AU602" s="60">
        <v>10135.39</v>
      </c>
      <c r="AV602" s="60">
        <v>10135.39</v>
      </c>
      <c r="AW602" s="60">
        <v>10135.39</v>
      </c>
      <c r="AX602" s="60">
        <v>10135.39</v>
      </c>
      <c r="AY602" s="61">
        <f t="shared" si="253"/>
        <v>60812.34</v>
      </c>
      <c r="AZ602" s="56">
        <f t="shared" si="248"/>
        <v>121624.68</v>
      </c>
      <c r="BA602" s="62">
        <f t="shared" si="237"/>
        <v>4978729.8</v>
      </c>
      <c r="BB602" s="62">
        <f t="shared" si="254"/>
        <v>932456.44000000029</v>
      </c>
      <c r="BC602" s="62">
        <f t="shared" si="238"/>
        <v>4046273.3599999994</v>
      </c>
      <c r="BD602" s="63">
        <v>4107085.6999999885</v>
      </c>
      <c r="BE602" s="57">
        <f t="shared" si="247"/>
        <v>90355.885399999752</v>
      </c>
      <c r="BF602" s="35" t="str">
        <f>VLOOKUP(A:A,'2023-2027'!A:G,1,+FALSE)</f>
        <v>Электроснабжение земельных участков, предоставленных многодетным семьям под жилищное строительство в пос. Искателей в Ненецком автономном округе</v>
      </c>
      <c r="BG602" s="7" t="b">
        <f t="shared" si="256"/>
        <v>1</v>
      </c>
      <c r="BH602" s="35">
        <f>VLOOKUP(A:A,'2023-2027'!A:AT,43,+FALSE)</f>
        <v>10372.350000000002</v>
      </c>
    </row>
    <row r="603" spans="1:60" ht="36" hidden="1" customHeight="1" outlineLevel="1" x14ac:dyDescent="0.2">
      <c r="A603" s="59" t="s">
        <v>88</v>
      </c>
      <c r="B603" s="59" t="s">
        <v>44</v>
      </c>
      <c r="C603" s="59" t="s">
        <v>82</v>
      </c>
      <c r="D603" s="66" t="s">
        <v>1460</v>
      </c>
      <c r="E603" s="59" t="s">
        <v>1461</v>
      </c>
      <c r="F603" s="59"/>
      <c r="G603" s="59"/>
      <c r="H603" s="59"/>
      <c r="I603" s="60">
        <v>89235.08</v>
      </c>
      <c r="J603" s="68">
        <v>371.82</v>
      </c>
      <c r="K603" s="59"/>
      <c r="L603" s="59"/>
      <c r="M603" s="60">
        <v>89235.08</v>
      </c>
      <c r="N603" s="68">
        <v>371.82</v>
      </c>
      <c r="O603" s="60">
        <v>88863.26</v>
      </c>
      <c r="P603" s="55">
        <v>20549.810000000001</v>
      </c>
      <c r="Q603" s="55">
        <f t="shared" si="244"/>
        <v>452.09582000000006</v>
      </c>
      <c r="R603" s="61">
        <f t="shared" si="249"/>
        <v>30.984999999999999</v>
      </c>
      <c r="S603" s="60">
        <v>30.984999999999999</v>
      </c>
      <c r="T603" s="60">
        <v>30.984999999999999</v>
      </c>
      <c r="U603" s="60">
        <v>30.984999999999999</v>
      </c>
      <c r="V603" s="60">
        <v>30.984999999999999</v>
      </c>
      <c r="W603" s="60">
        <v>30.984999999999999</v>
      </c>
      <c r="X603" s="61">
        <f t="shared" si="250"/>
        <v>185.91000000000003</v>
      </c>
      <c r="Y603" s="60">
        <v>30.984999999999999</v>
      </c>
      <c r="Z603" s="60">
        <v>30.984999999999999</v>
      </c>
      <c r="AA603" s="60">
        <v>30.984999999999999</v>
      </c>
      <c r="AB603" s="60">
        <v>30.984999999999999</v>
      </c>
      <c r="AC603" s="60">
        <v>30.984999999999999</v>
      </c>
      <c r="AD603" s="60">
        <v>30.984999999999999</v>
      </c>
      <c r="AE603" s="61">
        <f t="shared" si="251"/>
        <v>185.91000000000003</v>
      </c>
      <c r="AF603" s="62">
        <f t="shared" si="236"/>
        <v>89235.08</v>
      </c>
      <c r="AG603" s="62">
        <f t="shared" ref="AG603:AG666" si="257">N603+R603+S603+T603+U603+V603+W603+Y603+Z603+AA603+AB603+AC603+AD603</f>
        <v>743.6400000000001</v>
      </c>
      <c r="AH603" s="62">
        <f t="shared" si="255"/>
        <v>88491.44</v>
      </c>
      <c r="AI603" s="63">
        <v>88863.26</v>
      </c>
      <c r="AJ603" s="63">
        <f t="shared" si="245"/>
        <v>1954.99172</v>
      </c>
      <c r="AK603" s="72">
        <f t="shared" si="246"/>
        <v>1954.99172</v>
      </c>
      <c r="AL603" s="60">
        <v>30.984999999999999</v>
      </c>
      <c r="AM603" s="60">
        <v>30.984999999999999</v>
      </c>
      <c r="AN603" s="60">
        <v>30.984999999999999</v>
      </c>
      <c r="AO603" s="60">
        <v>30.984999999999999</v>
      </c>
      <c r="AP603" s="60">
        <v>30.984999999999999</v>
      </c>
      <c r="AQ603" s="60">
        <v>30.984999999999999</v>
      </c>
      <c r="AR603" s="61">
        <f t="shared" si="252"/>
        <v>185.91000000000003</v>
      </c>
      <c r="AS603" s="60">
        <v>30.984999999999999</v>
      </c>
      <c r="AT603" s="60">
        <v>30.984999999999999</v>
      </c>
      <c r="AU603" s="60">
        <v>30.984999999999999</v>
      </c>
      <c r="AV603" s="60">
        <v>30.984999999999999</v>
      </c>
      <c r="AW603" s="60">
        <v>30.984999999999999</v>
      </c>
      <c r="AX603" s="60">
        <v>30.984999999999999</v>
      </c>
      <c r="AY603" s="61">
        <f t="shared" si="253"/>
        <v>185.91000000000003</v>
      </c>
      <c r="AZ603" s="56">
        <f t="shared" si="248"/>
        <v>371.82000000000005</v>
      </c>
      <c r="BA603" s="62">
        <f t="shared" si="237"/>
        <v>89235.08</v>
      </c>
      <c r="BB603" s="62">
        <f t="shared" si="254"/>
        <v>1115.46</v>
      </c>
      <c r="BC603" s="62">
        <f t="shared" si="238"/>
        <v>88119.62</v>
      </c>
      <c r="BD603" s="63">
        <v>88863.26</v>
      </c>
      <c r="BE603" s="57">
        <f t="shared" si="247"/>
        <v>1954.99172</v>
      </c>
      <c r="BF603" s="35" t="str">
        <f>VLOOKUP(A:A,'2023-2027'!A:G,1,+FALSE)</f>
        <v>Воздушная линия 0,22кВ (ДТП №878 от 09.02.2022г, с.Тельвиска, ул.Полярная)</v>
      </c>
      <c r="BG603" s="7" t="b">
        <f t="shared" si="256"/>
        <v>1</v>
      </c>
      <c r="BH603" s="35">
        <f>VLOOKUP(A:A,'2023-2027'!A:AT,43,+FALSE)</f>
        <v>495.75</v>
      </c>
    </row>
    <row r="604" spans="1:60" ht="36" hidden="1" customHeight="1" outlineLevel="1" x14ac:dyDescent="0.2">
      <c r="A604" s="59" t="s">
        <v>89</v>
      </c>
      <c r="B604" s="59" t="s">
        <v>44</v>
      </c>
      <c r="C604" s="59" t="s">
        <v>82</v>
      </c>
      <c r="D604" s="66" t="s">
        <v>1462</v>
      </c>
      <c r="E604" s="59" t="s">
        <v>1461</v>
      </c>
      <c r="F604" s="59"/>
      <c r="G604" s="59"/>
      <c r="H604" s="59"/>
      <c r="I604" s="60">
        <v>369519.29</v>
      </c>
      <c r="J604" s="60">
        <v>1539.66</v>
      </c>
      <c r="K604" s="59"/>
      <c r="L604" s="59"/>
      <c r="M604" s="60">
        <v>369519.29</v>
      </c>
      <c r="N604" s="60">
        <v>1539.66</v>
      </c>
      <c r="O604" s="60">
        <v>367979.63</v>
      </c>
      <c r="P604" s="55">
        <v>85096.03</v>
      </c>
      <c r="Q604" s="55">
        <f t="shared" si="244"/>
        <v>1872.1126600000002</v>
      </c>
      <c r="R604" s="61">
        <f t="shared" si="249"/>
        <v>128.30500000000001</v>
      </c>
      <c r="S604" s="60">
        <v>128.30500000000001</v>
      </c>
      <c r="T604" s="60">
        <v>128.30500000000001</v>
      </c>
      <c r="U604" s="60">
        <v>128.30500000000001</v>
      </c>
      <c r="V604" s="60">
        <v>128.30500000000001</v>
      </c>
      <c r="W604" s="60">
        <v>128.30500000000001</v>
      </c>
      <c r="X604" s="61">
        <f t="shared" si="250"/>
        <v>769.83000000000015</v>
      </c>
      <c r="Y604" s="60">
        <v>128.30500000000001</v>
      </c>
      <c r="Z604" s="60">
        <v>128.30500000000001</v>
      </c>
      <c r="AA604" s="60">
        <v>128.30500000000001</v>
      </c>
      <c r="AB604" s="60">
        <v>128.30500000000001</v>
      </c>
      <c r="AC604" s="60">
        <v>128.30500000000001</v>
      </c>
      <c r="AD604" s="60">
        <v>128.30500000000001</v>
      </c>
      <c r="AE604" s="61">
        <f t="shared" si="251"/>
        <v>769.83000000000015</v>
      </c>
      <c r="AF604" s="62">
        <f t="shared" si="236"/>
        <v>369519.29</v>
      </c>
      <c r="AG604" s="62">
        <f t="shared" si="257"/>
        <v>3079.3199999999988</v>
      </c>
      <c r="AH604" s="62">
        <f t="shared" si="255"/>
        <v>366439.97</v>
      </c>
      <c r="AI604" s="63">
        <v>367979.62999999995</v>
      </c>
      <c r="AJ604" s="63">
        <f t="shared" si="245"/>
        <v>8095.5518599999996</v>
      </c>
      <c r="AK604" s="72">
        <f t="shared" si="246"/>
        <v>8095.5518599999996</v>
      </c>
      <c r="AL604" s="60">
        <v>128.30500000000001</v>
      </c>
      <c r="AM604" s="60">
        <v>128.30500000000001</v>
      </c>
      <c r="AN604" s="60">
        <v>128.30500000000001</v>
      </c>
      <c r="AO604" s="60">
        <v>128.30500000000001</v>
      </c>
      <c r="AP604" s="60">
        <v>128.30500000000001</v>
      </c>
      <c r="AQ604" s="60">
        <v>128.30500000000001</v>
      </c>
      <c r="AR604" s="61">
        <f t="shared" si="252"/>
        <v>769.83000000000015</v>
      </c>
      <c r="AS604" s="60">
        <v>128.30500000000001</v>
      </c>
      <c r="AT604" s="60">
        <v>128.30500000000001</v>
      </c>
      <c r="AU604" s="60">
        <v>128.30500000000001</v>
      </c>
      <c r="AV604" s="60">
        <v>128.30500000000001</v>
      </c>
      <c r="AW604" s="60">
        <v>128.30500000000001</v>
      </c>
      <c r="AX604" s="60">
        <v>128.30500000000001</v>
      </c>
      <c r="AY604" s="61">
        <f t="shared" si="253"/>
        <v>769.83000000000015</v>
      </c>
      <c r="AZ604" s="56">
        <f t="shared" si="248"/>
        <v>1539.6600000000003</v>
      </c>
      <c r="BA604" s="62">
        <f t="shared" si="237"/>
        <v>369519.29</v>
      </c>
      <c r="BB604" s="62">
        <f t="shared" si="254"/>
        <v>4618.9799999999987</v>
      </c>
      <c r="BC604" s="62">
        <f t="shared" si="238"/>
        <v>364900.31</v>
      </c>
      <c r="BD604" s="63">
        <v>367979.62999999995</v>
      </c>
      <c r="BE604" s="57">
        <f t="shared" si="247"/>
        <v>8095.5518599999996</v>
      </c>
      <c r="BF604" s="35" t="str">
        <f>VLOOKUP(A:A,'2023-2027'!A:G,1,+FALSE)</f>
        <v>Воздушная линия 0,4кВ (ДТП №349 от 26.10.2021г, животноводческая ферма)</v>
      </c>
      <c r="BG604" s="7" t="b">
        <f t="shared" si="256"/>
        <v>1</v>
      </c>
      <c r="BH604" s="35">
        <f>VLOOKUP(A:A,'2023-2027'!A:AT,43,+FALSE)</f>
        <v>2052.88</v>
      </c>
    </row>
    <row r="605" spans="1:60" ht="48" hidden="1" customHeight="1" outlineLevel="1" x14ac:dyDescent="0.2">
      <c r="A605" s="59" t="s">
        <v>55</v>
      </c>
      <c r="B605" s="59" t="s">
        <v>44</v>
      </c>
      <c r="C605" s="59" t="s">
        <v>82</v>
      </c>
      <c r="D605" s="66" t="s">
        <v>56</v>
      </c>
      <c r="E605" s="59" t="s">
        <v>54</v>
      </c>
      <c r="F605" s="59"/>
      <c r="G605" s="59"/>
      <c r="H605" s="59"/>
      <c r="I605" s="60">
        <v>104411.66</v>
      </c>
      <c r="J605" s="68">
        <v>870.08</v>
      </c>
      <c r="K605" s="59"/>
      <c r="L605" s="59"/>
      <c r="M605" s="60">
        <v>104411.66</v>
      </c>
      <c r="N605" s="68">
        <v>870.08</v>
      </c>
      <c r="O605" s="60">
        <v>103541.58</v>
      </c>
      <c r="P605" s="55">
        <v>39991.01</v>
      </c>
      <c r="Q605" s="55">
        <f t="shared" si="244"/>
        <v>879.80222000000015</v>
      </c>
      <c r="R605" s="61">
        <f t="shared" si="249"/>
        <v>72.506666666666675</v>
      </c>
      <c r="S605" s="60">
        <v>72.506666670000001</v>
      </c>
      <c r="T605" s="60">
        <v>72.506666670000001</v>
      </c>
      <c r="U605" s="60">
        <v>72.506666670000001</v>
      </c>
      <c r="V605" s="60">
        <v>72.506666670000001</v>
      </c>
      <c r="W605" s="60">
        <v>72.506666670000001</v>
      </c>
      <c r="X605" s="61">
        <f t="shared" si="250"/>
        <v>435.04000001666674</v>
      </c>
      <c r="Y605" s="60">
        <v>72.506666670000001</v>
      </c>
      <c r="Z605" s="60">
        <v>72.506666670000001</v>
      </c>
      <c r="AA605" s="60">
        <v>72.506666670000001</v>
      </c>
      <c r="AB605" s="60">
        <v>72.506666670000001</v>
      </c>
      <c r="AC605" s="60">
        <v>72.506666670000001</v>
      </c>
      <c r="AD605" s="60">
        <v>72.506666670000001</v>
      </c>
      <c r="AE605" s="61">
        <f t="shared" si="251"/>
        <v>435.04000002000004</v>
      </c>
      <c r="AF605" s="62">
        <f t="shared" si="236"/>
        <v>104411.66</v>
      </c>
      <c r="AG605" s="62">
        <f t="shared" si="257"/>
        <v>1740.1600000366664</v>
      </c>
      <c r="AH605" s="62">
        <f t="shared" si="255"/>
        <v>102671.49999996334</v>
      </c>
      <c r="AI605" s="63">
        <v>103541.58</v>
      </c>
      <c r="AJ605" s="63">
        <f t="shared" si="245"/>
        <v>2277.9147600000001</v>
      </c>
      <c r="AK605" s="72">
        <f t="shared" si="246"/>
        <v>2277.9147600000001</v>
      </c>
      <c r="AL605" s="60">
        <v>72.506666670000001</v>
      </c>
      <c r="AM605" s="60">
        <v>72.506666670000001</v>
      </c>
      <c r="AN605" s="60">
        <v>72.506666670000001</v>
      </c>
      <c r="AO605" s="60">
        <v>72.506666670000001</v>
      </c>
      <c r="AP605" s="60">
        <v>72.506666670000001</v>
      </c>
      <c r="AQ605" s="60">
        <v>72.506666670000001</v>
      </c>
      <c r="AR605" s="61">
        <f t="shared" si="252"/>
        <v>435.04000002000004</v>
      </c>
      <c r="AS605" s="60">
        <v>72.506666670000001</v>
      </c>
      <c r="AT605" s="60">
        <v>72.506666670000001</v>
      </c>
      <c r="AU605" s="60">
        <v>72.506666670000001</v>
      </c>
      <c r="AV605" s="60">
        <v>72.506666670000001</v>
      </c>
      <c r="AW605" s="60">
        <v>72.506666670000001</v>
      </c>
      <c r="AX605" s="60">
        <v>72.506666670000001</v>
      </c>
      <c r="AY605" s="61">
        <f t="shared" si="253"/>
        <v>435.04000002000004</v>
      </c>
      <c r="AZ605" s="56">
        <f t="shared" si="248"/>
        <v>870.08000004000007</v>
      </c>
      <c r="BA605" s="62">
        <f t="shared" si="237"/>
        <v>104411.66</v>
      </c>
      <c r="BB605" s="62">
        <f t="shared" si="254"/>
        <v>2610.2400000766661</v>
      </c>
      <c r="BC605" s="62">
        <f t="shared" si="238"/>
        <v>101801.41999992334</v>
      </c>
      <c r="BD605" s="63">
        <v>103541.58</v>
      </c>
      <c r="BE605" s="57">
        <f t="shared" si="247"/>
        <v>2277.9147600000001</v>
      </c>
      <c r="BF605" s="35" t="str">
        <f>VLOOKUP(A:A,'2023-2027'!A:G,1,+FALSE)</f>
        <v xml:space="preserve">Воздушная линия 0,4 кВ (ДТП №90Ф от 17.06.2021 г., гаражный бокс кадастровый номер 83:00:050305:491 </v>
      </c>
      <c r="BG605" s="7" t="b">
        <f t="shared" si="256"/>
        <v>1</v>
      </c>
      <c r="BH605" s="35">
        <f>VLOOKUP(A:A,'2023-2027'!A:AT,43,+FALSE)</f>
        <v>580.06000000000006</v>
      </c>
    </row>
    <row r="606" spans="1:60" ht="24" hidden="1" customHeight="1" outlineLevel="1" x14ac:dyDescent="0.2">
      <c r="A606" s="59" t="s">
        <v>1463</v>
      </c>
      <c r="B606" s="59" t="s">
        <v>44</v>
      </c>
      <c r="C606" s="59" t="s">
        <v>82</v>
      </c>
      <c r="D606" s="66" t="s">
        <v>1464</v>
      </c>
      <c r="E606" s="59" t="s">
        <v>1465</v>
      </c>
      <c r="F606" s="60">
        <v>98108.66</v>
      </c>
      <c r="G606" s="68">
        <v>408.78</v>
      </c>
      <c r="H606" s="60">
        <v>97699.88</v>
      </c>
      <c r="I606" s="59"/>
      <c r="J606" s="60">
        <v>2452.6799999999998</v>
      </c>
      <c r="K606" s="59"/>
      <c r="L606" s="59"/>
      <c r="M606" s="60">
        <v>98108.66</v>
      </c>
      <c r="N606" s="60">
        <v>2861.46</v>
      </c>
      <c r="O606" s="60">
        <v>95247.2</v>
      </c>
      <c r="P606" s="55">
        <v>96473.54</v>
      </c>
      <c r="Q606" s="55">
        <f t="shared" si="244"/>
        <v>2122.41788</v>
      </c>
      <c r="R606" s="61">
        <f t="shared" si="249"/>
        <v>204.39</v>
      </c>
      <c r="S606" s="60">
        <v>204.39</v>
      </c>
      <c r="T606" s="60">
        <v>204.39</v>
      </c>
      <c r="U606" s="60">
        <v>204.39</v>
      </c>
      <c r="V606" s="60">
        <v>204.39</v>
      </c>
      <c r="W606" s="60">
        <v>204.39</v>
      </c>
      <c r="X606" s="61">
        <f t="shared" si="250"/>
        <v>1226.3399999999999</v>
      </c>
      <c r="Y606" s="60">
        <v>204.39</v>
      </c>
      <c r="Z606" s="60">
        <v>204.39</v>
      </c>
      <c r="AA606" s="60">
        <v>204.39</v>
      </c>
      <c r="AB606" s="60">
        <v>204.39</v>
      </c>
      <c r="AC606" s="60">
        <v>204.39</v>
      </c>
      <c r="AD606" s="60">
        <v>204.39</v>
      </c>
      <c r="AE606" s="61">
        <f t="shared" si="251"/>
        <v>1226.3399999999999</v>
      </c>
      <c r="AF606" s="62">
        <f t="shared" si="236"/>
        <v>98108.66</v>
      </c>
      <c r="AG606" s="62">
        <f t="shared" si="257"/>
        <v>5314.1400000000012</v>
      </c>
      <c r="AH606" s="62">
        <f t="shared" si="255"/>
        <v>92794.52</v>
      </c>
      <c r="AI606" s="63">
        <v>94020.86</v>
      </c>
      <c r="AJ606" s="63">
        <f t="shared" si="245"/>
        <v>2068.45892</v>
      </c>
      <c r="AK606" s="72">
        <f t="shared" si="246"/>
        <v>2068.45892</v>
      </c>
      <c r="AL606" s="60">
        <v>204.39</v>
      </c>
      <c r="AM606" s="60">
        <v>204.39</v>
      </c>
      <c r="AN606" s="60">
        <v>204.39</v>
      </c>
      <c r="AO606" s="60">
        <v>204.39</v>
      </c>
      <c r="AP606" s="60">
        <v>204.39</v>
      </c>
      <c r="AQ606" s="60">
        <v>204.39</v>
      </c>
      <c r="AR606" s="61">
        <f t="shared" si="252"/>
        <v>1226.3399999999999</v>
      </c>
      <c r="AS606" s="60">
        <v>204.39</v>
      </c>
      <c r="AT606" s="60">
        <v>204.39</v>
      </c>
      <c r="AU606" s="60">
        <v>204.39</v>
      </c>
      <c r="AV606" s="60">
        <v>204.39</v>
      </c>
      <c r="AW606" s="60">
        <v>204.39</v>
      </c>
      <c r="AX606" s="60">
        <v>204.39</v>
      </c>
      <c r="AY606" s="61">
        <f t="shared" si="253"/>
        <v>1226.3399999999999</v>
      </c>
      <c r="AZ606" s="56">
        <f t="shared" si="248"/>
        <v>2452.6799999999998</v>
      </c>
      <c r="BA606" s="62">
        <f t="shared" si="237"/>
        <v>98108.66</v>
      </c>
      <c r="BB606" s="62">
        <f t="shared" si="254"/>
        <v>7766.8200000000052</v>
      </c>
      <c r="BC606" s="62">
        <f t="shared" si="238"/>
        <v>90341.84</v>
      </c>
      <c r="BD606" s="63">
        <v>91568.180000000022</v>
      </c>
      <c r="BE606" s="57">
        <f t="shared" si="247"/>
        <v>2014.4999600000008</v>
      </c>
      <c r="BF606" s="35" t="str">
        <f>VLOOKUP(A:A,'2023-2027'!A:G,1,+FALSE)</f>
        <v>Воздушная линия 0,4 кВ (ТУ 13 от 28.01.21)</v>
      </c>
      <c r="BG606" s="7" t="b">
        <f t="shared" si="256"/>
        <v>1</v>
      </c>
      <c r="BH606" s="35">
        <f>VLOOKUP(A:A,'2023-2027'!A:AT,43,+FALSE)</f>
        <v>204.39</v>
      </c>
    </row>
    <row r="607" spans="1:60" ht="24" hidden="1" customHeight="1" outlineLevel="1" x14ac:dyDescent="0.2">
      <c r="A607" s="59" t="s">
        <v>1466</v>
      </c>
      <c r="B607" s="59" t="s">
        <v>44</v>
      </c>
      <c r="C607" s="59" t="s">
        <v>82</v>
      </c>
      <c r="D607" s="66" t="s">
        <v>1467</v>
      </c>
      <c r="E607" s="59" t="s">
        <v>1465</v>
      </c>
      <c r="F607" s="60">
        <v>253914.86</v>
      </c>
      <c r="G607" s="60">
        <v>1019.64</v>
      </c>
      <c r="H607" s="60">
        <v>252895.22</v>
      </c>
      <c r="I607" s="59"/>
      <c r="J607" s="60">
        <v>6117.84</v>
      </c>
      <c r="K607" s="59"/>
      <c r="L607" s="59"/>
      <c r="M607" s="60">
        <v>253914.86</v>
      </c>
      <c r="N607" s="60">
        <v>7137.48</v>
      </c>
      <c r="O607" s="60">
        <v>246777.38</v>
      </c>
      <c r="P607" s="55">
        <v>249836.3</v>
      </c>
      <c r="Q607" s="55">
        <f t="shared" si="244"/>
        <v>5496.3986000000004</v>
      </c>
      <c r="R607" s="61">
        <f t="shared" si="249"/>
        <v>509.82</v>
      </c>
      <c r="S607" s="60">
        <v>509.82</v>
      </c>
      <c r="T607" s="60">
        <v>509.82</v>
      </c>
      <c r="U607" s="60">
        <v>509.82</v>
      </c>
      <c r="V607" s="60">
        <v>509.82</v>
      </c>
      <c r="W607" s="60">
        <v>509.82</v>
      </c>
      <c r="X607" s="61">
        <f t="shared" si="250"/>
        <v>3058.92</v>
      </c>
      <c r="Y607" s="60">
        <v>509.82</v>
      </c>
      <c r="Z607" s="60">
        <v>509.82</v>
      </c>
      <c r="AA607" s="60">
        <v>509.82</v>
      </c>
      <c r="AB607" s="60">
        <v>509.82</v>
      </c>
      <c r="AC607" s="60">
        <v>509.82</v>
      </c>
      <c r="AD607" s="60">
        <v>509.82</v>
      </c>
      <c r="AE607" s="61">
        <f t="shared" si="251"/>
        <v>3058.92</v>
      </c>
      <c r="AF607" s="62">
        <f t="shared" ref="AF607:AF670" si="258">M607</f>
        <v>253914.86</v>
      </c>
      <c r="AG607" s="62">
        <f t="shared" si="257"/>
        <v>13255.319999999996</v>
      </c>
      <c r="AH607" s="62">
        <f t="shared" si="255"/>
        <v>240659.53999999998</v>
      </c>
      <c r="AI607" s="63">
        <v>243718.45999999993</v>
      </c>
      <c r="AJ607" s="63">
        <f t="shared" si="245"/>
        <v>5361.8061199999993</v>
      </c>
      <c r="AK607" s="72">
        <f t="shared" si="246"/>
        <v>5361.8061199999993</v>
      </c>
      <c r="AL607" s="60">
        <v>509.82</v>
      </c>
      <c r="AM607" s="60">
        <v>509.82</v>
      </c>
      <c r="AN607" s="60">
        <v>509.82</v>
      </c>
      <c r="AO607" s="60">
        <v>509.82</v>
      </c>
      <c r="AP607" s="60">
        <v>509.82</v>
      </c>
      <c r="AQ607" s="60">
        <v>509.82</v>
      </c>
      <c r="AR607" s="61">
        <f t="shared" si="252"/>
        <v>3058.92</v>
      </c>
      <c r="AS607" s="60">
        <v>509.82</v>
      </c>
      <c r="AT607" s="60">
        <v>509.82</v>
      </c>
      <c r="AU607" s="60">
        <v>509.82</v>
      </c>
      <c r="AV607" s="60">
        <v>509.82</v>
      </c>
      <c r="AW607" s="60">
        <v>509.82</v>
      </c>
      <c r="AX607" s="60">
        <v>509.82</v>
      </c>
      <c r="AY607" s="61">
        <f t="shared" si="253"/>
        <v>3058.92</v>
      </c>
      <c r="AZ607" s="56">
        <f t="shared" si="248"/>
        <v>6117.84</v>
      </c>
      <c r="BA607" s="62">
        <f t="shared" ref="BA607:BA670" si="259">AF607</f>
        <v>253914.86</v>
      </c>
      <c r="BB607" s="62">
        <f t="shared" si="254"/>
        <v>19373.159999999993</v>
      </c>
      <c r="BC607" s="62">
        <f t="shared" ref="BC607:BC670" si="260">BA607-BB607</f>
        <v>234541.69999999998</v>
      </c>
      <c r="BD607" s="63">
        <v>237600.61999999985</v>
      </c>
      <c r="BE607" s="57">
        <f t="shared" si="247"/>
        <v>5227.2136399999972</v>
      </c>
      <c r="BF607" s="35" t="str">
        <f>VLOOKUP(A:A,'2023-2027'!A:G,1,+FALSE)</f>
        <v>Воздушная линия 0,4 кВ (ТУ 62 от 13.05.21)</v>
      </c>
      <c r="BG607" s="7" t="b">
        <f t="shared" si="256"/>
        <v>1</v>
      </c>
      <c r="BH607" s="35">
        <f>VLOOKUP(A:A,'2023-2027'!A:AT,43,+FALSE)</f>
        <v>528.99</v>
      </c>
    </row>
    <row r="608" spans="1:60" ht="24" hidden="1" customHeight="1" outlineLevel="1" x14ac:dyDescent="0.2">
      <c r="A608" s="59" t="s">
        <v>1468</v>
      </c>
      <c r="B608" s="59" t="s">
        <v>44</v>
      </c>
      <c r="C608" s="59" t="s">
        <v>82</v>
      </c>
      <c r="D608" s="66" t="s">
        <v>1469</v>
      </c>
      <c r="E608" s="59" t="s">
        <v>424</v>
      </c>
      <c r="F608" s="60">
        <v>254557.39</v>
      </c>
      <c r="G608" s="59"/>
      <c r="H608" s="60">
        <v>254557.39</v>
      </c>
      <c r="I608" s="59"/>
      <c r="J608" s="60">
        <v>6206.4</v>
      </c>
      <c r="K608" s="59"/>
      <c r="L608" s="59"/>
      <c r="M608" s="60">
        <v>254557.39</v>
      </c>
      <c r="N608" s="60">
        <v>6206.4</v>
      </c>
      <c r="O608" s="60">
        <v>248350.99</v>
      </c>
      <c r="P608" s="55">
        <v>251454.19</v>
      </c>
      <c r="Q608" s="55">
        <f t="shared" si="244"/>
        <v>5531.9921800000002</v>
      </c>
      <c r="R608" s="61">
        <f t="shared" si="249"/>
        <v>517.19999999999993</v>
      </c>
      <c r="S608" s="60">
        <v>517.20000000000005</v>
      </c>
      <c r="T608" s="60">
        <v>517.20000000000005</v>
      </c>
      <c r="U608" s="60">
        <v>517.20000000000005</v>
      </c>
      <c r="V608" s="60">
        <v>517.20000000000005</v>
      </c>
      <c r="W608" s="60">
        <v>517.20000000000005</v>
      </c>
      <c r="X608" s="61">
        <f t="shared" si="250"/>
        <v>3103.2</v>
      </c>
      <c r="Y608" s="60">
        <v>517.20000000000005</v>
      </c>
      <c r="Z608" s="60">
        <v>517.20000000000005</v>
      </c>
      <c r="AA608" s="60">
        <v>517.20000000000005</v>
      </c>
      <c r="AB608" s="60">
        <v>517.20000000000005</v>
      </c>
      <c r="AC608" s="60">
        <v>517.20000000000005</v>
      </c>
      <c r="AD608" s="60">
        <v>517.20000000000005</v>
      </c>
      <c r="AE608" s="61">
        <f t="shared" si="251"/>
        <v>3103.2</v>
      </c>
      <c r="AF608" s="62">
        <f t="shared" si="258"/>
        <v>254557.39</v>
      </c>
      <c r="AG608" s="62">
        <f t="shared" si="257"/>
        <v>12412.800000000005</v>
      </c>
      <c r="AH608" s="62">
        <f t="shared" si="255"/>
        <v>242144.59</v>
      </c>
      <c r="AI608" s="63">
        <v>245247.78999999989</v>
      </c>
      <c r="AJ608" s="63">
        <f t="shared" si="245"/>
        <v>5395.4513799999986</v>
      </c>
      <c r="AK608" s="72">
        <f t="shared" si="246"/>
        <v>5395.4513799999986</v>
      </c>
      <c r="AL608" s="60">
        <v>517.20000000000005</v>
      </c>
      <c r="AM608" s="60">
        <v>517.20000000000005</v>
      </c>
      <c r="AN608" s="60">
        <v>517.20000000000005</v>
      </c>
      <c r="AO608" s="60">
        <v>517.20000000000005</v>
      </c>
      <c r="AP608" s="60">
        <v>517.20000000000005</v>
      </c>
      <c r="AQ608" s="60">
        <v>517.20000000000005</v>
      </c>
      <c r="AR608" s="61">
        <f t="shared" si="252"/>
        <v>3103.2</v>
      </c>
      <c r="AS608" s="60">
        <v>517.20000000000005</v>
      </c>
      <c r="AT608" s="60">
        <v>517.20000000000005</v>
      </c>
      <c r="AU608" s="60">
        <v>517.20000000000005</v>
      </c>
      <c r="AV608" s="60">
        <v>517.20000000000005</v>
      </c>
      <c r="AW608" s="60">
        <v>517.20000000000005</v>
      </c>
      <c r="AX608" s="60">
        <v>517.20000000000005</v>
      </c>
      <c r="AY608" s="61">
        <f t="shared" si="253"/>
        <v>3103.2</v>
      </c>
      <c r="AZ608" s="56">
        <f t="shared" si="248"/>
        <v>6206.4</v>
      </c>
      <c r="BA608" s="62">
        <f t="shared" si="259"/>
        <v>254557.39</v>
      </c>
      <c r="BB608" s="62">
        <f t="shared" si="254"/>
        <v>18619.200000000012</v>
      </c>
      <c r="BC608" s="62">
        <f t="shared" si="260"/>
        <v>235938.19</v>
      </c>
      <c r="BD608" s="63">
        <v>239041.38999999981</v>
      </c>
      <c r="BE608" s="57">
        <f t="shared" si="247"/>
        <v>5258.9105799999961</v>
      </c>
      <c r="BF608" s="35" t="str">
        <f>VLOOKUP(A:A,'2023-2027'!A:G,1,+FALSE)</f>
        <v>Воздушная линия 0,4 кВ (ТУ №42 от 16.04.2021 г.)</v>
      </c>
      <c r="BG608" s="7" t="b">
        <f t="shared" si="256"/>
        <v>1</v>
      </c>
      <c r="BH608" s="35">
        <f>VLOOKUP(A:A,'2023-2027'!A:AT,43,+FALSE)</f>
        <v>530.3278958333334</v>
      </c>
    </row>
    <row r="609" spans="1:60" ht="24" hidden="1" customHeight="1" outlineLevel="1" x14ac:dyDescent="0.2">
      <c r="A609" s="59" t="s">
        <v>1470</v>
      </c>
      <c r="B609" s="59" t="s">
        <v>44</v>
      </c>
      <c r="C609" s="59" t="s">
        <v>82</v>
      </c>
      <c r="D609" s="66" t="s">
        <v>1471</v>
      </c>
      <c r="E609" s="59" t="s">
        <v>424</v>
      </c>
      <c r="F609" s="60">
        <v>383015.6</v>
      </c>
      <c r="G609" s="59"/>
      <c r="H609" s="60">
        <v>383015.6</v>
      </c>
      <c r="I609" s="59"/>
      <c r="J609" s="60">
        <v>9392.8799999999992</v>
      </c>
      <c r="K609" s="59"/>
      <c r="L609" s="59"/>
      <c r="M609" s="60">
        <v>383015.6</v>
      </c>
      <c r="N609" s="60">
        <v>9392.8799999999992</v>
      </c>
      <c r="O609" s="60">
        <v>373622.72</v>
      </c>
      <c r="P609" s="55">
        <v>378319.16</v>
      </c>
      <c r="Q609" s="55">
        <f t="shared" si="244"/>
        <v>8323.0215200000002</v>
      </c>
      <c r="R609" s="61">
        <f t="shared" si="249"/>
        <v>782.7399999999999</v>
      </c>
      <c r="S609" s="60">
        <v>782.74</v>
      </c>
      <c r="T609" s="60">
        <v>782.74</v>
      </c>
      <c r="U609" s="60">
        <v>782.74</v>
      </c>
      <c r="V609" s="60">
        <v>782.74</v>
      </c>
      <c r="W609" s="60">
        <v>782.74</v>
      </c>
      <c r="X609" s="61">
        <f t="shared" si="250"/>
        <v>4696.4399999999996</v>
      </c>
      <c r="Y609" s="60">
        <v>782.74</v>
      </c>
      <c r="Z609" s="60">
        <v>782.74</v>
      </c>
      <c r="AA609" s="60">
        <v>782.74</v>
      </c>
      <c r="AB609" s="60">
        <v>782.74</v>
      </c>
      <c r="AC609" s="60">
        <v>782.74</v>
      </c>
      <c r="AD609" s="60">
        <v>782.74</v>
      </c>
      <c r="AE609" s="61">
        <f t="shared" si="251"/>
        <v>4696.4399999999996</v>
      </c>
      <c r="AF609" s="62">
        <f t="shared" si="258"/>
        <v>383015.6</v>
      </c>
      <c r="AG609" s="62">
        <f t="shared" si="257"/>
        <v>18785.760000000002</v>
      </c>
      <c r="AH609" s="62">
        <f t="shared" si="255"/>
        <v>364229.83999999997</v>
      </c>
      <c r="AI609" s="63">
        <v>368926.27999999997</v>
      </c>
      <c r="AJ609" s="63">
        <f t="shared" si="245"/>
        <v>8116.3781600000002</v>
      </c>
      <c r="AK609" s="72">
        <f t="shared" si="246"/>
        <v>8116.3781600000002</v>
      </c>
      <c r="AL609" s="60">
        <v>782.74</v>
      </c>
      <c r="AM609" s="60">
        <v>782.74</v>
      </c>
      <c r="AN609" s="60">
        <v>782.74</v>
      </c>
      <c r="AO609" s="60">
        <v>782.74</v>
      </c>
      <c r="AP609" s="60">
        <v>782.74</v>
      </c>
      <c r="AQ609" s="60">
        <v>782.74</v>
      </c>
      <c r="AR609" s="61">
        <f t="shared" si="252"/>
        <v>4696.4399999999996</v>
      </c>
      <c r="AS609" s="60">
        <v>782.74</v>
      </c>
      <c r="AT609" s="60">
        <v>782.74</v>
      </c>
      <c r="AU609" s="60">
        <v>782.74</v>
      </c>
      <c r="AV609" s="60">
        <v>782.74</v>
      </c>
      <c r="AW609" s="60">
        <v>782.74</v>
      </c>
      <c r="AX609" s="60">
        <v>782.74</v>
      </c>
      <c r="AY609" s="61">
        <f t="shared" si="253"/>
        <v>4696.4399999999996</v>
      </c>
      <c r="AZ609" s="56">
        <f t="shared" si="248"/>
        <v>9392.8799999999992</v>
      </c>
      <c r="BA609" s="62">
        <f t="shared" si="259"/>
        <v>383015.6</v>
      </c>
      <c r="BB609" s="62">
        <f t="shared" si="254"/>
        <v>28178.640000000021</v>
      </c>
      <c r="BC609" s="62">
        <f t="shared" si="260"/>
        <v>354836.95999999996</v>
      </c>
      <c r="BD609" s="63">
        <v>359533.40000000008</v>
      </c>
      <c r="BE609" s="57">
        <f t="shared" si="247"/>
        <v>7909.7348000000029</v>
      </c>
      <c r="BF609" s="35" t="str">
        <f>VLOOKUP(A:A,'2023-2027'!A:G,1,+FALSE)</f>
        <v>Воздушная линия 0,4 кВ (ТУ №45 от 22.04.2021 г.)</v>
      </c>
      <c r="BG609" s="7" t="b">
        <f t="shared" si="256"/>
        <v>1</v>
      </c>
      <c r="BH609" s="35">
        <f>VLOOKUP(A:A,'2023-2027'!A:AT,43,+FALSE)</f>
        <v>797.94916666666666</v>
      </c>
    </row>
    <row r="610" spans="1:60" ht="24" hidden="1" customHeight="1" outlineLevel="1" x14ac:dyDescent="0.2">
      <c r="A610" s="59" t="s">
        <v>1472</v>
      </c>
      <c r="B610" s="59" t="s">
        <v>44</v>
      </c>
      <c r="C610" s="59" t="s">
        <v>82</v>
      </c>
      <c r="D610" s="66" t="s">
        <v>1473</v>
      </c>
      <c r="E610" s="59" t="s">
        <v>424</v>
      </c>
      <c r="F610" s="60">
        <v>161733.60999999999</v>
      </c>
      <c r="G610" s="59"/>
      <c r="H610" s="60">
        <v>161733.60999999999</v>
      </c>
      <c r="I610" s="59"/>
      <c r="J610" s="60">
        <v>4013.35</v>
      </c>
      <c r="K610" s="59"/>
      <c r="L610" s="59"/>
      <c r="M610" s="60">
        <v>161733.60999999999</v>
      </c>
      <c r="N610" s="60">
        <v>4013.35</v>
      </c>
      <c r="O610" s="60">
        <v>157720.26</v>
      </c>
      <c r="P610" s="55">
        <v>159726.93</v>
      </c>
      <c r="Q610" s="55">
        <f t="shared" si="244"/>
        <v>3513.9924600000004</v>
      </c>
      <c r="R610" s="61">
        <f t="shared" si="249"/>
        <v>334.44583333333333</v>
      </c>
      <c r="S610" s="60">
        <v>334.4458333</v>
      </c>
      <c r="T610" s="60">
        <v>334.4458333</v>
      </c>
      <c r="U610" s="60">
        <v>334.4458333</v>
      </c>
      <c r="V610" s="60">
        <v>334.4458333</v>
      </c>
      <c r="W610" s="60">
        <v>334.4458333</v>
      </c>
      <c r="X610" s="61">
        <f t="shared" si="250"/>
        <v>2006.6749998333335</v>
      </c>
      <c r="Y610" s="60">
        <v>334.4458333</v>
      </c>
      <c r="Z610" s="60">
        <v>334.4458333</v>
      </c>
      <c r="AA610" s="60">
        <v>334.4458333</v>
      </c>
      <c r="AB610" s="60">
        <v>334.4458333</v>
      </c>
      <c r="AC610" s="60">
        <v>334.4458333</v>
      </c>
      <c r="AD610" s="60">
        <v>334.4458333</v>
      </c>
      <c r="AE610" s="61">
        <f t="shared" si="251"/>
        <v>2006.6749998</v>
      </c>
      <c r="AF610" s="62">
        <f t="shared" si="258"/>
        <v>161733.60999999999</v>
      </c>
      <c r="AG610" s="62">
        <f t="shared" si="257"/>
        <v>8026.6999996333361</v>
      </c>
      <c r="AH610" s="62">
        <f t="shared" si="255"/>
        <v>153706.91000036665</v>
      </c>
      <c r="AI610" s="63">
        <v>155713.56000000011</v>
      </c>
      <c r="AJ610" s="63">
        <f t="shared" si="245"/>
        <v>3425.6983200000027</v>
      </c>
      <c r="AK610" s="72">
        <f t="shared" si="246"/>
        <v>3425.6983200000027</v>
      </c>
      <c r="AL610" s="60">
        <v>334.4458333</v>
      </c>
      <c r="AM610" s="60">
        <v>334.4458333</v>
      </c>
      <c r="AN610" s="60">
        <v>334.4458333</v>
      </c>
      <c r="AO610" s="60">
        <v>334.4458333</v>
      </c>
      <c r="AP610" s="60">
        <v>334.4458333</v>
      </c>
      <c r="AQ610" s="60">
        <v>334.4458333</v>
      </c>
      <c r="AR610" s="61">
        <f t="shared" si="252"/>
        <v>2006.6749998</v>
      </c>
      <c r="AS610" s="60">
        <v>334.4458333</v>
      </c>
      <c r="AT610" s="60">
        <v>334.4458333</v>
      </c>
      <c r="AU610" s="60">
        <v>334.4458333</v>
      </c>
      <c r="AV610" s="60">
        <v>334.4458333</v>
      </c>
      <c r="AW610" s="60">
        <v>334.4458333</v>
      </c>
      <c r="AX610" s="60">
        <v>334.4458333</v>
      </c>
      <c r="AY610" s="61">
        <f t="shared" si="253"/>
        <v>2006.6749998</v>
      </c>
      <c r="AZ610" s="56">
        <f t="shared" si="248"/>
        <v>4013.3499996</v>
      </c>
      <c r="BA610" s="62">
        <f t="shared" si="259"/>
        <v>161733.60999999999</v>
      </c>
      <c r="BB610" s="62">
        <f t="shared" si="254"/>
        <v>12040.049999233339</v>
      </c>
      <c r="BC610" s="62">
        <f t="shared" si="260"/>
        <v>149693.56000076665</v>
      </c>
      <c r="BD610" s="63">
        <v>151700.16000000032</v>
      </c>
      <c r="BE610" s="57">
        <f t="shared" si="247"/>
        <v>3337.4035200000076</v>
      </c>
      <c r="BF610" s="35" t="str">
        <f>VLOOKUP(A:A,'2023-2027'!A:G,1,+FALSE)</f>
        <v>Воздушная линия 0,4 кВ (ТУ №57 от 12.05.2021 г.)</v>
      </c>
      <c r="BG610" s="7" t="b">
        <f t="shared" si="256"/>
        <v>1</v>
      </c>
      <c r="BH610" s="35">
        <f>VLOOKUP(A:A,'2023-2027'!A:AT,43,+FALSE)</f>
        <v>336.94502083333333</v>
      </c>
    </row>
    <row r="611" spans="1:60" ht="24" hidden="1" customHeight="1" outlineLevel="1" x14ac:dyDescent="0.2">
      <c r="A611" s="59" t="s">
        <v>1474</v>
      </c>
      <c r="B611" s="59" t="s">
        <v>44</v>
      </c>
      <c r="C611" s="59" t="s">
        <v>82</v>
      </c>
      <c r="D611" s="66" t="s">
        <v>1475</v>
      </c>
      <c r="E611" s="59" t="s">
        <v>424</v>
      </c>
      <c r="F611" s="60">
        <v>168246.35</v>
      </c>
      <c r="G611" s="59"/>
      <c r="H611" s="60">
        <v>168246.35</v>
      </c>
      <c r="I611" s="59"/>
      <c r="J611" s="60">
        <v>4119.6099999999997</v>
      </c>
      <c r="K611" s="59"/>
      <c r="L611" s="59"/>
      <c r="M611" s="60">
        <v>168246.35</v>
      </c>
      <c r="N611" s="60">
        <v>4119.6099999999997</v>
      </c>
      <c r="O611" s="60">
        <v>164126.74</v>
      </c>
      <c r="P611" s="55">
        <v>166186.54999999999</v>
      </c>
      <c r="Q611" s="55">
        <f t="shared" si="244"/>
        <v>3656.1041</v>
      </c>
      <c r="R611" s="61">
        <f t="shared" si="249"/>
        <v>343.30083333333329</v>
      </c>
      <c r="S611" s="60">
        <v>343.30083330000002</v>
      </c>
      <c r="T611" s="60">
        <v>343.30083330000002</v>
      </c>
      <c r="U611" s="60">
        <v>343.30083330000002</v>
      </c>
      <c r="V611" s="60">
        <v>343.30083330000002</v>
      </c>
      <c r="W611" s="60">
        <v>343.30083330000002</v>
      </c>
      <c r="X611" s="61">
        <f t="shared" si="250"/>
        <v>2059.8049998333336</v>
      </c>
      <c r="Y611" s="60">
        <v>343.30083330000002</v>
      </c>
      <c r="Z611" s="60">
        <v>343.30083330000002</v>
      </c>
      <c r="AA611" s="60">
        <v>343.30083330000002</v>
      </c>
      <c r="AB611" s="60">
        <v>343.30083330000002</v>
      </c>
      <c r="AC611" s="60">
        <v>343.30083330000002</v>
      </c>
      <c r="AD611" s="60">
        <v>343.30083330000002</v>
      </c>
      <c r="AE611" s="61">
        <f t="shared" si="251"/>
        <v>2059.8049998000001</v>
      </c>
      <c r="AF611" s="62">
        <f t="shared" si="258"/>
        <v>168246.35</v>
      </c>
      <c r="AG611" s="62">
        <f t="shared" si="257"/>
        <v>8239.2199996333311</v>
      </c>
      <c r="AH611" s="62">
        <f t="shared" si="255"/>
        <v>160007.13000036668</v>
      </c>
      <c r="AI611" s="63">
        <v>162066.93999999989</v>
      </c>
      <c r="AJ611" s="63">
        <f t="shared" si="245"/>
        <v>3565.472679999998</v>
      </c>
      <c r="AK611" s="72">
        <f t="shared" si="246"/>
        <v>3565.472679999998</v>
      </c>
      <c r="AL611" s="60">
        <v>343.30083330000002</v>
      </c>
      <c r="AM611" s="60">
        <v>343.30083330000002</v>
      </c>
      <c r="AN611" s="60">
        <v>343.30083330000002</v>
      </c>
      <c r="AO611" s="60">
        <v>343.30083330000002</v>
      </c>
      <c r="AP611" s="60">
        <v>343.30083330000002</v>
      </c>
      <c r="AQ611" s="60">
        <v>343.30083330000002</v>
      </c>
      <c r="AR611" s="61">
        <f t="shared" si="252"/>
        <v>2059.8049998000001</v>
      </c>
      <c r="AS611" s="60">
        <v>343.30083330000002</v>
      </c>
      <c r="AT611" s="60">
        <v>343.30083330000002</v>
      </c>
      <c r="AU611" s="60">
        <v>343.30083330000002</v>
      </c>
      <c r="AV611" s="60">
        <v>343.30083330000002</v>
      </c>
      <c r="AW611" s="60">
        <v>343.30083330000002</v>
      </c>
      <c r="AX611" s="60">
        <v>343.30083330000002</v>
      </c>
      <c r="AY611" s="61">
        <f t="shared" si="253"/>
        <v>2059.8049998000001</v>
      </c>
      <c r="AZ611" s="56">
        <f t="shared" si="248"/>
        <v>4119.6099996000003</v>
      </c>
      <c r="BA611" s="62">
        <f t="shared" si="259"/>
        <v>168246.35</v>
      </c>
      <c r="BB611" s="62">
        <f t="shared" si="254"/>
        <v>12358.829999233329</v>
      </c>
      <c r="BC611" s="62">
        <f t="shared" si="260"/>
        <v>155887.52000076667</v>
      </c>
      <c r="BD611" s="63">
        <v>157947.33999999968</v>
      </c>
      <c r="BE611" s="57">
        <f t="shared" si="247"/>
        <v>3474.8414799999932</v>
      </c>
      <c r="BF611" s="35" t="str">
        <f>VLOOKUP(A:A,'2023-2027'!A:G,1,+FALSE)</f>
        <v>Воздушная линия 0,4 кВ (ТУ №66 от 13.05.2021 г.)</v>
      </c>
      <c r="BG611" s="7" t="b">
        <f t="shared" si="256"/>
        <v>1</v>
      </c>
      <c r="BH611" s="35">
        <f>VLOOKUP(A:A,'2023-2027'!A:AT,43,+FALSE)</f>
        <v>350.51322916666669</v>
      </c>
    </row>
    <row r="612" spans="1:60" ht="24" hidden="1" customHeight="1" outlineLevel="1" x14ac:dyDescent="0.2">
      <c r="A612" s="59" t="s">
        <v>52</v>
      </c>
      <c r="B612" s="59" t="s">
        <v>44</v>
      </c>
      <c r="C612" s="59" t="s">
        <v>82</v>
      </c>
      <c r="D612" s="66" t="s">
        <v>53</v>
      </c>
      <c r="E612" s="59" t="s">
        <v>54</v>
      </c>
      <c r="F612" s="59"/>
      <c r="G612" s="59"/>
      <c r="H612" s="59"/>
      <c r="I612" s="60">
        <v>811385.66</v>
      </c>
      <c r="J612" s="60">
        <v>6761.56</v>
      </c>
      <c r="K612" s="59"/>
      <c r="L612" s="59"/>
      <c r="M612" s="60">
        <v>811385.66</v>
      </c>
      <c r="N612" s="60">
        <v>6761.56</v>
      </c>
      <c r="O612" s="60">
        <v>804624.1</v>
      </c>
      <c r="P612" s="55">
        <v>310771.11</v>
      </c>
      <c r="Q612" s="55">
        <f t="shared" si="244"/>
        <v>6836.9644200000002</v>
      </c>
      <c r="R612" s="61">
        <f t="shared" si="249"/>
        <v>563.46333333333337</v>
      </c>
      <c r="S612" s="60">
        <v>563.46333330000004</v>
      </c>
      <c r="T612" s="60">
        <v>563.46333330000004</v>
      </c>
      <c r="U612" s="60">
        <v>563.46333330000004</v>
      </c>
      <c r="V612" s="60">
        <v>563.46333330000004</v>
      </c>
      <c r="W612" s="60">
        <v>563.46333330000004</v>
      </c>
      <c r="X612" s="61">
        <f t="shared" si="250"/>
        <v>3380.7799998333339</v>
      </c>
      <c r="Y612" s="60">
        <v>563.46333330000004</v>
      </c>
      <c r="Z612" s="60">
        <v>563.46333330000004</v>
      </c>
      <c r="AA612" s="60">
        <v>563.46333330000004</v>
      </c>
      <c r="AB612" s="60">
        <v>563.46333330000004</v>
      </c>
      <c r="AC612" s="60">
        <v>563.46333330000004</v>
      </c>
      <c r="AD612" s="60">
        <v>563.46333330000004</v>
      </c>
      <c r="AE612" s="61">
        <f t="shared" si="251"/>
        <v>3380.7799998000005</v>
      </c>
      <c r="AF612" s="62">
        <f t="shared" si="258"/>
        <v>811385.66</v>
      </c>
      <c r="AG612" s="62">
        <f t="shared" si="257"/>
        <v>13523.119999633334</v>
      </c>
      <c r="AH612" s="62">
        <f t="shared" si="255"/>
        <v>797862.54000036675</v>
      </c>
      <c r="AI612" s="63">
        <v>804624.09999999974</v>
      </c>
      <c r="AJ612" s="63">
        <f t="shared" si="245"/>
        <v>17701.730199999995</v>
      </c>
      <c r="AK612" s="72">
        <f t="shared" si="246"/>
        <v>17701.730199999995</v>
      </c>
      <c r="AL612" s="60">
        <v>563.46333330000004</v>
      </c>
      <c r="AM612" s="60">
        <v>563.46333330000004</v>
      </c>
      <c r="AN612" s="60">
        <v>563.46333330000004</v>
      </c>
      <c r="AO612" s="60">
        <v>563.46333330000004</v>
      </c>
      <c r="AP612" s="60">
        <v>563.46333330000004</v>
      </c>
      <c r="AQ612" s="60">
        <v>563.46333330000004</v>
      </c>
      <c r="AR612" s="61">
        <f t="shared" si="252"/>
        <v>3380.7799998000005</v>
      </c>
      <c r="AS612" s="60">
        <v>563.46333330000004</v>
      </c>
      <c r="AT612" s="60">
        <v>563.46333330000004</v>
      </c>
      <c r="AU612" s="60">
        <v>563.46333330000004</v>
      </c>
      <c r="AV612" s="60">
        <v>563.46333330000004</v>
      </c>
      <c r="AW612" s="60">
        <v>563.46333330000004</v>
      </c>
      <c r="AX612" s="60">
        <v>563.46333330000004</v>
      </c>
      <c r="AY612" s="61">
        <f t="shared" si="253"/>
        <v>3380.7799998000005</v>
      </c>
      <c r="AZ612" s="56">
        <f t="shared" si="248"/>
        <v>6761.559999600001</v>
      </c>
      <c r="BA612" s="62">
        <f t="shared" si="259"/>
        <v>811385.66</v>
      </c>
      <c r="BB612" s="62">
        <f t="shared" si="254"/>
        <v>20284.679999233325</v>
      </c>
      <c r="BC612" s="62">
        <f t="shared" si="260"/>
        <v>791100.98000076669</v>
      </c>
      <c r="BD612" s="63">
        <v>804624.09999999974</v>
      </c>
      <c r="BE612" s="57">
        <f t="shared" si="247"/>
        <v>17701.730199999995</v>
      </c>
      <c r="BF612" s="35" t="str">
        <f>VLOOKUP(A:A,'2023-2027'!A:G,1,+FALSE)</f>
        <v>Воздушная линия 0,4 кВ (ТУ №96 от 21.06.2021 г.)</v>
      </c>
      <c r="BG612" s="7" t="b">
        <f t="shared" si="256"/>
        <v>1</v>
      </c>
      <c r="BH612" s="35">
        <f>VLOOKUP(A:A,'2023-2027'!A:AT,43,+FALSE)</f>
        <v>4507.7</v>
      </c>
    </row>
    <row r="613" spans="1:60" ht="36" hidden="1" customHeight="1" outlineLevel="1" x14ac:dyDescent="0.2">
      <c r="A613" s="59" t="s">
        <v>90</v>
      </c>
      <c r="B613" s="59" t="s">
        <v>44</v>
      </c>
      <c r="C613" s="59" t="s">
        <v>82</v>
      </c>
      <c r="D613" s="66" t="s">
        <v>1476</v>
      </c>
      <c r="E613" s="59" t="s">
        <v>1477</v>
      </c>
      <c r="F613" s="59"/>
      <c r="G613" s="59"/>
      <c r="H613" s="59"/>
      <c r="I613" s="60">
        <v>358311.11</v>
      </c>
      <c r="J613" s="68">
        <v>746.48</v>
      </c>
      <c r="K613" s="59"/>
      <c r="L613" s="59"/>
      <c r="M613" s="60">
        <v>358311.11</v>
      </c>
      <c r="N613" s="68">
        <v>746.48</v>
      </c>
      <c r="O613" s="60">
        <v>357564.63</v>
      </c>
      <c r="P613" s="55">
        <v>55067.360000000001</v>
      </c>
      <c r="Q613" s="55">
        <f t="shared" si="244"/>
        <v>1211.4819200000002</v>
      </c>
      <c r="R613" s="61">
        <f t="shared" si="249"/>
        <v>62.206666666666671</v>
      </c>
      <c r="S613" s="60">
        <v>62.2066667</v>
      </c>
      <c r="T613" s="60">
        <v>62.2066667</v>
      </c>
      <c r="U613" s="60">
        <v>62.2066667</v>
      </c>
      <c r="V613" s="60">
        <v>62.2066667</v>
      </c>
      <c r="W613" s="60">
        <v>62.2066667</v>
      </c>
      <c r="X613" s="61">
        <f t="shared" si="250"/>
        <v>373.24000016666673</v>
      </c>
      <c r="Y613" s="60">
        <v>62.2066667</v>
      </c>
      <c r="Z613" s="60">
        <v>62.2066667</v>
      </c>
      <c r="AA613" s="60">
        <v>62.2066667</v>
      </c>
      <c r="AB613" s="60">
        <v>62.2066667</v>
      </c>
      <c r="AC613" s="60">
        <v>62.2066667</v>
      </c>
      <c r="AD613" s="60">
        <v>62.2066667</v>
      </c>
      <c r="AE613" s="61">
        <f t="shared" si="251"/>
        <v>373.24000020000005</v>
      </c>
      <c r="AF613" s="62">
        <f t="shared" si="258"/>
        <v>358311.11</v>
      </c>
      <c r="AG613" s="62">
        <f t="shared" si="257"/>
        <v>1492.9600003666662</v>
      </c>
      <c r="AH613" s="62">
        <f t="shared" si="255"/>
        <v>356818.14999963332</v>
      </c>
      <c r="AI613" s="63">
        <v>357564.62999999995</v>
      </c>
      <c r="AJ613" s="63">
        <f t="shared" si="245"/>
        <v>7866.4218599999995</v>
      </c>
      <c r="AK613" s="72">
        <f t="shared" si="246"/>
        <v>7866.4218599999995</v>
      </c>
      <c r="AL613" s="60">
        <v>62.2066667</v>
      </c>
      <c r="AM613" s="60">
        <v>62.2066667</v>
      </c>
      <c r="AN613" s="60">
        <v>62.2066667</v>
      </c>
      <c r="AO613" s="60">
        <v>62.2066667</v>
      </c>
      <c r="AP613" s="60">
        <v>62.2066667</v>
      </c>
      <c r="AQ613" s="60">
        <v>62.2066667</v>
      </c>
      <c r="AR613" s="61">
        <f t="shared" si="252"/>
        <v>373.24000020000005</v>
      </c>
      <c r="AS613" s="60">
        <v>62.2066667</v>
      </c>
      <c r="AT613" s="60">
        <v>62.2066667</v>
      </c>
      <c r="AU613" s="60">
        <v>62.2066667</v>
      </c>
      <c r="AV613" s="60">
        <v>62.2066667</v>
      </c>
      <c r="AW613" s="60">
        <v>62.2066667</v>
      </c>
      <c r="AX613" s="60">
        <v>62.2066667</v>
      </c>
      <c r="AY613" s="61">
        <f t="shared" si="253"/>
        <v>373.24000020000005</v>
      </c>
      <c r="AZ613" s="56">
        <f t="shared" si="248"/>
        <v>746.48000040000011</v>
      </c>
      <c r="BA613" s="62">
        <f t="shared" si="259"/>
        <v>358311.11</v>
      </c>
      <c r="BB613" s="62">
        <f t="shared" si="254"/>
        <v>2239.4400007666654</v>
      </c>
      <c r="BC613" s="62">
        <f t="shared" si="260"/>
        <v>356071.66999923333</v>
      </c>
      <c r="BD613" s="63">
        <v>357564.62999999995</v>
      </c>
      <c r="BE613" s="57">
        <f t="shared" si="247"/>
        <v>7866.4218599999995</v>
      </c>
      <c r="BF613" s="35" t="str">
        <f>VLOOKUP(A:A,'2023-2027'!A:G,1,+FALSE)</f>
        <v>Воздушная линия 0,4кВ (ДТП №146 Ф от 27.07.2021г, ул. В.Поздеева)</v>
      </c>
      <c r="BG613" s="7" t="b">
        <f t="shared" si="256"/>
        <v>1</v>
      </c>
      <c r="BH613" s="35">
        <f>VLOOKUP(A:A,'2023-2027'!A:AT,43,+FALSE)</f>
        <v>1990.62</v>
      </c>
    </row>
    <row r="614" spans="1:60" ht="36" hidden="1" customHeight="1" outlineLevel="1" x14ac:dyDescent="0.2">
      <c r="A614" s="59" t="s">
        <v>93</v>
      </c>
      <c r="B614" s="59" t="s">
        <v>44</v>
      </c>
      <c r="C614" s="59" t="s">
        <v>82</v>
      </c>
      <c r="D614" s="66" t="s">
        <v>1478</v>
      </c>
      <c r="E614" s="59" t="s">
        <v>1479</v>
      </c>
      <c r="F614" s="59"/>
      <c r="G614" s="59"/>
      <c r="H614" s="59"/>
      <c r="I614" s="60">
        <v>285751.78000000003</v>
      </c>
      <c r="J614" s="68">
        <v>595.32000000000005</v>
      </c>
      <c r="K614" s="59"/>
      <c r="L614" s="59"/>
      <c r="M614" s="60">
        <v>285751.78000000003</v>
      </c>
      <c r="N614" s="68">
        <v>595.32000000000005</v>
      </c>
      <c r="O614" s="60">
        <v>285156.46000000002</v>
      </c>
      <c r="P614" s="55">
        <v>43916.02</v>
      </c>
      <c r="Q614" s="55">
        <f t="shared" si="244"/>
        <v>966.15244000000007</v>
      </c>
      <c r="R614" s="61">
        <f t="shared" si="249"/>
        <v>49.610000000000007</v>
      </c>
      <c r="S614" s="60">
        <v>49.61</v>
      </c>
      <c r="T614" s="60">
        <v>49.61</v>
      </c>
      <c r="U614" s="60">
        <v>49.61</v>
      </c>
      <c r="V614" s="60">
        <v>49.61</v>
      </c>
      <c r="W614" s="60">
        <v>49.61</v>
      </c>
      <c r="X614" s="61">
        <f t="shared" si="250"/>
        <v>297.66000000000003</v>
      </c>
      <c r="Y614" s="60">
        <v>49.61</v>
      </c>
      <c r="Z614" s="60">
        <v>49.61</v>
      </c>
      <c r="AA614" s="60">
        <v>49.61</v>
      </c>
      <c r="AB614" s="60">
        <v>49.61</v>
      </c>
      <c r="AC614" s="60">
        <v>49.61</v>
      </c>
      <c r="AD614" s="60">
        <v>49.61</v>
      </c>
      <c r="AE614" s="61">
        <f t="shared" si="251"/>
        <v>297.66000000000003</v>
      </c>
      <c r="AF614" s="62">
        <f t="shared" si="258"/>
        <v>285751.78000000003</v>
      </c>
      <c r="AG614" s="62">
        <f t="shared" si="257"/>
        <v>1190.6399999999999</v>
      </c>
      <c r="AH614" s="62">
        <f t="shared" si="255"/>
        <v>284561.14</v>
      </c>
      <c r="AI614" s="63">
        <v>285156.46000000002</v>
      </c>
      <c r="AJ614" s="63">
        <f t="shared" si="245"/>
        <v>6273.4421200000015</v>
      </c>
      <c r="AK614" s="72">
        <f t="shared" si="246"/>
        <v>6273.4421200000015</v>
      </c>
      <c r="AL614" s="60">
        <v>49.61</v>
      </c>
      <c r="AM614" s="60">
        <v>49.61</v>
      </c>
      <c r="AN614" s="60">
        <v>49.61</v>
      </c>
      <c r="AO614" s="60">
        <v>49.61</v>
      </c>
      <c r="AP614" s="60">
        <v>49.61</v>
      </c>
      <c r="AQ614" s="60">
        <v>49.61</v>
      </c>
      <c r="AR614" s="61">
        <f t="shared" si="252"/>
        <v>297.66000000000003</v>
      </c>
      <c r="AS614" s="60">
        <v>49.61</v>
      </c>
      <c r="AT614" s="60">
        <v>49.61</v>
      </c>
      <c r="AU614" s="60">
        <v>49.61</v>
      </c>
      <c r="AV614" s="60">
        <v>49.61</v>
      </c>
      <c r="AW614" s="60">
        <v>49.61</v>
      </c>
      <c r="AX614" s="60">
        <v>49.61</v>
      </c>
      <c r="AY614" s="61">
        <f t="shared" si="253"/>
        <v>297.66000000000003</v>
      </c>
      <c r="AZ614" s="56">
        <f t="shared" si="248"/>
        <v>595.32000000000005</v>
      </c>
      <c r="BA614" s="62">
        <f t="shared" si="259"/>
        <v>285751.78000000003</v>
      </c>
      <c r="BB614" s="62">
        <f t="shared" si="254"/>
        <v>1785.9599999999987</v>
      </c>
      <c r="BC614" s="62">
        <f t="shared" si="260"/>
        <v>283965.82</v>
      </c>
      <c r="BD614" s="63">
        <v>285156.46000000002</v>
      </c>
      <c r="BE614" s="57">
        <f t="shared" si="247"/>
        <v>6273.4421200000015</v>
      </c>
      <c r="BF614" s="35" t="str">
        <f>VLOOKUP(A:A,'2023-2027'!A:G,1,+FALSE)</f>
        <v>Воздушная линия 0,4кВ (ДТП №207 Ф от 07.10.2021г, ул.Прибрежная)</v>
      </c>
      <c r="BG614" s="7" t="b">
        <f t="shared" si="256"/>
        <v>1</v>
      </c>
      <c r="BH614" s="35">
        <f>VLOOKUP(A:A,'2023-2027'!A:AT,43,+FALSE)</f>
        <v>1587.51</v>
      </c>
    </row>
    <row r="615" spans="1:60" ht="48" hidden="1" customHeight="1" outlineLevel="1" x14ac:dyDescent="0.2">
      <c r="A615" s="59" t="s">
        <v>39</v>
      </c>
      <c r="B615" s="59" t="s">
        <v>44</v>
      </c>
      <c r="C615" s="59" t="s">
        <v>82</v>
      </c>
      <c r="D615" s="66" t="s">
        <v>40</v>
      </c>
      <c r="E615" s="59" t="s">
        <v>43</v>
      </c>
      <c r="F615" s="59"/>
      <c r="G615" s="59"/>
      <c r="H615" s="59"/>
      <c r="I615" s="60">
        <v>128661.61</v>
      </c>
      <c r="J615" s="60">
        <v>1340.24</v>
      </c>
      <c r="K615" s="59"/>
      <c r="L615" s="59"/>
      <c r="M615" s="60">
        <v>128661.61</v>
      </c>
      <c r="N615" s="60">
        <v>1340.24</v>
      </c>
      <c r="O615" s="60">
        <v>127321.37</v>
      </c>
      <c r="P615" s="55">
        <v>59072.99</v>
      </c>
      <c r="Q615" s="55">
        <f t="shared" si="244"/>
        <v>1299.6057800000001</v>
      </c>
      <c r="R615" s="61">
        <f t="shared" si="249"/>
        <v>111.68666666666667</v>
      </c>
      <c r="S615" s="60">
        <v>111.6866667</v>
      </c>
      <c r="T615" s="60">
        <v>111.6866667</v>
      </c>
      <c r="U615" s="60">
        <v>111.6866667</v>
      </c>
      <c r="V615" s="60">
        <v>111.6866667</v>
      </c>
      <c r="W615" s="60">
        <v>111.6866667</v>
      </c>
      <c r="X615" s="61">
        <f t="shared" si="250"/>
        <v>670.12000016666673</v>
      </c>
      <c r="Y615" s="60">
        <v>111.6866667</v>
      </c>
      <c r="Z615" s="60">
        <v>111.6866667</v>
      </c>
      <c r="AA615" s="60">
        <v>111.6866667</v>
      </c>
      <c r="AB615" s="60">
        <v>111.6866667</v>
      </c>
      <c r="AC615" s="60">
        <v>111.6866667</v>
      </c>
      <c r="AD615" s="60">
        <v>111.6866667</v>
      </c>
      <c r="AE615" s="61">
        <f t="shared" si="251"/>
        <v>670.12000020000005</v>
      </c>
      <c r="AF615" s="62">
        <f t="shared" si="258"/>
        <v>128661.61</v>
      </c>
      <c r="AG615" s="62">
        <f t="shared" si="257"/>
        <v>2680.480000366666</v>
      </c>
      <c r="AH615" s="62">
        <f t="shared" si="255"/>
        <v>125981.12999963334</v>
      </c>
      <c r="AI615" s="63">
        <v>127321.37000000004</v>
      </c>
      <c r="AJ615" s="63">
        <f t="shared" si="245"/>
        <v>2801.0701400000012</v>
      </c>
      <c r="AK615" s="72">
        <f t="shared" si="246"/>
        <v>2801.0701400000012</v>
      </c>
      <c r="AL615" s="60">
        <v>111.6866667</v>
      </c>
      <c r="AM615" s="60">
        <v>111.6866667</v>
      </c>
      <c r="AN615" s="60">
        <v>111.6866667</v>
      </c>
      <c r="AO615" s="60">
        <v>111.6866667</v>
      </c>
      <c r="AP615" s="60">
        <v>111.6866667</v>
      </c>
      <c r="AQ615" s="60">
        <v>111.6866667</v>
      </c>
      <c r="AR615" s="61">
        <f t="shared" si="252"/>
        <v>670.12000020000005</v>
      </c>
      <c r="AS615" s="60">
        <v>111.6866667</v>
      </c>
      <c r="AT615" s="60">
        <v>111.6866667</v>
      </c>
      <c r="AU615" s="60">
        <v>111.6866667</v>
      </c>
      <c r="AV615" s="60">
        <v>111.6866667</v>
      </c>
      <c r="AW615" s="60">
        <v>111.6866667</v>
      </c>
      <c r="AX615" s="60">
        <v>111.6866667</v>
      </c>
      <c r="AY615" s="61">
        <f t="shared" si="253"/>
        <v>670.12000020000005</v>
      </c>
      <c r="AZ615" s="56">
        <f t="shared" si="248"/>
        <v>1340.2400004000001</v>
      </c>
      <c r="BA615" s="62">
        <f t="shared" si="259"/>
        <v>128661.61</v>
      </c>
      <c r="BB615" s="62">
        <f t="shared" si="254"/>
        <v>4020.7200007666652</v>
      </c>
      <c r="BC615" s="62">
        <f t="shared" si="260"/>
        <v>124640.88999923333</v>
      </c>
      <c r="BD615" s="63">
        <v>127321.37000000004</v>
      </c>
      <c r="BE615" s="57">
        <f t="shared" si="247"/>
        <v>2801.0701400000012</v>
      </c>
      <c r="BF615" s="35" t="str">
        <f>VLOOKUP(A:A,'2023-2027'!A:G,1,+FALSE)</f>
        <v>Воздушная линия 0,4кВ (ДТП №230 Ф от 26.10.2021г, гаражный бокс кадастровый номер 83:00:050003:485 в</v>
      </c>
      <c r="BG615" s="7" t="b">
        <f t="shared" si="256"/>
        <v>1</v>
      </c>
      <c r="BH615" s="35">
        <f>VLOOKUP(A:A,'2023-2027'!A:AT,43,+FALSE)</f>
        <v>714.79</v>
      </c>
    </row>
    <row r="616" spans="1:60" ht="36" hidden="1" customHeight="1" outlineLevel="1" x14ac:dyDescent="0.2">
      <c r="A616" s="59" t="s">
        <v>49</v>
      </c>
      <c r="B616" s="59" t="s">
        <v>44</v>
      </c>
      <c r="C616" s="59" t="s">
        <v>82</v>
      </c>
      <c r="D616" s="66" t="s">
        <v>50</v>
      </c>
      <c r="E616" s="59" t="s">
        <v>51</v>
      </c>
      <c r="F616" s="59"/>
      <c r="G616" s="59"/>
      <c r="H616" s="59"/>
      <c r="I616" s="60">
        <v>216209.26</v>
      </c>
      <c r="J616" s="60">
        <v>2252.1999999999998</v>
      </c>
      <c r="K616" s="59"/>
      <c r="L616" s="59"/>
      <c r="M616" s="60">
        <v>216209.26</v>
      </c>
      <c r="N616" s="60">
        <v>2252.1999999999998</v>
      </c>
      <c r="O616" s="60">
        <v>213957.06</v>
      </c>
      <c r="P616" s="55">
        <v>99269.15</v>
      </c>
      <c r="Q616" s="55">
        <f t="shared" si="244"/>
        <v>2183.9213</v>
      </c>
      <c r="R616" s="61">
        <f t="shared" si="249"/>
        <v>187.68333333333331</v>
      </c>
      <c r="S616" s="60">
        <v>187.68333329999999</v>
      </c>
      <c r="T616" s="60">
        <v>187.68333329999999</v>
      </c>
      <c r="U616" s="60">
        <v>187.68333329999999</v>
      </c>
      <c r="V616" s="60">
        <v>187.68333329999999</v>
      </c>
      <c r="W616" s="60">
        <v>187.68333329999999</v>
      </c>
      <c r="X616" s="61">
        <f t="shared" si="250"/>
        <v>1126.0999998333332</v>
      </c>
      <c r="Y616" s="60">
        <v>187.68333329999999</v>
      </c>
      <c r="Z616" s="60">
        <v>187.68333329999999</v>
      </c>
      <c r="AA616" s="60">
        <v>187.68333329999999</v>
      </c>
      <c r="AB616" s="60">
        <v>187.68333329999999</v>
      </c>
      <c r="AC616" s="60">
        <v>187.68333329999999</v>
      </c>
      <c r="AD616" s="60">
        <v>187.68333329999999</v>
      </c>
      <c r="AE616" s="61">
        <f t="shared" si="251"/>
        <v>1126.0999998</v>
      </c>
      <c r="AF616" s="62">
        <f t="shared" si="258"/>
        <v>216209.26</v>
      </c>
      <c r="AG616" s="62">
        <f t="shared" si="257"/>
        <v>4504.3999996333341</v>
      </c>
      <c r="AH616" s="62">
        <f t="shared" si="255"/>
        <v>211704.86000036667</v>
      </c>
      <c r="AI616" s="63">
        <v>213957.06000000003</v>
      </c>
      <c r="AJ616" s="63">
        <f t="shared" si="245"/>
        <v>4707.0553200000013</v>
      </c>
      <c r="AK616" s="72">
        <f t="shared" si="246"/>
        <v>4707.0553200000013</v>
      </c>
      <c r="AL616" s="60">
        <v>187.68333329999999</v>
      </c>
      <c r="AM616" s="60">
        <v>187.68333329999999</v>
      </c>
      <c r="AN616" s="60">
        <v>187.68333329999999</v>
      </c>
      <c r="AO616" s="60">
        <v>187.68333329999999</v>
      </c>
      <c r="AP616" s="60">
        <v>187.68333329999999</v>
      </c>
      <c r="AQ616" s="60">
        <v>187.68333329999999</v>
      </c>
      <c r="AR616" s="61">
        <f t="shared" si="252"/>
        <v>1126.0999998</v>
      </c>
      <c r="AS616" s="60">
        <v>187.68333329999999</v>
      </c>
      <c r="AT616" s="60">
        <v>187.68333329999999</v>
      </c>
      <c r="AU616" s="60">
        <v>187.68333329999999</v>
      </c>
      <c r="AV616" s="60">
        <v>187.68333329999999</v>
      </c>
      <c r="AW616" s="60">
        <v>187.68333329999999</v>
      </c>
      <c r="AX616" s="60">
        <v>187.68333329999999</v>
      </c>
      <c r="AY616" s="61">
        <f t="shared" si="253"/>
        <v>1126.0999998</v>
      </c>
      <c r="AZ616" s="56">
        <f t="shared" si="248"/>
        <v>2252.1999996</v>
      </c>
      <c r="BA616" s="62">
        <f t="shared" si="259"/>
        <v>216209.26</v>
      </c>
      <c r="BB616" s="62">
        <f t="shared" si="254"/>
        <v>6756.5999992333391</v>
      </c>
      <c r="BC616" s="62">
        <f t="shared" si="260"/>
        <v>209452.66000076666</v>
      </c>
      <c r="BD616" s="63">
        <v>213957.06000000003</v>
      </c>
      <c r="BE616" s="57">
        <f t="shared" si="247"/>
        <v>4707.0553200000013</v>
      </c>
      <c r="BF616" s="35" t="str">
        <f>VLOOKUP(A:A,'2023-2027'!A:G,1,+FALSE)</f>
        <v>Воздушная линия 0,4кВ (ДТП №257 Ф от 03.12.2021г, Гаражный бокс.пер.Газовиков)</v>
      </c>
      <c r="BG616" s="7" t="b">
        <f t="shared" si="256"/>
        <v>1</v>
      </c>
      <c r="BH616" s="35">
        <f>VLOOKUP(A:A,'2023-2027'!A:AT,43,+FALSE)</f>
        <v>1201.1600000000001</v>
      </c>
    </row>
    <row r="617" spans="1:60" ht="48" hidden="1" customHeight="1" outlineLevel="1" x14ac:dyDescent="0.2">
      <c r="A617" s="59" t="s">
        <v>59</v>
      </c>
      <c r="B617" s="59" t="s">
        <v>44</v>
      </c>
      <c r="C617" s="59" t="s">
        <v>82</v>
      </c>
      <c r="D617" s="66" t="s">
        <v>60</v>
      </c>
      <c r="E617" s="59" t="s">
        <v>61</v>
      </c>
      <c r="F617" s="59"/>
      <c r="G617" s="59"/>
      <c r="H617" s="59"/>
      <c r="I617" s="60">
        <v>137331.09</v>
      </c>
      <c r="J617" s="60">
        <v>2002.77</v>
      </c>
      <c r="K617" s="59"/>
      <c r="L617" s="59"/>
      <c r="M617" s="60">
        <v>137331.09</v>
      </c>
      <c r="N617" s="60">
        <v>2002.77</v>
      </c>
      <c r="O617" s="60">
        <v>135328.32000000001</v>
      </c>
      <c r="P617" s="55">
        <v>83895.2</v>
      </c>
      <c r="Q617" s="55">
        <f t="shared" si="244"/>
        <v>1845.6944000000001</v>
      </c>
      <c r="R617" s="61">
        <f t="shared" si="249"/>
        <v>166.89750000000001</v>
      </c>
      <c r="S617" s="60">
        <v>166.89750000000001</v>
      </c>
      <c r="T617" s="60">
        <v>166.89750000000001</v>
      </c>
      <c r="U617" s="60">
        <v>166.89750000000001</v>
      </c>
      <c r="V617" s="60">
        <v>166.89750000000001</v>
      </c>
      <c r="W617" s="60">
        <v>166.89750000000001</v>
      </c>
      <c r="X617" s="61">
        <f t="shared" si="250"/>
        <v>1001.3850000000001</v>
      </c>
      <c r="Y617" s="60">
        <v>166.89750000000001</v>
      </c>
      <c r="Z617" s="60">
        <v>166.89750000000001</v>
      </c>
      <c r="AA617" s="60">
        <v>166.89750000000001</v>
      </c>
      <c r="AB617" s="60">
        <v>166.89750000000001</v>
      </c>
      <c r="AC617" s="60">
        <v>166.89750000000001</v>
      </c>
      <c r="AD617" s="60">
        <v>166.89750000000001</v>
      </c>
      <c r="AE617" s="61">
        <f t="shared" si="251"/>
        <v>1001.3850000000001</v>
      </c>
      <c r="AF617" s="62">
        <f t="shared" si="258"/>
        <v>137331.09</v>
      </c>
      <c r="AG617" s="62">
        <f t="shared" si="257"/>
        <v>4005.5400000000004</v>
      </c>
      <c r="AH617" s="62">
        <f t="shared" si="255"/>
        <v>133325.54999999999</v>
      </c>
      <c r="AI617" s="63">
        <v>135328.32000000004</v>
      </c>
      <c r="AJ617" s="63">
        <f t="shared" si="245"/>
        <v>2977.2230400000012</v>
      </c>
      <c r="AK617" s="72">
        <f t="shared" si="246"/>
        <v>2977.2230400000012</v>
      </c>
      <c r="AL617" s="60">
        <v>166.89750000000001</v>
      </c>
      <c r="AM617" s="60">
        <v>166.89750000000001</v>
      </c>
      <c r="AN617" s="60">
        <v>166.89750000000001</v>
      </c>
      <c r="AO617" s="60">
        <v>166.89750000000001</v>
      </c>
      <c r="AP617" s="60">
        <v>166.89750000000001</v>
      </c>
      <c r="AQ617" s="60">
        <v>166.89750000000001</v>
      </c>
      <c r="AR617" s="61">
        <f t="shared" si="252"/>
        <v>1001.3850000000001</v>
      </c>
      <c r="AS617" s="60">
        <v>166.89750000000001</v>
      </c>
      <c r="AT617" s="60">
        <v>166.89750000000001</v>
      </c>
      <c r="AU617" s="60">
        <v>166.89750000000001</v>
      </c>
      <c r="AV617" s="60">
        <v>166.89750000000001</v>
      </c>
      <c r="AW617" s="60">
        <v>166.89750000000001</v>
      </c>
      <c r="AX617" s="60">
        <v>166.89750000000001</v>
      </c>
      <c r="AY617" s="61">
        <f t="shared" si="253"/>
        <v>1001.3850000000001</v>
      </c>
      <c r="AZ617" s="56">
        <f t="shared" si="248"/>
        <v>2002.7700000000002</v>
      </c>
      <c r="BA617" s="62">
        <f t="shared" si="259"/>
        <v>137331.09</v>
      </c>
      <c r="BB617" s="62">
        <f t="shared" si="254"/>
        <v>6008.31</v>
      </c>
      <c r="BC617" s="62">
        <f t="shared" si="260"/>
        <v>131322.78</v>
      </c>
      <c r="BD617" s="63">
        <v>135328.32000000004</v>
      </c>
      <c r="BE617" s="57">
        <f t="shared" si="247"/>
        <v>2977.2230400000012</v>
      </c>
      <c r="BF617" s="35" t="str">
        <f>VLOOKUP(A:A,'2023-2027'!A:G,1,+FALSE)</f>
        <v>Воздушная линия 0,4кВ (ДТП №279 Ф от 29.12.2021г, Производственное здание. п.Искателей, пр.Песчаный)</v>
      </c>
      <c r="BG617" s="7" t="b">
        <f t="shared" si="256"/>
        <v>1</v>
      </c>
      <c r="BH617" s="35">
        <f>VLOOKUP(A:A,'2023-2027'!A:AT,43,+FALSE)</f>
        <v>762.95</v>
      </c>
    </row>
    <row r="618" spans="1:60" ht="36" hidden="1" customHeight="1" outlineLevel="1" x14ac:dyDescent="0.2">
      <c r="A618" s="59" t="s">
        <v>45</v>
      </c>
      <c r="B618" s="59" t="s">
        <v>44</v>
      </c>
      <c r="C618" s="59" t="s">
        <v>82</v>
      </c>
      <c r="D618" s="66" t="s">
        <v>46</v>
      </c>
      <c r="E618" s="59" t="s">
        <v>43</v>
      </c>
      <c r="F618" s="59"/>
      <c r="G618" s="59"/>
      <c r="H618" s="59"/>
      <c r="I618" s="60">
        <v>115404.79</v>
      </c>
      <c r="J618" s="60">
        <v>1202.1500000000001</v>
      </c>
      <c r="K618" s="59"/>
      <c r="L618" s="59"/>
      <c r="M618" s="60">
        <v>115404.79</v>
      </c>
      <c r="N618" s="60">
        <v>1202.1500000000001</v>
      </c>
      <c r="O618" s="60">
        <v>114202.64</v>
      </c>
      <c r="P618" s="55">
        <v>52986.33</v>
      </c>
      <c r="Q618" s="55">
        <f t="shared" si="244"/>
        <v>1165.6992600000001</v>
      </c>
      <c r="R618" s="61">
        <f t="shared" si="249"/>
        <v>100.17916666666667</v>
      </c>
      <c r="S618" s="60">
        <v>100.1791667</v>
      </c>
      <c r="T618" s="60">
        <v>100.1791667</v>
      </c>
      <c r="U618" s="60">
        <v>100.1791667</v>
      </c>
      <c r="V618" s="60">
        <v>100.1791667</v>
      </c>
      <c r="W618" s="60">
        <v>100.1791667</v>
      </c>
      <c r="X618" s="61">
        <f t="shared" si="250"/>
        <v>601.07500016666665</v>
      </c>
      <c r="Y618" s="60">
        <v>100.1791667</v>
      </c>
      <c r="Z618" s="60">
        <v>100.1791667</v>
      </c>
      <c r="AA618" s="60">
        <v>100.1791667</v>
      </c>
      <c r="AB618" s="60">
        <v>100.1791667</v>
      </c>
      <c r="AC618" s="60">
        <v>100.1791667</v>
      </c>
      <c r="AD618" s="60">
        <v>100.1791667</v>
      </c>
      <c r="AE618" s="61">
        <f t="shared" si="251"/>
        <v>601.07500019999998</v>
      </c>
      <c r="AF618" s="62">
        <f t="shared" si="258"/>
        <v>115404.79</v>
      </c>
      <c r="AG618" s="62">
        <f t="shared" si="257"/>
        <v>2404.3000003666666</v>
      </c>
      <c r="AH618" s="62">
        <f t="shared" si="255"/>
        <v>113000.48999963333</v>
      </c>
      <c r="AI618" s="63">
        <v>114202.63999999997</v>
      </c>
      <c r="AJ618" s="63">
        <f t="shared" si="245"/>
        <v>2512.4580799999994</v>
      </c>
      <c r="AK618" s="72">
        <f t="shared" si="246"/>
        <v>2512.4580799999994</v>
      </c>
      <c r="AL618" s="60">
        <v>100.1791667</v>
      </c>
      <c r="AM618" s="60">
        <v>100.1791667</v>
      </c>
      <c r="AN618" s="60">
        <v>100.1791667</v>
      </c>
      <c r="AO618" s="60">
        <v>100.1791667</v>
      </c>
      <c r="AP618" s="60">
        <v>100.1791667</v>
      </c>
      <c r="AQ618" s="60">
        <v>100.1791667</v>
      </c>
      <c r="AR618" s="61">
        <f t="shared" si="252"/>
        <v>601.07500019999998</v>
      </c>
      <c r="AS618" s="60">
        <v>100.1791667</v>
      </c>
      <c r="AT618" s="60">
        <v>100.1791667</v>
      </c>
      <c r="AU618" s="60">
        <v>100.1791667</v>
      </c>
      <c r="AV618" s="60">
        <v>100.1791667</v>
      </c>
      <c r="AW618" s="60">
        <v>100.1791667</v>
      </c>
      <c r="AX618" s="60">
        <v>100.1791667</v>
      </c>
      <c r="AY618" s="61">
        <f t="shared" si="253"/>
        <v>601.07500019999998</v>
      </c>
      <c r="AZ618" s="56">
        <f t="shared" si="248"/>
        <v>1202.1500004</v>
      </c>
      <c r="BA618" s="62">
        <f t="shared" si="259"/>
        <v>115404.79</v>
      </c>
      <c r="BB618" s="62">
        <f t="shared" si="254"/>
        <v>3606.4500007666638</v>
      </c>
      <c r="BC618" s="62">
        <f t="shared" si="260"/>
        <v>111798.33999923333</v>
      </c>
      <c r="BD618" s="63">
        <v>114202.63999999997</v>
      </c>
      <c r="BE618" s="57">
        <f t="shared" si="247"/>
        <v>2512.4580799999994</v>
      </c>
      <c r="BF618" s="35" t="str">
        <f>VLOOKUP(A:A,'2023-2027'!A:G,1,+FALSE)</f>
        <v>Воздушная линия 0,4кВ (ДТП №343 от 11.10.2021г, здание ул.Ленина д.41 В)</v>
      </c>
      <c r="BG618" s="7" t="b">
        <f t="shared" si="256"/>
        <v>1</v>
      </c>
      <c r="BH618" s="35">
        <f>VLOOKUP(A:A,'2023-2027'!A:AT,43,+FALSE)</f>
        <v>641.14</v>
      </c>
    </row>
    <row r="619" spans="1:60" ht="24" hidden="1" customHeight="1" outlineLevel="1" x14ac:dyDescent="0.2">
      <c r="A619" s="59" t="s">
        <v>62</v>
      </c>
      <c r="B619" s="59" t="s">
        <v>44</v>
      </c>
      <c r="C619" s="59" t="s">
        <v>82</v>
      </c>
      <c r="D619" s="66" t="s">
        <v>63</v>
      </c>
      <c r="E619" s="59" t="s">
        <v>64</v>
      </c>
      <c r="F619" s="59"/>
      <c r="G619" s="59"/>
      <c r="H619" s="59"/>
      <c r="I619" s="60">
        <v>286878.40999999997</v>
      </c>
      <c r="J619" s="60">
        <v>2390.64</v>
      </c>
      <c r="K619" s="59"/>
      <c r="L619" s="59"/>
      <c r="M619" s="60">
        <v>286878.40999999997</v>
      </c>
      <c r="N619" s="60">
        <v>2390.64</v>
      </c>
      <c r="O619" s="60">
        <v>284487.77</v>
      </c>
      <c r="P619" s="55">
        <v>109878.11</v>
      </c>
      <c r="Q619" s="55">
        <f t="shared" si="244"/>
        <v>2417.3184200000001</v>
      </c>
      <c r="R619" s="61">
        <f t="shared" si="249"/>
        <v>199.22</v>
      </c>
      <c r="S619" s="60">
        <v>199.22</v>
      </c>
      <c r="T619" s="60">
        <v>199.22</v>
      </c>
      <c r="U619" s="60">
        <v>199.22</v>
      </c>
      <c r="V619" s="60">
        <v>199.22</v>
      </c>
      <c r="W619" s="60">
        <v>199.22</v>
      </c>
      <c r="X619" s="61">
        <f t="shared" si="250"/>
        <v>1195.32</v>
      </c>
      <c r="Y619" s="60">
        <v>199.22</v>
      </c>
      <c r="Z619" s="60">
        <v>199.22</v>
      </c>
      <c r="AA619" s="60">
        <v>199.22</v>
      </c>
      <c r="AB619" s="60">
        <v>199.22</v>
      </c>
      <c r="AC619" s="60">
        <v>199.22</v>
      </c>
      <c r="AD619" s="60">
        <v>199.22</v>
      </c>
      <c r="AE619" s="61">
        <f t="shared" si="251"/>
        <v>1195.32</v>
      </c>
      <c r="AF619" s="62">
        <f t="shared" si="258"/>
        <v>286878.40999999997</v>
      </c>
      <c r="AG619" s="62">
        <f t="shared" si="257"/>
        <v>4781.2799999999988</v>
      </c>
      <c r="AH619" s="62">
        <f t="shared" si="255"/>
        <v>282097.13</v>
      </c>
      <c r="AI619" s="63">
        <v>284487.77</v>
      </c>
      <c r="AJ619" s="63">
        <f t="shared" si="245"/>
        <v>6258.7309400000013</v>
      </c>
      <c r="AK619" s="72">
        <f t="shared" si="246"/>
        <v>6258.7309400000013</v>
      </c>
      <c r="AL619" s="60">
        <v>199.22</v>
      </c>
      <c r="AM619" s="60">
        <v>199.22</v>
      </c>
      <c r="AN619" s="60">
        <v>199.22</v>
      </c>
      <c r="AO619" s="60">
        <v>199.22</v>
      </c>
      <c r="AP619" s="60">
        <v>199.22</v>
      </c>
      <c r="AQ619" s="60">
        <v>199.22</v>
      </c>
      <c r="AR619" s="61">
        <f t="shared" si="252"/>
        <v>1195.32</v>
      </c>
      <c r="AS619" s="60">
        <v>199.22</v>
      </c>
      <c r="AT619" s="60">
        <v>199.22</v>
      </c>
      <c r="AU619" s="60">
        <v>199.22</v>
      </c>
      <c r="AV619" s="60">
        <v>199.22</v>
      </c>
      <c r="AW619" s="60">
        <v>199.22</v>
      </c>
      <c r="AX619" s="60">
        <v>199.22</v>
      </c>
      <c r="AY619" s="61">
        <f t="shared" si="253"/>
        <v>1195.32</v>
      </c>
      <c r="AZ619" s="56">
        <f t="shared" si="248"/>
        <v>2390.64</v>
      </c>
      <c r="BA619" s="62">
        <f t="shared" si="259"/>
        <v>286878.40999999997</v>
      </c>
      <c r="BB619" s="62">
        <f t="shared" si="254"/>
        <v>7171.9200000000019</v>
      </c>
      <c r="BC619" s="62">
        <f t="shared" si="260"/>
        <v>279706.49</v>
      </c>
      <c r="BD619" s="63">
        <v>284487.77</v>
      </c>
      <c r="BE619" s="57">
        <f t="shared" si="247"/>
        <v>6258.7309400000013</v>
      </c>
      <c r="BF619" s="35" t="str">
        <f>VLOOKUP(A:A,'2023-2027'!A:G,1,+FALSE)</f>
        <v>Воздушная линия 0,4кВ (ТУ №49 от 06.05.2021г)</v>
      </c>
      <c r="BG619" s="7" t="b">
        <f t="shared" si="256"/>
        <v>1</v>
      </c>
      <c r="BH619" s="35">
        <f>VLOOKUP(A:A,'2023-2027'!A:AT,43,+FALSE)</f>
        <v>1593.77</v>
      </c>
    </row>
    <row r="620" spans="1:60" ht="48" hidden="1" customHeight="1" outlineLevel="1" x14ac:dyDescent="0.2">
      <c r="A620" s="59" t="s">
        <v>2464</v>
      </c>
      <c r="B620" s="59" t="s">
        <v>44</v>
      </c>
      <c r="C620" s="59" t="s">
        <v>82</v>
      </c>
      <c r="D620" s="66" t="s">
        <v>1480</v>
      </c>
      <c r="E620" s="59" t="s">
        <v>1481</v>
      </c>
      <c r="F620" s="60">
        <v>5342040.4000000004</v>
      </c>
      <c r="G620" s="60">
        <v>165251.25</v>
      </c>
      <c r="H620" s="60">
        <v>5176789.1500000004</v>
      </c>
      <c r="I620" s="59"/>
      <c r="J620" s="60">
        <v>132201</v>
      </c>
      <c r="K620" s="59"/>
      <c r="L620" s="59"/>
      <c r="M620" s="60">
        <v>5342040.4000000004</v>
      </c>
      <c r="N620" s="60">
        <v>297452.25</v>
      </c>
      <c r="O620" s="60">
        <v>5044588.1500000004</v>
      </c>
      <c r="P620" s="55">
        <v>5110688.6500000004</v>
      </c>
      <c r="Q620" s="55">
        <f t="shared" si="244"/>
        <v>112435.15030000002</v>
      </c>
      <c r="R620" s="61">
        <f t="shared" si="249"/>
        <v>11016.75</v>
      </c>
      <c r="S620" s="60">
        <v>11016.75</v>
      </c>
      <c r="T620" s="60">
        <v>11016.75</v>
      </c>
      <c r="U620" s="60">
        <v>11016.75</v>
      </c>
      <c r="V620" s="60">
        <v>11016.75</v>
      </c>
      <c r="W620" s="60">
        <v>11016.75</v>
      </c>
      <c r="X620" s="61">
        <f t="shared" si="250"/>
        <v>66100.5</v>
      </c>
      <c r="Y620" s="60">
        <v>11016.75</v>
      </c>
      <c r="Z620" s="60">
        <v>11016.75</v>
      </c>
      <c r="AA620" s="60">
        <v>11016.75</v>
      </c>
      <c r="AB620" s="60">
        <v>11016.75</v>
      </c>
      <c r="AC620" s="60">
        <v>11016.75</v>
      </c>
      <c r="AD620" s="60">
        <v>11016.75</v>
      </c>
      <c r="AE620" s="61">
        <f t="shared" si="251"/>
        <v>66100.5</v>
      </c>
      <c r="AF620" s="62">
        <f t="shared" si="258"/>
        <v>5342040.4000000004</v>
      </c>
      <c r="AG620" s="62">
        <f t="shared" si="257"/>
        <v>429653.25</v>
      </c>
      <c r="AH620" s="62">
        <f t="shared" si="255"/>
        <v>4912387.1500000004</v>
      </c>
      <c r="AI620" s="63">
        <v>4978487.6499999994</v>
      </c>
      <c r="AJ620" s="63">
        <f t="shared" si="245"/>
        <v>109526.7283</v>
      </c>
      <c r="AK620" s="72">
        <f t="shared" si="246"/>
        <v>109526.7283</v>
      </c>
      <c r="AL620" s="60">
        <v>11016.75</v>
      </c>
      <c r="AM620" s="60">
        <v>11016.75</v>
      </c>
      <c r="AN620" s="60">
        <v>11016.75</v>
      </c>
      <c r="AO620" s="60">
        <v>11016.75</v>
      </c>
      <c r="AP620" s="60">
        <v>11016.75</v>
      </c>
      <c r="AQ620" s="60">
        <v>11016.75</v>
      </c>
      <c r="AR620" s="61">
        <f t="shared" si="252"/>
        <v>66100.5</v>
      </c>
      <c r="AS620" s="60">
        <v>11016.75</v>
      </c>
      <c r="AT620" s="60">
        <v>11016.75</v>
      </c>
      <c r="AU620" s="60">
        <v>11016.75</v>
      </c>
      <c r="AV620" s="60">
        <v>11016.75</v>
      </c>
      <c r="AW620" s="60">
        <v>11016.75</v>
      </c>
      <c r="AX620" s="60">
        <v>11016.75</v>
      </c>
      <c r="AY620" s="61">
        <f t="shared" si="253"/>
        <v>66100.5</v>
      </c>
      <c r="AZ620" s="56">
        <f t="shared" si="248"/>
        <v>132201</v>
      </c>
      <c r="BA620" s="62">
        <f t="shared" si="259"/>
        <v>5342040.4000000004</v>
      </c>
      <c r="BB620" s="62">
        <f t="shared" si="254"/>
        <v>561854.25</v>
      </c>
      <c r="BC620" s="62">
        <f t="shared" si="260"/>
        <v>4780186.1500000004</v>
      </c>
      <c r="BD620" s="63">
        <v>4846286.6499999994</v>
      </c>
      <c r="BE620" s="57">
        <f t="shared" si="247"/>
        <v>106618.3063</v>
      </c>
      <c r="BF620" s="35" t="str">
        <f>VLOOKUP(A:A,'2023-2027'!A:G,1,+FALSE)</f>
        <v>Воздушная линия 6кВ от распределительного пункта "Водозабор" до территории Воинской части №12403 и до территории "Свалка"</v>
      </c>
      <c r="BG620" s="7" t="b">
        <f t="shared" si="256"/>
        <v>1</v>
      </c>
      <c r="BH620" s="35">
        <f>VLOOKUP(A:A,'2023-2027'!A:AT,43,+FALSE)</f>
        <v>11129.25</v>
      </c>
    </row>
    <row r="621" spans="1:60" ht="36" hidden="1" customHeight="1" outlineLevel="1" x14ac:dyDescent="0.2">
      <c r="A621" s="59" t="s">
        <v>1482</v>
      </c>
      <c r="B621" s="59" t="s">
        <v>44</v>
      </c>
      <c r="C621" s="59" t="s">
        <v>82</v>
      </c>
      <c r="D621" s="66" t="s">
        <v>1483</v>
      </c>
      <c r="E621" s="59" t="s">
        <v>505</v>
      </c>
      <c r="F621" s="60">
        <v>10441328.130000001</v>
      </c>
      <c r="G621" s="60">
        <v>208154.52</v>
      </c>
      <c r="H621" s="60">
        <v>10233173.609999999</v>
      </c>
      <c r="I621" s="59"/>
      <c r="J621" s="60">
        <v>208154.52</v>
      </c>
      <c r="K621" s="59"/>
      <c r="L621" s="59"/>
      <c r="M621" s="60">
        <v>10441328.130000001</v>
      </c>
      <c r="N621" s="60">
        <v>416309.04</v>
      </c>
      <c r="O621" s="60">
        <v>10025019.09</v>
      </c>
      <c r="P621" s="55">
        <v>10129096.35</v>
      </c>
      <c r="Q621" s="55">
        <f t="shared" si="244"/>
        <v>222840.11970000001</v>
      </c>
      <c r="R621" s="61">
        <f t="shared" si="249"/>
        <v>17346.21</v>
      </c>
      <c r="S621" s="60">
        <v>17346.21</v>
      </c>
      <c r="T621" s="60">
        <v>17346.21</v>
      </c>
      <c r="U621" s="60">
        <v>17346.21</v>
      </c>
      <c r="V621" s="60">
        <v>17346.21</v>
      </c>
      <c r="W621" s="60">
        <v>17346.21</v>
      </c>
      <c r="X621" s="61">
        <f t="shared" si="250"/>
        <v>104077.25999999998</v>
      </c>
      <c r="Y621" s="60">
        <v>17346.21</v>
      </c>
      <c r="Z621" s="60">
        <v>17346.21</v>
      </c>
      <c r="AA621" s="60">
        <v>17346.21</v>
      </c>
      <c r="AB621" s="60">
        <v>17346.21</v>
      </c>
      <c r="AC621" s="60">
        <v>17346.21</v>
      </c>
      <c r="AD621" s="60">
        <v>17346.21</v>
      </c>
      <c r="AE621" s="61">
        <f t="shared" si="251"/>
        <v>104077.25999999998</v>
      </c>
      <c r="AF621" s="62">
        <f t="shared" si="258"/>
        <v>10441328.130000001</v>
      </c>
      <c r="AG621" s="62">
        <f t="shared" si="257"/>
        <v>624463.55999999994</v>
      </c>
      <c r="AH621" s="62">
        <f t="shared" si="255"/>
        <v>9816864.5700000003</v>
      </c>
      <c r="AI621" s="63">
        <v>9920941.8300000057</v>
      </c>
      <c r="AJ621" s="63">
        <f t="shared" si="245"/>
        <v>218260.72026000015</v>
      </c>
      <c r="AK621" s="72">
        <f t="shared" si="246"/>
        <v>218260.72026000015</v>
      </c>
      <c r="AL621" s="60">
        <v>17346.21</v>
      </c>
      <c r="AM621" s="60">
        <v>17346.21</v>
      </c>
      <c r="AN621" s="60">
        <v>17346.21</v>
      </c>
      <c r="AO621" s="60">
        <v>17346.21</v>
      </c>
      <c r="AP621" s="60">
        <v>17346.21</v>
      </c>
      <c r="AQ621" s="60">
        <v>17346.21</v>
      </c>
      <c r="AR621" s="61">
        <f t="shared" si="252"/>
        <v>104077.25999999998</v>
      </c>
      <c r="AS621" s="60">
        <v>17346.21</v>
      </c>
      <c r="AT621" s="60">
        <v>17346.21</v>
      </c>
      <c r="AU621" s="60">
        <v>17346.21</v>
      </c>
      <c r="AV621" s="60">
        <v>17346.21</v>
      </c>
      <c r="AW621" s="60">
        <v>17346.21</v>
      </c>
      <c r="AX621" s="60">
        <v>17346.21</v>
      </c>
      <c r="AY621" s="61">
        <f t="shared" si="253"/>
        <v>104077.25999999998</v>
      </c>
      <c r="AZ621" s="56">
        <f t="shared" si="248"/>
        <v>208154.51999999996</v>
      </c>
      <c r="BA621" s="62">
        <f t="shared" si="259"/>
        <v>10441328.130000001</v>
      </c>
      <c r="BB621" s="62">
        <f t="shared" si="254"/>
        <v>832618.07999999949</v>
      </c>
      <c r="BC621" s="62">
        <f t="shared" si="260"/>
        <v>9608710.0500000007</v>
      </c>
      <c r="BD621" s="63">
        <v>9712787.3100000173</v>
      </c>
      <c r="BE621" s="57">
        <f t="shared" si="247"/>
        <v>213681.3208200004</v>
      </c>
      <c r="BF621" s="35" t="str">
        <f>VLOOKUP(A:A,'2023-2027'!A:G,1,+FALSE)</f>
        <v>Воздушные линии 6 кВ в составе объекта "ТП-63/1 "Озерная 16" в районе ул. Озерная д.7а"</v>
      </c>
      <c r="BG621" s="7" t="b">
        <f t="shared" si="256"/>
        <v>1</v>
      </c>
      <c r="BH621" s="35">
        <f>VLOOKUP(A:A,'2023-2027'!A:AT,43,+FALSE)</f>
        <v>17402.209999999995</v>
      </c>
    </row>
    <row r="622" spans="1:60" ht="24" hidden="1" customHeight="1" outlineLevel="1" x14ac:dyDescent="0.2">
      <c r="A622" s="59" t="s">
        <v>1484</v>
      </c>
      <c r="B622" s="59" t="s">
        <v>44</v>
      </c>
      <c r="C622" s="59" t="s">
        <v>82</v>
      </c>
      <c r="D622" s="65" t="s">
        <v>1485</v>
      </c>
      <c r="E622" s="59" t="s">
        <v>1486</v>
      </c>
      <c r="F622" s="60">
        <v>23644.07</v>
      </c>
      <c r="G622" s="60">
        <v>23644.07</v>
      </c>
      <c r="H622" s="59"/>
      <c r="I622" s="59"/>
      <c r="J622" s="59"/>
      <c r="K622" s="60">
        <v>23644.07</v>
      </c>
      <c r="L622" s="60">
        <v>23644.07</v>
      </c>
      <c r="M622" s="59"/>
      <c r="N622" s="59"/>
      <c r="O622" s="59"/>
      <c r="P622" s="67"/>
      <c r="Q622" s="67"/>
      <c r="R622" s="61">
        <f t="shared" si="249"/>
        <v>0</v>
      </c>
      <c r="S622" s="60">
        <v>0</v>
      </c>
      <c r="T622" s="60">
        <v>0</v>
      </c>
      <c r="U622" s="60">
        <v>0</v>
      </c>
      <c r="V622" s="60">
        <v>0</v>
      </c>
      <c r="W622" s="60">
        <v>0</v>
      </c>
      <c r="X622" s="61">
        <f t="shared" si="250"/>
        <v>0</v>
      </c>
      <c r="Y622" s="60">
        <v>0</v>
      </c>
      <c r="Z622" s="60">
        <v>0</v>
      </c>
      <c r="AA622" s="60">
        <v>0</v>
      </c>
      <c r="AB622" s="60">
        <v>0</v>
      </c>
      <c r="AC622" s="60">
        <v>0</v>
      </c>
      <c r="AD622" s="60">
        <v>0</v>
      </c>
      <c r="AE622" s="61">
        <f t="shared" si="251"/>
        <v>0</v>
      </c>
      <c r="AF622" s="62">
        <f t="shared" si="258"/>
        <v>0</v>
      </c>
      <c r="AG622" s="62">
        <f t="shared" si="257"/>
        <v>0</v>
      </c>
      <c r="AH622" s="62">
        <f t="shared" si="255"/>
        <v>0</v>
      </c>
      <c r="AI622" s="63"/>
      <c r="AJ622" s="63"/>
      <c r="AK622" s="62"/>
      <c r="AL622" s="60">
        <v>0</v>
      </c>
      <c r="AM622" s="60">
        <v>0</v>
      </c>
      <c r="AN622" s="60">
        <v>0</v>
      </c>
      <c r="AO622" s="60">
        <v>0</v>
      </c>
      <c r="AP622" s="60">
        <v>0</v>
      </c>
      <c r="AQ622" s="60">
        <v>0</v>
      </c>
      <c r="AR622" s="61">
        <f t="shared" si="252"/>
        <v>0</v>
      </c>
      <c r="AS622" s="60">
        <v>0</v>
      </c>
      <c r="AT622" s="60">
        <v>0</v>
      </c>
      <c r="AU622" s="60">
        <v>0</v>
      </c>
      <c r="AV622" s="60">
        <v>0</v>
      </c>
      <c r="AW622" s="60">
        <v>0</v>
      </c>
      <c r="AX622" s="60">
        <v>0</v>
      </c>
      <c r="AY622" s="61">
        <f t="shared" si="253"/>
        <v>0</v>
      </c>
      <c r="AZ622" s="56">
        <f t="shared" si="248"/>
        <v>0</v>
      </c>
      <c r="BA622" s="62">
        <f t="shared" si="259"/>
        <v>0</v>
      </c>
      <c r="BB622" s="62">
        <f t="shared" si="254"/>
        <v>0</v>
      </c>
      <c r="BC622" s="62">
        <f t="shared" si="260"/>
        <v>0</v>
      </c>
      <c r="BD622" s="63"/>
      <c r="BE622" s="57"/>
      <c r="BF622" s="35" t="e">
        <f>VLOOKUP(A:A,'2023-2027'!A:G,1,+FALSE)</f>
        <v>#N/A</v>
      </c>
      <c r="BG622" s="7" t="e">
        <f t="shared" si="256"/>
        <v>#N/A</v>
      </c>
      <c r="BH622" s="35"/>
    </row>
    <row r="623" spans="1:60" ht="24" hidden="1" customHeight="1" outlineLevel="1" x14ac:dyDescent="0.2">
      <c r="A623" s="59" t="s">
        <v>1487</v>
      </c>
      <c r="B623" s="59" t="s">
        <v>44</v>
      </c>
      <c r="C623" s="59" t="s">
        <v>82</v>
      </c>
      <c r="D623" s="65" t="s">
        <v>1488</v>
      </c>
      <c r="E623" s="59" t="s">
        <v>1489</v>
      </c>
      <c r="F623" s="60">
        <v>46658.47</v>
      </c>
      <c r="G623" s="60">
        <v>24380.720000000001</v>
      </c>
      <c r="H623" s="60">
        <v>22277.75</v>
      </c>
      <c r="I623" s="59"/>
      <c r="J623" s="60">
        <v>1485.23</v>
      </c>
      <c r="K623" s="59"/>
      <c r="L623" s="59"/>
      <c r="M623" s="60">
        <v>46658.47</v>
      </c>
      <c r="N623" s="60">
        <v>25865.95</v>
      </c>
      <c r="O623" s="60">
        <v>20792.52</v>
      </c>
      <c r="P623" s="55"/>
      <c r="Q623" s="55"/>
      <c r="R623" s="61">
        <f t="shared" si="249"/>
        <v>123.76916666666666</v>
      </c>
      <c r="S623" s="60">
        <v>123.7691667</v>
      </c>
      <c r="T623" s="60">
        <v>123.7691667</v>
      </c>
      <c r="U623" s="60">
        <v>123.7691667</v>
      </c>
      <c r="V623" s="60">
        <v>123.7691667</v>
      </c>
      <c r="W623" s="60">
        <v>123.7691667</v>
      </c>
      <c r="X623" s="61">
        <f t="shared" si="250"/>
        <v>742.61500016666673</v>
      </c>
      <c r="Y623" s="60">
        <v>123.7691667</v>
      </c>
      <c r="Z623" s="60">
        <v>123.7691667</v>
      </c>
      <c r="AA623" s="60">
        <v>123.7691667</v>
      </c>
      <c r="AB623" s="60">
        <v>123.7691667</v>
      </c>
      <c r="AC623" s="60">
        <v>123.7691667</v>
      </c>
      <c r="AD623" s="60">
        <v>123.7691667</v>
      </c>
      <c r="AE623" s="61">
        <f t="shared" si="251"/>
        <v>742.61500020000005</v>
      </c>
      <c r="AF623" s="62">
        <f t="shared" si="258"/>
        <v>46658.47</v>
      </c>
      <c r="AG623" s="62">
        <f t="shared" si="257"/>
        <v>27351.180000366665</v>
      </c>
      <c r="AH623" s="62">
        <f t="shared" si="255"/>
        <v>19307.289999633336</v>
      </c>
      <c r="AI623" s="63"/>
      <c r="AJ623" s="63"/>
      <c r="AK623" s="62"/>
      <c r="AL623" s="60">
        <v>123.7691667</v>
      </c>
      <c r="AM623" s="60">
        <v>123.7691667</v>
      </c>
      <c r="AN623" s="60">
        <v>123.7691667</v>
      </c>
      <c r="AO623" s="60">
        <v>123.7691667</v>
      </c>
      <c r="AP623" s="60">
        <v>123.7691667</v>
      </c>
      <c r="AQ623" s="60">
        <v>123.7691667</v>
      </c>
      <c r="AR623" s="61">
        <f t="shared" si="252"/>
        <v>742.61500020000005</v>
      </c>
      <c r="AS623" s="60">
        <v>123.7691667</v>
      </c>
      <c r="AT623" s="60">
        <v>123.7691667</v>
      </c>
      <c r="AU623" s="60">
        <v>123.7691667</v>
      </c>
      <c r="AV623" s="60">
        <v>123.7691667</v>
      </c>
      <c r="AW623" s="60">
        <v>123.7691667</v>
      </c>
      <c r="AX623" s="60">
        <v>123.7691667</v>
      </c>
      <c r="AY623" s="61">
        <f t="shared" si="253"/>
        <v>742.61500020000005</v>
      </c>
      <c r="AZ623" s="56">
        <f t="shared" si="248"/>
        <v>1485.2300004000001</v>
      </c>
      <c r="BA623" s="62">
        <f t="shared" si="259"/>
        <v>46658.47</v>
      </c>
      <c r="BB623" s="62">
        <f t="shared" si="254"/>
        <v>28836.410000766664</v>
      </c>
      <c r="BC623" s="62">
        <f t="shared" si="260"/>
        <v>17822.059999233337</v>
      </c>
      <c r="BD623" s="63"/>
      <c r="BE623" s="57"/>
      <c r="BF623" s="35" t="e">
        <f>VLOOKUP(A:A,'2023-2027'!A:G,1,+FALSE)</f>
        <v>#N/A</v>
      </c>
      <c r="BG623" s="7" t="e">
        <f t="shared" si="256"/>
        <v>#N/A</v>
      </c>
      <c r="BH623" s="35"/>
    </row>
    <row r="624" spans="1:60" ht="24" hidden="1" customHeight="1" outlineLevel="1" x14ac:dyDescent="0.2">
      <c r="A624" s="59" t="s">
        <v>1490</v>
      </c>
      <c r="B624" s="59" t="s">
        <v>44</v>
      </c>
      <c r="C624" s="59" t="s">
        <v>82</v>
      </c>
      <c r="D624" s="65" t="s">
        <v>1491</v>
      </c>
      <c r="E624" s="59" t="s">
        <v>1489</v>
      </c>
      <c r="F624" s="60">
        <v>46658.48</v>
      </c>
      <c r="G624" s="60">
        <v>24380.720000000001</v>
      </c>
      <c r="H624" s="60">
        <v>22277.759999999998</v>
      </c>
      <c r="I624" s="59"/>
      <c r="J624" s="60">
        <v>1485.24</v>
      </c>
      <c r="K624" s="59"/>
      <c r="L624" s="59"/>
      <c r="M624" s="60">
        <v>46658.48</v>
      </c>
      <c r="N624" s="60">
        <v>25865.96</v>
      </c>
      <c r="O624" s="60">
        <v>20792.52</v>
      </c>
      <c r="P624" s="55"/>
      <c r="Q624" s="55"/>
      <c r="R624" s="61">
        <f t="shared" si="249"/>
        <v>123.77</v>
      </c>
      <c r="S624" s="60">
        <v>123.77</v>
      </c>
      <c r="T624" s="60">
        <v>123.77</v>
      </c>
      <c r="U624" s="60">
        <v>123.77</v>
      </c>
      <c r="V624" s="60">
        <v>123.77</v>
      </c>
      <c r="W624" s="60">
        <v>123.77</v>
      </c>
      <c r="X624" s="61">
        <f t="shared" si="250"/>
        <v>742.62</v>
      </c>
      <c r="Y624" s="60">
        <v>123.77</v>
      </c>
      <c r="Z624" s="60">
        <v>123.77</v>
      </c>
      <c r="AA624" s="60">
        <v>123.77</v>
      </c>
      <c r="AB624" s="60">
        <v>123.77</v>
      </c>
      <c r="AC624" s="60">
        <v>123.77</v>
      </c>
      <c r="AD624" s="60">
        <v>123.77</v>
      </c>
      <c r="AE624" s="61">
        <f t="shared" si="251"/>
        <v>742.62</v>
      </c>
      <c r="AF624" s="62">
        <f t="shared" si="258"/>
        <v>46658.48</v>
      </c>
      <c r="AG624" s="62">
        <f t="shared" si="257"/>
        <v>27351.200000000004</v>
      </c>
      <c r="AH624" s="62">
        <f t="shared" si="255"/>
        <v>19307.28</v>
      </c>
      <c r="AI624" s="63"/>
      <c r="AJ624" s="63"/>
      <c r="AK624" s="62"/>
      <c r="AL624" s="60">
        <v>123.77</v>
      </c>
      <c r="AM624" s="60">
        <v>123.77</v>
      </c>
      <c r="AN624" s="60">
        <v>123.77</v>
      </c>
      <c r="AO624" s="60">
        <v>123.77</v>
      </c>
      <c r="AP624" s="60">
        <v>123.77</v>
      </c>
      <c r="AQ624" s="60">
        <v>123.77</v>
      </c>
      <c r="AR624" s="61">
        <f t="shared" si="252"/>
        <v>742.62</v>
      </c>
      <c r="AS624" s="60">
        <v>123.77</v>
      </c>
      <c r="AT624" s="60">
        <v>123.77</v>
      </c>
      <c r="AU624" s="60">
        <v>123.77</v>
      </c>
      <c r="AV624" s="60">
        <v>123.77</v>
      </c>
      <c r="AW624" s="60">
        <v>123.77</v>
      </c>
      <c r="AX624" s="60">
        <v>123.77</v>
      </c>
      <c r="AY624" s="61">
        <f t="shared" si="253"/>
        <v>742.62</v>
      </c>
      <c r="AZ624" s="56">
        <f t="shared" si="248"/>
        <v>1485.24</v>
      </c>
      <c r="BA624" s="62">
        <f t="shared" si="259"/>
        <v>46658.48</v>
      </c>
      <c r="BB624" s="62">
        <f t="shared" si="254"/>
        <v>28836.44000000001</v>
      </c>
      <c r="BC624" s="62">
        <f t="shared" si="260"/>
        <v>17822.039999999994</v>
      </c>
      <c r="BD624" s="63"/>
      <c r="BE624" s="57"/>
      <c r="BF624" s="35" t="e">
        <f>VLOOKUP(A:A,'2023-2027'!A:G,1,+FALSE)</f>
        <v>#N/A</v>
      </c>
      <c r="BG624" s="7" t="e">
        <f t="shared" si="256"/>
        <v>#N/A</v>
      </c>
      <c r="BH624" s="35"/>
    </row>
    <row r="625" spans="1:60" ht="24" hidden="1" customHeight="1" outlineLevel="1" x14ac:dyDescent="0.2">
      <c r="A625" s="59" t="s">
        <v>1492</v>
      </c>
      <c r="B625" s="59" t="s">
        <v>44</v>
      </c>
      <c r="C625" s="59" t="s">
        <v>82</v>
      </c>
      <c r="D625" s="66" t="s">
        <v>1493</v>
      </c>
      <c r="E625" s="59" t="s">
        <v>440</v>
      </c>
      <c r="F625" s="60">
        <v>23644.07</v>
      </c>
      <c r="G625" s="60">
        <v>23644.07</v>
      </c>
      <c r="H625" s="59"/>
      <c r="I625" s="59"/>
      <c r="J625" s="59"/>
      <c r="K625" s="60">
        <v>23644.07</v>
      </c>
      <c r="L625" s="60">
        <v>23644.07</v>
      </c>
      <c r="M625" s="59"/>
      <c r="N625" s="59"/>
      <c r="O625" s="59"/>
      <c r="P625" s="67"/>
      <c r="Q625" s="67"/>
      <c r="R625" s="61">
        <f t="shared" si="249"/>
        <v>0</v>
      </c>
      <c r="S625" s="60">
        <v>0</v>
      </c>
      <c r="T625" s="60">
        <v>0</v>
      </c>
      <c r="U625" s="60">
        <v>0</v>
      </c>
      <c r="V625" s="60">
        <v>0</v>
      </c>
      <c r="W625" s="60">
        <v>0</v>
      </c>
      <c r="X625" s="61">
        <f t="shared" si="250"/>
        <v>0</v>
      </c>
      <c r="Y625" s="60">
        <v>0</v>
      </c>
      <c r="Z625" s="60">
        <v>0</v>
      </c>
      <c r="AA625" s="60">
        <v>0</v>
      </c>
      <c r="AB625" s="60">
        <v>0</v>
      </c>
      <c r="AC625" s="60">
        <v>0</v>
      </c>
      <c r="AD625" s="60">
        <v>0</v>
      </c>
      <c r="AE625" s="61">
        <f t="shared" si="251"/>
        <v>0</v>
      </c>
      <c r="AF625" s="62">
        <f t="shared" si="258"/>
        <v>0</v>
      </c>
      <c r="AG625" s="62">
        <f t="shared" si="257"/>
        <v>0</v>
      </c>
      <c r="AH625" s="62">
        <f t="shared" si="255"/>
        <v>0</v>
      </c>
      <c r="AI625" s="63"/>
      <c r="AJ625" s="63"/>
      <c r="AK625" s="62"/>
      <c r="AL625" s="60">
        <v>0</v>
      </c>
      <c r="AM625" s="60">
        <v>0</v>
      </c>
      <c r="AN625" s="60">
        <v>0</v>
      </c>
      <c r="AO625" s="60">
        <v>0</v>
      </c>
      <c r="AP625" s="60">
        <v>0</v>
      </c>
      <c r="AQ625" s="60">
        <v>0</v>
      </c>
      <c r="AR625" s="61">
        <f t="shared" si="252"/>
        <v>0</v>
      </c>
      <c r="AS625" s="60">
        <v>0</v>
      </c>
      <c r="AT625" s="60">
        <v>0</v>
      </c>
      <c r="AU625" s="60">
        <v>0</v>
      </c>
      <c r="AV625" s="60">
        <v>0</v>
      </c>
      <c r="AW625" s="60">
        <v>0</v>
      </c>
      <c r="AX625" s="60">
        <v>0</v>
      </c>
      <c r="AY625" s="61">
        <f t="shared" si="253"/>
        <v>0</v>
      </c>
      <c r="AZ625" s="56">
        <f t="shared" si="248"/>
        <v>0</v>
      </c>
      <c r="BA625" s="62">
        <f t="shared" si="259"/>
        <v>0</v>
      </c>
      <c r="BB625" s="62">
        <f t="shared" si="254"/>
        <v>0</v>
      </c>
      <c r="BC625" s="62">
        <f t="shared" si="260"/>
        <v>0</v>
      </c>
      <c r="BD625" s="63"/>
      <c r="BE625" s="57"/>
      <c r="BF625" s="35" t="str">
        <f>VLOOKUP(A:A,'2023-2027'!A:G,1,+FALSE)</f>
        <v>Выключатель автоматический ВА-5541 1000А</v>
      </c>
      <c r="BG625" s="7" t="b">
        <f t="shared" si="256"/>
        <v>1</v>
      </c>
      <c r="BH625" s="35">
        <f>VLOOKUP(A:A,'2023-2027'!A:AT,43,+FALSE)</f>
        <v>0</v>
      </c>
    </row>
    <row r="626" spans="1:60" ht="36" hidden="1" customHeight="1" outlineLevel="1" x14ac:dyDescent="0.2">
      <c r="A626" s="59" t="s">
        <v>1494</v>
      </c>
      <c r="B626" s="59" t="s">
        <v>44</v>
      </c>
      <c r="C626" s="59" t="s">
        <v>82</v>
      </c>
      <c r="D626" s="66" t="s">
        <v>1495</v>
      </c>
      <c r="E626" s="59" t="s">
        <v>1496</v>
      </c>
      <c r="F626" s="60">
        <v>2610798.79</v>
      </c>
      <c r="G626" s="60">
        <v>797744.2</v>
      </c>
      <c r="H626" s="60">
        <v>1813054.59</v>
      </c>
      <c r="I626" s="59"/>
      <c r="J626" s="60">
        <v>87026.64</v>
      </c>
      <c r="K626" s="59"/>
      <c r="L626" s="59"/>
      <c r="M626" s="60">
        <v>2610798.79</v>
      </c>
      <c r="N626" s="60">
        <v>884770.84</v>
      </c>
      <c r="O626" s="60">
        <v>1726027.95</v>
      </c>
      <c r="P626" s="55">
        <v>1769541.27</v>
      </c>
      <c r="Q626" s="55">
        <f>P626*2.2%</f>
        <v>38929.907940000005</v>
      </c>
      <c r="R626" s="61">
        <f t="shared" si="249"/>
        <v>7252.22</v>
      </c>
      <c r="S626" s="60">
        <v>7252.22</v>
      </c>
      <c r="T626" s="60">
        <v>7252.22</v>
      </c>
      <c r="U626" s="60">
        <v>7252.22</v>
      </c>
      <c r="V626" s="60">
        <v>7252.22</v>
      </c>
      <c r="W626" s="60">
        <v>7252.22</v>
      </c>
      <c r="X626" s="61">
        <f t="shared" si="250"/>
        <v>43513.32</v>
      </c>
      <c r="Y626" s="60">
        <v>7252.22</v>
      </c>
      <c r="Z626" s="60">
        <v>7252.22</v>
      </c>
      <c r="AA626" s="60">
        <v>7252.22</v>
      </c>
      <c r="AB626" s="60">
        <v>7252.22</v>
      </c>
      <c r="AC626" s="60">
        <v>7252.22</v>
      </c>
      <c r="AD626" s="60">
        <v>7252.22</v>
      </c>
      <c r="AE626" s="61">
        <f t="shared" si="251"/>
        <v>43513.32</v>
      </c>
      <c r="AF626" s="62">
        <f t="shared" si="258"/>
        <v>2610798.79</v>
      </c>
      <c r="AG626" s="62">
        <f t="shared" si="257"/>
        <v>971797.47999999963</v>
      </c>
      <c r="AH626" s="62">
        <f t="shared" si="255"/>
        <v>1639001.3100000005</v>
      </c>
      <c r="AI626" s="63">
        <v>1682514.63</v>
      </c>
      <c r="AJ626" s="63">
        <f t="shared" ref="AJ626" si="261">AI626*2.2%</f>
        <v>37015.321860000004</v>
      </c>
      <c r="AK626" s="62"/>
      <c r="AL626" s="60">
        <v>7252.22</v>
      </c>
      <c r="AM626" s="60">
        <v>7252.22</v>
      </c>
      <c r="AN626" s="60">
        <v>7252.22</v>
      </c>
      <c r="AO626" s="60">
        <v>7252.22</v>
      </c>
      <c r="AP626" s="60">
        <v>7252.22</v>
      </c>
      <c r="AQ626" s="60">
        <v>7252.22</v>
      </c>
      <c r="AR626" s="61">
        <f t="shared" si="252"/>
        <v>43513.32</v>
      </c>
      <c r="AS626" s="60">
        <v>7252.22</v>
      </c>
      <c r="AT626" s="60">
        <v>7252.22</v>
      </c>
      <c r="AU626" s="60">
        <v>7252.22</v>
      </c>
      <c r="AV626" s="60">
        <v>7252.22</v>
      </c>
      <c r="AW626" s="60">
        <v>7252.22</v>
      </c>
      <c r="AX626" s="60">
        <v>7252.22</v>
      </c>
      <c r="AY626" s="61">
        <f t="shared" si="253"/>
        <v>43513.32</v>
      </c>
      <c r="AZ626" s="56">
        <f t="shared" si="248"/>
        <v>87026.64</v>
      </c>
      <c r="BA626" s="62">
        <f t="shared" si="259"/>
        <v>2610798.79</v>
      </c>
      <c r="BB626" s="62">
        <f t="shared" si="254"/>
        <v>1058824.1199999994</v>
      </c>
      <c r="BC626" s="62">
        <f t="shared" si="260"/>
        <v>1551974.6700000006</v>
      </c>
      <c r="BD626" s="63">
        <v>1595487.9900000007</v>
      </c>
      <c r="BE626" s="57">
        <f t="shared" ref="BE626" si="262">BD626*2.2%</f>
        <v>35100.735780000017</v>
      </c>
      <c r="BF626" s="35" t="str">
        <f>VLOOKUP(A:A,'2023-2027'!A:G,1,+FALSE)</f>
        <v>Высоковольтные сети электроснабжения 150 м п. Мирный (ТП №91)</v>
      </c>
      <c r="BG626" s="7" t="b">
        <f t="shared" si="256"/>
        <v>1</v>
      </c>
      <c r="BH626" s="35">
        <f>VLOOKUP(A:A,'2023-2027'!A:AT,43,+FALSE)</f>
        <v>7252.22</v>
      </c>
    </row>
    <row r="627" spans="1:60" ht="12" hidden="1" customHeight="1" outlineLevel="1" x14ac:dyDescent="0.2">
      <c r="A627" s="59" t="s">
        <v>1497</v>
      </c>
      <c r="B627" s="59" t="s">
        <v>44</v>
      </c>
      <c r="C627" s="59" t="s">
        <v>82</v>
      </c>
      <c r="D627" s="66" t="s">
        <v>1498</v>
      </c>
      <c r="E627" s="59" t="s">
        <v>414</v>
      </c>
      <c r="F627" s="60">
        <v>87175.76</v>
      </c>
      <c r="G627" s="60">
        <v>44625.83</v>
      </c>
      <c r="H627" s="60">
        <v>42549.93</v>
      </c>
      <c r="I627" s="59"/>
      <c r="J627" s="60">
        <v>12453.6</v>
      </c>
      <c r="K627" s="59"/>
      <c r="L627" s="59"/>
      <c r="M627" s="60">
        <v>87175.76</v>
      </c>
      <c r="N627" s="60">
        <v>57079.43</v>
      </c>
      <c r="O627" s="60">
        <v>30096.33</v>
      </c>
      <c r="P627" s="55"/>
      <c r="Q627" s="55"/>
      <c r="R627" s="61">
        <f t="shared" si="249"/>
        <v>1037.8</v>
      </c>
      <c r="S627" s="60">
        <v>1037.8</v>
      </c>
      <c r="T627" s="60">
        <v>1037.8</v>
      </c>
      <c r="U627" s="60">
        <v>1037.8</v>
      </c>
      <c r="V627" s="60">
        <v>1037.8</v>
      </c>
      <c r="W627" s="60">
        <v>1037.8</v>
      </c>
      <c r="X627" s="61">
        <f t="shared" si="250"/>
        <v>6226.8</v>
      </c>
      <c r="Y627" s="60">
        <v>1037.8</v>
      </c>
      <c r="Z627" s="60">
        <v>1037.8</v>
      </c>
      <c r="AA627" s="60">
        <v>1037.8</v>
      </c>
      <c r="AB627" s="60">
        <v>1037.8</v>
      </c>
      <c r="AC627" s="60">
        <v>1037.8</v>
      </c>
      <c r="AD627" s="60">
        <v>1037.8</v>
      </c>
      <c r="AE627" s="61">
        <f t="shared" si="251"/>
        <v>6226.8</v>
      </c>
      <c r="AF627" s="62">
        <f t="shared" si="258"/>
        <v>87175.76</v>
      </c>
      <c r="AG627" s="62">
        <f t="shared" si="257"/>
        <v>69533.030000000028</v>
      </c>
      <c r="AH627" s="62">
        <f t="shared" si="255"/>
        <v>17642.729999999967</v>
      </c>
      <c r="AI627" s="63"/>
      <c r="AJ627" s="63"/>
      <c r="AK627" s="62"/>
      <c r="AL627" s="60">
        <v>1037.8</v>
      </c>
      <c r="AM627" s="60">
        <v>1037.8</v>
      </c>
      <c r="AN627" s="60">
        <v>1037.8</v>
      </c>
      <c r="AO627" s="60">
        <v>1037.8</v>
      </c>
      <c r="AP627" s="60">
        <v>1037.8</v>
      </c>
      <c r="AQ627" s="60">
        <v>1037.8</v>
      </c>
      <c r="AR627" s="61">
        <f t="shared" si="252"/>
        <v>6226.8</v>
      </c>
      <c r="AS627" s="60">
        <v>1037.8</v>
      </c>
      <c r="AT627" s="60">
        <v>1037.8</v>
      </c>
      <c r="AU627" s="60">
        <v>1037.8</v>
      </c>
      <c r="AV627" s="60">
        <v>1037.8</v>
      </c>
      <c r="AW627" s="60">
        <v>1037.8</v>
      </c>
      <c r="AX627" s="60">
        <v>1037.8</v>
      </c>
      <c r="AY627" s="61">
        <f t="shared" si="253"/>
        <v>6226.8</v>
      </c>
      <c r="AZ627" s="56">
        <f t="shared" si="248"/>
        <v>12453.6</v>
      </c>
      <c r="BA627" s="62">
        <f t="shared" si="259"/>
        <v>87175.76</v>
      </c>
      <c r="BB627" s="62">
        <f t="shared" si="254"/>
        <v>81986.630000000063</v>
      </c>
      <c r="BC627" s="62">
        <f t="shared" si="260"/>
        <v>5189.1299999999319</v>
      </c>
      <c r="BD627" s="63"/>
      <c r="BE627" s="57"/>
      <c r="BF627" s="35" t="str">
        <f>VLOOKUP(A:A,'2023-2027'!A:G,1,+FALSE)</f>
        <v>Генератор силовой Е-100</v>
      </c>
      <c r="BG627" s="7" t="b">
        <f t="shared" si="256"/>
        <v>1</v>
      </c>
      <c r="BH627" s="35">
        <f>VLOOKUP(A:A,'2023-2027'!A:AT,43,+FALSE)</f>
        <v>1037.8</v>
      </c>
    </row>
    <row r="628" spans="1:60" ht="12" hidden="1" customHeight="1" outlineLevel="1" x14ac:dyDescent="0.2">
      <c r="A628" s="59" t="s">
        <v>1499</v>
      </c>
      <c r="B628" s="59" t="s">
        <v>44</v>
      </c>
      <c r="C628" s="59" t="s">
        <v>82</v>
      </c>
      <c r="D628" s="65" t="s">
        <v>1500</v>
      </c>
      <c r="E628" s="59" t="s">
        <v>1501</v>
      </c>
      <c r="F628" s="60">
        <v>24535</v>
      </c>
      <c r="G628" s="60">
        <v>14778.17</v>
      </c>
      <c r="H628" s="60">
        <v>9756.83</v>
      </c>
      <c r="I628" s="59"/>
      <c r="J628" s="68">
        <v>435.72</v>
      </c>
      <c r="K628" s="59"/>
      <c r="L628" s="59"/>
      <c r="M628" s="60">
        <v>24535</v>
      </c>
      <c r="N628" s="60">
        <v>15213.89</v>
      </c>
      <c r="O628" s="60">
        <v>9321.11</v>
      </c>
      <c r="P628" s="55">
        <v>9538.9699999999993</v>
      </c>
      <c r="Q628" s="55">
        <f>P628*2.2%</f>
        <v>209.85733999999999</v>
      </c>
      <c r="R628" s="61">
        <f t="shared" si="249"/>
        <v>36.31</v>
      </c>
      <c r="S628" s="60">
        <v>36.31</v>
      </c>
      <c r="T628" s="60">
        <v>36.31</v>
      </c>
      <c r="U628" s="60">
        <v>36.31</v>
      </c>
      <c r="V628" s="60">
        <v>36.31</v>
      </c>
      <c r="W628" s="60">
        <v>36.31</v>
      </c>
      <c r="X628" s="61">
        <f t="shared" si="250"/>
        <v>217.86</v>
      </c>
      <c r="Y628" s="60">
        <v>36.31</v>
      </c>
      <c r="Z628" s="60">
        <v>36.31</v>
      </c>
      <c r="AA628" s="60">
        <v>36.31</v>
      </c>
      <c r="AB628" s="60">
        <v>36.31</v>
      </c>
      <c r="AC628" s="60">
        <v>36.31</v>
      </c>
      <c r="AD628" s="60">
        <v>36.31</v>
      </c>
      <c r="AE628" s="61">
        <f t="shared" si="251"/>
        <v>217.86</v>
      </c>
      <c r="AF628" s="62">
        <f t="shared" si="258"/>
        <v>24535</v>
      </c>
      <c r="AG628" s="62">
        <f t="shared" si="257"/>
        <v>15649.609999999993</v>
      </c>
      <c r="AH628" s="62">
        <f t="shared" si="255"/>
        <v>8885.3900000000067</v>
      </c>
      <c r="AI628" s="63">
        <v>9103.2500000000036</v>
      </c>
      <c r="AJ628" s="63">
        <f t="shared" ref="AJ628" si="263">AI628*2.2%</f>
        <v>200.27150000000009</v>
      </c>
      <c r="AK628" s="62"/>
      <c r="AL628" s="60">
        <v>36.31</v>
      </c>
      <c r="AM628" s="60">
        <v>36.31</v>
      </c>
      <c r="AN628" s="60">
        <v>36.31</v>
      </c>
      <c r="AO628" s="60">
        <v>36.31</v>
      </c>
      <c r="AP628" s="60">
        <v>36.31</v>
      </c>
      <c r="AQ628" s="60">
        <v>36.31</v>
      </c>
      <c r="AR628" s="61">
        <f t="shared" si="252"/>
        <v>217.86</v>
      </c>
      <c r="AS628" s="60">
        <v>36.31</v>
      </c>
      <c r="AT628" s="60">
        <v>36.31</v>
      </c>
      <c r="AU628" s="60">
        <v>36.31</v>
      </c>
      <c r="AV628" s="60">
        <v>36.31</v>
      </c>
      <c r="AW628" s="60">
        <v>36.31</v>
      </c>
      <c r="AX628" s="60">
        <v>36.31</v>
      </c>
      <c r="AY628" s="61">
        <f t="shared" si="253"/>
        <v>217.86</v>
      </c>
      <c r="AZ628" s="56">
        <f t="shared" si="248"/>
        <v>435.72</v>
      </c>
      <c r="BA628" s="62">
        <f t="shared" si="259"/>
        <v>24535</v>
      </c>
      <c r="BB628" s="62">
        <f t="shared" si="254"/>
        <v>16085.329999999987</v>
      </c>
      <c r="BC628" s="62">
        <f t="shared" si="260"/>
        <v>8449.6700000000128</v>
      </c>
      <c r="BD628" s="84">
        <v>8667.5300000000097</v>
      </c>
      <c r="BE628" s="57">
        <f t="shared" ref="BE628" si="264">BD628*2.2%</f>
        <v>190.68566000000024</v>
      </c>
      <c r="BF628" s="35" t="e">
        <f>VLOOKUP(A:A,'2023-2027'!A:G,1,+FALSE)</f>
        <v>#N/A</v>
      </c>
      <c r="BG628" s="7" t="e">
        <f t="shared" si="256"/>
        <v>#N/A</v>
      </c>
      <c r="BH628" s="35"/>
    </row>
    <row r="629" spans="1:60" ht="48" hidden="1" customHeight="1" outlineLevel="1" x14ac:dyDescent="0.2">
      <c r="A629" s="59" t="s">
        <v>2465</v>
      </c>
      <c r="B629" s="59" t="s">
        <v>44</v>
      </c>
      <c r="C629" s="59" t="s">
        <v>82</v>
      </c>
      <c r="D629" s="66" t="s">
        <v>1502</v>
      </c>
      <c r="E629" s="59" t="s">
        <v>1503</v>
      </c>
      <c r="F629" s="60">
        <v>134957.63</v>
      </c>
      <c r="G629" s="60">
        <v>68403.009999999995</v>
      </c>
      <c r="H629" s="60">
        <v>66554.62</v>
      </c>
      <c r="I629" s="59"/>
      <c r="J629" s="60">
        <v>22184.880000000001</v>
      </c>
      <c r="K629" s="59"/>
      <c r="L629" s="59"/>
      <c r="M629" s="60">
        <v>134957.63</v>
      </c>
      <c r="N629" s="60">
        <v>90587.89</v>
      </c>
      <c r="O629" s="60">
        <v>44369.74</v>
      </c>
      <c r="P629" s="55"/>
      <c r="Q629" s="55"/>
      <c r="R629" s="61">
        <f t="shared" si="249"/>
        <v>1848.74</v>
      </c>
      <c r="S629" s="60">
        <v>1848.74</v>
      </c>
      <c r="T629" s="60">
        <v>1848.74</v>
      </c>
      <c r="U629" s="60">
        <v>1848.74</v>
      </c>
      <c r="V629" s="60">
        <v>1848.74</v>
      </c>
      <c r="W629" s="60">
        <v>1848.74</v>
      </c>
      <c r="X629" s="61">
        <f t="shared" si="250"/>
        <v>11092.44</v>
      </c>
      <c r="Y629" s="60">
        <v>1848.74</v>
      </c>
      <c r="Z629" s="60">
        <v>1848.74</v>
      </c>
      <c r="AA629" s="60">
        <v>1848.74</v>
      </c>
      <c r="AB629" s="60">
        <v>1848.74</v>
      </c>
      <c r="AC629" s="60">
        <v>1848.74</v>
      </c>
      <c r="AD629" s="60">
        <v>1848.74</v>
      </c>
      <c r="AE629" s="61">
        <f t="shared" si="251"/>
        <v>11092.44</v>
      </c>
      <c r="AF629" s="62">
        <f t="shared" si="258"/>
        <v>134957.63</v>
      </c>
      <c r="AG629" s="62">
        <f t="shared" si="257"/>
        <v>112772.77000000006</v>
      </c>
      <c r="AH629" s="62">
        <f t="shared" si="255"/>
        <v>22184.859999999942</v>
      </c>
      <c r="AI629" s="63"/>
      <c r="AJ629" s="63"/>
      <c r="AK629" s="62"/>
      <c r="AL629" s="60">
        <v>1848.74</v>
      </c>
      <c r="AM629" s="60">
        <v>1848.74</v>
      </c>
      <c r="AN629" s="60">
        <v>1848.74</v>
      </c>
      <c r="AO629" s="60">
        <v>1848.74</v>
      </c>
      <c r="AP629" s="60">
        <v>1848.74</v>
      </c>
      <c r="AQ629" s="60">
        <v>1848.74</v>
      </c>
      <c r="AR629" s="61">
        <f t="shared" si="252"/>
        <v>11092.44</v>
      </c>
      <c r="AS629" s="60">
        <v>1848.74</v>
      </c>
      <c r="AT629" s="60">
        <v>1848.74</v>
      </c>
      <c r="AU629" s="60">
        <v>1848.74</v>
      </c>
      <c r="AV629" s="60">
        <v>1848.74</v>
      </c>
      <c r="AW629" s="60">
        <v>1848.74</v>
      </c>
      <c r="AX629" s="60">
        <v>1848.72</v>
      </c>
      <c r="AY629" s="61">
        <f t="shared" si="253"/>
        <v>11092.42</v>
      </c>
      <c r="AZ629" s="56">
        <f t="shared" si="248"/>
        <v>22184.86</v>
      </c>
      <c r="BA629" s="62">
        <f t="shared" si="259"/>
        <v>134957.63</v>
      </c>
      <c r="BB629" s="62">
        <f t="shared" si="254"/>
        <v>134957.63000000009</v>
      </c>
      <c r="BC629" s="62">
        <f t="shared" si="260"/>
        <v>0</v>
      </c>
      <c r="BD629" s="63"/>
      <c r="BE629" s="57"/>
      <c r="BF629" s="35" t="str">
        <f>VLOOKUP(A:A,'2023-2027'!A:G,1,+FALSE)</f>
        <v>Защищённый ноутбук Cyberbook S874</v>
      </c>
      <c r="BG629" s="7" t="b">
        <f t="shared" si="256"/>
        <v>1</v>
      </c>
      <c r="BH629" s="35">
        <f>VLOOKUP(A:A,'2023-2027'!A:AT,43,+FALSE)</f>
        <v>0</v>
      </c>
    </row>
    <row r="630" spans="1:60" ht="24" hidden="1" customHeight="1" outlineLevel="1" x14ac:dyDescent="0.2">
      <c r="A630" s="59" t="s">
        <v>1504</v>
      </c>
      <c r="B630" s="59" t="s">
        <v>44</v>
      </c>
      <c r="C630" s="59" t="s">
        <v>82</v>
      </c>
      <c r="D630" s="66" t="s">
        <v>1505</v>
      </c>
      <c r="E630" s="59" t="s">
        <v>1506</v>
      </c>
      <c r="F630" s="60">
        <v>35573705.259999998</v>
      </c>
      <c r="G630" s="60">
        <v>2845536.48</v>
      </c>
      <c r="H630" s="60">
        <v>32728168.780000001</v>
      </c>
      <c r="I630" s="59"/>
      <c r="J630" s="60">
        <v>1422768.24</v>
      </c>
      <c r="K630" s="59"/>
      <c r="L630" s="59"/>
      <c r="M630" s="60">
        <v>35573705.259999998</v>
      </c>
      <c r="N630" s="60">
        <v>4268304.72</v>
      </c>
      <c r="O630" s="60">
        <v>31305400.539999999</v>
      </c>
      <c r="P630" s="55">
        <v>32016784.629999999</v>
      </c>
      <c r="Q630" s="55">
        <f>P630*2.2%</f>
        <v>704369.26186000009</v>
      </c>
      <c r="R630" s="61">
        <f t="shared" si="249"/>
        <v>118564.02</v>
      </c>
      <c r="S630" s="60">
        <v>118564.02</v>
      </c>
      <c r="T630" s="60">
        <v>118564.02</v>
      </c>
      <c r="U630" s="60">
        <v>118564.02</v>
      </c>
      <c r="V630" s="60">
        <v>118564.02</v>
      </c>
      <c r="W630" s="60">
        <v>118564.02</v>
      </c>
      <c r="X630" s="61">
        <f t="shared" si="250"/>
        <v>711384.12</v>
      </c>
      <c r="Y630" s="60">
        <v>118564.02</v>
      </c>
      <c r="Z630" s="60">
        <v>118564.02</v>
      </c>
      <c r="AA630" s="60">
        <v>118564.02</v>
      </c>
      <c r="AB630" s="60">
        <v>118564.02</v>
      </c>
      <c r="AC630" s="60">
        <v>118564.02</v>
      </c>
      <c r="AD630" s="60">
        <v>118564.02</v>
      </c>
      <c r="AE630" s="61">
        <f t="shared" si="251"/>
        <v>711384.12</v>
      </c>
      <c r="AF630" s="62">
        <f t="shared" si="258"/>
        <v>35573705.259999998</v>
      </c>
      <c r="AG630" s="62">
        <f t="shared" si="257"/>
        <v>5691072.9599999944</v>
      </c>
      <c r="AH630" s="62">
        <f t="shared" si="255"/>
        <v>29882632.300000004</v>
      </c>
      <c r="AI630" s="63">
        <v>30594016.420000002</v>
      </c>
      <c r="AJ630" s="63">
        <f t="shared" ref="AJ630" si="265">AI630*2.2%</f>
        <v>673068.36124000011</v>
      </c>
      <c r="AK630" s="62"/>
      <c r="AL630" s="60">
        <v>118564.02</v>
      </c>
      <c r="AM630" s="60">
        <v>118564.02</v>
      </c>
      <c r="AN630" s="60">
        <v>118564.02</v>
      </c>
      <c r="AO630" s="60">
        <v>118564.02</v>
      </c>
      <c r="AP630" s="60">
        <v>118564.02</v>
      </c>
      <c r="AQ630" s="60">
        <v>118564.02</v>
      </c>
      <c r="AR630" s="61">
        <f t="shared" si="252"/>
        <v>711384.12</v>
      </c>
      <c r="AS630" s="60">
        <v>118564.02</v>
      </c>
      <c r="AT630" s="60">
        <v>118564.02</v>
      </c>
      <c r="AU630" s="60">
        <v>118564.02</v>
      </c>
      <c r="AV630" s="60">
        <v>118564.02</v>
      </c>
      <c r="AW630" s="60">
        <v>118564.02</v>
      </c>
      <c r="AX630" s="60">
        <v>118564.02</v>
      </c>
      <c r="AY630" s="61">
        <f t="shared" si="253"/>
        <v>711384.12</v>
      </c>
      <c r="AZ630" s="56">
        <f t="shared" si="248"/>
        <v>1422768.24</v>
      </c>
      <c r="BA630" s="62">
        <f t="shared" si="259"/>
        <v>35573705.259999998</v>
      </c>
      <c r="BB630" s="62">
        <f t="shared" si="254"/>
        <v>7113841.199999989</v>
      </c>
      <c r="BC630" s="62">
        <f t="shared" si="260"/>
        <v>28459864.06000001</v>
      </c>
      <c r="BD630" s="63">
        <v>29171248.180000007</v>
      </c>
      <c r="BE630" s="57">
        <f t="shared" ref="BE630" si="266">BD630*2.2%</f>
        <v>641767.45996000024</v>
      </c>
      <c r="BF630" s="35" t="str">
        <f>VLOOKUP(A:A,'2023-2027'!A:G,1,+FALSE)</f>
        <v>ЗРУ 6кВ в районе оз. Заводская Курья</v>
      </c>
      <c r="BG630" s="7" t="b">
        <f t="shared" si="256"/>
        <v>1</v>
      </c>
      <c r="BH630" s="35">
        <f>VLOOKUP(A:A,'2023-2027'!A:AT,43,+FALSE)</f>
        <v>118579.02</v>
      </c>
    </row>
    <row r="631" spans="1:60" ht="12" hidden="1" customHeight="1" outlineLevel="1" x14ac:dyDescent="0.2">
      <c r="A631" s="59" t="s">
        <v>1507</v>
      </c>
      <c r="B631" s="59" t="s">
        <v>44</v>
      </c>
      <c r="C631" s="59" t="s">
        <v>82</v>
      </c>
      <c r="D631" s="65" t="s">
        <v>1508</v>
      </c>
      <c r="E631" s="59" t="s">
        <v>243</v>
      </c>
      <c r="F631" s="60">
        <v>4500</v>
      </c>
      <c r="G631" s="60">
        <v>4500</v>
      </c>
      <c r="H631" s="59"/>
      <c r="I631" s="59"/>
      <c r="J631" s="59"/>
      <c r="K631" s="60">
        <v>4500</v>
      </c>
      <c r="L631" s="60">
        <v>4500</v>
      </c>
      <c r="M631" s="59"/>
      <c r="N631" s="59"/>
      <c r="O631" s="59"/>
      <c r="P631" s="67"/>
      <c r="Q631" s="67"/>
      <c r="R631" s="61">
        <f t="shared" si="249"/>
        <v>0</v>
      </c>
      <c r="S631" s="60">
        <v>0</v>
      </c>
      <c r="T631" s="60">
        <v>0</v>
      </c>
      <c r="U631" s="60">
        <v>0</v>
      </c>
      <c r="V631" s="60">
        <v>0</v>
      </c>
      <c r="W631" s="60">
        <v>0</v>
      </c>
      <c r="X631" s="61">
        <f t="shared" si="250"/>
        <v>0</v>
      </c>
      <c r="Y631" s="60">
        <v>0</v>
      </c>
      <c r="Z631" s="60">
        <v>0</v>
      </c>
      <c r="AA631" s="60">
        <v>0</v>
      </c>
      <c r="AB631" s="60">
        <v>0</v>
      </c>
      <c r="AC631" s="60">
        <v>0</v>
      </c>
      <c r="AD631" s="60">
        <v>0</v>
      </c>
      <c r="AE631" s="61">
        <f t="shared" si="251"/>
        <v>0</v>
      </c>
      <c r="AF631" s="62">
        <f t="shared" si="258"/>
        <v>0</v>
      </c>
      <c r="AG631" s="62">
        <f t="shared" si="257"/>
        <v>0</v>
      </c>
      <c r="AH631" s="62">
        <f t="shared" si="255"/>
        <v>0</v>
      </c>
      <c r="AI631" s="63"/>
      <c r="AJ631" s="63"/>
      <c r="AK631" s="62"/>
      <c r="AL631" s="60">
        <v>0</v>
      </c>
      <c r="AM631" s="60">
        <v>0</v>
      </c>
      <c r="AN631" s="60">
        <v>0</v>
      </c>
      <c r="AO631" s="60">
        <v>0</v>
      </c>
      <c r="AP631" s="60">
        <v>0</v>
      </c>
      <c r="AQ631" s="60">
        <v>0</v>
      </c>
      <c r="AR631" s="61">
        <f t="shared" si="252"/>
        <v>0</v>
      </c>
      <c r="AS631" s="60">
        <v>0</v>
      </c>
      <c r="AT631" s="60">
        <v>0</v>
      </c>
      <c r="AU631" s="60">
        <v>0</v>
      </c>
      <c r="AV631" s="60">
        <v>0</v>
      </c>
      <c r="AW631" s="60">
        <v>0</v>
      </c>
      <c r="AX631" s="60">
        <v>0</v>
      </c>
      <c r="AY631" s="61">
        <f t="shared" si="253"/>
        <v>0</v>
      </c>
      <c r="AZ631" s="56">
        <f t="shared" si="248"/>
        <v>0</v>
      </c>
      <c r="BA631" s="62">
        <f t="shared" si="259"/>
        <v>0</v>
      </c>
      <c r="BB631" s="62">
        <f t="shared" si="254"/>
        <v>0</v>
      </c>
      <c r="BC631" s="62">
        <f t="shared" si="260"/>
        <v>0</v>
      </c>
      <c r="BD631" s="63"/>
      <c r="BE631" s="57"/>
      <c r="BF631" s="35" t="e">
        <f>VLOOKUP(A:A,'2023-2027'!A:G,1,+FALSE)</f>
        <v>#N/A</v>
      </c>
      <c r="BG631" s="7" t="e">
        <f t="shared" si="256"/>
        <v>#N/A</v>
      </c>
      <c r="BH631" s="35"/>
    </row>
    <row r="632" spans="1:60" ht="24" hidden="1" customHeight="1" outlineLevel="1" x14ac:dyDescent="0.2">
      <c r="A632" s="59" t="s">
        <v>1509</v>
      </c>
      <c r="B632" s="59" t="s">
        <v>44</v>
      </c>
      <c r="C632" s="59" t="s">
        <v>82</v>
      </c>
      <c r="D632" s="66" t="s">
        <v>1510</v>
      </c>
      <c r="E632" s="59" t="s">
        <v>1275</v>
      </c>
      <c r="F632" s="60">
        <v>1799427.23</v>
      </c>
      <c r="G632" s="60">
        <v>953696.31</v>
      </c>
      <c r="H632" s="60">
        <v>845730.92</v>
      </c>
      <c r="I632" s="59"/>
      <c r="J632" s="60">
        <v>71977.08</v>
      </c>
      <c r="K632" s="59"/>
      <c r="L632" s="59"/>
      <c r="M632" s="60">
        <v>1799427.23</v>
      </c>
      <c r="N632" s="60">
        <v>1025673.39</v>
      </c>
      <c r="O632" s="60">
        <v>773753.84</v>
      </c>
      <c r="P632" s="55">
        <v>809742.38</v>
      </c>
      <c r="Q632" s="55">
        <f t="shared" ref="Q632:Q654" si="267">P632*2.2%</f>
        <v>17814.33236</v>
      </c>
      <c r="R632" s="61">
        <f t="shared" si="249"/>
        <v>5998.09</v>
      </c>
      <c r="S632" s="60">
        <v>5998.09</v>
      </c>
      <c r="T632" s="60">
        <v>5998.09</v>
      </c>
      <c r="U632" s="60">
        <v>5998.09</v>
      </c>
      <c r="V632" s="60">
        <v>5998.09</v>
      </c>
      <c r="W632" s="60">
        <v>5998.09</v>
      </c>
      <c r="X632" s="61">
        <f t="shared" si="250"/>
        <v>35988.54</v>
      </c>
      <c r="Y632" s="60">
        <v>5998.09</v>
      </c>
      <c r="Z632" s="60">
        <v>5998.09</v>
      </c>
      <c r="AA632" s="60">
        <v>5998.09</v>
      </c>
      <c r="AB632" s="60">
        <v>5998.09</v>
      </c>
      <c r="AC632" s="60">
        <v>5998.09</v>
      </c>
      <c r="AD632" s="60">
        <v>5998.09</v>
      </c>
      <c r="AE632" s="61">
        <f t="shared" si="251"/>
        <v>35988.54</v>
      </c>
      <c r="AF632" s="62">
        <f t="shared" si="258"/>
        <v>1799427.23</v>
      </c>
      <c r="AG632" s="62">
        <f t="shared" si="257"/>
        <v>1097650.4700000007</v>
      </c>
      <c r="AH632" s="62">
        <f t="shared" si="255"/>
        <v>701776.75999999931</v>
      </c>
      <c r="AI632" s="63">
        <v>737765.29999999958</v>
      </c>
      <c r="AJ632" s="63">
        <f t="shared" ref="AJ632:AJ654" si="268">AI632*2.2%</f>
        <v>16230.836599999993</v>
      </c>
      <c r="AK632" s="62"/>
      <c r="AL632" s="60">
        <v>5998.09</v>
      </c>
      <c r="AM632" s="60">
        <v>5998.09</v>
      </c>
      <c r="AN632" s="60">
        <v>5998.09</v>
      </c>
      <c r="AO632" s="60">
        <v>5998.09</v>
      </c>
      <c r="AP632" s="60">
        <v>5998.09</v>
      </c>
      <c r="AQ632" s="60">
        <v>5998.09</v>
      </c>
      <c r="AR632" s="61">
        <f t="shared" si="252"/>
        <v>35988.54</v>
      </c>
      <c r="AS632" s="60">
        <v>5998.09</v>
      </c>
      <c r="AT632" s="60">
        <v>5998.09</v>
      </c>
      <c r="AU632" s="60">
        <v>5998.09</v>
      </c>
      <c r="AV632" s="60">
        <v>5998.09</v>
      </c>
      <c r="AW632" s="60">
        <v>5998.09</v>
      </c>
      <c r="AX632" s="60">
        <v>5998.09</v>
      </c>
      <c r="AY632" s="61">
        <f t="shared" si="253"/>
        <v>35988.54</v>
      </c>
      <c r="AZ632" s="56">
        <f t="shared" si="248"/>
        <v>71977.08</v>
      </c>
      <c r="BA632" s="62">
        <f t="shared" si="259"/>
        <v>1799427.23</v>
      </c>
      <c r="BB632" s="62">
        <f t="shared" si="254"/>
        <v>1169627.5500000017</v>
      </c>
      <c r="BC632" s="62">
        <f t="shared" si="260"/>
        <v>629799.6799999983</v>
      </c>
      <c r="BD632" s="63">
        <v>665788.21999999858</v>
      </c>
      <c r="BE632" s="57">
        <f t="shared" ref="BE632:BE654" si="269">BD632*2.2%</f>
        <v>14647.34083999997</v>
      </c>
      <c r="BF632" s="35" t="str">
        <f>VLOOKUP(A:A,'2023-2027'!A:G,1,+FALSE)</f>
        <v>К/л. в/в от ТП-82 "Бассейн" до ТП-87 "Промз."</v>
      </c>
      <c r="BG632" s="7" t="b">
        <f t="shared" si="256"/>
        <v>1</v>
      </c>
      <c r="BH632" s="35">
        <f>VLOOKUP(A:A,'2023-2027'!A:AT,43,+FALSE)</f>
        <v>5998.0899999999992</v>
      </c>
    </row>
    <row r="633" spans="1:60" ht="12" hidden="1" customHeight="1" outlineLevel="1" x14ac:dyDescent="0.2">
      <c r="A633" s="59" t="s">
        <v>1511</v>
      </c>
      <c r="B633" s="59" t="s">
        <v>44</v>
      </c>
      <c r="C633" s="59" t="s">
        <v>82</v>
      </c>
      <c r="D633" s="65" t="s">
        <v>1512</v>
      </c>
      <c r="E633" s="59" t="s">
        <v>1513</v>
      </c>
      <c r="F633" s="68">
        <v>468</v>
      </c>
      <c r="G633" s="68">
        <v>351.82</v>
      </c>
      <c r="H633" s="68">
        <v>116.18</v>
      </c>
      <c r="I633" s="59"/>
      <c r="J633" s="68">
        <v>11.64</v>
      </c>
      <c r="K633" s="59"/>
      <c r="L633" s="59"/>
      <c r="M633" s="68">
        <v>468</v>
      </c>
      <c r="N633" s="68">
        <v>363.46</v>
      </c>
      <c r="O633" s="68">
        <v>104.54</v>
      </c>
      <c r="P633" s="82">
        <v>110.36</v>
      </c>
      <c r="Q633" s="55">
        <f t="shared" si="267"/>
        <v>2.4279200000000003</v>
      </c>
      <c r="R633" s="61">
        <f t="shared" si="249"/>
        <v>0.97000000000000008</v>
      </c>
      <c r="S633" s="60">
        <v>0.97</v>
      </c>
      <c r="T633" s="60">
        <v>0.97</v>
      </c>
      <c r="U633" s="60">
        <v>0.97</v>
      </c>
      <c r="V633" s="60">
        <v>0.97</v>
      </c>
      <c r="W633" s="60">
        <v>0.97</v>
      </c>
      <c r="X633" s="61">
        <f t="shared" si="250"/>
        <v>5.8199999999999994</v>
      </c>
      <c r="Y633" s="60">
        <v>0.97</v>
      </c>
      <c r="Z633" s="60">
        <v>0.97</v>
      </c>
      <c r="AA633" s="60">
        <v>0.97</v>
      </c>
      <c r="AB633" s="60">
        <v>0.97</v>
      </c>
      <c r="AC633" s="60">
        <v>0.97</v>
      </c>
      <c r="AD633" s="60">
        <v>0.97</v>
      </c>
      <c r="AE633" s="61">
        <f t="shared" si="251"/>
        <v>5.8199999999999994</v>
      </c>
      <c r="AF633" s="62">
        <f t="shared" si="258"/>
        <v>468</v>
      </c>
      <c r="AG633" s="62">
        <f t="shared" si="257"/>
        <v>375.10000000000031</v>
      </c>
      <c r="AH633" s="62">
        <f t="shared" si="255"/>
        <v>92.899999999999693</v>
      </c>
      <c r="AI633" s="63">
        <v>98.719999999999928</v>
      </c>
      <c r="AJ633" s="63">
        <f t="shared" si="268"/>
        <v>2.1718399999999987</v>
      </c>
      <c r="AK633" s="62"/>
      <c r="AL633" s="60">
        <v>0.97</v>
      </c>
      <c r="AM633" s="60">
        <v>0.97</v>
      </c>
      <c r="AN633" s="60">
        <v>0.97</v>
      </c>
      <c r="AO633" s="60">
        <v>0.97</v>
      </c>
      <c r="AP633" s="60">
        <v>0.97</v>
      </c>
      <c r="AQ633" s="60">
        <v>0.97</v>
      </c>
      <c r="AR633" s="61">
        <f t="shared" si="252"/>
        <v>5.8199999999999994</v>
      </c>
      <c r="AS633" s="60">
        <v>0.97</v>
      </c>
      <c r="AT633" s="60">
        <v>0.97</v>
      </c>
      <c r="AU633" s="60">
        <v>0.97</v>
      </c>
      <c r="AV633" s="60">
        <v>0.97</v>
      </c>
      <c r="AW633" s="60">
        <v>0.97</v>
      </c>
      <c r="AX633" s="60">
        <v>0.97</v>
      </c>
      <c r="AY633" s="61">
        <f t="shared" si="253"/>
        <v>5.8199999999999994</v>
      </c>
      <c r="AZ633" s="56">
        <f t="shared" si="248"/>
        <v>11.639999999999999</v>
      </c>
      <c r="BA633" s="62">
        <f t="shared" si="259"/>
        <v>468</v>
      </c>
      <c r="BB633" s="62">
        <f t="shared" si="254"/>
        <v>386.74000000000063</v>
      </c>
      <c r="BC633" s="62">
        <f t="shared" si="260"/>
        <v>81.259999999999366</v>
      </c>
      <c r="BD633" s="63">
        <v>87.079999999999785</v>
      </c>
      <c r="BE633" s="57">
        <f t="shared" si="269"/>
        <v>1.9157599999999955</v>
      </c>
      <c r="BF633" s="35" t="e">
        <f>VLOOKUP(A:A,'2023-2027'!A:G,1,+FALSE)</f>
        <v>#N/A</v>
      </c>
      <c r="BG633" s="7" t="e">
        <f t="shared" si="256"/>
        <v>#N/A</v>
      </c>
      <c r="BH633" s="35"/>
    </row>
    <row r="634" spans="1:60" ht="24" hidden="1" customHeight="1" outlineLevel="1" x14ac:dyDescent="0.2">
      <c r="A634" s="59" t="s">
        <v>1514</v>
      </c>
      <c r="B634" s="59" t="s">
        <v>44</v>
      </c>
      <c r="C634" s="59" t="s">
        <v>82</v>
      </c>
      <c r="D634" s="66" t="s">
        <v>1515</v>
      </c>
      <c r="E634" s="59" t="s">
        <v>1516</v>
      </c>
      <c r="F634" s="60">
        <v>444333.5</v>
      </c>
      <c r="G634" s="60">
        <v>19748.16</v>
      </c>
      <c r="H634" s="60">
        <v>424585.34</v>
      </c>
      <c r="I634" s="59"/>
      <c r="J634" s="60">
        <v>29622.240000000002</v>
      </c>
      <c r="K634" s="59"/>
      <c r="L634" s="59"/>
      <c r="M634" s="60">
        <v>444333.5</v>
      </c>
      <c r="N634" s="60">
        <v>49370.400000000001</v>
      </c>
      <c r="O634" s="60">
        <v>394963.1</v>
      </c>
      <c r="P634" s="55">
        <v>409774.22</v>
      </c>
      <c r="Q634" s="55">
        <f t="shared" si="267"/>
        <v>9015.0328399999999</v>
      </c>
      <c r="R634" s="61">
        <f t="shared" si="249"/>
        <v>2468.52</v>
      </c>
      <c r="S634" s="60">
        <v>2468.52</v>
      </c>
      <c r="T634" s="60">
        <v>2468.52</v>
      </c>
      <c r="U634" s="60">
        <v>2468.52</v>
      </c>
      <c r="V634" s="60">
        <v>2468.52</v>
      </c>
      <c r="W634" s="60">
        <v>2468.52</v>
      </c>
      <c r="X634" s="61">
        <f t="shared" si="250"/>
        <v>14811.12</v>
      </c>
      <c r="Y634" s="60">
        <v>2468.52</v>
      </c>
      <c r="Z634" s="60">
        <v>2468.52</v>
      </c>
      <c r="AA634" s="60">
        <v>2468.52</v>
      </c>
      <c r="AB634" s="60">
        <v>2468.52</v>
      </c>
      <c r="AC634" s="60">
        <v>2468.52</v>
      </c>
      <c r="AD634" s="60">
        <v>2468.52</v>
      </c>
      <c r="AE634" s="61">
        <f t="shared" si="251"/>
        <v>14811.12</v>
      </c>
      <c r="AF634" s="62">
        <f t="shared" si="258"/>
        <v>444333.5</v>
      </c>
      <c r="AG634" s="62">
        <f t="shared" si="257"/>
        <v>78992.639999999999</v>
      </c>
      <c r="AH634" s="62">
        <f t="shared" si="255"/>
        <v>365340.86</v>
      </c>
      <c r="AI634" s="63">
        <v>380151.97999999986</v>
      </c>
      <c r="AJ634" s="63">
        <f t="shared" si="268"/>
        <v>8363.3435599999975</v>
      </c>
      <c r="AK634" s="72">
        <f t="shared" ref="AK634:AK653" si="270">AI634*2.2%</f>
        <v>8363.3435599999975</v>
      </c>
      <c r="AL634" s="60">
        <v>2468.52</v>
      </c>
      <c r="AM634" s="60">
        <v>2468.52</v>
      </c>
      <c r="AN634" s="60">
        <v>2468.52</v>
      </c>
      <c r="AO634" s="60">
        <v>2468.52</v>
      </c>
      <c r="AP634" s="60">
        <v>2468.52</v>
      </c>
      <c r="AQ634" s="60">
        <v>2468.52</v>
      </c>
      <c r="AR634" s="61">
        <f t="shared" si="252"/>
        <v>14811.12</v>
      </c>
      <c r="AS634" s="60">
        <v>2468.52</v>
      </c>
      <c r="AT634" s="60">
        <v>2468.52</v>
      </c>
      <c r="AU634" s="60">
        <v>2468.52</v>
      </c>
      <c r="AV634" s="60">
        <v>2468.52</v>
      </c>
      <c r="AW634" s="60">
        <v>2468.52</v>
      </c>
      <c r="AX634" s="60">
        <v>2468.52</v>
      </c>
      <c r="AY634" s="61">
        <f t="shared" si="253"/>
        <v>14811.12</v>
      </c>
      <c r="AZ634" s="56">
        <f t="shared" si="248"/>
        <v>29622.240000000002</v>
      </c>
      <c r="BA634" s="62">
        <f t="shared" si="259"/>
        <v>444333.5</v>
      </c>
      <c r="BB634" s="62">
        <f t="shared" si="254"/>
        <v>108614.88000000005</v>
      </c>
      <c r="BC634" s="62">
        <f t="shared" si="260"/>
        <v>335718.61999999994</v>
      </c>
      <c r="BD634" s="63">
        <v>350529.73999999964</v>
      </c>
      <c r="BE634" s="57">
        <f t="shared" si="269"/>
        <v>7711.6542799999925</v>
      </c>
      <c r="BF634" s="35" t="str">
        <f>VLOOKUP(A:A,'2023-2027'!A:G,1,+FALSE)</f>
        <v>Кабельная высоковольтная линия 6 кВ в с. Тельвиска НАО</v>
      </c>
      <c r="BG634" s="7" t="b">
        <f t="shared" si="256"/>
        <v>1</v>
      </c>
      <c r="BH634" s="35">
        <f>VLOOKUP(A:A,'2023-2027'!A:AT,43,+FALSE)</f>
        <v>2468.52</v>
      </c>
    </row>
    <row r="635" spans="1:60" ht="24" hidden="1" customHeight="1" outlineLevel="1" x14ac:dyDescent="0.2">
      <c r="A635" s="59" t="s">
        <v>1517</v>
      </c>
      <c r="B635" s="59" t="s">
        <v>44</v>
      </c>
      <c r="C635" s="59" t="s">
        <v>82</v>
      </c>
      <c r="D635" s="66" t="s">
        <v>1518</v>
      </c>
      <c r="E635" s="59" t="s">
        <v>1519</v>
      </c>
      <c r="F635" s="60">
        <v>51841</v>
      </c>
      <c r="G635" s="60">
        <v>30240</v>
      </c>
      <c r="H635" s="60">
        <v>21601</v>
      </c>
      <c r="I635" s="59"/>
      <c r="J635" s="60">
        <v>2073.7199999999998</v>
      </c>
      <c r="K635" s="59"/>
      <c r="L635" s="59"/>
      <c r="M635" s="60">
        <v>51841</v>
      </c>
      <c r="N635" s="60">
        <v>32313.72</v>
      </c>
      <c r="O635" s="60">
        <v>19527.28</v>
      </c>
      <c r="P635" s="55">
        <v>20564.14</v>
      </c>
      <c r="Q635" s="55">
        <f t="shared" si="267"/>
        <v>452.41108000000003</v>
      </c>
      <c r="R635" s="61">
        <f t="shared" si="249"/>
        <v>172.80999999999997</v>
      </c>
      <c r="S635" s="60">
        <v>172.81</v>
      </c>
      <c r="T635" s="60">
        <v>172.81</v>
      </c>
      <c r="U635" s="60">
        <v>172.81</v>
      </c>
      <c r="V635" s="60">
        <v>172.81</v>
      </c>
      <c r="W635" s="60">
        <v>172.81</v>
      </c>
      <c r="X635" s="61">
        <f t="shared" si="250"/>
        <v>1036.8599999999999</v>
      </c>
      <c r="Y635" s="60">
        <v>172.81</v>
      </c>
      <c r="Z635" s="60">
        <v>172.81</v>
      </c>
      <c r="AA635" s="60">
        <v>172.81</v>
      </c>
      <c r="AB635" s="60">
        <v>172.81</v>
      </c>
      <c r="AC635" s="60">
        <v>172.81</v>
      </c>
      <c r="AD635" s="60">
        <v>172.81</v>
      </c>
      <c r="AE635" s="61">
        <f t="shared" si="251"/>
        <v>1036.8599999999999</v>
      </c>
      <c r="AF635" s="62">
        <f t="shared" si="258"/>
        <v>51841</v>
      </c>
      <c r="AG635" s="62">
        <f t="shared" si="257"/>
        <v>34387.439999999981</v>
      </c>
      <c r="AH635" s="62">
        <f t="shared" si="255"/>
        <v>17453.560000000019</v>
      </c>
      <c r="AI635" s="63">
        <v>18490.419999999991</v>
      </c>
      <c r="AJ635" s="63">
        <f t="shared" si="268"/>
        <v>406.78923999999984</v>
      </c>
      <c r="AK635" s="72">
        <f t="shared" si="270"/>
        <v>406.78923999999984</v>
      </c>
      <c r="AL635" s="60">
        <v>172.81</v>
      </c>
      <c r="AM635" s="60">
        <v>172.81</v>
      </c>
      <c r="AN635" s="60">
        <v>172.81</v>
      </c>
      <c r="AO635" s="60">
        <v>172.81</v>
      </c>
      <c r="AP635" s="60">
        <v>172.81</v>
      </c>
      <c r="AQ635" s="60">
        <v>172.81</v>
      </c>
      <c r="AR635" s="61">
        <f t="shared" si="252"/>
        <v>1036.8599999999999</v>
      </c>
      <c r="AS635" s="60">
        <v>172.81</v>
      </c>
      <c r="AT635" s="60">
        <v>172.81</v>
      </c>
      <c r="AU635" s="60">
        <v>172.81</v>
      </c>
      <c r="AV635" s="60">
        <v>172.81</v>
      </c>
      <c r="AW635" s="60">
        <v>172.81</v>
      </c>
      <c r="AX635" s="60">
        <v>172.81</v>
      </c>
      <c r="AY635" s="61">
        <f t="shared" si="253"/>
        <v>1036.8599999999999</v>
      </c>
      <c r="AZ635" s="56">
        <f t="shared" si="248"/>
        <v>2073.7199999999998</v>
      </c>
      <c r="BA635" s="62">
        <f t="shared" si="259"/>
        <v>51841</v>
      </c>
      <c r="BB635" s="62">
        <f t="shared" si="254"/>
        <v>36461.159999999953</v>
      </c>
      <c r="BC635" s="62">
        <f t="shared" si="260"/>
        <v>15379.840000000047</v>
      </c>
      <c r="BD635" s="63">
        <v>16416.699999999975</v>
      </c>
      <c r="BE635" s="57">
        <f t="shared" si="269"/>
        <v>361.16739999999947</v>
      </c>
      <c r="BF635" s="35" t="str">
        <f>VLOOKUP(A:A,'2023-2027'!A:G,1,+FALSE)</f>
        <v>Кабельная линия   "ЗРУ 6кВ-выход ф.Искателей" 2007</v>
      </c>
      <c r="BG635" s="7" t="b">
        <f t="shared" si="256"/>
        <v>1</v>
      </c>
      <c r="BH635" s="35">
        <f>VLOOKUP(A:A,'2023-2027'!A:AT,43,+FALSE)</f>
        <v>172.81</v>
      </c>
    </row>
    <row r="636" spans="1:60" ht="24" hidden="1" customHeight="1" outlineLevel="1" x14ac:dyDescent="0.2">
      <c r="A636" s="59" t="s">
        <v>1520</v>
      </c>
      <c r="B636" s="59" t="s">
        <v>44</v>
      </c>
      <c r="C636" s="59" t="s">
        <v>82</v>
      </c>
      <c r="D636" s="66" t="s">
        <v>1521</v>
      </c>
      <c r="E636" s="59" t="s">
        <v>424</v>
      </c>
      <c r="F636" s="60">
        <v>256945.19</v>
      </c>
      <c r="G636" s="59"/>
      <c r="H636" s="60">
        <v>256945.19</v>
      </c>
      <c r="I636" s="59"/>
      <c r="J636" s="60">
        <v>10277.76</v>
      </c>
      <c r="K636" s="59"/>
      <c r="L636" s="59"/>
      <c r="M636" s="60">
        <v>256945.19</v>
      </c>
      <c r="N636" s="60">
        <v>10277.76</v>
      </c>
      <c r="O636" s="60">
        <v>246667.43</v>
      </c>
      <c r="P636" s="55">
        <v>251806.31</v>
      </c>
      <c r="Q636" s="55">
        <f t="shared" si="267"/>
        <v>5539.7388200000005</v>
      </c>
      <c r="R636" s="61">
        <f t="shared" si="249"/>
        <v>856.48</v>
      </c>
      <c r="S636" s="60">
        <v>856.48</v>
      </c>
      <c r="T636" s="60">
        <v>856.48</v>
      </c>
      <c r="U636" s="60">
        <v>856.48</v>
      </c>
      <c r="V636" s="60">
        <v>856.48</v>
      </c>
      <c r="W636" s="60">
        <v>856.48</v>
      </c>
      <c r="X636" s="61">
        <f t="shared" si="250"/>
        <v>5138.8799999999992</v>
      </c>
      <c r="Y636" s="60">
        <v>856.48</v>
      </c>
      <c r="Z636" s="60">
        <v>856.48</v>
      </c>
      <c r="AA636" s="60">
        <v>856.48</v>
      </c>
      <c r="AB636" s="60">
        <v>856.48</v>
      </c>
      <c r="AC636" s="60">
        <v>856.48</v>
      </c>
      <c r="AD636" s="60">
        <v>856.48</v>
      </c>
      <c r="AE636" s="61">
        <f t="shared" si="251"/>
        <v>5138.8799999999992</v>
      </c>
      <c r="AF636" s="62">
        <f t="shared" si="258"/>
        <v>256945.19</v>
      </c>
      <c r="AG636" s="62">
        <f t="shared" si="257"/>
        <v>20555.519999999997</v>
      </c>
      <c r="AH636" s="62">
        <f t="shared" si="255"/>
        <v>236389.67</v>
      </c>
      <c r="AI636" s="63">
        <v>241528.54999999993</v>
      </c>
      <c r="AJ636" s="63">
        <f t="shared" si="268"/>
        <v>5313.628099999999</v>
      </c>
      <c r="AK636" s="72">
        <f t="shared" si="270"/>
        <v>5313.628099999999</v>
      </c>
      <c r="AL636" s="60">
        <v>856.48</v>
      </c>
      <c r="AM636" s="60">
        <v>856.48</v>
      </c>
      <c r="AN636" s="60">
        <v>856.48</v>
      </c>
      <c r="AO636" s="60">
        <v>856.48</v>
      </c>
      <c r="AP636" s="60">
        <v>856.48</v>
      </c>
      <c r="AQ636" s="60">
        <v>856.48</v>
      </c>
      <c r="AR636" s="61">
        <f t="shared" si="252"/>
        <v>5138.8799999999992</v>
      </c>
      <c r="AS636" s="60">
        <v>856.48</v>
      </c>
      <c r="AT636" s="60">
        <v>856.48</v>
      </c>
      <c r="AU636" s="60">
        <v>856.48</v>
      </c>
      <c r="AV636" s="60">
        <v>856.48</v>
      </c>
      <c r="AW636" s="60">
        <v>856.48</v>
      </c>
      <c r="AX636" s="60">
        <v>856.48</v>
      </c>
      <c r="AY636" s="61">
        <f t="shared" si="253"/>
        <v>5138.8799999999992</v>
      </c>
      <c r="AZ636" s="56">
        <f t="shared" si="248"/>
        <v>10277.759999999998</v>
      </c>
      <c r="BA636" s="62">
        <f t="shared" si="259"/>
        <v>256945.19</v>
      </c>
      <c r="BB636" s="62">
        <f t="shared" si="254"/>
        <v>30833.279999999992</v>
      </c>
      <c r="BC636" s="62">
        <f t="shared" si="260"/>
        <v>226111.91</v>
      </c>
      <c r="BD636" s="63">
        <v>231250.78999999978</v>
      </c>
      <c r="BE636" s="57">
        <f t="shared" si="269"/>
        <v>5087.5173799999957</v>
      </c>
      <c r="BF636" s="35" t="str">
        <f>VLOOKUP(A:A,'2023-2027'!A:G,1,+FALSE)</f>
        <v>Кабельная линия 0,4 кВ (ДТП №336 от 01.10.2021)</v>
      </c>
      <c r="BG636" s="7" t="b">
        <f t="shared" si="256"/>
        <v>1</v>
      </c>
      <c r="BH636" s="35">
        <f>VLOOKUP(A:A,'2023-2027'!A:AT,43,+FALSE)</f>
        <v>856.48396666666667</v>
      </c>
    </row>
    <row r="637" spans="1:60" ht="36" hidden="1" customHeight="1" outlineLevel="1" x14ac:dyDescent="0.2">
      <c r="A637" s="59" t="s">
        <v>96</v>
      </c>
      <c r="B637" s="59" t="s">
        <v>44</v>
      </c>
      <c r="C637" s="59" t="s">
        <v>82</v>
      </c>
      <c r="D637" s="66" t="s">
        <v>1522</v>
      </c>
      <c r="E637" s="59" t="s">
        <v>1523</v>
      </c>
      <c r="F637" s="59"/>
      <c r="G637" s="59"/>
      <c r="H637" s="59"/>
      <c r="I637" s="60">
        <v>508870.5</v>
      </c>
      <c r="J637" s="59"/>
      <c r="K637" s="59"/>
      <c r="L637" s="59"/>
      <c r="M637" s="60">
        <v>508870.5</v>
      </c>
      <c r="N637" s="59"/>
      <c r="O637" s="60">
        <v>508870.5</v>
      </c>
      <c r="P637" s="55">
        <v>39143.879999999997</v>
      </c>
      <c r="Q637" s="55">
        <f t="shared" si="267"/>
        <v>861.16536000000008</v>
      </c>
      <c r="R637" s="61">
        <f t="shared" si="249"/>
        <v>0</v>
      </c>
      <c r="S637" s="60">
        <v>0</v>
      </c>
      <c r="T637" s="60">
        <v>0</v>
      </c>
      <c r="U637" s="60">
        <v>0</v>
      </c>
      <c r="V637" s="60">
        <v>0</v>
      </c>
      <c r="W637" s="60">
        <v>0</v>
      </c>
      <c r="X637" s="61">
        <f t="shared" si="250"/>
        <v>0</v>
      </c>
      <c r="Y637" s="60">
        <v>0</v>
      </c>
      <c r="Z637" s="60">
        <v>0</v>
      </c>
      <c r="AA637" s="60">
        <v>0</v>
      </c>
      <c r="AB637" s="60">
        <v>0</v>
      </c>
      <c r="AC637" s="60">
        <v>0</v>
      </c>
      <c r="AD637" s="60">
        <v>0</v>
      </c>
      <c r="AE637" s="61">
        <f t="shared" si="251"/>
        <v>0</v>
      </c>
      <c r="AF637" s="62">
        <f t="shared" si="258"/>
        <v>508870.5</v>
      </c>
      <c r="AG637" s="62">
        <f t="shared" si="257"/>
        <v>0</v>
      </c>
      <c r="AH637" s="62">
        <f t="shared" si="255"/>
        <v>508870.5</v>
      </c>
      <c r="AI637" s="63">
        <v>508870.5</v>
      </c>
      <c r="AJ637" s="63">
        <f t="shared" si="268"/>
        <v>11195.151000000002</v>
      </c>
      <c r="AK637" s="72">
        <f t="shared" si="270"/>
        <v>11195.151000000002</v>
      </c>
      <c r="AL637" s="60">
        <v>0</v>
      </c>
      <c r="AM637" s="60">
        <v>0</v>
      </c>
      <c r="AN637" s="60">
        <v>0</v>
      </c>
      <c r="AO637" s="60">
        <v>0</v>
      </c>
      <c r="AP637" s="60">
        <v>0</v>
      </c>
      <c r="AQ637" s="60">
        <v>0</v>
      </c>
      <c r="AR637" s="61">
        <f t="shared" si="252"/>
        <v>0</v>
      </c>
      <c r="AS637" s="60">
        <v>0</v>
      </c>
      <c r="AT637" s="60">
        <v>0</v>
      </c>
      <c r="AU637" s="60">
        <v>0</v>
      </c>
      <c r="AV637" s="60">
        <v>0</v>
      </c>
      <c r="AW637" s="60">
        <v>0</v>
      </c>
      <c r="AX637" s="60">
        <v>0</v>
      </c>
      <c r="AY637" s="61">
        <f t="shared" si="253"/>
        <v>0</v>
      </c>
      <c r="AZ637" s="56">
        <f t="shared" si="248"/>
        <v>0</v>
      </c>
      <c r="BA637" s="62">
        <f t="shared" si="259"/>
        <v>508870.5</v>
      </c>
      <c r="BB637" s="62">
        <f t="shared" si="254"/>
        <v>0</v>
      </c>
      <c r="BC637" s="62">
        <f t="shared" si="260"/>
        <v>508870.5</v>
      </c>
      <c r="BD637" s="63">
        <v>508870.5</v>
      </c>
      <c r="BE637" s="57">
        <f t="shared" si="269"/>
        <v>11195.151000000002</v>
      </c>
      <c r="BF637" s="35" t="str">
        <f>VLOOKUP(A:A,'2023-2027'!A:G,1,+FALSE)</f>
        <v>Кабельная линия 0,4кВ (ДТП №360 от 18.11.2021г, торговый центр ул.Ленина)</v>
      </c>
      <c r="BG637" s="7" t="b">
        <f t="shared" si="256"/>
        <v>1</v>
      </c>
      <c r="BH637" s="35">
        <f>VLOOKUP(A:A,'2023-2027'!A:AT,43,+FALSE)</f>
        <v>2827.0583333333334</v>
      </c>
    </row>
    <row r="638" spans="1:60" ht="48" hidden="1" customHeight="1" outlineLevel="1" x14ac:dyDescent="0.2">
      <c r="A638" s="59" t="s">
        <v>57</v>
      </c>
      <c r="B638" s="59" t="s">
        <v>44</v>
      </c>
      <c r="C638" s="59" t="s">
        <v>82</v>
      </c>
      <c r="D638" s="66" t="s">
        <v>58</v>
      </c>
      <c r="E638" s="59" t="s">
        <v>54</v>
      </c>
      <c r="F638" s="59"/>
      <c r="G638" s="59"/>
      <c r="H638" s="59"/>
      <c r="I638" s="60">
        <v>112122.39</v>
      </c>
      <c r="J638" s="60">
        <v>1494.96</v>
      </c>
      <c r="K638" s="59"/>
      <c r="L638" s="59"/>
      <c r="M638" s="60">
        <v>112122.39</v>
      </c>
      <c r="N638" s="60">
        <v>1494.96</v>
      </c>
      <c r="O638" s="60">
        <v>110627.43</v>
      </c>
      <c r="P638" s="55">
        <v>42836.5</v>
      </c>
      <c r="Q638" s="55">
        <f t="shared" si="267"/>
        <v>942.40300000000013</v>
      </c>
      <c r="R638" s="61">
        <f t="shared" si="249"/>
        <v>124.58</v>
      </c>
      <c r="S638" s="60">
        <v>124.58</v>
      </c>
      <c r="T638" s="60">
        <v>124.58</v>
      </c>
      <c r="U638" s="60">
        <v>124.58</v>
      </c>
      <c r="V638" s="60">
        <v>124.58</v>
      </c>
      <c r="W638" s="60">
        <v>124.58</v>
      </c>
      <c r="X638" s="61">
        <f t="shared" si="250"/>
        <v>747.48</v>
      </c>
      <c r="Y638" s="60">
        <v>124.58</v>
      </c>
      <c r="Z638" s="60">
        <v>124.58</v>
      </c>
      <c r="AA638" s="60">
        <v>124.58</v>
      </c>
      <c r="AB638" s="60">
        <v>124.58</v>
      </c>
      <c r="AC638" s="60">
        <v>124.58</v>
      </c>
      <c r="AD638" s="60">
        <v>124.58</v>
      </c>
      <c r="AE638" s="61">
        <f t="shared" si="251"/>
        <v>747.48</v>
      </c>
      <c r="AF638" s="62">
        <f t="shared" si="258"/>
        <v>112122.39</v>
      </c>
      <c r="AG638" s="62">
        <f t="shared" si="257"/>
        <v>2989.9199999999992</v>
      </c>
      <c r="AH638" s="62">
        <f t="shared" si="255"/>
        <v>109132.47</v>
      </c>
      <c r="AI638" s="63">
        <v>110627.42999999995</v>
      </c>
      <c r="AJ638" s="63">
        <f t="shared" si="268"/>
        <v>2433.8034599999992</v>
      </c>
      <c r="AK638" s="72">
        <f t="shared" si="270"/>
        <v>2433.8034599999992</v>
      </c>
      <c r="AL638" s="60">
        <v>124.58</v>
      </c>
      <c r="AM638" s="60">
        <v>124.58</v>
      </c>
      <c r="AN638" s="60">
        <v>124.58</v>
      </c>
      <c r="AO638" s="60">
        <v>124.58</v>
      </c>
      <c r="AP638" s="60">
        <v>124.58</v>
      </c>
      <c r="AQ638" s="60">
        <v>124.58</v>
      </c>
      <c r="AR638" s="61">
        <f t="shared" si="252"/>
        <v>747.48</v>
      </c>
      <c r="AS638" s="60">
        <v>124.58</v>
      </c>
      <c r="AT638" s="60">
        <v>124.58</v>
      </c>
      <c r="AU638" s="60">
        <v>124.58</v>
      </c>
      <c r="AV638" s="60">
        <v>124.58</v>
      </c>
      <c r="AW638" s="60">
        <v>124.58</v>
      </c>
      <c r="AX638" s="60">
        <v>124.58</v>
      </c>
      <c r="AY638" s="61">
        <f t="shared" si="253"/>
        <v>747.48</v>
      </c>
      <c r="AZ638" s="56">
        <f t="shared" si="248"/>
        <v>1494.96</v>
      </c>
      <c r="BA638" s="62">
        <f t="shared" si="259"/>
        <v>112122.39</v>
      </c>
      <c r="BB638" s="62">
        <f t="shared" si="254"/>
        <v>4484.8799999999983</v>
      </c>
      <c r="BC638" s="62">
        <f t="shared" si="260"/>
        <v>107637.51</v>
      </c>
      <c r="BD638" s="63">
        <v>110627.42999999995</v>
      </c>
      <c r="BE638" s="57">
        <f t="shared" si="269"/>
        <v>2433.8034599999992</v>
      </c>
      <c r="BF638" s="35" t="str">
        <f>VLOOKUP(A:A,'2023-2027'!A:G,1,+FALSE)</f>
        <v xml:space="preserve">Кабельная линия 0,4 кВ (ДТП №90Ф от 17.06.2021 г., гаражный бокс кадастровый номер 83:00:050305:491 </v>
      </c>
      <c r="BG638" s="7" t="b">
        <f t="shared" si="256"/>
        <v>1</v>
      </c>
      <c r="BH638" s="35">
        <f>VLOOKUP(A:A,'2023-2027'!A:AT,43,+FALSE)</f>
        <v>622.9</v>
      </c>
    </row>
    <row r="639" spans="1:60" ht="24" hidden="1" customHeight="1" outlineLevel="1" x14ac:dyDescent="0.2">
      <c r="A639" s="59" t="s">
        <v>1524</v>
      </c>
      <c r="B639" s="59" t="s">
        <v>44</v>
      </c>
      <c r="C639" s="59" t="s">
        <v>82</v>
      </c>
      <c r="D639" s="66" t="s">
        <v>1525</v>
      </c>
      <c r="E639" s="59" t="s">
        <v>1465</v>
      </c>
      <c r="F639" s="60">
        <v>208735.37</v>
      </c>
      <c r="G639" s="60">
        <v>1391.56</v>
      </c>
      <c r="H639" s="60">
        <v>207343.81</v>
      </c>
      <c r="I639" s="59"/>
      <c r="J639" s="60">
        <v>8349.36</v>
      </c>
      <c r="K639" s="59"/>
      <c r="L639" s="59"/>
      <c r="M639" s="60">
        <v>208735.37</v>
      </c>
      <c r="N639" s="60">
        <v>9740.92</v>
      </c>
      <c r="O639" s="60">
        <v>198994.45</v>
      </c>
      <c r="P639" s="55">
        <v>203169.13</v>
      </c>
      <c r="Q639" s="55">
        <f t="shared" si="267"/>
        <v>4469.7208600000004</v>
      </c>
      <c r="R639" s="61">
        <f t="shared" si="249"/>
        <v>695.78000000000009</v>
      </c>
      <c r="S639" s="60">
        <v>695.78</v>
      </c>
      <c r="T639" s="60">
        <v>695.78</v>
      </c>
      <c r="U639" s="60">
        <v>695.78</v>
      </c>
      <c r="V639" s="60">
        <v>695.78</v>
      </c>
      <c r="W639" s="60">
        <v>695.78</v>
      </c>
      <c r="X639" s="61">
        <f t="shared" si="250"/>
        <v>4174.6799999999994</v>
      </c>
      <c r="Y639" s="60">
        <v>695.78</v>
      </c>
      <c r="Z639" s="60">
        <v>695.78</v>
      </c>
      <c r="AA639" s="60">
        <v>695.78</v>
      </c>
      <c r="AB639" s="60">
        <v>695.78</v>
      </c>
      <c r="AC639" s="60">
        <v>695.78</v>
      </c>
      <c r="AD639" s="60">
        <v>695.78</v>
      </c>
      <c r="AE639" s="61">
        <f t="shared" si="251"/>
        <v>4174.6799999999994</v>
      </c>
      <c r="AF639" s="62">
        <f t="shared" si="258"/>
        <v>208735.37</v>
      </c>
      <c r="AG639" s="62">
        <f t="shared" si="257"/>
        <v>18090.280000000002</v>
      </c>
      <c r="AH639" s="62">
        <f t="shared" si="255"/>
        <v>190645.09</v>
      </c>
      <c r="AI639" s="63">
        <v>194819.77</v>
      </c>
      <c r="AJ639" s="63">
        <f t="shared" si="268"/>
        <v>4286.0349400000005</v>
      </c>
      <c r="AK639" s="72">
        <f t="shared" si="270"/>
        <v>4286.0349400000005</v>
      </c>
      <c r="AL639" s="60">
        <v>695.78</v>
      </c>
      <c r="AM639" s="60">
        <v>695.78</v>
      </c>
      <c r="AN639" s="60">
        <v>695.78</v>
      </c>
      <c r="AO639" s="60">
        <v>695.78</v>
      </c>
      <c r="AP639" s="60">
        <v>695.78</v>
      </c>
      <c r="AQ639" s="60">
        <v>695.78</v>
      </c>
      <c r="AR639" s="61">
        <f t="shared" si="252"/>
        <v>4174.6799999999994</v>
      </c>
      <c r="AS639" s="60">
        <v>695.78</v>
      </c>
      <c r="AT639" s="60">
        <v>695.78</v>
      </c>
      <c r="AU639" s="60">
        <v>695.78</v>
      </c>
      <c r="AV639" s="60">
        <v>695.78</v>
      </c>
      <c r="AW639" s="60">
        <v>695.78</v>
      </c>
      <c r="AX639" s="60">
        <v>695.78</v>
      </c>
      <c r="AY639" s="61">
        <f t="shared" si="253"/>
        <v>4174.6799999999994</v>
      </c>
      <c r="AZ639" s="56">
        <f t="shared" si="248"/>
        <v>8349.3599999999988</v>
      </c>
      <c r="BA639" s="62">
        <f t="shared" si="259"/>
        <v>208735.37</v>
      </c>
      <c r="BB639" s="62">
        <f t="shared" si="254"/>
        <v>26439.639999999989</v>
      </c>
      <c r="BC639" s="62">
        <f t="shared" si="260"/>
        <v>182295.73</v>
      </c>
      <c r="BD639" s="63">
        <v>186470.41000000003</v>
      </c>
      <c r="BE639" s="57">
        <f t="shared" si="269"/>
        <v>4102.3490200000015</v>
      </c>
      <c r="BF639" s="35" t="str">
        <f>VLOOKUP(A:A,'2023-2027'!A:G,1,+FALSE)</f>
        <v>Кабельная линия 0,4 кВ (ТУ 174 от 20.10.20)</v>
      </c>
      <c r="BG639" s="7" t="b">
        <f t="shared" si="256"/>
        <v>1</v>
      </c>
      <c r="BH639" s="35">
        <f>VLOOKUP(A:A,'2023-2027'!A:AT,43,+FALSE)</f>
        <v>695.78</v>
      </c>
    </row>
    <row r="640" spans="1:60" ht="24" hidden="1" customHeight="1" outlineLevel="1" x14ac:dyDescent="0.2">
      <c r="A640" s="59" t="s">
        <v>1526</v>
      </c>
      <c r="B640" s="59" t="s">
        <v>44</v>
      </c>
      <c r="C640" s="59" t="s">
        <v>82</v>
      </c>
      <c r="D640" s="66" t="s">
        <v>1527</v>
      </c>
      <c r="E640" s="59" t="s">
        <v>1465</v>
      </c>
      <c r="F640" s="60">
        <v>93334.95</v>
      </c>
      <c r="G640" s="68">
        <v>622.24</v>
      </c>
      <c r="H640" s="60">
        <v>92712.71</v>
      </c>
      <c r="I640" s="59"/>
      <c r="J640" s="60">
        <v>3733.44</v>
      </c>
      <c r="K640" s="59"/>
      <c r="L640" s="59"/>
      <c r="M640" s="60">
        <v>93334.95</v>
      </c>
      <c r="N640" s="60">
        <v>4355.68</v>
      </c>
      <c r="O640" s="60">
        <v>88979.27</v>
      </c>
      <c r="P640" s="55">
        <v>90845.99</v>
      </c>
      <c r="Q640" s="55">
        <f t="shared" si="267"/>
        <v>1998.6117800000004</v>
      </c>
      <c r="R640" s="61">
        <f t="shared" si="249"/>
        <v>311.12</v>
      </c>
      <c r="S640" s="60">
        <v>311.12</v>
      </c>
      <c r="T640" s="60">
        <v>311.12</v>
      </c>
      <c r="U640" s="60">
        <v>311.12</v>
      </c>
      <c r="V640" s="60">
        <v>311.12</v>
      </c>
      <c r="W640" s="60">
        <v>311.12</v>
      </c>
      <c r="X640" s="61">
        <f t="shared" si="250"/>
        <v>1866.7199999999998</v>
      </c>
      <c r="Y640" s="60">
        <v>311.12</v>
      </c>
      <c r="Z640" s="60">
        <v>311.12</v>
      </c>
      <c r="AA640" s="60">
        <v>311.12</v>
      </c>
      <c r="AB640" s="60">
        <v>311.12</v>
      </c>
      <c r="AC640" s="60">
        <v>311.12</v>
      </c>
      <c r="AD640" s="60">
        <v>311.12</v>
      </c>
      <c r="AE640" s="61">
        <f t="shared" si="251"/>
        <v>1866.7199999999998</v>
      </c>
      <c r="AF640" s="62">
        <f t="shared" si="258"/>
        <v>93334.95</v>
      </c>
      <c r="AG640" s="62">
        <f t="shared" si="257"/>
        <v>8089.119999999999</v>
      </c>
      <c r="AH640" s="62">
        <f t="shared" si="255"/>
        <v>85245.83</v>
      </c>
      <c r="AI640" s="63">
        <v>87112.549999999945</v>
      </c>
      <c r="AJ640" s="63">
        <f t="shared" si="268"/>
        <v>1916.476099999999</v>
      </c>
      <c r="AK640" s="72">
        <f t="shared" si="270"/>
        <v>1916.476099999999</v>
      </c>
      <c r="AL640" s="60">
        <v>311.12</v>
      </c>
      <c r="AM640" s="60">
        <v>311.12</v>
      </c>
      <c r="AN640" s="60">
        <v>311.12</v>
      </c>
      <c r="AO640" s="60">
        <v>311.12</v>
      </c>
      <c r="AP640" s="60">
        <v>311.12</v>
      </c>
      <c r="AQ640" s="60">
        <v>311.12</v>
      </c>
      <c r="AR640" s="61">
        <f t="shared" si="252"/>
        <v>1866.7199999999998</v>
      </c>
      <c r="AS640" s="60">
        <v>311.12</v>
      </c>
      <c r="AT640" s="60">
        <v>311.12</v>
      </c>
      <c r="AU640" s="60">
        <v>311.12</v>
      </c>
      <c r="AV640" s="60">
        <v>311.12</v>
      </c>
      <c r="AW640" s="60">
        <v>311.12</v>
      </c>
      <c r="AX640" s="60">
        <v>311.12</v>
      </c>
      <c r="AY640" s="61">
        <f t="shared" si="253"/>
        <v>1866.7199999999998</v>
      </c>
      <c r="AZ640" s="56">
        <f t="shared" si="248"/>
        <v>3733.4399999999996</v>
      </c>
      <c r="BA640" s="62">
        <f t="shared" si="259"/>
        <v>93334.95</v>
      </c>
      <c r="BB640" s="62">
        <f t="shared" si="254"/>
        <v>11822.560000000009</v>
      </c>
      <c r="BC640" s="62">
        <f t="shared" si="260"/>
        <v>81512.389999999985</v>
      </c>
      <c r="BD640" s="63">
        <v>83379.109999999811</v>
      </c>
      <c r="BE640" s="57">
        <f t="shared" si="269"/>
        <v>1834.3404199999961</v>
      </c>
      <c r="BF640" s="35" t="str">
        <f>VLOOKUP(A:A,'2023-2027'!A:G,1,+FALSE)</f>
        <v>Кабельная линия 0,4 кВ (ТУ 200 от 23.10.20)</v>
      </c>
      <c r="BG640" s="7" t="b">
        <f t="shared" si="256"/>
        <v>1</v>
      </c>
      <c r="BH640" s="35">
        <f>VLOOKUP(A:A,'2023-2027'!A:AT,43,+FALSE)</f>
        <v>311.12</v>
      </c>
    </row>
    <row r="641" spans="1:60" ht="24" hidden="1" customHeight="1" outlineLevel="1" x14ac:dyDescent="0.2">
      <c r="A641" s="59" t="s">
        <v>1528</v>
      </c>
      <c r="B641" s="59" t="s">
        <v>44</v>
      </c>
      <c r="C641" s="59" t="s">
        <v>82</v>
      </c>
      <c r="D641" s="66" t="s">
        <v>1529</v>
      </c>
      <c r="E641" s="59" t="s">
        <v>424</v>
      </c>
      <c r="F641" s="60">
        <v>160319.39000000001</v>
      </c>
      <c r="G641" s="59"/>
      <c r="H641" s="60">
        <v>160319.39000000001</v>
      </c>
      <c r="I641" s="59"/>
      <c r="J641" s="60">
        <v>6412.8</v>
      </c>
      <c r="K641" s="59"/>
      <c r="L641" s="59"/>
      <c r="M641" s="60">
        <v>160319.39000000001</v>
      </c>
      <c r="N641" s="60">
        <v>6412.8</v>
      </c>
      <c r="O641" s="60">
        <v>153906.59</v>
      </c>
      <c r="P641" s="55">
        <v>157112.99</v>
      </c>
      <c r="Q641" s="55">
        <f t="shared" si="267"/>
        <v>3456.48578</v>
      </c>
      <c r="R641" s="61">
        <f t="shared" si="249"/>
        <v>534.4</v>
      </c>
      <c r="S641" s="60">
        <v>534.4</v>
      </c>
      <c r="T641" s="60">
        <v>534.4</v>
      </c>
      <c r="U641" s="60">
        <v>534.4</v>
      </c>
      <c r="V641" s="60">
        <v>534.4</v>
      </c>
      <c r="W641" s="60">
        <v>534.4</v>
      </c>
      <c r="X641" s="61">
        <f t="shared" si="250"/>
        <v>3206.4</v>
      </c>
      <c r="Y641" s="60">
        <v>534.4</v>
      </c>
      <c r="Z641" s="60">
        <v>534.4</v>
      </c>
      <c r="AA641" s="60">
        <v>534.4</v>
      </c>
      <c r="AB641" s="60">
        <v>534.4</v>
      </c>
      <c r="AC641" s="60">
        <v>534.4</v>
      </c>
      <c r="AD641" s="60">
        <v>534.4</v>
      </c>
      <c r="AE641" s="61">
        <f t="shared" si="251"/>
        <v>3206.4</v>
      </c>
      <c r="AF641" s="62">
        <f t="shared" si="258"/>
        <v>160319.39000000001</v>
      </c>
      <c r="AG641" s="62">
        <f t="shared" si="257"/>
        <v>12825.599999999997</v>
      </c>
      <c r="AH641" s="62">
        <f t="shared" si="255"/>
        <v>147493.79</v>
      </c>
      <c r="AI641" s="63">
        <v>150700.18999999989</v>
      </c>
      <c r="AJ641" s="63">
        <f t="shared" si="268"/>
        <v>3315.4041799999977</v>
      </c>
      <c r="AK641" s="72">
        <f t="shared" si="270"/>
        <v>3315.4041799999977</v>
      </c>
      <c r="AL641" s="60">
        <v>534.4</v>
      </c>
      <c r="AM641" s="60">
        <v>534.4</v>
      </c>
      <c r="AN641" s="60">
        <v>534.4</v>
      </c>
      <c r="AO641" s="60">
        <v>534.4</v>
      </c>
      <c r="AP641" s="60">
        <v>534.4</v>
      </c>
      <c r="AQ641" s="60">
        <v>534.4</v>
      </c>
      <c r="AR641" s="61">
        <f t="shared" si="252"/>
        <v>3206.4</v>
      </c>
      <c r="AS641" s="60">
        <v>534.4</v>
      </c>
      <c r="AT641" s="60">
        <v>534.4</v>
      </c>
      <c r="AU641" s="60">
        <v>534.4</v>
      </c>
      <c r="AV641" s="60">
        <v>534.4</v>
      </c>
      <c r="AW641" s="60">
        <v>534.4</v>
      </c>
      <c r="AX641" s="60">
        <v>534.4</v>
      </c>
      <c r="AY641" s="61">
        <f t="shared" si="253"/>
        <v>3206.4</v>
      </c>
      <c r="AZ641" s="56">
        <f t="shared" si="248"/>
        <v>6412.8</v>
      </c>
      <c r="BA641" s="62">
        <f t="shared" si="259"/>
        <v>160319.39000000001</v>
      </c>
      <c r="BB641" s="62">
        <f t="shared" si="254"/>
        <v>19238.400000000001</v>
      </c>
      <c r="BC641" s="62">
        <f t="shared" si="260"/>
        <v>141080.99000000002</v>
      </c>
      <c r="BD641" s="63">
        <v>144287.38999999961</v>
      </c>
      <c r="BE641" s="57">
        <f t="shared" si="269"/>
        <v>3174.3225799999918</v>
      </c>
      <c r="BF641" s="35" t="str">
        <f>VLOOKUP(A:A,'2023-2027'!A:G,1,+FALSE)</f>
        <v>Кабельная линия 0,4 кВ (ТУ 581 от 25.02.21)</v>
      </c>
      <c r="BG641" s="7" t="b">
        <f t="shared" si="256"/>
        <v>1</v>
      </c>
      <c r="BH641" s="35">
        <f>VLOOKUP(A:A,'2023-2027'!A:AT,43,+FALSE)</f>
        <v>534.39796666666666</v>
      </c>
    </row>
    <row r="642" spans="1:60" ht="24" hidden="1" customHeight="1" outlineLevel="1" x14ac:dyDescent="0.2">
      <c r="A642" s="59" t="s">
        <v>1530</v>
      </c>
      <c r="B642" s="59" t="s">
        <v>44</v>
      </c>
      <c r="C642" s="59" t="s">
        <v>82</v>
      </c>
      <c r="D642" s="66" t="s">
        <v>1531</v>
      </c>
      <c r="E642" s="59" t="s">
        <v>1465</v>
      </c>
      <c r="F642" s="60">
        <v>2244355.14</v>
      </c>
      <c r="G642" s="60">
        <v>14962.36</v>
      </c>
      <c r="H642" s="60">
        <v>2229392.7799999998</v>
      </c>
      <c r="I642" s="59"/>
      <c r="J642" s="60">
        <v>89774.16</v>
      </c>
      <c r="K642" s="59"/>
      <c r="L642" s="59"/>
      <c r="M642" s="60">
        <v>2244355.14</v>
      </c>
      <c r="N642" s="60">
        <v>104736.52</v>
      </c>
      <c r="O642" s="60">
        <v>2139618.62</v>
      </c>
      <c r="P642" s="55">
        <v>2184505.7000000002</v>
      </c>
      <c r="Q642" s="55">
        <f t="shared" si="267"/>
        <v>48059.125400000012</v>
      </c>
      <c r="R642" s="61">
        <f t="shared" si="249"/>
        <v>7481.18</v>
      </c>
      <c r="S642" s="60">
        <v>7481.18</v>
      </c>
      <c r="T642" s="60">
        <v>7481.18</v>
      </c>
      <c r="U642" s="60">
        <v>7481.18</v>
      </c>
      <c r="V642" s="60">
        <v>7481.18</v>
      </c>
      <c r="W642" s="60">
        <v>7481.18</v>
      </c>
      <c r="X642" s="61">
        <f t="shared" si="250"/>
        <v>44887.08</v>
      </c>
      <c r="Y642" s="60">
        <v>7481.18</v>
      </c>
      <c r="Z642" s="60">
        <v>7481.18</v>
      </c>
      <c r="AA642" s="60">
        <v>7481.18</v>
      </c>
      <c r="AB642" s="60">
        <v>7481.18</v>
      </c>
      <c r="AC642" s="60">
        <v>7481.18</v>
      </c>
      <c r="AD642" s="60">
        <v>7481.18</v>
      </c>
      <c r="AE642" s="61">
        <f t="shared" si="251"/>
        <v>44887.08</v>
      </c>
      <c r="AF642" s="62">
        <f t="shared" si="258"/>
        <v>2244355.14</v>
      </c>
      <c r="AG642" s="62">
        <f t="shared" si="257"/>
        <v>194510.67999999993</v>
      </c>
      <c r="AH642" s="62">
        <f t="shared" si="255"/>
        <v>2049844.4600000002</v>
      </c>
      <c r="AI642" s="63">
        <v>2094731.5400000026</v>
      </c>
      <c r="AJ642" s="63">
        <f t="shared" si="268"/>
        <v>46084.093880000059</v>
      </c>
      <c r="AK642" s="72">
        <f t="shared" si="270"/>
        <v>46084.093880000059</v>
      </c>
      <c r="AL642" s="60">
        <v>7481.18</v>
      </c>
      <c r="AM642" s="60">
        <v>7481.18</v>
      </c>
      <c r="AN642" s="60">
        <v>7481.18</v>
      </c>
      <c r="AO642" s="60">
        <v>7481.18</v>
      </c>
      <c r="AP642" s="60">
        <v>7481.18</v>
      </c>
      <c r="AQ642" s="60">
        <v>7481.18</v>
      </c>
      <c r="AR642" s="61">
        <f t="shared" si="252"/>
        <v>44887.08</v>
      </c>
      <c r="AS642" s="60">
        <v>7481.18</v>
      </c>
      <c r="AT642" s="60">
        <v>7481.18</v>
      </c>
      <c r="AU642" s="60">
        <v>7481.18</v>
      </c>
      <c r="AV642" s="60">
        <v>7481.18</v>
      </c>
      <c r="AW642" s="60">
        <v>7481.18</v>
      </c>
      <c r="AX642" s="60">
        <v>7481.18</v>
      </c>
      <c r="AY642" s="61">
        <f t="shared" si="253"/>
        <v>44887.08</v>
      </c>
      <c r="AZ642" s="56">
        <f t="shared" si="248"/>
        <v>89774.16</v>
      </c>
      <c r="BA642" s="62">
        <f t="shared" si="259"/>
        <v>2244355.14</v>
      </c>
      <c r="BB642" s="62">
        <f t="shared" si="254"/>
        <v>284284.83999999985</v>
      </c>
      <c r="BC642" s="62">
        <f t="shared" si="260"/>
        <v>1960070.3000000003</v>
      </c>
      <c r="BD642" s="63">
        <v>2004957.3800000062</v>
      </c>
      <c r="BE642" s="57">
        <f t="shared" si="269"/>
        <v>44109.062360000142</v>
      </c>
      <c r="BF642" s="35" t="str">
        <f>VLOOKUP(A:A,'2023-2027'!A:G,1,+FALSE)</f>
        <v>Кабельная линия 0,4 кВ (ТУ 589 от 14.04.21)</v>
      </c>
      <c r="BG642" s="7" t="b">
        <f t="shared" si="256"/>
        <v>1</v>
      </c>
      <c r="BH642" s="35">
        <f>VLOOKUP(A:A,'2023-2027'!A:AT,43,+FALSE)</f>
        <v>7481.18</v>
      </c>
    </row>
    <row r="643" spans="1:60" ht="36" hidden="1" customHeight="1" outlineLevel="1" x14ac:dyDescent="0.2">
      <c r="A643" s="59" t="s">
        <v>87</v>
      </c>
      <c r="B643" s="59" t="s">
        <v>44</v>
      </c>
      <c r="C643" s="59" t="s">
        <v>82</v>
      </c>
      <c r="D643" s="66" t="s">
        <v>1532</v>
      </c>
      <c r="E643" s="59" t="s">
        <v>1461</v>
      </c>
      <c r="F643" s="59"/>
      <c r="G643" s="59"/>
      <c r="H643" s="59"/>
      <c r="I643" s="60">
        <v>272636.92</v>
      </c>
      <c r="J643" s="60">
        <v>1817.58</v>
      </c>
      <c r="K643" s="59"/>
      <c r="L643" s="59"/>
      <c r="M643" s="60">
        <v>272636.92</v>
      </c>
      <c r="N643" s="60">
        <v>1817.58</v>
      </c>
      <c r="O643" s="60">
        <v>270819.34000000003</v>
      </c>
      <c r="P643" s="55">
        <v>62706.49</v>
      </c>
      <c r="Q643" s="55">
        <f t="shared" si="267"/>
        <v>1379.54278</v>
      </c>
      <c r="R643" s="61">
        <f t="shared" si="249"/>
        <v>151.465</v>
      </c>
      <c r="S643" s="60">
        <v>151.465</v>
      </c>
      <c r="T643" s="60">
        <v>151.465</v>
      </c>
      <c r="U643" s="60">
        <v>151.465</v>
      </c>
      <c r="V643" s="60">
        <v>151.465</v>
      </c>
      <c r="W643" s="60">
        <v>151.465</v>
      </c>
      <c r="X643" s="61">
        <f t="shared" si="250"/>
        <v>908.79000000000008</v>
      </c>
      <c r="Y643" s="60">
        <v>151.465</v>
      </c>
      <c r="Z643" s="60">
        <v>151.465</v>
      </c>
      <c r="AA643" s="60">
        <v>151.465</v>
      </c>
      <c r="AB643" s="60">
        <v>151.465</v>
      </c>
      <c r="AC643" s="60">
        <v>151.465</v>
      </c>
      <c r="AD643" s="60">
        <v>151.465</v>
      </c>
      <c r="AE643" s="61">
        <f t="shared" si="251"/>
        <v>908.79000000000008</v>
      </c>
      <c r="AF643" s="62">
        <f t="shared" si="258"/>
        <v>272636.92</v>
      </c>
      <c r="AG643" s="62">
        <f t="shared" si="257"/>
        <v>3635.1600000000012</v>
      </c>
      <c r="AH643" s="62">
        <f t="shared" si="255"/>
        <v>269001.76</v>
      </c>
      <c r="AI643" s="63">
        <v>270819.33999999997</v>
      </c>
      <c r="AJ643" s="63">
        <f t="shared" si="268"/>
        <v>5958.0254800000002</v>
      </c>
      <c r="AK643" s="72">
        <f t="shared" si="270"/>
        <v>5958.0254800000002</v>
      </c>
      <c r="AL643" s="60">
        <v>151.465</v>
      </c>
      <c r="AM643" s="60">
        <v>151.465</v>
      </c>
      <c r="AN643" s="60">
        <v>151.465</v>
      </c>
      <c r="AO643" s="60">
        <v>151.465</v>
      </c>
      <c r="AP643" s="60">
        <v>151.465</v>
      </c>
      <c r="AQ643" s="60">
        <v>151.465</v>
      </c>
      <c r="AR643" s="61">
        <f t="shared" si="252"/>
        <v>908.79000000000008</v>
      </c>
      <c r="AS643" s="60">
        <v>151.465</v>
      </c>
      <c r="AT643" s="60">
        <v>151.465</v>
      </c>
      <c r="AU643" s="60">
        <v>151.465</v>
      </c>
      <c r="AV643" s="60">
        <v>151.465</v>
      </c>
      <c r="AW643" s="60">
        <v>151.465</v>
      </c>
      <c r="AX643" s="60">
        <v>151.465</v>
      </c>
      <c r="AY643" s="61">
        <f t="shared" si="253"/>
        <v>908.79000000000008</v>
      </c>
      <c r="AZ643" s="56">
        <f t="shared" si="248"/>
        <v>1817.5800000000002</v>
      </c>
      <c r="BA643" s="62">
        <f t="shared" si="259"/>
        <v>272636.92</v>
      </c>
      <c r="BB643" s="62">
        <f t="shared" si="254"/>
        <v>5452.7400000000025</v>
      </c>
      <c r="BC643" s="62">
        <f t="shared" si="260"/>
        <v>267184.18</v>
      </c>
      <c r="BD643" s="63">
        <v>270819.33999999997</v>
      </c>
      <c r="BE643" s="57">
        <f t="shared" si="269"/>
        <v>5958.0254800000002</v>
      </c>
      <c r="BF643" s="35" t="str">
        <f>VLOOKUP(A:A,'2023-2027'!A:G,1,+FALSE)</f>
        <v>Кабельная линия 0,4 кВ (ТУ 196 от 21.10.20)</v>
      </c>
      <c r="BG643" s="7" t="b">
        <f t="shared" si="256"/>
        <v>1</v>
      </c>
      <c r="BH643" s="35">
        <f>VLOOKUP(A:A,'2023-2027'!A:AT,43,+FALSE)</f>
        <v>1514.65</v>
      </c>
    </row>
    <row r="644" spans="1:60" ht="24" hidden="1" customHeight="1" outlineLevel="1" x14ac:dyDescent="0.2">
      <c r="A644" s="59" t="s">
        <v>1533</v>
      </c>
      <c r="B644" s="59" t="s">
        <v>44</v>
      </c>
      <c r="C644" s="59" t="s">
        <v>82</v>
      </c>
      <c r="D644" s="66" t="s">
        <v>1534</v>
      </c>
      <c r="E644" s="59" t="s">
        <v>1535</v>
      </c>
      <c r="F644" s="60">
        <v>187693.41</v>
      </c>
      <c r="G644" s="59"/>
      <c r="H644" s="60">
        <v>187693.41</v>
      </c>
      <c r="I644" s="59"/>
      <c r="J644" s="60">
        <v>7507.68</v>
      </c>
      <c r="K644" s="59"/>
      <c r="L644" s="59"/>
      <c r="M644" s="60">
        <v>187693.41</v>
      </c>
      <c r="N644" s="60">
        <v>7507.68</v>
      </c>
      <c r="O644" s="60">
        <v>180185.73</v>
      </c>
      <c r="P644" s="55">
        <v>183939.57</v>
      </c>
      <c r="Q644" s="55">
        <f t="shared" si="267"/>
        <v>4046.6705400000005</v>
      </c>
      <c r="R644" s="61">
        <f t="shared" si="249"/>
        <v>625.64</v>
      </c>
      <c r="S644" s="60">
        <v>625.64</v>
      </c>
      <c r="T644" s="60">
        <v>625.64</v>
      </c>
      <c r="U644" s="60">
        <v>625.64</v>
      </c>
      <c r="V644" s="60">
        <v>625.64</v>
      </c>
      <c r="W644" s="60">
        <v>625.64</v>
      </c>
      <c r="X644" s="61">
        <f t="shared" si="250"/>
        <v>3753.8399999999997</v>
      </c>
      <c r="Y644" s="60">
        <v>625.64</v>
      </c>
      <c r="Z644" s="60">
        <v>625.64</v>
      </c>
      <c r="AA644" s="60">
        <v>625.64</v>
      </c>
      <c r="AB644" s="60">
        <v>625.64</v>
      </c>
      <c r="AC644" s="60">
        <v>625.64</v>
      </c>
      <c r="AD644" s="60">
        <v>625.64</v>
      </c>
      <c r="AE644" s="61">
        <f t="shared" si="251"/>
        <v>3753.8399999999997</v>
      </c>
      <c r="AF644" s="62">
        <f t="shared" si="258"/>
        <v>187693.41</v>
      </c>
      <c r="AG644" s="62">
        <f t="shared" si="257"/>
        <v>15015.359999999995</v>
      </c>
      <c r="AH644" s="62">
        <f t="shared" si="255"/>
        <v>172678.05000000002</v>
      </c>
      <c r="AI644" s="63">
        <v>176431.88999999993</v>
      </c>
      <c r="AJ644" s="63">
        <f t="shared" si="268"/>
        <v>3881.5015799999987</v>
      </c>
      <c r="AK644" s="72">
        <f t="shared" si="270"/>
        <v>3881.5015799999987</v>
      </c>
      <c r="AL644" s="60">
        <v>625.64</v>
      </c>
      <c r="AM644" s="60">
        <v>625.64</v>
      </c>
      <c r="AN644" s="60">
        <v>625.64</v>
      </c>
      <c r="AO644" s="60">
        <v>625.64</v>
      </c>
      <c r="AP644" s="60">
        <v>625.64</v>
      </c>
      <c r="AQ644" s="60">
        <v>625.64</v>
      </c>
      <c r="AR644" s="61">
        <f t="shared" si="252"/>
        <v>3753.8399999999997</v>
      </c>
      <c r="AS644" s="60">
        <v>625.64</v>
      </c>
      <c r="AT644" s="60">
        <v>625.64</v>
      </c>
      <c r="AU644" s="60">
        <v>625.64</v>
      </c>
      <c r="AV644" s="60">
        <v>625.64</v>
      </c>
      <c r="AW644" s="60">
        <v>625.64</v>
      </c>
      <c r="AX644" s="60">
        <v>625.64</v>
      </c>
      <c r="AY644" s="61">
        <f t="shared" si="253"/>
        <v>3753.8399999999997</v>
      </c>
      <c r="AZ644" s="56">
        <f t="shared" si="248"/>
        <v>7507.6799999999994</v>
      </c>
      <c r="BA644" s="62">
        <f t="shared" si="259"/>
        <v>187693.41</v>
      </c>
      <c r="BB644" s="62">
        <f t="shared" si="254"/>
        <v>22523.03999999999</v>
      </c>
      <c r="BC644" s="62">
        <f t="shared" si="260"/>
        <v>165170.37000000002</v>
      </c>
      <c r="BD644" s="63">
        <v>168924.20999999979</v>
      </c>
      <c r="BE644" s="57">
        <f t="shared" si="269"/>
        <v>3716.3326199999956</v>
      </c>
      <c r="BF644" s="35" t="str">
        <f>VLOOKUP(A:A,'2023-2027'!A:G,1,+FALSE)</f>
        <v>Кабельная линия 0,4 кВ (ТУ №26 от 29.03.21 г.)</v>
      </c>
      <c r="BG644" s="7" t="b">
        <f t="shared" si="256"/>
        <v>1</v>
      </c>
      <c r="BH644" s="35">
        <f>VLOOKUP(A:A,'2023-2027'!A:AT,43,+FALSE)</f>
        <v>625.64470000000006</v>
      </c>
    </row>
    <row r="645" spans="1:60" ht="24" hidden="1" customHeight="1" outlineLevel="1" x14ac:dyDescent="0.2">
      <c r="A645" s="59" t="s">
        <v>1536</v>
      </c>
      <c r="B645" s="59" t="s">
        <v>44</v>
      </c>
      <c r="C645" s="59" t="s">
        <v>82</v>
      </c>
      <c r="D645" s="66" t="s">
        <v>1537</v>
      </c>
      <c r="E645" s="59" t="s">
        <v>424</v>
      </c>
      <c r="F645" s="60">
        <v>1310961.83</v>
      </c>
      <c r="G645" s="59"/>
      <c r="H645" s="60">
        <v>1310961.83</v>
      </c>
      <c r="I645" s="59"/>
      <c r="J645" s="60">
        <v>52438.44</v>
      </c>
      <c r="K645" s="59"/>
      <c r="L645" s="59"/>
      <c r="M645" s="60">
        <v>1310961.83</v>
      </c>
      <c r="N645" s="60">
        <v>52438.44</v>
      </c>
      <c r="O645" s="60">
        <v>1258523.3899999999</v>
      </c>
      <c r="P645" s="55">
        <v>1284742.6100000001</v>
      </c>
      <c r="Q645" s="55">
        <f t="shared" si="267"/>
        <v>28264.337420000003</v>
      </c>
      <c r="R645" s="61">
        <f t="shared" si="249"/>
        <v>4369.87</v>
      </c>
      <c r="S645" s="60">
        <v>4369.87</v>
      </c>
      <c r="T645" s="60">
        <v>4369.87</v>
      </c>
      <c r="U645" s="60">
        <v>4369.87</v>
      </c>
      <c r="V645" s="60">
        <v>4369.87</v>
      </c>
      <c r="W645" s="60">
        <v>4369.87</v>
      </c>
      <c r="X645" s="61">
        <f t="shared" si="250"/>
        <v>26219.219999999998</v>
      </c>
      <c r="Y645" s="60">
        <v>4369.87</v>
      </c>
      <c r="Z645" s="60">
        <v>4369.87</v>
      </c>
      <c r="AA645" s="60">
        <v>4369.87</v>
      </c>
      <c r="AB645" s="60">
        <v>4369.87</v>
      </c>
      <c r="AC645" s="60">
        <v>4369.87</v>
      </c>
      <c r="AD645" s="60">
        <v>4369.87</v>
      </c>
      <c r="AE645" s="61">
        <f t="shared" si="251"/>
        <v>26219.219999999998</v>
      </c>
      <c r="AF645" s="62">
        <f t="shared" si="258"/>
        <v>1310961.83</v>
      </c>
      <c r="AG645" s="62">
        <f t="shared" si="257"/>
        <v>104876.87999999996</v>
      </c>
      <c r="AH645" s="62">
        <f t="shared" si="255"/>
        <v>1206084.9500000002</v>
      </c>
      <c r="AI645" s="63">
        <v>1232304.1699999995</v>
      </c>
      <c r="AJ645" s="63">
        <f t="shared" si="268"/>
        <v>27110.691739999991</v>
      </c>
      <c r="AK645" s="72">
        <f t="shared" si="270"/>
        <v>27110.691739999991</v>
      </c>
      <c r="AL645" s="60">
        <v>4369.87</v>
      </c>
      <c r="AM645" s="60">
        <v>4369.87</v>
      </c>
      <c r="AN645" s="60">
        <v>4369.87</v>
      </c>
      <c r="AO645" s="60">
        <v>4369.87</v>
      </c>
      <c r="AP645" s="60">
        <v>4369.87</v>
      </c>
      <c r="AQ645" s="60">
        <v>4369.87</v>
      </c>
      <c r="AR645" s="61">
        <f t="shared" si="252"/>
        <v>26219.219999999998</v>
      </c>
      <c r="AS645" s="60">
        <v>4369.87</v>
      </c>
      <c r="AT645" s="60">
        <v>4369.87</v>
      </c>
      <c r="AU645" s="60">
        <v>4369.87</v>
      </c>
      <c r="AV645" s="60">
        <v>4369.87</v>
      </c>
      <c r="AW645" s="60">
        <v>4369.87</v>
      </c>
      <c r="AX645" s="60">
        <v>4369.87</v>
      </c>
      <c r="AY645" s="61">
        <f t="shared" si="253"/>
        <v>26219.219999999998</v>
      </c>
      <c r="AZ645" s="56">
        <f t="shared" si="248"/>
        <v>52438.439999999995</v>
      </c>
      <c r="BA645" s="62">
        <f t="shared" si="259"/>
        <v>1310961.83</v>
      </c>
      <c r="BB645" s="62">
        <f t="shared" si="254"/>
        <v>157315.31999999992</v>
      </c>
      <c r="BC645" s="62">
        <f t="shared" si="260"/>
        <v>1153646.5100000002</v>
      </c>
      <c r="BD645" s="63">
        <v>1179865.7299999981</v>
      </c>
      <c r="BE645" s="57">
        <f t="shared" si="269"/>
        <v>25957.046059999961</v>
      </c>
      <c r="BF645" s="35" t="str">
        <f>VLOOKUP(A:A,'2023-2027'!A:G,1,+FALSE)</f>
        <v>Кабельная линия 0,4 кВ (ТУ №630 от 02.08.2021г)</v>
      </c>
      <c r="BG645" s="7" t="b">
        <f t="shared" si="256"/>
        <v>1</v>
      </c>
      <c r="BH645" s="35">
        <f>VLOOKUP(A:A,'2023-2027'!A:AT,43,+FALSE)</f>
        <v>4369.8727666666673</v>
      </c>
    </row>
    <row r="646" spans="1:60" ht="36" hidden="1" customHeight="1" outlineLevel="1" x14ac:dyDescent="0.2">
      <c r="A646" s="59" t="s">
        <v>1538</v>
      </c>
      <c r="B646" s="59" t="s">
        <v>44</v>
      </c>
      <c r="C646" s="59" t="s">
        <v>82</v>
      </c>
      <c r="D646" s="66" t="s">
        <v>1539</v>
      </c>
      <c r="E646" s="59" t="s">
        <v>1465</v>
      </c>
      <c r="F646" s="60">
        <v>2646577.9500000002</v>
      </c>
      <c r="G646" s="60">
        <v>17643.86</v>
      </c>
      <c r="H646" s="60">
        <v>2628934.09</v>
      </c>
      <c r="I646" s="59"/>
      <c r="J646" s="60">
        <v>105863.16</v>
      </c>
      <c r="K646" s="59"/>
      <c r="L646" s="59"/>
      <c r="M646" s="60">
        <v>2646577.9500000002</v>
      </c>
      <c r="N646" s="60">
        <v>123507.02</v>
      </c>
      <c r="O646" s="60">
        <v>2523070.9300000002</v>
      </c>
      <c r="P646" s="55">
        <v>2576002.5099999998</v>
      </c>
      <c r="Q646" s="55">
        <f t="shared" si="267"/>
        <v>56672.055220000002</v>
      </c>
      <c r="R646" s="61">
        <f t="shared" si="249"/>
        <v>8821.93</v>
      </c>
      <c r="S646" s="60">
        <v>8821.93</v>
      </c>
      <c r="T646" s="60">
        <v>8821.93</v>
      </c>
      <c r="U646" s="60">
        <v>8821.93</v>
      </c>
      <c r="V646" s="60">
        <v>8821.93</v>
      </c>
      <c r="W646" s="60">
        <v>8821.93</v>
      </c>
      <c r="X646" s="61">
        <f t="shared" si="250"/>
        <v>52931.58</v>
      </c>
      <c r="Y646" s="60">
        <v>8821.93</v>
      </c>
      <c r="Z646" s="60">
        <v>8821.93</v>
      </c>
      <c r="AA646" s="60">
        <v>8821.93</v>
      </c>
      <c r="AB646" s="60">
        <v>8821.93</v>
      </c>
      <c r="AC646" s="60">
        <v>8821.93</v>
      </c>
      <c r="AD646" s="60">
        <v>8821.93</v>
      </c>
      <c r="AE646" s="61">
        <f t="shared" si="251"/>
        <v>52931.58</v>
      </c>
      <c r="AF646" s="62">
        <f t="shared" si="258"/>
        <v>2646577.9500000002</v>
      </c>
      <c r="AG646" s="62">
        <f t="shared" si="257"/>
        <v>229370.17999999993</v>
      </c>
      <c r="AH646" s="62">
        <f t="shared" si="255"/>
        <v>2417207.7700000005</v>
      </c>
      <c r="AI646" s="63">
        <v>2470139.350000002</v>
      </c>
      <c r="AJ646" s="63">
        <f t="shared" si="268"/>
        <v>54343.06570000005</v>
      </c>
      <c r="AK646" s="72">
        <f t="shared" si="270"/>
        <v>54343.06570000005</v>
      </c>
      <c r="AL646" s="60">
        <v>8821.93</v>
      </c>
      <c r="AM646" s="60">
        <v>8821.93</v>
      </c>
      <c r="AN646" s="60">
        <v>8821.93</v>
      </c>
      <c r="AO646" s="60">
        <v>8821.93</v>
      </c>
      <c r="AP646" s="60">
        <v>8821.93</v>
      </c>
      <c r="AQ646" s="60">
        <v>8821.93</v>
      </c>
      <c r="AR646" s="61">
        <f t="shared" si="252"/>
        <v>52931.58</v>
      </c>
      <c r="AS646" s="60">
        <v>8821.93</v>
      </c>
      <c r="AT646" s="60">
        <v>8821.93</v>
      </c>
      <c r="AU646" s="60">
        <v>8821.93</v>
      </c>
      <c r="AV646" s="60">
        <v>8821.93</v>
      </c>
      <c r="AW646" s="60">
        <v>8821.93</v>
      </c>
      <c r="AX646" s="60">
        <v>8821.93</v>
      </c>
      <c r="AY646" s="61">
        <f t="shared" si="253"/>
        <v>52931.58</v>
      </c>
      <c r="AZ646" s="56">
        <f t="shared" si="248"/>
        <v>105863.16</v>
      </c>
      <c r="BA646" s="62">
        <f t="shared" si="259"/>
        <v>2646577.9500000002</v>
      </c>
      <c r="BB646" s="62">
        <f t="shared" si="254"/>
        <v>335233.33999999985</v>
      </c>
      <c r="BC646" s="62">
        <f t="shared" si="260"/>
        <v>2311344.6100000003</v>
      </c>
      <c r="BD646" s="63">
        <v>2364276.1900000055</v>
      </c>
      <c r="BE646" s="57">
        <f t="shared" si="269"/>
        <v>52014.076180000127</v>
      </c>
      <c r="BF646" s="35" t="str">
        <f>VLOOKUP(A:A,'2023-2027'!A:G,1,+FALSE)</f>
        <v>Кабельная линия 0,4 кВ от ТП №15 до ЩУ объекта "Ясли-сад №2 в г.Нарьян-Маре"</v>
      </c>
      <c r="BG646" s="7" t="b">
        <f t="shared" si="256"/>
        <v>1</v>
      </c>
      <c r="BH646" s="35">
        <f>VLOOKUP(A:A,'2023-2027'!A:AT,43,+FALSE)</f>
        <v>8821.93</v>
      </c>
    </row>
    <row r="647" spans="1:60" ht="48" hidden="1" customHeight="1" outlineLevel="1" x14ac:dyDescent="0.2">
      <c r="A647" s="59" t="s">
        <v>91</v>
      </c>
      <c r="B647" s="59" t="s">
        <v>44</v>
      </c>
      <c r="C647" s="59" t="s">
        <v>82</v>
      </c>
      <c r="D647" s="66" t="s">
        <v>1540</v>
      </c>
      <c r="E647" s="59" t="s">
        <v>1477</v>
      </c>
      <c r="F647" s="59"/>
      <c r="G647" s="59"/>
      <c r="H647" s="59"/>
      <c r="I647" s="60">
        <v>215565.45</v>
      </c>
      <c r="J647" s="68">
        <v>718.55</v>
      </c>
      <c r="K647" s="59"/>
      <c r="L647" s="59"/>
      <c r="M647" s="60">
        <v>215565.45</v>
      </c>
      <c r="N647" s="68">
        <v>718.55</v>
      </c>
      <c r="O647" s="60">
        <v>214846.9</v>
      </c>
      <c r="P647" s="55">
        <v>33108.639999999999</v>
      </c>
      <c r="Q647" s="55">
        <f t="shared" si="267"/>
        <v>728.39008000000001</v>
      </c>
      <c r="R647" s="61">
        <f t="shared" si="249"/>
        <v>59.879166666666663</v>
      </c>
      <c r="S647" s="60">
        <v>59.879166669999996</v>
      </c>
      <c r="T647" s="60">
        <v>59.879166669999996</v>
      </c>
      <c r="U647" s="60">
        <v>59.879166669999996</v>
      </c>
      <c r="V647" s="60">
        <v>59.879166669999996</v>
      </c>
      <c r="W647" s="60">
        <v>59.879166669999996</v>
      </c>
      <c r="X647" s="61">
        <f t="shared" si="250"/>
        <v>359.27500001666664</v>
      </c>
      <c r="Y647" s="60">
        <v>59.879166669999996</v>
      </c>
      <c r="Z647" s="60">
        <v>59.879166669999996</v>
      </c>
      <c r="AA647" s="60">
        <v>59.879166669999996</v>
      </c>
      <c r="AB647" s="60">
        <v>59.879166669999996</v>
      </c>
      <c r="AC647" s="60">
        <v>59.879166669999996</v>
      </c>
      <c r="AD647" s="60">
        <v>59.879166669999996</v>
      </c>
      <c r="AE647" s="61">
        <f t="shared" si="251"/>
        <v>359.27500001999999</v>
      </c>
      <c r="AF647" s="62">
        <f t="shared" si="258"/>
        <v>215565.45</v>
      </c>
      <c r="AG647" s="62">
        <f t="shared" si="257"/>
        <v>1437.100000036666</v>
      </c>
      <c r="AH647" s="62">
        <f t="shared" si="255"/>
        <v>214128.34999996333</v>
      </c>
      <c r="AI647" s="63">
        <v>214846.89999999994</v>
      </c>
      <c r="AJ647" s="63">
        <f t="shared" si="268"/>
        <v>4726.6317999999992</v>
      </c>
      <c r="AK647" s="72">
        <f t="shared" si="270"/>
        <v>4726.6317999999992</v>
      </c>
      <c r="AL647" s="60">
        <v>59.879166669999996</v>
      </c>
      <c r="AM647" s="60">
        <v>59.879166669999996</v>
      </c>
      <c r="AN647" s="60">
        <v>59.879166669999996</v>
      </c>
      <c r="AO647" s="60">
        <v>59.879166669999996</v>
      </c>
      <c r="AP647" s="60">
        <v>59.879166669999996</v>
      </c>
      <c r="AQ647" s="60">
        <v>59.879166669999996</v>
      </c>
      <c r="AR647" s="61">
        <f t="shared" si="252"/>
        <v>359.27500001999999</v>
      </c>
      <c r="AS647" s="60">
        <v>59.879166669999996</v>
      </c>
      <c r="AT647" s="60">
        <v>59.879166669999996</v>
      </c>
      <c r="AU647" s="60">
        <v>59.879166669999996</v>
      </c>
      <c r="AV647" s="60">
        <v>59.879166669999996</v>
      </c>
      <c r="AW647" s="60">
        <v>59.879166669999996</v>
      </c>
      <c r="AX647" s="60">
        <v>59.879166669999996</v>
      </c>
      <c r="AY647" s="61">
        <f t="shared" si="253"/>
        <v>359.27500001999999</v>
      </c>
      <c r="AZ647" s="56">
        <f t="shared" si="248"/>
        <v>718.55000003999999</v>
      </c>
      <c r="BA647" s="62">
        <f t="shared" si="259"/>
        <v>215565.45</v>
      </c>
      <c r="BB647" s="62">
        <f t="shared" si="254"/>
        <v>2155.650000076665</v>
      </c>
      <c r="BC647" s="62">
        <f t="shared" si="260"/>
        <v>213409.79999992336</v>
      </c>
      <c r="BD647" s="63">
        <v>214846.89999999994</v>
      </c>
      <c r="BE647" s="57">
        <f t="shared" si="269"/>
        <v>4726.6317999999992</v>
      </c>
      <c r="BF647" s="35" t="str">
        <f>VLOOKUP(A:A,'2023-2027'!A:G,1,+FALSE)</f>
        <v>Кабельная линия 0,4кВ (ДТП №253 Ф от 06.12.2021г, Гаражный бокс. Ул.60 лет Октября)</v>
      </c>
      <c r="BG647" s="7" t="b">
        <f t="shared" si="256"/>
        <v>1</v>
      </c>
      <c r="BH647" s="35">
        <f>VLOOKUP(A:A,'2023-2027'!A:AT,43,+FALSE)</f>
        <v>1197.5899999999999</v>
      </c>
    </row>
    <row r="648" spans="1:60" ht="24" hidden="1" customHeight="1" outlineLevel="1" x14ac:dyDescent="0.2">
      <c r="A648" s="59" t="s">
        <v>1541</v>
      </c>
      <c r="B648" s="59" t="s">
        <v>44</v>
      </c>
      <c r="C648" s="59" t="s">
        <v>82</v>
      </c>
      <c r="D648" s="66" t="s">
        <v>1542</v>
      </c>
      <c r="E648" s="59" t="s">
        <v>712</v>
      </c>
      <c r="F648" s="60">
        <v>367664.48</v>
      </c>
      <c r="G648" s="60">
        <v>176479.2</v>
      </c>
      <c r="H648" s="60">
        <v>191185.28</v>
      </c>
      <c r="I648" s="59"/>
      <c r="J648" s="60">
        <v>14706.6</v>
      </c>
      <c r="K648" s="59"/>
      <c r="L648" s="59"/>
      <c r="M648" s="60">
        <v>367664.48</v>
      </c>
      <c r="N648" s="60">
        <v>191185.8</v>
      </c>
      <c r="O648" s="60">
        <v>176478.68</v>
      </c>
      <c r="P648" s="55">
        <v>183831.98</v>
      </c>
      <c r="Q648" s="55">
        <f t="shared" si="267"/>
        <v>4044.3035600000007</v>
      </c>
      <c r="R648" s="61">
        <f t="shared" si="249"/>
        <v>1225.55</v>
      </c>
      <c r="S648" s="60">
        <v>1225.55</v>
      </c>
      <c r="T648" s="60">
        <v>1225.55</v>
      </c>
      <c r="U648" s="60">
        <v>1225.55</v>
      </c>
      <c r="V648" s="60">
        <v>1225.55</v>
      </c>
      <c r="W648" s="60">
        <v>1225.55</v>
      </c>
      <c r="X648" s="61">
        <f t="shared" si="250"/>
        <v>7353.3</v>
      </c>
      <c r="Y648" s="60">
        <v>1225.55</v>
      </c>
      <c r="Z648" s="60">
        <v>1225.55</v>
      </c>
      <c r="AA648" s="60">
        <v>1225.55</v>
      </c>
      <c r="AB648" s="60">
        <v>1225.55</v>
      </c>
      <c r="AC648" s="60">
        <v>1225.55</v>
      </c>
      <c r="AD648" s="60">
        <v>1225.55</v>
      </c>
      <c r="AE648" s="61">
        <f t="shared" si="251"/>
        <v>7353.3</v>
      </c>
      <c r="AF648" s="62">
        <f t="shared" si="258"/>
        <v>367664.48</v>
      </c>
      <c r="AG648" s="62">
        <f t="shared" si="257"/>
        <v>205892.39999999985</v>
      </c>
      <c r="AH648" s="62">
        <f t="shared" si="255"/>
        <v>161772.08000000013</v>
      </c>
      <c r="AI648" s="63">
        <v>169125.38000000006</v>
      </c>
      <c r="AJ648" s="63">
        <f t="shared" si="268"/>
        <v>3720.7583600000016</v>
      </c>
      <c r="AK648" s="72">
        <f t="shared" si="270"/>
        <v>3720.7583600000016</v>
      </c>
      <c r="AL648" s="60">
        <v>1225.55</v>
      </c>
      <c r="AM648" s="60">
        <v>1225.55</v>
      </c>
      <c r="AN648" s="60">
        <v>1225.55</v>
      </c>
      <c r="AO648" s="60">
        <v>1225.55</v>
      </c>
      <c r="AP648" s="60">
        <v>1225.55</v>
      </c>
      <c r="AQ648" s="60">
        <v>1225.55</v>
      </c>
      <c r="AR648" s="61">
        <f t="shared" si="252"/>
        <v>7353.3</v>
      </c>
      <c r="AS648" s="60">
        <v>1225.55</v>
      </c>
      <c r="AT648" s="60">
        <v>1225.55</v>
      </c>
      <c r="AU648" s="60">
        <v>1225.55</v>
      </c>
      <c r="AV648" s="60">
        <v>1225.55</v>
      </c>
      <c r="AW648" s="60">
        <v>1225.55</v>
      </c>
      <c r="AX648" s="60">
        <v>1225.55</v>
      </c>
      <c r="AY648" s="61">
        <f t="shared" si="253"/>
        <v>7353.3</v>
      </c>
      <c r="AZ648" s="56">
        <f t="shared" si="248"/>
        <v>14706.6</v>
      </c>
      <c r="BA648" s="62">
        <f t="shared" si="259"/>
        <v>367664.48</v>
      </c>
      <c r="BB648" s="62">
        <f t="shared" si="254"/>
        <v>220598.99999999971</v>
      </c>
      <c r="BC648" s="62">
        <f t="shared" si="260"/>
        <v>147065.48000000027</v>
      </c>
      <c r="BD648" s="63">
        <v>154418.7800000002</v>
      </c>
      <c r="BE648" s="57">
        <f t="shared" si="269"/>
        <v>3397.2131600000048</v>
      </c>
      <c r="BF648" s="35" t="str">
        <f>VLOOKUP(A:A,'2023-2027'!A:G,1,+FALSE)</f>
        <v>Кабельная линия в районе школы №2 (ТП - возд.ЛЭП)</v>
      </c>
      <c r="BG648" s="7" t="b">
        <f t="shared" si="256"/>
        <v>1</v>
      </c>
      <c r="BH648" s="35">
        <f>VLOOKUP(A:A,'2023-2027'!A:AT,43,+FALSE)</f>
        <v>1225.5499999999997</v>
      </c>
    </row>
    <row r="649" spans="1:60" ht="24" hidden="1" customHeight="1" outlineLevel="1" x14ac:dyDescent="0.2">
      <c r="A649" s="59" t="s">
        <v>1543</v>
      </c>
      <c r="B649" s="59" t="s">
        <v>44</v>
      </c>
      <c r="C649" s="59" t="s">
        <v>82</v>
      </c>
      <c r="D649" s="66" t="s">
        <v>1544</v>
      </c>
      <c r="E649" s="59" t="s">
        <v>712</v>
      </c>
      <c r="F649" s="60">
        <v>367664.48</v>
      </c>
      <c r="G649" s="60">
        <v>176479.2</v>
      </c>
      <c r="H649" s="60">
        <v>191185.28</v>
      </c>
      <c r="I649" s="59"/>
      <c r="J649" s="60">
        <v>14706.6</v>
      </c>
      <c r="K649" s="59"/>
      <c r="L649" s="59"/>
      <c r="M649" s="60">
        <v>367664.48</v>
      </c>
      <c r="N649" s="60">
        <v>191185.8</v>
      </c>
      <c r="O649" s="60">
        <v>176478.68</v>
      </c>
      <c r="P649" s="55">
        <v>183831.98</v>
      </c>
      <c r="Q649" s="55">
        <f t="shared" si="267"/>
        <v>4044.3035600000007</v>
      </c>
      <c r="R649" s="61">
        <f t="shared" si="249"/>
        <v>1225.55</v>
      </c>
      <c r="S649" s="60">
        <v>1225.55</v>
      </c>
      <c r="T649" s="60">
        <v>1225.55</v>
      </c>
      <c r="U649" s="60">
        <v>1225.55</v>
      </c>
      <c r="V649" s="60">
        <v>1225.55</v>
      </c>
      <c r="W649" s="60">
        <v>1225.55</v>
      </c>
      <c r="X649" s="61">
        <f t="shared" si="250"/>
        <v>7353.3</v>
      </c>
      <c r="Y649" s="60">
        <v>1225.55</v>
      </c>
      <c r="Z649" s="60">
        <v>1225.55</v>
      </c>
      <c r="AA649" s="60">
        <v>1225.55</v>
      </c>
      <c r="AB649" s="60">
        <v>1225.55</v>
      </c>
      <c r="AC649" s="60">
        <v>1225.55</v>
      </c>
      <c r="AD649" s="60">
        <v>1225.55</v>
      </c>
      <c r="AE649" s="61">
        <f t="shared" si="251"/>
        <v>7353.3</v>
      </c>
      <c r="AF649" s="62">
        <f t="shared" si="258"/>
        <v>367664.48</v>
      </c>
      <c r="AG649" s="62">
        <f t="shared" si="257"/>
        <v>205892.39999999985</v>
      </c>
      <c r="AH649" s="62">
        <f t="shared" si="255"/>
        <v>161772.08000000013</v>
      </c>
      <c r="AI649" s="63">
        <v>169125.38000000006</v>
      </c>
      <c r="AJ649" s="63">
        <f t="shared" si="268"/>
        <v>3720.7583600000016</v>
      </c>
      <c r="AK649" s="72">
        <f t="shared" si="270"/>
        <v>3720.7583600000016</v>
      </c>
      <c r="AL649" s="60">
        <v>1225.55</v>
      </c>
      <c r="AM649" s="60">
        <v>1225.55</v>
      </c>
      <c r="AN649" s="60">
        <v>1225.55</v>
      </c>
      <c r="AO649" s="60">
        <v>1225.55</v>
      </c>
      <c r="AP649" s="60">
        <v>1225.55</v>
      </c>
      <c r="AQ649" s="60">
        <v>1225.55</v>
      </c>
      <c r="AR649" s="61">
        <f t="shared" si="252"/>
        <v>7353.3</v>
      </c>
      <c r="AS649" s="60">
        <v>1225.55</v>
      </c>
      <c r="AT649" s="60">
        <v>1225.55</v>
      </c>
      <c r="AU649" s="60">
        <v>1225.55</v>
      </c>
      <c r="AV649" s="60">
        <v>1225.55</v>
      </c>
      <c r="AW649" s="60">
        <v>1225.55</v>
      </c>
      <c r="AX649" s="60">
        <v>1225.55</v>
      </c>
      <c r="AY649" s="61">
        <f t="shared" si="253"/>
        <v>7353.3</v>
      </c>
      <c r="AZ649" s="56">
        <f t="shared" si="248"/>
        <v>14706.6</v>
      </c>
      <c r="BA649" s="62">
        <f t="shared" si="259"/>
        <v>367664.48</v>
      </c>
      <c r="BB649" s="62">
        <f t="shared" si="254"/>
        <v>220598.99999999971</v>
      </c>
      <c r="BC649" s="62">
        <f t="shared" si="260"/>
        <v>147065.48000000027</v>
      </c>
      <c r="BD649" s="63">
        <v>154418.7800000002</v>
      </c>
      <c r="BE649" s="57">
        <f t="shared" si="269"/>
        <v>3397.2131600000048</v>
      </c>
      <c r="BF649" s="35" t="str">
        <f>VLOOKUP(A:A,'2023-2027'!A:G,1,+FALSE)</f>
        <v>Кабельная линия в районе школы №2 (ТП - школа)</v>
      </c>
      <c r="BG649" s="7" t="b">
        <f t="shared" si="256"/>
        <v>1</v>
      </c>
      <c r="BH649" s="35">
        <f>VLOOKUP(A:A,'2023-2027'!A:AT,43,+FALSE)</f>
        <v>1225.5499999999997</v>
      </c>
    </row>
    <row r="650" spans="1:60" ht="24" hidden="1" customHeight="1" outlineLevel="1" x14ac:dyDescent="0.2">
      <c r="A650" s="59" t="s">
        <v>1545</v>
      </c>
      <c r="B650" s="59" t="s">
        <v>44</v>
      </c>
      <c r="C650" s="59" t="s">
        <v>82</v>
      </c>
      <c r="D650" s="66" t="s">
        <v>1546</v>
      </c>
      <c r="E650" s="59" t="s">
        <v>1516</v>
      </c>
      <c r="F650" s="60">
        <v>13999773.300000001</v>
      </c>
      <c r="G650" s="60">
        <v>622212.16</v>
      </c>
      <c r="H650" s="60">
        <v>13377561.140000001</v>
      </c>
      <c r="I650" s="59"/>
      <c r="J650" s="60">
        <v>933318.24</v>
      </c>
      <c r="K650" s="59"/>
      <c r="L650" s="59"/>
      <c r="M650" s="60">
        <v>13999773.300000001</v>
      </c>
      <c r="N650" s="60">
        <v>1555530.4</v>
      </c>
      <c r="O650" s="60">
        <v>12444242.9</v>
      </c>
      <c r="P650" s="55">
        <v>12910902</v>
      </c>
      <c r="Q650" s="55">
        <f t="shared" si="267"/>
        <v>284039.84400000004</v>
      </c>
      <c r="R650" s="61">
        <f t="shared" si="249"/>
        <v>77776.52</v>
      </c>
      <c r="S650" s="60">
        <v>77776.52</v>
      </c>
      <c r="T650" s="60">
        <v>77776.52</v>
      </c>
      <c r="U650" s="60">
        <v>77776.52</v>
      </c>
      <c r="V650" s="60">
        <v>77776.52</v>
      </c>
      <c r="W650" s="60">
        <v>77776.52</v>
      </c>
      <c r="X650" s="61">
        <f t="shared" si="250"/>
        <v>466659.12000000005</v>
      </c>
      <c r="Y650" s="60">
        <v>77776.52</v>
      </c>
      <c r="Z650" s="60">
        <v>77776.52</v>
      </c>
      <c r="AA650" s="60">
        <v>77776.52</v>
      </c>
      <c r="AB650" s="60">
        <v>77776.52</v>
      </c>
      <c r="AC650" s="60">
        <v>77776.52</v>
      </c>
      <c r="AD650" s="60">
        <v>77776.52</v>
      </c>
      <c r="AE650" s="61">
        <f t="shared" si="251"/>
        <v>466659.12000000005</v>
      </c>
      <c r="AF650" s="62">
        <f t="shared" si="258"/>
        <v>13999773.300000001</v>
      </c>
      <c r="AG650" s="62">
        <f t="shared" si="257"/>
        <v>2488848.64</v>
      </c>
      <c r="AH650" s="62">
        <f t="shared" si="255"/>
        <v>11510924.66</v>
      </c>
      <c r="AI650" s="63">
        <v>11977583.779999992</v>
      </c>
      <c r="AJ650" s="63">
        <f t="shared" si="268"/>
        <v>263506.84315999987</v>
      </c>
      <c r="AK650" s="72">
        <f t="shared" si="270"/>
        <v>263506.84315999987</v>
      </c>
      <c r="AL650" s="60">
        <v>77776.52</v>
      </c>
      <c r="AM650" s="60">
        <v>77776.52</v>
      </c>
      <c r="AN650" s="60">
        <v>77776.52</v>
      </c>
      <c r="AO650" s="60">
        <v>77776.52</v>
      </c>
      <c r="AP650" s="60">
        <v>77776.52</v>
      </c>
      <c r="AQ650" s="60">
        <v>77776.52</v>
      </c>
      <c r="AR650" s="61">
        <f t="shared" si="252"/>
        <v>466659.12000000005</v>
      </c>
      <c r="AS650" s="60">
        <v>77776.52</v>
      </c>
      <c r="AT650" s="60">
        <v>77776.52</v>
      </c>
      <c r="AU650" s="60">
        <v>77776.52</v>
      </c>
      <c r="AV650" s="60">
        <v>77776.52</v>
      </c>
      <c r="AW650" s="60">
        <v>77776.52</v>
      </c>
      <c r="AX650" s="60">
        <v>77776.52</v>
      </c>
      <c r="AY650" s="61">
        <f t="shared" si="253"/>
        <v>466659.12000000005</v>
      </c>
      <c r="AZ650" s="56">
        <f t="shared" ref="AZ650:AZ713" si="271">AR650+AY650</f>
        <v>933318.24000000011</v>
      </c>
      <c r="BA650" s="62">
        <f t="shared" si="259"/>
        <v>13999773.300000001</v>
      </c>
      <c r="BB650" s="62">
        <f t="shared" si="254"/>
        <v>3422166.8800000004</v>
      </c>
      <c r="BC650" s="62">
        <f t="shared" si="260"/>
        <v>10577606.42</v>
      </c>
      <c r="BD650" s="63">
        <v>11044265.539999973</v>
      </c>
      <c r="BE650" s="57">
        <f t="shared" si="269"/>
        <v>242973.84187999944</v>
      </c>
      <c r="BF650" s="35" t="str">
        <f>VLOOKUP(A:A,'2023-2027'!A:G,1,+FALSE)</f>
        <v>Кабельная линия эл.передач 6кВ 10760 м</v>
      </c>
      <c r="BG650" s="7" t="b">
        <f t="shared" si="256"/>
        <v>1</v>
      </c>
      <c r="BH650" s="35">
        <f>VLOOKUP(A:A,'2023-2027'!A:AT,43,+FALSE)</f>
        <v>77776.52</v>
      </c>
    </row>
    <row r="651" spans="1:60" ht="24" hidden="1" customHeight="1" outlineLevel="1" x14ac:dyDescent="0.2">
      <c r="A651" s="59" t="s">
        <v>1547</v>
      </c>
      <c r="B651" s="59" t="s">
        <v>44</v>
      </c>
      <c r="C651" s="59" t="s">
        <v>82</v>
      </c>
      <c r="D651" s="66" t="s">
        <v>1548</v>
      </c>
      <c r="E651" s="59" t="s">
        <v>1549</v>
      </c>
      <c r="F651" s="60">
        <v>654039.01</v>
      </c>
      <c r="G651" s="60">
        <v>372802.23</v>
      </c>
      <c r="H651" s="60">
        <v>281236.78000000003</v>
      </c>
      <c r="I651" s="59"/>
      <c r="J651" s="60">
        <v>26161.56</v>
      </c>
      <c r="K651" s="59"/>
      <c r="L651" s="59"/>
      <c r="M651" s="60">
        <v>654039.01</v>
      </c>
      <c r="N651" s="60">
        <v>398963.79</v>
      </c>
      <c r="O651" s="60">
        <v>255075.22</v>
      </c>
      <c r="P651" s="55">
        <v>268156</v>
      </c>
      <c r="Q651" s="55">
        <f t="shared" si="267"/>
        <v>5899.4320000000007</v>
      </c>
      <c r="R651" s="61">
        <f t="shared" si="249"/>
        <v>2180.13</v>
      </c>
      <c r="S651" s="60">
        <v>2180.13</v>
      </c>
      <c r="T651" s="60">
        <v>2180.13</v>
      </c>
      <c r="U651" s="60">
        <v>2180.13</v>
      </c>
      <c r="V651" s="60">
        <v>2180.13</v>
      </c>
      <c r="W651" s="60">
        <v>2180.13</v>
      </c>
      <c r="X651" s="61">
        <f t="shared" si="250"/>
        <v>13080.780000000002</v>
      </c>
      <c r="Y651" s="60">
        <v>2180.13</v>
      </c>
      <c r="Z651" s="60">
        <v>2180.13</v>
      </c>
      <c r="AA651" s="60">
        <v>2180.13</v>
      </c>
      <c r="AB651" s="60">
        <v>2180.13</v>
      </c>
      <c r="AC651" s="60">
        <v>2180.13</v>
      </c>
      <c r="AD651" s="60">
        <v>2180.13</v>
      </c>
      <c r="AE651" s="61">
        <f t="shared" si="251"/>
        <v>13080.780000000002</v>
      </c>
      <c r="AF651" s="62">
        <f t="shared" si="258"/>
        <v>654039.01</v>
      </c>
      <c r="AG651" s="62">
        <f t="shared" si="257"/>
        <v>425125.35000000003</v>
      </c>
      <c r="AH651" s="62">
        <f t="shared" si="255"/>
        <v>228913.65999999997</v>
      </c>
      <c r="AI651" s="63">
        <v>241994.44</v>
      </c>
      <c r="AJ651" s="63">
        <f t="shared" si="268"/>
        <v>5323.8776800000005</v>
      </c>
      <c r="AK651" s="72">
        <f t="shared" si="270"/>
        <v>5323.8776800000005</v>
      </c>
      <c r="AL651" s="60">
        <v>2180.13</v>
      </c>
      <c r="AM651" s="60">
        <v>2180.13</v>
      </c>
      <c r="AN651" s="60">
        <v>2180.13</v>
      </c>
      <c r="AO651" s="60">
        <v>2180.13</v>
      </c>
      <c r="AP651" s="60">
        <v>2180.13</v>
      </c>
      <c r="AQ651" s="60">
        <v>2180.13</v>
      </c>
      <c r="AR651" s="61">
        <f t="shared" si="252"/>
        <v>13080.780000000002</v>
      </c>
      <c r="AS651" s="60">
        <v>2180.13</v>
      </c>
      <c r="AT651" s="60">
        <v>2180.13</v>
      </c>
      <c r="AU651" s="60">
        <v>2180.13</v>
      </c>
      <c r="AV651" s="60">
        <v>2180.13</v>
      </c>
      <c r="AW651" s="60">
        <v>2180.13</v>
      </c>
      <c r="AX651" s="60">
        <v>2180.13</v>
      </c>
      <c r="AY651" s="61">
        <f t="shared" si="253"/>
        <v>13080.780000000002</v>
      </c>
      <c r="AZ651" s="56">
        <f t="shared" si="271"/>
        <v>26161.560000000005</v>
      </c>
      <c r="BA651" s="62">
        <f t="shared" si="259"/>
        <v>654039.01</v>
      </c>
      <c r="BB651" s="62">
        <f t="shared" si="254"/>
        <v>451286.91000000009</v>
      </c>
      <c r="BC651" s="62">
        <f t="shared" si="260"/>
        <v>202752.09999999992</v>
      </c>
      <c r="BD651" s="63">
        <v>215832.87999999995</v>
      </c>
      <c r="BE651" s="57">
        <f t="shared" si="269"/>
        <v>4748.3233599999994</v>
      </c>
      <c r="BF651" s="35" t="str">
        <f>VLOOKUP(A:A,'2023-2027'!A:G,1,+FALSE)</f>
        <v>Кабельная ЛЭП-6кВ РУ-6кВ ДЭС-ТП№24 фидера Город-1</v>
      </c>
      <c r="BG651" s="7" t="b">
        <f t="shared" si="256"/>
        <v>1</v>
      </c>
      <c r="BH651" s="35">
        <f>VLOOKUP(A:A,'2023-2027'!A:AT,43,+FALSE)</f>
        <v>2180.1300000000006</v>
      </c>
    </row>
    <row r="652" spans="1:60" ht="24" hidden="1" customHeight="1" outlineLevel="1" x14ac:dyDescent="0.2">
      <c r="A652" s="59" t="s">
        <v>1550</v>
      </c>
      <c r="B652" s="59" t="s">
        <v>44</v>
      </c>
      <c r="C652" s="59" t="s">
        <v>82</v>
      </c>
      <c r="D652" s="66" t="s">
        <v>1551</v>
      </c>
      <c r="E652" s="59" t="s">
        <v>1549</v>
      </c>
      <c r="F652" s="60">
        <v>1466828.36</v>
      </c>
      <c r="G652" s="60">
        <v>836092.53</v>
      </c>
      <c r="H652" s="60">
        <v>630735.82999999996</v>
      </c>
      <c r="I652" s="59"/>
      <c r="J652" s="60">
        <v>58673.11</v>
      </c>
      <c r="K652" s="59"/>
      <c r="L652" s="59"/>
      <c r="M652" s="60">
        <v>1466828.36</v>
      </c>
      <c r="N652" s="60">
        <v>894765.64</v>
      </c>
      <c r="O652" s="60">
        <v>572062.71999999997</v>
      </c>
      <c r="P652" s="55">
        <v>601399.27</v>
      </c>
      <c r="Q652" s="55">
        <f t="shared" si="267"/>
        <v>13230.783940000001</v>
      </c>
      <c r="R652" s="61">
        <f t="shared" si="249"/>
        <v>4889.4258333333337</v>
      </c>
      <c r="S652" s="60">
        <v>4889.4258330000002</v>
      </c>
      <c r="T652" s="60">
        <v>4889.4258330000002</v>
      </c>
      <c r="U652" s="60">
        <v>4889.4258330000002</v>
      </c>
      <c r="V652" s="60">
        <v>4889.4258330000002</v>
      </c>
      <c r="W652" s="60">
        <v>4889.4258330000002</v>
      </c>
      <c r="X652" s="61">
        <f t="shared" si="250"/>
        <v>29336.554998333337</v>
      </c>
      <c r="Y652" s="60">
        <v>4889.4258330000002</v>
      </c>
      <c r="Z652" s="60">
        <v>4889.4258330000002</v>
      </c>
      <c r="AA652" s="60">
        <v>4889.4258330000002</v>
      </c>
      <c r="AB652" s="60">
        <v>4889.4258330000002</v>
      </c>
      <c r="AC652" s="60">
        <v>4889.4258330000002</v>
      </c>
      <c r="AD652" s="60">
        <v>4889.4258330000002</v>
      </c>
      <c r="AE652" s="61">
        <f t="shared" si="251"/>
        <v>29336.554998000003</v>
      </c>
      <c r="AF652" s="62">
        <f t="shared" si="258"/>
        <v>1466828.36</v>
      </c>
      <c r="AG652" s="62">
        <f t="shared" si="257"/>
        <v>953438.74999633315</v>
      </c>
      <c r="AH652" s="62">
        <f t="shared" si="255"/>
        <v>513389.61000366695</v>
      </c>
      <c r="AI652" s="63">
        <v>542726.14000000048</v>
      </c>
      <c r="AJ652" s="63">
        <f t="shared" si="268"/>
        <v>11939.975080000011</v>
      </c>
      <c r="AK652" s="72">
        <f t="shared" si="270"/>
        <v>11939.975080000011</v>
      </c>
      <c r="AL652" s="60">
        <v>4889.4258330000002</v>
      </c>
      <c r="AM652" s="60">
        <v>4889.4258330000002</v>
      </c>
      <c r="AN652" s="60">
        <v>4889.4258330000002</v>
      </c>
      <c r="AO652" s="60">
        <v>4889.4258330000002</v>
      </c>
      <c r="AP652" s="60">
        <v>4889.4258330000002</v>
      </c>
      <c r="AQ652" s="60">
        <v>4889.4258330000002</v>
      </c>
      <c r="AR652" s="61">
        <f t="shared" si="252"/>
        <v>29336.554998000003</v>
      </c>
      <c r="AS652" s="60">
        <v>4889.4258330000002</v>
      </c>
      <c r="AT652" s="60">
        <v>4889.4258330000002</v>
      </c>
      <c r="AU652" s="60">
        <v>4889.4258330000002</v>
      </c>
      <c r="AV652" s="60">
        <v>4889.4258330000002</v>
      </c>
      <c r="AW652" s="60">
        <v>4889.4258330000002</v>
      </c>
      <c r="AX652" s="60">
        <v>4889.4258330000002</v>
      </c>
      <c r="AY652" s="61">
        <f t="shared" si="253"/>
        <v>29336.554998000003</v>
      </c>
      <c r="AZ652" s="56">
        <f t="shared" si="271"/>
        <v>58673.109996000007</v>
      </c>
      <c r="BA652" s="62">
        <f t="shared" si="259"/>
        <v>1466828.36</v>
      </c>
      <c r="BB652" s="62">
        <f t="shared" si="254"/>
        <v>1012111.859992333</v>
      </c>
      <c r="BC652" s="62">
        <f t="shared" si="260"/>
        <v>454716.50000766711</v>
      </c>
      <c r="BD652" s="63">
        <v>484052.98000000126</v>
      </c>
      <c r="BE652" s="57">
        <f t="shared" si="269"/>
        <v>10649.165560000029</v>
      </c>
      <c r="BF652" s="35" t="str">
        <f>VLOOKUP(A:A,'2023-2027'!A:G,1,+FALSE)</f>
        <v>Кабельная ЛЭП-6кВ РУ-6кВ ДЭС-ТП№3 фидера Город-2</v>
      </c>
      <c r="BG652" s="7" t="b">
        <f t="shared" si="256"/>
        <v>1</v>
      </c>
      <c r="BH652" s="35">
        <f>VLOOKUP(A:A,'2023-2027'!A:AT,43,+FALSE)</f>
        <v>4889.43</v>
      </c>
    </row>
    <row r="653" spans="1:60" ht="24" hidden="1" customHeight="1" outlineLevel="1" x14ac:dyDescent="0.2">
      <c r="A653" s="59" t="s">
        <v>1552</v>
      </c>
      <c r="B653" s="59" t="s">
        <v>44</v>
      </c>
      <c r="C653" s="59" t="s">
        <v>82</v>
      </c>
      <c r="D653" s="65" t="s">
        <v>1553</v>
      </c>
      <c r="E653" s="59" t="s">
        <v>1354</v>
      </c>
      <c r="F653" s="60">
        <v>7256</v>
      </c>
      <c r="G653" s="60">
        <v>5604.39</v>
      </c>
      <c r="H653" s="60">
        <v>1651.61</v>
      </c>
      <c r="I653" s="59"/>
      <c r="J653" s="68">
        <v>165.12</v>
      </c>
      <c r="K653" s="59"/>
      <c r="L653" s="59"/>
      <c r="M653" s="60">
        <v>7256</v>
      </c>
      <c r="N653" s="60">
        <v>5769.51</v>
      </c>
      <c r="O653" s="60">
        <v>1486.49</v>
      </c>
      <c r="P653" s="55">
        <v>1569.05</v>
      </c>
      <c r="Q653" s="55">
        <f t="shared" si="267"/>
        <v>34.519100000000002</v>
      </c>
      <c r="R653" s="61">
        <f t="shared" si="249"/>
        <v>13.76</v>
      </c>
      <c r="S653" s="60">
        <v>13.76</v>
      </c>
      <c r="T653" s="60">
        <v>13.76</v>
      </c>
      <c r="U653" s="60">
        <v>13.76</v>
      </c>
      <c r="V653" s="60">
        <v>13.76</v>
      </c>
      <c r="W653" s="60">
        <v>13.76</v>
      </c>
      <c r="X653" s="61">
        <f t="shared" si="250"/>
        <v>82.56</v>
      </c>
      <c r="Y653" s="60">
        <v>13.76</v>
      </c>
      <c r="Z653" s="60">
        <v>13.76</v>
      </c>
      <c r="AA653" s="60">
        <v>13.76</v>
      </c>
      <c r="AB653" s="60">
        <v>13.76</v>
      </c>
      <c r="AC653" s="60">
        <v>13.76</v>
      </c>
      <c r="AD653" s="60">
        <v>13.76</v>
      </c>
      <c r="AE653" s="61">
        <f t="shared" si="251"/>
        <v>82.56</v>
      </c>
      <c r="AF653" s="62">
        <f t="shared" si="258"/>
        <v>7256</v>
      </c>
      <c r="AG653" s="62">
        <f t="shared" si="257"/>
        <v>5934.6300000000028</v>
      </c>
      <c r="AH653" s="62">
        <f t="shared" si="255"/>
        <v>1321.3699999999972</v>
      </c>
      <c r="AI653" s="63">
        <v>1403.93</v>
      </c>
      <c r="AJ653" s="63">
        <f t="shared" si="268"/>
        <v>30.886460000000003</v>
      </c>
      <c r="AK653" s="72">
        <f t="shared" si="270"/>
        <v>30.886460000000003</v>
      </c>
      <c r="AL653" s="60">
        <v>13.76</v>
      </c>
      <c r="AM653" s="60">
        <v>13.76</v>
      </c>
      <c r="AN653" s="60">
        <v>13.76</v>
      </c>
      <c r="AO653" s="60">
        <v>13.76</v>
      </c>
      <c r="AP653" s="60">
        <v>13.76</v>
      </c>
      <c r="AQ653" s="60">
        <v>13.76</v>
      </c>
      <c r="AR653" s="61">
        <f t="shared" si="252"/>
        <v>82.56</v>
      </c>
      <c r="AS653" s="60">
        <v>13.76</v>
      </c>
      <c r="AT653" s="60">
        <v>13.76</v>
      </c>
      <c r="AU653" s="60">
        <v>13.76</v>
      </c>
      <c r="AV653" s="60">
        <v>13.76</v>
      </c>
      <c r="AW653" s="60">
        <v>13.76</v>
      </c>
      <c r="AX653" s="60">
        <v>13.76</v>
      </c>
      <c r="AY653" s="61">
        <f t="shared" si="253"/>
        <v>82.56</v>
      </c>
      <c r="AZ653" s="56">
        <f t="shared" si="271"/>
        <v>165.12</v>
      </c>
      <c r="BA653" s="62">
        <f t="shared" si="259"/>
        <v>7256</v>
      </c>
      <c r="BB653" s="62">
        <f t="shared" si="254"/>
        <v>6099.7500000000055</v>
      </c>
      <c r="BC653" s="62">
        <f t="shared" si="260"/>
        <v>1156.2499999999945</v>
      </c>
      <c r="BD653" s="63">
        <v>1238.8100000000002</v>
      </c>
      <c r="BE653" s="57">
        <f t="shared" si="269"/>
        <v>27.253820000000008</v>
      </c>
      <c r="BF653" s="35" t="e">
        <f>VLOOKUP(A:A,'2023-2027'!A:G,1,+FALSE)</f>
        <v>#N/A</v>
      </c>
      <c r="BG653" s="7" t="e">
        <f t="shared" si="256"/>
        <v>#N/A</v>
      </c>
      <c r="BH653" s="35"/>
    </row>
    <row r="654" spans="1:60" ht="36" hidden="1" customHeight="1" outlineLevel="1" x14ac:dyDescent="0.2">
      <c r="A654" s="59" t="s">
        <v>1554</v>
      </c>
      <c r="B654" s="59" t="s">
        <v>44</v>
      </c>
      <c r="C654" s="59" t="s">
        <v>82</v>
      </c>
      <c r="D654" s="66" t="s">
        <v>1555</v>
      </c>
      <c r="E654" s="59" t="s">
        <v>505</v>
      </c>
      <c r="F654" s="60">
        <v>11990246.640000001</v>
      </c>
      <c r="G654" s="60">
        <v>479609.88</v>
      </c>
      <c r="H654" s="60">
        <v>11510636.76</v>
      </c>
      <c r="I654" s="59"/>
      <c r="J654" s="60">
        <v>479609.88</v>
      </c>
      <c r="K654" s="59"/>
      <c r="L654" s="59"/>
      <c r="M654" s="60">
        <v>11990246.640000001</v>
      </c>
      <c r="N654" s="60">
        <v>959219.76</v>
      </c>
      <c r="O654" s="60">
        <v>11031026.880000001</v>
      </c>
      <c r="P654" s="55">
        <v>11270831.800000001</v>
      </c>
      <c r="Q654" s="55">
        <f t="shared" si="267"/>
        <v>247958.29960000003</v>
      </c>
      <c r="R654" s="61">
        <f t="shared" si="249"/>
        <v>39967.49</v>
      </c>
      <c r="S654" s="60">
        <v>39967.49</v>
      </c>
      <c r="T654" s="60">
        <v>39967.49</v>
      </c>
      <c r="U654" s="60">
        <v>39967.49</v>
      </c>
      <c r="V654" s="60">
        <v>39967.49</v>
      </c>
      <c r="W654" s="60">
        <v>39967.49</v>
      </c>
      <c r="X654" s="61">
        <f t="shared" si="250"/>
        <v>239804.93999999997</v>
      </c>
      <c r="Y654" s="60">
        <v>39967.49</v>
      </c>
      <c r="Z654" s="60">
        <v>39967.49</v>
      </c>
      <c r="AA654" s="60">
        <v>39967.49</v>
      </c>
      <c r="AB654" s="60">
        <v>39967.49</v>
      </c>
      <c r="AC654" s="60">
        <v>39967.49</v>
      </c>
      <c r="AD654" s="60">
        <v>39967.49</v>
      </c>
      <c r="AE654" s="61">
        <f t="shared" si="251"/>
        <v>239804.93999999997</v>
      </c>
      <c r="AF654" s="62">
        <f t="shared" si="258"/>
        <v>11990246.640000001</v>
      </c>
      <c r="AG654" s="62">
        <f t="shared" si="257"/>
        <v>1438829.64</v>
      </c>
      <c r="AH654" s="62">
        <f t="shared" si="255"/>
        <v>10551417</v>
      </c>
      <c r="AI654" s="63">
        <v>10791221.939999999</v>
      </c>
      <c r="AJ654" s="63">
        <f t="shared" si="268"/>
        <v>237406.88268000001</v>
      </c>
      <c r="AK654" s="62"/>
      <c r="AL654" s="60">
        <v>39967.49</v>
      </c>
      <c r="AM654" s="60">
        <v>39967.49</v>
      </c>
      <c r="AN654" s="60">
        <v>39967.49</v>
      </c>
      <c r="AO654" s="60">
        <v>39967.49</v>
      </c>
      <c r="AP654" s="60">
        <v>39967.49</v>
      </c>
      <c r="AQ654" s="60">
        <v>39967.49</v>
      </c>
      <c r="AR654" s="61">
        <f t="shared" si="252"/>
        <v>239804.93999999997</v>
      </c>
      <c r="AS654" s="60">
        <v>39967.49</v>
      </c>
      <c r="AT654" s="60">
        <v>39967.49</v>
      </c>
      <c r="AU654" s="60">
        <v>39967.49</v>
      </c>
      <c r="AV654" s="60">
        <v>39967.49</v>
      </c>
      <c r="AW654" s="60">
        <v>39967.49</v>
      </c>
      <c r="AX654" s="60">
        <v>39967.49</v>
      </c>
      <c r="AY654" s="61">
        <f t="shared" si="253"/>
        <v>239804.93999999997</v>
      </c>
      <c r="AZ654" s="56">
        <f t="shared" si="271"/>
        <v>479609.87999999995</v>
      </c>
      <c r="BA654" s="62">
        <f t="shared" si="259"/>
        <v>11990246.640000001</v>
      </c>
      <c r="BB654" s="62">
        <f t="shared" si="254"/>
        <v>1918439.5199999998</v>
      </c>
      <c r="BC654" s="62">
        <f t="shared" si="260"/>
        <v>10071807.120000001</v>
      </c>
      <c r="BD654" s="63">
        <v>10311612.059999995</v>
      </c>
      <c r="BE654" s="57">
        <f t="shared" si="269"/>
        <v>226855.4653199999</v>
      </c>
      <c r="BF654" s="35" t="str">
        <f>VLOOKUP(A:A,'2023-2027'!A:G,1,+FALSE)</f>
        <v>Кабельные линии 6 кВ в составе объекта "ТП-63/1 "Озерная 16" в районе ул. Озерная д.7а"</v>
      </c>
      <c r="BG654" s="7" t="b">
        <f t="shared" si="256"/>
        <v>1</v>
      </c>
      <c r="BH654" s="35">
        <f>VLOOKUP(A:A,'2023-2027'!A:AT,43,+FALSE)</f>
        <v>39967.49</v>
      </c>
    </row>
    <row r="655" spans="1:60" ht="24" hidden="1" customHeight="1" outlineLevel="1" x14ac:dyDescent="0.2">
      <c r="A655" s="59" t="s">
        <v>2468</v>
      </c>
      <c r="B655" s="59" t="s">
        <v>44</v>
      </c>
      <c r="C655" s="59" t="s">
        <v>82</v>
      </c>
      <c r="D655" s="66" t="s">
        <v>1556</v>
      </c>
      <c r="E655" s="59" t="s">
        <v>1557</v>
      </c>
      <c r="F655" s="60">
        <v>85301.6</v>
      </c>
      <c r="G655" s="60">
        <v>70611.100000000006</v>
      </c>
      <c r="H655" s="60">
        <v>14690.5</v>
      </c>
      <c r="I655" s="59"/>
      <c r="J655" s="60">
        <v>5686.68</v>
      </c>
      <c r="K655" s="59"/>
      <c r="L655" s="59"/>
      <c r="M655" s="60">
        <v>85301.6</v>
      </c>
      <c r="N655" s="60">
        <v>76297.78</v>
      </c>
      <c r="O655" s="60">
        <v>9003.82</v>
      </c>
      <c r="P655" s="55"/>
      <c r="Q655" s="55"/>
      <c r="R655" s="61">
        <f t="shared" si="249"/>
        <v>473.89000000000004</v>
      </c>
      <c r="S655" s="60">
        <v>473.89</v>
      </c>
      <c r="T655" s="60">
        <v>473.89</v>
      </c>
      <c r="U655" s="60">
        <v>473.89</v>
      </c>
      <c r="V655" s="60">
        <v>473.89</v>
      </c>
      <c r="W655" s="60">
        <v>473.89</v>
      </c>
      <c r="X655" s="61">
        <f t="shared" si="250"/>
        <v>2843.3399999999997</v>
      </c>
      <c r="Y655" s="60">
        <v>473.89</v>
      </c>
      <c r="Z655" s="60">
        <v>473.89</v>
      </c>
      <c r="AA655" s="60">
        <v>473.89</v>
      </c>
      <c r="AB655" s="60">
        <v>473.89</v>
      </c>
      <c r="AC655" s="60">
        <v>473.89</v>
      </c>
      <c r="AD655" s="60">
        <v>473.89</v>
      </c>
      <c r="AE655" s="61">
        <f t="shared" si="251"/>
        <v>2843.3399999999997</v>
      </c>
      <c r="AF655" s="62">
        <f t="shared" si="258"/>
        <v>85301.6</v>
      </c>
      <c r="AG655" s="62">
        <f t="shared" si="257"/>
        <v>81984.459999999992</v>
      </c>
      <c r="AH655" s="62">
        <f t="shared" si="255"/>
        <v>3317.140000000014</v>
      </c>
      <c r="AI655" s="63"/>
      <c r="AJ655" s="63"/>
      <c r="AK655" s="62"/>
      <c r="AL655" s="60">
        <v>473.89</v>
      </c>
      <c r="AM655" s="60">
        <v>473.89</v>
      </c>
      <c r="AN655" s="60">
        <v>473.89</v>
      </c>
      <c r="AO655" s="60">
        <v>473.89</v>
      </c>
      <c r="AP655" s="60">
        <v>473.89</v>
      </c>
      <c r="AQ655" s="60">
        <v>473.89</v>
      </c>
      <c r="AR655" s="61">
        <f t="shared" si="252"/>
        <v>2843.3399999999997</v>
      </c>
      <c r="AS655" s="60">
        <v>473.8</v>
      </c>
      <c r="AT655" s="60"/>
      <c r="AU655" s="60"/>
      <c r="AV655" s="60"/>
      <c r="AW655" s="60"/>
      <c r="AX655" s="60"/>
      <c r="AY655" s="61">
        <f t="shared" si="253"/>
        <v>473.8</v>
      </c>
      <c r="AZ655" s="56">
        <f t="shared" si="271"/>
        <v>3317.14</v>
      </c>
      <c r="BA655" s="62">
        <f t="shared" si="259"/>
        <v>85301.6</v>
      </c>
      <c r="BB655" s="62">
        <f t="shared" si="254"/>
        <v>85301.599999999991</v>
      </c>
      <c r="BC655" s="62">
        <f t="shared" si="260"/>
        <v>0</v>
      </c>
      <c r="BD655" s="63"/>
      <c r="BE655" s="57"/>
      <c r="BF655" s="35" t="str">
        <f>VLOOKUP(A:A,'2023-2027'!A:G,1,+FALSE)</f>
        <v>Камера в/в КСО 393 №1 01/09-827</v>
      </c>
      <c r="BG655" s="7" t="b">
        <f t="shared" si="256"/>
        <v>1</v>
      </c>
      <c r="BH655" s="35">
        <f>VLOOKUP(A:A,'2023-2027'!A:AT,43,+FALSE)</f>
        <v>473.89999999999992</v>
      </c>
    </row>
    <row r="656" spans="1:60" ht="24" hidden="1" customHeight="1" outlineLevel="1" x14ac:dyDescent="0.2">
      <c r="A656" s="59" t="s">
        <v>1558</v>
      </c>
      <c r="B656" s="59" t="s">
        <v>44</v>
      </c>
      <c r="C656" s="59" t="s">
        <v>82</v>
      </c>
      <c r="D656" s="66" t="s">
        <v>1559</v>
      </c>
      <c r="E656" s="59" t="s">
        <v>1560</v>
      </c>
      <c r="F656" s="60">
        <v>749690.38</v>
      </c>
      <c r="G656" s="60">
        <v>128072.11</v>
      </c>
      <c r="H656" s="60">
        <v>621618.27</v>
      </c>
      <c r="I656" s="59"/>
      <c r="J656" s="60">
        <v>37484.519999999997</v>
      </c>
      <c r="K656" s="59"/>
      <c r="L656" s="59"/>
      <c r="M656" s="60">
        <v>749690.38</v>
      </c>
      <c r="N656" s="60">
        <v>165556.63</v>
      </c>
      <c r="O656" s="60">
        <v>584133.75</v>
      </c>
      <c r="P656" s="55"/>
      <c r="Q656" s="55"/>
      <c r="R656" s="61">
        <f t="shared" si="249"/>
        <v>3123.7099999999996</v>
      </c>
      <c r="S656" s="60">
        <v>3123.71</v>
      </c>
      <c r="T656" s="60">
        <v>3123.71</v>
      </c>
      <c r="U656" s="60">
        <v>3123.71</v>
      </c>
      <c r="V656" s="60">
        <v>3123.71</v>
      </c>
      <c r="W656" s="60">
        <v>3123.71</v>
      </c>
      <c r="X656" s="61">
        <f t="shared" si="250"/>
        <v>18742.259999999998</v>
      </c>
      <c r="Y656" s="60">
        <v>3123.71</v>
      </c>
      <c r="Z656" s="60">
        <v>3123.71</v>
      </c>
      <c r="AA656" s="60">
        <v>3123.71</v>
      </c>
      <c r="AB656" s="60">
        <v>3123.71</v>
      </c>
      <c r="AC656" s="60">
        <v>3123.71</v>
      </c>
      <c r="AD656" s="60">
        <v>3123.71</v>
      </c>
      <c r="AE656" s="61">
        <f t="shared" si="251"/>
        <v>18742.259999999998</v>
      </c>
      <c r="AF656" s="62">
        <f t="shared" si="258"/>
        <v>749690.38</v>
      </c>
      <c r="AG656" s="62">
        <f t="shared" si="257"/>
        <v>203041.14999999991</v>
      </c>
      <c r="AH656" s="62">
        <f t="shared" si="255"/>
        <v>546649.2300000001</v>
      </c>
      <c r="AI656" s="63"/>
      <c r="AJ656" s="63"/>
      <c r="AK656" s="62"/>
      <c r="AL656" s="60">
        <v>3123.71</v>
      </c>
      <c r="AM656" s="60">
        <v>3123.71</v>
      </c>
      <c r="AN656" s="60">
        <v>3123.71</v>
      </c>
      <c r="AO656" s="60">
        <v>3123.71</v>
      </c>
      <c r="AP656" s="60">
        <v>3123.71</v>
      </c>
      <c r="AQ656" s="60">
        <v>3123.71</v>
      </c>
      <c r="AR656" s="61">
        <f t="shared" si="252"/>
        <v>18742.259999999998</v>
      </c>
      <c r="AS656" s="60">
        <v>3123.71</v>
      </c>
      <c r="AT656" s="60">
        <v>3123.71</v>
      </c>
      <c r="AU656" s="60">
        <v>3123.71</v>
      </c>
      <c r="AV656" s="60">
        <v>3123.71</v>
      </c>
      <c r="AW656" s="60">
        <v>3123.71</v>
      </c>
      <c r="AX656" s="60">
        <v>3123.71</v>
      </c>
      <c r="AY656" s="61">
        <f t="shared" si="253"/>
        <v>18742.259999999998</v>
      </c>
      <c r="AZ656" s="56">
        <f t="shared" si="271"/>
        <v>37484.519999999997</v>
      </c>
      <c r="BA656" s="62">
        <f t="shared" si="259"/>
        <v>749690.38</v>
      </c>
      <c r="BB656" s="62">
        <f t="shared" si="254"/>
        <v>240525.66999999981</v>
      </c>
      <c r="BC656" s="62">
        <f t="shared" si="260"/>
        <v>509164.7100000002</v>
      </c>
      <c r="BD656" s="63"/>
      <c r="BE656" s="57"/>
      <c r="BF656" s="35" t="str">
        <f>VLOOKUP(A:A,'2023-2027'!A:G,1,+FALSE)</f>
        <v>Камера КСО 298-6.1 ВВ-600, зав.№2235.1</v>
      </c>
      <c r="BG656" s="7" t="b">
        <f t="shared" si="256"/>
        <v>1</v>
      </c>
      <c r="BH656" s="35">
        <f>VLOOKUP(A:A,'2023-2027'!A:AT,43,+FALSE)</f>
        <v>3123.7099999999996</v>
      </c>
    </row>
    <row r="657" spans="1:60" ht="24" hidden="1" customHeight="1" outlineLevel="1" x14ac:dyDescent="0.2">
      <c r="A657" s="59" t="s">
        <v>1561</v>
      </c>
      <c r="B657" s="59" t="s">
        <v>44</v>
      </c>
      <c r="C657" s="59" t="s">
        <v>82</v>
      </c>
      <c r="D657" s="66" t="s">
        <v>1562</v>
      </c>
      <c r="E657" s="59" t="s">
        <v>1560</v>
      </c>
      <c r="F657" s="60">
        <v>720334.85</v>
      </c>
      <c r="G657" s="60">
        <v>123057.4</v>
      </c>
      <c r="H657" s="60">
        <v>597277.44999999995</v>
      </c>
      <c r="I657" s="59"/>
      <c r="J657" s="60">
        <v>36016.68</v>
      </c>
      <c r="K657" s="59"/>
      <c r="L657" s="59"/>
      <c r="M657" s="60">
        <v>720334.85</v>
      </c>
      <c r="N657" s="60">
        <v>159074.07999999999</v>
      </c>
      <c r="O657" s="60">
        <v>561260.77</v>
      </c>
      <c r="P657" s="55"/>
      <c r="Q657" s="55"/>
      <c r="R657" s="61">
        <f t="shared" si="249"/>
        <v>3001.39</v>
      </c>
      <c r="S657" s="60">
        <v>3001.39</v>
      </c>
      <c r="T657" s="60">
        <v>3001.39</v>
      </c>
      <c r="U657" s="60">
        <v>3001.39</v>
      </c>
      <c r="V657" s="60">
        <v>3001.39</v>
      </c>
      <c r="W657" s="60">
        <v>3001.39</v>
      </c>
      <c r="X657" s="61">
        <f t="shared" si="250"/>
        <v>18008.34</v>
      </c>
      <c r="Y657" s="60">
        <v>3001.39</v>
      </c>
      <c r="Z657" s="60">
        <v>3001.39</v>
      </c>
      <c r="AA657" s="60">
        <v>3001.39</v>
      </c>
      <c r="AB657" s="60">
        <v>3001.39</v>
      </c>
      <c r="AC657" s="60">
        <v>3001.39</v>
      </c>
      <c r="AD657" s="60">
        <v>3001.39</v>
      </c>
      <c r="AE657" s="61">
        <f t="shared" si="251"/>
        <v>18008.34</v>
      </c>
      <c r="AF657" s="62">
        <f t="shared" si="258"/>
        <v>720334.85</v>
      </c>
      <c r="AG657" s="62">
        <f t="shared" si="257"/>
        <v>195090.76000000015</v>
      </c>
      <c r="AH657" s="62">
        <f t="shared" si="255"/>
        <v>525244.08999999985</v>
      </c>
      <c r="AI657" s="63"/>
      <c r="AJ657" s="63"/>
      <c r="AK657" s="62"/>
      <c r="AL657" s="60">
        <v>3001.39</v>
      </c>
      <c r="AM657" s="60">
        <v>3001.39</v>
      </c>
      <c r="AN657" s="60">
        <v>3001.39</v>
      </c>
      <c r="AO657" s="60">
        <v>3001.39</v>
      </c>
      <c r="AP657" s="60">
        <v>3001.39</v>
      </c>
      <c r="AQ657" s="60">
        <v>3001.39</v>
      </c>
      <c r="AR657" s="61">
        <f t="shared" si="252"/>
        <v>18008.34</v>
      </c>
      <c r="AS657" s="60">
        <v>3001.39</v>
      </c>
      <c r="AT657" s="60">
        <v>3001.39</v>
      </c>
      <c r="AU657" s="60">
        <v>3001.39</v>
      </c>
      <c r="AV657" s="60">
        <v>3001.39</v>
      </c>
      <c r="AW657" s="60">
        <v>3001.39</v>
      </c>
      <c r="AX657" s="60">
        <v>3001.39</v>
      </c>
      <c r="AY657" s="61">
        <f t="shared" si="253"/>
        <v>18008.34</v>
      </c>
      <c r="AZ657" s="56">
        <f t="shared" si="271"/>
        <v>36016.68</v>
      </c>
      <c r="BA657" s="62">
        <f t="shared" si="259"/>
        <v>720334.85</v>
      </c>
      <c r="BB657" s="62">
        <f t="shared" si="254"/>
        <v>231107.44000000032</v>
      </c>
      <c r="BC657" s="62">
        <f t="shared" si="260"/>
        <v>489227.40999999968</v>
      </c>
      <c r="BD657" s="63"/>
      <c r="BE657" s="57"/>
      <c r="BF657" s="35" t="str">
        <f>VLOOKUP(A:A,'2023-2027'!A:G,1,+FALSE)</f>
        <v>Камера КСО 298-8.1 ВВ-600, зав.№2235.2</v>
      </c>
      <c r="BG657" s="7" t="b">
        <f t="shared" si="256"/>
        <v>1</v>
      </c>
      <c r="BH657" s="35">
        <f>VLOOKUP(A:A,'2023-2027'!A:AT,43,+FALSE)</f>
        <v>3001.39</v>
      </c>
    </row>
    <row r="658" spans="1:60" ht="12" hidden="1" customHeight="1" outlineLevel="1" x14ac:dyDescent="0.2">
      <c r="A658" s="59" t="s">
        <v>1563</v>
      </c>
      <c r="B658" s="59" t="s">
        <v>44</v>
      </c>
      <c r="C658" s="59" t="s">
        <v>82</v>
      </c>
      <c r="D658" s="66" t="s">
        <v>1564</v>
      </c>
      <c r="E658" s="59" t="s">
        <v>349</v>
      </c>
      <c r="F658" s="60">
        <v>26916</v>
      </c>
      <c r="G658" s="60">
        <v>26916</v>
      </c>
      <c r="H658" s="59"/>
      <c r="I658" s="59"/>
      <c r="J658" s="59"/>
      <c r="K658" s="60">
        <v>26916</v>
      </c>
      <c r="L658" s="60">
        <v>26916</v>
      </c>
      <c r="M658" s="59"/>
      <c r="N658" s="59"/>
      <c r="O658" s="59"/>
      <c r="P658" s="67"/>
      <c r="Q658" s="67"/>
      <c r="R658" s="61">
        <f t="shared" ref="R658:R721" si="272">J658/12</f>
        <v>0</v>
      </c>
      <c r="S658" s="60">
        <v>0</v>
      </c>
      <c r="T658" s="60">
        <v>0</v>
      </c>
      <c r="U658" s="60">
        <v>0</v>
      </c>
      <c r="V658" s="60">
        <v>0</v>
      </c>
      <c r="W658" s="60">
        <v>0</v>
      </c>
      <c r="X658" s="61">
        <f t="shared" ref="X658:X721" si="273">R658+S658+T658+U658+V658+W658</f>
        <v>0</v>
      </c>
      <c r="Y658" s="60">
        <v>0</v>
      </c>
      <c r="Z658" s="60">
        <v>0</v>
      </c>
      <c r="AA658" s="60">
        <v>0</v>
      </c>
      <c r="AB658" s="60">
        <v>0</v>
      </c>
      <c r="AC658" s="60">
        <v>0</v>
      </c>
      <c r="AD658" s="60">
        <v>0</v>
      </c>
      <c r="AE658" s="61">
        <f t="shared" ref="AE658:AE721" si="274">Y658+Z658+AA658+AB658+AC658+AD658</f>
        <v>0</v>
      </c>
      <c r="AF658" s="62">
        <f t="shared" si="258"/>
        <v>0</v>
      </c>
      <c r="AG658" s="62">
        <f t="shared" si="257"/>
        <v>0</v>
      </c>
      <c r="AH658" s="62">
        <f t="shared" si="255"/>
        <v>0</v>
      </c>
      <c r="AI658" s="63"/>
      <c r="AJ658" s="63"/>
      <c r="AK658" s="62"/>
      <c r="AL658" s="60">
        <v>0</v>
      </c>
      <c r="AM658" s="60">
        <v>0</v>
      </c>
      <c r="AN658" s="60">
        <v>0</v>
      </c>
      <c r="AO658" s="60">
        <v>0</v>
      </c>
      <c r="AP658" s="60">
        <v>0</v>
      </c>
      <c r="AQ658" s="60">
        <v>0</v>
      </c>
      <c r="AR658" s="61">
        <f t="shared" ref="AR658:AR721" si="275">AL658+AM658+AN658+AO658+AP658+AQ658</f>
        <v>0</v>
      </c>
      <c r="AS658" s="60">
        <v>0</v>
      </c>
      <c r="AT658" s="60">
        <v>0</v>
      </c>
      <c r="AU658" s="60">
        <v>0</v>
      </c>
      <c r="AV658" s="60">
        <v>0</v>
      </c>
      <c r="AW658" s="60">
        <v>0</v>
      </c>
      <c r="AX658" s="60">
        <v>0</v>
      </c>
      <c r="AY658" s="61">
        <f t="shared" ref="AY658:AY721" si="276">AS658+AT658+AU658+AV658+AW658+AX658</f>
        <v>0</v>
      </c>
      <c r="AZ658" s="56">
        <f t="shared" si="271"/>
        <v>0</v>
      </c>
      <c r="BA658" s="62">
        <f t="shared" si="259"/>
        <v>0</v>
      </c>
      <c r="BB658" s="62">
        <f t="shared" ref="BB658:BB721" si="277">AG658+AL658+AM658+AN658+AO658+AP658+AQ658+AS658+AT658+AU658+AV658+AW658+AX658</f>
        <v>0</v>
      </c>
      <c r="BC658" s="62">
        <f t="shared" si="260"/>
        <v>0</v>
      </c>
      <c r="BD658" s="63"/>
      <c r="BE658" s="57"/>
      <c r="BF658" s="35" t="str">
        <f>VLOOKUP(A:A,'2023-2027'!A:G,1,+FALSE)</f>
        <v>Камера КСО 393-03 № 1113</v>
      </c>
      <c r="BG658" s="7" t="b">
        <f t="shared" si="256"/>
        <v>1</v>
      </c>
      <c r="BH658" s="35">
        <f>VLOOKUP(A:A,'2023-2027'!A:AT,43,+FALSE)</f>
        <v>0</v>
      </c>
    </row>
    <row r="659" spans="1:60" ht="12" hidden="1" customHeight="1" outlineLevel="1" x14ac:dyDescent="0.2">
      <c r="A659" s="59" t="s">
        <v>1565</v>
      </c>
      <c r="B659" s="59" t="s">
        <v>44</v>
      </c>
      <c r="C659" s="59" t="s">
        <v>82</v>
      </c>
      <c r="D659" s="66" t="s">
        <v>1566</v>
      </c>
      <c r="E659" s="59" t="s">
        <v>1100</v>
      </c>
      <c r="F659" s="60">
        <v>29086.7</v>
      </c>
      <c r="G659" s="60">
        <v>21653.06</v>
      </c>
      <c r="H659" s="60">
        <v>7433.64</v>
      </c>
      <c r="I659" s="59"/>
      <c r="J659" s="60">
        <v>1939.2</v>
      </c>
      <c r="K659" s="59"/>
      <c r="L659" s="59"/>
      <c r="M659" s="60">
        <v>29086.7</v>
      </c>
      <c r="N659" s="60">
        <v>23592.26</v>
      </c>
      <c r="O659" s="60">
        <v>5494.44</v>
      </c>
      <c r="P659" s="55"/>
      <c r="Q659" s="55"/>
      <c r="R659" s="61">
        <f t="shared" si="272"/>
        <v>161.6</v>
      </c>
      <c r="S659" s="60">
        <v>161.6</v>
      </c>
      <c r="T659" s="60">
        <v>161.6</v>
      </c>
      <c r="U659" s="60">
        <v>161.6</v>
      </c>
      <c r="V659" s="60">
        <v>161.6</v>
      </c>
      <c r="W659" s="60">
        <v>161.6</v>
      </c>
      <c r="X659" s="61">
        <f t="shared" si="273"/>
        <v>969.6</v>
      </c>
      <c r="Y659" s="60">
        <v>161.6</v>
      </c>
      <c r="Z659" s="60">
        <v>161.6</v>
      </c>
      <c r="AA659" s="60">
        <v>161.6</v>
      </c>
      <c r="AB659" s="60">
        <v>161.6</v>
      </c>
      <c r="AC659" s="60">
        <v>161.6</v>
      </c>
      <c r="AD659" s="60">
        <v>161.6</v>
      </c>
      <c r="AE659" s="61">
        <f t="shared" si="274"/>
        <v>969.6</v>
      </c>
      <c r="AF659" s="62">
        <f t="shared" si="258"/>
        <v>29086.7</v>
      </c>
      <c r="AG659" s="62">
        <f t="shared" si="257"/>
        <v>25531.459999999981</v>
      </c>
      <c r="AH659" s="62">
        <f t="shared" ref="AH659:AH722" si="278">AF659-AG659</f>
        <v>3555.2400000000198</v>
      </c>
      <c r="AI659" s="63"/>
      <c r="AJ659" s="63"/>
      <c r="AK659" s="62"/>
      <c r="AL659" s="60">
        <v>161.6</v>
      </c>
      <c r="AM659" s="60">
        <v>161.6</v>
      </c>
      <c r="AN659" s="60">
        <v>161.6</v>
      </c>
      <c r="AO659" s="60">
        <v>161.6</v>
      </c>
      <c r="AP659" s="60">
        <v>161.6</v>
      </c>
      <c r="AQ659" s="60">
        <v>161.6</v>
      </c>
      <c r="AR659" s="61">
        <f t="shared" si="275"/>
        <v>969.6</v>
      </c>
      <c r="AS659" s="60">
        <v>161.6</v>
      </c>
      <c r="AT659" s="60">
        <v>161.6</v>
      </c>
      <c r="AU659" s="60">
        <v>161.6</v>
      </c>
      <c r="AV659" s="60">
        <v>161.6</v>
      </c>
      <c r="AW659" s="60">
        <v>161.6</v>
      </c>
      <c r="AX659" s="60">
        <v>161.6</v>
      </c>
      <c r="AY659" s="61">
        <f t="shared" si="276"/>
        <v>969.6</v>
      </c>
      <c r="AZ659" s="56">
        <f t="shared" si="271"/>
        <v>1939.2</v>
      </c>
      <c r="BA659" s="62">
        <f t="shared" si="259"/>
        <v>29086.7</v>
      </c>
      <c r="BB659" s="62">
        <f t="shared" si="277"/>
        <v>27470.659999999963</v>
      </c>
      <c r="BC659" s="62">
        <f t="shared" si="260"/>
        <v>1616.0400000000373</v>
      </c>
      <c r="BD659" s="63"/>
      <c r="BE659" s="57"/>
      <c r="BF659" s="35" t="str">
        <f>VLOOKUP(A:A,'2023-2027'!A:G,1,+FALSE)</f>
        <v>Камера КСО 393-03 №1</v>
      </c>
      <c r="BG659" s="7" t="b">
        <f t="shared" si="256"/>
        <v>1</v>
      </c>
      <c r="BH659" s="35">
        <f>VLOOKUP(A:A,'2023-2027'!A:AT,43,+FALSE)</f>
        <v>161.6</v>
      </c>
    </row>
    <row r="660" spans="1:60" ht="12" hidden="1" customHeight="1" outlineLevel="1" x14ac:dyDescent="0.2">
      <c r="A660" s="59" t="s">
        <v>1567</v>
      </c>
      <c r="B660" s="59" t="s">
        <v>44</v>
      </c>
      <c r="C660" s="59" t="s">
        <v>82</v>
      </c>
      <c r="D660" s="66" t="s">
        <v>1568</v>
      </c>
      <c r="E660" s="59" t="s">
        <v>440</v>
      </c>
      <c r="F660" s="60">
        <v>26916</v>
      </c>
      <c r="G660" s="60">
        <v>26916</v>
      </c>
      <c r="H660" s="59"/>
      <c r="I660" s="59"/>
      <c r="J660" s="59"/>
      <c r="K660" s="60">
        <v>26916</v>
      </c>
      <c r="L660" s="60">
        <v>26916</v>
      </c>
      <c r="M660" s="59"/>
      <c r="N660" s="59"/>
      <c r="O660" s="59"/>
      <c r="P660" s="67"/>
      <c r="Q660" s="67"/>
      <c r="R660" s="61">
        <f t="shared" si="272"/>
        <v>0</v>
      </c>
      <c r="S660" s="60">
        <v>0</v>
      </c>
      <c r="T660" s="60">
        <v>0</v>
      </c>
      <c r="U660" s="60">
        <v>0</v>
      </c>
      <c r="V660" s="60">
        <v>0</v>
      </c>
      <c r="W660" s="60">
        <v>0</v>
      </c>
      <c r="X660" s="61">
        <f t="shared" si="273"/>
        <v>0</v>
      </c>
      <c r="Y660" s="60">
        <v>0</v>
      </c>
      <c r="Z660" s="60">
        <v>0</v>
      </c>
      <c r="AA660" s="60">
        <v>0</v>
      </c>
      <c r="AB660" s="60">
        <v>0</v>
      </c>
      <c r="AC660" s="60">
        <v>0</v>
      </c>
      <c r="AD660" s="60">
        <v>0</v>
      </c>
      <c r="AE660" s="61">
        <f t="shared" si="274"/>
        <v>0</v>
      </c>
      <c r="AF660" s="62">
        <f t="shared" si="258"/>
        <v>0</v>
      </c>
      <c r="AG660" s="62">
        <f t="shared" si="257"/>
        <v>0</v>
      </c>
      <c r="AH660" s="62">
        <f t="shared" si="278"/>
        <v>0</v>
      </c>
      <c r="AI660" s="63"/>
      <c r="AJ660" s="63"/>
      <c r="AK660" s="62"/>
      <c r="AL660" s="60">
        <v>0</v>
      </c>
      <c r="AM660" s="60">
        <v>0</v>
      </c>
      <c r="AN660" s="60">
        <v>0</v>
      </c>
      <c r="AO660" s="60">
        <v>0</v>
      </c>
      <c r="AP660" s="60">
        <v>0</v>
      </c>
      <c r="AQ660" s="60">
        <v>0</v>
      </c>
      <c r="AR660" s="61">
        <f t="shared" si="275"/>
        <v>0</v>
      </c>
      <c r="AS660" s="60">
        <v>0</v>
      </c>
      <c r="AT660" s="60">
        <v>0</v>
      </c>
      <c r="AU660" s="60">
        <v>0</v>
      </c>
      <c r="AV660" s="60">
        <v>0</v>
      </c>
      <c r="AW660" s="60">
        <v>0</v>
      </c>
      <c r="AX660" s="60">
        <v>0</v>
      </c>
      <c r="AY660" s="61">
        <f t="shared" si="276"/>
        <v>0</v>
      </c>
      <c r="AZ660" s="56">
        <f t="shared" si="271"/>
        <v>0</v>
      </c>
      <c r="BA660" s="62">
        <f t="shared" si="259"/>
        <v>0</v>
      </c>
      <c r="BB660" s="62">
        <f t="shared" si="277"/>
        <v>0</v>
      </c>
      <c r="BC660" s="62">
        <f t="shared" si="260"/>
        <v>0</v>
      </c>
      <c r="BD660" s="63"/>
      <c r="BE660" s="57"/>
      <c r="BF660" s="35" t="str">
        <f>VLOOKUP(A:A,'2023-2027'!A:G,1,+FALSE)</f>
        <v>Камера КСО 393-03 №1111</v>
      </c>
      <c r="BG660" s="7" t="b">
        <f t="shared" si="256"/>
        <v>1</v>
      </c>
      <c r="BH660" s="35">
        <f>VLOOKUP(A:A,'2023-2027'!A:AT,43,+FALSE)</f>
        <v>0</v>
      </c>
    </row>
    <row r="661" spans="1:60" ht="12" hidden="1" customHeight="1" outlineLevel="1" x14ac:dyDescent="0.2">
      <c r="A661" s="59" t="s">
        <v>1569</v>
      </c>
      <c r="B661" s="59" t="s">
        <v>44</v>
      </c>
      <c r="C661" s="59" t="s">
        <v>82</v>
      </c>
      <c r="D661" s="66" t="s">
        <v>1570</v>
      </c>
      <c r="E661" s="59" t="s">
        <v>440</v>
      </c>
      <c r="F661" s="60">
        <v>26916</v>
      </c>
      <c r="G661" s="60">
        <v>26916</v>
      </c>
      <c r="H661" s="59"/>
      <c r="I661" s="59"/>
      <c r="J661" s="59"/>
      <c r="K661" s="60">
        <v>26916</v>
      </c>
      <c r="L661" s="60">
        <v>26916</v>
      </c>
      <c r="M661" s="59"/>
      <c r="N661" s="59"/>
      <c r="O661" s="59"/>
      <c r="P661" s="67"/>
      <c r="Q661" s="67"/>
      <c r="R661" s="61">
        <f t="shared" si="272"/>
        <v>0</v>
      </c>
      <c r="S661" s="60">
        <v>0</v>
      </c>
      <c r="T661" s="60">
        <v>0</v>
      </c>
      <c r="U661" s="60">
        <v>0</v>
      </c>
      <c r="V661" s="60">
        <v>0</v>
      </c>
      <c r="W661" s="60">
        <v>0</v>
      </c>
      <c r="X661" s="61">
        <f t="shared" si="273"/>
        <v>0</v>
      </c>
      <c r="Y661" s="60">
        <v>0</v>
      </c>
      <c r="Z661" s="60">
        <v>0</v>
      </c>
      <c r="AA661" s="60">
        <v>0</v>
      </c>
      <c r="AB661" s="60">
        <v>0</v>
      </c>
      <c r="AC661" s="60">
        <v>0</v>
      </c>
      <c r="AD661" s="60">
        <v>0</v>
      </c>
      <c r="AE661" s="61">
        <f t="shared" si="274"/>
        <v>0</v>
      </c>
      <c r="AF661" s="62">
        <f t="shared" si="258"/>
        <v>0</v>
      </c>
      <c r="AG661" s="62">
        <f t="shared" si="257"/>
        <v>0</v>
      </c>
      <c r="AH661" s="62">
        <f t="shared" si="278"/>
        <v>0</v>
      </c>
      <c r="AI661" s="63"/>
      <c r="AJ661" s="63"/>
      <c r="AK661" s="62"/>
      <c r="AL661" s="60">
        <v>0</v>
      </c>
      <c r="AM661" s="60">
        <v>0</v>
      </c>
      <c r="AN661" s="60">
        <v>0</v>
      </c>
      <c r="AO661" s="60">
        <v>0</v>
      </c>
      <c r="AP661" s="60">
        <v>0</v>
      </c>
      <c r="AQ661" s="60">
        <v>0</v>
      </c>
      <c r="AR661" s="61">
        <f t="shared" si="275"/>
        <v>0</v>
      </c>
      <c r="AS661" s="60">
        <v>0</v>
      </c>
      <c r="AT661" s="60">
        <v>0</v>
      </c>
      <c r="AU661" s="60">
        <v>0</v>
      </c>
      <c r="AV661" s="60">
        <v>0</v>
      </c>
      <c r="AW661" s="60">
        <v>0</v>
      </c>
      <c r="AX661" s="60">
        <v>0</v>
      </c>
      <c r="AY661" s="61">
        <f t="shared" si="276"/>
        <v>0</v>
      </c>
      <c r="AZ661" s="56">
        <f t="shared" si="271"/>
        <v>0</v>
      </c>
      <c r="BA661" s="62">
        <f t="shared" si="259"/>
        <v>0</v>
      </c>
      <c r="BB661" s="62">
        <f t="shared" si="277"/>
        <v>0</v>
      </c>
      <c r="BC661" s="62">
        <f t="shared" si="260"/>
        <v>0</v>
      </c>
      <c r="BD661" s="63"/>
      <c r="BE661" s="57"/>
      <c r="BF661" s="35" t="str">
        <f>VLOOKUP(A:A,'2023-2027'!A:G,1,+FALSE)</f>
        <v>Камера КСО 393-03 №1112</v>
      </c>
      <c r="BG661" s="7" t="b">
        <f t="shared" si="256"/>
        <v>1</v>
      </c>
      <c r="BH661" s="35">
        <f>VLOOKUP(A:A,'2023-2027'!A:AT,43,+FALSE)</f>
        <v>0</v>
      </c>
    </row>
    <row r="662" spans="1:60" ht="12" hidden="1" customHeight="1" outlineLevel="1" x14ac:dyDescent="0.2">
      <c r="A662" s="59" t="s">
        <v>1571</v>
      </c>
      <c r="B662" s="59" t="s">
        <v>44</v>
      </c>
      <c r="C662" s="59" t="s">
        <v>82</v>
      </c>
      <c r="D662" s="66" t="s">
        <v>1572</v>
      </c>
      <c r="E662" s="59" t="s">
        <v>1100</v>
      </c>
      <c r="F662" s="60">
        <v>29086.7</v>
      </c>
      <c r="G662" s="60">
        <v>21653.06</v>
      </c>
      <c r="H662" s="60">
        <v>7433.64</v>
      </c>
      <c r="I662" s="59"/>
      <c r="J662" s="60">
        <v>1939.2</v>
      </c>
      <c r="K662" s="59"/>
      <c r="L662" s="59"/>
      <c r="M662" s="60">
        <v>29086.7</v>
      </c>
      <c r="N662" s="60">
        <v>23592.26</v>
      </c>
      <c r="O662" s="60">
        <v>5494.44</v>
      </c>
      <c r="P662" s="55"/>
      <c r="Q662" s="55"/>
      <c r="R662" s="61">
        <f t="shared" si="272"/>
        <v>161.6</v>
      </c>
      <c r="S662" s="60">
        <v>161.6</v>
      </c>
      <c r="T662" s="60">
        <v>161.6</v>
      </c>
      <c r="U662" s="60">
        <v>161.6</v>
      </c>
      <c r="V662" s="60">
        <v>161.6</v>
      </c>
      <c r="W662" s="60">
        <v>161.6</v>
      </c>
      <c r="X662" s="61">
        <f t="shared" si="273"/>
        <v>969.6</v>
      </c>
      <c r="Y662" s="60">
        <v>161.6</v>
      </c>
      <c r="Z662" s="60">
        <v>161.6</v>
      </c>
      <c r="AA662" s="60">
        <v>161.6</v>
      </c>
      <c r="AB662" s="60">
        <v>161.6</v>
      </c>
      <c r="AC662" s="60">
        <v>161.6</v>
      </c>
      <c r="AD662" s="60">
        <v>161.6</v>
      </c>
      <c r="AE662" s="61">
        <f t="shared" si="274"/>
        <v>969.6</v>
      </c>
      <c r="AF662" s="62">
        <f t="shared" si="258"/>
        <v>29086.7</v>
      </c>
      <c r="AG662" s="62">
        <f t="shared" si="257"/>
        <v>25531.459999999981</v>
      </c>
      <c r="AH662" s="62">
        <f t="shared" si="278"/>
        <v>3555.2400000000198</v>
      </c>
      <c r="AI662" s="63"/>
      <c r="AJ662" s="63"/>
      <c r="AK662" s="62"/>
      <c r="AL662" s="60">
        <v>161.6</v>
      </c>
      <c r="AM662" s="60">
        <v>161.6</v>
      </c>
      <c r="AN662" s="60">
        <v>161.6</v>
      </c>
      <c r="AO662" s="60">
        <v>161.6</v>
      </c>
      <c r="AP662" s="60">
        <v>161.6</v>
      </c>
      <c r="AQ662" s="60">
        <v>161.6</v>
      </c>
      <c r="AR662" s="61">
        <f t="shared" si="275"/>
        <v>969.6</v>
      </c>
      <c r="AS662" s="60">
        <v>161.6</v>
      </c>
      <c r="AT662" s="60">
        <v>161.6</v>
      </c>
      <c r="AU662" s="60">
        <v>161.6</v>
      </c>
      <c r="AV662" s="60">
        <v>161.6</v>
      </c>
      <c r="AW662" s="60">
        <v>161.6</v>
      </c>
      <c r="AX662" s="60">
        <v>161.6</v>
      </c>
      <c r="AY662" s="61">
        <f t="shared" si="276"/>
        <v>969.6</v>
      </c>
      <c r="AZ662" s="56">
        <f t="shared" si="271"/>
        <v>1939.2</v>
      </c>
      <c r="BA662" s="62">
        <f t="shared" si="259"/>
        <v>29086.7</v>
      </c>
      <c r="BB662" s="62">
        <f t="shared" si="277"/>
        <v>27470.659999999963</v>
      </c>
      <c r="BC662" s="62">
        <f t="shared" si="260"/>
        <v>1616.0400000000373</v>
      </c>
      <c r="BD662" s="63"/>
      <c r="BE662" s="57"/>
      <c r="BF662" s="35" t="str">
        <f>VLOOKUP(A:A,'2023-2027'!A:G,1,+FALSE)</f>
        <v>Камера КСО 393-03 №2</v>
      </c>
      <c r="BG662" s="7" t="b">
        <f t="shared" ref="BG662:BG725" si="279">OR(EXACT(BF662,$A$4:$A$1071))</f>
        <v>1</v>
      </c>
      <c r="BH662" s="35">
        <f>VLOOKUP(A:A,'2023-2027'!A:AT,43,+FALSE)</f>
        <v>161.6</v>
      </c>
    </row>
    <row r="663" spans="1:60" ht="12" hidden="1" customHeight="1" outlineLevel="1" x14ac:dyDescent="0.2">
      <c r="A663" s="59" t="s">
        <v>1573</v>
      </c>
      <c r="B663" s="59" t="s">
        <v>44</v>
      </c>
      <c r="C663" s="59" t="s">
        <v>82</v>
      </c>
      <c r="D663" s="66" t="s">
        <v>1574</v>
      </c>
      <c r="E663" s="59" t="s">
        <v>1100</v>
      </c>
      <c r="F663" s="60">
        <v>29086.7</v>
      </c>
      <c r="G663" s="60">
        <v>21653.06</v>
      </c>
      <c r="H663" s="60">
        <v>7433.64</v>
      </c>
      <c r="I663" s="59"/>
      <c r="J663" s="60">
        <v>1939.2</v>
      </c>
      <c r="K663" s="59"/>
      <c r="L663" s="59"/>
      <c r="M663" s="60">
        <v>29086.7</v>
      </c>
      <c r="N663" s="60">
        <v>23592.26</v>
      </c>
      <c r="O663" s="60">
        <v>5494.44</v>
      </c>
      <c r="P663" s="55"/>
      <c r="Q663" s="55"/>
      <c r="R663" s="61">
        <f t="shared" si="272"/>
        <v>161.6</v>
      </c>
      <c r="S663" s="60">
        <v>161.6</v>
      </c>
      <c r="T663" s="60">
        <v>161.6</v>
      </c>
      <c r="U663" s="60">
        <v>161.6</v>
      </c>
      <c r="V663" s="60">
        <v>161.6</v>
      </c>
      <c r="W663" s="60">
        <v>161.6</v>
      </c>
      <c r="X663" s="61">
        <f t="shared" si="273"/>
        <v>969.6</v>
      </c>
      <c r="Y663" s="60">
        <v>161.6</v>
      </c>
      <c r="Z663" s="60">
        <v>161.6</v>
      </c>
      <c r="AA663" s="60">
        <v>161.6</v>
      </c>
      <c r="AB663" s="60">
        <v>161.6</v>
      </c>
      <c r="AC663" s="60">
        <v>161.6</v>
      </c>
      <c r="AD663" s="60">
        <v>161.6</v>
      </c>
      <c r="AE663" s="61">
        <f t="shared" si="274"/>
        <v>969.6</v>
      </c>
      <c r="AF663" s="62">
        <f t="shared" si="258"/>
        <v>29086.7</v>
      </c>
      <c r="AG663" s="62">
        <f t="shared" si="257"/>
        <v>25531.459999999981</v>
      </c>
      <c r="AH663" s="62">
        <f t="shared" si="278"/>
        <v>3555.2400000000198</v>
      </c>
      <c r="AI663" s="63"/>
      <c r="AJ663" s="63"/>
      <c r="AK663" s="62"/>
      <c r="AL663" s="60">
        <v>161.6</v>
      </c>
      <c r="AM663" s="60">
        <v>161.6</v>
      </c>
      <c r="AN663" s="60">
        <v>161.6</v>
      </c>
      <c r="AO663" s="60">
        <v>161.6</v>
      </c>
      <c r="AP663" s="60">
        <v>161.6</v>
      </c>
      <c r="AQ663" s="60">
        <v>161.6</v>
      </c>
      <c r="AR663" s="61">
        <f t="shared" si="275"/>
        <v>969.6</v>
      </c>
      <c r="AS663" s="60">
        <v>161.6</v>
      </c>
      <c r="AT663" s="60">
        <v>161.6</v>
      </c>
      <c r="AU663" s="60">
        <v>161.6</v>
      </c>
      <c r="AV663" s="60">
        <v>161.6</v>
      </c>
      <c r="AW663" s="60">
        <v>161.6</v>
      </c>
      <c r="AX663" s="60">
        <v>161.6</v>
      </c>
      <c r="AY663" s="61">
        <f t="shared" si="276"/>
        <v>969.6</v>
      </c>
      <c r="AZ663" s="56">
        <f t="shared" si="271"/>
        <v>1939.2</v>
      </c>
      <c r="BA663" s="62">
        <f t="shared" si="259"/>
        <v>29086.7</v>
      </c>
      <c r="BB663" s="62">
        <f t="shared" si="277"/>
        <v>27470.659999999963</v>
      </c>
      <c r="BC663" s="62">
        <f t="shared" si="260"/>
        <v>1616.0400000000373</v>
      </c>
      <c r="BD663" s="63"/>
      <c r="BE663" s="57"/>
      <c r="BF663" s="35" t="str">
        <f>VLOOKUP(A:A,'2023-2027'!A:G,1,+FALSE)</f>
        <v>Камера КСО 393-03 №3</v>
      </c>
      <c r="BG663" s="7" t="b">
        <f t="shared" si="279"/>
        <v>1</v>
      </c>
      <c r="BH663" s="35">
        <f>VLOOKUP(A:A,'2023-2027'!A:AT,43,+FALSE)</f>
        <v>161.6</v>
      </c>
    </row>
    <row r="664" spans="1:60" ht="12" hidden="1" customHeight="1" outlineLevel="1" x14ac:dyDescent="0.2">
      <c r="A664" s="59" t="s">
        <v>1575</v>
      </c>
      <c r="B664" s="59" t="s">
        <v>44</v>
      </c>
      <c r="C664" s="59" t="s">
        <v>82</v>
      </c>
      <c r="D664" s="66" t="s">
        <v>1576</v>
      </c>
      <c r="E664" s="59" t="s">
        <v>1100</v>
      </c>
      <c r="F664" s="60">
        <v>29086.7</v>
      </c>
      <c r="G664" s="60">
        <v>21653.06</v>
      </c>
      <c r="H664" s="60">
        <v>7433.64</v>
      </c>
      <c r="I664" s="59"/>
      <c r="J664" s="60">
        <v>1939.2</v>
      </c>
      <c r="K664" s="59"/>
      <c r="L664" s="59"/>
      <c r="M664" s="60">
        <v>29086.7</v>
      </c>
      <c r="N664" s="60">
        <v>23592.26</v>
      </c>
      <c r="O664" s="60">
        <v>5494.44</v>
      </c>
      <c r="P664" s="55"/>
      <c r="Q664" s="55"/>
      <c r="R664" s="61">
        <f t="shared" si="272"/>
        <v>161.6</v>
      </c>
      <c r="S664" s="60">
        <v>161.6</v>
      </c>
      <c r="T664" s="60">
        <v>161.6</v>
      </c>
      <c r="U664" s="60">
        <v>161.6</v>
      </c>
      <c r="V664" s="60">
        <v>161.6</v>
      </c>
      <c r="W664" s="60">
        <v>161.6</v>
      </c>
      <c r="X664" s="61">
        <f t="shared" si="273"/>
        <v>969.6</v>
      </c>
      <c r="Y664" s="60">
        <v>161.6</v>
      </c>
      <c r="Z664" s="60">
        <v>161.6</v>
      </c>
      <c r="AA664" s="60">
        <v>161.6</v>
      </c>
      <c r="AB664" s="60">
        <v>161.6</v>
      </c>
      <c r="AC664" s="60">
        <v>161.6</v>
      </c>
      <c r="AD664" s="60">
        <v>161.6</v>
      </c>
      <c r="AE664" s="61">
        <f t="shared" si="274"/>
        <v>969.6</v>
      </c>
      <c r="AF664" s="62">
        <f t="shared" si="258"/>
        <v>29086.7</v>
      </c>
      <c r="AG664" s="62">
        <f t="shared" si="257"/>
        <v>25531.459999999981</v>
      </c>
      <c r="AH664" s="62">
        <f t="shared" si="278"/>
        <v>3555.2400000000198</v>
      </c>
      <c r="AI664" s="63"/>
      <c r="AJ664" s="63"/>
      <c r="AK664" s="62"/>
      <c r="AL664" s="60">
        <v>161.6</v>
      </c>
      <c r="AM664" s="60">
        <v>161.6</v>
      </c>
      <c r="AN664" s="60">
        <v>161.6</v>
      </c>
      <c r="AO664" s="60">
        <v>161.6</v>
      </c>
      <c r="AP664" s="60">
        <v>161.6</v>
      </c>
      <c r="AQ664" s="60">
        <v>161.6</v>
      </c>
      <c r="AR664" s="61">
        <f t="shared" si="275"/>
        <v>969.6</v>
      </c>
      <c r="AS664" s="60">
        <v>161.6</v>
      </c>
      <c r="AT664" s="60">
        <v>161.6</v>
      </c>
      <c r="AU664" s="60">
        <v>161.6</v>
      </c>
      <c r="AV664" s="60">
        <v>161.6</v>
      </c>
      <c r="AW664" s="60">
        <v>161.6</v>
      </c>
      <c r="AX664" s="60">
        <v>161.6</v>
      </c>
      <c r="AY664" s="61">
        <f t="shared" si="276"/>
        <v>969.6</v>
      </c>
      <c r="AZ664" s="56">
        <f t="shared" si="271"/>
        <v>1939.2</v>
      </c>
      <c r="BA664" s="62">
        <f t="shared" si="259"/>
        <v>29086.7</v>
      </c>
      <c r="BB664" s="62">
        <f t="shared" si="277"/>
        <v>27470.659999999963</v>
      </c>
      <c r="BC664" s="62">
        <f t="shared" si="260"/>
        <v>1616.0400000000373</v>
      </c>
      <c r="BD664" s="63"/>
      <c r="BE664" s="57"/>
      <c r="BF664" s="35" t="str">
        <f>VLOOKUP(A:A,'2023-2027'!A:G,1,+FALSE)</f>
        <v>Камера КСО 393-03 №4</v>
      </c>
      <c r="BG664" s="7" t="b">
        <f t="shared" si="279"/>
        <v>1</v>
      </c>
      <c r="BH664" s="35">
        <f>VLOOKUP(A:A,'2023-2027'!A:AT,43,+FALSE)</f>
        <v>161.6</v>
      </c>
    </row>
    <row r="665" spans="1:60" ht="12" hidden="1" customHeight="1" outlineLevel="1" x14ac:dyDescent="0.2">
      <c r="A665" s="59" t="s">
        <v>1577</v>
      </c>
      <c r="B665" s="59" t="s">
        <v>44</v>
      </c>
      <c r="C665" s="59" t="s">
        <v>82</v>
      </c>
      <c r="D665" s="66" t="s">
        <v>1578</v>
      </c>
      <c r="E665" s="59" t="s">
        <v>1100</v>
      </c>
      <c r="F665" s="60">
        <v>29086.7</v>
      </c>
      <c r="G665" s="60">
        <v>21653.06</v>
      </c>
      <c r="H665" s="60">
        <v>7433.64</v>
      </c>
      <c r="I665" s="59"/>
      <c r="J665" s="60">
        <v>1939.2</v>
      </c>
      <c r="K665" s="59"/>
      <c r="L665" s="59"/>
      <c r="M665" s="60">
        <v>29086.7</v>
      </c>
      <c r="N665" s="60">
        <v>23592.26</v>
      </c>
      <c r="O665" s="60">
        <v>5494.44</v>
      </c>
      <c r="P665" s="55"/>
      <c r="Q665" s="55"/>
      <c r="R665" s="61">
        <f t="shared" si="272"/>
        <v>161.6</v>
      </c>
      <c r="S665" s="60">
        <v>161.6</v>
      </c>
      <c r="T665" s="60">
        <v>161.6</v>
      </c>
      <c r="U665" s="60">
        <v>161.6</v>
      </c>
      <c r="V665" s="60">
        <v>161.6</v>
      </c>
      <c r="W665" s="60">
        <v>161.6</v>
      </c>
      <c r="X665" s="61">
        <f t="shared" si="273"/>
        <v>969.6</v>
      </c>
      <c r="Y665" s="60">
        <v>161.6</v>
      </c>
      <c r="Z665" s="60">
        <v>161.6</v>
      </c>
      <c r="AA665" s="60">
        <v>161.6</v>
      </c>
      <c r="AB665" s="60">
        <v>161.6</v>
      </c>
      <c r="AC665" s="60">
        <v>161.6</v>
      </c>
      <c r="AD665" s="60">
        <v>161.6</v>
      </c>
      <c r="AE665" s="61">
        <f t="shared" si="274"/>
        <v>969.6</v>
      </c>
      <c r="AF665" s="62">
        <f t="shared" si="258"/>
        <v>29086.7</v>
      </c>
      <c r="AG665" s="62">
        <f t="shared" si="257"/>
        <v>25531.459999999981</v>
      </c>
      <c r="AH665" s="62">
        <f t="shared" si="278"/>
        <v>3555.2400000000198</v>
      </c>
      <c r="AI665" s="63"/>
      <c r="AJ665" s="63"/>
      <c r="AK665" s="62"/>
      <c r="AL665" s="60">
        <v>161.6</v>
      </c>
      <c r="AM665" s="60">
        <v>161.6</v>
      </c>
      <c r="AN665" s="60">
        <v>161.6</v>
      </c>
      <c r="AO665" s="60">
        <v>161.6</v>
      </c>
      <c r="AP665" s="60">
        <v>161.6</v>
      </c>
      <c r="AQ665" s="60">
        <v>161.6</v>
      </c>
      <c r="AR665" s="61">
        <f t="shared" si="275"/>
        <v>969.6</v>
      </c>
      <c r="AS665" s="60">
        <v>161.6</v>
      </c>
      <c r="AT665" s="60">
        <v>161.6</v>
      </c>
      <c r="AU665" s="60">
        <v>161.6</v>
      </c>
      <c r="AV665" s="60">
        <v>161.6</v>
      </c>
      <c r="AW665" s="60">
        <v>161.6</v>
      </c>
      <c r="AX665" s="60">
        <v>161.6</v>
      </c>
      <c r="AY665" s="61">
        <f t="shared" si="276"/>
        <v>969.6</v>
      </c>
      <c r="AZ665" s="56">
        <f t="shared" si="271"/>
        <v>1939.2</v>
      </c>
      <c r="BA665" s="62">
        <f t="shared" si="259"/>
        <v>29086.7</v>
      </c>
      <c r="BB665" s="62">
        <f t="shared" si="277"/>
        <v>27470.659999999963</v>
      </c>
      <c r="BC665" s="62">
        <f t="shared" si="260"/>
        <v>1616.0400000000373</v>
      </c>
      <c r="BD665" s="63"/>
      <c r="BE665" s="57"/>
      <c r="BF665" s="35" t="str">
        <f>VLOOKUP(A:A,'2023-2027'!A:G,1,+FALSE)</f>
        <v>Камера КСО 393-03 №5</v>
      </c>
      <c r="BG665" s="7" t="b">
        <f t="shared" si="279"/>
        <v>1</v>
      </c>
      <c r="BH665" s="35">
        <f>VLOOKUP(A:A,'2023-2027'!A:AT,43,+FALSE)</f>
        <v>161.6</v>
      </c>
    </row>
    <row r="666" spans="1:60" ht="12" hidden="1" customHeight="1" outlineLevel="1" x14ac:dyDescent="0.2">
      <c r="A666" s="59" t="s">
        <v>1579</v>
      </c>
      <c r="B666" s="59" t="s">
        <v>44</v>
      </c>
      <c r="C666" s="59" t="s">
        <v>82</v>
      </c>
      <c r="D666" s="66" t="s">
        <v>1580</v>
      </c>
      <c r="E666" s="59" t="s">
        <v>1100</v>
      </c>
      <c r="F666" s="60">
        <v>29086.7</v>
      </c>
      <c r="G666" s="60">
        <v>21653.06</v>
      </c>
      <c r="H666" s="60">
        <v>7433.64</v>
      </c>
      <c r="I666" s="59"/>
      <c r="J666" s="60">
        <v>1939.2</v>
      </c>
      <c r="K666" s="59"/>
      <c r="L666" s="59"/>
      <c r="M666" s="60">
        <v>29086.7</v>
      </c>
      <c r="N666" s="60">
        <v>23592.26</v>
      </c>
      <c r="O666" s="60">
        <v>5494.44</v>
      </c>
      <c r="P666" s="55"/>
      <c r="Q666" s="55"/>
      <c r="R666" s="61">
        <f t="shared" si="272"/>
        <v>161.6</v>
      </c>
      <c r="S666" s="60">
        <v>161.6</v>
      </c>
      <c r="T666" s="60">
        <v>161.6</v>
      </c>
      <c r="U666" s="60">
        <v>161.6</v>
      </c>
      <c r="V666" s="60">
        <v>161.6</v>
      </c>
      <c r="W666" s="60">
        <v>161.6</v>
      </c>
      <c r="X666" s="61">
        <f t="shared" si="273"/>
        <v>969.6</v>
      </c>
      <c r="Y666" s="60">
        <v>161.6</v>
      </c>
      <c r="Z666" s="60">
        <v>161.6</v>
      </c>
      <c r="AA666" s="60">
        <v>161.6</v>
      </c>
      <c r="AB666" s="60">
        <v>161.6</v>
      </c>
      <c r="AC666" s="60">
        <v>161.6</v>
      </c>
      <c r="AD666" s="60">
        <v>161.6</v>
      </c>
      <c r="AE666" s="61">
        <f t="shared" si="274"/>
        <v>969.6</v>
      </c>
      <c r="AF666" s="62">
        <f t="shared" si="258"/>
        <v>29086.7</v>
      </c>
      <c r="AG666" s="62">
        <f t="shared" si="257"/>
        <v>25531.459999999981</v>
      </c>
      <c r="AH666" s="62">
        <f t="shared" si="278"/>
        <v>3555.2400000000198</v>
      </c>
      <c r="AI666" s="63"/>
      <c r="AJ666" s="63"/>
      <c r="AK666" s="62"/>
      <c r="AL666" s="60">
        <v>161.6</v>
      </c>
      <c r="AM666" s="60">
        <v>161.6</v>
      </c>
      <c r="AN666" s="60">
        <v>161.6</v>
      </c>
      <c r="AO666" s="60">
        <v>161.6</v>
      </c>
      <c r="AP666" s="60">
        <v>161.6</v>
      </c>
      <c r="AQ666" s="60">
        <v>161.6</v>
      </c>
      <c r="AR666" s="61">
        <f t="shared" si="275"/>
        <v>969.6</v>
      </c>
      <c r="AS666" s="60">
        <v>161.6</v>
      </c>
      <c r="AT666" s="60">
        <v>161.6</v>
      </c>
      <c r="AU666" s="60">
        <v>161.6</v>
      </c>
      <c r="AV666" s="60">
        <v>161.6</v>
      </c>
      <c r="AW666" s="60">
        <v>161.6</v>
      </c>
      <c r="AX666" s="60">
        <v>161.6</v>
      </c>
      <c r="AY666" s="61">
        <f t="shared" si="276"/>
        <v>969.6</v>
      </c>
      <c r="AZ666" s="56">
        <f t="shared" si="271"/>
        <v>1939.2</v>
      </c>
      <c r="BA666" s="62">
        <f t="shared" si="259"/>
        <v>29086.7</v>
      </c>
      <c r="BB666" s="62">
        <f t="shared" si="277"/>
        <v>27470.659999999963</v>
      </c>
      <c r="BC666" s="62">
        <f t="shared" si="260"/>
        <v>1616.0400000000373</v>
      </c>
      <c r="BD666" s="63"/>
      <c r="BE666" s="57"/>
      <c r="BF666" s="35" t="str">
        <f>VLOOKUP(A:A,'2023-2027'!A:G,1,+FALSE)</f>
        <v>Камера КСО 393-03 №6</v>
      </c>
      <c r="BG666" s="7" t="b">
        <f t="shared" si="279"/>
        <v>1</v>
      </c>
      <c r="BH666" s="35">
        <f>VLOOKUP(A:A,'2023-2027'!A:AT,43,+FALSE)</f>
        <v>161.6</v>
      </c>
    </row>
    <row r="667" spans="1:60" ht="24" hidden="1" customHeight="1" outlineLevel="1" x14ac:dyDescent="0.2">
      <c r="A667" s="59" t="s">
        <v>1581</v>
      </c>
      <c r="B667" s="59" t="s">
        <v>44</v>
      </c>
      <c r="C667" s="59" t="s">
        <v>82</v>
      </c>
      <c r="D667" s="66" t="s">
        <v>1582</v>
      </c>
      <c r="E667" s="59" t="s">
        <v>1560</v>
      </c>
      <c r="F667" s="60">
        <v>43196.81</v>
      </c>
      <c r="G667" s="60">
        <v>7379.59</v>
      </c>
      <c r="H667" s="60">
        <v>35817.22</v>
      </c>
      <c r="I667" s="59"/>
      <c r="J667" s="60">
        <v>2159.88</v>
      </c>
      <c r="K667" s="59"/>
      <c r="L667" s="59"/>
      <c r="M667" s="60">
        <v>43196.81</v>
      </c>
      <c r="N667" s="60">
        <v>9539.4699999999993</v>
      </c>
      <c r="O667" s="60">
        <v>33657.339999999997</v>
      </c>
      <c r="P667" s="55"/>
      <c r="Q667" s="55"/>
      <c r="R667" s="61">
        <f t="shared" si="272"/>
        <v>179.99</v>
      </c>
      <c r="S667" s="60">
        <v>179.99</v>
      </c>
      <c r="T667" s="60">
        <v>179.99</v>
      </c>
      <c r="U667" s="60">
        <v>179.99</v>
      </c>
      <c r="V667" s="60">
        <v>179.99</v>
      </c>
      <c r="W667" s="60">
        <v>179.99</v>
      </c>
      <c r="X667" s="61">
        <f t="shared" si="273"/>
        <v>1079.94</v>
      </c>
      <c r="Y667" s="60">
        <v>179.99</v>
      </c>
      <c r="Z667" s="60">
        <v>179.99</v>
      </c>
      <c r="AA667" s="60">
        <v>179.99</v>
      </c>
      <c r="AB667" s="60">
        <v>179.99</v>
      </c>
      <c r="AC667" s="60">
        <v>179.99</v>
      </c>
      <c r="AD667" s="60">
        <v>179.99</v>
      </c>
      <c r="AE667" s="61">
        <f t="shared" si="274"/>
        <v>1079.94</v>
      </c>
      <c r="AF667" s="62">
        <f t="shared" si="258"/>
        <v>43196.81</v>
      </c>
      <c r="AG667" s="62">
        <f t="shared" ref="AG667:AG730" si="280">N667+R667+S667+T667+U667+V667+W667+Y667+Z667+AA667+AB667+AC667+AD667</f>
        <v>11699.349999999997</v>
      </c>
      <c r="AH667" s="62">
        <f t="shared" si="278"/>
        <v>31497.46</v>
      </c>
      <c r="AI667" s="63"/>
      <c r="AJ667" s="63"/>
      <c r="AK667" s="62"/>
      <c r="AL667" s="60">
        <v>179.99</v>
      </c>
      <c r="AM667" s="60">
        <v>179.99</v>
      </c>
      <c r="AN667" s="60">
        <v>179.99</v>
      </c>
      <c r="AO667" s="60">
        <v>179.99</v>
      </c>
      <c r="AP667" s="60">
        <v>179.99</v>
      </c>
      <c r="AQ667" s="60">
        <v>179.99</v>
      </c>
      <c r="AR667" s="61">
        <f t="shared" si="275"/>
        <v>1079.94</v>
      </c>
      <c r="AS667" s="60">
        <v>179.99</v>
      </c>
      <c r="AT667" s="60">
        <v>179.99</v>
      </c>
      <c r="AU667" s="60">
        <v>179.99</v>
      </c>
      <c r="AV667" s="60">
        <v>179.99</v>
      </c>
      <c r="AW667" s="60">
        <v>179.99</v>
      </c>
      <c r="AX667" s="60">
        <v>179.99</v>
      </c>
      <c r="AY667" s="61">
        <f t="shared" si="276"/>
        <v>1079.94</v>
      </c>
      <c r="AZ667" s="56">
        <f t="shared" si="271"/>
        <v>2159.88</v>
      </c>
      <c r="BA667" s="62">
        <f t="shared" si="259"/>
        <v>43196.81</v>
      </c>
      <c r="BB667" s="62">
        <f t="shared" si="277"/>
        <v>13859.229999999994</v>
      </c>
      <c r="BC667" s="62">
        <f t="shared" si="260"/>
        <v>29337.58</v>
      </c>
      <c r="BD667" s="63"/>
      <c r="BE667" s="57"/>
      <c r="BF667" s="35" t="str">
        <f>VLOOKUP(A:A,'2023-2027'!A:G,1,+FALSE)</f>
        <v>Камера КСО 393-04 (панель трансформатора), зав.№2235.9</v>
      </c>
      <c r="BG667" s="7" t="b">
        <f t="shared" si="279"/>
        <v>1</v>
      </c>
      <c r="BH667" s="35">
        <f>VLOOKUP(A:A,'2023-2027'!A:AT,43,+FALSE)</f>
        <v>179.99</v>
      </c>
    </row>
    <row r="668" spans="1:60" ht="12" hidden="1" customHeight="1" outlineLevel="1" x14ac:dyDescent="0.2">
      <c r="A668" s="59" t="s">
        <v>1583</v>
      </c>
      <c r="B668" s="59" t="s">
        <v>44</v>
      </c>
      <c r="C668" s="59" t="s">
        <v>82</v>
      </c>
      <c r="D668" s="66" t="s">
        <v>1584</v>
      </c>
      <c r="E668" s="59" t="s">
        <v>1100</v>
      </c>
      <c r="F668" s="60">
        <v>34199.17</v>
      </c>
      <c r="G668" s="60">
        <v>25460</v>
      </c>
      <c r="H668" s="60">
        <v>8739.17</v>
      </c>
      <c r="I668" s="59"/>
      <c r="J668" s="60">
        <v>2279.7600000000002</v>
      </c>
      <c r="K668" s="59"/>
      <c r="L668" s="59"/>
      <c r="M668" s="60">
        <v>34199.17</v>
      </c>
      <c r="N668" s="60">
        <v>27739.759999999998</v>
      </c>
      <c r="O668" s="60">
        <v>6459.41</v>
      </c>
      <c r="P668" s="55"/>
      <c r="Q668" s="55"/>
      <c r="R668" s="61">
        <f t="shared" si="272"/>
        <v>189.98000000000002</v>
      </c>
      <c r="S668" s="60">
        <v>189.98</v>
      </c>
      <c r="T668" s="60">
        <v>189.98</v>
      </c>
      <c r="U668" s="60">
        <v>189.98</v>
      </c>
      <c r="V668" s="60">
        <v>189.98</v>
      </c>
      <c r="W668" s="60">
        <v>189.98</v>
      </c>
      <c r="X668" s="61">
        <f t="shared" si="273"/>
        <v>1139.8800000000001</v>
      </c>
      <c r="Y668" s="60">
        <v>189.98</v>
      </c>
      <c r="Z668" s="60">
        <v>189.98</v>
      </c>
      <c r="AA668" s="60">
        <v>189.98</v>
      </c>
      <c r="AB668" s="60">
        <v>189.98</v>
      </c>
      <c r="AC668" s="60">
        <v>189.98</v>
      </c>
      <c r="AD668" s="60">
        <v>189.98</v>
      </c>
      <c r="AE668" s="61">
        <f t="shared" si="274"/>
        <v>1139.8799999999999</v>
      </c>
      <c r="AF668" s="62">
        <f t="shared" si="258"/>
        <v>34199.17</v>
      </c>
      <c r="AG668" s="62">
        <f t="shared" si="280"/>
        <v>30019.519999999993</v>
      </c>
      <c r="AH668" s="62">
        <f t="shared" si="278"/>
        <v>4179.6500000000051</v>
      </c>
      <c r="AI668" s="63"/>
      <c r="AJ668" s="63"/>
      <c r="AK668" s="62"/>
      <c r="AL668" s="60">
        <v>189.98</v>
      </c>
      <c r="AM668" s="60">
        <v>189.98</v>
      </c>
      <c r="AN668" s="60">
        <v>189.98</v>
      </c>
      <c r="AO668" s="60">
        <v>189.98</v>
      </c>
      <c r="AP668" s="60">
        <v>189.98</v>
      </c>
      <c r="AQ668" s="60">
        <v>189.98</v>
      </c>
      <c r="AR668" s="61">
        <f t="shared" si="275"/>
        <v>1139.8799999999999</v>
      </c>
      <c r="AS668" s="60">
        <v>189.98</v>
      </c>
      <c r="AT668" s="60">
        <v>189.98</v>
      </c>
      <c r="AU668" s="60">
        <v>189.98</v>
      </c>
      <c r="AV668" s="60">
        <v>189.98</v>
      </c>
      <c r="AW668" s="60">
        <v>189.98</v>
      </c>
      <c r="AX668" s="60">
        <v>189.98</v>
      </c>
      <c r="AY668" s="61">
        <f t="shared" si="276"/>
        <v>1139.8799999999999</v>
      </c>
      <c r="AZ668" s="56">
        <f t="shared" si="271"/>
        <v>2279.7599999999998</v>
      </c>
      <c r="BA668" s="62">
        <f t="shared" si="259"/>
        <v>34199.17</v>
      </c>
      <c r="BB668" s="62">
        <f t="shared" si="277"/>
        <v>32299.279999999988</v>
      </c>
      <c r="BC668" s="62">
        <f t="shared" si="260"/>
        <v>1899.8900000000103</v>
      </c>
      <c r="BD668" s="63"/>
      <c r="BE668" s="57"/>
      <c r="BF668" s="35" t="str">
        <f>VLOOKUP(A:A,'2023-2027'!A:G,1,+FALSE)</f>
        <v>Камера КСО 393-04 №1</v>
      </c>
      <c r="BG668" s="7" t="b">
        <f t="shared" si="279"/>
        <v>1</v>
      </c>
      <c r="BH668" s="35">
        <f>VLOOKUP(A:A,'2023-2027'!A:AT,43,+FALSE)</f>
        <v>189.98</v>
      </c>
    </row>
    <row r="669" spans="1:60" ht="12" hidden="1" customHeight="1" outlineLevel="1" x14ac:dyDescent="0.2">
      <c r="A669" s="59" t="s">
        <v>1585</v>
      </c>
      <c r="B669" s="59" t="s">
        <v>44</v>
      </c>
      <c r="C669" s="59" t="s">
        <v>82</v>
      </c>
      <c r="D669" s="66" t="s">
        <v>1586</v>
      </c>
      <c r="E669" s="59" t="s">
        <v>1100</v>
      </c>
      <c r="F669" s="60">
        <v>34199.17</v>
      </c>
      <c r="G669" s="60">
        <v>25460</v>
      </c>
      <c r="H669" s="60">
        <v>8739.17</v>
      </c>
      <c r="I669" s="59"/>
      <c r="J669" s="60">
        <v>2279.7600000000002</v>
      </c>
      <c r="K669" s="59"/>
      <c r="L669" s="59"/>
      <c r="M669" s="60">
        <v>34199.17</v>
      </c>
      <c r="N669" s="60">
        <v>27739.759999999998</v>
      </c>
      <c r="O669" s="60">
        <v>6459.41</v>
      </c>
      <c r="P669" s="55"/>
      <c r="Q669" s="55"/>
      <c r="R669" s="61">
        <f t="shared" si="272"/>
        <v>189.98000000000002</v>
      </c>
      <c r="S669" s="60">
        <v>189.98</v>
      </c>
      <c r="T669" s="60">
        <v>189.98</v>
      </c>
      <c r="U669" s="60">
        <v>189.98</v>
      </c>
      <c r="V669" s="60">
        <v>189.98</v>
      </c>
      <c r="W669" s="60">
        <v>189.98</v>
      </c>
      <c r="X669" s="61">
        <f t="shared" si="273"/>
        <v>1139.8800000000001</v>
      </c>
      <c r="Y669" s="60">
        <v>189.98</v>
      </c>
      <c r="Z669" s="60">
        <v>189.98</v>
      </c>
      <c r="AA669" s="60">
        <v>189.98</v>
      </c>
      <c r="AB669" s="60">
        <v>189.98</v>
      </c>
      <c r="AC669" s="60">
        <v>189.98</v>
      </c>
      <c r="AD669" s="60">
        <v>189.98</v>
      </c>
      <c r="AE669" s="61">
        <f t="shared" si="274"/>
        <v>1139.8799999999999</v>
      </c>
      <c r="AF669" s="62">
        <f t="shared" si="258"/>
        <v>34199.17</v>
      </c>
      <c r="AG669" s="62">
        <f t="shared" si="280"/>
        <v>30019.519999999993</v>
      </c>
      <c r="AH669" s="62">
        <f t="shared" si="278"/>
        <v>4179.6500000000051</v>
      </c>
      <c r="AI669" s="63"/>
      <c r="AJ669" s="63"/>
      <c r="AK669" s="62"/>
      <c r="AL669" s="60">
        <v>189.98</v>
      </c>
      <c r="AM669" s="60">
        <v>189.98</v>
      </c>
      <c r="AN669" s="60">
        <v>189.98</v>
      </c>
      <c r="AO669" s="60">
        <v>189.98</v>
      </c>
      <c r="AP669" s="60">
        <v>189.98</v>
      </c>
      <c r="AQ669" s="60">
        <v>189.98</v>
      </c>
      <c r="AR669" s="61">
        <f t="shared" si="275"/>
        <v>1139.8799999999999</v>
      </c>
      <c r="AS669" s="60">
        <v>189.98</v>
      </c>
      <c r="AT669" s="60">
        <v>189.98</v>
      </c>
      <c r="AU669" s="60">
        <v>189.98</v>
      </c>
      <c r="AV669" s="60">
        <v>189.98</v>
      </c>
      <c r="AW669" s="60">
        <v>189.98</v>
      </c>
      <c r="AX669" s="60">
        <v>189.98</v>
      </c>
      <c r="AY669" s="61">
        <f t="shared" si="276"/>
        <v>1139.8799999999999</v>
      </c>
      <c r="AZ669" s="56">
        <f t="shared" si="271"/>
        <v>2279.7599999999998</v>
      </c>
      <c r="BA669" s="62">
        <f t="shared" si="259"/>
        <v>34199.17</v>
      </c>
      <c r="BB669" s="62">
        <f t="shared" si="277"/>
        <v>32299.279999999988</v>
      </c>
      <c r="BC669" s="62">
        <f t="shared" si="260"/>
        <v>1899.8900000000103</v>
      </c>
      <c r="BD669" s="63"/>
      <c r="BE669" s="57"/>
      <c r="BF669" s="35" t="str">
        <f>VLOOKUP(A:A,'2023-2027'!A:G,1,+FALSE)</f>
        <v>Камера КСО 393-04 №2</v>
      </c>
      <c r="BG669" s="7" t="b">
        <f t="shared" si="279"/>
        <v>1</v>
      </c>
      <c r="BH669" s="35">
        <f>VLOOKUP(A:A,'2023-2027'!A:AT,43,+FALSE)</f>
        <v>189.98</v>
      </c>
    </row>
    <row r="670" spans="1:60" ht="12" hidden="1" customHeight="1" outlineLevel="1" x14ac:dyDescent="0.2">
      <c r="A670" s="59" t="s">
        <v>1587</v>
      </c>
      <c r="B670" s="59" t="s">
        <v>44</v>
      </c>
      <c r="C670" s="59" t="s">
        <v>82</v>
      </c>
      <c r="D670" s="66" t="s">
        <v>1588</v>
      </c>
      <c r="E670" s="59" t="s">
        <v>1100</v>
      </c>
      <c r="F670" s="60">
        <v>34199.17</v>
      </c>
      <c r="G670" s="60">
        <v>25460</v>
      </c>
      <c r="H670" s="60">
        <v>8739.17</v>
      </c>
      <c r="I670" s="59"/>
      <c r="J670" s="60">
        <v>2279.7600000000002</v>
      </c>
      <c r="K670" s="59"/>
      <c r="L670" s="59"/>
      <c r="M670" s="60">
        <v>34199.17</v>
      </c>
      <c r="N670" s="60">
        <v>27739.759999999998</v>
      </c>
      <c r="O670" s="60">
        <v>6459.41</v>
      </c>
      <c r="P670" s="55"/>
      <c r="Q670" s="55"/>
      <c r="R670" s="61">
        <f t="shared" si="272"/>
        <v>189.98000000000002</v>
      </c>
      <c r="S670" s="60">
        <v>189.98</v>
      </c>
      <c r="T670" s="60">
        <v>189.98</v>
      </c>
      <c r="U670" s="60">
        <v>189.98</v>
      </c>
      <c r="V670" s="60">
        <v>189.98</v>
      </c>
      <c r="W670" s="60">
        <v>189.98</v>
      </c>
      <c r="X670" s="61">
        <f t="shared" si="273"/>
        <v>1139.8800000000001</v>
      </c>
      <c r="Y670" s="60">
        <v>189.98</v>
      </c>
      <c r="Z670" s="60">
        <v>189.98</v>
      </c>
      <c r="AA670" s="60">
        <v>189.98</v>
      </c>
      <c r="AB670" s="60">
        <v>189.98</v>
      </c>
      <c r="AC670" s="60">
        <v>189.98</v>
      </c>
      <c r="AD670" s="60">
        <v>189.98</v>
      </c>
      <c r="AE670" s="61">
        <f t="shared" si="274"/>
        <v>1139.8799999999999</v>
      </c>
      <c r="AF670" s="62">
        <f t="shared" si="258"/>
        <v>34199.17</v>
      </c>
      <c r="AG670" s="62">
        <f t="shared" si="280"/>
        <v>30019.519999999993</v>
      </c>
      <c r="AH670" s="62">
        <f t="shared" si="278"/>
        <v>4179.6500000000051</v>
      </c>
      <c r="AI670" s="63"/>
      <c r="AJ670" s="63"/>
      <c r="AK670" s="62"/>
      <c r="AL670" s="60">
        <v>189.98</v>
      </c>
      <c r="AM670" s="60">
        <v>189.98</v>
      </c>
      <c r="AN670" s="60">
        <v>189.98</v>
      </c>
      <c r="AO670" s="60">
        <v>189.98</v>
      </c>
      <c r="AP670" s="60">
        <v>189.98</v>
      </c>
      <c r="AQ670" s="60">
        <v>189.98</v>
      </c>
      <c r="AR670" s="61">
        <f t="shared" si="275"/>
        <v>1139.8799999999999</v>
      </c>
      <c r="AS670" s="60">
        <v>189.98</v>
      </c>
      <c r="AT670" s="60">
        <v>189.98</v>
      </c>
      <c r="AU670" s="60">
        <v>189.98</v>
      </c>
      <c r="AV670" s="60">
        <v>189.98</v>
      </c>
      <c r="AW670" s="60">
        <v>189.98</v>
      </c>
      <c r="AX670" s="60">
        <v>189.98</v>
      </c>
      <c r="AY670" s="61">
        <f t="shared" si="276"/>
        <v>1139.8799999999999</v>
      </c>
      <c r="AZ670" s="56">
        <f t="shared" si="271"/>
        <v>2279.7599999999998</v>
      </c>
      <c r="BA670" s="62">
        <f t="shared" si="259"/>
        <v>34199.17</v>
      </c>
      <c r="BB670" s="62">
        <f t="shared" si="277"/>
        <v>32299.279999999988</v>
      </c>
      <c r="BC670" s="62">
        <f t="shared" si="260"/>
        <v>1899.8900000000103</v>
      </c>
      <c r="BD670" s="63"/>
      <c r="BE670" s="57"/>
      <c r="BF670" s="35" t="str">
        <f>VLOOKUP(A:A,'2023-2027'!A:G,1,+FALSE)</f>
        <v>Камера КСО 393-04 №3</v>
      </c>
      <c r="BG670" s="7" t="b">
        <f t="shared" si="279"/>
        <v>1</v>
      </c>
      <c r="BH670" s="35">
        <f>VLOOKUP(A:A,'2023-2027'!A:AT,43,+FALSE)</f>
        <v>189.98</v>
      </c>
    </row>
    <row r="671" spans="1:60" ht="12" hidden="1" customHeight="1" outlineLevel="1" x14ac:dyDescent="0.2">
      <c r="A671" s="59" t="s">
        <v>1589</v>
      </c>
      <c r="B671" s="59" t="s">
        <v>44</v>
      </c>
      <c r="C671" s="59" t="s">
        <v>82</v>
      </c>
      <c r="D671" s="66" t="s">
        <v>1590</v>
      </c>
      <c r="E671" s="59" t="s">
        <v>1100</v>
      </c>
      <c r="F671" s="60">
        <v>34199.17</v>
      </c>
      <c r="G671" s="60">
        <v>25460</v>
      </c>
      <c r="H671" s="60">
        <v>8739.17</v>
      </c>
      <c r="I671" s="59"/>
      <c r="J671" s="60">
        <v>2279.7600000000002</v>
      </c>
      <c r="K671" s="59"/>
      <c r="L671" s="59"/>
      <c r="M671" s="60">
        <v>34199.17</v>
      </c>
      <c r="N671" s="60">
        <v>27739.759999999998</v>
      </c>
      <c r="O671" s="60">
        <v>6459.41</v>
      </c>
      <c r="P671" s="55"/>
      <c r="Q671" s="55"/>
      <c r="R671" s="61">
        <f t="shared" si="272"/>
        <v>189.98000000000002</v>
      </c>
      <c r="S671" s="60">
        <v>189.98</v>
      </c>
      <c r="T671" s="60">
        <v>189.98</v>
      </c>
      <c r="U671" s="60">
        <v>189.98</v>
      </c>
      <c r="V671" s="60">
        <v>189.98</v>
      </c>
      <c r="W671" s="60">
        <v>189.98</v>
      </c>
      <c r="X671" s="61">
        <f t="shared" si="273"/>
        <v>1139.8800000000001</v>
      </c>
      <c r="Y671" s="60">
        <v>189.98</v>
      </c>
      <c r="Z671" s="60">
        <v>189.98</v>
      </c>
      <c r="AA671" s="60">
        <v>189.98</v>
      </c>
      <c r="AB671" s="60">
        <v>189.98</v>
      </c>
      <c r="AC671" s="60">
        <v>189.98</v>
      </c>
      <c r="AD671" s="60">
        <v>189.98</v>
      </c>
      <c r="AE671" s="61">
        <f t="shared" si="274"/>
        <v>1139.8799999999999</v>
      </c>
      <c r="AF671" s="62">
        <f t="shared" ref="AF671:AF734" si="281">M671</f>
        <v>34199.17</v>
      </c>
      <c r="AG671" s="62">
        <f t="shared" si="280"/>
        <v>30019.519999999993</v>
      </c>
      <c r="AH671" s="62">
        <f t="shared" si="278"/>
        <v>4179.6500000000051</v>
      </c>
      <c r="AI671" s="63"/>
      <c r="AJ671" s="63"/>
      <c r="AK671" s="62"/>
      <c r="AL671" s="60">
        <v>189.98</v>
      </c>
      <c r="AM671" s="60">
        <v>189.98</v>
      </c>
      <c r="AN671" s="60">
        <v>189.98</v>
      </c>
      <c r="AO671" s="60">
        <v>189.98</v>
      </c>
      <c r="AP671" s="60">
        <v>189.98</v>
      </c>
      <c r="AQ671" s="60">
        <v>189.98</v>
      </c>
      <c r="AR671" s="61">
        <f t="shared" si="275"/>
        <v>1139.8799999999999</v>
      </c>
      <c r="AS671" s="60">
        <v>189.98</v>
      </c>
      <c r="AT671" s="60">
        <v>189.98</v>
      </c>
      <c r="AU671" s="60">
        <v>189.98</v>
      </c>
      <c r="AV671" s="60">
        <v>189.98</v>
      </c>
      <c r="AW671" s="60">
        <v>189.98</v>
      </c>
      <c r="AX671" s="60">
        <v>189.98</v>
      </c>
      <c r="AY671" s="61">
        <f t="shared" si="276"/>
        <v>1139.8799999999999</v>
      </c>
      <c r="AZ671" s="56">
        <f t="shared" si="271"/>
        <v>2279.7599999999998</v>
      </c>
      <c r="BA671" s="62">
        <f t="shared" ref="BA671:BA677" si="282">AF671</f>
        <v>34199.17</v>
      </c>
      <c r="BB671" s="62">
        <f t="shared" si="277"/>
        <v>32299.279999999988</v>
      </c>
      <c r="BC671" s="62">
        <f t="shared" ref="BC671:BC677" si="283">BA671-BB671</f>
        <v>1899.8900000000103</v>
      </c>
      <c r="BD671" s="63"/>
      <c r="BE671" s="57"/>
      <c r="BF671" s="35" t="str">
        <f>VLOOKUP(A:A,'2023-2027'!A:G,1,+FALSE)</f>
        <v>Камера КСО 393-04 №4</v>
      </c>
      <c r="BG671" s="7" t="b">
        <f t="shared" si="279"/>
        <v>1</v>
      </c>
      <c r="BH671" s="35">
        <f>VLOOKUP(A:A,'2023-2027'!A:AT,43,+FALSE)</f>
        <v>189.98</v>
      </c>
    </row>
    <row r="672" spans="1:60" ht="12" hidden="1" customHeight="1" outlineLevel="1" x14ac:dyDescent="0.2">
      <c r="A672" s="59" t="s">
        <v>1591</v>
      </c>
      <c r="B672" s="59" t="s">
        <v>44</v>
      </c>
      <c r="C672" s="59" t="s">
        <v>82</v>
      </c>
      <c r="D672" s="66" t="s">
        <v>1592</v>
      </c>
      <c r="E672" s="59" t="s">
        <v>282</v>
      </c>
      <c r="F672" s="60">
        <v>87044.07</v>
      </c>
      <c r="G672" s="60">
        <v>58996.76</v>
      </c>
      <c r="H672" s="60">
        <v>28047.31</v>
      </c>
      <c r="I672" s="59"/>
      <c r="J672" s="60">
        <v>5802.86</v>
      </c>
      <c r="K672" s="59"/>
      <c r="L672" s="59"/>
      <c r="M672" s="60">
        <v>87044.07</v>
      </c>
      <c r="N672" s="60">
        <v>64799.62</v>
      </c>
      <c r="O672" s="60">
        <v>22244.45</v>
      </c>
      <c r="P672" s="55"/>
      <c r="Q672" s="55"/>
      <c r="R672" s="61">
        <f t="shared" si="272"/>
        <v>483.57166666666666</v>
      </c>
      <c r="S672" s="60">
        <v>483.57166669999998</v>
      </c>
      <c r="T672" s="60">
        <v>483.57166669999998</v>
      </c>
      <c r="U672" s="60">
        <v>483.57166669999998</v>
      </c>
      <c r="V672" s="60">
        <v>483.57166669999998</v>
      </c>
      <c r="W672" s="60">
        <v>483.57166669999998</v>
      </c>
      <c r="X672" s="61">
        <f t="shared" si="273"/>
        <v>2901.4300001666666</v>
      </c>
      <c r="Y672" s="60">
        <v>483.57166669999998</v>
      </c>
      <c r="Z672" s="60">
        <v>483.57166669999998</v>
      </c>
      <c r="AA672" s="60">
        <v>483.57166669999998</v>
      </c>
      <c r="AB672" s="60">
        <v>483.57166669999998</v>
      </c>
      <c r="AC672" s="60">
        <v>483.57166669999998</v>
      </c>
      <c r="AD672" s="60">
        <v>483.57166669999998</v>
      </c>
      <c r="AE672" s="61">
        <f t="shared" si="274"/>
        <v>2901.4300002</v>
      </c>
      <c r="AF672" s="62">
        <f t="shared" si="281"/>
        <v>87044.07</v>
      </c>
      <c r="AG672" s="62">
        <f t="shared" si="280"/>
        <v>70602.480000366602</v>
      </c>
      <c r="AH672" s="62">
        <f t="shared" si="278"/>
        <v>16441.589999633405</v>
      </c>
      <c r="AI672" s="63"/>
      <c r="AJ672" s="63"/>
      <c r="AK672" s="62"/>
      <c r="AL672" s="60">
        <v>483.57166669999998</v>
      </c>
      <c r="AM672" s="60">
        <v>483.57166669999998</v>
      </c>
      <c r="AN672" s="60">
        <v>483.57166669999998</v>
      </c>
      <c r="AO672" s="60">
        <v>483.57166669999998</v>
      </c>
      <c r="AP672" s="60">
        <v>483.57166669999998</v>
      </c>
      <c r="AQ672" s="60">
        <v>483.57166669999998</v>
      </c>
      <c r="AR672" s="61">
        <f t="shared" si="275"/>
        <v>2901.4300002</v>
      </c>
      <c r="AS672" s="60">
        <v>483.57166669999998</v>
      </c>
      <c r="AT672" s="60">
        <v>483.57166669999998</v>
      </c>
      <c r="AU672" s="60">
        <v>483.57166669999998</v>
      </c>
      <c r="AV672" s="60">
        <v>483.57166669999998</v>
      </c>
      <c r="AW672" s="60">
        <v>483.57166669999998</v>
      </c>
      <c r="AX672" s="60">
        <v>483.57166669999998</v>
      </c>
      <c r="AY672" s="61">
        <f t="shared" si="276"/>
        <v>2901.4300002</v>
      </c>
      <c r="AZ672" s="56">
        <f t="shared" si="271"/>
        <v>5802.8600004</v>
      </c>
      <c r="BA672" s="62">
        <f t="shared" si="282"/>
        <v>87044.07</v>
      </c>
      <c r="BB672" s="62">
        <f t="shared" si="277"/>
        <v>76405.340000766533</v>
      </c>
      <c r="BC672" s="62">
        <f t="shared" si="283"/>
        <v>10638.729999233474</v>
      </c>
      <c r="BD672" s="63"/>
      <c r="BE672" s="57"/>
      <c r="BF672" s="35" t="str">
        <f>VLOOKUP(A:A,'2023-2027'!A:G,1,+FALSE)</f>
        <v>Камера КСО 393-24УЗ №1</v>
      </c>
      <c r="BG672" s="7" t="b">
        <f t="shared" si="279"/>
        <v>1</v>
      </c>
      <c r="BH672" s="35">
        <f>VLOOKUP(A:A,'2023-2027'!A:AT,43,+FALSE)</f>
        <v>483.57166669999998</v>
      </c>
    </row>
    <row r="673" spans="1:60" ht="12" hidden="1" customHeight="1" outlineLevel="1" x14ac:dyDescent="0.2">
      <c r="A673" s="59" t="s">
        <v>1593</v>
      </c>
      <c r="B673" s="59" t="s">
        <v>44</v>
      </c>
      <c r="C673" s="59" t="s">
        <v>82</v>
      </c>
      <c r="D673" s="66" t="s">
        <v>1594</v>
      </c>
      <c r="E673" s="59" t="s">
        <v>282</v>
      </c>
      <c r="F673" s="60">
        <v>87044.07</v>
      </c>
      <c r="G673" s="60">
        <v>58996.76</v>
      </c>
      <c r="H673" s="60">
        <v>28047.31</v>
      </c>
      <c r="I673" s="59"/>
      <c r="J673" s="60">
        <v>5802.86</v>
      </c>
      <c r="K673" s="59"/>
      <c r="L673" s="59"/>
      <c r="M673" s="60">
        <v>87044.07</v>
      </c>
      <c r="N673" s="60">
        <v>64799.62</v>
      </c>
      <c r="O673" s="60">
        <v>22244.45</v>
      </c>
      <c r="P673" s="55"/>
      <c r="Q673" s="55"/>
      <c r="R673" s="61">
        <f t="shared" si="272"/>
        <v>483.57166666666666</v>
      </c>
      <c r="S673" s="60">
        <v>483.57166669999998</v>
      </c>
      <c r="T673" s="60">
        <v>483.57166669999998</v>
      </c>
      <c r="U673" s="60">
        <v>483.57166669999998</v>
      </c>
      <c r="V673" s="60">
        <v>483.57166669999998</v>
      </c>
      <c r="W673" s="60">
        <v>483.57166669999998</v>
      </c>
      <c r="X673" s="61">
        <f t="shared" si="273"/>
        <v>2901.4300001666666</v>
      </c>
      <c r="Y673" s="60">
        <v>483.57166669999998</v>
      </c>
      <c r="Z673" s="60">
        <v>483.57166669999998</v>
      </c>
      <c r="AA673" s="60">
        <v>483.57166669999998</v>
      </c>
      <c r="AB673" s="60">
        <v>483.57166669999998</v>
      </c>
      <c r="AC673" s="60">
        <v>483.57166669999998</v>
      </c>
      <c r="AD673" s="60">
        <v>483.57166669999998</v>
      </c>
      <c r="AE673" s="61">
        <f t="shared" si="274"/>
        <v>2901.4300002</v>
      </c>
      <c r="AF673" s="62">
        <f t="shared" si="281"/>
        <v>87044.07</v>
      </c>
      <c r="AG673" s="62">
        <f t="shared" si="280"/>
        <v>70602.480000366602</v>
      </c>
      <c r="AH673" s="62">
        <f t="shared" si="278"/>
        <v>16441.589999633405</v>
      </c>
      <c r="AI673" s="63"/>
      <c r="AJ673" s="63"/>
      <c r="AK673" s="62"/>
      <c r="AL673" s="60">
        <v>483.57166669999998</v>
      </c>
      <c r="AM673" s="60">
        <v>483.57166669999998</v>
      </c>
      <c r="AN673" s="60">
        <v>483.57166669999998</v>
      </c>
      <c r="AO673" s="60">
        <v>483.57166669999998</v>
      </c>
      <c r="AP673" s="60">
        <v>483.57166669999998</v>
      </c>
      <c r="AQ673" s="60">
        <v>483.57166669999998</v>
      </c>
      <c r="AR673" s="61">
        <f t="shared" si="275"/>
        <v>2901.4300002</v>
      </c>
      <c r="AS673" s="60">
        <v>483.57166669999998</v>
      </c>
      <c r="AT673" s="60">
        <v>483.57166669999998</v>
      </c>
      <c r="AU673" s="60">
        <v>483.57166669999998</v>
      </c>
      <c r="AV673" s="60">
        <v>483.57166669999998</v>
      </c>
      <c r="AW673" s="60">
        <v>483.57166669999998</v>
      </c>
      <c r="AX673" s="60">
        <v>483.57166669999998</v>
      </c>
      <c r="AY673" s="61">
        <f t="shared" si="276"/>
        <v>2901.4300002</v>
      </c>
      <c r="AZ673" s="56">
        <f t="shared" si="271"/>
        <v>5802.8600004</v>
      </c>
      <c r="BA673" s="62">
        <f t="shared" si="282"/>
        <v>87044.07</v>
      </c>
      <c r="BB673" s="62">
        <f t="shared" si="277"/>
        <v>76405.340000766533</v>
      </c>
      <c r="BC673" s="62">
        <f t="shared" si="283"/>
        <v>10638.729999233474</v>
      </c>
      <c r="BD673" s="63"/>
      <c r="BE673" s="57"/>
      <c r="BF673" s="35" t="str">
        <f>VLOOKUP(A:A,'2023-2027'!A:G,1,+FALSE)</f>
        <v>Камера КСО 393-24УЗ №2</v>
      </c>
      <c r="BG673" s="7" t="b">
        <f t="shared" si="279"/>
        <v>1</v>
      </c>
      <c r="BH673" s="35">
        <f>VLOOKUP(A:A,'2023-2027'!A:AT,43,+FALSE)</f>
        <v>483.57166669999998</v>
      </c>
    </row>
    <row r="674" spans="1:60" ht="12" hidden="1" customHeight="1" outlineLevel="1" x14ac:dyDescent="0.2">
      <c r="A674" s="59" t="s">
        <v>1595</v>
      </c>
      <c r="B674" s="59" t="s">
        <v>44</v>
      </c>
      <c r="C674" s="59" t="s">
        <v>82</v>
      </c>
      <c r="D674" s="66" t="s">
        <v>1596</v>
      </c>
      <c r="E674" s="59" t="s">
        <v>282</v>
      </c>
      <c r="F674" s="60">
        <v>87044.07</v>
      </c>
      <c r="G674" s="60">
        <v>58996.76</v>
      </c>
      <c r="H674" s="60">
        <v>28047.31</v>
      </c>
      <c r="I674" s="59"/>
      <c r="J674" s="60">
        <v>5802.86</v>
      </c>
      <c r="K674" s="59"/>
      <c r="L674" s="59"/>
      <c r="M674" s="60">
        <v>87044.07</v>
      </c>
      <c r="N674" s="60">
        <v>64799.62</v>
      </c>
      <c r="O674" s="60">
        <v>22244.45</v>
      </c>
      <c r="P674" s="55"/>
      <c r="Q674" s="55"/>
      <c r="R674" s="61">
        <f t="shared" si="272"/>
        <v>483.57166666666666</v>
      </c>
      <c r="S674" s="60">
        <v>483.57166669999998</v>
      </c>
      <c r="T674" s="60">
        <v>483.57166669999998</v>
      </c>
      <c r="U674" s="60">
        <v>483.57166669999998</v>
      </c>
      <c r="V674" s="60">
        <v>483.57166669999998</v>
      </c>
      <c r="W674" s="60">
        <v>483.57166669999998</v>
      </c>
      <c r="X674" s="61">
        <f t="shared" si="273"/>
        <v>2901.4300001666666</v>
      </c>
      <c r="Y674" s="60">
        <v>483.57166669999998</v>
      </c>
      <c r="Z674" s="60">
        <v>483.57166669999998</v>
      </c>
      <c r="AA674" s="60">
        <v>483.57166669999998</v>
      </c>
      <c r="AB674" s="60">
        <v>483.57166669999998</v>
      </c>
      <c r="AC674" s="60">
        <v>483.57166669999998</v>
      </c>
      <c r="AD674" s="60">
        <v>483.57166669999998</v>
      </c>
      <c r="AE674" s="61">
        <f t="shared" si="274"/>
        <v>2901.4300002</v>
      </c>
      <c r="AF674" s="62">
        <f t="shared" si="281"/>
        <v>87044.07</v>
      </c>
      <c r="AG674" s="62">
        <f t="shared" si="280"/>
        <v>70602.480000366602</v>
      </c>
      <c r="AH674" s="62">
        <f t="shared" si="278"/>
        <v>16441.589999633405</v>
      </c>
      <c r="AI674" s="63"/>
      <c r="AJ674" s="63"/>
      <c r="AK674" s="62"/>
      <c r="AL674" s="60">
        <v>483.57166669999998</v>
      </c>
      <c r="AM674" s="60">
        <v>483.57166669999998</v>
      </c>
      <c r="AN674" s="60">
        <v>483.57166669999998</v>
      </c>
      <c r="AO674" s="60">
        <v>483.57166669999998</v>
      </c>
      <c r="AP674" s="60">
        <v>483.57166669999998</v>
      </c>
      <c r="AQ674" s="60">
        <v>483.57166669999998</v>
      </c>
      <c r="AR674" s="61">
        <f t="shared" si="275"/>
        <v>2901.4300002</v>
      </c>
      <c r="AS674" s="60">
        <v>483.57166669999998</v>
      </c>
      <c r="AT674" s="60">
        <v>483.57166669999998</v>
      </c>
      <c r="AU674" s="60">
        <v>483.57166669999998</v>
      </c>
      <c r="AV674" s="60">
        <v>483.57166669999998</v>
      </c>
      <c r="AW674" s="60">
        <v>483.57166669999998</v>
      </c>
      <c r="AX674" s="60">
        <v>483.57166669999998</v>
      </c>
      <c r="AY674" s="61">
        <f t="shared" si="276"/>
        <v>2901.4300002</v>
      </c>
      <c r="AZ674" s="56">
        <f t="shared" si="271"/>
        <v>5802.8600004</v>
      </c>
      <c r="BA674" s="62">
        <f t="shared" si="282"/>
        <v>87044.07</v>
      </c>
      <c r="BB674" s="62">
        <f t="shared" si="277"/>
        <v>76405.340000766533</v>
      </c>
      <c r="BC674" s="62">
        <f t="shared" si="283"/>
        <v>10638.729999233474</v>
      </c>
      <c r="BD674" s="63"/>
      <c r="BE674" s="57"/>
      <c r="BF674" s="35" t="str">
        <f>VLOOKUP(A:A,'2023-2027'!A:G,1,+FALSE)</f>
        <v>Камера КСО 393-24УЗ №3</v>
      </c>
      <c r="BG674" s="7" t="b">
        <f t="shared" si="279"/>
        <v>1</v>
      </c>
      <c r="BH674" s="35">
        <f>VLOOKUP(A:A,'2023-2027'!A:AT,43,+FALSE)</f>
        <v>483.57166669999998</v>
      </c>
    </row>
    <row r="675" spans="1:60" ht="12" hidden="1" customHeight="1" outlineLevel="1" x14ac:dyDescent="0.2">
      <c r="A675" s="59" t="s">
        <v>1597</v>
      </c>
      <c r="B675" s="59" t="s">
        <v>44</v>
      </c>
      <c r="C675" s="59" t="s">
        <v>82</v>
      </c>
      <c r="D675" s="66" t="s">
        <v>1598</v>
      </c>
      <c r="E675" s="59" t="s">
        <v>282</v>
      </c>
      <c r="F675" s="60">
        <v>87044.06</v>
      </c>
      <c r="G675" s="60">
        <v>58996.76</v>
      </c>
      <c r="H675" s="60">
        <v>28047.3</v>
      </c>
      <c r="I675" s="59"/>
      <c r="J675" s="60">
        <v>5802.85</v>
      </c>
      <c r="K675" s="59"/>
      <c r="L675" s="59"/>
      <c r="M675" s="60">
        <v>87044.06</v>
      </c>
      <c r="N675" s="60">
        <v>64799.61</v>
      </c>
      <c r="O675" s="60">
        <v>22244.45</v>
      </c>
      <c r="P675" s="55"/>
      <c r="Q675" s="55"/>
      <c r="R675" s="61">
        <f t="shared" si="272"/>
        <v>483.57083333333338</v>
      </c>
      <c r="S675" s="60">
        <v>483.5708333</v>
      </c>
      <c r="T675" s="60">
        <v>483.5708333</v>
      </c>
      <c r="U675" s="60">
        <v>483.5708333</v>
      </c>
      <c r="V675" s="60">
        <v>483.5708333</v>
      </c>
      <c r="W675" s="60">
        <v>483.5708333</v>
      </c>
      <c r="X675" s="61">
        <f t="shared" si="273"/>
        <v>2901.4249998333335</v>
      </c>
      <c r="Y675" s="60">
        <v>483.5708333</v>
      </c>
      <c r="Z675" s="60">
        <v>483.5708333</v>
      </c>
      <c r="AA675" s="60">
        <v>483.5708333</v>
      </c>
      <c r="AB675" s="60">
        <v>483.5708333</v>
      </c>
      <c r="AC675" s="60">
        <v>483.5708333</v>
      </c>
      <c r="AD675" s="60">
        <v>483.5708333</v>
      </c>
      <c r="AE675" s="61">
        <f t="shared" si="274"/>
        <v>2901.4249998000005</v>
      </c>
      <c r="AF675" s="62">
        <f t="shared" si="281"/>
        <v>87044.06</v>
      </c>
      <c r="AG675" s="62">
        <f t="shared" si="280"/>
        <v>70602.459999633254</v>
      </c>
      <c r="AH675" s="62">
        <f t="shared" si="278"/>
        <v>16441.600000366743</v>
      </c>
      <c r="AI675" s="63"/>
      <c r="AJ675" s="63"/>
      <c r="AK675" s="62"/>
      <c r="AL675" s="60">
        <v>483.5708333</v>
      </c>
      <c r="AM675" s="60">
        <v>483.5708333</v>
      </c>
      <c r="AN675" s="60">
        <v>483.5708333</v>
      </c>
      <c r="AO675" s="60">
        <v>483.5708333</v>
      </c>
      <c r="AP675" s="60">
        <v>483.5708333</v>
      </c>
      <c r="AQ675" s="60">
        <v>483.5708333</v>
      </c>
      <c r="AR675" s="61">
        <f t="shared" si="275"/>
        <v>2901.4249998000005</v>
      </c>
      <c r="AS675" s="60">
        <v>483.5708333</v>
      </c>
      <c r="AT675" s="60">
        <v>483.5708333</v>
      </c>
      <c r="AU675" s="60">
        <v>483.5708333</v>
      </c>
      <c r="AV675" s="60">
        <v>483.5708333</v>
      </c>
      <c r="AW675" s="60">
        <v>483.5708333</v>
      </c>
      <c r="AX675" s="60">
        <v>483.5708333</v>
      </c>
      <c r="AY675" s="61">
        <f t="shared" si="276"/>
        <v>2901.4249998000005</v>
      </c>
      <c r="AZ675" s="56">
        <f t="shared" si="271"/>
        <v>5802.849999600001</v>
      </c>
      <c r="BA675" s="62">
        <f t="shared" si="282"/>
        <v>87044.06</v>
      </c>
      <c r="BB675" s="62">
        <f t="shared" si="277"/>
        <v>76405.30999923317</v>
      </c>
      <c r="BC675" s="62">
        <f t="shared" si="283"/>
        <v>10638.750000766828</v>
      </c>
      <c r="BD675" s="63"/>
      <c r="BE675" s="57"/>
      <c r="BF675" s="35" t="str">
        <f>VLOOKUP(A:A,'2023-2027'!A:G,1,+FALSE)</f>
        <v>Камера КСО 393-24УЗ №4</v>
      </c>
      <c r="BG675" s="7" t="b">
        <f t="shared" si="279"/>
        <v>1</v>
      </c>
      <c r="BH675" s="35">
        <f>VLOOKUP(A:A,'2023-2027'!A:AT,43,+FALSE)</f>
        <v>483.57166669999998</v>
      </c>
    </row>
    <row r="676" spans="1:60" ht="12" hidden="1" customHeight="1" outlineLevel="1" x14ac:dyDescent="0.2">
      <c r="A676" s="59" t="s">
        <v>1599</v>
      </c>
      <c r="B676" s="59" t="s">
        <v>44</v>
      </c>
      <c r="C676" s="59" t="s">
        <v>82</v>
      </c>
      <c r="D676" s="66" t="s">
        <v>1600</v>
      </c>
      <c r="E676" s="59" t="s">
        <v>1601</v>
      </c>
      <c r="F676" s="60">
        <v>15587.15</v>
      </c>
      <c r="G676" s="60">
        <v>13894.08</v>
      </c>
      <c r="H676" s="60">
        <v>1693.07</v>
      </c>
      <c r="I676" s="59"/>
      <c r="J676" s="68">
        <v>677.24</v>
      </c>
      <c r="K676" s="59"/>
      <c r="L676" s="59"/>
      <c r="M676" s="60">
        <v>15587.15</v>
      </c>
      <c r="N676" s="60">
        <v>14571.32</v>
      </c>
      <c r="O676" s="60">
        <v>1015.83</v>
      </c>
      <c r="P676" s="55"/>
      <c r="Q676" s="55"/>
      <c r="R676" s="61">
        <f t="shared" si="272"/>
        <v>56.436666666666667</v>
      </c>
      <c r="S676" s="60">
        <v>56.436666670000001</v>
      </c>
      <c r="T676" s="60">
        <v>56.436666670000001</v>
      </c>
      <c r="U676" s="60">
        <v>56.436666670000001</v>
      </c>
      <c r="V676" s="60">
        <v>56.436666670000001</v>
      </c>
      <c r="W676" s="60">
        <v>56.436666670000001</v>
      </c>
      <c r="X676" s="61">
        <f t="shared" si="273"/>
        <v>338.62000001666667</v>
      </c>
      <c r="Y676" s="60">
        <v>56.436666670000001</v>
      </c>
      <c r="Z676" s="60">
        <v>56.436666670000001</v>
      </c>
      <c r="AA676" s="60">
        <v>56.436666670000001</v>
      </c>
      <c r="AB676" s="60">
        <v>56.436666670000001</v>
      </c>
      <c r="AC676" s="60">
        <v>56.436666670000001</v>
      </c>
      <c r="AD676" s="60">
        <v>56.436666670000001</v>
      </c>
      <c r="AE676" s="61">
        <f t="shared" si="274"/>
        <v>338.62000002000002</v>
      </c>
      <c r="AF676" s="62">
        <f t="shared" si="281"/>
        <v>15587.15</v>
      </c>
      <c r="AG676" s="62">
        <f t="shared" si="280"/>
        <v>15248.560000036674</v>
      </c>
      <c r="AH676" s="62">
        <f t="shared" si="278"/>
        <v>338.58999996332568</v>
      </c>
      <c r="AI676" s="63"/>
      <c r="AJ676" s="63"/>
      <c r="AK676" s="62"/>
      <c r="AL676" s="60">
        <v>56.436666670000001</v>
      </c>
      <c r="AM676" s="60">
        <v>56.436666670000001</v>
      </c>
      <c r="AN676" s="60">
        <v>56.436666670000001</v>
      </c>
      <c r="AO676" s="60">
        <v>56.436666670000001</v>
      </c>
      <c r="AP676" s="60">
        <v>56.436666670000001</v>
      </c>
      <c r="AQ676" s="60">
        <v>56.405000000000001</v>
      </c>
      <c r="AR676" s="61">
        <f t="shared" si="275"/>
        <v>338.58833334999997</v>
      </c>
      <c r="AS676" s="60"/>
      <c r="AT676" s="60"/>
      <c r="AU676" s="60"/>
      <c r="AV676" s="60"/>
      <c r="AW676" s="60"/>
      <c r="AX676" s="60"/>
      <c r="AY676" s="61">
        <f t="shared" si="276"/>
        <v>0</v>
      </c>
      <c r="AZ676" s="56">
        <f t="shared" si="271"/>
        <v>338.58833334999997</v>
      </c>
      <c r="BA676" s="62">
        <f t="shared" si="282"/>
        <v>15587.15</v>
      </c>
      <c r="BB676" s="62">
        <f t="shared" si="277"/>
        <v>15587.148333386678</v>
      </c>
      <c r="BC676" s="62">
        <f t="shared" si="283"/>
        <v>1.6666133215039736E-3</v>
      </c>
      <c r="BD676" s="63"/>
      <c r="BE676" s="57"/>
      <c r="BF676" s="35" t="str">
        <f>VLOOKUP(A:A,'2023-2027'!A:G,1,+FALSE)</f>
        <v>Камера КСО-366-3 2001г</v>
      </c>
      <c r="BG676" s="7" t="b">
        <f t="shared" si="279"/>
        <v>1</v>
      </c>
      <c r="BH676" s="35">
        <f>VLOOKUP(A:A,'2023-2027'!A:AT,43,+FALSE)</f>
        <v>56.480000000000011</v>
      </c>
    </row>
    <row r="677" spans="1:60" ht="12" hidden="1" customHeight="1" outlineLevel="1" x14ac:dyDescent="0.2">
      <c r="A677" s="59" t="s">
        <v>1602</v>
      </c>
      <c r="B677" s="59" t="s">
        <v>44</v>
      </c>
      <c r="C677" s="59" t="s">
        <v>82</v>
      </c>
      <c r="D677" s="66" t="s">
        <v>1603</v>
      </c>
      <c r="E677" s="59" t="s">
        <v>1601</v>
      </c>
      <c r="F677" s="60">
        <v>13306.52</v>
      </c>
      <c r="G677" s="60">
        <v>11859.66</v>
      </c>
      <c r="H677" s="60">
        <v>1446.86</v>
      </c>
      <c r="I677" s="59"/>
      <c r="J677" s="68">
        <v>578.76</v>
      </c>
      <c r="K677" s="59"/>
      <c r="L677" s="59"/>
      <c r="M677" s="60">
        <v>13306.52</v>
      </c>
      <c r="N677" s="60">
        <v>12438.42</v>
      </c>
      <c r="O677" s="68">
        <v>868.1</v>
      </c>
      <c r="P677" s="82"/>
      <c r="Q677" s="82"/>
      <c r="R677" s="61">
        <f t="shared" si="272"/>
        <v>48.23</v>
      </c>
      <c r="S677" s="60">
        <v>48.23</v>
      </c>
      <c r="T677" s="60">
        <v>48.23</v>
      </c>
      <c r="U677" s="60">
        <v>48.23</v>
      </c>
      <c r="V677" s="60">
        <v>48.23</v>
      </c>
      <c r="W677" s="60">
        <v>48.23</v>
      </c>
      <c r="X677" s="61">
        <f t="shared" si="273"/>
        <v>289.38</v>
      </c>
      <c r="Y677" s="60">
        <v>48.23</v>
      </c>
      <c r="Z677" s="60">
        <v>48.23</v>
      </c>
      <c r="AA677" s="60">
        <v>48.23</v>
      </c>
      <c r="AB677" s="60">
        <v>48.23</v>
      </c>
      <c r="AC677" s="60">
        <v>48.23</v>
      </c>
      <c r="AD677" s="60">
        <v>48.23</v>
      </c>
      <c r="AE677" s="61">
        <f t="shared" si="274"/>
        <v>289.38</v>
      </c>
      <c r="AF677" s="62">
        <f t="shared" si="281"/>
        <v>13306.52</v>
      </c>
      <c r="AG677" s="62">
        <f t="shared" si="280"/>
        <v>13017.179999999995</v>
      </c>
      <c r="AH677" s="62">
        <f t="shared" si="278"/>
        <v>289.3400000000056</v>
      </c>
      <c r="AI677" s="63"/>
      <c r="AJ677" s="63"/>
      <c r="AK677" s="62"/>
      <c r="AL677" s="60">
        <v>48.23</v>
      </c>
      <c r="AM677" s="60">
        <v>48.23</v>
      </c>
      <c r="AN677" s="60">
        <v>48.23</v>
      </c>
      <c r="AO677" s="60">
        <v>48.23</v>
      </c>
      <c r="AP677" s="60">
        <v>48.23</v>
      </c>
      <c r="AQ677" s="60">
        <v>48.19</v>
      </c>
      <c r="AR677" s="61">
        <f t="shared" si="275"/>
        <v>289.33999999999997</v>
      </c>
      <c r="AS677" s="60"/>
      <c r="AT677" s="60"/>
      <c r="AU677" s="60"/>
      <c r="AV677" s="60"/>
      <c r="AW677" s="60"/>
      <c r="AX677" s="60"/>
      <c r="AY677" s="61">
        <f t="shared" si="276"/>
        <v>0</v>
      </c>
      <c r="AZ677" s="56">
        <f t="shared" si="271"/>
        <v>289.33999999999997</v>
      </c>
      <c r="BA677" s="62">
        <f t="shared" si="282"/>
        <v>13306.52</v>
      </c>
      <c r="BB677" s="62">
        <f t="shared" si="277"/>
        <v>13306.519999999993</v>
      </c>
      <c r="BC677" s="62">
        <f t="shared" si="283"/>
        <v>0</v>
      </c>
      <c r="BD677" s="63"/>
      <c r="BE677" s="57"/>
      <c r="BF677" s="35" t="str">
        <f>VLOOKUP(A:A,'2023-2027'!A:G,1,+FALSE)</f>
        <v>Камера КСО-386-1 2001г</v>
      </c>
      <c r="BG677" s="7" t="b">
        <f t="shared" si="279"/>
        <v>1</v>
      </c>
      <c r="BH677" s="35">
        <f>VLOOKUP(A:A,'2023-2027'!A:AT,43,+FALSE)</f>
        <v>48.21</v>
      </c>
    </row>
    <row r="678" spans="1:60" ht="48" hidden="1" customHeight="1" outlineLevel="1" x14ac:dyDescent="0.2">
      <c r="A678" s="59" t="s">
        <v>1604</v>
      </c>
      <c r="B678" s="59" t="s">
        <v>44</v>
      </c>
      <c r="C678" s="59" t="s">
        <v>82</v>
      </c>
      <c r="D678" s="66" t="s">
        <v>1605</v>
      </c>
      <c r="E678" s="59" t="s">
        <v>1385</v>
      </c>
      <c r="F678" s="60">
        <v>451297.63</v>
      </c>
      <c r="G678" s="60">
        <v>340775.55</v>
      </c>
      <c r="H678" s="60">
        <v>110522.08</v>
      </c>
      <c r="I678" s="59"/>
      <c r="J678" s="60">
        <v>33770.660000000003</v>
      </c>
      <c r="K678" s="60">
        <v>451297.63</v>
      </c>
      <c r="L678" s="60">
        <v>374546.21</v>
      </c>
      <c r="M678" s="59"/>
      <c r="N678" s="59"/>
      <c r="O678" s="59"/>
      <c r="P678" s="67"/>
      <c r="Q678" s="67"/>
      <c r="R678" s="61"/>
      <c r="S678" s="60"/>
      <c r="T678" s="60"/>
      <c r="U678" s="60"/>
      <c r="V678" s="60"/>
      <c r="W678" s="60"/>
      <c r="X678" s="61">
        <f t="shared" si="273"/>
        <v>0</v>
      </c>
      <c r="Y678" s="60"/>
      <c r="Z678" s="60"/>
      <c r="AA678" s="60"/>
      <c r="AB678" s="60"/>
      <c r="AC678" s="60"/>
      <c r="AD678" s="60"/>
      <c r="AE678" s="61">
        <f t="shared" si="274"/>
        <v>0</v>
      </c>
      <c r="AF678" s="62"/>
      <c r="AG678" s="62">
        <f t="shared" si="280"/>
        <v>0</v>
      </c>
      <c r="AH678" s="62"/>
      <c r="AI678" s="63"/>
      <c r="AJ678" s="63"/>
      <c r="AK678" s="62"/>
      <c r="AL678" s="60"/>
      <c r="AM678" s="60"/>
      <c r="AN678" s="60"/>
      <c r="AO678" s="60"/>
      <c r="AP678" s="60"/>
      <c r="AQ678" s="60"/>
      <c r="AR678" s="61">
        <f t="shared" si="275"/>
        <v>0</v>
      </c>
      <c r="AS678" s="60"/>
      <c r="AT678" s="60"/>
      <c r="AU678" s="60"/>
      <c r="AV678" s="60"/>
      <c r="AW678" s="60"/>
      <c r="AX678" s="60"/>
      <c r="AY678" s="61">
        <f t="shared" si="276"/>
        <v>0</v>
      </c>
      <c r="AZ678" s="56">
        <f t="shared" si="271"/>
        <v>0</v>
      </c>
      <c r="BA678" s="62"/>
      <c r="BB678" s="62">
        <f t="shared" si="277"/>
        <v>0</v>
      </c>
      <c r="BC678" s="62"/>
      <c r="BD678" s="63"/>
      <c r="BE678" s="57"/>
      <c r="BF678" s="35" t="str">
        <f>VLOOKUP(A:A,'2023-2027'!A:G,1,+FALSE)</f>
        <v>Камера сборная одностороннего обслуживания КСО-298-8ВВ-630-УЗ зав.№124-1</v>
      </c>
      <c r="BG678" s="7" t="b">
        <f t="shared" si="279"/>
        <v>1</v>
      </c>
      <c r="BH678" s="35">
        <f>VLOOKUP(A:A,'2023-2027'!A:AT,43,+FALSE)</f>
        <v>0</v>
      </c>
    </row>
    <row r="679" spans="1:60" ht="48" hidden="1" customHeight="1" outlineLevel="1" x14ac:dyDescent="0.2">
      <c r="A679" s="59" t="s">
        <v>1606</v>
      </c>
      <c r="B679" s="59" t="s">
        <v>44</v>
      </c>
      <c r="C679" s="59" t="s">
        <v>82</v>
      </c>
      <c r="D679" s="66" t="s">
        <v>1607</v>
      </c>
      <c r="E679" s="59" t="s">
        <v>1385</v>
      </c>
      <c r="F679" s="60">
        <v>451297.63</v>
      </c>
      <c r="G679" s="60">
        <v>340775.55</v>
      </c>
      <c r="H679" s="60">
        <v>110522.08</v>
      </c>
      <c r="I679" s="59"/>
      <c r="J679" s="60">
        <v>36840.720000000001</v>
      </c>
      <c r="K679" s="59"/>
      <c r="L679" s="59"/>
      <c r="M679" s="60">
        <v>451297.63</v>
      </c>
      <c r="N679" s="60">
        <v>377616.27</v>
      </c>
      <c r="O679" s="60">
        <v>73681.36</v>
      </c>
      <c r="P679" s="55"/>
      <c r="Q679" s="55"/>
      <c r="R679" s="61">
        <f t="shared" si="272"/>
        <v>3070.06</v>
      </c>
      <c r="S679" s="60">
        <v>3070.06</v>
      </c>
      <c r="T679" s="60">
        <v>3070.06</v>
      </c>
      <c r="U679" s="60">
        <v>3070.06</v>
      </c>
      <c r="V679" s="60">
        <v>3070.06</v>
      </c>
      <c r="W679" s="60">
        <v>3070.06</v>
      </c>
      <c r="X679" s="61">
        <f t="shared" si="273"/>
        <v>18420.36</v>
      </c>
      <c r="Y679" s="60">
        <v>3070.06</v>
      </c>
      <c r="Z679" s="60">
        <v>3070.06</v>
      </c>
      <c r="AA679" s="60">
        <v>3070.06</v>
      </c>
      <c r="AB679" s="60">
        <v>3070.06</v>
      </c>
      <c r="AC679" s="60">
        <v>3070.06</v>
      </c>
      <c r="AD679" s="60">
        <v>3070.06</v>
      </c>
      <c r="AE679" s="61">
        <f t="shared" si="274"/>
        <v>18420.36</v>
      </c>
      <c r="AF679" s="62">
        <f t="shared" si="281"/>
        <v>451297.63</v>
      </c>
      <c r="AG679" s="62">
        <f t="shared" si="280"/>
        <v>414456.99</v>
      </c>
      <c r="AH679" s="62">
        <f t="shared" si="278"/>
        <v>36840.640000000014</v>
      </c>
      <c r="AI679" s="63"/>
      <c r="AJ679" s="63"/>
      <c r="AK679" s="62"/>
      <c r="AL679" s="60">
        <v>3070.06</v>
      </c>
      <c r="AM679" s="60">
        <v>3070.06</v>
      </c>
      <c r="AN679" s="60">
        <v>3070.06</v>
      </c>
      <c r="AO679" s="60">
        <v>3070.06</v>
      </c>
      <c r="AP679" s="60">
        <v>3070.06</v>
      </c>
      <c r="AQ679" s="60">
        <v>3070.06</v>
      </c>
      <c r="AR679" s="61">
        <f t="shared" si="275"/>
        <v>18420.36</v>
      </c>
      <c r="AS679" s="60">
        <v>3070.06</v>
      </c>
      <c r="AT679" s="60">
        <v>3070.06</v>
      </c>
      <c r="AU679" s="60">
        <v>3070.06</v>
      </c>
      <c r="AV679" s="60">
        <v>3070.06</v>
      </c>
      <c r="AW679" s="60">
        <v>3070.06</v>
      </c>
      <c r="AX679" s="60">
        <v>3069.98</v>
      </c>
      <c r="AY679" s="61">
        <f t="shared" si="276"/>
        <v>18420.28</v>
      </c>
      <c r="AZ679" s="56">
        <f t="shared" si="271"/>
        <v>36840.639999999999</v>
      </c>
      <c r="BA679" s="62">
        <f t="shared" ref="BA679" si="284">AF679</f>
        <v>451297.63</v>
      </c>
      <c r="BB679" s="62">
        <f t="shared" si="277"/>
        <v>451297.62999999995</v>
      </c>
      <c r="BC679" s="62">
        <f t="shared" ref="BC679" si="285">BA679-BB679</f>
        <v>0</v>
      </c>
      <c r="BD679" s="63"/>
      <c r="BE679" s="57"/>
      <c r="BF679" s="35" t="str">
        <f>VLOOKUP(A:A,'2023-2027'!A:G,1,+FALSE)</f>
        <v>Камера сборная одностороннего обслуживания КСО-298-8ВВ-630-УЗ зав.№124-2</v>
      </c>
      <c r="BG679" s="7" t="b">
        <f t="shared" si="279"/>
        <v>1</v>
      </c>
      <c r="BH679" s="35">
        <f>VLOOKUP(A:A,'2023-2027'!A:AT,43,+FALSE)</f>
        <v>0</v>
      </c>
    </row>
    <row r="680" spans="1:60" ht="48" hidden="1" customHeight="1" outlineLevel="1" x14ac:dyDescent="0.2">
      <c r="A680" s="59" t="s">
        <v>1608</v>
      </c>
      <c r="B680" s="59" t="s">
        <v>44</v>
      </c>
      <c r="C680" s="59" t="s">
        <v>82</v>
      </c>
      <c r="D680" s="66" t="s">
        <v>1609</v>
      </c>
      <c r="E680" s="59" t="s">
        <v>1385</v>
      </c>
      <c r="F680" s="60">
        <v>451297.63</v>
      </c>
      <c r="G680" s="60">
        <v>340775.55</v>
      </c>
      <c r="H680" s="60">
        <v>110522.08</v>
      </c>
      <c r="I680" s="59"/>
      <c r="J680" s="60">
        <v>33770.660000000003</v>
      </c>
      <c r="K680" s="60">
        <v>451297.63</v>
      </c>
      <c r="L680" s="60">
        <v>374546.21</v>
      </c>
      <c r="M680" s="59"/>
      <c r="N680" s="59"/>
      <c r="O680" s="59"/>
      <c r="P680" s="67"/>
      <c r="Q680" s="67"/>
      <c r="R680" s="61"/>
      <c r="S680" s="60"/>
      <c r="T680" s="60"/>
      <c r="U680" s="60"/>
      <c r="V680" s="60"/>
      <c r="W680" s="60"/>
      <c r="X680" s="61">
        <f t="shared" si="273"/>
        <v>0</v>
      </c>
      <c r="Y680" s="60"/>
      <c r="Z680" s="60"/>
      <c r="AA680" s="60"/>
      <c r="AB680" s="60"/>
      <c r="AC680" s="60"/>
      <c r="AD680" s="60"/>
      <c r="AE680" s="61">
        <f t="shared" si="274"/>
        <v>0</v>
      </c>
      <c r="AF680" s="62"/>
      <c r="AG680" s="62">
        <f t="shared" si="280"/>
        <v>0</v>
      </c>
      <c r="AH680" s="62"/>
      <c r="AI680" s="63"/>
      <c r="AJ680" s="63"/>
      <c r="AK680" s="62"/>
      <c r="AL680" s="60"/>
      <c r="AM680" s="60"/>
      <c r="AN680" s="60"/>
      <c r="AO680" s="60"/>
      <c r="AP680" s="60"/>
      <c r="AQ680" s="60"/>
      <c r="AR680" s="61">
        <f t="shared" si="275"/>
        <v>0</v>
      </c>
      <c r="AS680" s="60"/>
      <c r="AT680" s="60"/>
      <c r="AU680" s="60"/>
      <c r="AV680" s="60"/>
      <c r="AW680" s="60"/>
      <c r="AX680" s="60"/>
      <c r="AY680" s="61">
        <f t="shared" si="276"/>
        <v>0</v>
      </c>
      <c r="AZ680" s="56">
        <f t="shared" si="271"/>
        <v>0</v>
      </c>
      <c r="BA680" s="62"/>
      <c r="BB680" s="62">
        <f t="shared" si="277"/>
        <v>0</v>
      </c>
      <c r="BC680" s="62"/>
      <c r="BD680" s="63"/>
      <c r="BE680" s="57"/>
      <c r="BF680" s="35" t="str">
        <f>VLOOKUP(A:A,'2023-2027'!A:G,1,+FALSE)</f>
        <v>Камера сборная одностороннего обслуживания КСО-298-8ВВ-630-УЗ зав.№124-3</v>
      </c>
      <c r="BG680" s="7" t="b">
        <f t="shared" si="279"/>
        <v>1</v>
      </c>
      <c r="BH680" s="35">
        <f>VLOOKUP(A:A,'2023-2027'!A:AT,43,+FALSE)</f>
        <v>0</v>
      </c>
    </row>
    <row r="681" spans="1:60" ht="48" hidden="1" customHeight="1" outlineLevel="1" x14ac:dyDescent="0.2">
      <c r="A681" s="59" t="s">
        <v>1610</v>
      </c>
      <c r="B681" s="59" t="s">
        <v>44</v>
      </c>
      <c r="C681" s="59" t="s">
        <v>82</v>
      </c>
      <c r="D681" s="66" t="s">
        <v>1611</v>
      </c>
      <c r="E681" s="59" t="s">
        <v>1385</v>
      </c>
      <c r="F681" s="60">
        <v>451297.63</v>
      </c>
      <c r="G681" s="60">
        <v>340775.55</v>
      </c>
      <c r="H681" s="60">
        <v>110522.08</v>
      </c>
      <c r="I681" s="59"/>
      <c r="J681" s="60">
        <v>36840.720000000001</v>
      </c>
      <c r="K681" s="59"/>
      <c r="L681" s="59"/>
      <c r="M681" s="60">
        <v>451297.63</v>
      </c>
      <c r="N681" s="60">
        <v>377616.27</v>
      </c>
      <c r="O681" s="60">
        <v>73681.36</v>
      </c>
      <c r="P681" s="55"/>
      <c r="Q681" s="55"/>
      <c r="R681" s="61">
        <f t="shared" si="272"/>
        <v>3070.06</v>
      </c>
      <c r="S681" s="60">
        <v>3070.06</v>
      </c>
      <c r="T681" s="60">
        <v>3070.06</v>
      </c>
      <c r="U681" s="60">
        <v>3070.06</v>
      </c>
      <c r="V681" s="60">
        <v>3070.06</v>
      </c>
      <c r="W681" s="60">
        <v>3070.06</v>
      </c>
      <c r="X681" s="61">
        <f t="shared" si="273"/>
        <v>18420.36</v>
      </c>
      <c r="Y681" s="60">
        <v>3070.06</v>
      </c>
      <c r="Z681" s="60">
        <v>3070.06</v>
      </c>
      <c r="AA681" s="60">
        <v>3070.06</v>
      </c>
      <c r="AB681" s="60">
        <v>3070.06</v>
      </c>
      <c r="AC681" s="60">
        <v>3070.06</v>
      </c>
      <c r="AD681" s="60">
        <v>3070.06</v>
      </c>
      <c r="AE681" s="61">
        <f t="shared" si="274"/>
        <v>18420.36</v>
      </c>
      <c r="AF681" s="62">
        <f t="shared" si="281"/>
        <v>451297.63</v>
      </c>
      <c r="AG681" s="62">
        <f t="shared" si="280"/>
        <v>414456.99</v>
      </c>
      <c r="AH681" s="62">
        <f t="shared" si="278"/>
        <v>36840.640000000014</v>
      </c>
      <c r="AI681" s="63"/>
      <c r="AJ681" s="63"/>
      <c r="AK681" s="62"/>
      <c r="AL681" s="60">
        <v>3070.06</v>
      </c>
      <c r="AM681" s="60">
        <v>3070.06</v>
      </c>
      <c r="AN681" s="60">
        <v>3070.06</v>
      </c>
      <c r="AO681" s="60">
        <v>3070.06</v>
      </c>
      <c r="AP681" s="60">
        <v>3070.06</v>
      </c>
      <c r="AQ681" s="60">
        <v>3070.06</v>
      </c>
      <c r="AR681" s="61">
        <f t="shared" si="275"/>
        <v>18420.36</v>
      </c>
      <c r="AS681" s="60">
        <v>3070.06</v>
      </c>
      <c r="AT681" s="60">
        <v>3070.06</v>
      </c>
      <c r="AU681" s="60">
        <v>3070.06</v>
      </c>
      <c r="AV681" s="60">
        <v>3070.06</v>
      </c>
      <c r="AW681" s="60">
        <v>3070.06</v>
      </c>
      <c r="AX681" s="60">
        <v>3069.98</v>
      </c>
      <c r="AY681" s="61">
        <f t="shared" si="276"/>
        <v>18420.28</v>
      </c>
      <c r="AZ681" s="56">
        <f t="shared" si="271"/>
        <v>36840.639999999999</v>
      </c>
      <c r="BA681" s="62">
        <f t="shared" ref="BA681:BA744" si="286">AF681</f>
        <v>451297.63</v>
      </c>
      <c r="BB681" s="62">
        <f t="shared" si="277"/>
        <v>451297.62999999995</v>
      </c>
      <c r="BC681" s="62">
        <f t="shared" ref="BC681:BC744" si="287">BA681-BB681</f>
        <v>0</v>
      </c>
      <c r="BD681" s="63"/>
      <c r="BE681" s="57"/>
      <c r="BF681" s="35" t="str">
        <f>VLOOKUP(A:A,'2023-2027'!A:G,1,+FALSE)</f>
        <v>Камера сборная одностороннего обслуживания КСО-298-8ВВ-630-УЗ зав.№124-4</v>
      </c>
      <c r="BG681" s="7" t="b">
        <f t="shared" si="279"/>
        <v>1</v>
      </c>
      <c r="BH681" s="35">
        <f>VLOOKUP(A:A,'2023-2027'!A:AT,43,+FALSE)</f>
        <v>0</v>
      </c>
    </row>
    <row r="682" spans="1:60" ht="48" hidden="1" customHeight="1" outlineLevel="1" x14ac:dyDescent="0.2">
      <c r="A682" s="59" t="s">
        <v>1612</v>
      </c>
      <c r="B682" s="59" t="s">
        <v>44</v>
      </c>
      <c r="C682" s="59" t="s">
        <v>82</v>
      </c>
      <c r="D682" s="66" t="s">
        <v>1613</v>
      </c>
      <c r="E682" s="59" t="s">
        <v>1385</v>
      </c>
      <c r="F682" s="60">
        <v>451297.63</v>
      </c>
      <c r="G682" s="60">
        <v>340775.55</v>
      </c>
      <c r="H682" s="60">
        <v>110522.08</v>
      </c>
      <c r="I682" s="59"/>
      <c r="J682" s="60">
        <v>36840.720000000001</v>
      </c>
      <c r="K682" s="59"/>
      <c r="L682" s="59"/>
      <c r="M682" s="60">
        <v>451297.63</v>
      </c>
      <c r="N682" s="60">
        <v>377616.27</v>
      </c>
      <c r="O682" s="60">
        <v>73681.36</v>
      </c>
      <c r="P682" s="55"/>
      <c r="Q682" s="55"/>
      <c r="R682" s="61">
        <f t="shared" si="272"/>
        <v>3070.06</v>
      </c>
      <c r="S682" s="60">
        <v>3070.06</v>
      </c>
      <c r="T682" s="60">
        <v>3070.06</v>
      </c>
      <c r="U682" s="60">
        <v>3070.06</v>
      </c>
      <c r="V682" s="60">
        <v>3070.06</v>
      </c>
      <c r="W682" s="60">
        <v>3070.06</v>
      </c>
      <c r="X682" s="61">
        <f t="shared" si="273"/>
        <v>18420.36</v>
      </c>
      <c r="Y682" s="60">
        <v>3070.06</v>
      </c>
      <c r="Z682" s="60">
        <v>3070.06</v>
      </c>
      <c r="AA682" s="60">
        <v>3070.06</v>
      </c>
      <c r="AB682" s="60">
        <v>3070.06</v>
      </c>
      <c r="AC682" s="60">
        <v>3070.06</v>
      </c>
      <c r="AD682" s="60">
        <v>3070.06</v>
      </c>
      <c r="AE682" s="61">
        <f t="shared" si="274"/>
        <v>18420.36</v>
      </c>
      <c r="AF682" s="62">
        <f t="shared" si="281"/>
        <v>451297.63</v>
      </c>
      <c r="AG682" s="62">
        <f t="shared" si="280"/>
        <v>414456.99</v>
      </c>
      <c r="AH682" s="62">
        <f t="shared" si="278"/>
        <v>36840.640000000014</v>
      </c>
      <c r="AI682" s="63"/>
      <c r="AJ682" s="63"/>
      <c r="AK682" s="62"/>
      <c r="AL682" s="60">
        <v>3070.06</v>
      </c>
      <c r="AM682" s="60">
        <v>3070.06</v>
      </c>
      <c r="AN682" s="60">
        <v>3070.06</v>
      </c>
      <c r="AO682" s="60">
        <v>3070.06</v>
      </c>
      <c r="AP682" s="60">
        <v>3070.06</v>
      </c>
      <c r="AQ682" s="60">
        <v>3070.06</v>
      </c>
      <c r="AR682" s="61">
        <f t="shared" si="275"/>
        <v>18420.36</v>
      </c>
      <c r="AS682" s="60">
        <v>3070.06</v>
      </c>
      <c r="AT682" s="60">
        <v>3070.06</v>
      </c>
      <c r="AU682" s="60">
        <v>3070.06</v>
      </c>
      <c r="AV682" s="60">
        <v>3070.06</v>
      </c>
      <c r="AW682" s="60">
        <v>3070.06</v>
      </c>
      <c r="AX682" s="60">
        <v>3069.98</v>
      </c>
      <c r="AY682" s="61">
        <f t="shared" si="276"/>
        <v>18420.28</v>
      </c>
      <c r="AZ682" s="56">
        <f t="shared" si="271"/>
        <v>36840.639999999999</v>
      </c>
      <c r="BA682" s="62">
        <f t="shared" si="286"/>
        <v>451297.63</v>
      </c>
      <c r="BB682" s="62">
        <f t="shared" si="277"/>
        <v>451297.62999999995</v>
      </c>
      <c r="BC682" s="62">
        <f t="shared" si="287"/>
        <v>0</v>
      </c>
      <c r="BD682" s="63"/>
      <c r="BE682" s="57"/>
      <c r="BF682" s="35" t="str">
        <f>VLOOKUP(A:A,'2023-2027'!A:G,1,+FALSE)</f>
        <v>Камера сборная одностороннего обслуживания КСО-298-8ВВ-630-УЗ зав.№124-5</v>
      </c>
      <c r="BG682" s="7" t="b">
        <f t="shared" si="279"/>
        <v>1</v>
      </c>
      <c r="BH682" s="35">
        <f>VLOOKUP(A:A,'2023-2027'!A:AT,43,+FALSE)</f>
        <v>0</v>
      </c>
    </row>
    <row r="683" spans="1:60" ht="24" hidden="1" customHeight="1" outlineLevel="1" x14ac:dyDescent="0.2">
      <c r="A683" s="59" t="s">
        <v>2469</v>
      </c>
      <c r="B683" s="59" t="s">
        <v>44</v>
      </c>
      <c r="C683" s="59" t="s">
        <v>82</v>
      </c>
      <c r="D683" s="66" t="s">
        <v>1614</v>
      </c>
      <c r="E683" s="59" t="s">
        <v>1557</v>
      </c>
      <c r="F683" s="60">
        <v>85301.6</v>
      </c>
      <c r="G683" s="60">
        <v>70611.100000000006</v>
      </c>
      <c r="H683" s="60">
        <v>14690.5</v>
      </c>
      <c r="I683" s="59"/>
      <c r="J683" s="60">
        <v>5686.68</v>
      </c>
      <c r="K683" s="59"/>
      <c r="L683" s="59"/>
      <c r="M683" s="60">
        <v>85301.6</v>
      </c>
      <c r="N683" s="60">
        <v>76297.78</v>
      </c>
      <c r="O683" s="60">
        <v>9003.82</v>
      </c>
      <c r="P683" s="55"/>
      <c r="Q683" s="55"/>
      <c r="R683" s="61">
        <f t="shared" si="272"/>
        <v>473.89000000000004</v>
      </c>
      <c r="S683" s="60">
        <v>473.89</v>
      </c>
      <c r="T683" s="60">
        <v>473.89</v>
      </c>
      <c r="U683" s="60">
        <v>473.89</v>
      </c>
      <c r="V683" s="60">
        <v>473.89</v>
      </c>
      <c r="W683" s="60">
        <v>473.89</v>
      </c>
      <c r="X683" s="61">
        <f t="shared" si="273"/>
        <v>2843.3399999999997</v>
      </c>
      <c r="Y683" s="60">
        <v>473.89</v>
      </c>
      <c r="Z683" s="60">
        <v>473.89</v>
      </c>
      <c r="AA683" s="60">
        <v>473.89</v>
      </c>
      <c r="AB683" s="60">
        <v>473.89</v>
      </c>
      <c r="AC683" s="60">
        <v>473.89</v>
      </c>
      <c r="AD683" s="60">
        <v>473.89</v>
      </c>
      <c r="AE683" s="61">
        <f t="shared" si="274"/>
        <v>2843.3399999999997</v>
      </c>
      <c r="AF683" s="62">
        <f t="shared" si="281"/>
        <v>85301.6</v>
      </c>
      <c r="AG683" s="62">
        <f t="shared" si="280"/>
        <v>81984.459999999992</v>
      </c>
      <c r="AH683" s="62">
        <f t="shared" si="278"/>
        <v>3317.140000000014</v>
      </c>
      <c r="AI683" s="63"/>
      <c r="AJ683" s="63"/>
      <c r="AK683" s="62"/>
      <c r="AL683" s="60">
        <v>473.89</v>
      </c>
      <c r="AM683" s="60">
        <v>473.89</v>
      </c>
      <c r="AN683" s="60">
        <v>473.89</v>
      </c>
      <c r="AO683" s="60">
        <v>473.89</v>
      </c>
      <c r="AP683" s="60">
        <v>473.89</v>
      </c>
      <c r="AQ683" s="60">
        <v>473.89</v>
      </c>
      <c r="AR683" s="61">
        <f t="shared" si="275"/>
        <v>2843.3399999999997</v>
      </c>
      <c r="AS683" s="60">
        <v>473.8</v>
      </c>
      <c r="AT683" s="60"/>
      <c r="AU683" s="60"/>
      <c r="AV683" s="60"/>
      <c r="AW683" s="60"/>
      <c r="AX683" s="60"/>
      <c r="AY683" s="61">
        <f t="shared" si="276"/>
        <v>473.8</v>
      </c>
      <c r="AZ683" s="56">
        <f t="shared" si="271"/>
        <v>3317.14</v>
      </c>
      <c r="BA683" s="62">
        <f t="shared" si="286"/>
        <v>85301.6</v>
      </c>
      <c r="BB683" s="62">
        <f t="shared" si="277"/>
        <v>85301.599999999991</v>
      </c>
      <c r="BC683" s="62">
        <f t="shared" si="287"/>
        <v>0</v>
      </c>
      <c r="BD683" s="63"/>
      <c r="BE683" s="57"/>
      <c r="BF683" s="35" t="str">
        <f>VLOOKUP(A:A,'2023-2027'!A:G,1,+FALSE)</f>
        <v>Камеры в/в КСО 393 №2 01/09-828</v>
      </c>
      <c r="BG683" s="7" t="b">
        <f t="shared" si="279"/>
        <v>1</v>
      </c>
      <c r="BH683" s="35">
        <f>VLOOKUP(A:A,'2023-2027'!A:AT,43,+FALSE)</f>
        <v>473.89999999999992</v>
      </c>
    </row>
    <row r="684" spans="1:60" ht="24" hidden="1" customHeight="1" outlineLevel="1" x14ac:dyDescent="0.2">
      <c r="A684" s="59" t="s">
        <v>2470</v>
      </c>
      <c r="B684" s="59" t="s">
        <v>44</v>
      </c>
      <c r="C684" s="59" t="s">
        <v>82</v>
      </c>
      <c r="D684" s="66" t="s">
        <v>1615</v>
      </c>
      <c r="E684" s="59" t="s">
        <v>1557</v>
      </c>
      <c r="F684" s="60">
        <v>86139.6</v>
      </c>
      <c r="G684" s="60">
        <v>71303.95</v>
      </c>
      <c r="H684" s="60">
        <v>14835.65</v>
      </c>
      <c r="I684" s="59"/>
      <c r="J684" s="60">
        <v>5742.84</v>
      </c>
      <c r="K684" s="59"/>
      <c r="L684" s="59"/>
      <c r="M684" s="60">
        <v>86139.6</v>
      </c>
      <c r="N684" s="60">
        <v>77046.789999999994</v>
      </c>
      <c r="O684" s="60">
        <v>9092.81</v>
      </c>
      <c r="P684" s="55"/>
      <c r="Q684" s="55"/>
      <c r="R684" s="61">
        <f t="shared" si="272"/>
        <v>478.57</v>
      </c>
      <c r="S684" s="60">
        <v>478.57</v>
      </c>
      <c r="T684" s="60">
        <v>478.57</v>
      </c>
      <c r="U684" s="60">
        <v>478.57</v>
      </c>
      <c r="V684" s="60">
        <v>478.57</v>
      </c>
      <c r="W684" s="60">
        <v>478.57</v>
      </c>
      <c r="X684" s="61">
        <f t="shared" si="273"/>
        <v>2871.42</v>
      </c>
      <c r="Y684" s="60">
        <v>478.57</v>
      </c>
      <c r="Z684" s="60">
        <v>478.57</v>
      </c>
      <c r="AA684" s="60">
        <v>478.57</v>
      </c>
      <c r="AB684" s="60">
        <v>478.57</v>
      </c>
      <c r="AC684" s="60">
        <v>478.57</v>
      </c>
      <c r="AD684" s="60">
        <v>478.57</v>
      </c>
      <c r="AE684" s="61">
        <f t="shared" si="274"/>
        <v>2871.42</v>
      </c>
      <c r="AF684" s="62">
        <f t="shared" si="281"/>
        <v>86139.6</v>
      </c>
      <c r="AG684" s="62">
        <f t="shared" si="280"/>
        <v>82789.630000000077</v>
      </c>
      <c r="AH684" s="62">
        <f t="shared" si="278"/>
        <v>3349.9699999999284</v>
      </c>
      <c r="AI684" s="63"/>
      <c r="AJ684" s="63"/>
      <c r="AK684" s="62"/>
      <c r="AL684" s="60">
        <v>478.57</v>
      </c>
      <c r="AM684" s="60">
        <v>478.57</v>
      </c>
      <c r="AN684" s="60">
        <v>478.57</v>
      </c>
      <c r="AO684" s="60">
        <v>478.57</v>
      </c>
      <c r="AP684" s="60">
        <v>478.57</v>
      </c>
      <c r="AQ684" s="60">
        <v>478.57</v>
      </c>
      <c r="AR684" s="61">
        <f t="shared" si="275"/>
        <v>2871.42</v>
      </c>
      <c r="AS684" s="60">
        <v>478.54500000000002</v>
      </c>
      <c r="AT684" s="60"/>
      <c r="AU684" s="60"/>
      <c r="AV684" s="60"/>
      <c r="AW684" s="60"/>
      <c r="AX684" s="60"/>
      <c r="AY684" s="61">
        <f t="shared" si="276"/>
        <v>478.54500000000002</v>
      </c>
      <c r="AZ684" s="56">
        <f t="shared" si="271"/>
        <v>3349.9650000000001</v>
      </c>
      <c r="BA684" s="62">
        <f t="shared" si="286"/>
        <v>86139.6</v>
      </c>
      <c r="BB684" s="62">
        <f t="shared" si="277"/>
        <v>86139.595000000118</v>
      </c>
      <c r="BC684" s="62">
        <f t="shared" si="287"/>
        <v>4.999999888241291E-3</v>
      </c>
      <c r="BD684" s="63"/>
      <c r="BE684" s="57"/>
      <c r="BF684" s="35" t="str">
        <f>VLOOKUP(A:A,'2023-2027'!A:G,1,+FALSE)</f>
        <v>Камеры в/в КСО 393 №3 01/09-829</v>
      </c>
      <c r="BG684" s="7" t="b">
        <f t="shared" si="279"/>
        <v>1</v>
      </c>
      <c r="BH684" s="35">
        <f>VLOOKUP(A:A,'2023-2027'!A:AT,43,+FALSE)</f>
        <v>478.55000000000013</v>
      </c>
    </row>
    <row r="685" spans="1:60" ht="24" hidden="1" customHeight="1" outlineLevel="1" x14ac:dyDescent="0.2">
      <c r="A685" s="59" t="s">
        <v>2471</v>
      </c>
      <c r="B685" s="59" t="s">
        <v>44</v>
      </c>
      <c r="C685" s="59" t="s">
        <v>82</v>
      </c>
      <c r="D685" s="66" t="s">
        <v>1616</v>
      </c>
      <c r="E685" s="59" t="s">
        <v>1557</v>
      </c>
      <c r="F685" s="60">
        <v>86139.6</v>
      </c>
      <c r="G685" s="60">
        <v>71303.95</v>
      </c>
      <c r="H685" s="60">
        <v>14835.65</v>
      </c>
      <c r="I685" s="59"/>
      <c r="J685" s="60">
        <v>5742.84</v>
      </c>
      <c r="K685" s="59"/>
      <c r="L685" s="59"/>
      <c r="M685" s="60">
        <v>86139.6</v>
      </c>
      <c r="N685" s="60">
        <v>77046.789999999994</v>
      </c>
      <c r="O685" s="60">
        <v>9092.81</v>
      </c>
      <c r="P685" s="55"/>
      <c r="Q685" s="55"/>
      <c r="R685" s="61">
        <f t="shared" si="272"/>
        <v>478.57</v>
      </c>
      <c r="S685" s="60">
        <v>478.57</v>
      </c>
      <c r="T685" s="60">
        <v>478.57</v>
      </c>
      <c r="U685" s="60">
        <v>478.57</v>
      </c>
      <c r="V685" s="60">
        <v>478.57</v>
      </c>
      <c r="W685" s="60">
        <v>478.57</v>
      </c>
      <c r="X685" s="61">
        <f t="shared" si="273"/>
        <v>2871.42</v>
      </c>
      <c r="Y685" s="60">
        <v>478.57</v>
      </c>
      <c r="Z685" s="60">
        <v>478.57</v>
      </c>
      <c r="AA685" s="60">
        <v>478.57</v>
      </c>
      <c r="AB685" s="60">
        <v>478.57</v>
      </c>
      <c r="AC685" s="60">
        <v>478.57</v>
      </c>
      <c r="AD685" s="60">
        <v>478.57</v>
      </c>
      <c r="AE685" s="61">
        <f t="shared" si="274"/>
        <v>2871.42</v>
      </c>
      <c r="AF685" s="62">
        <f t="shared" si="281"/>
        <v>86139.6</v>
      </c>
      <c r="AG685" s="62">
        <f t="shared" si="280"/>
        <v>82789.630000000077</v>
      </c>
      <c r="AH685" s="62">
        <f t="shared" si="278"/>
        <v>3349.9699999999284</v>
      </c>
      <c r="AI685" s="63"/>
      <c r="AJ685" s="63"/>
      <c r="AK685" s="62"/>
      <c r="AL685" s="60">
        <v>478.57</v>
      </c>
      <c r="AM685" s="60">
        <v>478.57</v>
      </c>
      <c r="AN685" s="60">
        <v>478.57</v>
      </c>
      <c r="AO685" s="60">
        <v>478.57</v>
      </c>
      <c r="AP685" s="60">
        <v>478.57</v>
      </c>
      <c r="AQ685" s="60">
        <v>478.57</v>
      </c>
      <c r="AR685" s="61">
        <f t="shared" si="275"/>
        <v>2871.42</v>
      </c>
      <c r="AS685" s="60">
        <v>478.54500000000002</v>
      </c>
      <c r="AT685" s="60"/>
      <c r="AU685" s="60"/>
      <c r="AV685" s="60"/>
      <c r="AW685" s="60"/>
      <c r="AX685" s="60"/>
      <c r="AY685" s="61">
        <f t="shared" si="276"/>
        <v>478.54500000000002</v>
      </c>
      <c r="AZ685" s="56">
        <f t="shared" si="271"/>
        <v>3349.9650000000001</v>
      </c>
      <c r="BA685" s="62">
        <f t="shared" si="286"/>
        <v>86139.6</v>
      </c>
      <c r="BB685" s="62">
        <f t="shared" si="277"/>
        <v>86139.595000000118</v>
      </c>
      <c r="BC685" s="62">
        <f t="shared" si="287"/>
        <v>4.999999888241291E-3</v>
      </c>
      <c r="BD685" s="63"/>
      <c r="BE685" s="57"/>
      <c r="BF685" s="35" t="str">
        <f>VLOOKUP(A:A,'2023-2027'!A:G,1,+FALSE)</f>
        <v>Камеры в/в КСО 393 №4 01/09-825</v>
      </c>
      <c r="BG685" s="7" t="b">
        <f t="shared" si="279"/>
        <v>1</v>
      </c>
      <c r="BH685" s="35">
        <f>VLOOKUP(A:A,'2023-2027'!A:AT,43,+FALSE)</f>
        <v>478.55000000000013</v>
      </c>
    </row>
    <row r="686" spans="1:60" ht="24" hidden="1" customHeight="1" outlineLevel="1" x14ac:dyDescent="0.2">
      <c r="A686" s="59" t="s">
        <v>2472</v>
      </c>
      <c r="B686" s="59" t="s">
        <v>44</v>
      </c>
      <c r="C686" s="59" t="s">
        <v>82</v>
      </c>
      <c r="D686" s="66" t="s">
        <v>1617</v>
      </c>
      <c r="E686" s="59" t="s">
        <v>1557</v>
      </c>
      <c r="F686" s="60">
        <v>86139.6</v>
      </c>
      <c r="G686" s="60">
        <v>71303.95</v>
      </c>
      <c r="H686" s="60">
        <v>14835.65</v>
      </c>
      <c r="I686" s="59"/>
      <c r="J686" s="60">
        <v>5742.84</v>
      </c>
      <c r="K686" s="59"/>
      <c r="L686" s="59"/>
      <c r="M686" s="60">
        <v>86139.6</v>
      </c>
      <c r="N686" s="60">
        <v>77046.789999999994</v>
      </c>
      <c r="O686" s="60">
        <v>9092.81</v>
      </c>
      <c r="P686" s="55"/>
      <c r="Q686" s="55"/>
      <c r="R686" s="61">
        <f t="shared" si="272"/>
        <v>478.57</v>
      </c>
      <c r="S686" s="60">
        <v>478.57</v>
      </c>
      <c r="T686" s="60">
        <v>478.57</v>
      </c>
      <c r="U686" s="60">
        <v>478.57</v>
      </c>
      <c r="V686" s="60">
        <v>478.57</v>
      </c>
      <c r="W686" s="60">
        <v>478.57</v>
      </c>
      <c r="X686" s="61">
        <f t="shared" si="273"/>
        <v>2871.42</v>
      </c>
      <c r="Y686" s="60">
        <v>478.57</v>
      </c>
      <c r="Z686" s="60">
        <v>478.57</v>
      </c>
      <c r="AA686" s="60">
        <v>478.57</v>
      </c>
      <c r="AB686" s="60">
        <v>478.57</v>
      </c>
      <c r="AC686" s="60">
        <v>478.57</v>
      </c>
      <c r="AD686" s="60">
        <v>478.57</v>
      </c>
      <c r="AE686" s="61">
        <f t="shared" si="274"/>
        <v>2871.42</v>
      </c>
      <c r="AF686" s="62">
        <f t="shared" si="281"/>
        <v>86139.6</v>
      </c>
      <c r="AG686" s="62">
        <f t="shared" si="280"/>
        <v>82789.630000000077</v>
      </c>
      <c r="AH686" s="62">
        <f t="shared" si="278"/>
        <v>3349.9699999999284</v>
      </c>
      <c r="AI686" s="63"/>
      <c r="AJ686" s="63"/>
      <c r="AK686" s="62"/>
      <c r="AL686" s="60">
        <v>478.57</v>
      </c>
      <c r="AM686" s="60">
        <v>478.57</v>
      </c>
      <c r="AN686" s="60">
        <v>478.57</v>
      </c>
      <c r="AO686" s="60">
        <v>478.57</v>
      </c>
      <c r="AP686" s="60">
        <v>478.57</v>
      </c>
      <c r="AQ686" s="60">
        <v>478.57</v>
      </c>
      <c r="AR686" s="61">
        <f t="shared" si="275"/>
        <v>2871.42</v>
      </c>
      <c r="AS686" s="60">
        <v>478.54500000000002</v>
      </c>
      <c r="AT686" s="60"/>
      <c r="AU686" s="60"/>
      <c r="AV686" s="60"/>
      <c r="AW686" s="60"/>
      <c r="AX686" s="60"/>
      <c r="AY686" s="61">
        <f t="shared" si="276"/>
        <v>478.54500000000002</v>
      </c>
      <c r="AZ686" s="56">
        <f t="shared" si="271"/>
        <v>3349.9650000000001</v>
      </c>
      <c r="BA686" s="62">
        <f t="shared" si="286"/>
        <v>86139.6</v>
      </c>
      <c r="BB686" s="62">
        <f t="shared" si="277"/>
        <v>86139.595000000118</v>
      </c>
      <c r="BC686" s="62">
        <f t="shared" si="287"/>
        <v>4.999999888241291E-3</v>
      </c>
      <c r="BD686" s="63"/>
      <c r="BE686" s="57"/>
      <c r="BF686" s="35" t="str">
        <f>VLOOKUP(A:A,'2023-2027'!A:G,1,+FALSE)</f>
        <v>Камеры в/в КСО 393 №5 01/09-826</v>
      </c>
      <c r="BG686" s="7" t="b">
        <f t="shared" si="279"/>
        <v>1</v>
      </c>
      <c r="BH686" s="35">
        <f>VLOOKUP(A:A,'2023-2027'!A:AT,43,+FALSE)</f>
        <v>478.55000000000013</v>
      </c>
    </row>
    <row r="687" spans="1:60" ht="24" hidden="1" customHeight="1" outlineLevel="1" x14ac:dyDescent="0.2">
      <c r="A687" s="59" t="s">
        <v>2473</v>
      </c>
      <c r="B687" s="59" t="s">
        <v>44</v>
      </c>
      <c r="C687" s="59" t="s">
        <v>82</v>
      </c>
      <c r="D687" s="66" t="s">
        <v>1618</v>
      </c>
      <c r="E687" s="59" t="s">
        <v>1557</v>
      </c>
      <c r="F687" s="60">
        <v>86139.6</v>
      </c>
      <c r="G687" s="60">
        <v>71303.95</v>
      </c>
      <c r="H687" s="60">
        <v>14835.65</v>
      </c>
      <c r="I687" s="59"/>
      <c r="J687" s="60">
        <v>5742.84</v>
      </c>
      <c r="K687" s="59"/>
      <c r="L687" s="59"/>
      <c r="M687" s="60">
        <v>86139.6</v>
      </c>
      <c r="N687" s="60">
        <v>77046.789999999994</v>
      </c>
      <c r="O687" s="60">
        <v>9092.81</v>
      </c>
      <c r="P687" s="55"/>
      <c r="Q687" s="55"/>
      <c r="R687" s="61">
        <f t="shared" si="272"/>
        <v>478.57</v>
      </c>
      <c r="S687" s="60">
        <v>478.57</v>
      </c>
      <c r="T687" s="60">
        <v>478.57</v>
      </c>
      <c r="U687" s="60">
        <v>478.57</v>
      </c>
      <c r="V687" s="60">
        <v>478.57</v>
      </c>
      <c r="W687" s="60">
        <v>478.57</v>
      </c>
      <c r="X687" s="61">
        <f t="shared" si="273"/>
        <v>2871.42</v>
      </c>
      <c r="Y687" s="60">
        <v>478.57</v>
      </c>
      <c r="Z687" s="60">
        <v>478.57</v>
      </c>
      <c r="AA687" s="60">
        <v>478.57</v>
      </c>
      <c r="AB687" s="60">
        <v>478.57</v>
      </c>
      <c r="AC687" s="60">
        <v>478.57</v>
      </c>
      <c r="AD687" s="60">
        <v>478.57</v>
      </c>
      <c r="AE687" s="61">
        <f t="shared" si="274"/>
        <v>2871.42</v>
      </c>
      <c r="AF687" s="62">
        <f t="shared" si="281"/>
        <v>86139.6</v>
      </c>
      <c r="AG687" s="62">
        <f t="shared" si="280"/>
        <v>82789.630000000077</v>
      </c>
      <c r="AH687" s="62">
        <f t="shared" si="278"/>
        <v>3349.9699999999284</v>
      </c>
      <c r="AI687" s="63"/>
      <c r="AJ687" s="63"/>
      <c r="AK687" s="62"/>
      <c r="AL687" s="60">
        <v>478.57</v>
      </c>
      <c r="AM687" s="60">
        <v>478.57</v>
      </c>
      <c r="AN687" s="60">
        <v>478.57</v>
      </c>
      <c r="AO687" s="60">
        <v>478.57</v>
      </c>
      <c r="AP687" s="60">
        <v>478.57</v>
      </c>
      <c r="AQ687" s="60">
        <v>478.57</v>
      </c>
      <c r="AR687" s="61">
        <f t="shared" si="275"/>
        <v>2871.42</v>
      </c>
      <c r="AS687" s="60">
        <v>478.54500000000002</v>
      </c>
      <c r="AT687" s="60"/>
      <c r="AU687" s="60"/>
      <c r="AV687" s="60"/>
      <c r="AW687" s="60"/>
      <c r="AX687" s="60"/>
      <c r="AY687" s="61">
        <f t="shared" si="276"/>
        <v>478.54500000000002</v>
      </c>
      <c r="AZ687" s="56">
        <f t="shared" si="271"/>
        <v>3349.9650000000001</v>
      </c>
      <c r="BA687" s="62">
        <f t="shared" si="286"/>
        <v>86139.6</v>
      </c>
      <c r="BB687" s="62">
        <f t="shared" si="277"/>
        <v>86139.595000000118</v>
      </c>
      <c r="BC687" s="62">
        <f t="shared" si="287"/>
        <v>4.999999888241291E-3</v>
      </c>
      <c r="BD687" s="63"/>
      <c r="BE687" s="57"/>
      <c r="BF687" s="35" t="str">
        <f>VLOOKUP(A:A,'2023-2027'!A:G,1,+FALSE)</f>
        <v>Камеры в/в КСО 393 №6 01/09-830</v>
      </c>
      <c r="BG687" s="7" t="b">
        <f t="shared" si="279"/>
        <v>1</v>
      </c>
      <c r="BH687" s="35">
        <f>VLOOKUP(A:A,'2023-2027'!A:AT,43,+FALSE)</f>
        <v>478.55000000000013</v>
      </c>
    </row>
    <row r="688" spans="1:60" ht="24" hidden="1" customHeight="1" outlineLevel="1" x14ac:dyDescent="0.2">
      <c r="A688" s="59" t="s">
        <v>2474</v>
      </c>
      <c r="B688" s="59" t="s">
        <v>44</v>
      </c>
      <c r="C688" s="59" t="s">
        <v>82</v>
      </c>
      <c r="D688" s="66" t="s">
        <v>1619</v>
      </c>
      <c r="E688" s="59" t="s">
        <v>200</v>
      </c>
      <c r="F688" s="60">
        <v>35457.019999999997</v>
      </c>
      <c r="G688" s="60">
        <v>32975.01</v>
      </c>
      <c r="H688" s="60">
        <v>2482.0100000000002</v>
      </c>
      <c r="I688" s="59"/>
      <c r="J688" s="60">
        <v>1418.28</v>
      </c>
      <c r="K688" s="59"/>
      <c r="L688" s="59"/>
      <c r="M688" s="60">
        <v>35457.019999999997</v>
      </c>
      <c r="N688" s="60">
        <v>34393.29</v>
      </c>
      <c r="O688" s="60">
        <v>1063.73</v>
      </c>
      <c r="P688" s="55">
        <v>1772.87</v>
      </c>
      <c r="Q688" s="55">
        <f t="shared" ref="Q688:Q721" si="288">P688*2.2%</f>
        <v>39.003140000000002</v>
      </c>
      <c r="R688" s="61">
        <f t="shared" si="272"/>
        <v>118.19</v>
      </c>
      <c r="S688" s="60">
        <v>118.19</v>
      </c>
      <c r="T688" s="60">
        <v>118.19</v>
      </c>
      <c r="U688" s="60">
        <v>118.19</v>
      </c>
      <c r="V688" s="60">
        <v>118.19</v>
      </c>
      <c r="W688" s="60">
        <v>118.19</v>
      </c>
      <c r="X688" s="61">
        <f t="shared" si="273"/>
        <v>709.1400000000001</v>
      </c>
      <c r="Y688" s="60">
        <v>118.19</v>
      </c>
      <c r="Z688" s="60">
        <v>118.19</v>
      </c>
      <c r="AA688" s="60">
        <v>118.19</v>
      </c>
      <c r="AB688" s="60">
        <v>0.02</v>
      </c>
      <c r="AC688" s="60"/>
      <c r="AD688" s="60"/>
      <c r="AE688" s="61">
        <f t="shared" si="274"/>
        <v>354.59</v>
      </c>
      <c r="AF688" s="62">
        <f t="shared" si="281"/>
        <v>35457.019999999997</v>
      </c>
      <c r="AG688" s="62">
        <f t="shared" si="280"/>
        <v>35457.020000000019</v>
      </c>
      <c r="AH688" s="62">
        <f t="shared" si="278"/>
        <v>0</v>
      </c>
      <c r="AI688" s="63">
        <v>354.58999999999958</v>
      </c>
      <c r="AJ688" s="63">
        <f t="shared" ref="AJ688:AJ718" si="289">AI688*2.2%</f>
        <v>7.8009799999999911</v>
      </c>
      <c r="AK688" s="72">
        <f t="shared" ref="AK688:AK720" si="290">AI688*2.2%</f>
        <v>7.8009799999999911</v>
      </c>
      <c r="AL688" s="60"/>
      <c r="AM688" s="60"/>
      <c r="AN688" s="60"/>
      <c r="AO688" s="60"/>
      <c r="AP688" s="60"/>
      <c r="AQ688" s="60"/>
      <c r="AR688" s="61">
        <f t="shared" si="275"/>
        <v>0</v>
      </c>
      <c r="AS688" s="60"/>
      <c r="AT688" s="60"/>
      <c r="AU688" s="60"/>
      <c r="AV688" s="60"/>
      <c r="AW688" s="60"/>
      <c r="AX688" s="60"/>
      <c r="AY688" s="61">
        <f t="shared" si="276"/>
        <v>0</v>
      </c>
      <c r="AZ688" s="56">
        <f t="shared" si="271"/>
        <v>0</v>
      </c>
      <c r="BA688" s="62">
        <f t="shared" si="286"/>
        <v>35457.019999999997</v>
      </c>
      <c r="BB688" s="62">
        <f t="shared" si="277"/>
        <v>35457.020000000019</v>
      </c>
      <c r="BC688" s="62">
        <f t="shared" si="287"/>
        <v>0</v>
      </c>
      <c r="BD688" s="63">
        <v>0</v>
      </c>
      <c r="BE688" s="57">
        <f t="shared" ref="BE688:BE721" si="291">BD688*2.2%</f>
        <v>0</v>
      </c>
      <c r="BF688" s="35" t="str">
        <f>VLOOKUP(A:A,'2023-2027'!A:G,1,+FALSE)</f>
        <v>КЛ Каб линия  6кв от ТП10масло-д до ТП-32  1998г.</v>
      </c>
      <c r="BG688" s="7" t="b">
        <f t="shared" si="279"/>
        <v>1</v>
      </c>
      <c r="BH688" s="35">
        <f>VLOOKUP(A:A,'2023-2027'!A:AT,43,+FALSE)</f>
        <v>118.19000000000004</v>
      </c>
    </row>
    <row r="689" spans="1:60" ht="24" hidden="1" customHeight="1" outlineLevel="1" x14ac:dyDescent="0.2">
      <c r="A689" s="59" t="s">
        <v>1620</v>
      </c>
      <c r="B689" s="59" t="s">
        <v>44</v>
      </c>
      <c r="C689" s="59" t="s">
        <v>82</v>
      </c>
      <c r="D689" s="66" t="s">
        <v>1621</v>
      </c>
      <c r="E689" s="59" t="s">
        <v>1622</v>
      </c>
      <c r="F689" s="60">
        <v>305800</v>
      </c>
      <c r="G689" s="60">
        <v>264006.46999999997</v>
      </c>
      <c r="H689" s="60">
        <v>41793.53</v>
      </c>
      <c r="I689" s="59"/>
      <c r="J689" s="60">
        <v>12232.24</v>
      </c>
      <c r="K689" s="59"/>
      <c r="L689" s="59"/>
      <c r="M689" s="60">
        <v>305800</v>
      </c>
      <c r="N689" s="60">
        <v>276238.71000000002</v>
      </c>
      <c r="O689" s="60">
        <v>29561.29</v>
      </c>
      <c r="P689" s="55">
        <v>35677.42</v>
      </c>
      <c r="Q689" s="55">
        <f t="shared" si="288"/>
        <v>784.9032400000001</v>
      </c>
      <c r="R689" s="61">
        <f t="shared" si="272"/>
        <v>1019.3533333333334</v>
      </c>
      <c r="S689" s="60">
        <v>1019.353333</v>
      </c>
      <c r="T689" s="60">
        <v>1019.353333</v>
      </c>
      <c r="U689" s="60">
        <v>1019.353333</v>
      </c>
      <c r="V689" s="60">
        <v>1019.353333</v>
      </c>
      <c r="W689" s="60">
        <v>1019.353333</v>
      </c>
      <c r="X689" s="61">
        <f t="shared" si="273"/>
        <v>6116.1199983333336</v>
      </c>
      <c r="Y689" s="60">
        <v>1019.353333</v>
      </c>
      <c r="Z689" s="60">
        <v>1019.353333</v>
      </c>
      <c r="AA689" s="60">
        <v>1019.353333</v>
      </c>
      <c r="AB689" s="60">
        <v>1019.353333</v>
      </c>
      <c r="AC689" s="60">
        <v>1019.353333</v>
      </c>
      <c r="AD689" s="60">
        <v>1019.353333</v>
      </c>
      <c r="AE689" s="61">
        <f t="shared" si="274"/>
        <v>6116.1199980000001</v>
      </c>
      <c r="AF689" s="62">
        <f t="shared" si="281"/>
        <v>305800</v>
      </c>
      <c r="AG689" s="62">
        <f t="shared" si="280"/>
        <v>288470.9499963331</v>
      </c>
      <c r="AH689" s="62">
        <f t="shared" si="278"/>
        <v>17329.050003666896</v>
      </c>
      <c r="AI689" s="63">
        <v>23445.190000000006</v>
      </c>
      <c r="AJ689" s="63">
        <f t="shared" si="289"/>
        <v>515.79418000000021</v>
      </c>
      <c r="AK689" s="72">
        <f t="shared" si="290"/>
        <v>515.79418000000021</v>
      </c>
      <c r="AL689" s="60">
        <v>1019.353333</v>
      </c>
      <c r="AM689" s="60">
        <v>1019.353333</v>
      </c>
      <c r="AN689" s="60">
        <v>1019.353333</v>
      </c>
      <c r="AO689" s="60">
        <v>1019.353333</v>
      </c>
      <c r="AP689" s="60">
        <v>1019.353333</v>
      </c>
      <c r="AQ689" s="60">
        <v>1019.353333</v>
      </c>
      <c r="AR689" s="61">
        <f t="shared" si="275"/>
        <v>6116.1199980000001</v>
      </c>
      <c r="AS689" s="60">
        <v>1019.353333</v>
      </c>
      <c r="AT689" s="60">
        <v>1019.353333</v>
      </c>
      <c r="AU689" s="60">
        <v>1019.353333</v>
      </c>
      <c r="AV689" s="60">
        <v>1019.353333</v>
      </c>
      <c r="AW689" s="60">
        <v>1019.353333</v>
      </c>
      <c r="AX689" s="60">
        <v>1019.353333</v>
      </c>
      <c r="AY689" s="61">
        <f t="shared" si="276"/>
        <v>6116.1199980000001</v>
      </c>
      <c r="AZ689" s="56">
        <f t="shared" si="271"/>
        <v>12232.239996</v>
      </c>
      <c r="BA689" s="62">
        <f t="shared" si="286"/>
        <v>305800</v>
      </c>
      <c r="BB689" s="62">
        <f t="shared" si="277"/>
        <v>300703.18999233283</v>
      </c>
      <c r="BC689" s="62">
        <f t="shared" si="287"/>
        <v>5096.810007667169</v>
      </c>
      <c r="BD689" s="63">
        <v>11212.990000000023</v>
      </c>
      <c r="BE689" s="57">
        <f t="shared" si="291"/>
        <v>246.68578000000053</v>
      </c>
      <c r="BF689" s="35" t="str">
        <f>VLOOKUP(A:A,'2023-2027'!A:G,1,+FALSE)</f>
        <v>КЛ *- Каб.линия 6кв  2кабеля по 2,31 Жив компл 2000г</v>
      </c>
      <c r="BG689" s="7" t="b">
        <f t="shared" si="279"/>
        <v>1</v>
      </c>
      <c r="BH689" s="35">
        <f>VLOOKUP(A:A,'2023-2027'!A:AT,43,+FALSE)</f>
        <v>1019.353333</v>
      </c>
    </row>
    <row r="690" spans="1:60" ht="24" hidden="1" customHeight="1" outlineLevel="1" x14ac:dyDescent="0.2">
      <c r="A690" s="59" t="s">
        <v>1623</v>
      </c>
      <c r="B690" s="59" t="s">
        <v>44</v>
      </c>
      <c r="C690" s="59" t="s">
        <v>82</v>
      </c>
      <c r="D690" s="66" t="s">
        <v>1624</v>
      </c>
      <c r="E690" s="59" t="s">
        <v>1403</v>
      </c>
      <c r="F690" s="60">
        <v>40341</v>
      </c>
      <c r="G690" s="60">
        <v>33384.959999999999</v>
      </c>
      <c r="H690" s="60">
        <v>6956.04</v>
      </c>
      <c r="I690" s="59"/>
      <c r="J690" s="60">
        <v>1391.16</v>
      </c>
      <c r="K690" s="59"/>
      <c r="L690" s="59"/>
      <c r="M690" s="60">
        <v>40341</v>
      </c>
      <c r="N690" s="60">
        <v>34776.120000000003</v>
      </c>
      <c r="O690" s="60">
        <v>5564.88</v>
      </c>
      <c r="P690" s="55">
        <v>6260.46</v>
      </c>
      <c r="Q690" s="55">
        <f t="shared" si="288"/>
        <v>137.73012000000003</v>
      </c>
      <c r="R690" s="61">
        <f t="shared" si="272"/>
        <v>115.93</v>
      </c>
      <c r="S690" s="60">
        <v>115.93</v>
      </c>
      <c r="T690" s="60">
        <v>115.93</v>
      </c>
      <c r="U690" s="60">
        <v>115.93</v>
      </c>
      <c r="V690" s="60">
        <v>115.93</v>
      </c>
      <c r="W690" s="60">
        <v>115.93</v>
      </c>
      <c r="X690" s="61">
        <f t="shared" si="273"/>
        <v>695.58000000000015</v>
      </c>
      <c r="Y690" s="60">
        <v>115.93</v>
      </c>
      <c r="Z690" s="60">
        <v>115.93</v>
      </c>
      <c r="AA690" s="60">
        <v>115.93</v>
      </c>
      <c r="AB690" s="60">
        <v>115.93</v>
      </c>
      <c r="AC690" s="60">
        <v>115.93</v>
      </c>
      <c r="AD690" s="60">
        <v>115.93</v>
      </c>
      <c r="AE690" s="61">
        <f t="shared" si="274"/>
        <v>695.58000000000015</v>
      </c>
      <c r="AF690" s="62">
        <f t="shared" si="281"/>
        <v>40341</v>
      </c>
      <c r="AG690" s="62">
        <f t="shared" si="280"/>
        <v>36167.280000000006</v>
      </c>
      <c r="AH690" s="62">
        <f t="shared" si="278"/>
        <v>4173.7199999999939</v>
      </c>
      <c r="AI690" s="63">
        <v>4869.2999999999975</v>
      </c>
      <c r="AJ690" s="63">
        <f t="shared" si="289"/>
        <v>107.12459999999996</v>
      </c>
      <c r="AK690" s="72">
        <f t="shared" si="290"/>
        <v>107.12459999999996</v>
      </c>
      <c r="AL690" s="60">
        <v>115.93</v>
      </c>
      <c r="AM690" s="60">
        <v>115.93</v>
      </c>
      <c r="AN690" s="60">
        <v>115.93</v>
      </c>
      <c r="AO690" s="60">
        <v>115.93</v>
      </c>
      <c r="AP690" s="60">
        <v>115.93</v>
      </c>
      <c r="AQ690" s="60">
        <v>115.93</v>
      </c>
      <c r="AR690" s="61">
        <f t="shared" si="275"/>
        <v>695.58000000000015</v>
      </c>
      <c r="AS690" s="60">
        <v>115.93</v>
      </c>
      <c r="AT690" s="60">
        <v>115.93</v>
      </c>
      <c r="AU690" s="60">
        <v>115.93</v>
      </c>
      <c r="AV690" s="60">
        <v>115.93</v>
      </c>
      <c r="AW690" s="60">
        <v>115.93</v>
      </c>
      <c r="AX690" s="60">
        <v>115.93</v>
      </c>
      <c r="AY690" s="61">
        <f t="shared" si="276"/>
        <v>695.58000000000015</v>
      </c>
      <c r="AZ690" s="56">
        <f t="shared" si="271"/>
        <v>1391.1600000000003</v>
      </c>
      <c r="BA690" s="62">
        <f t="shared" si="286"/>
        <v>40341</v>
      </c>
      <c r="BB690" s="62">
        <f t="shared" si="277"/>
        <v>37558.44000000001</v>
      </c>
      <c r="BC690" s="62">
        <f t="shared" si="287"/>
        <v>2782.5599999999904</v>
      </c>
      <c r="BD690" s="63">
        <v>3478.1399999999944</v>
      </c>
      <c r="BE690" s="57">
        <f t="shared" si="291"/>
        <v>76.519079999999889</v>
      </c>
      <c r="BF690" s="35" t="str">
        <f>VLOOKUP(A:A,'2023-2027'!A:G,1,+FALSE)</f>
        <v>КЛ Кабельн линия 6кв от ТП36 до ТП51 ГОСНИ  1997г.</v>
      </c>
      <c r="BG690" s="7" t="b">
        <f t="shared" si="279"/>
        <v>1</v>
      </c>
      <c r="BH690" s="35">
        <f>VLOOKUP(A:A,'2023-2027'!A:AT,43,+FALSE)</f>
        <v>134.47</v>
      </c>
    </row>
    <row r="691" spans="1:60" ht="24" hidden="1" customHeight="1" outlineLevel="1" x14ac:dyDescent="0.2">
      <c r="A691" s="59" t="s">
        <v>1625</v>
      </c>
      <c r="B691" s="59" t="s">
        <v>44</v>
      </c>
      <c r="C691" s="59" t="s">
        <v>82</v>
      </c>
      <c r="D691" s="66" t="s">
        <v>1626</v>
      </c>
      <c r="E691" s="59" t="s">
        <v>1622</v>
      </c>
      <c r="F691" s="60">
        <v>52749</v>
      </c>
      <c r="G691" s="60">
        <v>45539.97</v>
      </c>
      <c r="H691" s="60">
        <v>7209.03</v>
      </c>
      <c r="I691" s="59"/>
      <c r="J691" s="60">
        <v>2109.96</v>
      </c>
      <c r="K691" s="59"/>
      <c r="L691" s="59"/>
      <c r="M691" s="60">
        <v>52749</v>
      </c>
      <c r="N691" s="60">
        <v>47649.93</v>
      </c>
      <c r="O691" s="60">
        <v>5099.07</v>
      </c>
      <c r="P691" s="55">
        <v>6154.05</v>
      </c>
      <c r="Q691" s="55">
        <f t="shared" si="288"/>
        <v>135.38910000000001</v>
      </c>
      <c r="R691" s="61">
        <f t="shared" si="272"/>
        <v>175.83</v>
      </c>
      <c r="S691" s="60">
        <v>175.83</v>
      </c>
      <c r="T691" s="60">
        <v>175.83</v>
      </c>
      <c r="U691" s="60">
        <v>175.83</v>
      </c>
      <c r="V691" s="60">
        <v>175.83</v>
      </c>
      <c r="W691" s="60">
        <v>175.83</v>
      </c>
      <c r="X691" s="61">
        <f t="shared" si="273"/>
        <v>1054.98</v>
      </c>
      <c r="Y691" s="60">
        <v>175.83</v>
      </c>
      <c r="Z691" s="60">
        <v>175.83</v>
      </c>
      <c r="AA691" s="60">
        <v>175.83</v>
      </c>
      <c r="AB691" s="60">
        <v>175.83</v>
      </c>
      <c r="AC691" s="60">
        <v>175.83</v>
      </c>
      <c r="AD691" s="60">
        <v>175.83</v>
      </c>
      <c r="AE691" s="61">
        <f t="shared" si="274"/>
        <v>1054.98</v>
      </c>
      <c r="AF691" s="62">
        <f t="shared" si="281"/>
        <v>52749</v>
      </c>
      <c r="AG691" s="62">
        <f t="shared" si="280"/>
        <v>49759.890000000021</v>
      </c>
      <c r="AH691" s="62">
        <f t="shared" si="278"/>
        <v>2989.1099999999788</v>
      </c>
      <c r="AI691" s="63">
        <v>4044.0899999999997</v>
      </c>
      <c r="AJ691" s="63">
        <f t="shared" si="289"/>
        <v>88.969980000000007</v>
      </c>
      <c r="AK691" s="72">
        <f t="shared" si="290"/>
        <v>88.969980000000007</v>
      </c>
      <c r="AL691" s="60">
        <v>175.83</v>
      </c>
      <c r="AM691" s="60">
        <v>175.83</v>
      </c>
      <c r="AN691" s="60">
        <v>175.83</v>
      </c>
      <c r="AO691" s="60">
        <v>175.83</v>
      </c>
      <c r="AP691" s="60">
        <v>175.83</v>
      </c>
      <c r="AQ691" s="60">
        <v>175.83</v>
      </c>
      <c r="AR691" s="61">
        <f t="shared" si="275"/>
        <v>1054.98</v>
      </c>
      <c r="AS691" s="60">
        <v>175.83</v>
      </c>
      <c r="AT691" s="60">
        <v>175.83</v>
      </c>
      <c r="AU691" s="60">
        <v>175.83</v>
      </c>
      <c r="AV691" s="60">
        <v>175.83</v>
      </c>
      <c r="AW691" s="60">
        <v>175.83</v>
      </c>
      <c r="AX691" s="60">
        <v>175.83</v>
      </c>
      <c r="AY691" s="61">
        <f t="shared" si="276"/>
        <v>1054.98</v>
      </c>
      <c r="AZ691" s="56">
        <f t="shared" si="271"/>
        <v>2109.96</v>
      </c>
      <c r="BA691" s="62">
        <f t="shared" si="286"/>
        <v>52749</v>
      </c>
      <c r="BB691" s="62">
        <f t="shared" si="277"/>
        <v>51869.850000000042</v>
      </c>
      <c r="BC691" s="62">
        <f t="shared" si="287"/>
        <v>879.1499999999578</v>
      </c>
      <c r="BD691" s="63">
        <v>1934.1300000000008</v>
      </c>
      <c r="BE691" s="57">
        <f t="shared" si="291"/>
        <v>42.550860000000021</v>
      </c>
      <c r="BF691" s="35" t="str">
        <f>VLOOKUP(A:A,'2023-2027'!A:G,1,+FALSE)</f>
        <v>КЛ Кабельна линия 6кв  от ТП22 до ТП-67школа5</v>
      </c>
      <c r="BG691" s="7" t="b">
        <f t="shared" si="279"/>
        <v>1</v>
      </c>
      <c r="BH691" s="35">
        <f>VLOOKUP(A:A,'2023-2027'!A:AT,43,+FALSE)</f>
        <v>175.82999999999996</v>
      </c>
    </row>
    <row r="692" spans="1:60" ht="24" hidden="1" customHeight="1" outlineLevel="1" x14ac:dyDescent="0.2">
      <c r="A692" s="59" t="s">
        <v>1627</v>
      </c>
      <c r="B692" s="59" t="s">
        <v>44</v>
      </c>
      <c r="C692" s="59" t="s">
        <v>82</v>
      </c>
      <c r="D692" s="66" t="s">
        <v>1628</v>
      </c>
      <c r="E692" s="59" t="s">
        <v>1403</v>
      </c>
      <c r="F692" s="60">
        <v>64033</v>
      </c>
      <c r="G692" s="60">
        <v>52992</v>
      </c>
      <c r="H692" s="60">
        <v>11041</v>
      </c>
      <c r="I692" s="59"/>
      <c r="J692" s="60">
        <v>2208.2399999999998</v>
      </c>
      <c r="K692" s="59"/>
      <c r="L692" s="59"/>
      <c r="M692" s="60">
        <v>64033</v>
      </c>
      <c r="N692" s="60">
        <v>55200.24</v>
      </c>
      <c r="O692" s="60">
        <v>8832.76</v>
      </c>
      <c r="P692" s="55">
        <v>9936.8799999999992</v>
      </c>
      <c r="Q692" s="55">
        <f t="shared" si="288"/>
        <v>218.61135999999999</v>
      </c>
      <c r="R692" s="61">
        <f t="shared" si="272"/>
        <v>184.01999999999998</v>
      </c>
      <c r="S692" s="60">
        <v>184.02</v>
      </c>
      <c r="T692" s="60">
        <v>184.02</v>
      </c>
      <c r="U692" s="60">
        <v>184.02</v>
      </c>
      <c r="V692" s="60">
        <v>184.02</v>
      </c>
      <c r="W692" s="60">
        <v>184.02</v>
      </c>
      <c r="X692" s="61">
        <f t="shared" si="273"/>
        <v>1104.1199999999999</v>
      </c>
      <c r="Y692" s="60">
        <v>184.02</v>
      </c>
      <c r="Z692" s="60">
        <v>184.02</v>
      </c>
      <c r="AA692" s="60">
        <v>184.02</v>
      </c>
      <c r="AB692" s="60">
        <v>184.02</v>
      </c>
      <c r="AC692" s="60">
        <v>184.02</v>
      </c>
      <c r="AD692" s="60">
        <v>184.02</v>
      </c>
      <c r="AE692" s="61">
        <f t="shared" si="274"/>
        <v>1104.1200000000001</v>
      </c>
      <c r="AF692" s="62">
        <f t="shared" si="281"/>
        <v>64033</v>
      </c>
      <c r="AG692" s="62">
        <f t="shared" si="280"/>
        <v>57408.47999999996</v>
      </c>
      <c r="AH692" s="62">
        <f t="shared" si="278"/>
        <v>6624.5200000000405</v>
      </c>
      <c r="AI692" s="63">
        <v>7728.6399999999976</v>
      </c>
      <c r="AJ692" s="63">
        <f t="shared" si="289"/>
        <v>170.03007999999997</v>
      </c>
      <c r="AK692" s="72">
        <f t="shared" si="290"/>
        <v>170.03007999999997</v>
      </c>
      <c r="AL692" s="60">
        <v>184.02</v>
      </c>
      <c r="AM692" s="60">
        <v>184.02</v>
      </c>
      <c r="AN692" s="60">
        <v>184.02</v>
      </c>
      <c r="AO692" s="60">
        <v>184.02</v>
      </c>
      <c r="AP692" s="60">
        <v>184.02</v>
      </c>
      <c r="AQ692" s="60">
        <v>184.02</v>
      </c>
      <c r="AR692" s="61">
        <f t="shared" si="275"/>
        <v>1104.1200000000001</v>
      </c>
      <c r="AS692" s="60">
        <v>184.02</v>
      </c>
      <c r="AT692" s="60">
        <v>184.02</v>
      </c>
      <c r="AU692" s="60">
        <v>184.02</v>
      </c>
      <c r="AV692" s="60">
        <v>184.02</v>
      </c>
      <c r="AW692" s="60">
        <v>184.02</v>
      </c>
      <c r="AX692" s="60">
        <v>184.02</v>
      </c>
      <c r="AY692" s="61">
        <f t="shared" si="276"/>
        <v>1104.1200000000001</v>
      </c>
      <c r="AZ692" s="56">
        <f t="shared" si="271"/>
        <v>2208.2400000000002</v>
      </c>
      <c r="BA692" s="62">
        <f t="shared" si="286"/>
        <v>64033</v>
      </c>
      <c r="BB692" s="62">
        <f t="shared" si="277"/>
        <v>59616.719999999921</v>
      </c>
      <c r="BC692" s="62">
        <f t="shared" si="287"/>
        <v>4416.2800000000789</v>
      </c>
      <c r="BD692" s="63">
        <v>5520.3999999999924</v>
      </c>
      <c r="BE692" s="57">
        <f t="shared" si="291"/>
        <v>121.44879999999985</v>
      </c>
      <c r="BF692" s="35" t="str">
        <f>VLOOKUP(A:A,'2023-2027'!A:G,1,+FALSE)</f>
        <v>КЛ Кабельна линия 6кв от ТП4 до ТП 51 Госни 1997г.</v>
      </c>
      <c r="BG692" s="7" t="b">
        <f t="shared" si="279"/>
        <v>1</v>
      </c>
      <c r="BH692" s="35">
        <f>VLOOKUP(A:A,'2023-2027'!A:AT,43,+FALSE)</f>
        <v>213.44000000000003</v>
      </c>
    </row>
    <row r="693" spans="1:60" ht="24" hidden="1" customHeight="1" outlineLevel="1" x14ac:dyDescent="0.2">
      <c r="A693" s="59" t="s">
        <v>1629</v>
      </c>
      <c r="B693" s="59" t="s">
        <v>44</v>
      </c>
      <c r="C693" s="59" t="s">
        <v>82</v>
      </c>
      <c r="D693" s="66" t="s">
        <v>1630</v>
      </c>
      <c r="E693" s="59" t="s">
        <v>1622</v>
      </c>
      <c r="F693" s="60">
        <v>216062</v>
      </c>
      <c r="G693" s="60">
        <v>186534.39</v>
      </c>
      <c r="H693" s="60">
        <v>29527.61</v>
      </c>
      <c r="I693" s="59"/>
      <c r="J693" s="60">
        <v>8642.25</v>
      </c>
      <c r="K693" s="59"/>
      <c r="L693" s="59"/>
      <c r="M693" s="60">
        <v>216062</v>
      </c>
      <c r="N693" s="60">
        <v>195176.64</v>
      </c>
      <c r="O693" s="60">
        <v>20885.36</v>
      </c>
      <c r="P693" s="55">
        <v>25206.48</v>
      </c>
      <c r="Q693" s="55">
        <f t="shared" si="288"/>
        <v>554.54256000000009</v>
      </c>
      <c r="R693" s="61">
        <f t="shared" si="272"/>
        <v>720.1875</v>
      </c>
      <c r="S693" s="60">
        <v>720.1875</v>
      </c>
      <c r="T693" s="60">
        <v>720.1875</v>
      </c>
      <c r="U693" s="60">
        <v>720.1875</v>
      </c>
      <c r="V693" s="60">
        <v>720.1875</v>
      </c>
      <c r="W693" s="60">
        <v>720.1875</v>
      </c>
      <c r="X693" s="61">
        <f t="shared" si="273"/>
        <v>4321.125</v>
      </c>
      <c r="Y693" s="60">
        <v>720.1875</v>
      </c>
      <c r="Z693" s="60">
        <v>720.1875</v>
      </c>
      <c r="AA693" s="60">
        <v>720.1875</v>
      </c>
      <c r="AB693" s="60">
        <v>720.1875</v>
      </c>
      <c r="AC693" s="60">
        <v>720.1875</v>
      </c>
      <c r="AD693" s="60">
        <v>720.1875</v>
      </c>
      <c r="AE693" s="61">
        <f t="shared" si="274"/>
        <v>4321.125</v>
      </c>
      <c r="AF693" s="62">
        <f t="shared" si="281"/>
        <v>216062</v>
      </c>
      <c r="AG693" s="62">
        <f t="shared" si="280"/>
        <v>203818.89</v>
      </c>
      <c r="AH693" s="62">
        <f t="shared" si="278"/>
        <v>12243.109999999986</v>
      </c>
      <c r="AI693" s="63">
        <v>16564.219999999979</v>
      </c>
      <c r="AJ693" s="63">
        <f t="shared" si="289"/>
        <v>364.41283999999956</v>
      </c>
      <c r="AK693" s="72">
        <f t="shared" si="290"/>
        <v>364.41283999999956</v>
      </c>
      <c r="AL693" s="60">
        <v>720.1875</v>
      </c>
      <c r="AM693" s="60">
        <v>720.1875</v>
      </c>
      <c r="AN693" s="60">
        <v>720.1875</v>
      </c>
      <c r="AO693" s="60">
        <v>720.1875</v>
      </c>
      <c r="AP693" s="60">
        <v>720.1875</v>
      </c>
      <c r="AQ693" s="60">
        <v>720.1875</v>
      </c>
      <c r="AR693" s="61">
        <f t="shared" si="275"/>
        <v>4321.125</v>
      </c>
      <c r="AS693" s="60">
        <v>720.1875</v>
      </c>
      <c r="AT693" s="60">
        <v>720.1875</v>
      </c>
      <c r="AU693" s="60">
        <v>720.1875</v>
      </c>
      <c r="AV693" s="60">
        <v>720.1875</v>
      </c>
      <c r="AW693" s="60">
        <v>720.1875</v>
      </c>
      <c r="AX693" s="60">
        <v>720.1875</v>
      </c>
      <c r="AY693" s="61">
        <f t="shared" si="276"/>
        <v>4321.125</v>
      </c>
      <c r="AZ693" s="56">
        <f t="shared" si="271"/>
        <v>8642.25</v>
      </c>
      <c r="BA693" s="62">
        <f t="shared" si="286"/>
        <v>216062</v>
      </c>
      <c r="BB693" s="62">
        <f t="shared" si="277"/>
        <v>212461.14</v>
      </c>
      <c r="BC693" s="62">
        <f t="shared" si="287"/>
        <v>3600.859999999986</v>
      </c>
      <c r="BD693" s="63">
        <v>7921.9399999999587</v>
      </c>
      <c r="BE693" s="57">
        <f t="shared" si="291"/>
        <v>174.28267999999912</v>
      </c>
      <c r="BF693" s="35" t="str">
        <f>VLOOKUP(A:A,'2023-2027'!A:G,1,+FALSE)</f>
        <v>КЛ Кабельная линия 6 кв от ТП43 до ТП67 школа5</v>
      </c>
      <c r="BG693" s="7" t="b">
        <f t="shared" si="279"/>
        <v>1</v>
      </c>
      <c r="BH693" s="35">
        <f>VLOOKUP(A:A,'2023-2027'!A:AT,43,+FALSE)</f>
        <v>720.1875</v>
      </c>
    </row>
    <row r="694" spans="1:60" ht="24" hidden="1" customHeight="1" outlineLevel="1" x14ac:dyDescent="0.2">
      <c r="A694" s="59" t="s">
        <v>1631</v>
      </c>
      <c r="B694" s="59" t="s">
        <v>44</v>
      </c>
      <c r="C694" s="59" t="s">
        <v>82</v>
      </c>
      <c r="D694" s="66" t="s">
        <v>1632</v>
      </c>
      <c r="E694" s="59" t="s">
        <v>200</v>
      </c>
      <c r="F694" s="60">
        <v>29010.3</v>
      </c>
      <c r="G694" s="60">
        <v>26979.3</v>
      </c>
      <c r="H694" s="60">
        <v>2031</v>
      </c>
      <c r="I694" s="59"/>
      <c r="J694" s="60">
        <v>1160.57</v>
      </c>
      <c r="K694" s="59"/>
      <c r="L694" s="59"/>
      <c r="M694" s="60">
        <v>29010.3</v>
      </c>
      <c r="N694" s="60">
        <v>28139.87</v>
      </c>
      <c r="O694" s="68">
        <v>870.43</v>
      </c>
      <c r="P694" s="82">
        <v>1450.72</v>
      </c>
      <c r="Q694" s="55">
        <f t="shared" si="288"/>
        <v>31.915840000000003</v>
      </c>
      <c r="R694" s="61">
        <f t="shared" si="272"/>
        <v>96.714166666666657</v>
      </c>
      <c r="S694" s="60">
        <v>96.714166669999997</v>
      </c>
      <c r="T694" s="60">
        <v>96.714166669999997</v>
      </c>
      <c r="U694" s="60">
        <v>96.714166669999997</v>
      </c>
      <c r="V694" s="60">
        <v>96.714166669999997</v>
      </c>
      <c r="W694" s="60">
        <v>96.714166669999997</v>
      </c>
      <c r="X694" s="61">
        <f t="shared" si="273"/>
        <v>580.28500001666657</v>
      </c>
      <c r="Y694" s="60">
        <v>96.714166669999997</v>
      </c>
      <c r="Z694" s="60">
        <v>96.714166669999997</v>
      </c>
      <c r="AA694" s="60">
        <v>96.714166669999997</v>
      </c>
      <c r="AB694" s="60"/>
      <c r="AC694" s="60"/>
      <c r="AD694" s="60"/>
      <c r="AE694" s="61">
        <f t="shared" si="274"/>
        <v>290.14250000999999</v>
      </c>
      <c r="AF694" s="62">
        <f t="shared" si="281"/>
        <v>29010.3</v>
      </c>
      <c r="AG694" s="62">
        <f t="shared" si="280"/>
        <v>29010.297500026674</v>
      </c>
      <c r="AH694" s="62">
        <f t="shared" si="278"/>
        <v>2.499973325029714E-3</v>
      </c>
      <c r="AI694" s="63">
        <v>290.16999999999979</v>
      </c>
      <c r="AJ694" s="63">
        <f t="shared" si="289"/>
        <v>6.383739999999996</v>
      </c>
      <c r="AK694" s="72">
        <f t="shared" si="290"/>
        <v>6.383739999999996</v>
      </c>
      <c r="AL694" s="60"/>
      <c r="AM694" s="60"/>
      <c r="AN694" s="60"/>
      <c r="AO694" s="60"/>
      <c r="AP694" s="60"/>
      <c r="AQ694" s="60"/>
      <c r="AR694" s="61">
        <f t="shared" si="275"/>
        <v>0</v>
      </c>
      <c r="AS694" s="60"/>
      <c r="AT694" s="60"/>
      <c r="AU694" s="60"/>
      <c r="AV694" s="60"/>
      <c r="AW694" s="60"/>
      <c r="AX694" s="60"/>
      <c r="AY694" s="61">
        <f t="shared" si="276"/>
        <v>0</v>
      </c>
      <c r="AZ694" s="56">
        <f t="shared" si="271"/>
        <v>0</v>
      </c>
      <c r="BA694" s="62">
        <f t="shared" si="286"/>
        <v>29010.3</v>
      </c>
      <c r="BB694" s="62">
        <f t="shared" si="277"/>
        <v>29010.297500026674</v>
      </c>
      <c r="BC694" s="62">
        <f t="shared" si="287"/>
        <v>2.499973325029714E-3</v>
      </c>
      <c r="BD694" s="63">
        <v>0</v>
      </c>
      <c r="BE694" s="57">
        <f t="shared" si="291"/>
        <v>0</v>
      </c>
      <c r="BF694" s="35" t="str">
        <f>VLOOKUP(A:A,'2023-2027'!A:G,1,+FALSE)</f>
        <v>КЛ Кабельная линия от ТП10 Масл-д до ТП-12  1998г.</v>
      </c>
      <c r="BG694" s="7" t="b">
        <f t="shared" si="279"/>
        <v>1</v>
      </c>
      <c r="BH694" s="35">
        <f>VLOOKUP(A:A,'2023-2027'!A:AT,43,+FALSE)</f>
        <v>96.700000000000031</v>
      </c>
    </row>
    <row r="695" spans="1:60" ht="24" hidden="1" customHeight="1" outlineLevel="1" x14ac:dyDescent="0.2">
      <c r="A695" s="59" t="s">
        <v>1633</v>
      </c>
      <c r="B695" s="59" t="s">
        <v>44</v>
      </c>
      <c r="C695" s="59" t="s">
        <v>82</v>
      </c>
      <c r="D695" s="65" t="s">
        <v>1634</v>
      </c>
      <c r="E695" s="59" t="s">
        <v>1635</v>
      </c>
      <c r="F695" s="60">
        <v>1038447</v>
      </c>
      <c r="G695" s="60">
        <v>236213.58</v>
      </c>
      <c r="H695" s="60">
        <v>802233.42</v>
      </c>
      <c r="I695" s="59"/>
      <c r="J695" s="60">
        <v>26741.16</v>
      </c>
      <c r="K695" s="59"/>
      <c r="L695" s="59"/>
      <c r="M695" s="60">
        <v>1038447</v>
      </c>
      <c r="N695" s="60">
        <v>262954.74</v>
      </c>
      <c r="O695" s="60">
        <v>775492.26</v>
      </c>
      <c r="P695" s="55">
        <v>788862.84</v>
      </c>
      <c r="Q695" s="55">
        <f t="shared" si="288"/>
        <v>17354.982480000002</v>
      </c>
      <c r="R695" s="61">
        <f t="shared" si="272"/>
        <v>2228.4299999999998</v>
      </c>
      <c r="S695" s="60">
        <v>2228.4299999999998</v>
      </c>
      <c r="T695" s="60">
        <v>2228.4299999999998</v>
      </c>
      <c r="U695" s="60">
        <v>2228.4299999999998</v>
      </c>
      <c r="V695" s="60">
        <v>2228.4299999999998</v>
      </c>
      <c r="W695" s="60">
        <v>2228.4299999999998</v>
      </c>
      <c r="X695" s="61">
        <f t="shared" si="273"/>
        <v>13370.58</v>
      </c>
      <c r="Y695" s="60">
        <v>2228.4299999999998</v>
      </c>
      <c r="Z695" s="60">
        <v>2228.4299999999998</v>
      </c>
      <c r="AA695" s="60">
        <v>2228.4299999999998</v>
      </c>
      <c r="AB695" s="60">
        <v>2228.4299999999998</v>
      </c>
      <c r="AC695" s="60">
        <v>2228.4299999999998</v>
      </c>
      <c r="AD695" s="60">
        <v>2228.4299999999998</v>
      </c>
      <c r="AE695" s="61">
        <f t="shared" si="274"/>
        <v>13370.58</v>
      </c>
      <c r="AF695" s="62">
        <f t="shared" si="281"/>
        <v>1038447</v>
      </c>
      <c r="AG695" s="62">
        <f t="shared" si="280"/>
        <v>289695.89999999991</v>
      </c>
      <c r="AH695" s="62">
        <f t="shared" si="278"/>
        <v>748751.10000000009</v>
      </c>
      <c r="AI695" s="63">
        <v>762121.6799999997</v>
      </c>
      <c r="AJ695" s="63">
        <f t="shared" si="289"/>
        <v>16766.676959999993</v>
      </c>
      <c r="AK695" s="72">
        <f t="shared" si="290"/>
        <v>16766.676959999993</v>
      </c>
      <c r="AL695" s="60">
        <v>2228.4299999999998</v>
      </c>
      <c r="AM695" s="60">
        <v>2228.4299999999998</v>
      </c>
      <c r="AN695" s="60">
        <v>2228.4299999999998</v>
      </c>
      <c r="AO695" s="60">
        <v>2228.4299999999998</v>
      </c>
      <c r="AP695" s="60">
        <v>2228.4299999999998</v>
      </c>
      <c r="AQ695" s="60">
        <v>2228.4299999999998</v>
      </c>
      <c r="AR695" s="61">
        <f t="shared" si="275"/>
        <v>13370.58</v>
      </c>
      <c r="AS695" s="60">
        <v>2228.4299999999998</v>
      </c>
      <c r="AT695" s="60">
        <v>2228.4299999999998</v>
      </c>
      <c r="AU695" s="60">
        <v>2228.4299999999998</v>
      </c>
      <c r="AV695" s="60">
        <v>2228.4299999999998</v>
      </c>
      <c r="AW695" s="60">
        <v>2228.4299999999998</v>
      </c>
      <c r="AX695" s="60">
        <v>2228.4299999999998</v>
      </c>
      <c r="AY695" s="61">
        <f t="shared" si="276"/>
        <v>13370.58</v>
      </c>
      <c r="AZ695" s="56">
        <f t="shared" si="271"/>
        <v>26741.16</v>
      </c>
      <c r="BA695" s="62">
        <f t="shared" si="286"/>
        <v>1038447</v>
      </c>
      <c r="BB695" s="62">
        <f t="shared" si="277"/>
        <v>316437.05999999982</v>
      </c>
      <c r="BC695" s="62">
        <f t="shared" si="287"/>
        <v>722009.94000000018</v>
      </c>
      <c r="BD695" s="63">
        <v>735380.51999999909</v>
      </c>
      <c r="BE695" s="57">
        <f t="shared" si="291"/>
        <v>16178.371439999981</v>
      </c>
      <c r="BF695" s="35" t="e">
        <f>VLOOKUP(A:A,'2023-2027'!A:G,1,+FALSE)</f>
        <v>#N/A</v>
      </c>
      <c r="BG695" s="7" t="e">
        <f t="shared" si="279"/>
        <v>#N/A</v>
      </c>
      <c r="BH695" s="35"/>
    </row>
    <row r="696" spans="1:60" ht="24" hidden="1" customHeight="1" outlineLevel="1" x14ac:dyDescent="0.2">
      <c r="A696" s="59" t="s">
        <v>1636</v>
      </c>
      <c r="B696" s="59" t="s">
        <v>44</v>
      </c>
      <c r="C696" s="59" t="s">
        <v>82</v>
      </c>
      <c r="D696" s="66" t="s">
        <v>1637</v>
      </c>
      <c r="E696" s="59" t="s">
        <v>1638</v>
      </c>
      <c r="F696" s="60">
        <v>1587345.72</v>
      </c>
      <c r="G696" s="60">
        <v>444456.6</v>
      </c>
      <c r="H696" s="60">
        <v>1142889.1200000001</v>
      </c>
      <c r="I696" s="59"/>
      <c r="J696" s="60">
        <v>63493.8</v>
      </c>
      <c r="K696" s="59"/>
      <c r="L696" s="59"/>
      <c r="M696" s="60">
        <v>1587345.72</v>
      </c>
      <c r="N696" s="60">
        <v>507950.4</v>
      </c>
      <c r="O696" s="60">
        <v>1079395.32</v>
      </c>
      <c r="P696" s="55">
        <v>1111142.22</v>
      </c>
      <c r="Q696" s="55">
        <f t="shared" si="288"/>
        <v>24445.128840000001</v>
      </c>
      <c r="R696" s="61">
        <f t="shared" si="272"/>
        <v>5291.1500000000005</v>
      </c>
      <c r="S696" s="60">
        <v>5291.15</v>
      </c>
      <c r="T696" s="60">
        <v>5291.15</v>
      </c>
      <c r="U696" s="60">
        <v>5291.15</v>
      </c>
      <c r="V696" s="60">
        <v>5291.15</v>
      </c>
      <c r="W696" s="60">
        <v>5291.15</v>
      </c>
      <c r="X696" s="61">
        <f t="shared" si="273"/>
        <v>31746.9</v>
      </c>
      <c r="Y696" s="60">
        <v>5291.15</v>
      </c>
      <c r="Z696" s="60">
        <v>5291.15</v>
      </c>
      <c r="AA696" s="60">
        <v>5291.15</v>
      </c>
      <c r="AB696" s="60">
        <v>5291.15</v>
      </c>
      <c r="AC696" s="60">
        <v>5291.15</v>
      </c>
      <c r="AD696" s="60">
        <v>5291.15</v>
      </c>
      <c r="AE696" s="61">
        <f t="shared" si="274"/>
        <v>31746.9</v>
      </c>
      <c r="AF696" s="62">
        <f t="shared" si="281"/>
        <v>1587345.72</v>
      </c>
      <c r="AG696" s="62">
        <f t="shared" si="280"/>
        <v>571444.2000000003</v>
      </c>
      <c r="AH696" s="62">
        <f t="shared" si="278"/>
        <v>1015901.5199999997</v>
      </c>
      <c r="AI696" s="63">
        <v>1047648.4199999991</v>
      </c>
      <c r="AJ696" s="63">
        <f t="shared" si="289"/>
        <v>23048.265239999982</v>
      </c>
      <c r="AK696" s="72">
        <f t="shared" si="290"/>
        <v>23048.265239999982</v>
      </c>
      <c r="AL696" s="60">
        <v>5291.15</v>
      </c>
      <c r="AM696" s="60">
        <v>5291.15</v>
      </c>
      <c r="AN696" s="60">
        <v>5291.15</v>
      </c>
      <c r="AO696" s="60">
        <v>5291.15</v>
      </c>
      <c r="AP696" s="60">
        <v>5291.15</v>
      </c>
      <c r="AQ696" s="60">
        <v>5291.15</v>
      </c>
      <c r="AR696" s="61">
        <f t="shared" si="275"/>
        <v>31746.9</v>
      </c>
      <c r="AS696" s="60">
        <v>5291.15</v>
      </c>
      <c r="AT696" s="60">
        <v>5291.15</v>
      </c>
      <c r="AU696" s="60">
        <v>5291.15</v>
      </c>
      <c r="AV696" s="60">
        <v>5291.15</v>
      </c>
      <c r="AW696" s="60">
        <v>5291.15</v>
      </c>
      <c r="AX696" s="60">
        <v>5291.15</v>
      </c>
      <c r="AY696" s="61">
        <f t="shared" si="276"/>
        <v>31746.9</v>
      </c>
      <c r="AZ696" s="56">
        <f t="shared" si="271"/>
        <v>63493.8</v>
      </c>
      <c r="BA696" s="62">
        <f t="shared" si="286"/>
        <v>1587345.72</v>
      </c>
      <c r="BB696" s="62">
        <f t="shared" si="277"/>
        <v>634938.00000000058</v>
      </c>
      <c r="BC696" s="62">
        <f t="shared" si="287"/>
        <v>952407.71999999939</v>
      </c>
      <c r="BD696" s="63">
        <v>984154.61999999755</v>
      </c>
      <c r="BE696" s="57">
        <f t="shared" si="291"/>
        <v>21651.401639999949</v>
      </c>
      <c r="BF696" s="35" t="str">
        <f>VLOOKUP(A:A,'2023-2027'!A:G,1,+FALSE)</f>
        <v>КЛ-0,4 кВ от ТП №108 до гаражей КОС</v>
      </c>
      <c r="BG696" s="7" t="b">
        <f t="shared" si="279"/>
        <v>1</v>
      </c>
      <c r="BH696" s="35">
        <f>VLOOKUP(A:A,'2023-2027'!A:AT,43,+FALSE)</f>
        <v>5291.1500000000005</v>
      </c>
    </row>
    <row r="697" spans="1:60" ht="36" hidden="1" customHeight="1" outlineLevel="1" x14ac:dyDescent="0.2">
      <c r="A697" s="59" t="s">
        <v>1639</v>
      </c>
      <c r="B697" s="59" t="s">
        <v>44</v>
      </c>
      <c r="C697" s="59" t="s">
        <v>82</v>
      </c>
      <c r="D697" s="66" t="s">
        <v>1640</v>
      </c>
      <c r="E697" s="59" t="s">
        <v>1638</v>
      </c>
      <c r="F697" s="60">
        <v>696158.11</v>
      </c>
      <c r="G697" s="60">
        <v>194924.52</v>
      </c>
      <c r="H697" s="60">
        <v>501233.59</v>
      </c>
      <c r="I697" s="59"/>
      <c r="J697" s="60">
        <v>27846.36</v>
      </c>
      <c r="K697" s="59"/>
      <c r="L697" s="59"/>
      <c r="M697" s="60">
        <v>696158.11</v>
      </c>
      <c r="N697" s="60">
        <v>222770.88</v>
      </c>
      <c r="O697" s="60">
        <v>473387.23</v>
      </c>
      <c r="P697" s="55">
        <v>487310.41</v>
      </c>
      <c r="Q697" s="55">
        <f t="shared" si="288"/>
        <v>10720.829020000001</v>
      </c>
      <c r="R697" s="61">
        <f t="shared" si="272"/>
        <v>2320.5300000000002</v>
      </c>
      <c r="S697" s="60">
        <v>2320.5300000000002</v>
      </c>
      <c r="T697" s="60">
        <v>2320.5300000000002</v>
      </c>
      <c r="U697" s="60">
        <v>2320.5300000000002</v>
      </c>
      <c r="V697" s="60">
        <v>2320.5300000000002</v>
      </c>
      <c r="W697" s="60">
        <v>2320.5300000000002</v>
      </c>
      <c r="X697" s="61">
        <f t="shared" si="273"/>
        <v>13923.180000000002</v>
      </c>
      <c r="Y697" s="60">
        <v>2320.5300000000002</v>
      </c>
      <c r="Z697" s="60">
        <v>2320.5300000000002</v>
      </c>
      <c r="AA697" s="60">
        <v>2320.5300000000002</v>
      </c>
      <c r="AB697" s="60">
        <v>2320.5300000000002</v>
      </c>
      <c r="AC697" s="60">
        <v>2320.5300000000002</v>
      </c>
      <c r="AD697" s="60">
        <v>2320.5300000000002</v>
      </c>
      <c r="AE697" s="61">
        <f t="shared" si="274"/>
        <v>13923.180000000002</v>
      </c>
      <c r="AF697" s="62">
        <f t="shared" si="281"/>
        <v>696158.11</v>
      </c>
      <c r="AG697" s="62">
        <f t="shared" si="280"/>
        <v>250617.24</v>
      </c>
      <c r="AH697" s="62">
        <f t="shared" si="278"/>
        <v>445540.87</v>
      </c>
      <c r="AI697" s="63">
        <v>459464.04999999976</v>
      </c>
      <c r="AJ697" s="63">
        <f t="shared" si="289"/>
        <v>10108.209099999996</v>
      </c>
      <c r="AK697" s="72">
        <f t="shared" si="290"/>
        <v>10108.209099999996</v>
      </c>
      <c r="AL697" s="60">
        <v>2320.5300000000002</v>
      </c>
      <c r="AM697" s="60">
        <v>2320.5300000000002</v>
      </c>
      <c r="AN697" s="60">
        <v>2320.5300000000002</v>
      </c>
      <c r="AO697" s="60">
        <v>2320.5300000000002</v>
      </c>
      <c r="AP697" s="60">
        <v>2320.5300000000002</v>
      </c>
      <c r="AQ697" s="60">
        <v>2320.5300000000002</v>
      </c>
      <c r="AR697" s="61">
        <f t="shared" si="275"/>
        <v>13923.180000000002</v>
      </c>
      <c r="AS697" s="60">
        <v>2320.5300000000002</v>
      </c>
      <c r="AT697" s="60">
        <v>2320.5300000000002</v>
      </c>
      <c r="AU697" s="60">
        <v>2320.5300000000002</v>
      </c>
      <c r="AV697" s="60">
        <v>2320.5300000000002</v>
      </c>
      <c r="AW697" s="60">
        <v>2320.5300000000002</v>
      </c>
      <c r="AX697" s="60">
        <v>2320.5300000000002</v>
      </c>
      <c r="AY697" s="61">
        <f t="shared" si="276"/>
        <v>13923.180000000002</v>
      </c>
      <c r="AZ697" s="56">
        <f t="shared" si="271"/>
        <v>27846.360000000004</v>
      </c>
      <c r="BA697" s="62">
        <f t="shared" si="286"/>
        <v>696158.11</v>
      </c>
      <c r="BB697" s="62">
        <f t="shared" si="277"/>
        <v>278463.60000000021</v>
      </c>
      <c r="BC697" s="62">
        <f t="shared" si="287"/>
        <v>417694.50999999978</v>
      </c>
      <c r="BD697" s="63">
        <v>431617.68999999948</v>
      </c>
      <c r="BE697" s="57">
        <f t="shared" si="291"/>
        <v>9495.5891799999899</v>
      </c>
      <c r="BF697" s="35" t="str">
        <f>VLOOKUP(A:A,'2023-2027'!A:G,1,+FALSE)</f>
        <v>КЛ-0,4 кВ от ТП №108 до телерадиовещательной компании</v>
      </c>
      <c r="BG697" s="7" t="b">
        <f t="shared" si="279"/>
        <v>1</v>
      </c>
      <c r="BH697" s="35">
        <f>VLOOKUP(A:A,'2023-2027'!A:AT,43,+FALSE)</f>
        <v>2320.5299999999997</v>
      </c>
    </row>
    <row r="698" spans="1:60" ht="24" hidden="1" customHeight="1" outlineLevel="1" x14ac:dyDescent="0.2">
      <c r="A698" s="59" t="s">
        <v>1641</v>
      </c>
      <c r="B698" s="59" t="s">
        <v>44</v>
      </c>
      <c r="C698" s="59" t="s">
        <v>82</v>
      </c>
      <c r="D698" s="65" t="s">
        <v>1642</v>
      </c>
      <c r="E698" s="59" t="s">
        <v>1643</v>
      </c>
      <c r="F698" s="60">
        <v>239000</v>
      </c>
      <c r="G698" s="60">
        <v>67468.86</v>
      </c>
      <c r="H698" s="60">
        <v>171531.14</v>
      </c>
      <c r="I698" s="59"/>
      <c r="J698" s="60">
        <v>6861.24</v>
      </c>
      <c r="K698" s="59"/>
      <c r="L698" s="59"/>
      <c r="M698" s="60">
        <v>239000</v>
      </c>
      <c r="N698" s="60">
        <v>74330.100000000006</v>
      </c>
      <c r="O698" s="60">
        <v>164669.9</v>
      </c>
      <c r="P698" s="55">
        <v>168100.52</v>
      </c>
      <c r="Q698" s="55">
        <f t="shared" si="288"/>
        <v>3698.21144</v>
      </c>
      <c r="R698" s="61">
        <v>571.77</v>
      </c>
      <c r="S698" s="61">
        <v>571.77</v>
      </c>
      <c r="T698" s="61">
        <v>571.77</v>
      </c>
      <c r="U698" s="61">
        <v>571.77</v>
      </c>
      <c r="V698" s="61">
        <v>571.77</v>
      </c>
      <c r="W698" s="61">
        <v>571.77</v>
      </c>
      <c r="X698" s="61">
        <f t="shared" si="273"/>
        <v>3430.62</v>
      </c>
      <c r="Y698" s="61">
        <v>571.77</v>
      </c>
      <c r="Z698" s="61">
        <v>571.77</v>
      </c>
      <c r="AA698" s="61">
        <v>571.77</v>
      </c>
      <c r="AB698" s="61">
        <v>571.77</v>
      </c>
      <c r="AC698" s="61">
        <v>571.77</v>
      </c>
      <c r="AD698" s="61">
        <v>571.77</v>
      </c>
      <c r="AE698" s="61">
        <f t="shared" si="274"/>
        <v>3430.62</v>
      </c>
      <c r="AF698" s="62">
        <f t="shared" si="281"/>
        <v>239000</v>
      </c>
      <c r="AG698" s="62">
        <f t="shared" si="280"/>
        <v>81191.340000000055</v>
      </c>
      <c r="AH698" s="62">
        <f t="shared" si="278"/>
        <v>157808.65999999995</v>
      </c>
      <c r="AI698" s="63">
        <v>161239.27999999985</v>
      </c>
      <c r="AJ698" s="63">
        <f t="shared" si="289"/>
        <v>3547.264159999997</v>
      </c>
      <c r="AK698" s="72">
        <f t="shared" si="290"/>
        <v>3547.264159999997</v>
      </c>
      <c r="AL698" s="61">
        <v>571.77</v>
      </c>
      <c r="AM698" s="61">
        <v>571.77</v>
      </c>
      <c r="AN698" s="61">
        <v>571.77</v>
      </c>
      <c r="AO698" s="61">
        <v>571.77</v>
      </c>
      <c r="AP698" s="61">
        <v>571.77</v>
      </c>
      <c r="AQ698" s="61">
        <v>571.77</v>
      </c>
      <c r="AR698" s="61">
        <f t="shared" si="275"/>
        <v>3430.62</v>
      </c>
      <c r="AS698" s="61">
        <v>571.77</v>
      </c>
      <c r="AT698" s="61">
        <v>571.77</v>
      </c>
      <c r="AU698" s="61">
        <v>571.77</v>
      </c>
      <c r="AV698" s="61">
        <v>571.77</v>
      </c>
      <c r="AW698" s="61">
        <v>571.77</v>
      </c>
      <c r="AX698" s="61">
        <v>571.77</v>
      </c>
      <c r="AY698" s="61">
        <f t="shared" si="276"/>
        <v>3430.62</v>
      </c>
      <c r="AZ698" s="56">
        <f t="shared" si="271"/>
        <v>6861.24</v>
      </c>
      <c r="BA698" s="62">
        <f t="shared" si="286"/>
        <v>239000</v>
      </c>
      <c r="BB698" s="62">
        <f t="shared" si="277"/>
        <v>88052.580000000104</v>
      </c>
      <c r="BC698" s="62">
        <f t="shared" si="287"/>
        <v>150947.4199999999</v>
      </c>
      <c r="BD698" s="63">
        <v>154378.03999999963</v>
      </c>
      <c r="BE698" s="57">
        <f t="shared" si="291"/>
        <v>3396.3168799999921</v>
      </c>
      <c r="BF698" s="35" t="e">
        <f>VLOOKUP(A:A,'2023-2027'!A:G,1,+FALSE)</f>
        <v>#N/A</v>
      </c>
      <c r="BG698" s="7" t="e">
        <f t="shared" si="279"/>
        <v>#N/A</v>
      </c>
      <c r="BH698" s="35"/>
    </row>
    <row r="699" spans="1:60" ht="36" hidden="1" customHeight="1" outlineLevel="1" x14ac:dyDescent="0.2">
      <c r="A699" s="59" t="s">
        <v>1644</v>
      </c>
      <c r="B699" s="59" t="s">
        <v>44</v>
      </c>
      <c r="C699" s="59" t="s">
        <v>82</v>
      </c>
      <c r="D699" s="66" t="s">
        <v>1645</v>
      </c>
      <c r="E699" s="59" t="s">
        <v>1158</v>
      </c>
      <c r="F699" s="60">
        <v>1216470.52</v>
      </c>
      <c r="G699" s="60">
        <v>291952.8</v>
      </c>
      <c r="H699" s="60">
        <v>924517.72</v>
      </c>
      <c r="I699" s="59"/>
      <c r="J699" s="60">
        <v>48658.8</v>
      </c>
      <c r="K699" s="59"/>
      <c r="L699" s="59"/>
      <c r="M699" s="60">
        <v>1216470.52</v>
      </c>
      <c r="N699" s="60">
        <v>340611.6</v>
      </c>
      <c r="O699" s="60">
        <v>875858.92</v>
      </c>
      <c r="P699" s="55">
        <v>900188.32</v>
      </c>
      <c r="Q699" s="55">
        <f t="shared" si="288"/>
        <v>19804.143040000003</v>
      </c>
      <c r="R699" s="61">
        <f t="shared" si="272"/>
        <v>4054.9</v>
      </c>
      <c r="S699" s="60">
        <v>4054.9</v>
      </c>
      <c r="T699" s="60">
        <v>4054.9</v>
      </c>
      <c r="U699" s="60">
        <v>4054.9</v>
      </c>
      <c r="V699" s="60">
        <v>4054.9</v>
      </c>
      <c r="W699" s="60">
        <v>4054.9</v>
      </c>
      <c r="X699" s="61">
        <f t="shared" si="273"/>
        <v>24329.4</v>
      </c>
      <c r="Y699" s="60">
        <v>4054.9</v>
      </c>
      <c r="Z699" s="60">
        <v>4054.9</v>
      </c>
      <c r="AA699" s="60">
        <v>4054.9</v>
      </c>
      <c r="AB699" s="60">
        <v>4054.9</v>
      </c>
      <c r="AC699" s="60">
        <v>4054.9</v>
      </c>
      <c r="AD699" s="60">
        <v>4054.9</v>
      </c>
      <c r="AE699" s="61">
        <f t="shared" si="274"/>
        <v>24329.4</v>
      </c>
      <c r="AF699" s="62">
        <f t="shared" si="281"/>
        <v>1216470.52</v>
      </c>
      <c r="AG699" s="62">
        <f t="shared" si="280"/>
        <v>389270.40000000026</v>
      </c>
      <c r="AH699" s="62">
        <f t="shared" si="278"/>
        <v>827200.11999999976</v>
      </c>
      <c r="AI699" s="63">
        <v>851529.51999999979</v>
      </c>
      <c r="AJ699" s="63">
        <f t="shared" si="289"/>
        <v>18733.649439999997</v>
      </c>
      <c r="AK699" s="72">
        <f t="shared" si="290"/>
        <v>18733.649439999997</v>
      </c>
      <c r="AL699" s="60">
        <v>4054.9</v>
      </c>
      <c r="AM699" s="60">
        <v>4054.9</v>
      </c>
      <c r="AN699" s="60">
        <v>4054.9</v>
      </c>
      <c r="AO699" s="60">
        <v>4054.9</v>
      </c>
      <c r="AP699" s="60">
        <v>4054.9</v>
      </c>
      <c r="AQ699" s="60">
        <v>4054.9</v>
      </c>
      <c r="AR699" s="61">
        <f t="shared" si="275"/>
        <v>24329.4</v>
      </c>
      <c r="AS699" s="60">
        <v>4054.9</v>
      </c>
      <c r="AT699" s="60">
        <v>4054.9</v>
      </c>
      <c r="AU699" s="60">
        <v>4054.9</v>
      </c>
      <c r="AV699" s="60">
        <v>4054.9</v>
      </c>
      <c r="AW699" s="60">
        <v>4054.9</v>
      </c>
      <c r="AX699" s="60">
        <v>4054.9</v>
      </c>
      <c r="AY699" s="61">
        <f t="shared" si="276"/>
        <v>24329.4</v>
      </c>
      <c r="AZ699" s="56">
        <f t="shared" si="271"/>
        <v>48658.8</v>
      </c>
      <c r="BA699" s="62">
        <f t="shared" si="286"/>
        <v>1216470.52</v>
      </c>
      <c r="BB699" s="62">
        <f t="shared" si="277"/>
        <v>437929.20000000054</v>
      </c>
      <c r="BC699" s="62">
        <f t="shared" si="287"/>
        <v>778541.31999999948</v>
      </c>
      <c r="BD699" s="63">
        <v>802870.71999999962</v>
      </c>
      <c r="BE699" s="57">
        <f t="shared" si="291"/>
        <v>17663.155839999992</v>
      </c>
      <c r="BF699" s="35" t="str">
        <f>VLOOKUP(A:A,'2023-2027'!A:G,1,+FALSE)</f>
        <v>КЛ-0,4 кВ электроснабжение объекта "Ненецкая СББЖ г.Нарьян-Мара"</v>
      </c>
      <c r="BG699" s="7" t="b">
        <f t="shared" si="279"/>
        <v>1</v>
      </c>
      <c r="BH699" s="35">
        <f>VLOOKUP(A:A,'2023-2027'!A:AT,43,+FALSE)</f>
        <v>4054.900000000001</v>
      </c>
    </row>
    <row r="700" spans="1:60" ht="24" hidden="1" customHeight="1" outlineLevel="1" x14ac:dyDescent="0.2">
      <c r="A700" s="59" t="s">
        <v>1646</v>
      </c>
      <c r="B700" s="59" t="s">
        <v>44</v>
      </c>
      <c r="C700" s="59" t="s">
        <v>82</v>
      </c>
      <c r="D700" s="66" t="s">
        <v>1647</v>
      </c>
      <c r="E700" s="59" t="s">
        <v>674</v>
      </c>
      <c r="F700" s="60">
        <v>28330.05</v>
      </c>
      <c r="G700" s="60">
        <v>13031.34</v>
      </c>
      <c r="H700" s="60">
        <v>15298.71</v>
      </c>
      <c r="I700" s="59"/>
      <c r="J700" s="60">
        <v>1133.28</v>
      </c>
      <c r="K700" s="59"/>
      <c r="L700" s="59"/>
      <c r="M700" s="60">
        <v>28330.05</v>
      </c>
      <c r="N700" s="60">
        <v>14164.62</v>
      </c>
      <c r="O700" s="60">
        <v>14165.43</v>
      </c>
      <c r="P700" s="55">
        <v>14732.07</v>
      </c>
      <c r="Q700" s="55">
        <f t="shared" si="288"/>
        <v>324.10554000000002</v>
      </c>
      <c r="R700" s="61">
        <f t="shared" si="272"/>
        <v>94.44</v>
      </c>
      <c r="S700" s="60">
        <v>94.44</v>
      </c>
      <c r="T700" s="60">
        <v>94.44</v>
      </c>
      <c r="U700" s="60">
        <v>94.44</v>
      </c>
      <c r="V700" s="60">
        <v>94.44</v>
      </c>
      <c r="W700" s="60">
        <v>94.44</v>
      </c>
      <c r="X700" s="61">
        <f t="shared" si="273"/>
        <v>566.64</v>
      </c>
      <c r="Y700" s="60">
        <v>94.44</v>
      </c>
      <c r="Z700" s="60">
        <v>94.44</v>
      </c>
      <c r="AA700" s="60">
        <v>94.44</v>
      </c>
      <c r="AB700" s="60">
        <v>94.44</v>
      </c>
      <c r="AC700" s="60">
        <v>94.44</v>
      </c>
      <c r="AD700" s="60">
        <v>94.44</v>
      </c>
      <c r="AE700" s="61">
        <f t="shared" si="274"/>
        <v>566.64</v>
      </c>
      <c r="AF700" s="62">
        <f t="shared" si="281"/>
        <v>28330.05</v>
      </c>
      <c r="AG700" s="62">
        <f t="shared" si="280"/>
        <v>15297.900000000007</v>
      </c>
      <c r="AH700" s="62">
        <f t="shared" si="278"/>
        <v>13032.149999999992</v>
      </c>
      <c r="AI700" s="63">
        <v>13598.790000000006</v>
      </c>
      <c r="AJ700" s="63">
        <f t="shared" si="289"/>
        <v>299.17338000000018</v>
      </c>
      <c r="AK700" s="72">
        <f t="shared" si="290"/>
        <v>299.17338000000018</v>
      </c>
      <c r="AL700" s="60">
        <v>94.44</v>
      </c>
      <c r="AM700" s="60">
        <v>94.44</v>
      </c>
      <c r="AN700" s="60">
        <v>94.44</v>
      </c>
      <c r="AO700" s="60">
        <v>94.44</v>
      </c>
      <c r="AP700" s="60">
        <v>94.44</v>
      </c>
      <c r="AQ700" s="60">
        <v>94.44</v>
      </c>
      <c r="AR700" s="61">
        <f t="shared" si="275"/>
        <v>566.64</v>
      </c>
      <c r="AS700" s="60">
        <v>94.44</v>
      </c>
      <c r="AT700" s="60">
        <v>94.44</v>
      </c>
      <c r="AU700" s="60">
        <v>94.44</v>
      </c>
      <c r="AV700" s="60">
        <v>94.44</v>
      </c>
      <c r="AW700" s="60">
        <v>94.44</v>
      </c>
      <c r="AX700" s="60">
        <v>94.44</v>
      </c>
      <c r="AY700" s="61">
        <f t="shared" si="276"/>
        <v>566.64</v>
      </c>
      <c r="AZ700" s="56">
        <f t="shared" si="271"/>
        <v>1133.28</v>
      </c>
      <c r="BA700" s="62">
        <f t="shared" si="286"/>
        <v>28330.05</v>
      </c>
      <c r="BB700" s="62">
        <f t="shared" si="277"/>
        <v>16431.180000000011</v>
      </c>
      <c r="BC700" s="62">
        <f t="shared" si="287"/>
        <v>11898.869999999988</v>
      </c>
      <c r="BD700" s="63">
        <v>12465.510000000022</v>
      </c>
      <c r="BE700" s="57">
        <f t="shared" si="291"/>
        <v>274.24122000000051</v>
      </c>
      <c r="BF700" s="35" t="str">
        <f>VLOOKUP(A:A,'2023-2027'!A:G,1,+FALSE)</f>
        <v>КЛ-0,4 кВ(от  ТП Бондарная до очистных) 40м</v>
      </c>
      <c r="BG700" s="7" t="b">
        <f t="shared" si="279"/>
        <v>1</v>
      </c>
      <c r="BH700" s="35">
        <f>VLOOKUP(A:A,'2023-2027'!A:AT,43,+FALSE)</f>
        <v>94.44</v>
      </c>
    </row>
    <row r="701" spans="1:60" ht="24" hidden="1" customHeight="1" outlineLevel="1" x14ac:dyDescent="0.2">
      <c r="A701" s="59" t="s">
        <v>1648</v>
      </c>
      <c r="B701" s="59" t="s">
        <v>44</v>
      </c>
      <c r="C701" s="59" t="s">
        <v>82</v>
      </c>
      <c r="D701" s="66" t="s">
        <v>1649</v>
      </c>
      <c r="E701" s="59" t="s">
        <v>674</v>
      </c>
      <c r="F701" s="60">
        <v>10494.92</v>
      </c>
      <c r="G701" s="60">
        <v>4827.24</v>
      </c>
      <c r="H701" s="60">
        <v>5667.68</v>
      </c>
      <c r="I701" s="59"/>
      <c r="J701" s="68">
        <v>419.88</v>
      </c>
      <c r="K701" s="59"/>
      <c r="L701" s="59"/>
      <c r="M701" s="60">
        <v>10494.92</v>
      </c>
      <c r="N701" s="60">
        <v>5247.12</v>
      </c>
      <c r="O701" s="60">
        <v>5247.8</v>
      </c>
      <c r="P701" s="55">
        <v>5457.74</v>
      </c>
      <c r="Q701" s="55">
        <f t="shared" si="288"/>
        <v>120.07028000000001</v>
      </c>
      <c r="R701" s="61">
        <f t="shared" si="272"/>
        <v>34.99</v>
      </c>
      <c r="S701" s="60">
        <v>34.99</v>
      </c>
      <c r="T701" s="60">
        <v>34.99</v>
      </c>
      <c r="U701" s="60">
        <v>34.99</v>
      </c>
      <c r="V701" s="60">
        <v>34.99</v>
      </c>
      <c r="W701" s="60">
        <v>34.99</v>
      </c>
      <c r="X701" s="61">
        <f t="shared" si="273"/>
        <v>209.94000000000003</v>
      </c>
      <c r="Y701" s="60">
        <v>34.99</v>
      </c>
      <c r="Z701" s="60">
        <v>34.99</v>
      </c>
      <c r="AA701" s="60">
        <v>34.99</v>
      </c>
      <c r="AB701" s="60">
        <v>34.99</v>
      </c>
      <c r="AC701" s="60">
        <v>34.99</v>
      </c>
      <c r="AD701" s="60">
        <v>34.99</v>
      </c>
      <c r="AE701" s="61">
        <f t="shared" si="274"/>
        <v>209.94000000000003</v>
      </c>
      <c r="AF701" s="62">
        <f t="shared" si="281"/>
        <v>10494.92</v>
      </c>
      <c r="AG701" s="62">
        <f t="shared" si="280"/>
        <v>5666.9999999999973</v>
      </c>
      <c r="AH701" s="62">
        <f t="shared" si="278"/>
        <v>4827.9200000000028</v>
      </c>
      <c r="AI701" s="63">
        <v>5037.8599999999951</v>
      </c>
      <c r="AJ701" s="63">
        <f t="shared" si="289"/>
        <v>110.8329199999999</v>
      </c>
      <c r="AK701" s="72">
        <f t="shared" si="290"/>
        <v>110.8329199999999</v>
      </c>
      <c r="AL701" s="60">
        <v>34.99</v>
      </c>
      <c r="AM701" s="60">
        <v>34.99</v>
      </c>
      <c r="AN701" s="60">
        <v>34.99</v>
      </c>
      <c r="AO701" s="60">
        <v>34.99</v>
      </c>
      <c r="AP701" s="60">
        <v>34.99</v>
      </c>
      <c r="AQ701" s="60">
        <v>34.99</v>
      </c>
      <c r="AR701" s="61">
        <f t="shared" si="275"/>
        <v>209.94000000000003</v>
      </c>
      <c r="AS701" s="60">
        <v>34.99</v>
      </c>
      <c r="AT701" s="60">
        <v>34.99</v>
      </c>
      <c r="AU701" s="60">
        <v>34.99</v>
      </c>
      <c r="AV701" s="60">
        <v>34.99</v>
      </c>
      <c r="AW701" s="60">
        <v>34.99</v>
      </c>
      <c r="AX701" s="60">
        <v>34.99</v>
      </c>
      <c r="AY701" s="61">
        <f t="shared" si="276"/>
        <v>209.94000000000003</v>
      </c>
      <c r="AZ701" s="56">
        <f t="shared" si="271"/>
        <v>419.88000000000005</v>
      </c>
      <c r="BA701" s="62">
        <f t="shared" si="286"/>
        <v>10494.92</v>
      </c>
      <c r="BB701" s="62">
        <f t="shared" si="277"/>
        <v>6086.8799999999947</v>
      </c>
      <c r="BC701" s="62">
        <f t="shared" si="287"/>
        <v>4408.0400000000054</v>
      </c>
      <c r="BD701" s="63">
        <v>4617.9799999999877</v>
      </c>
      <c r="BE701" s="57">
        <f t="shared" si="291"/>
        <v>101.59555999999974</v>
      </c>
      <c r="BF701" s="35" t="str">
        <f>VLOOKUP(A:A,'2023-2027'!A:G,1,+FALSE)</f>
        <v>КЛ-0,4кВ (от  ТП Бондарная до ЛЭП-0,4)  25м</v>
      </c>
      <c r="BG701" s="7" t="b">
        <f t="shared" si="279"/>
        <v>1</v>
      </c>
      <c r="BH701" s="35">
        <f>VLOOKUP(A:A,'2023-2027'!A:AT,43,+FALSE)</f>
        <v>34.99</v>
      </c>
    </row>
    <row r="702" spans="1:60" ht="24" hidden="1" customHeight="1" outlineLevel="1" x14ac:dyDescent="0.2">
      <c r="A702" s="59" t="s">
        <v>1650</v>
      </c>
      <c r="B702" s="59" t="s">
        <v>44</v>
      </c>
      <c r="C702" s="59" t="s">
        <v>82</v>
      </c>
      <c r="D702" s="66" t="s">
        <v>1651</v>
      </c>
      <c r="E702" s="59" t="s">
        <v>1652</v>
      </c>
      <c r="F702" s="60">
        <v>1207827.9099999999</v>
      </c>
      <c r="G702" s="60">
        <v>382478.55</v>
      </c>
      <c r="H702" s="60">
        <v>825349.36</v>
      </c>
      <c r="I702" s="59"/>
      <c r="J702" s="60">
        <v>48313.08</v>
      </c>
      <c r="K702" s="59"/>
      <c r="L702" s="59"/>
      <c r="M702" s="60">
        <v>1207827.9099999999</v>
      </c>
      <c r="N702" s="60">
        <v>430791.63</v>
      </c>
      <c r="O702" s="60">
        <v>777036.28</v>
      </c>
      <c r="P702" s="55">
        <v>801192.82</v>
      </c>
      <c r="Q702" s="55">
        <f t="shared" si="288"/>
        <v>17626.242040000001</v>
      </c>
      <c r="R702" s="61">
        <f t="shared" si="272"/>
        <v>4026.09</v>
      </c>
      <c r="S702" s="60">
        <v>4026.09</v>
      </c>
      <c r="T702" s="60">
        <v>4026.09</v>
      </c>
      <c r="U702" s="60">
        <v>4026.09</v>
      </c>
      <c r="V702" s="60">
        <v>4026.09</v>
      </c>
      <c r="W702" s="60">
        <v>4026.09</v>
      </c>
      <c r="X702" s="61">
        <f t="shared" si="273"/>
        <v>24156.54</v>
      </c>
      <c r="Y702" s="60">
        <v>4026.09</v>
      </c>
      <c r="Z702" s="60">
        <v>4026.09</v>
      </c>
      <c r="AA702" s="60">
        <v>4026.09</v>
      </c>
      <c r="AB702" s="60">
        <v>4026.09</v>
      </c>
      <c r="AC702" s="60">
        <v>4026.09</v>
      </c>
      <c r="AD702" s="60">
        <v>4026.09</v>
      </c>
      <c r="AE702" s="61">
        <f t="shared" si="274"/>
        <v>24156.54</v>
      </c>
      <c r="AF702" s="62">
        <f t="shared" si="281"/>
        <v>1207827.9099999999</v>
      </c>
      <c r="AG702" s="62">
        <f t="shared" si="280"/>
        <v>479104.71000000031</v>
      </c>
      <c r="AH702" s="62">
        <f t="shared" si="278"/>
        <v>728723.1999999996</v>
      </c>
      <c r="AI702" s="63">
        <v>752879.74000000034</v>
      </c>
      <c r="AJ702" s="63">
        <f t="shared" si="289"/>
        <v>16563.35428000001</v>
      </c>
      <c r="AK702" s="72">
        <f t="shared" si="290"/>
        <v>16563.35428000001</v>
      </c>
      <c r="AL702" s="60">
        <v>4026.09</v>
      </c>
      <c r="AM702" s="60">
        <v>4026.09</v>
      </c>
      <c r="AN702" s="60">
        <v>4026.09</v>
      </c>
      <c r="AO702" s="60">
        <v>4026.09</v>
      </c>
      <c r="AP702" s="60">
        <v>4026.09</v>
      </c>
      <c r="AQ702" s="60">
        <v>4026.09</v>
      </c>
      <c r="AR702" s="61">
        <f t="shared" si="275"/>
        <v>24156.54</v>
      </c>
      <c r="AS702" s="60">
        <v>4026.09</v>
      </c>
      <c r="AT702" s="60">
        <v>4026.09</v>
      </c>
      <c r="AU702" s="60">
        <v>4026.09</v>
      </c>
      <c r="AV702" s="60">
        <v>4026.09</v>
      </c>
      <c r="AW702" s="60">
        <v>4026.09</v>
      </c>
      <c r="AX702" s="60">
        <v>4026.09</v>
      </c>
      <c r="AY702" s="61">
        <f t="shared" si="276"/>
        <v>24156.54</v>
      </c>
      <c r="AZ702" s="56">
        <f t="shared" si="271"/>
        <v>48313.08</v>
      </c>
      <c r="BA702" s="62">
        <f t="shared" si="286"/>
        <v>1207827.9099999999</v>
      </c>
      <c r="BB702" s="62">
        <f t="shared" si="277"/>
        <v>527417.79000000062</v>
      </c>
      <c r="BC702" s="62">
        <f t="shared" si="287"/>
        <v>680410.1199999993</v>
      </c>
      <c r="BD702" s="63">
        <v>704566.66000000061</v>
      </c>
      <c r="BE702" s="57">
        <f t="shared" si="291"/>
        <v>15500.466520000014</v>
      </c>
      <c r="BF702" s="35" t="str">
        <f>VLOOKUP(A:A,'2023-2027'!A:G,1,+FALSE)</f>
        <v>КЛ-0,4кВ (от ТП № 104  до КНС2)  ул. Авиаторов 2013г (450 м)</v>
      </c>
      <c r="BG702" s="7" t="b">
        <f t="shared" si="279"/>
        <v>1</v>
      </c>
      <c r="BH702" s="35">
        <f>VLOOKUP(A:A,'2023-2027'!A:AT,43,+FALSE)</f>
        <v>4026.0899999999988</v>
      </c>
    </row>
    <row r="703" spans="1:60" ht="36" hidden="1" customHeight="1" outlineLevel="1" x14ac:dyDescent="0.2">
      <c r="A703" s="59" t="s">
        <v>1653</v>
      </c>
      <c r="B703" s="59" t="s">
        <v>44</v>
      </c>
      <c r="C703" s="59" t="s">
        <v>82</v>
      </c>
      <c r="D703" s="66" t="s">
        <v>1654</v>
      </c>
      <c r="E703" s="59" t="s">
        <v>1652</v>
      </c>
      <c r="F703" s="60">
        <v>159632.63</v>
      </c>
      <c r="G703" s="60">
        <v>50550.45</v>
      </c>
      <c r="H703" s="60">
        <v>109082.18</v>
      </c>
      <c r="I703" s="59"/>
      <c r="J703" s="60">
        <v>6385.32</v>
      </c>
      <c r="K703" s="59"/>
      <c r="L703" s="59"/>
      <c r="M703" s="60">
        <v>159632.63</v>
      </c>
      <c r="N703" s="60">
        <v>56935.77</v>
      </c>
      <c r="O703" s="60">
        <v>102696.86</v>
      </c>
      <c r="P703" s="55">
        <v>105889.52</v>
      </c>
      <c r="Q703" s="55">
        <f t="shared" si="288"/>
        <v>2329.5694400000002</v>
      </c>
      <c r="R703" s="61">
        <f t="shared" si="272"/>
        <v>532.11</v>
      </c>
      <c r="S703" s="60">
        <v>532.11</v>
      </c>
      <c r="T703" s="60">
        <v>532.11</v>
      </c>
      <c r="U703" s="60">
        <v>532.11</v>
      </c>
      <c r="V703" s="60">
        <v>532.11</v>
      </c>
      <c r="W703" s="60">
        <v>532.11</v>
      </c>
      <c r="X703" s="61">
        <f t="shared" si="273"/>
        <v>3192.6600000000003</v>
      </c>
      <c r="Y703" s="60">
        <v>532.11</v>
      </c>
      <c r="Z703" s="60">
        <v>532.11</v>
      </c>
      <c r="AA703" s="60">
        <v>532.11</v>
      </c>
      <c r="AB703" s="60">
        <v>532.11</v>
      </c>
      <c r="AC703" s="60">
        <v>532.11</v>
      </c>
      <c r="AD703" s="60">
        <v>532.11</v>
      </c>
      <c r="AE703" s="61">
        <f t="shared" si="274"/>
        <v>3192.6600000000003</v>
      </c>
      <c r="AF703" s="62">
        <f t="shared" si="281"/>
        <v>159632.63</v>
      </c>
      <c r="AG703" s="62">
        <f t="shared" si="280"/>
        <v>63321.090000000004</v>
      </c>
      <c r="AH703" s="62">
        <f t="shared" si="278"/>
        <v>96311.540000000008</v>
      </c>
      <c r="AI703" s="63">
        <v>99504.200000000099</v>
      </c>
      <c r="AJ703" s="63">
        <f t="shared" si="289"/>
        <v>2189.0924000000023</v>
      </c>
      <c r="AK703" s="72">
        <f t="shared" si="290"/>
        <v>2189.0924000000023</v>
      </c>
      <c r="AL703" s="60">
        <v>532.11</v>
      </c>
      <c r="AM703" s="60">
        <v>532.11</v>
      </c>
      <c r="AN703" s="60">
        <v>532.11</v>
      </c>
      <c r="AO703" s="60">
        <v>532.11</v>
      </c>
      <c r="AP703" s="60">
        <v>532.11</v>
      </c>
      <c r="AQ703" s="60">
        <v>532.11</v>
      </c>
      <c r="AR703" s="61">
        <f t="shared" si="275"/>
        <v>3192.6600000000003</v>
      </c>
      <c r="AS703" s="60">
        <v>532.11</v>
      </c>
      <c r="AT703" s="60">
        <v>532.11</v>
      </c>
      <c r="AU703" s="60">
        <v>532.11</v>
      </c>
      <c r="AV703" s="60">
        <v>532.11</v>
      </c>
      <c r="AW703" s="60">
        <v>532.11</v>
      </c>
      <c r="AX703" s="60">
        <v>532.11</v>
      </c>
      <c r="AY703" s="61">
        <f t="shared" si="276"/>
        <v>3192.6600000000003</v>
      </c>
      <c r="AZ703" s="56">
        <f t="shared" si="271"/>
        <v>6385.3200000000006</v>
      </c>
      <c r="BA703" s="62">
        <f t="shared" si="286"/>
        <v>159632.63</v>
      </c>
      <c r="BB703" s="62">
        <f t="shared" si="277"/>
        <v>69706.41</v>
      </c>
      <c r="BC703" s="62">
        <f t="shared" si="287"/>
        <v>89926.22</v>
      </c>
      <c r="BD703" s="63">
        <v>93118.880000000267</v>
      </c>
      <c r="BE703" s="57">
        <f t="shared" si="291"/>
        <v>2048.6153600000061</v>
      </c>
      <c r="BF703" s="35" t="str">
        <f>VLOOKUP(A:A,'2023-2027'!A:G,1,+FALSE)</f>
        <v>КЛ-0,4кВ (от ТП № 104  до котельной)  ул. Авиаторов 2013г (50 м)</v>
      </c>
      <c r="BG703" s="7" t="b">
        <f t="shared" si="279"/>
        <v>1</v>
      </c>
      <c r="BH703" s="35">
        <f>VLOOKUP(A:A,'2023-2027'!A:AT,43,+FALSE)</f>
        <v>532.1099999999999</v>
      </c>
    </row>
    <row r="704" spans="1:60" ht="24" hidden="1" customHeight="1" outlineLevel="1" x14ac:dyDescent="0.2">
      <c r="A704" s="59" t="s">
        <v>1655</v>
      </c>
      <c r="B704" s="59" t="s">
        <v>44</v>
      </c>
      <c r="C704" s="59" t="s">
        <v>82</v>
      </c>
      <c r="D704" s="66" t="s">
        <v>1656</v>
      </c>
      <c r="E704" s="59" t="s">
        <v>1414</v>
      </c>
      <c r="F704" s="60">
        <v>43118.239999999998</v>
      </c>
      <c r="G704" s="60">
        <v>18109.98</v>
      </c>
      <c r="H704" s="60">
        <v>25008.26</v>
      </c>
      <c r="I704" s="59"/>
      <c r="J704" s="60">
        <v>1724.76</v>
      </c>
      <c r="K704" s="59"/>
      <c r="L704" s="59"/>
      <c r="M704" s="60">
        <v>43118.239999999998</v>
      </c>
      <c r="N704" s="60">
        <v>19834.740000000002</v>
      </c>
      <c r="O704" s="60">
        <v>23283.5</v>
      </c>
      <c r="P704" s="55">
        <v>24145.88</v>
      </c>
      <c r="Q704" s="55">
        <f t="shared" si="288"/>
        <v>531.20936000000006</v>
      </c>
      <c r="R704" s="61">
        <f t="shared" si="272"/>
        <v>143.72999999999999</v>
      </c>
      <c r="S704" s="60">
        <v>143.72999999999999</v>
      </c>
      <c r="T704" s="60">
        <v>143.72999999999999</v>
      </c>
      <c r="U704" s="60">
        <v>143.72999999999999</v>
      </c>
      <c r="V704" s="60">
        <v>143.72999999999999</v>
      </c>
      <c r="W704" s="60">
        <v>143.72999999999999</v>
      </c>
      <c r="X704" s="61">
        <f t="shared" si="273"/>
        <v>862.38</v>
      </c>
      <c r="Y704" s="60">
        <v>143.72999999999999</v>
      </c>
      <c r="Z704" s="60">
        <v>143.72999999999999</v>
      </c>
      <c r="AA704" s="60">
        <v>143.72999999999999</v>
      </c>
      <c r="AB704" s="60">
        <v>143.72999999999999</v>
      </c>
      <c r="AC704" s="60">
        <v>143.72999999999999</v>
      </c>
      <c r="AD704" s="60">
        <v>143.72999999999999</v>
      </c>
      <c r="AE704" s="61">
        <f t="shared" si="274"/>
        <v>862.38</v>
      </c>
      <c r="AF704" s="62">
        <f t="shared" si="281"/>
        <v>43118.239999999998</v>
      </c>
      <c r="AG704" s="62">
        <f t="shared" si="280"/>
        <v>21559.499999999996</v>
      </c>
      <c r="AH704" s="62">
        <f t="shared" si="278"/>
        <v>21558.74</v>
      </c>
      <c r="AI704" s="63">
        <v>22421.119999999999</v>
      </c>
      <c r="AJ704" s="63">
        <f t="shared" si="289"/>
        <v>493.26464000000004</v>
      </c>
      <c r="AK704" s="72">
        <f t="shared" si="290"/>
        <v>493.26464000000004</v>
      </c>
      <c r="AL704" s="60">
        <v>143.72999999999999</v>
      </c>
      <c r="AM704" s="60">
        <v>143.72999999999999</v>
      </c>
      <c r="AN704" s="60">
        <v>143.72999999999999</v>
      </c>
      <c r="AO704" s="60">
        <v>143.72999999999999</v>
      </c>
      <c r="AP704" s="60">
        <v>143.72999999999999</v>
      </c>
      <c r="AQ704" s="60">
        <v>143.72999999999999</v>
      </c>
      <c r="AR704" s="61">
        <f t="shared" si="275"/>
        <v>862.38</v>
      </c>
      <c r="AS704" s="60">
        <v>143.72999999999999</v>
      </c>
      <c r="AT704" s="60">
        <v>143.72999999999999</v>
      </c>
      <c r="AU704" s="60">
        <v>143.72999999999999</v>
      </c>
      <c r="AV704" s="60">
        <v>143.72999999999999</v>
      </c>
      <c r="AW704" s="60">
        <v>143.72999999999999</v>
      </c>
      <c r="AX704" s="60">
        <v>143.72999999999999</v>
      </c>
      <c r="AY704" s="61">
        <f t="shared" si="276"/>
        <v>862.38</v>
      </c>
      <c r="AZ704" s="56">
        <f t="shared" si="271"/>
        <v>1724.76</v>
      </c>
      <c r="BA704" s="62">
        <f t="shared" si="286"/>
        <v>43118.239999999998</v>
      </c>
      <c r="BB704" s="62">
        <f t="shared" si="277"/>
        <v>23284.259999999991</v>
      </c>
      <c r="BC704" s="62">
        <f t="shared" si="287"/>
        <v>19833.980000000007</v>
      </c>
      <c r="BD704" s="63">
        <v>20696.360000000008</v>
      </c>
      <c r="BE704" s="57">
        <f t="shared" si="291"/>
        <v>455.3199200000002</v>
      </c>
      <c r="BF704" s="35" t="str">
        <f>VLOOKUP(A:A,'2023-2027'!A:G,1,+FALSE)</f>
        <v>КЛ-0,4кВ от ТП-61 до магазина "Арбат"</v>
      </c>
      <c r="BG704" s="7" t="b">
        <f t="shared" si="279"/>
        <v>1</v>
      </c>
      <c r="BH704" s="35">
        <f>VLOOKUP(A:A,'2023-2027'!A:AT,43,+FALSE)</f>
        <v>143.72999999999999</v>
      </c>
    </row>
    <row r="705" spans="1:60" ht="24" hidden="1" customHeight="1" outlineLevel="1" x14ac:dyDescent="0.2">
      <c r="A705" s="59" t="s">
        <v>1657</v>
      </c>
      <c r="B705" s="59" t="s">
        <v>44</v>
      </c>
      <c r="C705" s="59" t="s">
        <v>82</v>
      </c>
      <c r="D705" s="66" t="s">
        <v>1658</v>
      </c>
      <c r="E705" s="59" t="s">
        <v>237</v>
      </c>
      <c r="F705" s="60">
        <v>160102.93</v>
      </c>
      <c r="G705" s="60">
        <v>64041.599999999999</v>
      </c>
      <c r="H705" s="60">
        <v>96061.33</v>
      </c>
      <c r="I705" s="59"/>
      <c r="J705" s="60">
        <v>6404.04</v>
      </c>
      <c r="K705" s="59"/>
      <c r="L705" s="59"/>
      <c r="M705" s="60">
        <v>160102.93</v>
      </c>
      <c r="N705" s="60">
        <v>70445.64</v>
      </c>
      <c r="O705" s="60">
        <v>89657.29</v>
      </c>
      <c r="P705" s="55">
        <v>92859.31</v>
      </c>
      <c r="Q705" s="55">
        <f t="shared" si="288"/>
        <v>2042.9048200000002</v>
      </c>
      <c r="R705" s="61">
        <f t="shared" si="272"/>
        <v>533.66999999999996</v>
      </c>
      <c r="S705" s="60">
        <v>533.66999999999996</v>
      </c>
      <c r="T705" s="60">
        <v>533.66999999999996</v>
      </c>
      <c r="U705" s="60">
        <v>533.66999999999996</v>
      </c>
      <c r="V705" s="60">
        <v>533.66999999999996</v>
      </c>
      <c r="W705" s="60">
        <v>533.66999999999996</v>
      </c>
      <c r="X705" s="61">
        <f t="shared" si="273"/>
        <v>3202.02</v>
      </c>
      <c r="Y705" s="60">
        <v>533.66999999999996</v>
      </c>
      <c r="Z705" s="60">
        <v>533.66999999999996</v>
      </c>
      <c r="AA705" s="60">
        <v>533.66999999999996</v>
      </c>
      <c r="AB705" s="60">
        <v>533.66999999999996</v>
      </c>
      <c r="AC705" s="60">
        <v>533.66999999999996</v>
      </c>
      <c r="AD705" s="60">
        <v>533.66999999999996</v>
      </c>
      <c r="AE705" s="61">
        <f t="shared" si="274"/>
        <v>3202.02</v>
      </c>
      <c r="AF705" s="62">
        <f t="shared" si="281"/>
        <v>160102.93</v>
      </c>
      <c r="AG705" s="62">
        <f t="shared" si="280"/>
        <v>76849.679999999978</v>
      </c>
      <c r="AH705" s="62">
        <f t="shared" si="278"/>
        <v>83253.250000000015</v>
      </c>
      <c r="AI705" s="63">
        <v>86455.27</v>
      </c>
      <c r="AJ705" s="63">
        <f t="shared" si="289"/>
        <v>1902.0159400000002</v>
      </c>
      <c r="AK705" s="72">
        <f t="shared" si="290"/>
        <v>1902.0159400000002</v>
      </c>
      <c r="AL705" s="60">
        <v>533.66999999999996</v>
      </c>
      <c r="AM705" s="60">
        <v>533.66999999999996</v>
      </c>
      <c r="AN705" s="60">
        <v>533.66999999999996</v>
      </c>
      <c r="AO705" s="60">
        <v>533.66999999999996</v>
      </c>
      <c r="AP705" s="60">
        <v>533.66999999999996</v>
      </c>
      <c r="AQ705" s="60">
        <v>533.66999999999996</v>
      </c>
      <c r="AR705" s="61">
        <f t="shared" si="275"/>
        <v>3202.02</v>
      </c>
      <c r="AS705" s="60">
        <v>533.66999999999996</v>
      </c>
      <c r="AT705" s="60">
        <v>533.66999999999996</v>
      </c>
      <c r="AU705" s="60">
        <v>533.66999999999996</v>
      </c>
      <c r="AV705" s="60">
        <v>533.66999999999996</v>
      </c>
      <c r="AW705" s="60">
        <v>533.66999999999996</v>
      </c>
      <c r="AX705" s="60">
        <v>533.66999999999996</v>
      </c>
      <c r="AY705" s="61">
        <f t="shared" si="276"/>
        <v>3202.02</v>
      </c>
      <c r="AZ705" s="56">
        <f t="shared" si="271"/>
        <v>6404.04</v>
      </c>
      <c r="BA705" s="62">
        <f t="shared" si="286"/>
        <v>160102.93</v>
      </c>
      <c r="BB705" s="62">
        <f t="shared" si="277"/>
        <v>83253.719999999958</v>
      </c>
      <c r="BC705" s="62">
        <f t="shared" si="287"/>
        <v>76849.210000000036</v>
      </c>
      <c r="BD705" s="63">
        <v>80051.23000000004</v>
      </c>
      <c r="BE705" s="57">
        <f t="shared" si="291"/>
        <v>1761.1270600000009</v>
      </c>
      <c r="BF705" s="35" t="str">
        <f>VLOOKUP(A:A,'2023-2027'!A:G,1,+FALSE)</f>
        <v>КЛ-0,4кВ от ТП-98 до ВЛ-0,4кВ"ЛедовыйДворец"120м</v>
      </c>
      <c r="BG705" s="7" t="b">
        <f t="shared" si="279"/>
        <v>1</v>
      </c>
      <c r="BH705" s="35">
        <f>VLOOKUP(A:A,'2023-2027'!A:AT,43,+FALSE)</f>
        <v>533.66999999999996</v>
      </c>
    </row>
    <row r="706" spans="1:60" ht="24" hidden="1" customHeight="1" outlineLevel="1" x14ac:dyDescent="0.2">
      <c r="A706" s="59" t="s">
        <v>1659</v>
      </c>
      <c r="B706" s="59" t="s">
        <v>44</v>
      </c>
      <c r="C706" s="59" t="s">
        <v>82</v>
      </c>
      <c r="D706" s="65" t="s">
        <v>1660</v>
      </c>
      <c r="E706" s="59" t="s">
        <v>1643</v>
      </c>
      <c r="F706" s="60">
        <v>339000</v>
      </c>
      <c r="G706" s="60">
        <v>83686.78</v>
      </c>
      <c r="H706" s="60">
        <v>255313.22</v>
      </c>
      <c r="I706" s="59"/>
      <c r="J706" s="60">
        <v>8510.4</v>
      </c>
      <c r="K706" s="59"/>
      <c r="L706" s="59"/>
      <c r="M706" s="60">
        <v>339000</v>
      </c>
      <c r="N706" s="60">
        <v>92197.18</v>
      </c>
      <c r="O706" s="60">
        <v>246802.82</v>
      </c>
      <c r="P706" s="55">
        <v>251058.02</v>
      </c>
      <c r="Q706" s="55">
        <f t="shared" si="288"/>
        <v>5523.2764400000005</v>
      </c>
      <c r="R706" s="61">
        <f t="shared" si="272"/>
        <v>709.19999999999993</v>
      </c>
      <c r="S706" s="60">
        <v>709.2</v>
      </c>
      <c r="T706" s="60">
        <v>709.2</v>
      </c>
      <c r="U706" s="60">
        <v>709.2</v>
      </c>
      <c r="V706" s="60">
        <v>709.2</v>
      </c>
      <c r="W706" s="60">
        <v>709.2</v>
      </c>
      <c r="X706" s="61">
        <f t="shared" si="273"/>
        <v>4255.2</v>
      </c>
      <c r="Y706" s="60">
        <v>709.2</v>
      </c>
      <c r="Z706" s="60">
        <v>709.2</v>
      </c>
      <c r="AA706" s="60">
        <v>709.2</v>
      </c>
      <c r="AB706" s="60">
        <v>709.2</v>
      </c>
      <c r="AC706" s="60">
        <v>709.2</v>
      </c>
      <c r="AD706" s="60">
        <v>709.2</v>
      </c>
      <c r="AE706" s="61">
        <f t="shared" si="274"/>
        <v>4255.2</v>
      </c>
      <c r="AF706" s="62">
        <f t="shared" si="281"/>
        <v>339000</v>
      </c>
      <c r="AG706" s="62">
        <f t="shared" si="280"/>
        <v>100707.57999999996</v>
      </c>
      <c r="AH706" s="62">
        <f t="shared" si="278"/>
        <v>238292.42000000004</v>
      </c>
      <c r="AI706" s="63">
        <v>242547.61999999997</v>
      </c>
      <c r="AJ706" s="63">
        <f t="shared" si="289"/>
        <v>5336.0476399999998</v>
      </c>
      <c r="AK706" s="72">
        <f t="shared" si="290"/>
        <v>5336.0476399999998</v>
      </c>
      <c r="AL706" s="60">
        <v>709.2</v>
      </c>
      <c r="AM706" s="60">
        <v>709.2</v>
      </c>
      <c r="AN706" s="60">
        <v>709.2</v>
      </c>
      <c r="AO706" s="60">
        <v>709.2</v>
      </c>
      <c r="AP706" s="60">
        <v>709.2</v>
      </c>
      <c r="AQ706" s="60">
        <v>709.2</v>
      </c>
      <c r="AR706" s="61">
        <f t="shared" si="275"/>
        <v>4255.2</v>
      </c>
      <c r="AS706" s="60">
        <v>709.2</v>
      </c>
      <c r="AT706" s="60">
        <v>709.2</v>
      </c>
      <c r="AU706" s="60">
        <v>709.2</v>
      </c>
      <c r="AV706" s="60">
        <v>709.2</v>
      </c>
      <c r="AW706" s="60">
        <v>709.2</v>
      </c>
      <c r="AX706" s="60">
        <v>709.2</v>
      </c>
      <c r="AY706" s="61">
        <f t="shared" si="276"/>
        <v>4255.2</v>
      </c>
      <c r="AZ706" s="56">
        <f t="shared" si="271"/>
        <v>8510.4</v>
      </c>
      <c r="BA706" s="62">
        <f t="shared" si="286"/>
        <v>339000</v>
      </c>
      <c r="BB706" s="62">
        <f t="shared" si="277"/>
        <v>109217.97999999992</v>
      </c>
      <c r="BC706" s="62">
        <f t="shared" si="287"/>
        <v>229782.02000000008</v>
      </c>
      <c r="BD706" s="63">
        <v>234037.21999999977</v>
      </c>
      <c r="BE706" s="57">
        <f t="shared" si="291"/>
        <v>5148.8188399999954</v>
      </c>
      <c r="BF706" s="35" t="e">
        <f>VLOOKUP(A:A,'2023-2027'!A:G,1,+FALSE)</f>
        <v>#N/A</v>
      </c>
      <c r="BG706" s="7" t="e">
        <f t="shared" si="279"/>
        <v>#N/A</v>
      </c>
      <c r="BH706" s="35"/>
    </row>
    <row r="707" spans="1:60" ht="24" hidden="1" customHeight="1" outlineLevel="1" x14ac:dyDescent="0.2">
      <c r="A707" s="59" t="s">
        <v>1661</v>
      </c>
      <c r="B707" s="59" t="s">
        <v>44</v>
      </c>
      <c r="C707" s="59" t="s">
        <v>82</v>
      </c>
      <c r="D707" s="65" t="s">
        <v>1662</v>
      </c>
      <c r="E707" s="59" t="s">
        <v>1643</v>
      </c>
      <c r="F707" s="60">
        <v>235000</v>
      </c>
      <c r="G707" s="60">
        <v>58012.34</v>
      </c>
      <c r="H707" s="60">
        <v>176987.66</v>
      </c>
      <c r="I707" s="59"/>
      <c r="J707" s="60">
        <v>5899.56</v>
      </c>
      <c r="K707" s="59"/>
      <c r="L707" s="59"/>
      <c r="M707" s="60">
        <v>235000</v>
      </c>
      <c r="N707" s="60">
        <v>63911.9</v>
      </c>
      <c r="O707" s="60">
        <v>171088.1</v>
      </c>
      <c r="P707" s="55">
        <v>174037.88</v>
      </c>
      <c r="Q707" s="55">
        <f t="shared" si="288"/>
        <v>3828.8333600000005</v>
      </c>
      <c r="R707" s="61">
        <f t="shared" si="272"/>
        <v>491.63000000000005</v>
      </c>
      <c r="S707" s="60">
        <v>491.63</v>
      </c>
      <c r="T707" s="60">
        <v>491.63</v>
      </c>
      <c r="U707" s="60">
        <v>491.63</v>
      </c>
      <c r="V707" s="60">
        <v>491.63</v>
      </c>
      <c r="W707" s="60">
        <v>491.63</v>
      </c>
      <c r="X707" s="61">
        <f t="shared" si="273"/>
        <v>2949.78</v>
      </c>
      <c r="Y707" s="60">
        <v>491.63</v>
      </c>
      <c r="Z707" s="60">
        <v>491.63</v>
      </c>
      <c r="AA707" s="60">
        <v>491.63</v>
      </c>
      <c r="AB707" s="60">
        <v>491.63</v>
      </c>
      <c r="AC707" s="60">
        <v>491.63</v>
      </c>
      <c r="AD707" s="60">
        <v>491.63</v>
      </c>
      <c r="AE707" s="61">
        <f t="shared" si="274"/>
        <v>2949.78</v>
      </c>
      <c r="AF707" s="62">
        <f t="shared" si="281"/>
        <v>235000</v>
      </c>
      <c r="AG707" s="62">
        <f t="shared" si="280"/>
        <v>69811.460000000036</v>
      </c>
      <c r="AH707" s="62">
        <f t="shared" si="278"/>
        <v>165188.53999999998</v>
      </c>
      <c r="AI707" s="63">
        <v>168138.31999999998</v>
      </c>
      <c r="AJ707" s="63">
        <f t="shared" si="289"/>
        <v>3699.04304</v>
      </c>
      <c r="AK707" s="72">
        <f t="shared" si="290"/>
        <v>3699.04304</v>
      </c>
      <c r="AL707" s="60">
        <v>491.63</v>
      </c>
      <c r="AM707" s="60">
        <v>491.63</v>
      </c>
      <c r="AN707" s="60">
        <v>491.63</v>
      </c>
      <c r="AO707" s="60">
        <v>491.63</v>
      </c>
      <c r="AP707" s="60">
        <v>491.63</v>
      </c>
      <c r="AQ707" s="60">
        <v>491.63</v>
      </c>
      <c r="AR707" s="61">
        <f t="shared" si="275"/>
        <v>2949.78</v>
      </c>
      <c r="AS707" s="60">
        <v>491.63</v>
      </c>
      <c r="AT707" s="60">
        <v>491.63</v>
      </c>
      <c r="AU707" s="60">
        <v>491.63</v>
      </c>
      <c r="AV707" s="60">
        <v>491.63</v>
      </c>
      <c r="AW707" s="60">
        <v>491.63</v>
      </c>
      <c r="AX707" s="60">
        <v>491.63</v>
      </c>
      <c r="AY707" s="61">
        <f t="shared" si="276"/>
        <v>2949.78</v>
      </c>
      <c r="AZ707" s="56">
        <f t="shared" si="271"/>
        <v>5899.56</v>
      </c>
      <c r="BA707" s="62">
        <f t="shared" si="286"/>
        <v>235000</v>
      </c>
      <c r="BB707" s="62">
        <f t="shared" si="277"/>
        <v>75711.020000000091</v>
      </c>
      <c r="BC707" s="62">
        <f t="shared" si="287"/>
        <v>159288.97999999992</v>
      </c>
      <c r="BD707" s="63">
        <v>162238.75999999992</v>
      </c>
      <c r="BE707" s="57">
        <f t="shared" si="291"/>
        <v>3569.2527199999986</v>
      </c>
      <c r="BF707" s="35" t="e">
        <f>VLOOKUP(A:A,'2023-2027'!A:G,1,+FALSE)</f>
        <v>#N/A</v>
      </c>
      <c r="BG707" s="7" t="e">
        <f t="shared" si="279"/>
        <v>#N/A</v>
      </c>
      <c r="BH707" s="35"/>
    </row>
    <row r="708" spans="1:60" ht="12" hidden="1" customHeight="1" outlineLevel="1" x14ac:dyDescent="0.2">
      <c r="A708" s="59" t="s">
        <v>100</v>
      </c>
      <c r="B708" s="59" t="s">
        <v>44</v>
      </c>
      <c r="C708" s="59" t="s">
        <v>82</v>
      </c>
      <c r="D708" s="65" t="s">
        <v>1663</v>
      </c>
      <c r="E708" s="59" t="s">
        <v>1456</v>
      </c>
      <c r="F708" s="59"/>
      <c r="G708" s="59"/>
      <c r="H708" s="59"/>
      <c r="I708" s="60">
        <v>4014230.74</v>
      </c>
      <c r="J708" s="59"/>
      <c r="K708" s="59"/>
      <c r="L708" s="59"/>
      <c r="M708" s="60">
        <v>4014230.74</v>
      </c>
      <c r="N708" s="59"/>
      <c r="O708" s="60">
        <v>4014230.74</v>
      </c>
      <c r="P708" s="55">
        <v>308786.98</v>
      </c>
      <c r="Q708" s="55">
        <f t="shared" si="288"/>
        <v>6793.3135600000005</v>
      </c>
      <c r="R708" s="61">
        <f t="shared" si="272"/>
        <v>0</v>
      </c>
      <c r="S708" s="60">
        <v>0</v>
      </c>
      <c r="T708" s="60">
        <v>0</v>
      </c>
      <c r="U708" s="60">
        <v>0</v>
      </c>
      <c r="V708" s="60">
        <v>0</v>
      </c>
      <c r="W708" s="60">
        <v>0</v>
      </c>
      <c r="X708" s="61">
        <f t="shared" si="273"/>
        <v>0</v>
      </c>
      <c r="Y708" s="60">
        <v>0</v>
      </c>
      <c r="Z708" s="60">
        <v>0</v>
      </c>
      <c r="AA708" s="60">
        <v>0</v>
      </c>
      <c r="AB708" s="60">
        <v>0</v>
      </c>
      <c r="AC708" s="60">
        <v>0</v>
      </c>
      <c r="AD708" s="60">
        <v>0</v>
      </c>
      <c r="AE708" s="61">
        <f t="shared" si="274"/>
        <v>0</v>
      </c>
      <c r="AF708" s="62">
        <f t="shared" si="281"/>
        <v>4014230.74</v>
      </c>
      <c r="AG708" s="62">
        <f t="shared" si="280"/>
        <v>0</v>
      </c>
      <c r="AH708" s="62">
        <f t="shared" si="278"/>
        <v>4014230.74</v>
      </c>
      <c r="AI708" s="63">
        <v>4014230.7400000016</v>
      </c>
      <c r="AJ708" s="63">
        <f t="shared" si="289"/>
        <v>88313.076280000038</v>
      </c>
      <c r="AK708" s="72">
        <f t="shared" si="290"/>
        <v>88313.076280000038</v>
      </c>
      <c r="AL708" s="60">
        <v>0</v>
      </c>
      <c r="AM708" s="60">
        <v>0</v>
      </c>
      <c r="AN708" s="60">
        <v>0</v>
      </c>
      <c r="AO708" s="60">
        <v>0</v>
      </c>
      <c r="AP708" s="60">
        <v>0</v>
      </c>
      <c r="AQ708" s="60">
        <v>0</v>
      </c>
      <c r="AR708" s="61">
        <f t="shared" si="275"/>
        <v>0</v>
      </c>
      <c r="AS708" s="60">
        <v>0</v>
      </c>
      <c r="AT708" s="60">
        <v>0</v>
      </c>
      <c r="AU708" s="60">
        <v>0</v>
      </c>
      <c r="AV708" s="60">
        <v>0</v>
      </c>
      <c r="AW708" s="60">
        <v>0</v>
      </c>
      <c r="AX708" s="60">
        <v>0</v>
      </c>
      <c r="AY708" s="61">
        <f t="shared" si="276"/>
        <v>0</v>
      </c>
      <c r="AZ708" s="56">
        <f t="shared" si="271"/>
        <v>0</v>
      </c>
      <c r="BA708" s="62">
        <f t="shared" si="286"/>
        <v>4014230.74</v>
      </c>
      <c r="BB708" s="62">
        <f t="shared" si="277"/>
        <v>0</v>
      </c>
      <c r="BC708" s="62">
        <f t="shared" si="287"/>
        <v>4014230.74</v>
      </c>
      <c r="BD708" s="63">
        <v>4014230.7400000016</v>
      </c>
      <c r="BE708" s="57">
        <f t="shared" si="291"/>
        <v>88313.076280000038</v>
      </c>
      <c r="BF708" s="35" t="str">
        <f>VLOOKUP(A:A,'2023-2027'!A:G,1,+FALSE)</f>
        <v>Трансформаторная подстанция ТП-56/1 с питающими кабельными линиями 6 кв в г. Нарьян-Маре КЛ-6 кВ</v>
      </c>
      <c r="BG708" s="7" t="b">
        <f t="shared" si="279"/>
        <v>1</v>
      </c>
      <c r="BH708" s="35">
        <f>VLOOKUP(A:A,'2023-2027'!A:AT,43,+FALSE)</f>
        <v>22301.281888888891</v>
      </c>
    </row>
    <row r="709" spans="1:60" ht="12" hidden="1" customHeight="1" outlineLevel="1" x14ac:dyDescent="0.2">
      <c r="A709" s="59" t="s">
        <v>1664</v>
      </c>
      <c r="B709" s="59" t="s">
        <v>44</v>
      </c>
      <c r="C709" s="59" t="s">
        <v>82</v>
      </c>
      <c r="D709" s="66" t="s">
        <v>1665</v>
      </c>
      <c r="E709" s="59" t="s">
        <v>1158</v>
      </c>
      <c r="F709" s="60">
        <v>810099.76</v>
      </c>
      <c r="G709" s="60">
        <v>194423.76</v>
      </c>
      <c r="H709" s="60">
        <v>615676</v>
      </c>
      <c r="I709" s="59"/>
      <c r="J709" s="60">
        <v>32403.96</v>
      </c>
      <c r="K709" s="59"/>
      <c r="L709" s="59"/>
      <c r="M709" s="60">
        <v>810099.76</v>
      </c>
      <c r="N709" s="60">
        <v>226827.72</v>
      </c>
      <c r="O709" s="60">
        <v>583272.04</v>
      </c>
      <c r="P709" s="55">
        <v>599474.02</v>
      </c>
      <c r="Q709" s="55">
        <f t="shared" si="288"/>
        <v>13188.428440000002</v>
      </c>
      <c r="R709" s="61">
        <f t="shared" si="272"/>
        <v>2700.33</v>
      </c>
      <c r="S709" s="60">
        <v>2700.33</v>
      </c>
      <c r="T709" s="60">
        <v>2700.33</v>
      </c>
      <c r="U709" s="60">
        <v>2700.33</v>
      </c>
      <c r="V709" s="60">
        <v>2700.33</v>
      </c>
      <c r="W709" s="60">
        <v>2700.33</v>
      </c>
      <c r="X709" s="61">
        <f t="shared" si="273"/>
        <v>16201.98</v>
      </c>
      <c r="Y709" s="60">
        <v>2700.33</v>
      </c>
      <c r="Z709" s="60">
        <v>2700.33</v>
      </c>
      <c r="AA709" s="60">
        <v>2700.33</v>
      </c>
      <c r="AB709" s="60">
        <v>2700.33</v>
      </c>
      <c r="AC709" s="60">
        <v>2700.33</v>
      </c>
      <c r="AD709" s="60">
        <v>2700.33</v>
      </c>
      <c r="AE709" s="61">
        <f t="shared" si="274"/>
        <v>16201.98</v>
      </c>
      <c r="AF709" s="62">
        <f t="shared" si="281"/>
        <v>810099.76</v>
      </c>
      <c r="AG709" s="62">
        <f t="shared" si="280"/>
        <v>259231.67999999985</v>
      </c>
      <c r="AH709" s="62">
        <f t="shared" si="278"/>
        <v>550868.08000000019</v>
      </c>
      <c r="AI709" s="63">
        <v>567070.06000000029</v>
      </c>
      <c r="AJ709" s="63">
        <f t="shared" si="289"/>
        <v>12475.541320000008</v>
      </c>
      <c r="AK709" s="72">
        <f t="shared" si="290"/>
        <v>12475.541320000008</v>
      </c>
      <c r="AL709" s="60">
        <v>2700.33</v>
      </c>
      <c r="AM709" s="60">
        <v>2700.33</v>
      </c>
      <c r="AN709" s="60">
        <v>2700.33</v>
      </c>
      <c r="AO709" s="60">
        <v>2700.33</v>
      </c>
      <c r="AP709" s="60">
        <v>2700.33</v>
      </c>
      <c r="AQ709" s="60">
        <v>2700.33</v>
      </c>
      <c r="AR709" s="61">
        <f t="shared" si="275"/>
        <v>16201.98</v>
      </c>
      <c r="AS709" s="60">
        <v>2700.33</v>
      </c>
      <c r="AT709" s="60">
        <v>2700.33</v>
      </c>
      <c r="AU709" s="60">
        <v>2700.33</v>
      </c>
      <c r="AV709" s="60">
        <v>2700.33</v>
      </c>
      <c r="AW709" s="60">
        <v>2700.33</v>
      </c>
      <c r="AX709" s="60">
        <v>2700.33</v>
      </c>
      <c r="AY709" s="61">
        <f t="shared" si="276"/>
        <v>16201.98</v>
      </c>
      <c r="AZ709" s="56">
        <f t="shared" si="271"/>
        <v>32403.96</v>
      </c>
      <c r="BA709" s="62">
        <f t="shared" si="286"/>
        <v>810099.76</v>
      </c>
      <c r="BB709" s="62">
        <f t="shared" si="277"/>
        <v>291635.64</v>
      </c>
      <c r="BC709" s="62">
        <f t="shared" si="287"/>
        <v>518464.12</v>
      </c>
      <c r="BD709" s="63">
        <v>534666.10000000079</v>
      </c>
      <c r="BE709" s="57">
        <f t="shared" si="291"/>
        <v>11762.654200000019</v>
      </c>
      <c r="BF709" s="35" t="str">
        <f>VLOOKUP(A:A,'2023-2027'!A:G,1,+FALSE)</f>
        <v>КЛ-6 кВ ввод в ТП №44</v>
      </c>
      <c r="BG709" s="7" t="b">
        <f t="shared" si="279"/>
        <v>1</v>
      </c>
      <c r="BH709" s="35">
        <f>VLOOKUP(A:A,'2023-2027'!A:AT,43,+FALSE)</f>
        <v>2700.3300000000004</v>
      </c>
    </row>
    <row r="710" spans="1:60" ht="24" hidden="1" customHeight="1" outlineLevel="1" x14ac:dyDescent="0.2">
      <c r="A710" s="59" t="s">
        <v>1666</v>
      </c>
      <c r="B710" s="59" t="s">
        <v>44</v>
      </c>
      <c r="C710" s="59" t="s">
        <v>82</v>
      </c>
      <c r="D710" s="66" t="s">
        <v>1667</v>
      </c>
      <c r="E710" s="59" t="s">
        <v>1668</v>
      </c>
      <c r="F710" s="60">
        <v>5154423.37</v>
      </c>
      <c r="G710" s="60">
        <v>103088.46</v>
      </c>
      <c r="H710" s="60">
        <v>5051334.91</v>
      </c>
      <c r="I710" s="59"/>
      <c r="J710" s="60">
        <v>206176.92</v>
      </c>
      <c r="K710" s="59"/>
      <c r="L710" s="59"/>
      <c r="M710" s="60">
        <v>5154423.37</v>
      </c>
      <c r="N710" s="60">
        <v>309265.38</v>
      </c>
      <c r="O710" s="60">
        <v>4845157.99</v>
      </c>
      <c r="P710" s="55">
        <v>4948246.45</v>
      </c>
      <c r="Q710" s="55">
        <f t="shared" si="288"/>
        <v>108861.42190000002</v>
      </c>
      <c r="R710" s="61">
        <f t="shared" si="272"/>
        <v>17181.41</v>
      </c>
      <c r="S710" s="60">
        <v>17181.41</v>
      </c>
      <c r="T710" s="60">
        <v>17181.41</v>
      </c>
      <c r="U710" s="60">
        <v>17181.41</v>
      </c>
      <c r="V710" s="60">
        <v>17181.41</v>
      </c>
      <c r="W710" s="60">
        <v>17181.41</v>
      </c>
      <c r="X710" s="61">
        <f t="shared" si="273"/>
        <v>103088.46</v>
      </c>
      <c r="Y710" s="60">
        <v>17181.41</v>
      </c>
      <c r="Z710" s="60">
        <v>17181.41</v>
      </c>
      <c r="AA710" s="60">
        <v>17181.41</v>
      </c>
      <c r="AB710" s="60">
        <v>17181.41</v>
      </c>
      <c r="AC710" s="60">
        <v>17181.41</v>
      </c>
      <c r="AD710" s="60">
        <v>17181.41</v>
      </c>
      <c r="AE710" s="61">
        <f t="shared" si="274"/>
        <v>103088.46</v>
      </c>
      <c r="AF710" s="62">
        <f t="shared" si="281"/>
        <v>5154423.37</v>
      </c>
      <c r="AG710" s="62">
        <f t="shared" si="280"/>
        <v>515442.2999999997</v>
      </c>
      <c r="AH710" s="62">
        <f t="shared" si="278"/>
        <v>4638981.07</v>
      </c>
      <c r="AI710" s="63">
        <v>4742069.5299999993</v>
      </c>
      <c r="AJ710" s="63">
        <f t="shared" si="289"/>
        <v>104325.52966</v>
      </c>
      <c r="AK710" s="72">
        <f t="shared" si="290"/>
        <v>104325.52966</v>
      </c>
      <c r="AL710" s="60">
        <v>17181.41</v>
      </c>
      <c r="AM710" s="60">
        <v>17181.41</v>
      </c>
      <c r="AN710" s="60">
        <v>17181.41</v>
      </c>
      <c r="AO710" s="60">
        <v>17181.41</v>
      </c>
      <c r="AP710" s="60">
        <v>17181.41</v>
      </c>
      <c r="AQ710" s="60">
        <v>17181.41</v>
      </c>
      <c r="AR710" s="61">
        <f t="shared" si="275"/>
        <v>103088.46</v>
      </c>
      <c r="AS710" s="60">
        <v>17181.41</v>
      </c>
      <c r="AT710" s="60">
        <v>17181.41</v>
      </c>
      <c r="AU710" s="60">
        <v>17181.41</v>
      </c>
      <c r="AV710" s="60">
        <v>17181.41</v>
      </c>
      <c r="AW710" s="60">
        <v>17181.41</v>
      </c>
      <c r="AX710" s="60">
        <v>17181.41</v>
      </c>
      <c r="AY710" s="61">
        <f t="shared" si="276"/>
        <v>103088.46</v>
      </c>
      <c r="AZ710" s="56">
        <f t="shared" si="271"/>
        <v>206176.92</v>
      </c>
      <c r="BA710" s="62">
        <f t="shared" si="286"/>
        <v>5154423.37</v>
      </c>
      <c r="BB710" s="62">
        <f t="shared" si="277"/>
        <v>721619.22000000009</v>
      </c>
      <c r="BC710" s="62">
        <f t="shared" si="287"/>
        <v>4432804.1500000004</v>
      </c>
      <c r="BD710" s="63">
        <v>4535892.6099999975</v>
      </c>
      <c r="BE710" s="57">
        <f t="shared" si="291"/>
        <v>99789.637419999955</v>
      </c>
      <c r="BF710" s="35" t="str">
        <f>VLOOKUP(A:A,'2023-2027'!A:G,1,+FALSE)</f>
        <v>КЛ-6 кВ от ВЛ-6 кВ до ТП 57 "Геолог"</v>
      </c>
      <c r="BG710" s="7" t="b">
        <f t="shared" si="279"/>
        <v>1</v>
      </c>
      <c r="BH710" s="35">
        <f>VLOOKUP(A:A,'2023-2027'!A:AT,43,+FALSE)</f>
        <v>17181.41</v>
      </c>
    </row>
    <row r="711" spans="1:60" ht="12" hidden="1" customHeight="1" outlineLevel="1" x14ac:dyDescent="0.2">
      <c r="A711" s="59" t="s">
        <v>1669</v>
      </c>
      <c r="B711" s="59" t="s">
        <v>44</v>
      </c>
      <c r="C711" s="59" t="s">
        <v>82</v>
      </c>
      <c r="D711" s="66" t="s">
        <v>1670</v>
      </c>
      <c r="E711" s="59" t="s">
        <v>1442</v>
      </c>
      <c r="F711" s="60">
        <v>839595.6</v>
      </c>
      <c r="G711" s="60">
        <v>167919</v>
      </c>
      <c r="H711" s="60">
        <v>671676.6</v>
      </c>
      <c r="I711" s="59"/>
      <c r="J711" s="60">
        <v>33583.800000000003</v>
      </c>
      <c r="K711" s="59"/>
      <c r="L711" s="59"/>
      <c r="M711" s="60">
        <v>839595.6</v>
      </c>
      <c r="N711" s="60">
        <v>201502.8</v>
      </c>
      <c r="O711" s="60">
        <v>638092.80000000005</v>
      </c>
      <c r="P711" s="55">
        <v>654884.69999999995</v>
      </c>
      <c r="Q711" s="55">
        <f t="shared" si="288"/>
        <v>14407.463400000001</v>
      </c>
      <c r="R711" s="61">
        <f t="shared" si="272"/>
        <v>2798.65</v>
      </c>
      <c r="S711" s="60">
        <v>2798.65</v>
      </c>
      <c r="T711" s="60">
        <v>2798.65</v>
      </c>
      <c r="U711" s="60">
        <v>2798.65</v>
      </c>
      <c r="V711" s="60">
        <v>2798.65</v>
      </c>
      <c r="W711" s="60">
        <v>2798.65</v>
      </c>
      <c r="X711" s="61">
        <f t="shared" si="273"/>
        <v>16791.900000000001</v>
      </c>
      <c r="Y711" s="60">
        <v>2798.65</v>
      </c>
      <c r="Z711" s="60">
        <v>2798.65</v>
      </c>
      <c r="AA711" s="60">
        <v>2798.65</v>
      </c>
      <c r="AB711" s="60">
        <v>2798.65</v>
      </c>
      <c r="AC711" s="60">
        <v>2798.65</v>
      </c>
      <c r="AD711" s="60">
        <v>2798.65</v>
      </c>
      <c r="AE711" s="61">
        <f t="shared" si="274"/>
        <v>16791.900000000001</v>
      </c>
      <c r="AF711" s="62">
        <f t="shared" si="281"/>
        <v>839595.6</v>
      </c>
      <c r="AG711" s="62">
        <f t="shared" si="280"/>
        <v>235086.59999999992</v>
      </c>
      <c r="AH711" s="62">
        <f t="shared" si="278"/>
        <v>604509</v>
      </c>
      <c r="AI711" s="63">
        <v>621300.89999999991</v>
      </c>
      <c r="AJ711" s="63">
        <f t="shared" si="289"/>
        <v>13668.619799999999</v>
      </c>
      <c r="AK711" s="72">
        <f t="shared" si="290"/>
        <v>13668.619799999999</v>
      </c>
      <c r="AL711" s="60">
        <v>2798.65</v>
      </c>
      <c r="AM711" s="60">
        <v>2798.65</v>
      </c>
      <c r="AN711" s="60">
        <v>2798.65</v>
      </c>
      <c r="AO711" s="60">
        <v>2798.65</v>
      </c>
      <c r="AP711" s="60">
        <v>2798.65</v>
      </c>
      <c r="AQ711" s="60">
        <v>2798.65</v>
      </c>
      <c r="AR711" s="61">
        <f t="shared" si="275"/>
        <v>16791.900000000001</v>
      </c>
      <c r="AS711" s="60">
        <v>2798.65</v>
      </c>
      <c r="AT711" s="60">
        <v>2798.65</v>
      </c>
      <c r="AU711" s="60">
        <v>2798.65</v>
      </c>
      <c r="AV711" s="60">
        <v>2798.65</v>
      </c>
      <c r="AW711" s="60">
        <v>2798.65</v>
      </c>
      <c r="AX711" s="60">
        <v>2798.65</v>
      </c>
      <c r="AY711" s="61">
        <f t="shared" si="276"/>
        <v>16791.900000000001</v>
      </c>
      <c r="AZ711" s="56">
        <f t="shared" si="271"/>
        <v>33583.800000000003</v>
      </c>
      <c r="BA711" s="62">
        <f t="shared" si="286"/>
        <v>839595.6</v>
      </c>
      <c r="BB711" s="62">
        <f t="shared" si="277"/>
        <v>268670.39999999991</v>
      </c>
      <c r="BC711" s="62">
        <f t="shared" si="287"/>
        <v>570925.20000000007</v>
      </c>
      <c r="BD711" s="63">
        <v>587717.09999999963</v>
      </c>
      <c r="BE711" s="57">
        <f t="shared" si="291"/>
        <v>12929.776199999993</v>
      </c>
      <c r="BF711" s="35" t="str">
        <f>VLOOKUP(A:A,'2023-2027'!A:G,1,+FALSE)</f>
        <v>КЛ-6кВ "Малый Качгорт"</v>
      </c>
      <c r="BG711" s="7" t="b">
        <f t="shared" si="279"/>
        <v>1</v>
      </c>
      <c r="BH711" s="35">
        <f>VLOOKUP(A:A,'2023-2027'!A:AT,43,+FALSE)</f>
        <v>2798.650000000001</v>
      </c>
    </row>
    <row r="712" spans="1:60" ht="24" hidden="1" customHeight="1" outlineLevel="1" x14ac:dyDescent="0.2">
      <c r="A712" s="59" t="s">
        <v>1671</v>
      </c>
      <c r="B712" s="59" t="s">
        <v>44</v>
      </c>
      <c r="C712" s="59" t="s">
        <v>82</v>
      </c>
      <c r="D712" s="66" t="s">
        <v>1672</v>
      </c>
      <c r="E712" s="59" t="s">
        <v>674</v>
      </c>
      <c r="F712" s="60">
        <v>78003.429999999993</v>
      </c>
      <c r="G712" s="60">
        <v>35881.379999999997</v>
      </c>
      <c r="H712" s="60">
        <v>42122.05</v>
      </c>
      <c r="I712" s="59"/>
      <c r="J712" s="60">
        <v>3120.12</v>
      </c>
      <c r="K712" s="59"/>
      <c r="L712" s="59"/>
      <c r="M712" s="60">
        <v>78003.429999999993</v>
      </c>
      <c r="N712" s="60">
        <v>39001.5</v>
      </c>
      <c r="O712" s="60">
        <v>39001.93</v>
      </c>
      <c r="P712" s="55">
        <v>40561.99</v>
      </c>
      <c r="Q712" s="55">
        <f t="shared" si="288"/>
        <v>892.36378000000002</v>
      </c>
      <c r="R712" s="61">
        <f t="shared" si="272"/>
        <v>260.01</v>
      </c>
      <c r="S712" s="60">
        <v>260.01</v>
      </c>
      <c r="T712" s="60">
        <v>260.01</v>
      </c>
      <c r="U712" s="60">
        <v>260.01</v>
      </c>
      <c r="V712" s="60">
        <v>260.01</v>
      </c>
      <c r="W712" s="60">
        <v>260.01</v>
      </c>
      <c r="X712" s="61">
        <f t="shared" si="273"/>
        <v>1560.06</v>
      </c>
      <c r="Y712" s="60">
        <v>260.01</v>
      </c>
      <c r="Z712" s="60">
        <v>260.01</v>
      </c>
      <c r="AA712" s="60">
        <v>260.01</v>
      </c>
      <c r="AB712" s="60">
        <v>260.01</v>
      </c>
      <c r="AC712" s="60">
        <v>260.01</v>
      </c>
      <c r="AD712" s="60">
        <v>260.01</v>
      </c>
      <c r="AE712" s="61">
        <f t="shared" si="274"/>
        <v>1560.06</v>
      </c>
      <c r="AF712" s="62">
        <f t="shared" si="281"/>
        <v>78003.429999999993</v>
      </c>
      <c r="AG712" s="62">
        <f t="shared" si="280"/>
        <v>42121.620000000024</v>
      </c>
      <c r="AH712" s="62">
        <f t="shared" si="278"/>
        <v>35881.809999999969</v>
      </c>
      <c r="AI712" s="63">
        <v>37441.869999999988</v>
      </c>
      <c r="AJ712" s="63">
        <f t="shared" si="289"/>
        <v>823.72113999999976</v>
      </c>
      <c r="AK712" s="72">
        <f t="shared" si="290"/>
        <v>823.72113999999976</v>
      </c>
      <c r="AL712" s="60">
        <v>260.01</v>
      </c>
      <c r="AM712" s="60">
        <v>260.01</v>
      </c>
      <c r="AN712" s="60">
        <v>260.01</v>
      </c>
      <c r="AO712" s="60">
        <v>260.01</v>
      </c>
      <c r="AP712" s="60">
        <v>260.01</v>
      </c>
      <c r="AQ712" s="60">
        <v>260.01</v>
      </c>
      <c r="AR712" s="61">
        <f t="shared" si="275"/>
        <v>1560.06</v>
      </c>
      <c r="AS712" s="60">
        <v>260.01</v>
      </c>
      <c r="AT712" s="60">
        <v>260.01</v>
      </c>
      <c r="AU712" s="60">
        <v>260.01</v>
      </c>
      <c r="AV712" s="60">
        <v>260.01</v>
      </c>
      <c r="AW712" s="60">
        <v>260.01</v>
      </c>
      <c r="AX712" s="60">
        <v>260.01</v>
      </c>
      <c r="AY712" s="61">
        <f t="shared" si="276"/>
        <v>1560.06</v>
      </c>
      <c r="AZ712" s="56">
        <f t="shared" si="271"/>
        <v>3120.12</v>
      </c>
      <c r="BA712" s="62">
        <f t="shared" si="286"/>
        <v>78003.429999999993</v>
      </c>
      <c r="BB712" s="62">
        <f t="shared" si="277"/>
        <v>45241.740000000049</v>
      </c>
      <c r="BC712" s="62">
        <f t="shared" si="287"/>
        <v>32761.689999999944</v>
      </c>
      <c r="BD712" s="63">
        <v>34321.749999999971</v>
      </c>
      <c r="BE712" s="57">
        <f t="shared" si="291"/>
        <v>755.07849999999939</v>
      </c>
      <c r="BF712" s="35" t="str">
        <f>VLOOKUP(A:A,'2023-2027'!A:G,1,+FALSE)</f>
        <v>КЛ-6кВ (от ВЛ до ТП Бондарная) 70м</v>
      </c>
      <c r="BG712" s="7" t="b">
        <f t="shared" si="279"/>
        <v>1</v>
      </c>
      <c r="BH712" s="35">
        <f>VLOOKUP(A:A,'2023-2027'!A:AT,43,+FALSE)</f>
        <v>260.01000000000005</v>
      </c>
    </row>
    <row r="713" spans="1:60" ht="24" hidden="1" customHeight="1" outlineLevel="1" x14ac:dyDescent="0.2">
      <c r="A713" s="59" t="s">
        <v>1673</v>
      </c>
      <c r="B713" s="59" t="s">
        <v>44</v>
      </c>
      <c r="C713" s="59" t="s">
        <v>82</v>
      </c>
      <c r="D713" s="66" t="s">
        <v>1674</v>
      </c>
      <c r="E713" s="59" t="s">
        <v>1652</v>
      </c>
      <c r="F713" s="60">
        <v>6108140.8300000001</v>
      </c>
      <c r="G713" s="60">
        <v>1934244.65</v>
      </c>
      <c r="H713" s="60">
        <v>4173896.18</v>
      </c>
      <c r="I713" s="59"/>
      <c r="J713" s="60">
        <v>244325.64</v>
      </c>
      <c r="K713" s="59"/>
      <c r="L713" s="59"/>
      <c r="M713" s="60">
        <v>6108140.8300000001</v>
      </c>
      <c r="N713" s="60">
        <v>2178570.29</v>
      </c>
      <c r="O713" s="60">
        <v>3929570.54</v>
      </c>
      <c r="P713" s="55">
        <v>4051733.36</v>
      </c>
      <c r="Q713" s="55">
        <f t="shared" si="288"/>
        <v>89138.133920000007</v>
      </c>
      <c r="R713" s="61">
        <f t="shared" si="272"/>
        <v>20360.47</v>
      </c>
      <c r="S713" s="60">
        <v>20360.47</v>
      </c>
      <c r="T713" s="60">
        <v>20360.47</v>
      </c>
      <c r="U713" s="60">
        <v>20360.47</v>
      </c>
      <c r="V713" s="60">
        <v>20360.47</v>
      </c>
      <c r="W713" s="60">
        <v>20360.47</v>
      </c>
      <c r="X713" s="61">
        <f t="shared" si="273"/>
        <v>122162.82</v>
      </c>
      <c r="Y713" s="60">
        <v>20360.47</v>
      </c>
      <c r="Z713" s="60">
        <v>20360.47</v>
      </c>
      <c r="AA713" s="60">
        <v>20360.47</v>
      </c>
      <c r="AB713" s="60">
        <v>20360.47</v>
      </c>
      <c r="AC713" s="60">
        <v>20360.47</v>
      </c>
      <c r="AD713" s="60">
        <v>20360.47</v>
      </c>
      <c r="AE713" s="61">
        <f t="shared" si="274"/>
        <v>122162.82</v>
      </c>
      <c r="AF713" s="62">
        <f t="shared" si="281"/>
        <v>6108140.8300000001</v>
      </c>
      <c r="AG713" s="62">
        <f t="shared" si="280"/>
        <v>2422895.9300000025</v>
      </c>
      <c r="AH713" s="62">
        <f t="shared" si="278"/>
        <v>3685244.8999999976</v>
      </c>
      <c r="AI713" s="63">
        <v>3807407.7199999983</v>
      </c>
      <c r="AJ713" s="63">
        <f t="shared" si="289"/>
        <v>83762.969839999976</v>
      </c>
      <c r="AK713" s="72">
        <f t="shared" si="290"/>
        <v>83762.969839999976</v>
      </c>
      <c r="AL713" s="60">
        <v>20360.47</v>
      </c>
      <c r="AM713" s="60">
        <v>20360.47</v>
      </c>
      <c r="AN713" s="60">
        <v>20360.47</v>
      </c>
      <c r="AO713" s="60">
        <v>20360.47</v>
      </c>
      <c r="AP713" s="60">
        <v>20360.47</v>
      </c>
      <c r="AQ713" s="60">
        <v>20360.47</v>
      </c>
      <c r="AR713" s="61">
        <f t="shared" si="275"/>
        <v>122162.82</v>
      </c>
      <c r="AS713" s="60">
        <v>20360.47</v>
      </c>
      <c r="AT713" s="60">
        <v>20360.47</v>
      </c>
      <c r="AU713" s="60">
        <v>20360.47</v>
      </c>
      <c r="AV713" s="60">
        <v>20360.47</v>
      </c>
      <c r="AW713" s="60">
        <v>20360.47</v>
      </c>
      <c r="AX713" s="60">
        <v>20360.47</v>
      </c>
      <c r="AY713" s="61">
        <f t="shared" si="276"/>
        <v>122162.82</v>
      </c>
      <c r="AZ713" s="56">
        <f t="shared" si="271"/>
        <v>244325.64</v>
      </c>
      <c r="BA713" s="62">
        <f t="shared" si="286"/>
        <v>6108140.8300000001</v>
      </c>
      <c r="BB713" s="62">
        <f t="shared" si="277"/>
        <v>2667221.570000005</v>
      </c>
      <c r="BC713" s="62">
        <f t="shared" si="287"/>
        <v>3440919.2599999951</v>
      </c>
      <c r="BD713" s="63">
        <v>3563082.0799999963</v>
      </c>
      <c r="BE713" s="57">
        <f t="shared" si="291"/>
        <v>78387.80575999993</v>
      </c>
      <c r="BF713" s="35" t="str">
        <f>VLOOKUP(A:A,'2023-2027'!A:G,1,+FALSE)</f>
        <v>КЛ-6кВ (от ГРУ до ТП № 104)  ул. Авиаторов 2013г (2320 м)</v>
      </c>
      <c r="BG713" s="7" t="b">
        <f t="shared" si="279"/>
        <v>1</v>
      </c>
      <c r="BH713" s="35">
        <f>VLOOKUP(A:A,'2023-2027'!A:AT,43,+FALSE)</f>
        <v>20360.47</v>
      </c>
    </row>
    <row r="714" spans="1:60" ht="24" hidden="1" customHeight="1" outlineLevel="1" x14ac:dyDescent="0.2">
      <c r="A714" s="59" t="s">
        <v>1675</v>
      </c>
      <c r="B714" s="59" t="s">
        <v>44</v>
      </c>
      <c r="C714" s="59" t="s">
        <v>82</v>
      </c>
      <c r="D714" s="66" t="s">
        <v>1676</v>
      </c>
      <c r="E714" s="59" t="s">
        <v>1652</v>
      </c>
      <c r="F714" s="60">
        <v>4876511.38</v>
      </c>
      <c r="G714" s="60">
        <v>1544228.8</v>
      </c>
      <c r="H714" s="60">
        <v>3332282.58</v>
      </c>
      <c r="I714" s="59"/>
      <c r="J714" s="60">
        <v>195060.48000000001</v>
      </c>
      <c r="K714" s="59"/>
      <c r="L714" s="59"/>
      <c r="M714" s="60">
        <v>4876511.38</v>
      </c>
      <c r="N714" s="60">
        <v>1739289.28</v>
      </c>
      <c r="O714" s="60">
        <v>3137222.1</v>
      </c>
      <c r="P714" s="55">
        <v>3234752.34</v>
      </c>
      <c r="Q714" s="55">
        <f t="shared" si="288"/>
        <v>71164.551480000009</v>
      </c>
      <c r="R714" s="61">
        <f t="shared" si="272"/>
        <v>16255.04</v>
      </c>
      <c r="S714" s="60">
        <v>16255.04</v>
      </c>
      <c r="T714" s="60">
        <v>16255.04</v>
      </c>
      <c r="U714" s="60">
        <v>16255.04</v>
      </c>
      <c r="V714" s="60">
        <v>16255.04</v>
      </c>
      <c r="W714" s="60">
        <v>16255.04</v>
      </c>
      <c r="X714" s="61">
        <f t="shared" si="273"/>
        <v>97530.24000000002</v>
      </c>
      <c r="Y714" s="60">
        <v>16255.04</v>
      </c>
      <c r="Z714" s="60">
        <v>16255.04</v>
      </c>
      <c r="AA714" s="60">
        <v>16255.04</v>
      </c>
      <c r="AB714" s="60">
        <v>16255.04</v>
      </c>
      <c r="AC714" s="60">
        <v>16255.04</v>
      </c>
      <c r="AD714" s="60">
        <v>16255.04</v>
      </c>
      <c r="AE714" s="61">
        <f t="shared" si="274"/>
        <v>97530.24000000002</v>
      </c>
      <c r="AF714" s="62">
        <f t="shared" si="281"/>
        <v>4876511.38</v>
      </c>
      <c r="AG714" s="62">
        <f t="shared" si="280"/>
        <v>1934349.7600000005</v>
      </c>
      <c r="AH714" s="62">
        <f t="shared" si="278"/>
        <v>2942161.6199999992</v>
      </c>
      <c r="AI714" s="63">
        <v>3039691.8599999994</v>
      </c>
      <c r="AJ714" s="63">
        <f t="shared" si="289"/>
        <v>66873.220919999992</v>
      </c>
      <c r="AK714" s="72">
        <f t="shared" si="290"/>
        <v>66873.220919999992</v>
      </c>
      <c r="AL714" s="60">
        <v>16255.04</v>
      </c>
      <c r="AM714" s="60">
        <v>16255.04</v>
      </c>
      <c r="AN714" s="60">
        <v>16255.04</v>
      </c>
      <c r="AO714" s="60">
        <v>16255.04</v>
      </c>
      <c r="AP714" s="60">
        <v>16255.04</v>
      </c>
      <c r="AQ714" s="60">
        <v>16255.04</v>
      </c>
      <c r="AR714" s="61">
        <f t="shared" si="275"/>
        <v>97530.24000000002</v>
      </c>
      <c r="AS714" s="60">
        <v>16255.04</v>
      </c>
      <c r="AT714" s="60">
        <v>16255.04</v>
      </c>
      <c r="AU714" s="60">
        <v>16255.04</v>
      </c>
      <c r="AV714" s="60">
        <v>16255.04</v>
      </c>
      <c r="AW714" s="60">
        <v>16255.04</v>
      </c>
      <c r="AX714" s="60">
        <v>16255.04</v>
      </c>
      <c r="AY714" s="61">
        <f t="shared" si="276"/>
        <v>97530.24000000002</v>
      </c>
      <c r="AZ714" s="56">
        <f t="shared" ref="AZ714:AZ777" si="292">AR714+AY714</f>
        <v>195060.48000000004</v>
      </c>
      <c r="BA714" s="62">
        <f t="shared" si="286"/>
        <v>4876511.38</v>
      </c>
      <c r="BB714" s="62">
        <f t="shared" si="277"/>
        <v>2129410.2400000007</v>
      </c>
      <c r="BC714" s="62">
        <f t="shared" si="287"/>
        <v>2747101.1399999992</v>
      </c>
      <c r="BD714" s="63">
        <v>2844631.3799999994</v>
      </c>
      <c r="BE714" s="57">
        <f t="shared" si="291"/>
        <v>62581.89035999999</v>
      </c>
      <c r="BF714" s="35" t="str">
        <f>VLOOKUP(A:A,'2023-2027'!A:G,1,+FALSE)</f>
        <v>КЛ-6кВ (от ГРУ до ТП № 105)  ул. Авиаторов 2013г (1850 м)</v>
      </c>
      <c r="BG714" s="7" t="b">
        <f t="shared" si="279"/>
        <v>1</v>
      </c>
      <c r="BH714" s="35">
        <f>VLOOKUP(A:A,'2023-2027'!A:AT,43,+FALSE)</f>
        <v>16255.040000000006</v>
      </c>
    </row>
    <row r="715" spans="1:60" ht="24" hidden="1" customHeight="1" outlineLevel="1" x14ac:dyDescent="0.2">
      <c r="A715" s="59" t="s">
        <v>1677</v>
      </c>
      <c r="B715" s="59" t="s">
        <v>44</v>
      </c>
      <c r="C715" s="59" t="s">
        <v>82</v>
      </c>
      <c r="D715" s="66" t="s">
        <v>1678</v>
      </c>
      <c r="E715" s="59" t="s">
        <v>1652</v>
      </c>
      <c r="F715" s="60">
        <v>1260237.67</v>
      </c>
      <c r="G715" s="60">
        <v>399075.05</v>
      </c>
      <c r="H715" s="60">
        <v>861162.62</v>
      </c>
      <c r="I715" s="59"/>
      <c r="J715" s="60">
        <v>50409.48</v>
      </c>
      <c r="K715" s="59"/>
      <c r="L715" s="59"/>
      <c r="M715" s="60">
        <v>1260237.67</v>
      </c>
      <c r="N715" s="60">
        <v>449484.53</v>
      </c>
      <c r="O715" s="60">
        <v>810753.14</v>
      </c>
      <c r="P715" s="55">
        <v>835957.88</v>
      </c>
      <c r="Q715" s="55">
        <f t="shared" si="288"/>
        <v>18391.073360000002</v>
      </c>
      <c r="R715" s="61">
        <f t="shared" si="272"/>
        <v>4200.79</v>
      </c>
      <c r="S715" s="60">
        <v>4200.79</v>
      </c>
      <c r="T715" s="60">
        <v>4200.79</v>
      </c>
      <c r="U715" s="60">
        <v>4200.79</v>
      </c>
      <c r="V715" s="60">
        <v>4200.79</v>
      </c>
      <c r="W715" s="60">
        <v>4200.79</v>
      </c>
      <c r="X715" s="61">
        <f t="shared" si="273"/>
        <v>25204.74</v>
      </c>
      <c r="Y715" s="60">
        <v>4200.79</v>
      </c>
      <c r="Z715" s="60">
        <v>4200.79</v>
      </c>
      <c r="AA715" s="60">
        <v>4200.79</v>
      </c>
      <c r="AB715" s="60">
        <v>4200.79</v>
      </c>
      <c r="AC715" s="60">
        <v>4200.79</v>
      </c>
      <c r="AD715" s="60">
        <v>4200.79</v>
      </c>
      <c r="AE715" s="61">
        <f t="shared" si="274"/>
        <v>25204.74</v>
      </c>
      <c r="AF715" s="62">
        <f t="shared" si="281"/>
        <v>1260237.67</v>
      </c>
      <c r="AG715" s="62">
        <f t="shared" si="280"/>
        <v>499894.00999999978</v>
      </c>
      <c r="AH715" s="62">
        <f t="shared" si="278"/>
        <v>760343.66000000015</v>
      </c>
      <c r="AI715" s="63">
        <v>785548.39999999967</v>
      </c>
      <c r="AJ715" s="63">
        <f t="shared" si="289"/>
        <v>17282.064799999993</v>
      </c>
      <c r="AK715" s="72">
        <f t="shared" si="290"/>
        <v>17282.064799999993</v>
      </c>
      <c r="AL715" s="60">
        <v>4200.79</v>
      </c>
      <c r="AM715" s="60">
        <v>4200.79</v>
      </c>
      <c r="AN715" s="60">
        <v>4200.79</v>
      </c>
      <c r="AO715" s="60">
        <v>4200.79</v>
      </c>
      <c r="AP715" s="60">
        <v>4200.79</v>
      </c>
      <c r="AQ715" s="60">
        <v>4200.79</v>
      </c>
      <c r="AR715" s="61">
        <f t="shared" si="275"/>
        <v>25204.74</v>
      </c>
      <c r="AS715" s="60">
        <v>4200.79</v>
      </c>
      <c r="AT715" s="60">
        <v>4200.79</v>
      </c>
      <c r="AU715" s="60">
        <v>4200.79</v>
      </c>
      <c r="AV715" s="60">
        <v>4200.79</v>
      </c>
      <c r="AW715" s="60">
        <v>4200.79</v>
      </c>
      <c r="AX715" s="60">
        <v>4200.79</v>
      </c>
      <c r="AY715" s="61">
        <f t="shared" si="276"/>
        <v>25204.74</v>
      </c>
      <c r="AZ715" s="56">
        <f t="shared" si="292"/>
        <v>50409.48</v>
      </c>
      <c r="BA715" s="62">
        <f t="shared" si="286"/>
        <v>1260237.67</v>
      </c>
      <c r="BB715" s="62">
        <f t="shared" si="277"/>
        <v>550303.48999999987</v>
      </c>
      <c r="BC715" s="62">
        <f t="shared" si="287"/>
        <v>709934.18</v>
      </c>
      <c r="BD715" s="63">
        <v>735138.91999999923</v>
      </c>
      <c r="BE715" s="57">
        <f t="shared" si="291"/>
        <v>16173.056239999985</v>
      </c>
      <c r="BF715" s="35" t="str">
        <f>VLOOKUP(A:A,'2023-2027'!A:G,1,+FALSE)</f>
        <v>КЛ-6кВ (от ТП № 104  до ТП № 105)  ул. Авиаторов 2013г (470 м)</v>
      </c>
      <c r="BG715" s="7" t="b">
        <f t="shared" si="279"/>
        <v>1</v>
      </c>
      <c r="BH715" s="35">
        <f>VLOOKUP(A:A,'2023-2027'!A:AT,43,+FALSE)</f>
        <v>4200.79</v>
      </c>
    </row>
    <row r="716" spans="1:60" ht="24" hidden="1" customHeight="1" outlineLevel="1" x14ac:dyDescent="0.2">
      <c r="A716" s="59" t="s">
        <v>1679</v>
      </c>
      <c r="B716" s="59" t="s">
        <v>44</v>
      </c>
      <c r="C716" s="59" t="s">
        <v>82</v>
      </c>
      <c r="D716" s="66" t="s">
        <v>1680</v>
      </c>
      <c r="E716" s="59" t="s">
        <v>1681</v>
      </c>
      <c r="F716" s="60">
        <v>1603423.77</v>
      </c>
      <c r="G716" s="60">
        <v>326029.75</v>
      </c>
      <c r="H716" s="60">
        <v>1277394.02</v>
      </c>
      <c r="I716" s="59"/>
      <c r="J716" s="60">
        <v>64136.91</v>
      </c>
      <c r="K716" s="59"/>
      <c r="L716" s="59"/>
      <c r="M716" s="60">
        <v>1603423.77</v>
      </c>
      <c r="N716" s="60">
        <v>390166.66</v>
      </c>
      <c r="O716" s="60">
        <v>1213257.1100000001</v>
      </c>
      <c r="P716" s="55">
        <v>1245325.57</v>
      </c>
      <c r="Q716" s="55">
        <f t="shared" si="288"/>
        <v>27397.162540000005</v>
      </c>
      <c r="R716" s="61">
        <f t="shared" si="272"/>
        <v>5344.7425000000003</v>
      </c>
      <c r="S716" s="60">
        <v>5344.7425000000003</v>
      </c>
      <c r="T716" s="60">
        <v>5344.7425000000003</v>
      </c>
      <c r="U716" s="60">
        <v>5344.7425000000003</v>
      </c>
      <c r="V716" s="60">
        <v>5344.7425000000003</v>
      </c>
      <c r="W716" s="60">
        <v>5344.7425000000003</v>
      </c>
      <c r="X716" s="61">
        <f t="shared" si="273"/>
        <v>32068.455000000002</v>
      </c>
      <c r="Y716" s="60">
        <v>5344.7425000000003</v>
      </c>
      <c r="Z716" s="60">
        <v>5344.7425000000003</v>
      </c>
      <c r="AA716" s="60">
        <v>5344.7425000000003</v>
      </c>
      <c r="AB716" s="60">
        <v>5344.7425000000003</v>
      </c>
      <c r="AC716" s="60">
        <v>5344.7425000000003</v>
      </c>
      <c r="AD716" s="60">
        <v>5344.7425000000003</v>
      </c>
      <c r="AE716" s="61">
        <f t="shared" si="274"/>
        <v>32068.455000000002</v>
      </c>
      <c r="AF716" s="62">
        <f t="shared" si="281"/>
        <v>1603423.77</v>
      </c>
      <c r="AG716" s="62">
        <f t="shared" si="280"/>
        <v>454303.56999999989</v>
      </c>
      <c r="AH716" s="62">
        <f t="shared" si="278"/>
        <v>1149120.2000000002</v>
      </c>
      <c r="AI716" s="63">
        <v>1181188.6700000002</v>
      </c>
      <c r="AJ716" s="63">
        <f t="shared" si="289"/>
        <v>25986.150740000005</v>
      </c>
      <c r="AK716" s="72">
        <f t="shared" si="290"/>
        <v>25986.150740000005</v>
      </c>
      <c r="AL716" s="60">
        <v>5344.7425000000003</v>
      </c>
      <c r="AM716" s="60">
        <v>5344.7425000000003</v>
      </c>
      <c r="AN716" s="60">
        <v>5344.7425000000003</v>
      </c>
      <c r="AO716" s="60">
        <v>5344.7425000000003</v>
      </c>
      <c r="AP716" s="60">
        <v>5344.7425000000003</v>
      </c>
      <c r="AQ716" s="60">
        <v>5344.7425000000003</v>
      </c>
      <c r="AR716" s="61">
        <f t="shared" si="275"/>
        <v>32068.455000000002</v>
      </c>
      <c r="AS716" s="60">
        <v>5344.7425000000003</v>
      </c>
      <c r="AT716" s="60">
        <v>5344.7425000000003</v>
      </c>
      <c r="AU716" s="60">
        <v>5344.7425000000003</v>
      </c>
      <c r="AV716" s="60">
        <v>5344.7425000000003</v>
      </c>
      <c r="AW716" s="60">
        <v>5344.7425000000003</v>
      </c>
      <c r="AX716" s="60">
        <v>5344.7425000000003</v>
      </c>
      <c r="AY716" s="61">
        <f t="shared" si="276"/>
        <v>32068.455000000002</v>
      </c>
      <c r="AZ716" s="56">
        <f t="shared" si="292"/>
        <v>64136.91</v>
      </c>
      <c r="BA716" s="62">
        <f t="shared" si="286"/>
        <v>1603423.77</v>
      </c>
      <c r="BB716" s="62">
        <f t="shared" si="277"/>
        <v>518440.47999999981</v>
      </c>
      <c r="BC716" s="62">
        <f t="shared" si="287"/>
        <v>1084983.2900000003</v>
      </c>
      <c r="BD716" s="63">
        <v>1117051.79</v>
      </c>
      <c r="BE716" s="57">
        <f t="shared" si="291"/>
        <v>24575.139380000004</v>
      </c>
      <c r="BF716" s="35" t="str">
        <f>VLOOKUP(A:A,'2023-2027'!A:G,1,+FALSE)</f>
        <v>КЛ-6кВ по улице Южная от ТП №34 до ТП №104</v>
      </c>
      <c r="BG716" s="7" t="b">
        <f t="shared" si="279"/>
        <v>1</v>
      </c>
      <c r="BH716" s="35">
        <f>VLOOKUP(A:A,'2023-2027'!A:AT,43,+FALSE)</f>
        <v>5344.7425000000003</v>
      </c>
    </row>
    <row r="717" spans="1:60" ht="24" hidden="1" customHeight="1" outlineLevel="1" x14ac:dyDescent="0.2">
      <c r="A717" s="59" t="s">
        <v>1682</v>
      </c>
      <c r="B717" s="59" t="s">
        <v>44</v>
      </c>
      <c r="C717" s="59" t="s">
        <v>82</v>
      </c>
      <c r="D717" s="66" t="s">
        <v>1683</v>
      </c>
      <c r="E717" s="59" t="s">
        <v>1681</v>
      </c>
      <c r="F717" s="60">
        <v>534839</v>
      </c>
      <c r="G717" s="60">
        <v>108750.8</v>
      </c>
      <c r="H717" s="60">
        <v>426088.2</v>
      </c>
      <c r="I717" s="59"/>
      <c r="J717" s="60">
        <v>21393.599999999999</v>
      </c>
      <c r="K717" s="59"/>
      <c r="L717" s="59"/>
      <c r="M717" s="60">
        <v>534839</v>
      </c>
      <c r="N717" s="60">
        <v>130144.4</v>
      </c>
      <c r="O717" s="60">
        <v>404694.6</v>
      </c>
      <c r="P717" s="55">
        <v>415391.4</v>
      </c>
      <c r="Q717" s="55">
        <f t="shared" si="288"/>
        <v>9138.6108000000022</v>
      </c>
      <c r="R717" s="61">
        <f t="shared" si="272"/>
        <v>1782.8</v>
      </c>
      <c r="S717" s="60">
        <v>1782.8</v>
      </c>
      <c r="T717" s="60">
        <v>1782.8</v>
      </c>
      <c r="U717" s="60">
        <v>1782.8</v>
      </c>
      <c r="V717" s="60">
        <v>1782.8</v>
      </c>
      <c r="W717" s="60">
        <v>1782.8</v>
      </c>
      <c r="X717" s="61">
        <f t="shared" si="273"/>
        <v>10696.8</v>
      </c>
      <c r="Y717" s="60">
        <v>1782.8</v>
      </c>
      <c r="Z717" s="60">
        <v>1782.8</v>
      </c>
      <c r="AA717" s="60">
        <v>1782.8</v>
      </c>
      <c r="AB717" s="60">
        <v>1782.8</v>
      </c>
      <c r="AC717" s="60">
        <v>1782.8</v>
      </c>
      <c r="AD717" s="60">
        <v>1782.8</v>
      </c>
      <c r="AE717" s="61">
        <f t="shared" si="274"/>
        <v>10696.8</v>
      </c>
      <c r="AF717" s="62">
        <f t="shared" si="281"/>
        <v>534839</v>
      </c>
      <c r="AG717" s="62">
        <f t="shared" si="280"/>
        <v>151537.99999999985</v>
      </c>
      <c r="AH717" s="62">
        <f t="shared" si="278"/>
        <v>383301.00000000012</v>
      </c>
      <c r="AI717" s="63">
        <v>393997.80000000005</v>
      </c>
      <c r="AJ717" s="63">
        <f t="shared" si="289"/>
        <v>8667.9516000000021</v>
      </c>
      <c r="AK717" s="72">
        <f t="shared" si="290"/>
        <v>8667.9516000000021</v>
      </c>
      <c r="AL717" s="60">
        <v>1782.8</v>
      </c>
      <c r="AM717" s="60">
        <v>1782.8</v>
      </c>
      <c r="AN717" s="60">
        <v>1782.8</v>
      </c>
      <c r="AO717" s="60">
        <v>1782.8</v>
      </c>
      <c r="AP717" s="60">
        <v>1782.8</v>
      </c>
      <c r="AQ717" s="60">
        <v>1782.8</v>
      </c>
      <c r="AR717" s="61">
        <f t="shared" si="275"/>
        <v>10696.8</v>
      </c>
      <c r="AS717" s="60">
        <v>1782.8</v>
      </c>
      <c r="AT717" s="60">
        <v>1782.8</v>
      </c>
      <c r="AU717" s="60">
        <v>1782.8</v>
      </c>
      <c r="AV717" s="60">
        <v>1782.8</v>
      </c>
      <c r="AW717" s="60">
        <v>1782.8</v>
      </c>
      <c r="AX717" s="60">
        <v>1782.8</v>
      </c>
      <c r="AY717" s="61">
        <f t="shared" si="276"/>
        <v>10696.8</v>
      </c>
      <c r="AZ717" s="56">
        <f t="shared" si="292"/>
        <v>21393.599999999999</v>
      </c>
      <c r="BA717" s="62">
        <f t="shared" si="286"/>
        <v>534839</v>
      </c>
      <c r="BB717" s="62">
        <f t="shared" si="277"/>
        <v>172931.59999999971</v>
      </c>
      <c r="BC717" s="62">
        <f t="shared" si="287"/>
        <v>361907.40000000026</v>
      </c>
      <c r="BD717" s="63">
        <v>372604.20000000019</v>
      </c>
      <c r="BE717" s="57">
        <f t="shared" si="291"/>
        <v>8197.2924000000057</v>
      </c>
      <c r="BF717" s="35" t="str">
        <f>VLOOKUP(A:A,'2023-2027'!A:G,1,+FALSE)</f>
        <v>КЛ-6кВ ТП №21-ТП №113 "Молодежный центр"</v>
      </c>
      <c r="BG717" s="7" t="b">
        <f t="shared" si="279"/>
        <v>1</v>
      </c>
      <c r="BH717" s="35">
        <f>VLOOKUP(A:A,'2023-2027'!A:AT,43,+FALSE)</f>
        <v>1782.7999999999995</v>
      </c>
    </row>
    <row r="718" spans="1:60" ht="24" hidden="1" customHeight="1" outlineLevel="1" x14ac:dyDescent="0.2">
      <c r="A718" s="59" t="s">
        <v>1684</v>
      </c>
      <c r="B718" s="59" t="s">
        <v>44</v>
      </c>
      <c r="C718" s="59" t="s">
        <v>82</v>
      </c>
      <c r="D718" s="66" t="s">
        <v>1685</v>
      </c>
      <c r="E718" s="59" t="s">
        <v>1681</v>
      </c>
      <c r="F718" s="60">
        <v>1839551</v>
      </c>
      <c r="G718" s="60">
        <v>374042.24</v>
      </c>
      <c r="H718" s="60">
        <v>1465508.76</v>
      </c>
      <c r="I718" s="59"/>
      <c r="J718" s="60">
        <v>73582.080000000002</v>
      </c>
      <c r="K718" s="59"/>
      <c r="L718" s="59"/>
      <c r="M718" s="60">
        <v>1839551</v>
      </c>
      <c r="N718" s="60">
        <v>447624.32</v>
      </c>
      <c r="O718" s="60">
        <v>1391926.68</v>
      </c>
      <c r="P718" s="55">
        <v>1428717.72</v>
      </c>
      <c r="Q718" s="55">
        <f t="shared" si="288"/>
        <v>31431.789840000001</v>
      </c>
      <c r="R718" s="61">
        <f t="shared" si="272"/>
        <v>6131.84</v>
      </c>
      <c r="S718" s="60">
        <v>6131.84</v>
      </c>
      <c r="T718" s="60">
        <v>6131.84</v>
      </c>
      <c r="U718" s="60">
        <v>6131.84</v>
      </c>
      <c r="V718" s="60">
        <v>6131.84</v>
      </c>
      <c r="W718" s="60">
        <v>6131.84</v>
      </c>
      <c r="X718" s="61">
        <f t="shared" si="273"/>
        <v>36791.040000000001</v>
      </c>
      <c r="Y718" s="60">
        <v>6131.84</v>
      </c>
      <c r="Z718" s="60">
        <v>6131.84</v>
      </c>
      <c r="AA718" s="60">
        <v>6131.84</v>
      </c>
      <c r="AB718" s="60">
        <v>6131.84</v>
      </c>
      <c r="AC718" s="60">
        <v>6131.84</v>
      </c>
      <c r="AD718" s="60">
        <v>6131.84</v>
      </c>
      <c r="AE718" s="61">
        <f t="shared" si="274"/>
        <v>36791.040000000001</v>
      </c>
      <c r="AF718" s="62">
        <f t="shared" si="281"/>
        <v>1839551</v>
      </c>
      <c r="AG718" s="62">
        <f t="shared" si="280"/>
        <v>521206.40000000031</v>
      </c>
      <c r="AH718" s="62">
        <f t="shared" si="278"/>
        <v>1318344.5999999996</v>
      </c>
      <c r="AI718" s="63">
        <v>1355135.6399999994</v>
      </c>
      <c r="AJ718" s="63">
        <f t="shared" si="289"/>
        <v>29812.984079999991</v>
      </c>
      <c r="AK718" s="72">
        <f t="shared" si="290"/>
        <v>29812.984079999991</v>
      </c>
      <c r="AL718" s="60">
        <v>6131.84</v>
      </c>
      <c r="AM718" s="60">
        <v>6131.84</v>
      </c>
      <c r="AN718" s="60">
        <v>6131.84</v>
      </c>
      <c r="AO718" s="60">
        <v>6131.84</v>
      </c>
      <c r="AP718" s="60">
        <v>6131.84</v>
      </c>
      <c r="AQ718" s="60">
        <v>6131.84</v>
      </c>
      <c r="AR718" s="61">
        <f t="shared" si="275"/>
        <v>36791.040000000001</v>
      </c>
      <c r="AS718" s="60">
        <v>6131.84</v>
      </c>
      <c r="AT718" s="60">
        <v>6131.84</v>
      </c>
      <c r="AU718" s="60">
        <v>6131.84</v>
      </c>
      <c r="AV718" s="60">
        <v>6131.84</v>
      </c>
      <c r="AW718" s="60">
        <v>6131.84</v>
      </c>
      <c r="AX718" s="60">
        <v>6131.84</v>
      </c>
      <c r="AY718" s="61">
        <f t="shared" si="276"/>
        <v>36791.040000000001</v>
      </c>
      <c r="AZ718" s="56">
        <f t="shared" si="292"/>
        <v>73582.080000000002</v>
      </c>
      <c r="BA718" s="62">
        <f t="shared" si="286"/>
        <v>1839551</v>
      </c>
      <c r="BB718" s="62">
        <f t="shared" si="277"/>
        <v>594788.48</v>
      </c>
      <c r="BC718" s="62">
        <f t="shared" si="287"/>
        <v>1244762.52</v>
      </c>
      <c r="BD718" s="63">
        <v>1281553.5599999984</v>
      </c>
      <c r="BE718" s="57">
        <f t="shared" si="291"/>
        <v>28194.17831999997</v>
      </c>
      <c r="BF718" s="35" t="str">
        <f>VLOOKUP(A:A,'2023-2027'!A:G,1,+FALSE)</f>
        <v>КЛ-6кВ ТП №7-ТП №113 "Молодежный центр"</v>
      </c>
      <c r="BG718" s="7" t="b">
        <f t="shared" si="279"/>
        <v>1</v>
      </c>
      <c r="BH718" s="35">
        <f>VLOOKUP(A:A,'2023-2027'!A:AT,43,+FALSE)</f>
        <v>6131.8399999999992</v>
      </c>
    </row>
    <row r="719" spans="1:60" ht="12" hidden="1" customHeight="1" outlineLevel="1" x14ac:dyDescent="0.2">
      <c r="A719" s="59" t="s">
        <v>1686</v>
      </c>
      <c r="B719" s="59" t="s">
        <v>44</v>
      </c>
      <c r="C719" s="59" t="s">
        <v>82</v>
      </c>
      <c r="D719" s="65" t="s">
        <v>1687</v>
      </c>
      <c r="E719" s="59" t="s">
        <v>243</v>
      </c>
      <c r="F719" s="60">
        <v>2600</v>
      </c>
      <c r="G719" s="60">
        <v>2600</v>
      </c>
      <c r="H719" s="59"/>
      <c r="I719" s="59"/>
      <c r="J719" s="59"/>
      <c r="K719" s="60">
        <v>2600</v>
      </c>
      <c r="L719" s="60">
        <v>2600</v>
      </c>
      <c r="M719" s="59"/>
      <c r="N719" s="59"/>
      <c r="O719" s="59"/>
      <c r="P719" s="67"/>
      <c r="Q719" s="55">
        <f t="shared" si="288"/>
        <v>0</v>
      </c>
      <c r="R719" s="61">
        <f t="shared" si="272"/>
        <v>0</v>
      </c>
      <c r="S719" s="60">
        <v>0</v>
      </c>
      <c r="T719" s="60">
        <v>0</v>
      </c>
      <c r="U719" s="60">
        <v>0</v>
      </c>
      <c r="V719" s="60">
        <v>0</v>
      </c>
      <c r="W719" s="60">
        <v>0</v>
      </c>
      <c r="X719" s="61">
        <f t="shared" si="273"/>
        <v>0</v>
      </c>
      <c r="Y719" s="60">
        <v>0</v>
      </c>
      <c r="Z719" s="60">
        <v>0</v>
      </c>
      <c r="AA719" s="60">
        <v>0</v>
      </c>
      <c r="AB719" s="60">
        <v>0</v>
      </c>
      <c r="AC719" s="60">
        <v>0</v>
      </c>
      <c r="AD719" s="60">
        <v>0</v>
      </c>
      <c r="AE719" s="61">
        <f t="shared" si="274"/>
        <v>0</v>
      </c>
      <c r="AF719" s="62">
        <f t="shared" si="281"/>
        <v>0</v>
      </c>
      <c r="AG719" s="62">
        <f t="shared" si="280"/>
        <v>0</v>
      </c>
      <c r="AH719" s="62">
        <f t="shared" si="278"/>
        <v>0</v>
      </c>
      <c r="AI719" s="63"/>
      <c r="AJ719" s="63"/>
      <c r="AK719" s="72">
        <f t="shared" si="290"/>
        <v>0</v>
      </c>
      <c r="AL719" s="60">
        <v>0</v>
      </c>
      <c r="AM719" s="60">
        <v>0</v>
      </c>
      <c r="AN719" s="60">
        <v>0</v>
      </c>
      <c r="AO719" s="60">
        <v>0</v>
      </c>
      <c r="AP719" s="60">
        <v>0</v>
      </c>
      <c r="AQ719" s="60">
        <v>0</v>
      </c>
      <c r="AR719" s="61">
        <f t="shared" si="275"/>
        <v>0</v>
      </c>
      <c r="AS719" s="60">
        <v>0</v>
      </c>
      <c r="AT719" s="60">
        <v>0</v>
      </c>
      <c r="AU719" s="60">
        <v>0</v>
      </c>
      <c r="AV719" s="60">
        <v>0</v>
      </c>
      <c r="AW719" s="60">
        <v>0</v>
      </c>
      <c r="AX719" s="60">
        <v>0</v>
      </c>
      <c r="AY719" s="61">
        <f t="shared" si="276"/>
        <v>0</v>
      </c>
      <c r="AZ719" s="56">
        <f t="shared" si="292"/>
        <v>0</v>
      </c>
      <c r="BA719" s="62">
        <f t="shared" si="286"/>
        <v>0</v>
      </c>
      <c r="BB719" s="62">
        <f t="shared" si="277"/>
        <v>0</v>
      </c>
      <c r="BC719" s="62">
        <f t="shared" si="287"/>
        <v>0</v>
      </c>
      <c r="BD719" s="63"/>
      <c r="BE719" s="57">
        <f t="shared" si="291"/>
        <v>0</v>
      </c>
      <c r="BF719" s="35" t="e">
        <f>VLOOKUP(A:A,'2023-2027'!A:G,1,+FALSE)</f>
        <v>#N/A</v>
      </c>
      <c r="BG719" s="7" t="e">
        <f t="shared" si="279"/>
        <v>#N/A</v>
      </c>
      <c r="BH719" s="35"/>
    </row>
    <row r="720" spans="1:60" ht="24" hidden="1" customHeight="1" outlineLevel="1" x14ac:dyDescent="0.2">
      <c r="A720" s="59" t="s">
        <v>1688</v>
      </c>
      <c r="B720" s="59" t="s">
        <v>44</v>
      </c>
      <c r="C720" s="59" t="s">
        <v>82</v>
      </c>
      <c r="D720" s="66" t="s">
        <v>1689</v>
      </c>
      <c r="E720" s="59" t="s">
        <v>1516</v>
      </c>
      <c r="F720" s="60">
        <v>13972965.5</v>
      </c>
      <c r="G720" s="60">
        <v>372212.4</v>
      </c>
      <c r="H720" s="60">
        <v>13600753.1</v>
      </c>
      <c r="I720" s="59"/>
      <c r="J720" s="60">
        <v>558318.6</v>
      </c>
      <c r="K720" s="59"/>
      <c r="L720" s="59"/>
      <c r="M720" s="60">
        <v>13972965.5</v>
      </c>
      <c r="N720" s="60">
        <v>930531</v>
      </c>
      <c r="O720" s="60">
        <v>13042434.5</v>
      </c>
      <c r="P720" s="55">
        <v>13321593.779999999</v>
      </c>
      <c r="Q720" s="55">
        <f t="shared" si="288"/>
        <v>293075.06316000002</v>
      </c>
      <c r="R720" s="61">
        <f t="shared" si="272"/>
        <v>46526.549999999996</v>
      </c>
      <c r="S720" s="60">
        <v>46526.55</v>
      </c>
      <c r="T720" s="60">
        <v>46526.55</v>
      </c>
      <c r="U720" s="60">
        <v>46526.55</v>
      </c>
      <c r="V720" s="60">
        <v>46526.55</v>
      </c>
      <c r="W720" s="60">
        <v>46526.55</v>
      </c>
      <c r="X720" s="61">
        <f t="shared" si="273"/>
        <v>279159.3</v>
      </c>
      <c r="Y720" s="60">
        <v>46526.55</v>
      </c>
      <c r="Z720" s="60">
        <v>46526.55</v>
      </c>
      <c r="AA720" s="60">
        <v>46526.55</v>
      </c>
      <c r="AB720" s="60">
        <v>46526.55</v>
      </c>
      <c r="AC720" s="60">
        <v>46526.55</v>
      </c>
      <c r="AD720" s="60">
        <v>46526.55</v>
      </c>
      <c r="AE720" s="61">
        <f t="shared" si="274"/>
        <v>279159.3</v>
      </c>
      <c r="AF720" s="62">
        <f t="shared" si="281"/>
        <v>13972965.5</v>
      </c>
      <c r="AG720" s="62">
        <f t="shared" si="280"/>
        <v>1488849.6000000006</v>
      </c>
      <c r="AH720" s="62">
        <f t="shared" si="278"/>
        <v>12484115.899999999</v>
      </c>
      <c r="AI720" s="63">
        <v>12763275.200000007</v>
      </c>
      <c r="AJ720" s="63">
        <f t="shared" ref="AJ720:AJ721" si="293">AI720*2.2%</f>
        <v>280792.0544000002</v>
      </c>
      <c r="AK720" s="72">
        <f t="shared" si="290"/>
        <v>280792.0544000002</v>
      </c>
      <c r="AL720" s="60">
        <v>46526.55</v>
      </c>
      <c r="AM720" s="60">
        <v>46526.55</v>
      </c>
      <c r="AN720" s="60">
        <v>46526.55</v>
      </c>
      <c r="AO720" s="60">
        <v>46526.55</v>
      </c>
      <c r="AP720" s="60">
        <v>46526.55</v>
      </c>
      <c r="AQ720" s="60">
        <v>46526.55</v>
      </c>
      <c r="AR720" s="61">
        <f t="shared" si="275"/>
        <v>279159.3</v>
      </c>
      <c r="AS720" s="60">
        <v>46526.55</v>
      </c>
      <c r="AT720" s="60">
        <v>46526.55</v>
      </c>
      <c r="AU720" s="60">
        <v>46526.55</v>
      </c>
      <c r="AV720" s="60">
        <v>46526.55</v>
      </c>
      <c r="AW720" s="60">
        <v>46526.55</v>
      </c>
      <c r="AX720" s="60">
        <v>46526.55</v>
      </c>
      <c r="AY720" s="61">
        <f t="shared" si="276"/>
        <v>279159.3</v>
      </c>
      <c r="AZ720" s="56">
        <f t="shared" si="292"/>
        <v>558318.6</v>
      </c>
      <c r="BA720" s="62">
        <f t="shared" si="286"/>
        <v>13972965.5</v>
      </c>
      <c r="BB720" s="62">
        <f t="shared" si="277"/>
        <v>2047168.2000000011</v>
      </c>
      <c r="BC720" s="62">
        <f t="shared" si="287"/>
        <v>11925797.299999999</v>
      </c>
      <c r="BD720" s="63">
        <v>12204956.60000002</v>
      </c>
      <c r="BE720" s="57">
        <f t="shared" si="291"/>
        <v>268509.04520000046</v>
      </c>
      <c r="BF720" s="35" t="str">
        <f>VLOOKUP(A:A,'2023-2027'!A:G,1,+FALSE)</f>
        <v>Комплексная трансформаторная подстанция</v>
      </c>
      <c r="BG720" s="7" t="b">
        <f t="shared" si="279"/>
        <v>1</v>
      </c>
      <c r="BH720" s="35">
        <f>VLOOKUP(A:A,'2023-2027'!A:AT,43,+FALSE)</f>
        <v>46576.549999999996</v>
      </c>
    </row>
    <row r="721" spans="1:60" ht="36" hidden="1" customHeight="1" outlineLevel="1" x14ac:dyDescent="0.2">
      <c r="A721" s="59" t="s">
        <v>1690</v>
      </c>
      <c r="B721" s="59" t="s">
        <v>44</v>
      </c>
      <c r="C721" s="59" t="s">
        <v>82</v>
      </c>
      <c r="D721" s="66" t="s">
        <v>1691</v>
      </c>
      <c r="E721" s="59" t="s">
        <v>1692</v>
      </c>
      <c r="F721" s="60">
        <v>4968188.32</v>
      </c>
      <c r="G721" s="60">
        <v>491996.7</v>
      </c>
      <c r="H721" s="60">
        <v>4476191.62</v>
      </c>
      <c r="I721" s="59"/>
      <c r="J721" s="60">
        <v>218665.2</v>
      </c>
      <c r="K721" s="59"/>
      <c r="L721" s="59"/>
      <c r="M721" s="60">
        <v>4968188.32</v>
      </c>
      <c r="N721" s="60">
        <v>710661.9</v>
      </c>
      <c r="O721" s="60">
        <v>4257526.42</v>
      </c>
      <c r="P721" s="55">
        <v>4366859.0199999996</v>
      </c>
      <c r="Q721" s="55">
        <f t="shared" si="288"/>
        <v>96070.898440000004</v>
      </c>
      <c r="R721" s="61">
        <f t="shared" si="272"/>
        <v>18222.100000000002</v>
      </c>
      <c r="S721" s="60">
        <v>18222.099999999999</v>
      </c>
      <c r="T721" s="60">
        <v>18222.099999999999</v>
      </c>
      <c r="U721" s="60">
        <v>18222.099999999999</v>
      </c>
      <c r="V721" s="60">
        <v>18222.099999999999</v>
      </c>
      <c r="W721" s="60">
        <v>18222.099999999999</v>
      </c>
      <c r="X721" s="61">
        <f t="shared" si="273"/>
        <v>109332.6</v>
      </c>
      <c r="Y721" s="60">
        <v>18222.099999999999</v>
      </c>
      <c r="Z721" s="60">
        <v>18222.099999999999</v>
      </c>
      <c r="AA721" s="60">
        <v>18222.099999999999</v>
      </c>
      <c r="AB721" s="60">
        <v>18222.099999999999</v>
      </c>
      <c r="AC721" s="60">
        <v>18222.099999999999</v>
      </c>
      <c r="AD721" s="60">
        <v>18222.099999999999</v>
      </c>
      <c r="AE721" s="61">
        <f t="shared" si="274"/>
        <v>109332.6</v>
      </c>
      <c r="AF721" s="62">
        <f t="shared" si="281"/>
        <v>4968188.32</v>
      </c>
      <c r="AG721" s="62">
        <f t="shared" si="280"/>
        <v>929327.09999999974</v>
      </c>
      <c r="AH721" s="62">
        <f t="shared" si="278"/>
        <v>4038861.2200000007</v>
      </c>
      <c r="AI721" s="63">
        <v>4148193.8199999961</v>
      </c>
      <c r="AJ721" s="63">
        <f t="shared" si="293"/>
        <v>91260.264039999922</v>
      </c>
      <c r="AK721" s="62"/>
      <c r="AL721" s="60">
        <v>18222.099999999999</v>
      </c>
      <c r="AM721" s="60">
        <v>18222.099999999999</v>
      </c>
      <c r="AN721" s="60">
        <v>18222.099999999999</v>
      </c>
      <c r="AO721" s="60">
        <v>18222.099999999999</v>
      </c>
      <c r="AP721" s="60">
        <v>18222.099999999999</v>
      </c>
      <c r="AQ721" s="60">
        <v>18222.099999999999</v>
      </c>
      <c r="AR721" s="61">
        <f t="shared" si="275"/>
        <v>109332.6</v>
      </c>
      <c r="AS721" s="60">
        <v>18222.099999999999</v>
      </c>
      <c r="AT721" s="60">
        <v>18222.099999999999</v>
      </c>
      <c r="AU721" s="60">
        <v>18222.099999999999</v>
      </c>
      <c r="AV721" s="60">
        <v>18222.099999999999</v>
      </c>
      <c r="AW721" s="60">
        <v>18222.099999999999</v>
      </c>
      <c r="AX721" s="60">
        <v>18222.099999999999</v>
      </c>
      <c r="AY721" s="61">
        <f t="shared" si="276"/>
        <v>109332.6</v>
      </c>
      <c r="AZ721" s="56">
        <f t="shared" si="292"/>
        <v>218665.2</v>
      </c>
      <c r="BA721" s="62">
        <f t="shared" si="286"/>
        <v>4968188.32</v>
      </c>
      <c r="BB721" s="62">
        <f t="shared" si="277"/>
        <v>1147992.3</v>
      </c>
      <c r="BC721" s="62">
        <f t="shared" si="287"/>
        <v>3820196.0200000005</v>
      </c>
      <c r="BD721" s="63">
        <v>3929528.6199999894</v>
      </c>
      <c r="BE721" s="57">
        <f t="shared" si="291"/>
        <v>86449.629639999781</v>
      </c>
      <c r="BF721" s="35" t="str">
        <f>VLOOKUP(A:A,'2023-2027'!A:G,1,+FALSE)</f>
        <v>Комплексная трансформаторная подстанция ЗРУ-6кВ</v>
      </c>
      <c r="BG721" s="7" t="b">
        <f t="shared" si="279"/>
        <v>1</v>
      </c>
      <c r="BH721" s="35">
        <f>VLOOKUP(A:A,'2023-2027'!A:AT,43,+FALSE)</f>
        <v>18332.799999999996</v>
      </c>
    </row>
    <row r="722" spans="1:60" ht="24" hidden="1" customHeight="1" outlineLevel="1" x14ac:dyDescent="0.2">
      <c r="A722" s="59" t="s">
        <v>1693</v>
      </c>
      <c r="B722" s="59" t="s">
        <v>44</v>
      </c>
      <c r="C722" s="59" t="s">
        <v>82</v>
      </c>
      <c r="D722" s="66" t="s">
        <v>1694</v>
      </c>
      <c r="E722" s="59" t="s">
        <v>1695</v>
      </c>
      <c r="F722" s="60">
        <v>148800.01</v>
      </c>
      <c r="G722" s="60">
        <v>31885.74</v>
      </c>
      <c r="H722" s="60">
        <v>116914.27</v>
      </c>
      <c r="I722" s="59"/>
      <c r="J722" s="60">
        <v>21257.16</v>
      </c>
      <c r="K722" s="59"/>
      <c r="L722" s="59"/>
      <c r="M722" s="60">
        <v>148800.01</v>
      </c>
      <c r="N722" s="60">
        <v>53142.9</v>
      </c>
      <c r="O722" s="60">
        <v>95657.11</v>
      </c>
      <c r="P722" s="55"/>
      <c r="Q722" s="55"/>
      <c r="R722" s="61">
        <f t="shared" ref="R722:R785" si="294">J722/12</f>
        <v>1771.43</v>
      </c>
      <c r="S722" s="60">
        <v>1771.43</v>
      </c>
      <c r="T722" s="60">
        <v>1771.43</v>
      </c>
      <c r="U722" s="60">
        <v>1771.43</v>
      </c>
      <c r="V722" s="60">
        <v>1771.43</v>
      </c>
      <c r="W722" s="60">
        <v>1771.43</v>
      </c>
      <c r="X722" s="61">
        <f t="shared" ref="X722:X785" si="295">R722+S722+T722+U722+V722+W722</f>
        <v>10628.58</v>
      </c>
      <c r="Y722" s="60">
        <v>1771.43</v>
      </c>
      <c r="Z722" s="60">
        <v>1771.43</v>
      </c>
      <c r="AA722" s="60">
        <v>1771.43</v>
      </c>
      <c r="AB722" s="60">
        <v>1771.43</v>
      </c>
      <c r="AC722" s="60">
        <v>1771.43</v>
      </c>
      <c r="AD722" s="60">
        <v>1771.43</v>
      </c>
      <c r="AE722" s="61">
        <f t="shared" ref="AE722:AE785" si="296">Y722+Z722+AA722+AB722+AC722+AD722</f>
        <v>10628.58</v>
      </c>
      <c r="AF722" s="62">
        <f t="shared" si="281"/>
        <v>148800.01</v>
      </c>
      <c r="AG722" s="62">
        <f t="shared" si="280"/>
        <v>74400.059999999969</v>
      </c>
      <c r="AH722" s="62">
        <f t="shared" si="278"/>
        <v>74399.950000000041</v>
      </c>
      <c r="AI722" s="63"/>
      <c r="AJ722" s="63"/>
      <c r="AK722" s="62"/>
      <c r="AL722" s="60">
        <v>1771.43</v>
      </c>
      <c r="AM722" s="60">
        <v>1771.43</v>
      </c>
      <c r="AN722" s="60">
        <v>1771.43</v>
      </c>
      <c r="AO722" s="60">
        <v>1771.43</v>
      </c>
      <c r="AP722" s="60">
        <v>1771.43</v>
      </c>
      <c r="AQ722" s="60">
        <v>1771.43</v>
      </c>
      <c r="AR722" s="61">
        <f t="shared" ref="AR722:AR785" si="297">AL722+AM722+AN722+AO722+AP722+AQ722</f>
        <v>10628.58</v>
      </c>
      <c r="AS722" s="60">
        <v>1771.43</v>
      </c>
      <c r="AT722" s="60">
        <v>1771.43</v>
      </c>
      <c r="AU722" s="60">
        <v>1771.43</v>
      </c>
      <c r="AV722" s="60">
        <v>1771.43</v>
      </c>
      <c r="AW722" s="60">
        <v>1771.43</v>
      </c>
      <c r="AX722" s="60">
        <v>1771.43</v>
      </c>
      <c r="AY722" s="61">
        <f t="shared" ref="AY722:AY785" si="298">AS722+AT722+AU722+AV722+AW722+AX722</f>
        <v>10628.58</v>
      </c>
      <c r="AZ722" s="56">
        <f t="shared" si="292"/>
        <v>21257.16</v>
      </c>
      <c r="BA722" s="62">
        <f t="shared" si="286"/>
        <v>148800.01</v>
      </c>
      <c r="BB722" s="62">
        <f t="shared" ref="BB722:BB785" si="299">AG722+AL722+AM722+AN722+AO722+AP722+AQ722+AS722+AT722+AU722+AV722+AW722+AX722</f>
        <v>95657.219999999885</v>
      </c>
      <c r="BC722" s="62">
        <f t="shared" si="287"/>
        <v>53142.790000000125</v>
      </c>
      <c r="BD722" s="63"/>
      <c r="BE722" s="57"/>
      <c r="BF722" s="35" t="str">
        <f>VLOOKUP(A:A,'2023-2027'!A:G,1,+FALSE)</f>
        <v>Комплект индикаторов короткого замыкания ИКЗ-В34Л-У3</v>
      </c>
      <c r="BG722" s="7" t="b">
        <f t="shared" si="279"/>
        <v>1</v>
      </c>
      <c r="BH722" s="35">
        <f>VLOOKUP(A:A,'2023-2027'!A:AT,43,+FALSE)</f>
        <v>1771.43</v>
      </c>
    </row>
    <row r="723" spans="1:60" ht="48" hidden="1" customHeight="1" outlineLevel="1" x14ac:dyDescent="0.2">
      <c r="A723" s="59" t="s">
        <v>1696</v>
      </c>
      <c r="B723" s="59" t="s">
        <v>44</v>
      </c>
      <c r="C723" s="59" t="s">
        <v>82</v>
      </c>
      <c r="D723" s="66" t="s">
        <v>1697</v>
      </c>
      <c r="E723" s="59" t="s">
        <v>1385</v>
      </c>
      <c r="F723" s="60">
        <v>4878439.33</v>
      </c>
      <c r="G723" s="60">
        <v>2196152.7599999998</v>
      </c>
      <c r="H723" s="60">
        <v>2682286.5699999998</v>
      </c>
      <c r="I723" s="59"/>
      <c r="J723" s="60">
        <v>237422.04</v>
      </c>
      <c r="K723" s="59"/>
      <c r="L723" s="59"/>
      <c r="M723" s="60">
        <v>4878439.33</v>
      </c>
      <c r="N723" s="60">
        <v>2433574.7999999998</v>
      </c>
      <c r="O723" s="60">
        <v>2444864.5299999998</v>
      </c>
      <c r="P723" s="55">
        <v>2563575.5499999998</v>
      </c>
      <c r="Q723" s="55">
        <f t="shared" ref="Q723:Q727" si="300">P723*2.2%</f>
        <v>56398.662100000001</v>
      </c>
      <c r="R723" s="61">
        <f t="shared" si="294"/>
        <v>19785.170000000002</v>
      </c>
      <c r="S723" s="60">
        <v>19785.169999999998</v>
      </c>
      <c r="T723" s="60">
        <v>19785.169999999998</v>
      </c>
      <c r="U723" s="60">
        <v>19785.169999999998</v>
      </c>
      <c r="V723" s="60">
        <v>19785.169999999998</v>
      </c>
      <c r="W723" s="60">
        <v>19785.169999999998</v>
      </c>
      <c r="X723" s="61">
        <f t="shared" si="295"/>
        <v>118711.01999999999</v>
      </c>
      <c r="Y723" s="60">
        <v>19785.169999999998</v>
      </c>
      <c r="Z723" s="60">
        <v>19785.169999999998</v>
      </c>
      <c r="AA723" s="60">
        <v>19785.169999999998</v>
      </c>
      <c r="AB723" s="60">
        <v>19785.169999999998</v>
      </c>
      <c r="AC723" s="60">
        <v>19785.169999999998</v>
      </c>
      <c r="AD723" s="60">
        <v>19785.169999999998</v>
      </c>
      <c r="AE723" s="61">
        <f t="shared" si="296"/>
        <v>118711.01999999999</v>
      </c>
      <c r="AF723" s="62">
        <f t="shared" si="281"/>
        <v>4878439.33</v>
      </c>
      <c r="AG723" s="62">
        <f t="shared" si="280"/>
        <v>2670996.8399999989</v>
      </c>
      <c r="AH723" s="62">
        <f t="shared" ref="AH723:AH786" si="301">AF723-AG723</f>
        <v>2207442.4900000012</v>
      </c>
      <c r="AI723" s="63">
        <v>2326153.5100000007</v>
      </c>
      <c r="AJ723" s="63">
        <f t="shared" ref="AJ723:AJ727" si="302">AI723*2.2%</f>
        <v>51175.377220000024</v>
      </c>
      <c r="AK723" s="72">
        <f t="shared" ref="AK723:AK728" si="303">AI723*2.2%</f>
        <v>51175.377220000024</v>
      </c>
      <c r="AL723" s="60">
        <v>19785.169999999998</v>
      </c>
      <c r="AM723" s="60">
        <v>19785.169999999998</v>
      </c>
      <c r="AN723" s="60">
        <v>19785.169999999998</v>
      </c>
      <c r="AO723" s="60">
        <v>19785.169999999998</v>
      </c>
      <c r="AP723" s="60">
        <v>19785.169999999998</v>
      </c>
      <c r="AQ723" s="60">
        <v>19785.169999999998</v>
      </c>
      <c r="AR723" s="61">
        <f t="shared" si="297"/>
        <v>118711.01999999999</v>
      </c>
      <c r="AS723" s="60">
        <v>19785.169999999998</v>
      </c>
      <c r="AT723" s="60">
        <v>19785.169999999998</v>
      </c>
      <c r="AU723" s="60">
        <v>19785.169999999998</v>
      </c>
      <c r="AV723" s="60">
        <v>19785.169999999998</v>
      </c>
      <c r="AW723" s="60">
        <v>19785.169999999998</v>
      </c>
      <c r="AX723" s="60">
        <v>19785.169999999998</v>
      </c>
      <c r="AY723" s="61">
        <f t="shared" si="298"/>
        <v>118711.01999999999</v>
      </c>
      <c r="AZ723" s="56">
        <f t="shared" si="292"/>
        <v>237422.03999999998</v>
      </c>
      <c r="BA723" s="62">
        <f t="shared" si="286"/>
        <v>4878439.33</v>
      </c>
      <c r="BB723" s="62">
        <f t="shared" si="299"/>
        <v>2908418.879999998</v>
      </c>
      <c r="BC723" s="62">
        <f t="shared" si="287"/>
        <v>1970020.450000002</v>
      </c>
      <c r="BD723" s="63">
        <v>2088731.4700000014</v>
      </c>
      <c r="BE723" s="57">
        <f t="shared" ref="BE723:BE727" si="304">BD723*2.2%</f>
        <v>45952.092340000032</v>
      </c>
      <c r="BF723" s="35" t="str">
        <f>VLOOKUP(A:A,'2023-2027'!A:G,1,+FALSE)</f>
        <v>Комплектная трансф.подстанция 2КТПН-400 6-0,4 кВ ТП№108"район очистных сооружений"</v>
      </c>
      <c r="BG723" s="7" t="b">
        <f t="shared" si="279"/>
        <v>1</v>
      </c>
      <c r="BH723" s="35">
        <f>VLOOKUP(A:A,'2023-2027'!A:AT,43,+FALSE)</f>
        <v>21668.980000000003</v>
      </c>
    </row>
    <row r="724" spans="1:60" ht="36" hidden="1" customHeight="1" outlineLevel="1" x14ac:dyDescent="0.2">
      <c r="A724" s="59" t="s">
        <v>1698</v>
      </c>
      <c r="B724" s="59" t="s">
        <v>44</v>
      </c>
      <c r="C724" s="59" t="s">
        <v>82</v>
      </c>
      <c r="D724" s="66" t="s">
        <v>1699</v>
      </c>
      <c r="E724" s="59" t="s">
        <v>1385</v>
      </c>
      <c r="F724" s="60">
        <v>3311006.56</v>
      </c>
      <c r="G724" s="60">
        <v>1471215.09</v>
      </c>
      <c r="H724" s="60">
        <v>1839791.47</v>
      </c>
      <c r="I724" s="59"/>
      <c r="J724" s="60">
        <v>159050.4</v>
      </c>
      <c r="K724" s="59"/>
      <c r="L724" s="59"/>
      <c r="M724" s="60">
        <v>3311006.56</v>
      </c>
      <c r="N724" s="60">
        <v>1630265.49</v>
      </c>
      <c r="O724" s="60">
        <v>1680741.07</v>
      </c>
      <c r="P724" s="55">
        <v>1760266.27</v>
      </c>
      <c r="Q724" s="55">
        <f t="shared" si="300"/>
        <v>38725.857940000002</v>
      </c>
      <c r="R724" s="61">
        <f t="shared" si="294"/>
        <v>13254.199999999999</v>
      </c>
      <c r="S724" s="60">
        <v>13254.2</v>
      </c>
      <c r="T724" s="60">
        <v>13254.2</v>
      </c>
      <c r="U724" s="60">
        <v>13254.2</v>
      </c>
      <c r="V724" s="60">
        <v>13254.2</v>
      </c>
      <c r="W724" s="60">
        <v>13254.2</v>
      </c>
      <c r="X724" s="61">
        <f t="shared" si="295"/>
        <v>79525.2</v>
      </c>
      <c r="Y724" s="60">
        <v>13254.2</v>
      </c>
      <c r="Z724" s="60">
        <v>13254.2</v>
      </c>
      <c r="AA724" s="60">
        <v>13254.2</v>
      </c>
      <c r="AB724" s="60">
        <v>13254.2</v>
      </c>
      <c r="AC724" s="60">
        <v>13254.2</v>
      </c>
      <c r="AD724" s="60">
        <v>13254.2</v>
      </c>
      <c r="AE724" s="61">
        <f t="shared" si="296"/>
        <v>79525.2</v>
      </c>
      <c r="AF724" s="62">
        <f t="shared" si="281"/>
        <v>3311006.56</v>
      </c>
      <c r="AG724" s="62">
        <f t="shared" si="280"/>
        <v>1789315.8899999994</v>
      </c>
      <c r="AH724" s="62">
        <f t="shared" si="301"/>
        <v>1521690.6700000006</v>
      </c>
      <c r="AI724" s="63">
        <v>1601215.8700000006</v>
      </c>
      <c r="AJ724" s="63">
        <f t="shared" si="302"/>
        <v>35226.749140000014</v>
      </c>
      <c r="AK724" s="72">
        <f t="shared" si="303"/>
        <v>35226.749140000014</v>
      </c>
      <c r="AL724" s="60">
        <v>13254.2</v>
      </c>
      <c r="AM724" s="60">
        <v>13254.2</v>
      </c>
      <c r="AN724" s="60">
        <v>13254.2</v>
      </c>
      <c r="AO724" s="60">
        <v>13254.2</v>
      </c>
      <c r="AP724" s="60">
        <v>13254.2</v>
      </c>
      <c r="AQ724" s="60">
        <v>13254.2</v>
      </c>
      <c r="AR724" s="61">
        <f t="shared" si="297"/>
        <v>79525.2</v>
      </c>
      <c r="AS724" s="60">
        <v>13254.2</v>
      </c>
      <c r="AT724" s="60">
        <v>13254.2</v>
      </c>
      <c r="AU724" s="60">
        <v>13254.2</v>
      </c>
      <c r="AV724" s="60">
        <v>13254.2</v>
      </c>
      <c r="AW724" s="60">
        <v>13254.2</v>
      </c>
      <c r="AX724" s="60">
        <v>13254.2</v>
      </c>
      <c r="AY724" s="61">
        <f t="shared" si="298"/>
        <v>79525.2</v>
      </c>
      <c r="AZ724" s="56">
        <f t="shared" si="292"/>
        <v>159050.4</v>
      </c>
      <c r="BA724" s="62">
        <f t="shared" si="286"/>
        <v>3311006.56</v>
      </c>
      <c r="BB724" s="62">
        <f t="shared" si="299"/>
        <v>1948366.2899999989</v>
      </c>
      <c r="BC724" s="62">
        <f t="shared" si="287"/>
        <v>1362640.2700000012</v>
      </c>
      <c r="BD724" s="63">
        <v>1442165.4700000009</v>
      </c>
      <c r="BE724" s="57">
        <f t="shared" si="304"/>
        <v>31727.640340000024</v>
      </c>
      <c r="BF724" s="35" t="str">
        <f>VLOOKUP(A:A,'2023-2027'!A:G,1,+FALSE)</f>
        <v>Комплектная трансф.подстанция 2КТПН-400 6-0,4 кВ ТП№15 "СЭС"</v>
      </c>
      <c r="BG724" s="7" t="b">
        <f t="shared" si="279"/>
        <v>1</v>
      </c>
      <c r="BH724" s="35">
        <f>VLOOKUP(A:A,'2023-2027'!A:AT,43,+FALSE)</f>
        <v>14267.619999999997</v>
      </c>
    </row>
    <row r="725" spans="1:60" ht="36" hidden="1" customHeight="1" outlineLevel="1" x14ac:dyDescent="0.2">
      <c r="A725" s="59" t="s">
        <v>1700</v>
      </c>
      <c r="B725" s="59" t="s">
        <v>44</v>
      </c>
      <c r="C725" s="59" t="s">
        <v>82</v>
      </c>
      <c r="D725" s="66" t="s">
        <v>1701</v>
      </c>
      <c r="E725" s="59" t="s">
        <v>1385</v>
      </c>
      <c r="F725" s="60">
        <v>2507189.35</v>
      </c>
      <c r="G725" s="60">
        <v>1227292.5900000001</v>
      </c>
      <c r="H725" s="60">
        <v>1279896.76</v>
      </c>
      <c r="I725" s="59"/>
      <c r="J725" s="60">
        <v>132680.4</v>
      </c>
      <c r="K725" s="59"/>
      <c r="L725" s="59"/>
      <c r="M725" s="60">
        <v>2507189.35</v>
      </c>
      <c r="N725" s="60">
        <v>1359972.99</v>
      </c>
      <c r="O725" s="60">
        <v>1147216.3600000001</v>
      </c>
      <c r="P725" s="55">
        <v>1213556.56</v>
      </c>
      <c r="Q725" s="55">
        <f t="shared" si="300"/>
        <v>26698.244320000005</v>
      </c>
      <c r="R725" s="61">
        <f t="shared" si="294"/>
        <v>11056.699999999999</v>
      </c>
      <c r="S725" s="60">
        <v>11056.7</v>
      </c>
      <c r="T725" s="60">
        <v>11056.7</v>
      </c>
      <c r="U725" s="60">
        <v>11056.7</v>
      </c>
      <c r="V725" s="60">
        <v>11056.7</v>
      </c>
      <c r="W725" s="60">
        <v>11056.7</v>
      </c>
      <c r="X725" s="61">
        <f t="shared" si="295"/>
        <v>66340.2</v>
      </c>
      <c r="Y725" s="60">
        <v>11056.7</v>
      </c>
      <c r="Z725" s="60">
        <v>11056.7</v>
      </c>
      <c r="AA725" s="60">
        <v>11056.7</v>
      </c>
      <c r="AB725" s="60">
        <v>11056.7</v>
      </c>
      <c r="AC725" s="60">
        <v>11056.7</v>
      </c>
      <c r="AD725" s="60">
        <v>11056.7</v>
      </c>
      <c r="AE725" s="61">
        <f t="shared" si="296"/>
        <v>66340.2</v>
      </c>
      <c r="AF725" s="62">
        <f t="shared" si="281"/>
        <v>2507189.35</v>
      </c>
      <c r="AG725" s="62">
        <f t="shared" si="280"/>
        <v>1492653.3899999994</v>
      </c>
      <c r="AH725" s="62">
        <f t="shared" si="301"/>
        <v>1014535.9600000007</v>
      </c>
      <c r="AI725" s="63">
        <v>1080876.1600000004</v>
      </c>
      <c r="AJ725" s="63">
        <f t="shared" si="302"/>
        <v>23779.27552000001</v>
      </c>
      <c r="AK725" s="72">
        <f t="shared" si="303"/>
        <v>23779.27552000001</v>
      </c>
      <c r="AL725" s="60">
        <v>11056.7</v>
      </c>
      <c r="AM725" s="60">
        <v>11056.7</v>
      </c>
      <c r="AN725" s="60">
        <v>11056.7</v>
      </c>
      <c r="AO725" s="60">
        <v>11056.7</v>
      </c>
      <c r="AP725" s="60">
        <v>11056.7</v>
      </c>
      <c r="AQ725" s="60">
        <v>11056.7</v>
      </c>
      <c r="AR725" s="61">
        <f t="shared" si="297"/>
        <v>66340.2</v>
      </c>
      <c r="AS725" s="60">
        <v>11056.7</v>
      </c>
      <c r="AT725" s="60">
        <v>11056.7</v>
      </c>
      <c r="AU725" s="60">
        <v>11056.7</v>
      </c>
      <c r="AV725" s="60">
        <v>11056.7</v>
      </c>
      <c r="AW725" s="60">
        <v>11056.7</v>
      </c>
      <c r="AX725" s="60">
        <v>11056.7</v>
      </c>
      <c r="AY725" s="61">
        <f t="shared" si="298"/>
        <v>66340.2</v>
      </c>
      <c r="AZ725" s="56">
        <f t="shared" si="292"/>
        <v>132680.4</v>
      </c>
      <c r="BA725" s="62">
        <f t="shared" si="286"/>
        <v>2507189.35</v>
      </c>
      <c r="BB725" s="62">
        <f t="shared" si="299"/>
        <v>1625333.7899999989</v>
      </c>
      <c r="BC725" s="62">
        <f t="shared" si="287"/>
        <v>881855.56000000122</v>
      </c>
      <c r="BD725" s="63">
        <v>948195.76000000094</v>
      </c>
      <c r="BE725" s="57">
        <f t="shared" si="304"/>
        <v>20860.306720000022</v>
      </c>
      <c r="BF725" s="35" t="str">
        <f>VLOOKUP(A:A,'2023-2027'!A:G,1,+FALSE)</f>
        <v>Комплектная трансф.подстанция 2КТПН-400 6-0,4 кВ ТП№61 "поликлиника"</v>
      </c>
      <c r="BG725" s="7" t="b">
        <f t="shared" si="279"/>
        <v>1</v>
      </c>
      <c r="BH725" s="35">
        <f>VLOOKUP(A:A,'2023-2027'!A:AT,43,+FALSE)</f>
        <v>10492.800000000001</v>
      </c>
    </row>
    <row r="726" spans="1:60" ht="24" hidden="1" customHeight="1" outlineLevel="1" x14ac:dyDescent="0.2">
      <c r="A726" s="59" t="s">
        <v>1702</v>
      </c>
      <c r="B726" s="59" t="s">
        <v>44</v>
      </c>
      <c r="C726" s="59" t="s">
        <v>82</v>
      </c>
      <c r="D726" s="66" t="s">
        <v>1703</v>
      </c>
      <c r="E726" s="59" t="s">
        <v>424</v>
      </c>
      <c r="F726" s="60">
        <v>3745581.16</v>
      </c>
      <c r="G726" s="59"/>
      <c r="H726" s="60">
        <v>3745581.16</v>
      </c>
      <c r="I726" s="59"/>
      <c r="J726" s="60">
        <v>124232.76</v>
      </c>
      <c r="K726" s="59"/>
      <c r="L726" s="59"/>
      <c r="M726" s="60">
        <v>3745581.16</v>
      </c>
      <c r="N726" s="60">
        <v>124232.76</v>
      </c>
      <c r="O726" s="60">
        <v>3621348.4</v>
      </c>
      <c r="P726" s="55">
        <v>3683464.78</v>
      </c>
      <c r="Q726" s="55">
        <f t="shared" si="300"/>
        <v>81036.225160000002</v>
      </c>
      <c r="R726" s="61">
        <f t="shared" si="294"/>
        <v>10352.73</v>
      </c>
      <c r="S726" s="60">
        <v>10352.73</v>
      </c>
      <c r="T726" s="60">
        <v>10352.73</v>
      </c>
      <c r="U726" s="60">
        <v>10352.73</v>
      </c>
      <c r="V726" s="60">
        <v>10352.73</v>
      </c>
      <c r="W726" s="60">
        <v>10352.73</v>
      </c>
      <c r="X726" s="61">
        <f t="shared" si="295"/>
        <v>62116.37999999999</v>
      </c>
      <c r="Y726" s="60">
        <v>10352.73</v>
      </c>
      <c r="Z726" s="60">
        <v>10352.73</v>
      </c>
      <c r="AA726" s="60">
        <v>10352.73</v>
      </c>
      <c r="AB726" s="60">
        <v>10352.73</v>
      </c>
      <c r="AC726" s="60">
        <v>10352.73</v>
      </c>
      <c r="AD726" s="60">
        <v>10352.73</v>
      </c>
      <c r="AE726" s="61">
        <f t="shared" si="296"/>
        <v>62116.37999999999</v>
      </c>
      <c r="AF726" s="62">
        <f t="shared" si="281"/>
        <v>3745581.16</v>
      </c>
      <c r="AG726" s="62">
        <f t="shared" si="280"/>
        <v>248465.52000000011</v>
      </c>
      <c r="AH726" s="62">
        <f t="shared" si="301"/>
        <v>3497115.64</v>
      </c>
      <c r="AI726" s="63">
        <v>3559232.02</v>
      </c>
      <c r="AJ726" s="63">
        <f t="shared" si="302"/>
        <v>78303.10444000001</v>
      </c>
      <c r="AK726" s="72">
        <f t="shared" si="303"/>
        <v>78303.10444000001</v>
      </c>
      <c r="AL726" s="60">
        <v>10352.73</v>
      </c>
      <c r="AM726" s="60">
        <v>10352.73</v>
      </c>
      <c r="AN726" s="60">
        <v>10352.73</v>
      </c>
      <c r="AO726" s="60">
        <v>10352.73</v>
      </c>
      <c r="AP726" s="60">
        <v>10352.73</v>
      </c>
      <c r="AQ726" s="60">
        <v>10352.73</v>
      </c>
      <c r="AR726" s="61">
        <f t="shared" si="297"/>
        <v>62116.37999999999</v>
      </c>
      <c r="AS726" s="60">
        <v>10352.73</v>
      </c>
      <c r="AT726" s="60">
        <v>10352.73</v>
      </c>
      <c r="AU726" s="60">
        <v>10352.73</v>
      </c>
      <c r="AV726" s="60">
        <v>10352.73</v>
      </c>
      <c r="AW726" s="60">
        <v>10352.73</v>
      </c>
      <c r="AX726" s="60">
        <v>10352.73</v>
      </c>
      <c r="AY726" s="61">
        <f t="shared" si="298"/>
        <v>62116.37999999999</v>
      </c>
      <c r="AZ726" s="56">
        <f t="shared" si="292"/>
        <v>124232.75999999998</v>
      </c>
      <c r="BA726" s="62">
        <f t="shared" si="286"/>
        <v>3745581.16</v>
      </c>
      <c r="BB726" s="62">
        <f t="shared" si="299"/>
        <v>372698.27999999991</v>
      </c>
      <c r="BC726" s="62">
        <f t="shared" si="287"/>
        <v>3372882.8800000004</v>
      </c>
      <c r="BD726" s="63">
        <v>3434999.2600000007</v>
      </c>
      <c r="BE726" s="57">
        <f t="shared" si="304"/>
        <v>75569.983720000018</v>
      </c>
      <c r="BF726" s="35" t="str">
        <f>VLOOKUP(A:A,'2023-2027'!A:G,1,+FALSE)</f>
        <v>Комплектная трансформаторная подстанция 6/0,4 кВ</v>
      </c>
      <c r="BG726" s="7" t="b">
        <f t="shared" ref="BG726:BG789" si="305">OR(EXACT(BF726,$A$4:$A$1071))</f>
        <v>1</v>
      </c>
      <c r="BH726" s="35">
        <f>VLOOKUP(A:A,'2023-2027'!A:AT,43,+FALSE)</f>
        <v>10404.392111111112</v>
      </c>
    </row>
    <row r="727" spans="1:60" ht="24" hidden="1" customHeight="1" outlineLevel="1" x14ac:dyDescent="0.2">
      <c r="A727" s="59" t="s">
        <v>1704</v>
      </c>
      <c r="B727" s="59" t="s">
        <v>44</v>
      </c>
      <c r="C727" s="59" t="s">
        <v>82</v>
      </c>
      <c r="D727" s="66" t="s">
        <v>1705</v>
      </c>
      <c r="E727" s="59" t="s">
        <v>505</v>
      </c>
      <c r="F727" s="60">
        <v>6249519.9500000002</v>
      </c>
      <c r="G727" s="60">
        <v>207667.32</v>
      </c>
      <c r="H727" s="60">
        <v>6041852.6299999999</v>
      </c>
      <c r="I727" s="59"/>
      <c r="J727" s="60">
        <v>207667.32</v>
      </c>
      <c r="K727" s="59"/>
      <c r="L727" s="59"/>
      <c r="M727" s="60">
        <v>6249519.9500000002</v>
      </c>
      <c r="N727" s="60">
        <v>415334.64</v>
      </c>
      <c r="O727" s="60">
        <v>5834185.3099999996</v>
      </c>
      <c r="P727" s="55">
        <v>5938018.9699999997</v>
      </c>
      <c r="Q727" s="55">
        <f t="shared" si="300"/>
        <v>130636.41734000001</v>
      </c>
      <c r="R727" s="61">
        <f t="shared" si="294"/>
        <v>17305.61</v>
      </c>
      <c r="S727" s="60">
        <v>17305.61</v>
      </c>
      <c r="T727" s="60">
        <v>17305.61</v>
      </c>
      <c r="U727" s="60">
        <v>17305.61</v>
      </c>
      <c r="V727" s="60">
        <v>17305.61</v>
      </c>
      <c r="W727" s="60">
        <v>17305.61</v>
      </c>
      <c r="X727" s="61">
        <f t="shared" si="295"/>
        <v>103833.66</v>
      </c>
      <c r="Y727" s="60">
        <v>17305.61</v>
      </c>
      <c r="Z727" s="60">
        <v>17305.61</v>
      </c>
      <c r="AA727" s="60">
        <v>17305.61</v>
      </c>
      <c r="AB727" s="60">
        <v>17305.61</v>
      </c>
      <c r="AC727" s="60">
        <v>17305.61</v>
      </c>
      <c r="AD727" s="60">
        <v>17305.61</v>
      </c>
      <c r="AE727" s="61">
        <f t="shared" si="296"/>
        <v>103833.66</v>
      </c>
      <c r="AF727" s="62">
        <f t="shared" si="281"/>
        <v>6249519.9500000002</v>
      </c>
      <c r="AG727" s="62">
        <f t="shared" si="280"/>
        <v>623001.95999999985</v>
      </c>
      <c r="AH727" s="62">
        <f t="shared" si="301"/>
        <v>5626517.9900000002</v>
      </c>
      <c r="AI727" s="63">
        <v>5730351.6499999976</v>
      </c>
      <c r="AJ727" s="63">
        <f t="shared" si="302"/>
        <v>126067.73629999996</v>
      </c>
      <c r="AK727" s="72">
        <f t="shared" si="303"/>
        <v>126067.73629999996</v>
      </c>
      <c r="AL727" s="60">
        <v>17305.61</v>
      </c>
      <c r="AM727" s="60">
        <v>17305.61</v>
      </c>
      <c r="AN727" s="60">
        <v>17305.61</v>
      </c>
      <c r="AO727" s="60">
        <v>17305.61</v>
      </c>
      <c r="AP727" s="60">
        <v>17305.61</v>
      </c>
      <c r="AQ727" s="60">
        <v>17305.61</v>
      </c>
      <c r="AR727" s="61">
        <f t="shared" si="297"/>
        <v>103833.66</v>
      </c>
      <c r="AS727" s="60">
        <v>17305.61</v>
      </c>
      <c r="AT727" s="60">
        <v>17305.61</v>
      </c>
      <c r="AU727" s="60">
        <v>17305.61</v>
      </c>
      <c r="AV727" s="60">
        <v>17305.61</v>
      </c>
      <c r="AW727" s="60">
        <v>17305.61</v>
      </c>
      <c r="AX727" s="60">
        <v>17305.61</v>
      </c>
      <c r="AY727" s="61">
        <f t="shared" si="298"/>
        <v>103833.66</v>
      </c>
      <c r="AZ727" s="56">
        <f t="shared" si="292"/>
        <v>207667.32</v>
      </c>
      <c r="BA727" s="62">
        <f t="shared" si="286"/>
        <v>6249519.9500000002</v>
      </c>
      <c r="BB727" s="62">
        <f t="shared" si="299"/>
        <v>830669.27999999968</v>
      </c>
      <c r="BC727" s="62">
        <f t="shared" si="287"/>
        <v>5418850.6700000009</v>
      </c>
      <c r="BD727" s="63">
        <v>5522684.3299999936</v>
      </c>
      <c r="BE727" s="57">
        <f t="shared" si="304"/>
        <v>121499.05525999988</v>
      </c>
      <c r="BF727" s="35" t="str">
        <f>VLOOKUP(A:A,'2023-2027'!A:G,1,+FALSE)</f>
        <v>Комплектная трансформаторная подстанция КТП2×400/6/0,4</v>
      </c>
      <c r="BG727" s="7" t="b">
        <f t="shared" si="305"/>
        <v>1</v>
      </c>
      <c r="BH727" s="35">
        <f>VLOOKUP(A:A,'2023-2027'!A:AT,43,+FALSE)</f>
        <v>17359.78</v>
      </c>
    </row>
    <row r="728" spans="1:60" ht="12" hidden="1" customHeight="1" outlineLevel="1" x14ac:dyDescent="0.2">
      <c r="A728" s="59" t="s">
        <v>1706</v>
      </c>
      <c r="B728" s="59" t="s">
        <v>44</v>
      </c>
      <c r="C728" s="59" t="s">
        <v>82</v>
      </c>
      <c r="D728" s="65" t="s">
        <v>1707</v>
      </c>
      <c r="E728" s="59" t="s">
        <v>1708</v>
      </c>
      <c r="F728" s="60">
        <v>10231</v>
      </c>
      <c r="G728" s="60">
        <v>8296.65</v>
      </c>
      <c r="H728" s="60">
        <v>1934.35</v>
      </c>
      <c r="I728" s="59"/>
      <c r="J728" s="68">
        <v>193.44</v>
      </c>
      <c r="K728" s="59"/>
      <c r="L728" s="59"/>
      <c r="M728" s="60">
        <v>10231</v>
      </c>
      <c r="N728" s="60">
        <v>8490.09</v>
      </c>
      <c r="O728" s="60">
        <v>1740.91</v>
      </c>
      <c r="P728" s="55"/>
      <c r="Q728" s="55"/>
      <c r="R728" s="61">
        <f t="shared" si="294"/>
        <v>16.12</v>
      </c>
      <c r="S728" s="60">
        <v>16.12</v>
      </c>
      <c r="T728" s="60">
        <v>16.12</v>
      </c>
      <c r="U728" s="60">
        <v>16.12</v>
      </c>
      <c r="V728" s="60">
        <v>16.12</v>
      </c>
      <c r="W728" s="60">
        <v>16.12</v>
      </c>
      <c r="X728" s="61">
        <f t="shared" si="295"/>
        <v>96.720000000000013</v>
      </c>
      <c r="Y728" s="60">
        <v>16.12</v>
      </c>
      <c r="Z728" s="60">
        <v>16.12</v>
      </c>
      <c r="AA728" s="60">
        <v>16.12</v>
      </c>
      <c r="AB728" s="60">
        <v>16.12</v>
      </c>
      <c r="AC728" s="60">
        <v>16.12</v>
      </c>
      <c r="AD728" s="60">
        <v>16.12</v>
      </c>
      <c r="AE728" s="61">
        <f t="shared" si="296"/>
        <v>96.720000000000013</v>
      </c>
      <c r="AF728" s="62">
        <f t="shared" si="281"/>
        <v>10231</v>
      </c>
      <c r="AG728" s="62">
        <f t="shared" si="280"/>
        <v>8683.5300000000097</v>
      </c>
      <c r="AH728" s="62">
        <f t="shared" si="301"/>
        <v>1547.4699999999903</v>
      </c>
      <c r="AI728" s="63"/>
      <c r="AJ728" s="63"/>
      <c r="AK728" s="72">
        <f t="shared" si="303"/>
        <v>0</v>
      </c>
      <c r="AL728" s="60">
        <v>16.12</v>
      </c>
      <c r="AM728" s="60">
        <v>16.12</v>
      </c>
      <c r="AN728" s="60">
        <v>16.12</v>
      </c>
      <c r="AO728" s="60">
        <v>16.12</v>
      </c>
      <c r="AP728" s="60">
        <v>16.12</v>
      </c>
      <c r="AQ728" s="60">
        <v>16.12</v>
      </c>
      <c r="AR728" s="61">
        <f t="shared" si="297"/>
        <v>96.720000000000013</v>
      </c>
      <c r="AS728" s="60">
        <v>16.12</v>
      </c>
      <c r="AT728" s="60">
        <v>16.12</v>
      </c>
      <c r="AU728" s="60">
        <v>16.12</v>
      </c>
      <c r="AV728" s="60">
        <v>16.12</v>
      </c>
      <c r="AW728" s="60">
        <v>16.12</v>
      </c>
      <c r="AX728" s="60">
        <v>16.12</v>
      </c>
      <c r="AY728" s="61">
        <f t="shared" si="298"/>
        <v>96.720000000000013</v>
      </c>
      <c r="AZ728" s="56">
        <f t="shared" si="292"/>
        <v>193.44000000000003</v>
      </c>
      <c r="BA728" s="62">
        <f t="shared" si="286"/>
        <v>10231</v>
      </c>
      <c r="BB728" s="62">
        <f t="shared" si="299"/>
        <v>8876.9700000000194</v>
      </c>
      <c r="BC728" s="62">
        <f t="shared" si="287"/>
        <v>1354.0299999999806</v>
      </c>
      <c r="BD728" s="63"/>
      <c r="BE728" s="57"/>
      <c r="BF728" s="35" t="e">
        <f>VLOOKUP(A:A,'2023-2027'!A:G,1,+FALSE)</f>
        <v>#N/A</v>
      </c>
      <c r="BG728" s="7" t="e">
        <f t="shared" si="305"/>
        <v>#N/A</v>
      </c>
      <c r="BH728" s="35"/>
    </row>
    <row r="729" spans="1:60" ht="12" hidden="1" customHeight="1" outlineLevel="1" x14ac:dyDescent="0.2">
      <c r="A729" s="59" t="s">
        <v>1709</v>
      </c>
      <c r="B729" s="59" t="s">
        <v>44</v>
      </c>
      <c r="C729" s="59" t="s">
        <v>82</v>
      </c>
      <c r="D729" s="65" t="s">
        <v>1710</v>
      </c>
      <c r="E729" s="59" t="s">
        <v>1155</v>
      </c>
      <c r="F729" s="60">
        <v>13605</v>
      </c>
      <c r="G729" s="60">
        <v>12677.62</v>
      </c>
      <c r="H729" s="68">
        <v>927.38</v>
      </c>
      <c r="I729" s="59"/>
      <c r="J729" s="68">
        <v>309.12</v>
      </c>
      <c r="K729" s="59"/>
      <c r="L729" s="59"/>
      <c r="M729" s="60">
        <v>13605</v>
      </c>
      <c r="N729" s="60">
        <v>12986.74</v>
      </c>
      <c r="O729" s="68">
        <v>618.26</v>
      </c>
      <c r="P729" s="82"/>
      <c r="Q729" s="82"/>
      <c r="R729" s="61">
        <f t="shared" si="294"/>
        <v>25.76</v>
      </c>
      <c r="S729" s="60">
        <v>25.76</v>
      </c>
      <c r="T729" s="60">
        <v>25.76</v>
      </c>
      <c r="U729" s="60">
        <v>25.76</v>
      </c>
      <c r="V729" s="60">
        <v>25.76</v>
      </c>
      <c r="W729" s="60">
        <v>25.76</v>
      </c>
      <c r="X729" s="61">
        <f t="shared" si="295"/>
        <v>154.56</v>
      </c>
      <c r="Y729" s="60">
        <v>25.76</v>
      </c>
      <c r="Z729" s="60">
        <v>25.76</v>
      </c>
      <c r="AA729" s="60">
        <v>25.76</v>
      </c>
      <c r="AB729" s="60">
        <v>25.76</v>
      </c>
      <c r="AC729" s="60">
        <v>25.76</v>
      </c>
      <c r="AD729" s="60">
        <v>25.76</v>
      </c>
      <c r="AE729" s="61">
        <f t="shared" si="296"/>
        <v>154.56</v>
      </c>
      <c r="AF729" s="62">
        <f t="shared" si="281"/>
        <v>13605</v>
      </c>
      <c r="AG729" s="62">
        <f t="shared" si="280"/>
        <v>13295.860000000002</v>
      </c>
      <c r="AH729" s="62">
        <f t="shared" si="301"/>
        <v>309.1399999999976</v>
      </c>
      <c r="AI729" s="63"/>
      <c r="AJ729" s="63"/>
      <c r="AK729" s="62"/>
      <c r="AL729" s="60">
        <v>25.76</v>
      </c>
      <c r="AM729" s="60">
        <v>25.76</v>
      </c>
      <c r="AN729" s="60">
        <v>25.76</v>
      </c>
      <c r="AO729" s="60">
        <v>25.76</v>
      </c>
      <c r="AP729" s="60">
        <v>25.76</v>
      </c>
      <c r="AQ729" s="60">
        <v>25.76</v>
      </c>
      <c r="AR729" s="61">
        <f t="shared" si="297"/>
        <v>154.56</v>
      </c>
      <c r="AS729" s="60">
        <v>25.76</v>
      </c>
      <c r="AT729" s="60">
        <v>25.76</v>
      </c>
      <c r="AU729" s="60">
        <v>25.76</v>
      </c>
      <c r="AV729" s="60">
        <v>25.76</v>
      </c>
      <c r="AW729" s="60">
        <v>25.76</v>
      </c>
      <c r="AX729" s="60">
        <v>25.76</v>
      </c>
      <c r="AY729" s="61">
        <f t="shared" si="298"/>
        <v>154.56</v>
      </c>
      <c r="AZ729" s="56">
        <f t="shared" si="292"/>
        <v>309.12</v>
      </c>
      <c r="BA729" s="62">
        <f t="shared" si="286"/>
        <v>13605</v>
      </c>
      <c r="BB729" s="62">
        <f t="shared" si="299"/>
        <v>13604.980000000005</v>
      </c>
      <c r="BC729" s="62">
        <f t="shared" si="287"/>
        <v>1.9999999994979589E-2</v>
      </c>
      <c r="BD729" s="63"/>
      <c r="BE729" s="57"/>
      <c r="BF729" s="35" t="e">
        <f>VLOOKUP(A:A,'2023-2027'!A:G,1,+FALSE)</f>
        <v>#N/A</v>
      </c>
      <c r="BG729" s="7" t="e">
        <f t="shared" si="305"/>
        <v>#N/A</v>
      </c>
      <c r="BH729" s="35"/>
    </row>
    <row r="730" spans="1:60" ht="12" hidden="1" customHeight="1" outlineLevel="1" x14ac:dyDescent="0.2">
      <c r="A730" s="59" t="s">
        <v>1711</v>
      </c>
      <c r="B730" s="59" t="s">
        <v>44</v>
      </c>
      <c r="C730" s="59" t="s">
        <v>82</v>
      </c>
      <c r="D730" s="66" t="s">
        <v>1712</v>
      </c>
      <c r="E730" s="59" t="s">
        <v>349</v>
      </c>
      <c r="F730" s="60">
        <v>30807.5</v>
      </c>
      <c r="G730" s="60">
        <v>30807.5</v>
      </c>
      <c r="H730" s="59"/>
      <c r="I730" s="59"/>
      <c r="J730" s="59"/>
      <c r="K730" s="60">
        <v>30807.5</v>
      </c>
      <c r="L730" s="60">
        <v>30807.5</v>
      </c>
      <c r="M730" s="59"/>
      <c r="N730" s="59"/>
      <c r="O730" s="59"/>
      <c r="P730" s="67"/>
      <c r="Q730" s="67"/>
      <c r="R730" s="61">
        <f t="shared" si="294"/>
        <v>0</v>
      </c>
      <c r="S730" s="60">
        <v>0</v>
      </c>
      <c r="T730" s="60">
        <v>0</v>
      </c>
      <c r="U730" s="60">
        <v>0</v>
      </c>
      <c r="V730" s="60">
        <v>0</v>
      </c>
      <c r="W730" s="60">
        <v>0</v>
      </c>
      <c r="X730" s="61">
        <f t="shared" si="295"/>
        <v>0</v>
      </c>
      <c r="Y730" s="60">
        <v>0</v>
      </c>
      <c r="Z730" s="60">
        <v>0</v>
      </c>
      <c r="AA730" s="60">
        <v>0</v>
      </c>
      <c r="AB730" s="60">
        <v>0</v>
      </c>
      <c r="AC730" s="60">
        <v>0</v>
      </c>
      <c r="AD730" s="60">
        <v>0</v>
      </c>
      <c r="AE730" s="61">
        <f t="shared" si="296"/>
        <v>0</v>
      </c>
      <c r="AF730" s="62">
        <f t="shared" si="281"/>
        <v>0</v>
      </c>
      <c r="AG730" s="62">
        <f t="shared" si="280"/>
        <v>0</v>
      </c>
      <c r="AH730" s="62">
        <f t="shared" si="301"/>
        <v>0</v>
      </c>
      <c r="AI730" s="63"/>
      <c r="AJ730" s="63"/>
      <c r="AK730" s="62"/>
      <c r="AL730" s="60">
        <v>0</v>
      </c>
      <c r="AM730" s="60">
        <v>0</v>
      </c>
      <c r="AN730" s="60">
        <v>0</v>
      </c>
      <c r="AO730" s="60">
        <v>0</v>
      </c>
      <c r="AP730" s="60">
        <v>0</v>
      </c>
      <c r="AQ730" s="60">
        <v>0</v>
      </c>
      <c r="AR730" s="61">
        <f t="shared" si="297"/>
        <v>0</v>
      </c>
      <c r="AS730" s="60">
        <v>0</v>
      </c>
      <c r="AT730" s="60">
        <v>0</v>
      </c>
      <c r="AU730" s="60">
        <v>0</v>
      </c>
      <c r="AV730" s="60">
        <v>0</v>
      </c>
      <c r="AW730" s="60">
        <v>0</v>
      </c>
      <c r="AX730" s="60">
        <v>0</v>
      </c>
      <c r="AY730" s="61">
        <f t="shared" si="298"/>
        <v>0</v>
      </c>
      <c r="AZ730" s="56">
        <f t="shared" si="292"/>
        <v>0</v>
      </c>
      <c r="BA730" s="62">
        <f t="shared" si="286"/>
        <v>0</v>
      </c>
      <c r="BB730" s="62">
        <f t="shared" si="299"/>
        <v>0</v>
      </c>
      <c r="BC730" s="62">
        <f t="shared" si="287"/>
        <v>0</v>
      </c>
      <c r="BD730" s="63"/>
      <c r="BE730" s="57"/>
      <c r="BF730" s="35" t="str">
        <f>VLOOKUP(A:A,'2023-2027'!A:G,1,+FALSE)</f>
        <v>КСО 393 030660 УЗ ВНА №1</v>
      </c>
      <c r="BG730" s="7" t="b">
        <f t="shared" si="305"/>
        <v>1</v>
      </c>
      <c r="BH730" s="35">
        <f>VLOOKUP(A:A,'2023-2027'!A:AT,43,+FALSE)</f>
        <v>0</v>
      </c>
    </row>
    <row r="731" spans="1:60" ht="12" hidden="1" customHeight="1" outlineLevel="1" x14ac:dyDescent="0.2">
      <c r="A731" s="59" t="s">
        <v>1713</v>
      </c>
      <c r="B731" s="59" t="s">
        <v>44</v>
      </c>
      <c r="C731" s="59" t="s">
        <v>82</v>
      </c>
      <c r="D731" s="66" t="s">
        <v>1714</v>
      </c>
      <c r="E731" s="59" t="s">
        <v>349</v>
      </c>
      <c r="F731" s="60">
        <v>30807.5</v>
      </c>
      <c r="G731" s="60">
        <v>30807.5</v>
      </c>
      <c r="H731" s="59"/>
      <c r="I731" s="59"/>
      <c r="J731" s="59"/>
      <c r="K731" s="60">
        <v>30807.5</v>
      </c>
      <c r="L731" s="60">
        <v>30807.5</v>
      </c>
      <c r="M731" s="59"/>
      <c r="N731" s="59"/>
      <c r="O731" s="59"/>
      <c r="P731" s="67"/>
      <c r="Q731" s="67"/>
      <c r="R731" s="61">
        <f t="shared" si="294"/>
        <v>0</v>
      </c>
      <c r="S731" s="60">
        <v>0</v>
      </c>
      <c r="T731" s="60">
        <v>0</v>
      </c>
      <c r="U731" s="60">
        <v>0</v>
      </c>
      <c r="V731" s="60">
        <v>0</v>
      </c>
      <c r="W731" s="60">
        <v>0</v>
      </c>
      <c r="X731" s="61">
        <f t="shared" si="295"/>
        <v>0</v>
      </c>
      <c r="Y731" s="60">
        <v>0</v>
      </c>
      <c r="Z731" s="60">
        <v>0</v>
      </c>
      <c r="AA731" s="60">
        <v>0</v>
      </c>
      <c r="AB731" s="60">
        <v>0</v>
      </c>
      <c r="AC731" s="60">
        <v>0</v>
      </c>
      <c r="AD731" s="60">
        <v>0</v>
      </c>
      <c r="AE731" s="61">
        <f t="shared" si="296"/>
        <v>0</v>
      </c>
      <c r="AF731" s="62">
        <f t="shared" si="281"/>
        <v>0</v>
      </c>
      <c r="AG731" s="62">
        <f t="shared" ref="AG731:AG794" si="306">N731+R731+S731+T731+U731+V731+W731+Y731+Z731+AA731+AB731+AC731+AD731</f>
        <v>0</v>
      </c>
      <c r="AH731" s="62">
        <f t="shared" si="301"/>
        <v>0</v>
      </c>
      <c r="AI731" s="63"/>
      <c r="AJ731" s="63"/>
      <c r="AK731" s="62"/>
      <c r="AL731" s="60">
        <v>0</v>
      </c>
      <c r="AM731" s="60">
        <v>0</v>
      </c>
      <c r="AN731" s="60">
        <v>0</v>
      </c>
      <c r="AO731" s="60">
        <v>0</v>
      </c>
      <c r="AP731" s="60">
        <v>0</v>
      </c>
      <c r="AQ731" s="60">
        <v>0</v>
      </c>
      <c r="AR731" s="61">
        <f t="shared" si="297"/>
        <v>0</v>
      </c>
      <c r="AS731" s="60">
        <v>0</v>
      </c>
      <c r="AT731" s="60">
        <v>0</v>
      </c>
      <c r="AU731" s="60">
        <v>0</v>
      </c>
      <c r="AV731" s="60">
        <v>0</v>
      </c>
      <c r="AW731" s="60">
        <v>0</v>
      </c>
      <c r="AX731" s="60">
        <v>0</v>
      </c>
      <c r="AY731" s="61">
        <f t="shared" si="298"/>
        <v>0</v>
      </c>
      <c r="AZ731" s="56">
        <f t="shared" si="292"/>
        <v>0</v>
      </c>
      <c r="BA731" s="62">
        <f t="shared" si="286"/>
        <v>0</v>
      </c>
      <c r="BB731" s="62">
        <f t="shared" si="299"/>
        <v>0</v>
      </c>
      <c r="BC731" s="62">
        <f t="shared" si="287"/>
        <v>0</v>
      </c>
      <c r="BD731" s="63"/>
      <c r="BE731" s="57"/>
      <c r="BF731" s="35" t="str">
        <f>VLOOKUP(A:A,'2023-2027'!A:G,1,+FALSE)</f>
        <v>КСО 393 030660 УЗ ВНА №2</v>
      </c>
      <c r="BG731" s="7" t="b">
        <f t="shared" si="305"/>
        <v>1</v>
      </c>
      <c r="BH731" s="35">
        <f>VLOOKUP(A:A,'2023-2027'!A:AT,43,+FALSE)</f>
        <v>0</v>
      </c>
    </row>
    <row r="732" spans="1:60" ht="12" hidden="1" customHeight="1" outlineLevel="1" x14ac:dyDescent="0.2">
      <c r="A732" s="59" t="s">
        <v>1715</v>
      </c>
      <c r="B732" s="59" t="s">
        <v>44</v>
      </c>
      <c r="C732" s="59" t="s">
        <v>82</v>
      </c>
      <c r="D732" s="66" t="s">
        <v>1716</v>
      </c>
      <c r="E732" s="59" t="s">
        <v>349</v>
      </c>
      <c r="F732" s="60">
        <v>30807.5</v>
      </c>
      <c r="G732" s="60">
        <v>30807.5</v>
      </c>
      <c r="H732" s="59"/>
      <c r="I732" s="59"/>
      <c r="J732" s="59"/>
      <c r="K732" s="60">
        <v>30807.5</v>
      </c>
      <c r="L732" s="60">
        <v>30807.5</v>
      </c>
      <c r="M732" s="59"/>
      <c r="N732" s="59"/>
      <c r="O732" s="59"/>
      <c r="P732" s="67"/>
      <c r="Q732" s="67"/>
      <c r="R732" s="61">
        <f t="shared" si="294"/>
        <v>0</v>
      </c>
      <c r="S732" s="60">
        <v>0</v>
      </c>
      <c r="T732" s="60">
        <v>0</v>
      </c>
      <c r="U732" s="60">
        <v>0</v>
      </c>
      <c r="V732" s="60">
        <v>0</v>
      </c>
      <c r="W732" s="60">
        <v>0</v>
      </c>
      <c r="X732" s="61">
        <f t="shared" si="295"/>
        <v>0</v>
      </c>
      <c r="Y732" s="60">
        <v>0</v>
      </c>
      <c r="Z732" s="60">
        <v>0</v>
      </c>
      <c r="AA732" s="60">
        <v>0</v>
      </c>
      <c r="AB732" s="60">
        <v>0</v>
      </c>
      <c r="AC732" s="60">
        <v>0</v>
      </c>
      <c r="AD732" s="60">
        <v>0</v>
      </c>
      <c r="AE732" s="61">
        <f t="shared" si="296"/>
        <v>0</v>
      </c>
      <c r="AF732" s="62">
        <f t="shared" si="281"/>
        <v>0</v>
      </c>
      <c r="AG732" s="62">
        <f t="shared" si="306"/>
        <v>0</v>
      </c>
      <c r="AH732" s="62">
        <f t="shared" si="301"/>
        <v>0</v>
      </c>
      <c r="AI732" s="63"/>
      <c r="AJ732" s="63"/>
      <c r="AK732" s="62"/>
      <c r="AL732" s="60">
        <v>0</v>
      </c>
      <c r="AM732" s="60">
        <v>0</v>
      </c>
      <c r="AN732" s="60">
        <v>0</v>
      </c>
      <c r="AO732" s="60">
        <v>0</v>
      </c>
      <c r="AP732" s="60">
        <v>0</v>
      </c>
      <c r="AQ732" s="60">
        <v>0</v>
      </c>
      <c r="AR732" s="61">
        <f t="shared" si="297"/>
        <v>0</v>
      </c>
      <c r="AS732" s="60">
        <v>0</v>
      </c>
      <c r="AT732" s="60">
        <v>0</v>
      </c>
      <c r="AU732" s="60">
        <v>0</v>
      </c>
      <c r="AV732" s="60">
        <v>0</v>
      </c>
      <c r="AW732" s="60">
        <v>0</v>
      </c>
      <c r="AX732" s="60">
        <v>0</v>
      </c>
      <c r="AY732" s="61">
        <f t="shared" si="298"/>
        <v>0</v>
      </c>
      <c r="AZ732" s="56">
        <f t="shared" si="292"/>
        <v>0</v>
      </c>
      <c r="BA732" s="62">
        <f t="shared" si="286"/>
        <v>0</v>
      </c>
      <c r="BB732" s="62">
        <f t="shared" si="299"/>
        <v>0</v>
      </c>
      <c r="BC732" s="62">
        <f t="shared" si="287"/>
        <v>0</v>
      </c>
      <c r="BD732" s="63"/>
      <c r="BE732" s="57"/>
      <c r="BF732" s="35" t="str">
        <f>VLOOKUP(A:A,'2023-2027'!A:G,1,+FALSE)</f>
        <v>КСО 393 030660 УЗ ВНА №3</v>
      </c>
      <c r="BG732" s="7" t="b">
        <f t="shared" si="305"/>
        <v>1</v>
      </c>
      <c r="BH732" s="35">
        <f>VLOOKUP(A:A,'2023-2027'!A:AT,43,+FALSE)</f>
        <v>0</v>
      </c>
    </row>
    <row r="733" spans="1:60" ht="12" hidden="1" customHeight="1" outlineLevel="1" x14ac:dyDescent="0.2">
      <c r="A733" s="59" t="s">
        <v>1717</v>
      </c>
      <c r="B733" s="59" t="s">
        <v>44</v>
      </c>
      <c r="C733" s="59" t="s">
        <v>82</v>
      </c>
      <c r="D733" s="66" t="s">
        <v>1718</v>
      </c>
      <c r="E733" s="59" t="s">
        <v>349</v>
      </c>
      <c r="F733" s="60">
        <v>30807.5</v>
      </c>
      <c r="G733" s="60">
        <v>30807.5</v>
      </c>
      <c r="H733" s="59"/>
      <c r="I733" s="59"/>
      <c r="J733" s="59"/>
      <c r="K733" s="60">
        <v>30807.5</v>
      </c>
      <c r="L733" s="60">
        <v>30807.5</v>
      </c>
      <c r="M733" s="59"/>
      <c r="N733" s="59"/>
      <c r="O733" s="59"/>
      <c r="P733" s="67"/>
      <c r="Q733" s="67"/>
      <c r="R733" s="61">
        <f t="shared" si="294"/>
        <v>0</v>
      </c>
      <c r="S733" s="60">
        <v>0</v>
      </c>
      <c r="T733" s="60">
        <v>0</v>
      </c>
      <c r="U733" s="60">
        <v>0</v>
      </c>
      <c r="V733" s="60">
        <v>0</v>
      </c>
      <c r="W733" s="60">
        <v>0</v>
      </c>
      <c r="X733" s="61">
        <f t="shared" si="295"/>
        <v>0</v>
      </c>
      <c r="Y733" s="60">
        <v>0</v>
      </c>
      <c r="Z733" s="60">
        <v>0</v>
      </c>
      <c r="AA733" s="60">
        <v>0</v>
      </c>
      <c r="AB733" s="60">
        <v>0</v>
      </c>
      <c r="AC733" s="60">
        <v>0</v>
      </c>
      <c r="AD733" s="60">
        <v>0</v>
      </c>
      <c r="AE733" s="61">
        <f t="shared" si="296"/>
        <v>0</v>
      </c>
      <c r="AF733" s="62">
        <f t="shared" si="281"/>
        <v>0</v>
      </c>
      <c r="AG733" s="62">
        <f t="shared" si="306"/>
        <v>0</v>
      </c>
      <c r="AH733" s="62">
        <f t="shared" si="301"/>
        <v>0</v>
      </c>
      <c r="AI733" s="63"/>
      <c r="AJ733" s="63"/>
      <c r="AK733" s="62"/>
      <c r="AL733" s="60">
        <v>0</v>
      </c>
      <c r="AM733" s="60">
        <v>0</v>
      </c>
      <c r="AN733" s="60">
        <v>0</v>
      </c>
      <c r="AO733" s="60">
        <v>0</v>
      </c>
      <c r="AP733" s="60">
        <v>0</v>
      </c>
      <c r="AQ733" s="60">
        <v>0</v>
      </c>
      <c r="AR733" s="61">
        <f t="shared" si="297"/>
        <v>0</v>
      </c>
      <c r="AS733" s="60">
        <v>0</v>
      </c>
      <c r="AT733" s="60">
        <v>0</v>
      </c>
      <c r="AU733" s="60">
        <v>0</v>
      </c>
      <c r="AV733" s="60">
        <v>0</v>
      </c>
      <c r="AW733" s="60">
        <v>0</v>
      </c>
      <c r="AX733" s="60">
        <v>0</v>
      </c>
      <c r="AY733" s="61">
        <f t="shared" si="298"/>
        <v>0</v>
      </c>
      <c r="AZ733" s="56">
        <f t="shared" si="292"/>
        <v>0</v>
      </c>
      <c r="BA733" s="62">
        <f t="shared" si="286"/>
        <v>0</v>
      </c>
      <c r="BB733" s="62">
        <f t="shared" si="299"/>
        <v>0</v>
      </c>
      <c r="BC733" s="62">
        <f t="shared" si="287"/>
        <v>0</v>
      </c>
      <c r="BD733" s="63"/>
      <c r="BE733" s="57"/>
      <c r="BF733" s="35" t="str">
        <f>VLOOKUP(A:A,'2023-2027'!A:G,1,+FALSE)</f>
        <v>КСО 393 030660 УЗ ВНА №4</v>
      </c>
      <c r="BG733" s="7" t="b">
        <f t="shared" si="305"/>
        <v>1</v>
      </c>
      <c r="BH733" s="35">
        <f>VLOOKUP(A:A,'2023-2027'!A:AT,43,+FALSE)</f>
        <v>0</v>
      </c>
    </row>
    <row r="734" spans="1:60" ht="12" hidden="1" customHeight="1" outlineLevel="1" x14ac:dyDescent="0.2">
      <c r="A734" s="59" t="s">
        <v>1719</v>
      </c>
      <c r="B734" s="59" t="s">
        <v>44</v>
      </c>
      <c r="C734" s="59" t="s">
        <v>82</v>
      </c>
      <c r="D734" s="66" t="s">
        <v>1720</v>
      </c>
      <c r="E734" s="59" t="s">
        <v>729</v>
      </c>
      <c r="F734" s="60">
        <v>1922264.54</v>
      </c>
      <c r="G734" s="60">
        <v>1150135.17</v>
      </c>
      <c r="H734" s="60">
        <v>772129.37</v>
      </c>
      <c r="I734" s="59"/>
      <c r="J734" s="60">
        <v>42729.36</v>
      </c>
      <c r="K734" s="59"/>
      <c r="L734" s="59"/>
      <c r="M734" s="60">
        <v>1922264.54</v>
      </c>
      <c r="N734" s="60">
        <v>1192864.53</v>
      </c>
      <c r="O734" s="60">
        <v>729400.01</v>
      </c>
      <c r="P734" s="55"/>
      <c r="Q734" s="55"/>
      <c r="R734" s="61">
        <f t="shared" si="294"/>
        <v>3560.78</v>
      </c>
      <c r="S734" s="60">
        <v>3560.78</v>
      </c>
      <c r="T734" s="60">
        <v>3560.78</v>
      </c>
      <c r="U734" s="60">
        <v>3560.78</v>
      </c>
      <c r="V734" s="60">
        <v>3560.78</v>
      </c>
      <c r="W734" s="60">
        <v>3560.78</v>
      </c>
      <c r="X734" s="61">
        <f t="shared" si="295"/>
        <v>21364.68</v>
      </c>
      <c r="Y734" s="60">
        <v>3560.78</v>
      </c>
      <c r="Z734" s="60">
        <v>3560.78</v>
      </c>
      <c r="AA734" s="60">
        <v>3560.78</v>
      </c>
      <c r="AB734" s="60">
        <v>3560.78</v>
      </c>
      <c r="AC734" s="60">
        <v>3560.78</v>
      </c>
      <c r="AD734" s="60">
        <v>3560.78</v>
      </c>
      <c r="AE734" s="61">
        <f t="shared" si="296"/>
        <v>21364.68</v>
      </c>
      <c r="AF734" s="62">
        <f t="shared" si="281"/>
        <v>1922264.54</v>
      </c>
      <c r="AG734" s="62">
        <f t="shared" si="306"/>
        <v>1235593.8900000004</v>
      </c>
      <c r="AH734" s="62">
        <f t="shared" si="301"/>
        <v>686670.64999999967</v>
      </c>
      <c r="AI734" s="63"/>
      <c r="AJ734" s="63"/>
      <c r="AK734" s="62"/>
      <c r="AL734" s="60">
        <v>3560.78</v>
      </c>
      <c r="AM734" s="60">
        <v>3560.78</v>
      </c>
      <c r="AN734" s="60">
        <v>3560.78</v>
      </c>
      <c r="AO734" s="60">
        <v>3560.78</v>
      </c>
      <c r="AP734" s="60">
        <v>3560.78</v>
      </c>
      <c r="AQ734" s="60">
        <v>3560.78</v>
      </c>
      <c r="AR734" s="61">
        <f t="shared" si="297"/>
        <v>21364.68</v>
      </c>
      <c r="AS734" s="60">
        <v>3560.78</v>
      </c>
      <c r="AT734" s="60">
        <v>3560.78</v>
      </c>
      <c r="AU734" s="60">
        <v>3560.78</v>
      </c>
      <c r="AV734" s="60">
        <v>3560.78</v>
      </c>
      <c r="AW734" s="60">
        <v>3560.78</v>
      </c>
      <c r="AX734" s="60">
        <v>3560.78</v>
      </c>
      <c r="AY734" s="61">
        <f t="shared" si="298"/>
        <v>21364.68</v>
      </c>
      <c r="AZ734" s="56">
        <f t="shared" si="292"/>
        <v>42729.36</v>
      </c>
      <c r="BA734" s="62">
        <f t="shared" si="286"/>
        <v>1922264.54</v>
      </c>
      <c r="BB734" s="62">
        <f t="shared" si="299"/>
        <v>1278323.2500000007</v>
      </c>
      <c r="BC734" s="62">
        <f t="shared" si="287"/>
        <v>643941.28999999934</v>
      </c>
      <c r="BD734" s="63"/>
      <c r="BE734" s="57"/>
      <c r="BF734" s="35" t="str">
        <f>VLOOKUP(A:A,'2023-2027'!A:G,1,+FALSE)</f>
        <v>КТП-40  ТП-59 школа№6  1995г.</v>
      </c>
      <c r="BG734" s="7" t="b">
        <f t="shared" si="305"/>
        <v>1</v>
      </c>
      <c r="BH734" s="35">
        <f>VLOOKUP(A:A,'2023-2027'!A:AT,43,+FALSE)</f>
        <v>7744.22</v>
      </c>
    </row>
    <row r="735" spans="1:60" ht="24" hidden="1" customHeight="1" outlineLevel="1" x14ac:dyDescent="0.2">
      <c r="A735" s="59" t="s">
        <v>1721</v>
      </c>
      <c r="B735" s="59" t="s">
        <v>44</v>
      </c>
      <c r="C735" s="59" t="s">
        <v>82</v>
      </c>
      <c r="D735" s="65" t="s">
        <v>1722</v>
      </c>
      <c r="E735" s="59" t="s">
        <v>1723</v>
      </c>
      <c r="F735" s="60">
        <v>64690.68</v>
      </c>
      <c r="G735" s="60">
        <v>40262.559999999998</v>
      </c>
      <c r="H735" s="60">
        <v>24428.12</v>
      </c>
      <c r="I735" s="59"/>
      <c r="J735" s="60">
        <v>2322.84</v>
      </c>
      <c r="K735" s="59"/>
      <c r="L735" s="59"/>
      <c r="M735" s="60">
        <v>64690.68</v>
      </c>
      <c r="N735" s="60">
        <v>42585.4</v>
      </c>
      <c r="O735" s="60">
        <v>22105.279999999999</v>
      </c>
      <c r="P735" s="55">
        <v>23266.7</v>
      </c>
      <c r="Q735" s="55">
        <f>P735*2.2%</f>
        <v>511.86740000000009</v>
      </c>
      <c r="R735" s="61">
        <f t="shared" si="294"/>
        <v>193.57000000000002</v>
      </c>
      <c r="S735" s="60">
        <v>193.57</v>
      </c>
      <c r="T735" s="60">
        <v>193.57</v>
      </c>
      <c r="U735" s="60">
        <v>193.57</v>
      </c>
      <c r="V735" s="60">
        <v>193.57</v>
      </c>
      <c r="W735" s="60">
        <v>193.57</v>
      </c>
      <c r="X735" s="61">
        <f t="shared" si="295"/>
        <v>1161.4199999999998</v>
      </c>
      <c r="Y735" s="60">
        <v>193.57</v>
      </c>
      <c r="Z735" s="60">
        <v>193.57</v>
      </c>
      <c r="AA735" s="60">
        <v>193.57</v>
      </c>
      <c r="AB735" s="60">
        <v>193.57</v>
      </c>
      <c r="AC735" s="60">
        <v>193.57</v>
      </c>
      <c r="AD735" s="60">
        <v>193.57</v>
      </c>
      <c r="AE735" s="61">
        <f t="shared" si="296"/>
        <v>1161.4199999999998</v>
      </c>
      <c r="AF735" s="62">
        <f t="shared" ref="AF735:AF798" si="307">M735</f>
        <v>64690.68</v>
      </c>
      <c r="AG735" s="62">
        <f t="shared" si="306"/>
        <v>44908.24</v>
      </c>
      <c r="AH735" s="62">
        <f t="shared" si="301"/>
        <v>19782.440000000002</v>
      </c>
      <c r="AI735" s="63">
        <v>20943.86</v>
      </c>
      <c r="AJ735" s="63">
        <f t="shared" ref="AJ735" si="308">AI735*2.2%</f>
        <v>460.76492000000007</v>
      </c>
      <c r="AK735" s="62"/>
      <c r="AL735" s="60">
        <v>193.57</v>
      </c>
      <c r="AM735" s="60">
        <v>193.57</v>
      </c>
      <c r="AN735" s="60">
        <v>193.57</v>
      </c>
      <c r="AO735" s="60">
        <v>193.57</v>
      </c>
      <c r="AP735" s="60">
        <v>193.57</v>
      </c>
      <c r="AQ735" s="60">
        <v>193.57</v>
      </c>
      <c r="AR735" s="61">
        <f t="shared" si="297"/>
        <v>1161.4199999999998</v>
      </c>
      <c r="AS735" s="60">
        <v>193.57</v>
      </c>
      <c r="AT735" s="60">
        <v>193.57</v>
      </c>
      <c r="AU735" s="60">
        <v>193.57</v>
      </c>
      <c r="AV735" s="60">
        <v>193.57</v>
      </c>
      <c r="AW735" s="60">
        <v>193.57</v>
      </c>
      <c r="AX735" s="60">
        <v>193.57</v>
      </c>
      <c r="AY735" s="61">
        <f t="shared" si="298"/>
        <v>1161.4199999999998</v>
      </c>
      <c r="AZ735" s="56">
        <f t="shared" si="292"/>
        <v>2322.8399999999997</v>
      </c>
      <c r="BA735" s="62">
        <f t="shared" si="286"/>
        <v>64690.68</v>
      </c>
      <c r="BB735" s="62">
        <f t="shared" si="299"/>
        <v>47231.079999999994</v>
      </c>
      <c r="BC735" s="62">
        <f t="shared" si="287"/>
        <v>17459.600000000006</v>
      </c>
      <c r="BD735" s="63">
        <v>18621.020000000004</v>
      </c>
      <c r="BE735" s="57">
        <f t="shared" ref="BE735" si="309">BD735*2.2%</f>
        <v>409.66244000000012</v>
      </c>
      <c r="BF735" s="35" t="e">
        <f>VLOOKUP(A:A,'2023-2027'!A:G,1,+FALSE)</f>
        <v>#N/A</v>
      </c>
      <c r="BG735" s="7" t="e">
        <f t="shared" si="305"/>
        <v>#N/A</v>
      </c>
      <c r="BH735" s="35"/>
    </row>
    <row r="736" spans="1:60" ht="36" hidden="1" customHeight="1" outlineLevel="1" x14ac:dyDescent="0.2">
      <c r="A736" s="59" t="s">
        <v>2466</v>
      </c>
      <c r="B736" s="59" t="s">
        <v>44</v>
      </c>
      <c r="C736" s="59" t="s">
        <v>82</v>
      </c>
      <c r="D736" s="66" t="s">
        <v>1724</v>
      </c>
      <c r="E736" s="59" t="s">
        <v>305</v>
      </c>
      <c r="F736" s="60">
        <v>90383.52</v>
      </c>
      <c r="G736" s="60">
        <v>60255.6</v>
      </c>
      <c r="H736" s="60">
        <v>30127.919999999998</v>
      </c>
      <c r="I736" s="59"/>
      <c r="J736" s="60">
        <v>18076.759999999998</v>
      </c>
      <c r="K736" s="59"/>
      <c r="L736" s="59"/>
      <c r="M736" s="60">
        <v>90383.52</v>
      </c>
      <c r="N736" s="60">
        <v>78332.36</v>
      </c>
      <c r="O736" s="60">
        <v>12051.16</v>
      </c>
      <c r="P736" s="55"/>
      <c r="Q736" s="55"/>
      <c r="R736" s="61">
        <f t="shared" si="294"/>
        <v>1506.3966666666665</v>
      </c>
      <c r="S736" s="60">
        <v>1506.396667</v>
      </c>
      <c r="T736" s="60">
        <v>1506.396667</v>
      </c>
      <c r="U736" s="60">
        <v>1506.396667</v>
      </c>
      <c r="V736" s="60">
        <v>1506.396667</v>
      </c>
      <c r="W736" s="60">
        <v>1506.396667</v>
      </c>
      <c r="X736" s="61">
        <f t="shared" si="295"/>
        <v>9038.3800016666664</v>
      </c>
      <c r="Y736" s="60">
        <v>1506.385</v>
      </c>
      <c r="Z736" s="60">
        <v>1506.39</v>
      </c>
      <c r="AA736" s="60"/>
      <c r="AB736" s="60"/>
      <c r="AC736" s="60"/>
      <c r="AD736" s="60"/>
      <c r="AE736" s="61">
        <f t="shared" si="296"/>
        <v>3012.7750000000001</v>
      </c>
      <c r="AF736" s="62">
        <f t="shared" si="307"/>
        <v>90383.52</v>
      </c>
      <c r="AG736" s="62">
        <f t="shared" si="306"/>
        <v>90383.51500166663</v>
      </c>
      <c r="AH736" s="62">
        <f t="shared" si="301"/>
        <v>4.998333373805508E-3</v>
      </c>
      <c r="AI736" s="63"/>
      <c r="AJ736" s="63"/>
      <c r="AK736" s="62"/>
      <c r="AL736" s="60"/>
      <c r="AM736" s="60"/>
      <c r="AN736" s="60"/>
      <c r="AO736" s="60"/>
      <c r="AP736" s="60"/>
      <c r="AQ736" s="60"/>
      <c r="AR736" s="61">
        <f t="shared" si="297"/>
        <v>0</v>
      </c>
      <c r="AS736" s="60"/>
      <c r="AT736" s="60"/>
      <c r="AU736" s="60"/>
      <c r="AV736" s="60"/>
      <c r="AW736" s="60"/>
      <c r="AX736" s="60"/>
      <c r="AY736" s="61">
        <f t="shared" si="298"/>
        <v>0</v>
      </c>
      <c r="AZ736" s="56">
        <f t="shared" si="292"/>
        <v>0</v>
      </c>
      <c r="BA736" s="62">
        <f t="shared" si="286"/>
        <v>90383.52</v>
      </c>
      <c r="BB736" s="62">
        <f t="shared" si="299"/>
        <v>90383.51500166663</v>
      </c>
      <c r="BC736" s="62">
        <f t="shared" si="287"/>
        <v>4.998333373805508E-3</v>
      </c>
      <c r="BD736" s="63"/>
      <c r="BE736" s="57"/>
      <c r="BF736" s="35" t="str">
        <f>VLOOKUP(A:A,'2023-2027'!A:G,1,+FALSE)</f>
        <v>Индикатор емкости свинцовых аккумуляторов Кулон-12/6р</v>
      </c>
      <c r="BG736" s="7" t="b">
        <f t="shared" si="305"/>
        <v>1</v>
      </c>
      <c r="BH736" s="35">
        <f>VLOOKUP(A:A,'2023-2027'!A:AT,43,+FALSE)</f>
        <v>0</v>
      </c>
    </row>
    <row r="737" spans="1:60" ht="48" hidden="1" customHeight="1" outlineLevel="1" x14ac:dyDescent="0.2">
      <c r="A737" s="59" t="s">
        <v>1725</v>
      </c>
      <c r="B737" s="59" t="s">
        <v>44</v>
      </c>
      <c r="C737" s="59" t="s">
        <v>82</v>
      </c>
      <c r="D737" s="66" t="s">
        <v>1726</v>
      </c>
      <c r="E737" s="59" t="s">
        <v>1727</v>
      </c>
      <c r="F737" s="60">
        <v>3378256.22</v>
      </c>
      <c r="G737" s="60">
        <v>476036.55</v>
      </c>
      <c r="H737" s="60">
        <v>2902219.67</v>
      </c>
      <c r="I737" s="59"/>
      <c r="J737" s="60">
        <v>112008.48</v>
      </c>
      <c r="K737" s="59"/>
      <c r="L737" s="59"/>
      <c r="M737" s="60">
        <v>3378256.22</v>
      </c>
      <c r="N737" s="60">
        <v>588045.03</v>
      </c>
      <c r="O737" s="60">
        <v>2790211.19</v>
      </c>
      <c r="P737" s="55">
        <v>2846215.43</v>
      </c>
      <c r="Q737" s="55">
        <f t="shared" ref="Q737:Q755" si="310">P737*2.2%</f>
        <v>62616.739460000012</v>
      </c>
      <c r="R737" s="61">
        <f t="shared" si="294"/>
        <v>9334.0399999999991</v>
      </c>
      <c r="S737" s="60">
        <v>9334.0400000000009</v>
      </c>
      <c r="T737" s="60">
        <v>9334.0400000000009</v>
      </c>
      <c r="U737" s="60">
        <v>9334.0400000000009</v>
      </c>
      <c r="V737" s="60">
        <v>9334.0400000000009</v>
      </c>
      <c r="W737" s="60">
        <v>9334.0400000000009</v>
      </c>
      <c r="X737" s="61">
        <f t="shared" si="295"/>
        <v>56004.240000000005</v>
      </c>
      <c r="Y737" s="60">
        <v>9334.0400000000009</v>
      </c>
      <c r="Z737" s="60">
        <v>9334.0400000000009</v>
      </c>
      <c r="AA737" s="60">
        <v>9334.0400000000009</v>
      </c>
      <c r="AB737" s="60">
        <v>9334.0400000000009</v>
      </c>
      <c r="AC737" s="60">
        <v>9334.0400000000009</v>
      </c>
      <c r="AD737" s="60">
        <v>9334.0400000000009</v>
      </c>
      <c r="AE737" s="61">
        <f t="shared" si="296"/>
        <v>56004.240000000005</v>
      </c>
      <c r="AF737" s="62">
        <f t="shared" si="307"/>
        <v>3378256.22</v>
      </c>
      <c r="AG737" s="62">
        <f t="shared" si="306"/>
        <v>700053.51000000047</v>
      </c>
      <c r="AH737" s="62">
        <f t="shared" si="301"/>
        <v>2678202.71</v>
      </c>
      <c r="AI737" s="63">
        <v>2734206.9499999997</v>
      </c>
      <c r="AJ737" s="63">
        <f t="shared" ref="AJ737:AJ759" si="311">AI737*2.2%</f>
        <v>60152.552900000002</v>
      </c>
      <c r="AK737" s="72">
        <f t="shared" ref="AK737:AK755" si="312">AI737*2.2%</f>
        <v>60152.552900000002</v>
      </c>
      <c r="AL737" s="60">
        <v>9334.0400000000009</v>
      </c>
      <c r="AM737" s="60">
        <v>9334.0400000000009</v>
      </c>
      <c r="AN737" s="60">
        <v>9334.0400000000009</v>
      </c>
      <c r="AO737" s="60">
        <v>9334.0400000000009</v>
      </c>
      <c r="AP737" s="60">
        <v>9334.0400000000009</v>
      </c>
      <c r="AQ737" s="60">
        <v>9334.0400000000009</v>
      </c>
      <c r="AR737" s="61">
        <f t="shared" si="297"/>
        <v>56004.240000000005</v>
      </c>
      <c r="AS737" s="60">
        <v>9334.0400000000009</v>
      </c>
      <c r="AT737" s="60">
        <v>9334.0400000000009</v>
      </c>
      <c r="AU737" s="60">
        <v>9334.0400000000009</v>
      </c>
      <c r="AV737" s="60">
        <v>9334.0400000000009</v>
      </c>
      <c r="AW737" s="60">
        <v>9334.0400000000009</v>
      </c>
      <c r="AX737" s="60">
        <v>9334.0400000000009</v>
      </c>
      <c r="AY737" s="61">
        <f t="shared" si="298"/>
        <v>56004.240000000005</v>
      </c>
      <c r="AZ737" s="56">
        <f t="shared" si="292"/>
        <v>112008.48000000001</v>
      </c>
      <c r="BA737" s="62">
        <f t="shared" si="286"/>
        <v>3378256.22</v>
      </c>
      <c r="BB737" s="62">
        <f t="shared" si="299"/>
        <v>812061.99000000092</v>
      </c>
      <c r="BC737" s="62">
        <f t="shared" si="287"/>
        <v>2566194.2299999995</v>
      </c>
      <c r="BD737" s="63">
        <v>2622198.4699999993</v>
      </c>
      <c r="BE737" s="57">
        <f t="shared" ref="BE737:BE755" si="313">BD737*2.2%</f>
        <v>57688.366339999993</v>
      </c>
      <c r="BF737" s="35" t="str">
        <f>VLOOKUP(A:A,'2023-2027'!A:G,1,+FALSE)</f>
        <v>Лабораторно-диагностический корпус для ГУЗ "Ненецкая окружная больница". Трансформаторная подстанция</v>
      </c>
      <c r="BG737" s="7" t="b">
        <f t="shared" si="305"/>
        <v>1</v>
      </c>
      <c r="BH737" s="35">
        <f>VLOOKUP(A:A,'2023-2027'!A:AT,43,+FALSE)</f>
        <v>9384.0500000000011</v>
      </c>
    </row>
    <row r="738" spans="1:60" ht="48" hidden="1" customHeight="1" outlineLevel="1" x14ac:dyDescent="0.2">
      <c r="A738" s="59" t="s">
        <v>98</v>
      </c>
      <c r="B738" s="59" t="s">
        <v>44</v>
      </c>
      <c r="C738" s="59" t="s">
        <v>82</v>
      </c>
      <c r="D738" s="66" t="s">
        <v>1728</v>
      </c>
      <c r="E738" s="59" t="s">
        <v>1729</v>
      </c>
      <c r="F738" s="59"/>
      <c r="G738" s="59"/>
      <c r="H738" s="59"/>
      <c r="I738" s="60">
        <v>1075330.03</v>
      </c>
      <c r="J738" s="59"/>
      <c r="K738" s="59"/>
      <c r="L738" s="59"/>
      <c r="M738" s="60">
        <v>1075330.03</v>
      </c>
      <c r="N738" s="59"/>
      <c r="O738" s="60">
        <v>1075330.03</v>
      </c>
      <c r="P738" s="55">
        <v>82717.69</v>
      </c>
      <c r="Q738" s="55">
        <f t="shared" si="310"/>
        <v>1819.7891800000002</v>
      </c>
      <c r="R738" s="61">
        <f t="shared" si="294"/>
        <v>0</v>
      </c>
      <c r="S738" s="60">
        <v>0</v>
      </c>
      <c r="T738" s="60">
        <v>0</v>
      </c>
      <c r="U738" s="60">
        <v>0</v>
      </c>
      <c r="V738" s="60">
        <v>0</v>
      </c>
      <c r="W738" s="60">
        <v>0</v>
      </c>
      <c r="X738" s="61">
        <f t="shared" si="295"/>
        <v>0</v>
      </c>
      <c r="Y738" s="60">
        <v>0</v>
      </c>
      <c r="Z738" s="60">
        <v>0</v>
      </c>
      <c r="AA738" s="60">
        <v>0</v>
      </c>
      <c r="AB738" s="60">
        <v>0</v>
      </c>
      <c r="AC738" s="60">
        <v>0</v>
      </c>
      <c r="AD738" s="60">
        <v>0</v>
      </c>
      <c r="AE738" s="61">
        <f t="shared" si="296"/>
        <v>0</v>
      </c>
      <c r="AF738" s="62">
        <f t="shared" si="307"/>
        <v>1075330.03</v>
      </c>
      <c r="AG738" s="62">
        <f t="shared" si="306"/>
        <v>0</v>
      </c>
      <c r="AH738" s="62">
        <f t="shared" si="301"/>
        <v>1075330.03</v>
      </c>
      <c r="AI738" s="63">
        <v>1075330.0299999998</v>
      </c>
      <c r="AJ738" s="63">
        <f t="shared" si="311"/>
        <v>23657.260659999996</v>
      </c>
      <c r="AK738" s="72">
        <f t="shared" si="312"/>
        <v>23657.260659999996</v>
      </c>
      <c r="AL738" s="60">
        <v>0</v>
      </c>
      <c r="AM738" s="60">
        <v>0</v>
      </c>
      <c r="AN738" s="60">
        <v>0</v>
      </c>
      <c r="AO738" s="60">
        <v>0</v>
      </c>
      <c r="AP738" s="60">
        <v>0</v>
      </c>
      <c r="AQ738" s="60">
        <v>0</v>
      </c>
      <c r="AR738" s="61">
        <f t="shared" si="297"/>
        <v>0</v>
      </c>
      <c r="AS738" s="60">
        <v>0</v>
      </c>
      <c r="AT738" s="60">
        <v>0</v>
      </c>
      <c r="AU738" s="60">
        <v>0</v>
      </c>
      <c r="AV738" s="60">
        <v>0</v>
      </c>
      <c r="AW738" s="60">
        <v>0</v>
      </c>
      <c r="AX738" s="60">
        <v>0</v>
      </c>
      <c r="AY738" s="61">
        <f t="shared" si="298"/>
        <v>0</v>
      </c>
      <c r="AZ738" s="56">
        <f t="shared" si="292"/>
        <v>0</v>
      </c>
      <c r="BA738" s="62">
        <f t="shared" si="286"/>
        <v>1075330.03</v>
      </c>
      <c r="BB738" s="62">
        <f t="shared" si="299"/>
        <v>0</v>
      </c>
      <c r="BC738" s="62">
        <f t="shared" si="287"/>
        <v>1075330.03</v>
      </c>
      <c r="BD738" s="63">
        <v>1075330.0299999998</v>
      </c>
      <c r="BE738" s="57">
        <f t="shared" si="313"/>
        <v>23657.260659999996</v>
      </c>
      <c r="BF738" s="35" t="str">
        <f>VLOOKUP(A:A,'2023-2027'!A:G,1,+FALSE)</f>
        <v>Линии электропередач 0,4кВ (ДТП №885 от 21.02.2022г, Административное здание по ул.Первомайская)</v>
      </c>
      <c r="BG738" s="7" t="b">
        <f t="shared" si="305"/>
        <v>1</v>
      </c>
      <c r="BH738" s="35">
        <f>VLOOKUP(A:A,'2023-2027'!A:AT,43,+FALSE)</f>
        <v>5974.0557222222224</v>
      </c>
    </row>
    <row r="739" spans="1:60" ht="24" hidden="1" customHeight="1" outlineLevel="1" x14ac:dyDescent="0.2">
      <c r="A739" s="59" t="s">
        <v>95</v>
      </c>
      <c r="B739" s="59" t="s">
        <v>44</v>
      </c>
      <c r="C739" s="59" t="s">
        <v>82</v>
      </c>
      <c r="D739" s="66" t="s">
        <v>1730</v>
      </c>
      <c r="E739" s="59" t="s">
        <v>1731</v>
      </c>
      <c r="F739" s="59"/>
      <c r="G739" s="59"/>
      <c r="H739" s="59"/>
      <c r="I739" s="60">
        <v>493105.6</v>
      </c>
      <c r="J739" s="60">
        <v>1027.3</v>
      </c>
      <c r="K739" s="59"/>
      <c r="L739" s="59"/>
      <c r="M739" s="60">
        <v>493105.6</v>
      </c>
      <c r="N739" s="60">
        <v>1027.3</v>
      </c>
      <c r="O739" s="60">
        <v>492078.3</v>
      </c>
      <c r="P739" s="55">
        <v>75783.38</v>
      </c>
      <c r="Q739" s="55">
        <f t="shared" si="310"/>
        <v>1667.2343600000004</v>
      </c>
      <c r="R739" s="61">
        <f t="shared" si="294"/>
        <v>85.608333333333334</v>
      </c>
      <c r="S739" s="60">
        <v>85.608333329999994</v>
      </c>
      <c r="T739" s="60">
        <v>85.608333329999994</v>
      </c>
      <c r="U739" s="60">
        <v>85.608333329999994</v>
      </c>
      <c r="V739" s="60">
        <v>85.608333329999994</v>
      </c>
      <c r="W739" s="60">
        <v>85.608333329999994</v>
      </c>
      <c r="X739" s="61">
        <f t="shared" si="295"/>
        <v>513.64999998333337</v>
      </c>
      <c r="Y739" s="60">
        <v>85.608333329999994</v>
      </c>
      <c r="Z739" s="60">
        <v>85.608333329999994</v>
      </c>
      <c r="AA739" s="60">
        <v>85.608333329999994</v>
      </c>
      <c r="AB739" s="60">
        <v>85.608333329999994</v>
      </c>
      <c r="AC739" s="60">
        <v>85.608333329999994</v>
      </c>
      <c r="AD739" s="60">
        <v>85.608333329999994</v>
      </c>
      <c r="AE739" s="61">
        <f t="shared" si="296"/>
        <v>513.64999997999996</v>
      </c>
      <c r="AF739" s="62">
        <f t="shared" si="307"/>
        <v>493105.6</v>
      </c>
      <c r="AG739" s="62">
        <f t="shared" si="306"/>
        <v>2054.5999999633336</v>
      </c>
      <c r="AH739" s="62">
        <f t="shared" si="301"/>
        <v>491051.00000003667</v>
      </c>
      <c r="AI739" s="63">
        <v>492078.29999999987</v>
      </c>
      <c r="AJ739" s="63">
        <f t="shared" si="311"/>
        <v>10825.722599999999</v>
      </c>
      <c r="AK739" s="72">
        <f t="shared" si="312"/>
        <v>10825.722599999999</v>
      </c>
      <c r="AL739" s="60">
        <v>85.608333329999994</v>
      </c>
      <c r="AM739" s="60">
        <v>85.608333329999994</v>
      </c>
      <c r="AN739" s="60">
        <v>85.608333329999994</v>
      </c>
      <c r="AO739" s="60">
        <v>85.608333329999994</v>
      </c>
      <c r="AP739" s="60">
        <v>85.608333329999994</v>
      </c>
      <c r="AQ739" s="60">
        <v>85.608333329999994</v>
      </c>
      <c r="AR739" s="61">
        <f t="shared" si="297"/>
        <v>513.64999997999996</v>
      </c>
      <c r="AS739" s="60">
        <v>85.608333329999994</v>
      </c>
      <c r="AT739" s="60">
        <v>85.608333329999994</v>
      </c>
      <c r="AU739" s="60">
        <v>85.608333329999994</v>
      </c>
      <c r="AV739" s="60">
        <v>85.608333329999994</v>
      </c>
      <c r="AW739" s="60">
        <v>85.608333329999994</v>
      </c>
      <c r="AX739" s="60">
        <v>85.608333329999994</v>
      </c>
      <c r="AY739" s="61">
        <f t="shared" si="298"/>
        <v>513.64999997999996</v>
      </c>
      <c r="AZ739" s="56">
        <f t="shared" si="292"/>
        <v>1027.2999999599999</v>
      </c>
      <c r="BA739" s="62">
        <f t="shared" si="286"/>
        <v>493105.6</v>
      </c>
      <c r="BB739" s="62">
        <f t="shared" si="299"/>
        <v>3081.8999999233315</v>
      </c>
      <c r="BC739" s="62">
        <f t="shared" si="287"/>
        <v>490023.70000007667</v>
      </c>
      <c r="BD739" s="63">
        <v>492078.29999999987</v>
      </c>
      <c r="BE739" s="57">
        <f t="shared" si="313"/>
        <v>10825.722599999999</v>
      </c>
      <c r="BF739" s="35" t="str">
        <f>VLOOKUP(A:A,'2023-2027'!A:G,1,+FALSE)</f>
        <v>Линии электропередачи 0,4кВ (ДТП №96Ф от 23.06.2021 г.)</v>
      </c>
      <c r="BG739" s="7" t="b">
        <f t="shared" si="305"/>
        <v>1</v>
      </c>
      <c r="BH739" s="35">
        <f>VLOOKUP(A:A,'2023-2027'!A:AT,43,+FALSE)</f>
        <v>2739.48</v>
      </c>
    </row>
    <row r="740" spans="1:60" ht="48" hidden="1" customHeight="1" outlineLevel="1" x14ac:dyDescent="0.2">
      <c r="A740" s="59" t="s">
        <v>47</v>
      </c>
      <c r="B740" s="59" t="s">
        <v>44</v>
      </c>
      <c r="C740" s="59" t="s">
        <v>82</v>
      </c>
      <c r="D740" s="66" t="s">
        <v>48</v>
      </c>
      <c r="E740" s="59" t="s">
        <v>43</v>
      </c>
      <c r="F740" s="59"/>
      <c r="G740" s="59"/>
      <c r="H740" s="59"/>
      <c r="I740" s="60">
        <v>213105.53</v>
      </c>
      <c r="J740" s="60">
        <v>3551.75</v>
      </c>
      <c r="K740" s="59"/>
      <c r="L740" s="59"/>
      <c r="M740" s="60">
        <v>213105.53</v>
      </c>
      <c r="N740" s="60">
        <v>3551.75</v>
      </c>
      <c r="O740" s="60">
        <v>209553.78</v>
      </c>
      <c r="P740" s="55">
        <v>97536.76</v>
      </c>
      <c r="Q740" s="55">
        <f t="shared" si="310"/>
        <v>2145.80872</v>
      </c>
      <c r="R740" s="61">
        <f t="shared" si="294"/>
        <v>295.97916666666669</v>
      </c>
      <c r="S740" s="60">
        <v>295.97916670000001</v>
      </c>
      <c r="T740" s="60">
        <v>295.97916670000001</v>
      </c>
      <c r="U740" s="60">
        <v>295.97916670000001</v>
      </c>
      <c r="V740" s="60">
        <v>295.97916670000001</v>
      </c>
      <c r="W740" s="60">
        <v>295.97916670000001</v>
      </c>
      <c r="X740" s="61">
        <f t="shared" si="295"/>
        <v>1775.8750001666665</v>
      </c>
      <c r="Y740" s="60">
        <v>295.97916670000001</v>
      </c>
      <c r="Z740" s="60">
        <v>295.97916670000001</v>
      </c>
      <c r="AA740" s="60">
        <v>295.97916670000001</v>
      </c>
      <c r="AB740" s="60">
        <v>295.97916670000001</v>
      </c>
      <c r="AC740" s="60">
        <v>295.97916670000001</v>
      </c>
      <c r="AD740" s="60">
        <v>295.97916670000001</v>
      </c>
      <c r="AE740" s="61">
        <f t="shared" si="296"/>
        <v>1775.8750001999999</v>
      </c>
      <c r="AF740" s="62">
        <f t="shared" si="307"/>
        <v>213105.53</v>
      </c>
      <c r="AG740" s="62">
        <f t="shared" si="306"/>
        <v>7103.5000003666664</v>
      </c>
      <c r="AH740" s="62">
        <f t="shared" si="301"/>
        <v>206002.02999963332</v>
      </c>
      <c r="AI740" s="63">
        <v>209553.77999999997</v>
      </c>
      <c r="AJ740" s="63">
        <f t="shared" si="311"/>
        <v>4610.1831599999996</v>
      </c>
      <c r="AK740" s="72">
        <f t="shared" si="312"/>
        <v>4610.1831599999996</v>
      </c>
      <c r="AL740" s="60">
        <v>295.97916670000001</v>
      </c>
      <c r="AM740" s="60">
        <v>295.97916670000001</v>
      </c>
      <c r="AN740" s="60">
        <v>295.97916670000001</v>
      </c>
      <c r="AO740" s="60">
        <v>295.97916670000001</v>
      </c>
      <c r="AP740" s="60">
        <v>295.97916670000001</v>
      </c>
      <c r="AQ740" s="60">
        <v>295.97916670000001</v>
      </c>
      <c r="AR740" s="61">
        <f t="shared" si="297"/>
        <v>1775.8750001999999</v>
      </c>
      <c r="AS740" s="60">
        <v>295.97916670000001</v>
      </c>
      <c r="AT740" s="60">
        <v>295.97916670000001</v>
      </c>
      <c r="AU740" s="60">
        <v>295.97916670000001</v>
      </c>
      <c r="AV740" s="60">
        <v>295.97916670000001</v>
      </c>
      <c r="AW740" s="60">
        <v>295.97916670000001</v>
      </c>
      <c r="AX740" s="60">
        <v>295.97916670000001</v>
      </c>
      <c r="AY740" s="61">
        <f t="shared" si="298"/>
        <v>1775.8750001999999</v>
      </c>
      <c r="AZ740" s="56">
        <f t="shared" si="292"/>
        <v>3551.7500003999999</v>
      </c>
      <c r="BA740" s="62">
        <f t="shared" si="286"/>
        <v>213105.53</v>
      </c>
      <c r="BB740" s="62">
        <f t="shared" si="299"/>
        <v>10655.250000766673</v>
      </c>
      <c r="BC740" s="62">
        <f t="shared" si="287"/>
        <v>202450.27999923332</v>
      </c>
      <c r="BD740" s="63">
        <v>209553.77999999997</v>
      </c>
      <c r="BE740" s="57">
        <f t="shared" si="313"/>
        <v>4610.1831599999996</v>
      </c>
      <c r="BF740" s="35" t="str">
        <f>VLOOKUP(A:A,'2023-2027'!A:G,1,+FALSE)</f>
        <v>Линии электропередачи 0,4кВ (ДТП №143 Ф от 19.07.2021г, гаражный бокс кадастровый номер 83:00:050305</v>
      </c>
      <c r="BG740" s="7" t="b">
        <f t="shared" si="305"/>
        <v>1</v>
      </c>
      <c r="BH740" s="35">
        <f>VLOOKUP(A:A,'2023-2027'!A:AT,43,+FALSE)</f>
        <v>1183.92</v>
      </c>
    </row>
    <row r="741" spans="1:60" ht="24" hidden="1" customHeight="1" outlineLevel="1" x14ac:dyDescent="0.2">
      <c r="A741" s="59" t="s">
        <v>1732</v>
      </c>
      <c r="B741" s="59" t="s">
        <v>44</v>
      </c>
      <c r="C741" s="59" t="s">
        <v>82</v>
      </c>
      <c r="D741" s="65" t="s">
        <v>1733</v>
      </c>
      <c r="E741" s="59" t="s">
        <v>200</v>
      </c>
      <c r="F741" s="60">
        <v>388479.55</v>
      </c>
      <c r="G741" s="60">
        <v>294208.28999999998</v>
      </c>
      <c r="H741" s="60">
        <v>94271.26</v>
      </c>
      <c r="I741" s="59"/>
      <c r="J741" s="60">
        <v>12654.24</v>
      </c>
      <c r="K741" s="59"/>
      <c r="L741" s="59"/>
      <c r="M741" s="60">
        <v>388479.55</v>
      </c>
      <c r="N741" s="60">
        <v>306862.53000000003</v>
      </c>
      <c r="O741" s="60">
        <v>81617.02</v>
      </c>
      <c r="P741" s="55">
        <v>87944.14</v>
      </c>
      <c r="Q741" s="55">
        <f t="shared" si="310"/>
        <v>1934.7710800000002</v>
      </c>
      <c r="R741" s="61">
        <f t="shared" si="294"/>
        <v>1054.52</v>
      </c>
      <c r="S741" s="60">
        <v>1054.52</v>
      </c>
      <c r="T741" s="60">
        <v>1054.52</v>
      </c>
      <c r="U741" s="60">
        <v>1054.52</v>
      </c>
      <c r="V741" s="60">
        <v>1054.52</v>
      </c>
      <c r="W741" s="60">
        <v>1054.52</v>
      </c>
      <c r="X741" s="61">
        <f t="shared" si="295"/>
        <v>6327.1200000000008</v>
      </c>
      <c r="Y741" s="60">
        <v>1054.52</v>
      </c>
      <c r="Z741" s="60">
        <v>1054.52</v>
      </c>
      <c r="AA741" s="60">
        <v>1054.52</v>
      </c>
      <c r="AB741" s="60">
        <v>1054.52</v>
      </c>
      <c r="AC741" s="60">
        <v>1054.52</v>
      </c>
      <c r="AD741" s="60">
        <v>1054.52</v>
      </c>
      <c r="AE741" s="61">
        <f t="shared" si="296"/>
        <v>6327.1200000000008</v>
      </c>
      <c r="AF741" s="62">
        <f t="shared" si="307"/>
        <v>388479.55</v>
      </c>
      <c r="AG741" s="62">
        <f t="shared" si="306"/>
        <v>319516.77000000025</v>
      </c>
      <c r="AH741" s="62">
        <f t="shared" si="301"/>
        <v>68962.779999999737</v>
      </c>
      <c r="AI741" s="63">
        <v>75289.900000000067</v>
      </c>
      <c r="AJ741" s="63">
        <f t="shared" si="311"/>
        <v>1656.3778000000016</v>
      </c>
      <c r="AK741" s="72">
        <f t="shared" si="312"/>
        <v>1656.3778000000016</v>
      </c>
      <c r="AL741" s="60">
        <v>1054.52</v>
      </c>
      <c r="AM741" s="60">
        <v>1054.52</v>
      </c>
      <c r="AN741" s="60">
        <v>1054.52</v>
      </c>
      <c r="AO741" s="60">
        <v>1054.52</v>
      </c>
      <c r="AP741" s="60">
        <v>1054.52</v>
      </c>
      <c r="AQ741" s="60">
        <v>1054.52</v>
      </c>
      <c r="AR741" s="61">
        <f t="shared" si="297"/>
        <v>6327.1200000000008</v>
      </c>
      <c r="AS741" s="60">
        <v>1054.52</v>
      </c>
      <c r="AT741" s="60">
        <v>1054.52</v>
      </c>
      <c r="AU741" s="60">
        <v>1054.52</v>
      </c>
      <c r="AV741" s="60">
        <v>1054.52</v>
      </c>
      <c r="AW741" s="60">
        <v>1054.52</v>
      </c>
      <c r="AX741" s="60">
        <v>1054.52</v>
      </c>
      <c r="AY741" s="61">
        <f t="shared" si="298"/>
        <v>6327.1200000000008</v>
      </c>
      <c r="AZ741" s="56">
        <f t="shared" si="292"/>
        <v>12654.240000000002</v>
      </c>
      <c r="BA741" s="62">
        <f t="shared" si="286"/>
        <v>388479.55</v>
      </c>
      <c r="BB741" s="62">
        <f t="shared" si="299"/>
        <v>332171.01000000047</v>
      </c>
      <c r="BC741" s="62">
        <f t="shared" si="287"/>
        <v>56308.539999999513</v>
      </c>
      <c r="BD741" s="63">
        <v>62635.660000000193</v>
      </c>
      <c r="BE741" s="57">
        <f t="shared" si="313"/>
        <v>1377.9845200000043</v>
      </c>
      <c r="BF741" s="35" t="e">
        <f>VLOOKUP(A:A,'2023-2027'!A:G,1,+FALSE)</f>
        <v>#N/A</v>
      </c>
      <c r="BG741" s="7" t="e">
        <f t="shared" si="305"/>
        <v>#N/A</v>
      </c>
      <c r="BH741" s="35"/>
    </row>
    <row r="742" spans="1:60" ht="24" hidden="1" customHeight="1" outlineLevel="1" x14ac:dyDescent="0.2">
      <c r="A742" s="59" t="s">
        <v>1734</v>
      </c>
      <c r="B742" s="59" t="s">
        <v>44</v>
      </c>
      <c r="C742" s="59" t="s">
        <v>82</v>
      </c>
      <c r="D742" s="66" t="s">
        <v>1735</v>
      </c>
      <c r="E742" s="59" t="s">
        <v>1516</v>
      </c>
      <c r="F742" s="60">
        <v>8912257.2300000004</v>
      </c>
      <c r="G742" s="60">
        <v>165357.28</v>
      </c>
      <c r="H742" s="60">
        <v>8746899.9499999993</v>
      </c>
      <c r="I742" s="59"/>
      <c r="J742" s="60">
        <v>248035.92</v>
      </c>
      <c r="K742" s="59"/>
      <c r="L742" s="59"/>
      <c r="M742" s="60">
        <v>8912257.2300000004</v>
      </c>
      <c r="N742" s="60">
        <v>413393.2</v>
      </c>
      <c r="O742" s="60">
        <v>8498864.0299999993</v>
      </c>
      <c r="P742" s="55">
        <v>8622881.9900000002</v>
      </c>
      <c r="Q742" s="55">
        <f t="shared" si="310"/>
        <v>189703.40378000002</v>
      </c>
      <c r="R742" s="61">
        <f t="shared" si="294"/>
        <v>20669.66</v>
      </c>
      <c r="S742" s="60">
        <v>20669.66</v>
      </c>
      <c r="T742" s="60">
        <v>20669.66</v>
      </c>
      <c r="U742" s="60">
        <v>20669.66</v>
      </c>
      <c r="V742" s="60">
        <v>20669.66</v>
      </c>
      <c r="W742" s="60">
        <v>20669.66</v>
      </c>
      <c r="X742" s="61">
        <f t="shared" si="295"/>
        <v>124017.96</v>
      </c>
      <c r="Y742" s="60">
        <v>20669.66</v>
      </c>
      <c r="Z742" s="60">
        <v>20669.66</v>
      </c>
      <c r="AA742" s="60">
        <v>20669.66</v>
      </c>
      <c r="AB742" s="60">
        <v>20669.66</v>
      </c>
      <c r="AC742" s="60">
        <v>20669.66</v>
      </c>
      <c r="AD742" s="60">
        <v>20669.66</v>
      </c>
      <c r="AE742" s="61">
        <f t="shared" si="296"/>
        <v>124017.96</v>
      </c>
      <c r="AF742" s="62">
        <f t="shared" si="307"/>
        <v>8912257.2300000004</v>
      </c>
      <c r="AG742" s="62">
        <f t="shared" si="306"/>
        <v>661429.12000000011</v>
      </c>
      <c r="AH742" s="62">
        <f t="shared" si="301"/>
        <v>8250828.1100000003</v>
      </c>
      <c r="AI742" s="63">
        <v>8374846.0699999984</v>
      </c>
      <c r="AJ742" s="63">
        <f t="shared" si="311"/>
        <v>184246.61353999999</v>
      </c>
      <c r="AK742" s="72">
        <f t="shared" si="312"/>
        <v>184246.61353999999</v>
      </c>
      <c r="AL742" s="60">
        <v>20669.66</v>
      </c>
      <c r="AM742" s="60">
        <v>20669.66</v>
      </c>
      <c r="AN742" s="60">
        <v>20669.66</v>
      </c>
      <c r="AO742" s="60">
        <v>20669.66</v>
      </c>
      <c r="AP742" s="60">
        <v>20669.66</v>
      </c>
      <c r="AQ742" s="60">
        <v>20669.66</v>
      </c>
      <c r="AR742" s="61">
        <f t="shared" si="297"/>
        <v>124017.96</v>
      </c>
      <c r="AS742" s="60">
        <v>20669.66</v>
      </c>
      <c r="AT742" s="60">
        <v>20669.66</v>
      </c>
      <c r="AU742" s="60">
        <v>20669.66</v>
      </c>
      <c r="AV742" s="60">
        <v>20669.66</v>
      </c>
      <c r="AW742" s="60">
        <v>20669.66</v>
      </c>
      <c r="AX742" s="60">
        <v>20669.66</v>
      </c>
      <c r="AY742" s="61">
        <f t="shared" si="298"/>
        <v>124017.96</v>
      </c>
      <c r="AZ742" s="56">
        <f t="shared" si="292"/>
        <v>248035.92</v>
      </c>
      <c r="BA742" s="62">
        <f t="shared" si="286"/>
        <v>8912257.2300000004</v>
      </c>
      <c r="BB742" s="62">
        <f t="shared" si="299"/>
        <v>909465.0400000005</v>
      </c>
      <c r="BC742" s="62">
        <f t="shared" si="287"/>
        <v>8002792.1899999995</v>
      </c>
      <c r="BD742" s="63">
        <v>8126810.1499999966</v>
      </c>
      <c r="BE742" s="57">
        <f t="shared" si="313"/>
        <v>178789.82329999993</v>
      </c>
      <c r="BF742" s="35" t="str">
        <f>VLOOKUP(A:A,'2023-2027'!A:G,1,+FALSE)</f>
        <v>Линия электропередач - 0,4 кВ. в с. Тельвиска</v>
      </c>
      <c r="BG742" s="7" t="b">
        <f t="shared" si="305"/>
        <v>1</v>
      </c>
      <c r="BH742" s="35">
        <f>VLOOKUP(A:A,'2023-2027'!A:AT,43,+FALSE)</f>
        <v>21219.66</v>
      </c>
    </row>
    <row r="743" spans="1:60" ht="24" hidden="1" customHeight="1" outlineLevel="1" x14ac:dyDescent="0.2">
      <c r="A743" s="59" t="s">
        <v>1734</v>
      </c>
      <c r="B743" s="59" t="s">
        <v>44</v>
      </c>
      <c r="C743" s="59" t="s">
        <v>82</v>
      </c>
      <c r="D743" s="66" t="s">
        <v>1736</v>
      </c>
      <c r="E743" s="59" t="s">
        <v>1516</v>
      </c>
      <c r="F743" s="60">
        <v>5418041.1200000001</v>
      </c>
      <c r="G743" s="60">
        <v>101810.32</v>
      </c>
      <c r="H743" s="60">
        <v>5316230.8</v>
      </c>
      <c r="I743" s="59"/>
      <c r="J743" s="60">
        <v>152715.48000000001</v>
      </c>
      <c r="K743" s="59"/>
      <c r="L743" s="59"/>
      <c r="M743" s="60">
        <v>5418041.1200000001</v>
      </c>
      <c r="N743" s="60">
        <v>254525.8</v>
      </c>
      <c r="O743" s="60">
        <v>5163515.32</v>
      </c>
      <c r="P743" s="55">
        <v>5239873.0599999996</v>
      </c>
      <c r="Q743" s="55">
        <f t="shared" si="310"/>
        <v>115277.20732</v>
      </c>
      <c r="R743" s="61">
        <f t="shared" si="294"/>
        <v>12726.29</v>
      </c>
      <c r="S743" s="60">
        <v>12726.29</v>
      </c>
      <c r="T743" s="60">
        <v>12726.29</v>
      </c>
      <c r="U743" s="60">
        <v>12726.29</v>
      </c>
      <c r="V743" s="60">
        <v>12726.29</v>
      </c>
      <c r="W743" s="60">
        <v>12726.29</v>
      </c>
      <c r="X743" s="61">
        <f t="shared" si="295"/>
        <v>76357.740000000005</v>
      </c>
      <c r="Y743" s="60">
        <v>12726.29</v>
      </c>
      <c r="Z743" s="60">
        <v>12726.29</v>
      </c>
      <c r="AA743" s="60">
        <v>12726.29</v>
      </c>
      <c r="AB743" s="60">
        <v>12726.29</v>
      </c>
      <c r="AC743" s="60">
        <v>12726.29</v>
      </c>
      <c r="AD743" s="60">
        <v>12726.29</v>
      </c>
      <c r="AE743" s="61">
        <f t="shared" si="296"/>
        <v>76357.740000000005</v>
      </c>
      <c r="AF743" s="62">
        <f t="shared" si="307"/>
        <v>5418041.1200000001</v>
      </c>
      <c r="AG743" s="62">
        <f t="shared" si="306"/>
        <v>407241.27999999974</v>
      </c>
      <c r="AH743" s="62">
        <f t="shared" si="301"/>
        <v>5010799.8400000008</v>
      </c>
      <c r="AI743" s="63">
        <v>5087157.58</v>
      </c>
      <c r="AJ743" s="63">
        <f t="shared" si="311"/>
        <v>111917.46676000001</v>
      </c>
      <c r="AK743" s="72">
        <f t="shared" si="312"/>
        <v>111917.46676000001</v>
      </c>
      <c r="AL743" s="60">
        <v>12726.29</v>
      </c>
      <c r="AM743" s="60">
        <v>12726.29</v>
      </c>
      <c r="AN743" s="60">
        <v>12726.29</v>
      </c>
      <c r="AO743" s="60">
        <v>12726.29</v>
      </c>
      <c r="AP743" s="60">
        <v>12726.29</v>
      </c>
      <c r="AQ743" s="60">
        <v>12726.29</v>
      </c>
      <c r="AR743" s="61">
        <f t="shared" si="297"/>
        <v>76357.740000000005</v>
      </c>
      <c r="AS743" s="60">
        <v>12726.29</v>
      </c>
      <c r="AT743" s="60">
        <v>12726.29</v>
      </c>
      <c r="AU743" s="60">
        <v>12726.29</v>
      </c>
      <c r="AV743" s="60">
        <v>12726.29</v>
      </c>
      <c r="AW743" s="60">
        <v>12726.29</v>
      </c>
      <c r="AX743" s="60">
        <v>12726.29</v>
      </c>
      <c r="AY743" s="61">
        <f t="shared" si="298"/>
        <v>76357.740000000005</v>
      </c>
      <c r="AZ743" s="56">
        <f t="shared" si="292"/>
        <v>152715.48000000001</v>
      </c>
      <c r="BA743" s="62">
        <f t="shared" si="286"/>
        <v>5418041.1200000001</v>
      </c>
      <c r="BB743" s="62">
        <f t="shared" si="299"/>
        <v>559956.75999999966</v>
      </c>
      <c r="BC743" s="62">
        <f t="shared" si="287"/>
        <v>4858084.3600000003</v>
      </c>
      <c r="BD743" s="63">
        <v>4934442.0999999996</v>
      </c>
      <c r="BE743" s="57">
        <f t="shared" si="313"/>
        <v>108557.7262</v>
      </c>
      <c r="BF743" s="35" t="str">
        <f>VLOOKUP(A:A,'2023-2027'!A:G,1,+FALSE)</f>
        <v>Линия электропередач - 0,4 кВ. в с. Тельвиска</v>
      </c>
      <c r="BG743" s="7" t="b">
        <f t="shared" si="305"/>
        <v>1</v>
      </c>
      <c r="BH743" s="35">
        <f>VLOOKUP(A:A,'2023-2027'!A:AT,43,+FALSE)</f>
        <v>21219.66</v>
      </c>
    </row>
    <row r="744" spans="1:60" ht="24" hidden="1" customHeight="1" outlineLevel="1" x14ac:dyDescent="0.2">
      <c r="A744" s="59" t="s">
        <v>1737</v>
      </c>
      <c r="B744" s="59" t="s">
        <v>44</v>
      </c>
      <c r="C744" s="59" t="s">
        <v>82</v>
      </c>
      <c r="D744" s="66" t="s">
        <v>1738</v>
      </c>
      <c r="E744" s="59" t="s">
        <v>359</v>
      </c>
      <c r="F744" s="60">
        <v>118705028.09999999</v>
      </c>
      <c r="G744" s="60">
        <v>37554888.960000001</v>
      </c>
      <c r="H744" s="60">
        <v>81150139.140000001</v>
      </c>
      <c r="I744" s="59"/>
      <c r="J744" s="60">
        <v>4694361.12</v>
      </c>
      <c r="K744" s="59"/>
      <c r="L744" s="59"/>
      <c r="M744" s="60">
        <v>118705028.09999999</v>
      </c>
      <c r="N744" s="60">
        <v>42249250.079999998</v>
      </c>
      <c r="O744" s="60">
        <v>76455778.019999996</v>
      </c>
      <c r="P744" s="55">
        <v>78802958.530000001</v>
      </c>
      <c r="Q744" s="55">
        <f t="shared" si="310"/>
        <v>1733665.0876600002</v>
      </c>
      <c r="R744" s="61">
        <f t="shared" si="294"/>
        <v>391196.76</v>
      </c>
      <c r="S744" s="60">
        <v>391196.76</v>
      </c>
      <c r="T744" s="60">
        <v>391196.76</v>
      </c>
      <c r="U744" s="60">
        <v>391196.76</v>
      </c>
      <c r="V744" s="60">
        <v>391196.76</v>
      </c>
      <c r="W744" s="60">
        <v>391196.76</v>
      </c>
      <c r="X744" s="61">
        <f t="shared" si="295"/>
        <v>2347180.56</v>
      </c>
      <c r="Y744" s="60">
        <v>391196.76</v>
      </c>
      <c r="Z744" s="60">
        <v>391196.76</v>
      </c>
      <c r="AA744" s="60">
        <v>391196.76</v>
      </c>
      <c r="AB744" s="60">
        <v>391196.76</v>
      </c>
      <c r="AC744" s="60">
        <v>391196.76</v>
      </c>
      <c r="AD744" s="60">
        <v>391196.76</v>
      </c>
      <c r="AE744" s="61">
        <f t="shared" si="296"/>
        <v>2347180.56</v>
      </c>
      <c r="AF744" s="62">
        <f t="shared" si="307"/>
        <v>118705028.09999999</v>
      </c>
      <c r="AG744" s="62">
        <f t="shared" si="306"/>
        <v>46943611.199999973</v>
      </c>
      <c r="AH744" s="62">
        <f t="shared" si="301"/>
        <v>71761416.900000021</v>
      </c>
      <c r="AI744" s="63">
        <v>74108597.459999979</v>
      </c>
      <c r="AJ744" s="63">
        <f t="shared" si="311"/>
        <v>1630389.1441199996</v>
      </c>
      <c r="AK744" s="72">
        <f t="shared" si="312"/>
        <v>1630389.1441199996</v>
      </c>
      <c r="AL744" s="60">
        <v>391196.76</v>
      </c>
      <c r="AM744" s="60">
        <v>391196.76</v>
      </c>
      <c r="AN744" s="60">
        <v>391196.76</v>
      </c>
      <c r="AO744" s="60">
        <v>391196.76</v>
      </c>
      <c r="AP744" s="60">
        <v>391196.76</v>
      </c>
      <c r="AQ744" s="60">
        <v>391196.76</v>
      </c>
      <c r="AR744" s="61">
        <f t="shared" si="297"/>
        <v>2347180.56</v>
      </c>
      <c r="AS744" s="60">
        <v>391196.76</v>
      </c>
      <c r="AT744" s="60">
        <v>391196.76</v>
      </c>
      <c r="AU744" s="60">
        <v>391196.76</v>
      </c>
      <c r="AV744" s="60">
        <v>391196.76</v>
      </c>
      <c r="AW744" s="60">
        <v>391196.76</v>
      </c>
      <c r="AX744" s="60">
        <v>391196.76</v>
      </c>
      <c r="AY744" s="61">
        <f t="shared" si="298"/>
        <v>2347180.56</v>
      </c>
      <c r="AZ744" s="56">
        <f t="shared" si="292"/>
        <v>4694361.12</v>
      </c>
      <c r="BA744" s="62">
        <f t="shared" si="286"/>
        <v>118705028.09999999</v>
      </c>
      <c r="BB744" s="62">
        <f t="shared" si="299"/>
        <v>51637972.319999948</v>
      </c>
      <c r="BC744" s="62">
        <f t="shared" si="287"/>
        <v>67067055.780000046</v>
      </c>
      <c r="BD744" s="63">
        <v>69414236.339999899</v>
      </c>
      <c r="BE744" s="57">
        <f t="shared" si="313"/>
        <v>1527113.1994799979</v>
      </c>
      <c r="BF744" s="35" t="str">
        <f>VLOOKUP(A:A,'2023-2027'!A:G,1,+FALSE)</f>
        <v>Линия электропередач 20 кВ "г.Нарьян-Мар-Красное"</v>
      </c>
      <c r="BG744" s="7" t="b">
        <f t="shared" si="305"/>
        <v>1</v>
      </c>
      <c r="BH744" s="35">
        <f>VLOOKUP(A:A,'2023-2027'!A:AT,43,+FALSE)</f>
        <v>395964.10999999993</v>
      </c>
    </row>
    <row r="745" spans="1:60" ht="36" hidden="1" customHeight="1" outlineLevel="1" x14ac:dyDescent="0.2">
      <c r="A745" s="59" t="s">
        <v>1739</v>
      </c>
      <c r="B745" s="59" t="s">
        <v>44</v>
      </c>
      <c r="C745" s="59" t="s">
        <v>82</v>
      </c>
      <c r="D745" s="66" t="s">
        <v>1740</v>
      </c>
      <c r="E745" s="59" t="s">
        <v>1741</v>
      </c>
      <c r="F745" s="60">
        <v>108203150.86</v>
      </c>
      <c r="G745" s="60">
        <v>38876094.719999999</v>
      </c>
      <c r="H745" s="60">
        <v>69327056.140000001</v>
      </c>
      <c r="I745" s="59"/>
      <c r="J745" s="60">
        <v>4319565.96</v>
      </c>
      <c r="K745" s="59"/>
      <c r="L745" s="59"/>
      <c r="M745" s="60">
        <v>108203150.86</v>
      </c>
      <c r="N745" s="60">
        <v>43195660.68</v>
      </c>
      <c r="O745" s="60">
        <v>65007490.18</v>
      </c>
      <c r="P745" s="55">
        <v>67167273.120000005</v>
      </c>
      <c r="Q745" s="55">
        <f t="shared" si="310"/>
        <v>1477680.0086400004</v>
      </c>
      <c r="R745" s="61">
        <f t="shared" si="294"/>
        <v>359963.83</v>
      </c>
      <c r="S745" s="60">
        <v>359963.83</v>
      </c>
      <c r="T745" s="60">
        <v>359963.83</v>
      </c>
      <c r="U745" s="60">
        <v>359963.83</v>
      </c>
      <c r="V745" s="60">
        <v>359963.83</v>
      </c>
      <c r="W745" s="60">
        <v>359963.83</v>
      </c>
      <c r="X745" s="61">
        <f t="shared" si="295"/>
        <v>2159782.98</v>
      </c>
      <c r="Y745" s="60">
        <v>359963.83</v>
      </c>
      <c r="Z745" s="60">
        <v>359963.83</v>
      </c>
      <c r="AA745" s="60">
        <v>359963.83</v>
      </c>
      <c r="AB745" s="60">
        <v>359963.83</v>
      </c>
      <c r="AC745" s="60">
        <v>359963.83</v>
      </c>
      <c r="AD745" s="60">
        <v>359963.83</v>
      </c>
      <c r="AE745" s="61">
        <f t="shared" si="296"/>
        <v>2159782.98</v>
      </c>
      <c r="AF745" s="62">
        <f t="shared" si="307"/>
        <v>108203150.86</v>
      </c>
      <c r="AG745" s="62">
        <f t="shared" si="306"/>
        <v>47515226.639999978</v>
      </c>
      <c r="AH745" s="62">
        <f t="shared" si="301"/>
        <v>60687924.220000021</v>
      </c>
      <c r="AI745" s="63">
        <v>62847707.20000001</v>
      </c>
      <c r="AJ745" s="63">
        <f t="shared" si="311"/>
        <v>1382649.5584000004</v>
      </c>
      <c r="AK745" s="72">
        <f t="shared" si="312"/>
        <v>1382649.5584000004</v>
      </c>
      <c r="AL745" s="60">
        <v>359963.83</v>
      </c>
      <c r="AM745" s="60">
        <v>359963.83</v>
      </c>
      <c r="AN745" s="60">
        <v>359963.83</v>
      </c>
      <c r="AO745" s="60">
        <v>359963.83</v>
      </c>
      <c r="AP745" s="60">
        <v>359963.83</v>
      </c>
      <c r="AQ745" s="60">
        <v>359963.83</v>
      </c>
      <c r="AR745" s="61">
        <f t="shared" si="297"/>
        <v>2159782.98</v>
      </c>
      <c r="AS745" s="60">
        <v>359963.83</v>
      </c>
      <c r="AT745" s="60">
        <v>359963.83</v>
      </c>
      <c r="AU745" s="60">
        <v>359963.83</v>
      </c>
      <c r="AV745" s="60">
        <v>359963.83</v>
      </c>
      <c r="AW745" s="60">
        <v>359963.83</v>
      </c>
      <c r="AX745" s="60">
        <v>359963.83</v>
      </c>
      <c r="AY745" s="61">
        <f t="shared" si="298"/>
        <v>2159782.98</v>
      </c>
      <c r="AZ745" s="56">
        <f t="shared" si="292"/>
        <v>4319565.96</v>
      </c>
      <c r="BA745" s="62">
        <f t="shared" ref="BA745:BA808" si="314">AF745</f>
        <v>108203150.86</v>
      </c>
      <c r="BB745" s="62">
        <f t="shared" si="299"/>
        <v>51834792.599999957</v>
      </c>
      <c r="BC745" s="62">
        <f t="shared" ref="BC745:BC808" si="315">BA745-BB745</f>
        <v>56368358.260000043</v>
      </c>
      <c r="BD745" s="63">
        <v>58528141.240000024</v>
      </c>
      <c r="BE745" s="57">
        <f t="shared" si="313"/>
        <v>1287619.1072800006</v>
      </c>
      <c r="BF745" s="35" t="str">
        <f>VLOOKUP(A:A,'2023-2027'!A:G,1,+FALSE)</f>
        <v>Линия электропередач 6 кВ "г.Нарьян-Мар - с.Тельвиска" НАО</v>
      </c>
      <c r="BG745" s="7" t="b">
        <f t="shared" si="305"/>
        <v>1</v>
      </c>
      <c r="BH745" s="35">
        <f>VLOOKUP(A:A,'2023-2027'!A:AT,43,+FALSE)</f>
        <v>360677.17</v>
      </c>
    </row>
    <row r="746" spans="1:60" ht="24" hidden="1" customHeight="1" outlineLevel="1" x14ac:dyDescent="0.2">
      <c r="A746" s="59" t="s">
        <v>2475</v>
      </c>
      <c r="B746" s="59" t="s">
        <v>44</v>
      </c>
      <c r="C746" s="59" t="s">
        <v>82</v>
      </c>
      <c r="D746" s="66" t="s">
        <v>1742</v>
      </c>
      <c r="E746" s="59" t="s">
        <v>424</v>
      </c>
      <c r="F746" s="60">
        <v>2771439.99</v>
      </c>
      <c r="G746" s="59"/>
      <c r="H746" s="60">
        <v>2771439.99</v>
      </c>
      <c r="I746" s="59"/>
      <c r="J746" s="60">
        <v>68036.039999999994</v>
      </c>
      <c r="K746" s="59"/>
      <c r="L746" s="59"/>
      <c r="M746" s="60">
        <v>2771439.99</v>
      </c>
      <c r="N746" s="60">
        <v>68036.039999999994</v>
      </c>
      <c r="O746" s="60">
        <v>2703403.95</v>
      </c>
      <c r="P746" s="55">
        <v>2737421.97</v>
      </c>
      <c r="Q746" s="55">
        <f t="shared" si="310"/>
        <v>60223.283340000009</v>
      </c>
      <c r="R746" s="61">
        <f t="shared" si="294"/>
        <v>5669.6699999999992</v>
      </c>
      <c r="S746" s="60">
        <v>5669.67</v>
      </c>
      <c r="T746" s="60">
        <v>5669.67</v>
      </c>
      <c r="U746" s="60">
        <v>5669.67</v>
      </c>
      <c r="V746" s="60">
        <v>5669.67</v>
      </c>
      <c r="W746" s="60">
        <v>5669.67</v>
      </c>
      <c r="X746" s="61">
        <f t="shared" si="295"/>
        <v>34018.019999999997</v>
      </c>
      <c r="Y746" s="60">
        <v>5669.67</v>
      </c>
      <c r="Z746" s="60">
        <v>5669.67</v>
      </c>
      <c r="AA746" s="60">
        <v>5669.67</v>
      </c>
      <c r="AB746" s="60">
        <v>5669.67</v>
      </c>
      <c r="AC746" s="60">
        <v>5669.67</v>
      </c>
      <c r="AD746" s="60">
        <v>5669.67</v>
      </c>
      <c r="AE746" s="61">
        <f t="shared" si="296"/>
        <v>34018.019999999997</v>
      </c>
      <c r="AF746" s="62">
        <f t="shared" si="307"/>
        <v>2771439.99</v>
      </c>
      <c r="AG746" s="62">
        <f t="shared" si="306"/>
        <v>136072.07999999999</v>
      </c>
      <c r="AH746" s="62">
        <f t="shared" si="301"/>
        <v>2635367.91</v>
      </c>
      <c r="AI746" s="63">
        <v>2669385.9299999974</v>
      </c>
      <c r="AJ746" s="63">
        <f t="shared" si="311"/>
        <v>58726.49045999995</v>
      </c>
      <c r="AK746" s="72">
        <f t="shared" si="312"/>
        <v>58726.49045999995</v>
      </c>
      <c r="AL746" s="60">
        <v>5669.67</v>
      </c>
      <c r="AM746" s="60">
        <v>5669.67</v>
      </c>
      <c r="AN746" s="60">
        <v>5669.67</v>
      </c>
      <c r="AO746" s="60">
        <v>5669.67</v>
      </c>
      <c r="AP746" s="60">
        <v>5669.67</v>
      </c>
      <c r="AQ746" s="60">
        <v>5669.67</v>
      </c>
      <c r="AR746" s="61">
        <f t="shared" si="297"/>
        <v>34018.019999999997</v>
      </c>
      <c r="AS746" s="60">
        <v>5669.67</v>
      </c>
      <c r="AT746" s="60">
        <v>5669.67</v>
      </c>
      <c r="AU746" s="60">
        <v>5669.67</v>
      </c>
      <c r="AV746" s="60">
        <v>5669.67</v>
      </c>
      <c r="AW746" s="60">
        <v>5669.67</v>
      </c>
      <c r="AX746" s="60">
        <v>5669.67</v>
      </c>
      <c r="AY746" s="61">
        <f t="shared" si="298"/>
        <v>34018.019999999997</v>
      </c>
      <c r="AZ746" s="56">
        <f t="shared" si="292"/>
        <v>68036.039999999994</v>
      </c>
      <c r="BA746" s="62">
        <f t="shared" si="314"/>
        <v>2771439.99</v>
      </c>
      <c r="BB746" s="62">
        <f t="shared" si="299"/>
        <v>204108.12000000014</v>
      </c>
      <c r="BC746" s="62">
        <f t="shared" si="315"/>
        <v>2567331.87</v>
      </c>
      <c r="BD746" s="63">
        <v>2601349.8899999931</v>
      </c>
      <c r="BE746" s="57">
        <f t="shared" si="313"/>
        <v>57229.697579999854</v>
      </c>
      <c r="BF746" s="35" t="str">
        <f>VLOOKUP(A:A,'2023-2027'!A:G,1,+FALSE)</f>
        <v xml:space="preserve">Линия электропередач ВЛИ 0,4кВ </v>
      </c>
      <c r="BG746" s="7" t="b">
        <f t="shared" si="305"/>
        <v>1</v>
      </c>
      <c r="BH746" s="35">
        <f>VLOOKUP(A:A,'2023-2027'!A:AT,43,+FALSE)</f>
        <v>5773.8333125000008</v>
      </c>
    </row>
    <row r="747" spans="1:60" ht="12" hidden="1" customHeight="1" outlineLevel="1" x14ac:dyDescent="0.2">
      <c r="A747" s="59" t="s">
        <v>2476</v>
      </c>
      <c r="B747" s="59" t="s">
        <v>44</v>
      </c>
      <c r="C747" s="59" t="s">
        <v>82</v>
      </c>
      <c r="D747" s="66" t="s">
        <v>1743</v>
      </c>
      <c r="E747" s="59" t="s">
        <v>424</v>
      </c>
      <c r="F747" s="60">
        <v>1893457.69</v>
      </c>
      <c r="G747" s="59"/>
      <c r="H747" s="60">
        <v>1893457.69</v>
      </c>
      <c r="I747" s="59"/>
      <c r="J747" s="60">
        <v>75738.36</v>
      </c>
      <c r="K747" s="59"/>
      <c r="L747" s="59"/>
      <c r="M747" s="60">
        <v>1893457.69</v>
      </c>
      <c r="N747" s="60">
        <v>75738.36</v>
      </c>
      <c r="O747" s="60">
        <v>1817719.33</v>
      </c>
      <c r="P747" s="55">
        <v>1855588.51</v>
      </c>
      <c r="Q747" s="55">
        <f t="shared" si="310"/>
        <v>40822.947220000002</v>
      </c>
      <c r="R747" s="61">
        <f t="shared" si="294"/>
        <v>6311.53</v>
      </c>
      <c r="S747" s="60">
        <v>6311.53</v>
      </c>
      <c r="T747" s="60">
        <v>6311.53</v>
      </c>
      <c r="U747" s="60">
        <v>6311.53</v>
      </c>
      <c r="V747" s="60">
        <v>6311.53</v>
      </c>
      <c r="W747" s="60">
        <v>6311.53</v>
      </c>
      <c r="X747" s="61">
        <f t="shared" si="295"/>
        <v>37869.18</v>
      </c>
      <c r="Y747" s="60">
        <v>6311.53</v>
      </c>
      <c r="Z747" s="60">
        <v>6311.53</v>
      </c>
      <c r="AA747" s="60">
        <v>6311.53</v>
      </c>
      <c r="AB747" s="60">
        <v>6311.53</v>
      </c>
      <c r="AC747" s="60">
        <v>6311.53</v>
      </c>
      <c r="AD747" s="60">
        <v>6311.53</v>
      </c>
      <c r="AE747" s="61">
        <f t="shared" si="296"/>
        <v>37869.18</v>
      </c>
      <c r="AF747" s="62">
        <f t="shared" si="307"/>
        <v>1893457.69</v>
      </c>
      <c r="AG747" s="62">
        <f t="shared" si="306"/>
        <v>151476.72</v>
      </c>
      <c r="AH747" s="62">
        <f t="shared" si="301"/>
        <v>1741980.97</v>
      </c>
      <c r="AI747" s="63">
        <v>1779850.15</v>
      </c>
      <c r="AJ747" s="63">
        <f t="shared" si="311"/>
        <v>39156.703300000001</v>
      </c>
      <c r="AK747" s="72">
        <f t="shared" si="312"/>
        <v>39156.703300000001</v>
      </c>
      <c r="AL747" s="60">
        <v>6311.53</v>
      </c>
      <c r="AM747" s="60">
        <v>6311.53</v>
      </c>
      <c r="AN747" s="60">
        <v>6311.53</v>
      </c>
      <c r="AO747" s="60">
        <v>6311.53</v>
      </c>
      <c r="AP747" s="60">
        <v>6311.53</v>
      </c>
      <c r="AQ747" s="60">
        <v>6311.53</v>
      </c>
      <c r="AR747" s="61">
        <f t="shared" si="297"/>
        <v>37869.18</v>
      </c>
      <c r="AS747" s="60">
        <v>6311.53</v>
      </c>
      <c r="AT747" s="60">
        <v>6311.53</v>
      </c>
      <c r="AU747" s="60">
        <v>6311.53</v>
      </c>
      <c r="AV747" s="60">
        <v>6311.53</v>
      </c>
      <c r="AW747" s="60">
        <v>6311.53</v>
      </c>
      <c r="AX747" s="60">
        <v>6311.53</v>
      </c>
      <c r="AY747" s="61">
        <f t="shared" si="298"/>
        <v>37869.18</v>
      </c>
      <c r="AZ747" s="56">
        <f t="shared" si="292"/>
        <v>75738.36</v>
      </c>
      <c r="BA747" s="62">
        <f t="shared" si="314"/>
        <v>1893457.69</v>
      </c>
      <c r="BB747" s="62">
        <f t="shared" si="299"/>
        <v>227215.08</v>
      </c>
      <c r="BC747" s="62">
        <f t="shared" si="315"/>
        <v>1666242.6099999999</v>
      </c>
      <c r="BD747" s="63">
        <v>1704111.7899999993</v>
      </c>
      <c r="BE747" s="57">
        <f t="shared" si="313"/>
        <v>37490.459379999986</v>
      </c>
      <c r="BF747" s="35" t="str">
        <f>VLOOKUP(A:A,'2023-2027'!A:G,1,+FALSE)</f>
        <v xml:space="preserve">Линия электропередач КЛ 0,4 кВ </v>
      </c>
      <c r="BG747" s="7" t="b">
        <f t="shared" si="305"/>
        <v>1</v>
      </c>
      <c r="BH747" s="35">
        <f>VLOOKUP(A:A,'2023-2027'!A:AT,43,+FALSE)</f>
        <v>6311.5256333333327</v>
      </c>
    </row>
    <row r="748" spans="1:60" ht="12" hidden="1" customHeight="1" outlineLevel="1" x14ac:dyDescent="0.2">
      <c r="A748" s="59" t="s">
        <v>1744</v>
      </c>
      <c r="B748" s="59" t="s">
        <v>44</v>
      </c>
      <c r="C748" s="59" t="s">
        <v>82</v>
      </c>
      <c r="D748" s="66" t="s">
        <v>1745</v>
      </c>
      <c r="E748" s="59" t="s">
        <v>424</v>
      </c>
      <c r="F748" s="60">
        <v>1308034.49</v>
      </c>
      <c r="G748" s="59"/>
      <c r="H748" s="60">
        <v>1308034.49</v>
      </c>
      <c r="I748" s="59"/>
      <c r="J748" s="60">
        <v>52321.37</v>
      </c>
      <c r="K748" s="59"/>
      <c r="L748" s="59"/>
      <c r="M748" s="60">
        <v>1308034.49</v>
      </c>
      <c r="N748" s="60">
        <v>52321.37</v>
      </c>
      <c r="O748" s="60">
        <v>1255713.1200000001</v>
      </c>
      <c r="P748" s="55">
        <v>1281873.81</v>
      </c>
      <c r="Q748" s="55">
        <f t="shared" si="310"/>
        <v>28201.223820000003</v>
      </c>
      <c r="R748" s="61">
        <f t="shared" si="294"/>
        <v>4360.1141666666672</v>
      </c>
      <c r="S748" s="60">
        <v>4360.1141669999997</v>
      </c>
      <c r="T748" s="60">
        <v>4360.1141669999997</v>
      </c>
      <c r="U748" s="60">
        <v>4360.1141669999997</v>
      </c>
      <c r="V748" s="60">
        <v>4360.1141669999997</v>
      </c>
      <c r="W748" s="60">
        <v>4360.1141669999997</v>
      </c>
      <c r="X748" s="61">
        <f t="shared" si="295"/>
        <v>26160.685001666665</v>
      </c>
      <c r="Y748" s="60">
        <v>4360.1141669999997</v>
      </c>
      <c r="Z748" s="60">
        <v>4360.1141669999997</v>
      </c>
      <c r="AA748" s="60">
        <v>4360.1141669999997</v>
      </c>
      <c r="AB748" s="60">
        <v>4360.1141669999997</v>
      </c>
      <c r="AC748" s="60">
        <v>4360.1141669999997</v>
      </c>
      <c r="AD748" s="60">
        <v>4360.1141669999997</v>
      </c>
      <c r="AE748" s="61">
        <f t="shared" si="296"/>
        <v>26160.685001999998</v>
      </c>
      <c r="AF748" s="62">
        <f t="shared" si="307"/>
        <v>1308034.49</v>
      </c>
      <c r="AG748" s="62">
        <f t="shared" si="306"/>
        <v>104642.74000366661</v>
      </c>
      <c r="AH748" s="62">
        <f t="shared" si="301"/>
        <v>1203391.7499963334</v>
      </c>
      <c r="AI748" s="63">
        <v>1229552.4599999995</v>
      </c>
      <c r="AJ748" s="63">
        <f t="shared" si="311"/>
        <v>27050.154119999992</v>
      </c>
      <c r="AK748" s="72">
        <f t="shared" si="312"/>
        <v>27050.154119999992</v>
      </c>
      <c r="AL748" s="60">
        <v>4360.1141669999997</v>
      </c>
      <c r="AM748" s="60">
        <v>4360.1141669999997</v>
      </c>
      <c r="AN748" s="60">
        <v>4360.1141669999997</v>
      </c>
      <c r="AO748" s="60">
        <v>4360.1141669999997</v>
      </c>
      <c r="AP748" s="60">
        <v>4360.1141669999997</v>
      </c>
      <c r="AQ748" s="60">
        <v>4360.1141669999997</v>
      </c>
      <c r="AR748" s="61">
        <f t="shared" si="297"/>
        <v>26160.685001999998</v>
      </c>
      <c r="AS748" s="60">
        <v>4360.1141669999997</v>
      </c>
      <c r="AT748" s="60">
        <v>4360.1141669999997</v>
      </c>
      <c r="AU748" s="60">
        <v>4360.1141669999997</v>
      </c>
      <c r="AV748" s="60">
        <v>4360.1141669999997</v>
      </c>
      <c r="AW748" s="60">
        <v>4360.1141669999997</v>
      </c>
      <c r="AX748" s="60">
        <v>4360.1141669999997</v>
      </c>
      <c r="AY748" s="61">
        <f t="shared" si="298"/>
        <v>26160.685001999998</v>
      </c>
      <c r="AZ748" s="56">
        <f t="shared" si="292"/>
        <v>52321.370003999997</v>
      </c>
      <c r="BA748" s="62">
        <f t="shared" si="314"/>
        <v>1308034.49</v>
      </c>
      <c r="BB748" s="62">
        <f t="shared" si="299"/>
        <v>156964.11000766652</v>
      </c>
      <c r="BC748" s="62">
        <f t="shared" si="315"/>
        <v>1151070.3799923335</v>
      </c>
      <c r="BD748" s="63">
        <v>1177231.1399999983</v>
      </c>
      <c r="BE748" s="57">
        <f t="shared" si="313"/>
        <v>25899.085079999964</v>
      </c>
      <c r="BF748" s="35" t="str">
        <f>VLOOKUP(A:A,'2023-2027'!A:G,1,+FALSE)</f>
        <v>Линия электропередач КЛ 6 кВ</v>
      </c>
      <c r="BG748" s="7" t="b">
        <f t="shared" si="305"/>
        <v>1</v>
      </c>
      <c r="BH748" s="35">
        <f>VLOOKUP(A:A,'2023-2027'!A:AT,43,+FALSE)</f>
        <v>4360.114966666667</v>
      </c>
    </row>
    <row r="749" spans="1:60" ht="24" hidden="1" customHeight="1" outlineLevel="1" x14ac:dyDescent="0.2">
      <c r="A749" s="59" t="s">
        <v>1746</v>
      </c>
      <c r="B749" s="59" t="s">
        <v>44</v>
      </c>
      <c r="C749" s="59" t="s">
        <v>82</v>
      </c>
      <c r="D749" s="65" t="s">
        <v>1747</v>
      </c>
      <c r="E749" s="59" t="s">
        <v>1748</v>
      </c>
      <c r="F749" s="60">
        <v>209393.9</v>
      </c>
      <c r="G749" s="60">
        <v>160496.49</v>
      </c>
      <c r="H749" s="60">
        <v>48897.41</v>
      </c>
      <c r="I749" s="59"/>
      <c r="J749" s="60">
        <v>10299.120000000001</v>
      </c>
      <c r="K749" s="59"/>
      <c r="L749" s="59"/>
      <c r="M749" s="60">
        <v>209393.9</v>
      </c>
      <c r="N749" s="60">
        <v>170795.61</v>
      </c>
      <c r="O749" s="60">
        <v>38598.29</v>
      </c>
      <c r="P749" s="55">
        <v>43747.85</v>
      </c>
      <c r="Q749" s="55">
        <f t="shared" si="310"/>
        <v>962.45270000000005</v>
      </c>
      <c r="R749" s="61">
        <f t="shared" si="294"/>
        <v>858.2600000000001</v>
      </c>
      <c r="S749" s="60">
        <v>858.26</v>
      </c>
      <c r="T749" s="60">
        <v>858.26</v>
      </c>
      <c r="U749" s="60">
        <v>858.26</v>
      </c>
      <c r="V749" s="60">
        <v>858.26</v>
      </c>
      <c r="W749" s="60">
        <v>858.26</v>
      </c>
      <c r="X749" s="61">
        <f t="shared" si="295"/>
        <v>5149.5600000000004</v>
      </c>
      <c r="Y749" s="60">
        <v>858.26</v>
      </c>
      <c r="Z749" s="60">
        <v>858.26</v>
      </c>
      <c r="AA749" s="60">
        <v>858.26</v>
      </c>
      <c r="AB749" s="60">
        <v>858.26</v>
      </c>
      <c r="AC749" s="60">
        <v>858.26</v>
      </c>
      <c r="AD749" s="60">
        <v>858.26</v>
      </c>
      <c r="AE749" s="61">
        <f t="shared" si="296"/>
        <v>5149.5600000000004</v>
      </c>
      <c r="AF749" s="62">
        <f t="shared" si="307"/>
        <v>209393.9</v>
      </c>
      <c r="AG749" s="62">
        <f t="shared" si="306"/>
        <v>181094.7300000001</v>
      </c>
      <c r="AH749" s="62">
        <f t="shared" si="301"/>
        <v>28299.169999999896</v>
      </c>
      <c r="AI749" s="63">
        <v>33448.729999999989</v>
      </c>
      <c r="AJ749" s="63">
        <f t="shared" si="311"/>
        <v>735.87205999999981</v>
      </c>
      <c r="AK749" s="72">
        <f t="shared" si="312"/>
        <v>735.87205999999981</v>
      </c>
      <c r="AL749" s="60">
        <v>858.26</v>
      </c>
      <c r="AM749" s="60">
        <v>858.26</v>
      </c>
      <c r="AN749" s="60">
        <v>858.26</v>
      </c>
      <c r="AO749" s="60">
        <v>858.26</v>
      </c>
      <c r="AP749" s="60">
        <v>858.26</v>
      </c>
      <c r="AQ749" s="60">
        <v>858.26</v>
      </c>
      <c r="AR749" s="61">
        <f t="shared" si="297"/>
        <v>5149.5600000000004</v>
      </c>
      <c r="AS749" s="60">
        <v>858.26</v>
      </c>
      <c r="AT749" s="60">
        <v>858.26</v>
      </c>
      <c r="AU749" s="60">
        <v>858.26</v>
      </c>
      <c r="AV749" s="60">
        <v>858.26</v>
      </c>
      <c r="AW749" s="60">
        <v>858.26</v>
      </c>
      <c r="AX749" s="60">
        <v>858.26</v>
      </c>
      <c r="AY749" s="61">
        <f t="shared" si="298"/>
        <v>5149.5600000000004</v>
      </c>
      <c r="AZ749" s="56">
        <f t="shared" si="292"/>
        <v>10299.120000000001</v>
      </c>
      <c r="BA749" s="62">
        <f t="shared" si="314"/>
        <v>209393.9</v>
      </c>
      <c r="BB749" s="62">
        <f t="shared" si="299"/>
        <v>191393.85000000021</v>
      </c>
      <c r="BC749" s="62">
        <f t="shared" si="315"/>
        <v>18000.049999999785</v>
      </c>
      <c r="BD749" s="63">
        <v>23149.609999999961</v>
      </c>
      <c r="BE749" s="57">
        <f t="shared" si="313"/>
        <v>509.29141999999916</v>
      </c>
      <c r="BF749" s="35" t="e">
        <f>VLOOKUP(A:A,'2023-2027'!A:G,1,+FALSE)</f>
        <v>#N/A</v>
      </c>
      <c r="BG749" s="7" t="e">
        <f t="shared" si="305"/>
        <v>#N/A</v>
      </c>
      <c r="BH749" s="35"/>
    </row>
    <row r="750" spans="1:60" ht="24" hidden="1" customHeight="1" outlineLevel="1" x14ac:dyDescent="0.2">
      <c r="A750" s="59" t="s">
        <v>1749</v>
      </c>
      <c r="B750" s="59" t="s">
        <v>44</v>
      </c>
      <c r="C750" s="59" t="s">
        <v>82</v>
      </c>
      <c r="D750" s="65" t="s">
        <v>1750</v>
      </c>
      <c r="E750" s="59" t="s">
        <v>766</v>
      </c>
      <c r="F750" s="60">
        <v>26704.58</v>
      </c>
      <c r="G750" s="60">
        <v>10344.879999999999</v>
      </c>
      <c r="H750" s="60">
        <v>16359.7</v>
      </c>
      <c r="I750" s="59"/>
      <c r="J750" s="68">
        <v>681.96</v>
      </c>
      <c r="K750" s="59"/>
      <c r="L750" s="59"/>
      <c r="M750" s="60">
        <v>26704.58</v>
      </c>
      <c r="N750" s="60">
        <v>11026.84</v>
      </c>
      <c r="O750" s="60">
        <v>15677.74</v>
      </c>
      <c r="P750" s="55">
        <v>16018.72</v>
      </c>
      <c r="Q750" s="55">
        <f t="shared" si="310"/>
        <v>352.41184000000004</v>
      </c>
      <c r="R750" s="61">
        <f t="shared" si="294"/>
        <v>56.830000000000005</v>
      </c>
      <c r="S750" s="60">
        <v>56.83</v>
      </c>
      <c r="T750" s="60">
        <v>56.83</v>
      </c>
      <c r="U750" s="60">
        <v>56.83</v>
      </c>
      <c r="V750" s="60">
        <v>56.83</v>
      </c>
      <c r="W750" s="60">
        <v>56.83</v>
      </c>
      <c r="X750" s="61">
        <f t="shared" si="295"/>
        <v>340.97999999999996</v>
      </c>
      <c r="Y750" s="60">
        <v>56.83</v>
      </c>
      <c r="Z750" s="60">
        <v>56.83</v>
      </c>
      <c r="AA750" s="60">
        <v>56.83</v>
      </c>
      <c r="AB750" s="60">
        <v>56.83</v>
      </c>
      <c r="AC750" s="60">
        <v>56.83</v>
      </c>
      <c r="AD750" s="60">
        <v>56.83</v>
      </c>
      <c r="AE750" s="61">
        <f t="shared" si="296"/>
        <v>340.97999999999996</v>
      </c>
      <c r="AF750" s="62">
        <f t="shared" si="307"/>
        <v>26704.58</v>
      </c>
      <c r="AG750" s="62">
        <f t="shared" si="306"/>
        <v>11708.8</v>
      </c>
      <c r="AH750" s="62">
        <f t="shared" si="301"/>
        <v>14995.780000000002</v>
      </c>
      <c r="AI750" s="63">
        <v>15336.759999999998</v>
      </c>
      <c r="AJ750" s="63">
        <f t="shared" si="311"/>
        <v>337.40872000000002</v>
      </c>
      <c r="AK750" s="72">
        <f t="shared" si="312"/>
        <v>337.40872000000002</v>
      </c>
      <c r="AL750" s="60">
        <v>56.83</v>
      </c>
      <c r="AM750" s="60">
        <v>56.83</v>
      </c>
      <c r="AN750" s="60">
        <v>56.83</v>
      </c>
      <c r="AO750" s="60">
        <v>56.83</v>
      </c>
      <c r="AP750" s="60">
        <v>56.83</v>
      </c>
      <c r="AQ750" s="60">
        <v>56.83</v>
      </c>
      <c r="AR750" s="61">
        <f t="shared" si="297"/>
        <v>340.97999999999996</v>
      </c>
      <c r="AS750" s="60">
        <v>56.83</v>
      </c>
      <c r="AT750" s="60">
        <v>56.83</v>
      </c>
      <c r="AU750" s="60">
        <v>56.83</v>
      </c>
      <c r="AV750" s="60">
        <v>56.83</v>
      </c>
      <c r="AW750" s="60">
        <v>56.83</v>
      </c>
      <c r="AX750" s="60">
        <v>56.83</v>
      </c>
      <c r="AY750" s="61">
        <f t="shared" si="298"/>
        <v>340.97999999999996</v>
      </c>
      <c r="AZ750" s="56">
        <f t="shared" si="292"/>
        <v>681.95999999999992</v>
      </c>
      <c r="BA750" s="62">
        <f t="shared" si="314"/>
        <v>26704.58</v>
      </c>
      <c r="BB750" s="62">
        <f t="shared" si="299"/>
        <v>12390.759999999998</v>
      </c>
      <c r="BC750" s="62">
        <f t="shared" si="315"/>
        <v>14313.820000000003</v>
      </c>
      <c r="BD750" s="63">
        <v>14654.800000000001</v>
      </c>
      <c r="BE750" s="57">
        <f t="shared" si="313"/>
        <v>322.40560000000005</v>
      </c>
      <c r="BF750" s="35" t="e">
        <f>VLOOKUP(A:A,'2023-2027'!A:G,1,+FALSE)</f>
        <v>#N/A</v>
      </c>
      <c r="BG750" s="7" t="e">
        <f t="shared" si="305"/>
        <v>#N/A</v>
      </c>
      <c r="BH750" s="35"/>
    </row>
    <row r="751" spans="1:60" ht="24" hidden="1" customHeight="1" outlineLevel="1" x14ac:dyDescent="0.2">
      <c r="A751" s="59" t="s">
        <v>1751</v>
      </c>
      <c r="B751" s="59" t="s">
        <v>44</v>
      </c>
      <c r="C751" s="59" t="s">
        <v>82</v>
      </c>
      <c r="D751" s="66" t="s">
        <v>1752</v>
      </c>
      <c r="E751" s="59" t="s">
        <v>1519</v>
      </c>
      <c r="F751" s="60">
        <v>103682.93</v>
      </c>
      <c r="G751" s="60">
        <v>77210</v>
      </c>
      <c r="H751" s="60">
        <v>26472.93</v>
      </c>
      <c r="I751" s="59"/>
      <c r="J751" s="60">
        <v>5294.61</v>
      </c>
      <c r="K751" s="59"/>
      <c r="L751" s="59"/>
      <c r="M751" s="60">
        <v>103682.93</v>
      </c>
      <c r="N751" s="60">
        <v>82504.61</v>
      </c>
      <c r="O751" s="60">
        <v>21178.32</v>
      </c>
      <c r="P751" s="55">
        <v>23825.62</v>
      </c>
      <c r="Q751" s="55">
        <f t="shared" si="310"/>
        <v>524.16363999999999</v>
      </c>
      <c r="R751" s="61">
        <f t="shared" si="294"/>
        <v>441.21749999999997</v>
      </c>
      <c r="S751" s="60">
        <v>441.21749999999997</v>
      </c>
      <c r="T751" s="60">
        <v>441.21749999999997</v>
      </c>
      <c r="U751" s="60">
        <v>441.21749999999997</v>
      </c>
      <c r="V751" s="60">
        <v>441.21749999999997</v>
      </c>
      <c r="W751" s="60">
        <v>441.21749999999997</v>
      </c>
      <c r="X751" s="61">
        <f t="shared" si="295"/>
        <v>2647.3049999999994</v>
      </c>
      <c r="Y751" s="60">
        <v>441.21749999999997</v>
      </c>
      <c r="Z751" s="60">
        <v>441.21749999999997</v>
      </c>
      <c r="AA751" s="60">
        <v>441.21749999999997</v>
      </c>
      <c r="AB751" s="60">
        <v>441.21749999999997</v>
      </c>
      <c r="AC751" s="60">
        <v>441.21749999999997</v>
      </c>
      <c r="AD751" s="60">
        <v>441.21749999999997</v>
      </c>
      <c r="AE751" s="61">
        <f t="shared" si="296"/>
        <v>2647.3049999999994</v>
      </c>
      <c r="AF751" s="62">
        <f t="shared" si="307"/>
        <v>103682.93</v>
      </c>
      <c r="AG751" s="62">
        <f t="shared" si="306"/>
        <v>87799.219999999987</v>
      </c>
      <c r="AH751" s="62">
        <f t="shared" si="301"/>
        <v>15883.710000000006</v>
      </c>
      <c r="AI751" s="63">
        <v>18530.999999999996</v>
      </c>
      <c r="AJ751" s="63">
        <f t="shared" si="311"/>
        <v>407.68199999999996</v>
      </c>
      <c r="AK751" s="72">
        <f t="shared" si="312"/>
        <v>407.68199999999996</v>
      </c>
      <c r="AL751" s="60">
        <v>441.21749999999997</v>
      </c>
      <c r="AM751" s="60">
        <v>441.21749999999997</v>
      </c>
      <c r="AN751" s="60">
        <v>441.21749999999997</v>
      </c>
      <c r="AO751" s="60">
        <v>441.21749999999997</v>
      </c>
      <c r="AP751" s="60">
        <v>441.21749999999997</v>
      </c>
      <c r="AQ751" s="60">
        <v>441.21749999999997</v>
      </c>
      <c r="AR751" s="61">
        <f t="shared" si="297"/>
        <v>2647.3049999999994</v>
      </c>
      <c r="AS751" s="60">
        <v>441.21749999999997</v>
      </c>
      <c r="AT751" s="60">
        <v>441.21749999999997</v>
      </c>
      <c r="AU751" s="60">
        <v>441.21749999999997</v>
      </c>
      <c r="AV751" s="60">
        <v>441.21749999999997</v>
      </c>
      <c r="AW751" s="60">
        <v>441.21749999999997</v>
      </c>
      <c r="AX751" s="60">
        <v>441.21749999999997</v>
      </c>
      <c r="AY751" s="61">
        <f t="shared" si="298"/>
        <v>2647.3049999999994</v>
      </c>
      <c r="AZ751" s="56">
        <f t="shared" si="292"/>
        <v>5294.6099999999988</v>
      </c>
      <c r="BA751" s="62">
        <f t="shared" si="314"/>
        <v>103682.93</v>
      </c>
      <c r="BB751" s="62">
        <f t="shared" si="299"/>
        <v>93093.829999999973</v>
      </c>
      <c r="BC751" s="62">
        <f t="shared" si="315"/>
        <v>10589.10000000002</v>
      </c>
      <c r="BD751" s="63">
        <v>13236.359999999984</v>
      </c>
      <c r="BE751" s="57">
        <f t="shared" si="313"/>
        <v>291.19991999999968</v>
      </c>
      <c r="BF751" s="35" t="str">
        <f>VLOOKUP(A:A,'2023-2027'!A:G,1,+FALSE)</f>
        <v>ЛЭП-6кВ "ЗРУ 6кВ-выход ф.Факел-2" 2007г</v>
      </c>
      <c r="BG751" s="7" t="b">
        <f t="shared" si="305"/>
        <v>1</v>
      </c>
      <c r="BH751" s="35">
        <f>VLOOKUP(A:A,'2023-2027'!A:AT,43,+FALSE)</f>
        <v>576.0200000000001</v>
      </c>
    </row>
    <row r="752" spans="1:60" ht="24" hidden="1" customHeight="1" outlineLevel="1" x14ac:dyDescent="0.2">
      <c r="A752" s="59" t="s">
        <v>1753</v>
      </c>
      <c r="B752" s="59" t="s">
        <v>44</v>
      </c>
      <c r="C752" s="59" t="s">
        <v>82</v>
      </c>
      <c r="D752" s="66" t="s">
        <v>1754</v>
      </c>
      <c r="E752" s="59" t="s">
        <v>1272</v>
      </c>
      <c r="F752" s="60">
        <v>174104.86</v>
      </c>
      <c r="G752" s="60">
        <v>129270.79</v>
      </c>
      <c r="H752" s="60">
        <v>44834.07</v>
      </c>
      <c r="I752" s="59"/>
      <c r="J752" s="60">
        <v>8966.7900000000009</v>
      </c>
      <c r="K752" s="59"/>
      <c r="L752" s="59"/>
      <c r="M752" s="60">
        <v>174104.86</v>
      </c>
      <c r="N752" s="60">
        <v>138237.57999999999</v>
      </c>
      <c r="O752" s="60">
        <v>35867.279999999999</v>
      </c>
      <c r="P752" s="55">
        <v>40350.68</v>
      </c>
      <c r="Q752" s="55">
        <f t="shared" si="310"/>
        <v>887.71496000000013</v>
      </c>
      <c r="R752" s="61">
        <f t="shared" si="294"/>
        <v>747.23250000000007</v>
      </c>
      <c r="S752" s="60">
        <v>747.23249999999996</v>
      </c>
      <c r="T752" s="60">
        <v>747.23249999999996</v>
      </c>
      <c r="U752" s="60">
        <v>747.23249999999996</v>
      </c>
      <c r="V752" s="60">
        <v>747.23249999999996</v>
      </c>
      <c r="W752" s="60">
        <v>747.23249999999996</v>
      </c>
      <c r="X752" s="61">
        <f t="shared" si="295"/>
        <v>4483.3950000000004</v>
      </c>
      <c r="Y752" s="60">
        <v>747.23249999999996</v>
      </c>
      <c r="Z752" s="60">
        <v>747.23249999999996</v>
      </c>
      <c r="AA752" s="60">
        <v>747.23249999999996</v>
      </c>
      <c r="AB752" s="60">
        <v>747.23249999999996</v>
      </c>
      <c r="AC752" s="60">
        <v>747.23249999999996</v>
      </c>
      <c r="AD752" s="60">
        <v>747.23249999999996</v>
      </c>
      <c r="AE752" s="61">
        <f t="shared" si="296"/>
        <v>4483.3949999999995</v>
      </c>
      <c r="AF752" s="62">
        <f t="shared" si="307"/>
        <v>174104.86</v>
      </c>
      <c r="AG752" s="62">
        <f t="shared" si="306"/>
        <v>147204.37000000014</v>
      </c>
      <c r="AH752" s="62">
        <f t="shared" si="301"/>
        <v>26900.489999999845</v>
      </c>
      <c r="AI752" s="63">
        <v>31383.89999999998</v>
      </c>
      <c r="AJ752" s="63">
        <f t="shared" si="311"/>
        <v>690.44579999999962</v>
      </c>
      <c r="AK752" s="72">
        <f t="shared" si="312"/>
        <v>690.44579999999962</v>
      </c>
      <c r="AL752" s="60">
        <v>747.23249999999996</v>
      </c>
      <c r="AM752" s="60">
        <v>747.23249999999996</v>
      </c>
      <c r="AN752" s="60">
        <v>747.23249999999996</v>
      </c>
      <c r="AO752" s="60">
        <v>747.23249999999996</v>
      </c>
      <c r="AP752" s="60">
        <v>747.23249999999996</v>
      </c>
      <c r="AQ752" s="60">
        <v>747.23249999999996</v>
      </c>
      <c r="AR752" s="61">
        <f t="shared" si="297"/>
        <v>4483.3949999999995</v>
      </c>
      <c r="AS752" s="60">
        <v>747.23249999999996</v>
      </c>
      <c r="AT752" s="60">
        <v>747.23249999999996</v>
      </c>
      <c r="AU752" s="60">
        <v>747.23249999999996</v>
      </c>
      <c r="AV752" s="60">
        <v>747.23249999999996</v>
      </c>
      <c r="AW752" s="60">
        <v>747.23249999999996</v>
      </c>
      <c r="AX752" s="60">
        <v>747.23249999999996</v>
      </c>
      <c r="AY752" s="61">
        <f t="shared" si="298"/>
        <v>4483.3949999999995</v>
      </c>
      <c r="AZ752" s="56">
        <f t="shared" si="292"/>
        <v>8966.7899999999991</v>
      </c>
      <c r="BA752" s="62">
        <f t="shared" si="314"/>
        <v>174104.86</v>
      </c>
      <c r="BB752" s="62">
        <f t="shared" si="299"/>
        <v>156171.16000000029</v>
      </c>
      <c r="BC752" s="62">
        <f t="shared" si="315"/>
        <v>17933.699999999691</v>
      </c>
      <c r="BD752" s="63">
        <v>22417.139999999941</v>
      </c>
      <c r="BE752" s="57">
        <f t="shared" si="313"/>
        <v>493.17707999999874</v>
      </c>
      <c r="BF752" s="35" t="str">
        <f>VLOOKUP(A:A,'2023-2027'!A:G,1,+FALSE)</f>
        <v>ЛЭП-6кВ ЗРУ6кВ-выход ф. Искателей-1</v>
      </c>
      <c r="BG752" s="7" t="b">
        <f t="shared" si="305"/>
        <v>1</v>
      </c>
      <c r="BH752" s="35">
        <f>VLOOKUP(A:A,'2023-2027'!A:AT,43,+FALSE)</f>
        <v>0</v>
      </c>
    </row>
    <row r="753" spans="1:60" ht="12" hidden="1" customHeight="1" outlineLevel="1" x14ac:dyDescent="0.2">
      <c r="A753" s="59" t="s">
        <v>1755</v>
      </c>
      <c r="B753" s="59" t="s">
        <v>44</v>
      </c>
      <c r="C753" s="59" t="s">
        <v>82</v>
      </c>
      <c r="D753" s="66" t="s">
        <v>1756</v>
      </c>
      <c r="E753" s="59" t="s">
        <v>1439</v>
      </c>
      <c r="F753" s="60">
        <v>56375.26</v>
      </c>
      <c r="G753" s="60">
        <v>33743.300000000003</v>
      </c>
      <c r="H753" s="60">
        <v>22631.96</v>
      </c>
      <c r="I753" s="59"/>
      <c r="J753" s="60">
        <v>3520.97</v>
      </c>
      <c r="K753" s="59"/>
      <c r="L753" s="59"/>
      <c r="M753" s="60">
        <v>56375.26</v>
      </c>
      <c r="N753" s="60">
        <v>37264.269999999997</v>
      </c>
      <c r="O753" s="60">
        <v>19110.990000000002</v>
      </c>
      <c r="P753" s="55">
        <v>20871.48</v>
      </c>
      <c r="Q753" s="55">
        <f t="shared" si="310"/>
        <v>459.17256000000003</v>
      </c>
      <c r="R753" s="61">
        <f t="shared" si="294"/>
        <v>293.41416666666663</v>
      </c>
      <c r="S753" s="60">
        <v>293.41416670000001</v>
      </c>
      <c r="T753" s="60">
        <v>293.41416670000001</v>
      </c>
      <c r="U753" s="60">
        <v>293.41416670000001</v>
      </c>
      <c r="V753" s="60">
        <v>293.41416670000001</v>
      </c>
      <c r="W753" s="60">
        <v>293.41416670000001</v>
      </c>
      <c r="X753" s="61">
        <f t="shared" si="295"/>
        <v>1760.4850001666664</v>
      </c>
      <c r="Y753" s="60">
        <v>293.41416670000001</v>
      </c>
      <c r="Z753" s="60">
        <v>293.41416670000001</v>
      </c>
      <c r="AA753" s="60">
        <v>293.41416670000001</v>
      </c>
      <c r="AB753" s="60">
        <v>293.41416670000001</v>
      </c>
      <c r="AC753" s="60">
        <v>293.41416670000001</v>
      </c>
      <c r="AD753" s="60">
        <v>293.41416670000001</v>
      </c>
      <c r="AE753" s="61">
        <f t="shared" si="296"/>
        <v>1760.4850001999998</v>
      </c>
      <c r="AF753" s="62">
        <f t="shared" si="307"/>
        <v>56375.26</v>
      </c>
      <c r="AG753" s="62">
        <f t="shared" si="306"/>
        <v>40785.24000036667</v>
      </c>
      <c r="AH753" s="62">
        <f t="shared" si="301"/>
        <v>15590.019999633332</v>
      </c>
      <c r="AI753" s="63">
        <v>17350.530000000002</v>
      </c>
      <c r="AJ753" s="63">
        <f t="shared" si="311"/>
        <v>381.71166000000011</v>
      </c>
      <c r="AK753" s="72">
        <f t="shared" si="312"/>
        <v>381.71166000000011</v>
      </c>
      <c r="AL753" s="60">
        <v>293.41416670000001</v>
      </c>
      <c r="AM753" s="60">
        <v>293.41416670000001</v>
      </c>
      <c r="AN753" s="60">
        <v>293.41416670000001</v>
      </c>
      <c r="AO753" s="60">
        <v>293.41416670000001</v>
      </c>
      <c r="AP753" s="60">
        <v>293.41416670000001</v>
      </c>
      <c r="AQ753" s="60">
        <v>293.41416670000001</v>
      </c>
      <c r="AR753" s="61">
        <f t="shared" si="297"/>
        <v>1760.4850001999998</v>
      </c>
      <c r="AS753" s="60">
        <v>293.41416670000001</v>
      </c>
      <c r="AT753" s="60">
        <v>293.41416670000001</v>
      </c>
      <c r="AU753" s="60">
        <v>293.41416670000001</v>
      </c>
      <c r="AV753" s="60">
        <v>293.41416670000001</v>
      </c>
      <c r="AW753" s="60">
        <v>293.41416670000001</v>
      </c>
      <c r="AX753" s="60">
        <v>293.41416670000001</v>
      </c>
      <c r="AY753" s="61">
        <f t="shared" si="298"/>
        <v>1760.4850001999998</v>
      </c>
      <c r="AZ753" s="56">
        <f t="shared" si="292"/>
        <v>3520.9700003999997</v>
      </c>
      <c r="BA753" s="62">
        <f t="shared" si="314"/>
        <v>56375.26</v>
      </c>
      <c r="BB753" s="62">
        <f t="shared" si="299"/>
        <v>44306.210000766674</v>
      </c>
      <c r="BC753" s="62">
        <f t="shared" si="315"/>
        <v>12069.049999233328</v>
      </c>
      <c r="BD753" s="63">
        <v>13829.610000000002</v>
      </c>
      <c r="BE753" s="57">
        <f t="shared" si="313"/>
        <v>304.25142000000011</v>
      </c>
      <c r="BF753" s="35" t="str">
        <f>VLOOKUP(A:A,'2023-2027'!A:G,1,+FALSE)</f>
        <v>ЛЭП-6кВ по ул. Авиаторов</v>
      </c>
      <c r="BG753" s="7" t="b">
        <f t="shared" si="305"/>
        <v>1</v>
      </c>
      <c r="BH753" s="35">
        <f>VLOOKUP(A:A,'2023-2027'!A:AT,43,+FALSE)</f>
        <v>318.65999999999997</v>
      </c>
    </row>
    <row r="754" spans="1:60" ht="48" hidden="1" customHeight="1" outlineLevel="1" x14ac:dyDescent="0.2">
      <c r="A754" s="59" t="s">
        <v>1757</v>
      </c>
      <c r="B754" s="59" t="s">
        <v>44</v>
      </c>
      <c r="C754" s="59" t="s">
        <v>82</v>
      </c>
      <c r="D754" s="66" t="s">
        <v>1758</v>
      </c>
      <c r="E754" s="59" t="s">
        <v>1759</v>
      </c>
      <c r="F754" s="60">
        <v>1064000</v>
      </c>
      <c r="G754" s="59"/>
      <c r="H754" s="60">
        <v>1064000</v>
      </c>
      <c r="I754" s="59"/>
      <c r="J754" s="60">
        <v>30399.96</v>
      </c>
      <c r="K754" s="59"/>
      <c r="L754" s="59"/>
      <c r="M754" s="60">
        <v>1064000</v>
      </c>
      <c r="N754" s="60">
        <v>30399.96</v>
      </c>
      <c r="O754" s="60">
        <v>1033600.04</v>
      </c>
      <c r="P754" s="55">
        <v>1048800.02</v>
      </c>
      <c r="Q754" s="55">
        <f t="shared" si="310"/>
        <v>23073.600440000002</v>
      </c>
      <c r="R754" s="61">
        <f t="shared" si="294"/>
        <v>2533.33</v>
      </c>
      <c r="S754" s="60">
        <v>2533.33</v>
      </c>
      <c r="T754" s="60">
        <v>2533.33</v>
      </c>
      <c r="U754" s="60">
        <v>2533.33</v>
      </c>
      <c r="V754" s="60">
        <v>2533.33</v>
      </c>
      <c r="W754" s="60">
        <v>2533.33</v>
      </c>
      <c r="X754" s="61">
        <f t="shared" si="295"/>
        <v>15199.98</v>
      </c>
      <c r="Y754" s="60">
        <v>2533.33</v>
      </c>
      <c r="Z754" s="60">
        <v>2533.33</v>
      </c>
      <c r="AA754" s="60">
        <v>2533.33</v>
      </c>
      <c r="AB754" s="60">
        <v>2533.33</v>
      </c>
      <c r="AC754" s="60">
        <v>2533.33</v>
      </c>
      <c r="AD754" s="60">
        <v>2533.33</v>
      </c>
      <c r="AE754" s="61">
        <f t="shared" si="296"/>
        <v>15199.98</v>
      </c>
      <c r="AF754" s="62">
        <f t="shared" si="307"/>
        <v>1064000</v>
      </c>
      <c r="AG754" s="62">
        <f t="shared" si="306"/>
        <v>60799.92000000002</v>
      </c>
      <c r="AH754" s="62">
        <f t="shared" si="301"/>
        <v>1003200.08</v>
      </c>
      <c r="AI754" s="63">
        <v>1018400.0599999995</v>
      </c>
      <c r="AJ754" s="63">
        <f t="shared" si="311"/>
        <v>22404.801319999991</v>
      </c>
      <c r="AK754" s="72">
        <f t="shared" si="312"/>
        <v>22404.801319999991</v>
      </c>
      <c r="AL754" s="60">
        <v>2533.33</v>
      </c>
      <c r="AM754" s="60">
        <v>2533.33</v>
      </c>
      <c r="AN754" s="60">
        <v>2533.33</v>
      </c>
      <c r="AO754" s="60">
        <v>2533.33</v>
      </c>
      <c r="AP754" s="60">
        <v>2533.33</v>
      </c>
      <c r="AQ754" s="60">
        <v>2533.33</v>
      </c>
      <c r="AR754" s="61">
        <f t="shared" si="297"/>
        <v>15199.98</v>
      </c>
      <c r="AS754" s="60">
        <v>2533.33</v>
      </c>
      <c r="AT754" s="60">
        <v>2533.33</v>
      </c>
      <c r="AU754" s="60">
        <v>2533.33</v>
      </c>
      <c r="AV754" s="60">
        <v>2533.33</v>
      </c>
      <c r="AW754" s="60">
        <v>2533.33</v>
      </c>
      <c r="AX754" s="60">
        <v>2533.33</v>
      </c>
      <c r="AY754" s="61">
        <f t="shared" si="298"/>
        <v>15199.98</v>
      </c>
      <c r="AZ754" s="56">
        <f t="shared" si="292"/>
        <v>30399.96</v>
      </c>
      <c r="BA754" s="62">
        <f t="shared" si="314"/>
        <v>1064000</v>
      </c>
      <c r="BB754" s="62">
        <f t="shared" si="299"/>
        <v>91199.880000000034</v>
      </c>
      <c r="BC754" s="62">
        <f t="shared" si="315"/>
        <v>972800.12</v>
      </c>
      <c r="BD754" s="63">
        <v>988000.09999999858</v>
      </c>
      <c r="BE754" s="57">
        <f t="shared" si="313"/>
        <v>21736.00219999997</v>
      </c>
      <c r="BF754" s="35" t="str">
        <f>VLOOKUP(A:A,'2023-2027'!A:G,1,+FALSE)</f>
        <v>Многоквартирный жилой дом по ул. Пионерской г.Нарьян-Мар. Наружные сети электроснабжения</v>
      </c>
      <c r="BG754" s="7" t="b">
        <f t="shared" si="305"/>
        <v>1</v>
      </c>
      <c r="BH754" s="35">
        <f>VLOOKUP(A:A,'2023-2027'!A:AT,43,+FALSE)</f>
        <v>2533.3333333333335</v>
      </c>
    </row>
    <row r="755" spans="1:60" ht="24" hidden="1" customHeight="1" outlineLevel="1" x14ac:dyDescent="0.2">
      <c r="A755" s="59" t="s">
        <v>1760</v>
      </c>
      <c r="B755" s="59" t="s">
        <v>44</v>
      </c>
      <c r="C755" s="59" t="s">
        <v>82</v>
      </c>
      <c r="D755" s="66" t="s">
        <v>1761</v>
      </c>
      <c r="E755" s="59" t="s">
        <v>1100</v>
      </c>
      <c r="F755" s="60">
        <v>2085041.06</v>
      </c>
      <c r="G755" s="60">
        <v>1158285.28</v>
      </c>
      <c r="H755" s="60">
        <v>926755.78</v>
      </c>
      <c r="I755" s="59"/>
      <c r="J755" s="60">
        <v>103727.03999999999</v>
      </c>
      <c r="K755" s="59"/>
      <c r="L755" s="59"/>
      <c r="M755" s="60">
        <v>2085041.06</v>
      </c>
      <c r="N755" s="60">
        <v>1262012.32</v>
      </c>
      <c r="O755" s="60">
        <v>823028.74</v>
      </c>
      <c r="P755" s="55">
        <v>874892.26</v>
      </c>
      <c r="Q755" s="55">
        <f t="shared" si="310"/>
        <v>19247.629720000001</v>
      </c>
      <c r="R755" s="61">
        <f t="shared" si="294"/>
        <v>8643.92</v>
      </c>
      <c r="S755" s="60">
        <v>8643.92</v>
      </c>
      <c r="T755" s="60">
        <v>8643.92</v>
      </c>
      <c r="U755" s="60">
        <v>8643.92</v>
      </c>
      <c r="V755" s="60">
        <v>8643.92</v>
      </c>
      <c r="W755" s="60">
        <v>8643.92</v>
      </c>
      <c r="X755" s="61">
        <f t="shared" si="295"/>
        <v>51863.519999999997</v>
      </c>
      <c r="Y755" s="60">
        <v>8643.92</v>
      </c>
      <c r="Z755" s="60">
        <v>8643.92</v>
      </c>
      <c r="AA755" s="60">
        <v>8643.92</v>
      </c>
      <c r="AB755" s="60">
        <v>8643.92</v>
      </c>
      <c r="AC755" s="60">
        <v>8643.92</v>
      </c>
      <c r="AD755" s="60">
        <v>8643.92</v>
      </c>
      <c r="AE755" s="61">
        <f t="shared" si="296"/>
        <v>51863.519999999997</v>
      </c>
      <c r="AF755" s="62">
        <f t="shared" si="307"/>
        <v>2085041.06</v>
      </c>
      <c r="AG755" s="62">
        <f t="shared" si="306"/>
        <v>1365739.3599999992</v>
      </c>
      <c r="AH755" s="62">
        <f t="shared" si="301"/>
        <v>719301.70000000088</v>
      </c>
      <c r="AI755" s="63">
        <v>771165.21999999986</v>
      </c>
      <c r="AJ755" s="63">
        <f t="shared" si="311"/>
        <v>16965.634839999999</v>
      </c>
      <c r="AK755" s="72">
        <f t="shared" si="312"/>
        <v>16965.634839999999</v>
      </c>
      <c r="AL755" s="60">
        <v>8643.92</v>
      </c>
      <c r="AM755" s="60">
        <v>8643.92</v>
      </c>
      <c r="AN755" s="60">
        <v>8643.92</v>
      </c>
      <c r="AO755" s="60">
        <v>8643.92</v>
      </c>
      <c r="AP755" s="60">
        <v>8643.92</v>
      </c>
      <c r="AQ755" s="60">
        <v>8643.92</v>
      </c>
      <c r="AR755" s="61">
        <f t="shared" si="297"/>
        <v>51863.519999999997</v>
      </c>
      <c r="AS755" s="60">
        <v>8643.92</v>
      </c>
      <c r="AT755" s="60">
        <v>8643.92</v>
      </c>
      <c r="AU755" s="60">
        <v>8643.92</v>
      </c>
      <c r="AV755" s="60">
        <v>8643.92</v>
      </c>
      <c r="AW755" s="60">
        <v>8643.92</v>
      </c>
      <c r="AX755" s="60">
        <v>8643.92</v>
      </c>
      <c r="AY755" s="61">
        <f t="shared" si="298"/>
        <v>51863.519999999997</v>
      </c>
      <c r="AZ755" s="56">
        <f t="shared" si="292"/>
        <v>103727.03999999999</v>
      </c>
      <c r="BA755" s="62">
        <f t="shared" si="314"/>
        <v>2085041.06</v>
      </c>
      <c r="BB755" s="62">
        <f t="shared" si="299"/>
        <v>1469466.3999999983</v>
      </c>
      <c r="BC755" s="62">
        <f t="shared" si="315"/>
        <v>615574.66000000178</v>
      </c>
      <c r="BD755" s="63">
        <v>667438.17999999912</v>
      </c>
      <c r="BE755" s="57">
        <f t="shared" si="313"/>
        <v>14683.639959999982</v>
      </c>
      <c r="BF755" s="35" t="str">
        <f>VLOOKUP(A:A,'2023-2027'!A:G,1,+FALSE)</f>
        <v>Модуль УВН КТПГС-6кВ (ЗРУ-6кВ)</v>
      </c>
      <c r="BG755" s="7" t="b">
        <f t="shared" si="305"/>
        <v>1</v>
      </c>
      <c r="BH755" s="35">
        <f>VLOOKUP(A:A,'2023-2027'!A:AT,43,+FALSE)</f>
        <v>8360.6999999999989</v>
      </c>
    </row>
    <row r="756" spans="1:60" ht="15" hidden="1" customHeight="1" outlineLevel="1" x14ac:dyDescent="0.2">
      <c r="A756" s="59" t="s">
        <v>1762</v>
      </c>
      <c r="B756" s="59" t="s">
        <v>44</v>
      </c>
      <c r="C756" s="59" t="s">
        <v>82</v>
      </c>
      <c r="D756" s="65" t="s">
        <v>1763</v>
      </c>
      <c r="E756" s="59" t="s">
        <v>226</v>
      </c>
      <c r="F756" s="60">
        <v>24023.77</v>
      </c>
      <c r="G756" s="60">
        <v>24023.77</v>
      </c>
      <c r="H756" s="59"/>
      <c r="I756" s="59"/>
      <c r="J756" s="59"/>
      <c r="K756" s="60">
        <v>24023.77</v>
      </c>
      <c r="L756" s="60">
        <v>24023.77</v>
      </c>
      <c r="M756" s="59"/>
      <c r="N756" s="59"/>
      <c r="O756" s="59"/>
      <c r="P756" s="67"/>
      <c r="Q756" s="67"/>
      <c r="R756" s="61">
        <f t="shared" si="294"/>
        <v>0</v>
      </c>
      <c r="S756" s="60">
        <v>0</v>
      </c>
      <c r="T756" s="60">
        <v>0</v>
      </c>
      <c r="U756" s="60">
        <v>0</v>
      </c>
      <c r="V756" s="60">
        <v>0</v>
      </c>
      <c r="W756" s="60">
        <v>0</v>
      </c>
      <c r="X756" s="61">
        <f t="shared" si="295"/>
        <v>0</v>
      </c>
      <c r="Y756" s="60">
        <v>0</v>
      </c>
      <c r="Z756" s="60">
        <v>0</v>
      </c>
      <c r="AA756" s="60">
        <v>0</v>
      </c>
      <c r="AB756" s="60">
        <v>0</v>
      </c>
      <c r="AC756" s="60">
        <v>0</v>
      </c>
      <c r="AD756" s="60">
        <v>0</v>
      </c>
      <c r="AE756" s="61">
        <f t="shared" si="296"/>
        <v>0</v>
      </c>
      <c r="AF756" s="62">
        <f t="shared" si="307"/>
        <v>0</v>
      </c>
      <c r="AG756" s="62">
        <f t="shared" si="306"/>
        <v>0</v>
      </c>
      <c r="AH756" s="62">
        <f t="shared" si="301"/>
        <v>0</v>
      </c>
      <c r="AI756" s="63"/>
      <c r="AJ756" s="63"/>
      <c r="AK756" s="62"/>
      <c r="AL756" s="60">
        <v>0</v>
      </c>
      <c r="AM756" s="60">
        <v>0</v>
      </c>
      <c r="AN756" s="60">
        <v>0</v>
      </c>
      <c r="AO756" s="60">
        <v>0</v>
      </c>
      <c r="AP756" s="60">
        <v>0</v>
      </c>
      <c r="AQ756" s="60">
        <v>0</v>
      </c>
      <c r="AR756" s="61">
        <f t="shared" si="297"/>
        <v>0</v>
      </c>
      <c r="AS756" s="60">
        <v>0</v>
      </c>
      <c r="AT756" s="60">
        <v>0</v>
      </c>
      <c r="AU756" s="60">
        <v>0</v>
      </c>
      <c r="AV756" s="60">
        <v>0</v>
      </c>
      <c r="AW756" s="60">
        <v>0</v>
      </c>
      <c r="AX756" s="60">
        <v>0</v>
      </c>
      <c r="AY756" s="61">
        <f t="shared" si="298"/>
        <v>0</v>
      </c>
      <c r="AZ756" s="56">
        <f t="shared" si="292"/>
        <v>0</v>
      </c>
      <c r="BA756" s="62">
        <f t="shared" si="314"/>
        <v>0</v>
      </c>
      <c r="BB756" s="62">
        <f t="shared" si="299"/>
        <v>0</v>
      </c>
      <c r="BC756" s="62">
        <f t="shared" si="315"/>
        <v>0</v>
      </c>
      <c r="BD756" s="63"/>
      <c r="BE756" s="57"/>
      <c r="BF756" s="35" t="e">
        <f>VLOOKUP(A:A,'2023-2027'!A:G,1,+FALSE)</f>
        <v>#N/A</v>
      </c>
      <c r="BG756" s="7" t="e">
        <f t="shared" si="305"/>
        <v>#N/A</v>
      </c>
      <c r="BH756" s="35"/>
    </row>
    <row r="757" spans="1:60" ht="12" hidden="1" customHeight="1" outlineLevel="1" x14ac:dyDescent="0.2">
      <c r="A757" s="59" t="s">
        <v>1764</v>
      </c>
      <c r="B757" s="59" t="s">
        <v>44</v>
      </c>
      <c r="C757" s="59" t="s">
        <v>82</v>
      </c>
      <c r="D757" s="65" t="s">
        <v>1765</v>
      </c>
      <c r="E757" s="59" t="s">
        <v>226</v>
      </c>
      <c r="F757" s="60">
        <v>24023.77</v>
      </c>
      <c r="G757" s="60">
        <v>24023.77</v>
      </c>
      <c r="H757" s="59"/>
      <c r="I757" s="59"/>
      <c r="J757" s="59"/>
      <c r="K757" s="60">
        <v>24023.77</v>
      </c>
      <c r="L757" s="60">
        <v>24023.77</v>
      </c>
      <c r="M757" s="59"/>
      <c r="N757" s="59"/>
      <c r="O757" s="59"/>
      <c r="P757" s="67"/>
      <c r="Q757" s="67"/>
      <c r="R757" s="61">
        <f t="shared" si="294"/>
        <v>0</v>
      </c>
      <c r="S757" s="60">
        <v>0</v>
      </c>
      <c r="T757" s="60">
        <v>0</v>
      </c>
      <c r="U757" s="60">
        <v>0</v>
      </c>
      <c r="V757" s="60">
        <v>0</v>
      </c>
      <c r="W757" s="60">
        <v>0</v>
      </c>
      <c r="X757" s="61">
        <f t="shared" si="295"/>
        <v>0</v>
      </c>
      <c r="Y757" s="60">
        <v>0</v>
      </c>
      <c r="Z757" s="60">
        <v>0</v>
      </c>
      <c r="AA757" s="60">
        <v>0</v>
      </c>
      <c r="AB757" s="60">
        <v>0</v>
      </c>
      <c r="AC757" s="60">
        <v>0</v>
      </c>
      <c r="AD757" s="60">
        <v>0</v>
      </c>
      <c r="AE757" s="61">
        <f t="shared" si="296"/>
        <v>0</v>
      </c>
      <c r="AF757" s="62">
        <f t="shared" si="307"/>
        <v>0</v>
      </c>
      <c r="AG757" s="62">
        <f t="shared" si="306"/>
        <v>0</v>
      </c>
      <c r="AH757" s="62">
        <f t="shared" si="301"/>
        <v>0</v>
      </c>
      <c r="AI757" s="63"/>
      <c r="AJ757" s="63"/>
      <c r="AK757" s="62"/>
      <c r="AL757" s="60">
        <v>0</v>
      </c>
      <c r="AM757" s="60">
        <v>0</v>
      </c>
      <c r="AN757" s="60">
        <v>0</v>
      </c>
      <c r="AO757" s="60">
        <v>0</v>
      </c>
      <c r="AP757" s="60">
        <v>0</v>
      </c>
      <c r="AQ757" s="60">
        <v>0</v>
      </c>
      <c r="AR757" s="61">
        <f t="shared" si="297"/>
        <v>0</v>
      </c>
      <c r="AS757" s="60">
        <v>0</v>
      </c>
      <c r="AT757" s="60">
        <v>0</v>
      </c>
      <c r="AU757" s="60">
        <v>0</v>
      </c>
      <c r="AV757" s="60">
        <v>0</v>
      </c>
      <c r="AW757" s="60">
        <v>0</v>
      </c>
      <c r="AX757" s="60">
        <v>0</v>
      </c>
      <c r="AY757" s="61">
        <f t="shared" si="298"/>
        <v>0</v>
      </c>
      <c r="AZ757" s="56">
        <f t="shared" si="292"/>
        <v>0</v>
      </c>
      <c r="BA757" s="62">
        <f t="shared" si="314"/>
        <v>0</v>
      </c>
      <c r="BB757" s="62">
        <f t="shared" si="299"/>
        <v>0</v>
      </c>
      <c r="BC757" s="62">
        <f t="shared" si="315"/>
        <v>0</v>
      </c>
      <c r="BD757" s="63"/>
      <c r="BE757" s="57"/>
      <c r="BF757" s="35" t="e">
        <f>VLOOKUP(A:A,'2023-2027'!A:G,1,+FALSE)</f>
        <v>#N/A</v>
      </c>
      <c r="BG757" s="7" t="e">
        <f t="shared" si="305"/>
        <v>#N/A</v>
      </c>
      <c r="BH757" s="35"/>
    </row>
    <row r="758" spans="1:60" ht="36" hidden="1" customHeight="1" outlineLevel="1" x14ac:dyDescent="0.2">
      <c r="A758" s="59" t="s">
        <v>1766</v>
      </c>
      <c r="B758" s="59" t="s">
        <v>44</v>
      </c>
      <c r="C758" s="59" t="s">
        <v>82</v>
      </c>
      <c r="D758" s="66" t="s">
        <v>1767</v>
      </c>
      <c r="E758" s="59" t="s">
        <v>1496</v>
      </c>
      <c r="F758" s="60">
        <v>2061087.67</v>
      </c>
      <c r="G758" s="60">
        <v>636852.69999999995</v>
      </c>
      <c r="H758" s="60">
        <v>1424234.97</v>
      </c>
      <c r="I758" s="59"/>
      <c r="J758" s="60">
        <v>69474.84</v>
      </c>
      <c r="K758" s="59"/>
      <c r="L758" s="59"/>
      <c r="M758" s="60">
        <v>2061087.67</v>
      </c>
      <c r="N758" s="60">
        <v>706327.54</v>
      </c>
      <c r="O758" s="60">
        <v>1354760.13</v>
      </c>
      <c r="P758" s="55">
        <v>1389497.55</v>
      </c>
      <c r="Q758" s="55">
        <f t="shared" ref="Q758:Q759" si="316">P758*2.2%</f>
        <v>30568.946100000005</v>
      </c>
      <c r="R758" s="61">
        <f t="shared" si="294"/>
        <v>5789.57</v>
      </c>
      <c r="S758" s="60">
        <v>5789.57</v>
      </c>
      <c r="T758" s="60">
        <v>5789.57</v>
      </c>
      <c r="U758" s="60">
        <v>5789.57</v>
      </c>
      <c r="V758" s="60">
        <v>5789.57</v>
      </c>
      <c r="W758" s="60">
        <v>5789.57</v>
      </c>
      <c r="X758" s="61">
        <f t="shared" si="295"/>
        <v>34737.42</v>
      </c>
      <c r="Y758" s="60">
        <v>5789.57</v>
      </c>
      <c r="Z758" s="60">
        <v>5789.57</v>
      </c>
      <c r="AA758" s="60">
        <v>5789.57</v>
      </c>
      <c r="AB758" s="60">
        <v>5789.57</v>
      </c>
      <c r="AC758" s="60">
        <v>5789.57</v>
      </c>
      <c r="AD758" s="60">
        <v>5789.57</v>
      </c>
      <c r="AE758" s="61">
        <f t="shared" si="296"/>
        <v>34737.42</v>
      </c>
      <c r="AF758" s="62">
        <f t="shared" si="307"/>
        <v>2061087.67</v>
      </c>
      <c r="AG758" s="62">
        <f t="shared" si="306"/>
        <v>775802.37999999942</v>
      </c>
      <c r="AH758" s="62">
        <f t="shared" si="301"/>
        <v>1285285.2900000005</v>
      </c>
      <c r="AI758" s="63">
        <v>1320022.7099999995</v>
      </c>
      <c r="AJ758" s="63">
        <f t="shared" si="311"/>
        <v>29040.499619999991</v>
      </c>
      <c r="AK758" s="62"/>
      <c r="AL758" s="60">
        <v>5789.57</v>
      </c>
      <c r="AM758" s="60">
        <v>5789.57</v>
      </c>
      <c r="AN758" s="60">
        <v>5789.57</v>
      </c>
      <c r="AO758" s="60">
        <v>5789.57</v>
      </c>
      <c r="AP758" s="60">
        <v>5789.57</v>
      </c>
      <c r="AQ758" s="60">
        <v>5789.57</v>
      </c>
      <c r="AR758" s="61">
        <f t="shared" si="297"/>
        <v>34737.42</v>
      </c>
      <c r="AS758" s="60">
        <v>5789.57</v>
      </c>
      <c r="AT758" s="60">
        <v>5789.57</v>
      </c>
      <c r="AU758" s="60">
        <v>5789.57</v>
      </c>
      <c r="AV758" s="60">
        <v>5789.57</v>
      </c>
      <c r="AW758" s="60">
        <v>5789.57</v>
      </c>
      <c r="AX758" s="60">
        <v>5789.57</v>
      </c>
      <c r="AY758" s="61">
        <f t="shared" si="298"/>
        <v>34737.42</v>
      </c>
      <c r="AZ758" s="56">
        <f t="shared" si="292"/>
        <v>69474.84</v>
      </c>
      <c r="BA758" s="62">
        <f t="shared" si="314"/>
        <v>2061087.67</v>
      </c>
      <c r="BB758" s="62">
        <f t="shared" si="299"/>
        <v>845277.21999999881</v>
      </c>
      <c r="BC758" s="62">
        <f t="shared" si="315"/>
        <v>1215810.4500000011</v>
      </c>
      <c r="BD758" s="63">
        <v>1250547.8699999985</v>
      </c>
      <c r="BE758" s="57">
        <f t="shared" ref="BE758:BE759" si="317">BD758*2.2%</f>
        <v>27512.053139999971</v>
      </c>
      <c r="BF758" s="35" t="str">
        <f>VLOOKUP(A:A,'2023-2027'!A:G,1,+FALSE)</f>
        <v>Наружные высоковольтные сети эл/снаб. 600 м м-н Старый аэропорт (ТП №90)</v>
      </c>
      <c r="BG758" s="7" t="b">
        <f t="shared" si="305"/>
        <v>1</v>
      </c>
      <c r="BH758" s="35">
        <f>VLOOKUP(A:A,'2023-2027'!A:AT,43,+FALSE)</f>
        <v>5789.57</v>
      </c>
    </row>
    <row r="759" spans="1:60" ht="12" hidden="1" customHeight="1" outlineLevel="1" x14ac:dyDescent="0.2">
      <c r="A759" s="59" t="s">
        <v>2478</v>
      </c>
      <c r="B759" s="59" t="s">
        <v>44</v>
      </c>
      <c r="C759" s="59" t="s">
        <v>82</v>
      </c>
      <c r="D759" s="66" t="s">
        <v>1768</v>
      </c>
      <c r="E759" s="59" t="s">
        <v>200</v>
      </c>
      <c r="F759" s="60">
        <v>374534.37</v>
      </c>
      <c r="G759" s="60">
        <v>255410.55</v>
      </c>
      <c r="H759" s="60">
        <v>119123.82</v>
      </c>
      <c r="I759" s="59"/>
      <c r="J759" s="60">
        <v>10985.58</v>
      </c>
      <c r="K759" s="59"/>
      <c r="L759" s="59"/>
      <c r="M759" s="60">
        <v>374534.37</v>
      </c>
      <c r="N759" s="60">
        <v>266396.13</v>
      </c>
      <c r="O759" s="60">
        <v>108138.24000000001</v>
      </c>
      <c r="P759" s="55">
        <v>113631.03</v>
      </c>
      <c r="Q759" s="55">
        <f t="shared" si="316"/>
        <v>2499.8826600000002</v>
      </c>
      <c r="R759" s="61">
        <f t="shared" si="294"/>
        <v>915.46500000000003</v>
      </c>
      <c r="S759" s="60">
        <v>915.46500000000003</v>
      </c>
      <c r="T759" s="60">
        <v>915.46500000000003</v>
      </c>
      <c r="U759" s="60">
        <v>915.46500000000003</v>
      </c>
      <c r="V759" s="60">
        <v>915.46500000000003</v>
      </c>
      <c r="W759" s="60">
        <v>915.46500000000003</v>
      </c>
      <c r="X759" s="61">
        <f t="shared" si="295"/>
        <v>5492.79</v>
      </c>
      <c r="Y759" s="60">
        <v>915.46500000000003</v>
      </c>
      <c r="Z759" s="60">
        <v>915.46500000000003</v>
      </c>
      <c r="AA759" s="60">
        <v>915.46500000000003</v>
      </c>
      <c r="AB759" s="60">
        <v>915.46500000000003</v>
      </c>
      <c r="AC759" s="60">
        <v>915.46500000000003</v>
      </c>
      <c r="AD759" s="60">
        <v>915.46500000000003</v>
      </c>
      <c r="AE759" s="61">
        <f t="shared" si="296"/>
        <v>5492.79</v>
      </c>
      <c r="AF759" s="62">
        <f t="shared" si="307"/>
        <v>374534.37</v>
      </c>
      <c r="AG759" s="62">
        <f t="shared" si="306"/>
        <v>277381.71000000031</v>
      </c>
      <c r="AH759" s="62">
        <f t="shared" si="301"/>
        <v>97152.659999999683</v>
      </c>
      <c r="AI759" s="63">
        <v>102645.47999999997</v>
      </c>
      <c r="AJ759" s="63">
        <f t="shared" si="311"/>
        <v>2258.2005599999993</v>
      </c>
      <c r="AK759" s="62"/>
      <c r="AL759" s="60">
        <v>915.46500000000003</v>
      </c>
      <c r="AM759" s="60">
        <v>915.46500000000003</v>
      </c>
      <c r="AN759" s="60">
        <v>915.46500000000003</v>
      </c>
      <c r="AO759" s="60">
        <v>915.46500000000003</v>
      </c>
      <c r="AP759" s="60">
        <v>915.46500000000003</v>
      </c>
      <c r="AQ759" s="60">
        <v>915.46500000000003</v>
      </c>
      <c r="AR759" s="61">
        <f t="shared" si="297"/>
        <v>5492.79</v>
      </c>
      <c r="AS759" s="60">
        <v>915.46500000000003</v>
      </c>
      <c r="AT759" s="60">
        <v>915.46500000000003</v>
      </c>
      <c r="AU759" s="60">
        <v>915.46500000000003</v>
      </c>
      <c r="AV759" s="60">
        <v>915.46500000000003</v>
      </c>
      <c r="AW759" s="60">
        <v>915.46500000000003</v>
      </c>
      <c r="AX759" s="60">
        <v>915.46500000000003</v>
      </c>
      <c r="AY759" s="61">
        <f t="shared" si="298"/>
        <v>5492.79</v>
      </c>
      <c r="AZ759" s="56">
        <f t="shared" si="292"/>
        <v>10985.58</v>
      </c>
      <c r="BA759" s="62">
        <f t="shared" si="314"/>
        <v>374534.37</v>
      </c>
      <c r="BB759" s="62">
        <f t="shared" si="299"/>
        <v>288367.29000000062</v>
      </c>
      <c r="BC759" s="62">
        <f t="shared" si="315"/>
        <v>86167.079999999376</v>
      </c>
      <c r="BD759" s="63">
        <v>91659.95999999989</v>
      </c>
      <c r="BE759" s="57">
        <f t="shared" si="317"/>
        <v>2016.5191199999979</v>
      </c>
      <c r="BF759" s="35" t="str">
        <f>VLOOKUP(A:A,'2023-2027'!A:G,1,+FALSE)</f>
        <v xml:space="preserve">Наружные эл сети по ул Озерная </v>
      </c>
      <c r="BG759" s="7" t="b">
        <f t="shared" si="305"/>
        <v>1</v>
      </c>
      <c r="BH759" s="35">
        <f>VLOOKUP(A:A,'2023-2027'!A:AT,43,+FALSE)</f>
        <v>1862.1199999999992</v>
      </c>
    </row>
    <row r="760" spans="1:60" ht="24" hidden="1" customHeight="1" outlineLevel="1" x14ac:dyDescent="0.2">
      <c r="A760" s="59" t="s">
        <v>1769</v>
      </c>
      <c r="B760" s="59" t="s">
        <v>44</v>
      </c>
      <c r="C760" s="59" t="s">
        <v>82</v>
      </c>
      <c r="D760" s="65" t="s">
        <v>1770</v>
      </c>
      <c r="E760" s="59" t="s">
        <v>729</v>
      </c>
      <c r="F760" s="60">
        <v>29771</v>
      </c>
      <c r="G760" s="60">
        <v>15145.47</v>
      </c>
      <c r="H760" s="60">
        <v>14625.53</v>
      </c>
      <c r="I760" s="59"/>
      <c r="J760" s="68">
        <v>562.55999999999995</v>
      </c>
      <c r="K760" s="59"/>
      <c r="L760" s="59"/>
      <c r="M760" s="60">
        <v>29771</v>
      </c>
      <c r="N760" s="60">
        <v>15708.03</v>
      </c>
      <c r="O760" s="60">
        <v>14062.97</v>
      </c>
      <c r="P760" s="55"/>
      <c r="Q760" s="55"/>
      <c r="R760" s="61">
        <f t="shared" si="294"/>
        <v>46.879999999999995</v>
      </c>
      <c r="S760" s="60">
        <v>46.88</v>
      </c>
      <c r="T760" s="60">
        <v>46.88</v>
      </c>
      <c r="U760" s="60">
        <v>46.88</v>
      </c>
      <c r="V760" s="60">
        <v>46.88</v>
      </c>
      <c r="W760" s="60">
        <v>46.88</v>
      </c>
      <c r="X760" s="61">
        <f t="shared" si="295"/>
        <v>281.27999999999997</v>
      </c>
      <c r="Y760" s="60">
        <v>46.88</v>
      </c>
      <c r="Z760" s="60">
        <v>46.88</v>
      </c>
      <c r="AA760" s="60">
        <v>46.88</v>
      </c>
      <c r="AB760" s="60">
        <v>46.88</v>
      </c>
      <c r="AC760" s="60">
        <v>46.88</v>
      </c>
      <c r="AD760" s="60">
        <v>46.88</v>
      </c>
      <c r="AE760" s="61">
        <f t="shared" si="296"/>
        <v>281.28000000000003</v>
      </c>
      <c r="AF760" s="62">
        <f t="shared" si="307"/>
        <v>29771</v>
      </c>
      <c r="AG760" s="62">
        <f t="shared" si="306"/>
        <v>16270.589999999991</v>
      </c>
      <c r="AH760" s="62">
        <f t="shared" si="301"/>
        <v>13500.410000000009</v>
      </c>
      <c r="AI760" s="63"/>
      <c r="AJ760" s="63"/>
      <c r="AK760" s="62"/>
      <c r="AL760" s="60">
        <v>46.88</v>
      </c>
      <c r="AM760" s="60">
        <v>46.88</v>
      </c>
      <c r="AN760" s="60">
        <v>46.88</v>
      </c>
      <c r="AO760" s="60">
        <v>46.88</v>
      </c>
      <c r="AP760" s="60">
        <v>46.88</v>
      </c>
      <c r="AQ760" s="60">
        <v>46.88</v>
      </c>
      <c r="AR760" s="61">
        <f t="shared" si="297"/>
        <v>281.28000000000003</v>
      </c>
      <c r="AS760" s="60">
        <v>46.88</v>
      </c>
      <c r="AT760" s="60">
        <v>46.88</v>
      </c>
      <c r="AU760" s="60">
        <v>46.88</v>
      </c>
      <c r="AV760" s="60">
        <v>46.88</v>
      </c>
      <c r="AW760" s="60">
        <v>46.88</v>
      </c>
      <c r="AX760" s="60">
        <v>46.88</v>
      </c>
      <c r="AY760" s="61">
        <f t="shared" si="298"/>
        <v>281.28000000000003</v>
      </c>
      <c r="AZ760" s="56">
        <f t="shared" si="292"/>
        <v>562.56000000000006</v>
      </c>
      <c r="BA760" s="62">
        <f t="shared" si="314"/>
        <v>29771</v>
      </c>
      <c r="BB760" s="62">
        <f t="shared" si="299"/>
        <v>16833.149999999998</v>
      </c>
      <c r="BC760" s="62">
        <f t="shared" si="315"/>
        <v>12937.850000000002</v>
      </c>
      <c r="BD760" s="63"/>
      <c r="BE760" s="57"/>
      <c r="BF760" s="35" t="e">
        <f>VLOOKUP(A:A,'2023-2027'!A:G,1,+FALSE)</f>
        <v>#N/A</v>
      </c>
      <c r="BG760" s="7" t="e">
        <f t="shared" si="305"/>
        <v>#N/A</v>
      </c>
      <c r="BH760" s="35"/>
    </row>
    <row r="761" spans="1:60" ht="24" hidden="1" customHeight="1" outlineLevel="1" x14ac:dyDescent="0.2">
      <c r="A761" s="59" t="s">
        <v>1771</v>
      </c>
      <c r="B761" s="59" t="s">
        <v>44</v>
      </c>
      <c r="C761" s="59" t="s">
        <v>82</v>
      </c>
      <c r="D761" s="66" t="s">
        <v>1772</v>
      </c>
      <c r="E761" s="59" t="s">
        <v>1638</v>
      </c>
      <c r="F761" s="60">
        <v>15492697.810000001</v>
      </c>
      <c r="G761" s="60">
        <v>5418769.4400000004</v>
      </c>
      <c r="H761" s="60">
        <v>10073928.369999999</v>
      </c>
      <c r="I761" s="59"/>
      <c r="J761" s="60">
        <v>774109.92</v>
      </c>
      <c r="K761" s="59"/>
      <c r="L761" s="59"/>
      <c r="M761" s="60">
        <v>15492697.810000001</v>
      </c>
      <c r="N761" s="60">
        <v>6192879.3600000003</v>
      </c>
      <c r="O761" s="60">
        <v>9299818.4499999993</v>
      </c>
      <c r="P761" s="55"/>
      <c r="Q761" s="55"/>
      <c r="R761" s="61">
        <f t="shared" si="294"/>
        <v>64509.16</v>
      </c>
      <c r="S761" s="60">
        <v>64509.16</v>
      </c>
      <c r="T761" s="60">
        <v>64509.16</v>
      </c>
      <c r="U761" s="60">
        <v>64509.16</v>
      </c>
      <c r="V761" s="60">
        <v>64509.16</v>
      </c>
      <c r="W761" s="60">
        <v>64509.16</v>
      </c>
      <c r="X761" s="61">
        <f t="shared" si="295"/>
        <v>387054.96000000008</v>
      </c>
      <c r="Y761" s="60">
        <v>64509.16</v>
      </c>
      <c r="Z761" s="60">
        <v>64509.16</v>
      </c>
      <c r="AA761" s="60">
        <v>64509.16</v>
      </c>
      <c r="AB761" s="60">
        <v>64509.16</v>
      </c>
      <c r="AC761" s="60">
        <v>64509.16</v>
      </c>
      <c r="AD761" s="60">
        <v>64509.16</v>
      </c>
      <c r="AE761" s="61">
        <f t="shared" si="296"/>
        <v>387054.96000000008</v>
      </c>
      <c r="AF761" s="62">
        <f t="shared" si="307"/>
        <v>15492697.810000001</v>
      </c>
      <c r="AG761" s="62">
        <f t="shared" si="306"/>
        <v>6966989.2800000021</v>
      </c>
      <c r="AH761" s="62">
        <f t="shared" si="301"/>
        <v>8525708.5299999975</v>
      </c>
      <c r="AI761" s="63"/>
      <c r="AJ761" s="63"/>
      <c r="AK761" s="62"/>
      <c r="AL761" s="60">
        <v>64509.16</v>
      </c>
      <c r="AM761" s="60">
        <v>64509.16</v>
      </c>
      <c r="AN761" s="60">
        <v>64509.16</v>
      </c>
      <c r="AO761" s="60">
        <v>64509.16</v>
      </c>
      <c r="AP761" s="60">
        <v>64509.16</v>
      </c>
      <c r="AQ761" s="60">
        <v>64509.16</v>
      </c>
      <c r="AR761" s="61">
        <f t="shared" si="297"/>
        <v>387054.96000000008</v>
      </c>
      <c r="AS761" s="60">
        <v>64509.16</v>
      </c>
      <c r="AT761" s="60">
        <v>64509.16</v>
      </c>
      <c r="AU761" s="60">
        <v>64509.16</v>
      </c>
      <c r="AV761" s="60">
        <v>64509.16</v>
      </c>
      <c r="AW761" s="60">
        <v>64509.16</v>
      </c>
      <c r="AX761" s="60">
        <v>64509.16</v>
      </c>
      <c r="AY761" s="61">
        <f t="shared" si="298"/>
        <v>387054.96000000008</v>
      </c>
      <c r="AZ761" s="56">
        <f t="shared" si="292"/>
        <v>774109.92000000016</v>
      </c>
      <c r="BA761" s="62">
        <f t="shared" si="314"/>
        <v>15492697.810000001</v>
      </c>
      <c r="BB761" s="62">
        <f t="shared" si="299"/>
        <v>7741099.2000000039</v>
      </c>
      <c r="BC761" s="62">
        <f t="shared" si="315"/>
        <v>7751598.6099999966</v>
      </c>
      <c r="BD761" s="63"/>
      <c r="BE761" s="57"/>
      <c r="BF761" s="35" t="str">
        <f>VLOOKUP(A:A,'2023-2027'!A:G,1,+FALSE)</f>
        <v>Оборудование ТП №83 "Теплица"</v>
      </c>
      <c r="BG761" s="7" t="b">
        <f t="shared" si="305"/>
        <v>1</v>
      </c>
      <c r="BH761" s="35">
        <f>VLOOKUP(A:A,'2023-2027'!A:AT,43,+FALSE)</f>
        <v>64552.910000000025</v>
      </c>
    </row>
    <row r="762" spans="1:60" ht="24" hidden="1" customHeight="1" outlineLevel="1" x14ac:dyDescent="0.2">
      <c r="A762" s="59" t="s">
        <v>1773</v>
      </c>
      <c r="B762" s="59" t="s">
        <v>44</v>
      </c>
      <c r="C762" s="59" t="s">
        <v>82</v>
      </c>
      <c r="D762" s="65" t="s">
        <v>1774</v>
      </c>
      <c r="E762" s="59" t="s">
        <v>1775</v>
      </c>
      <c r="F762" s="60">
        <v>24932</v>
      </c>
      <c r="G762" s="60">
        <v>14160.36</v>
      </c>
      <c r="H762" s="60">
        <v>10771.64</v>
      </c>
      <c r="I762" s="59"/>
      <c r="J762" s="68">
        <v>283.56</v>
      </c>
      <c r="K762" s="59"/>
      <c r="L762" s="59"/>
      <c r="M762" s="60">
        <v>24932</v>
      </c>
      <c r="N762" s="60">
        <v>14443.92</v>
      </c>
      <c r="O762" s="60">
        <v>10488.08</v>
      </c>
      <c r="P762" s="55"/>
      <c r="Q762" s="55"/>
      <c r="R762" s="61">
        <f t="shared" si="294"/>
        <v>23.63</v>
      </c>
      <c r="S762" s="60">
        <v>23.63</v>
      </c>
      <c r="T762" s="60">
        <v>23.63</v>
      </c>
      <c r="U762" s="60">
        <v>23.63</v>
      </c>
      <c r="V762" s="60">
        <v>23.63</v>
      </c>
      <c r="W762" s="60">
        <v>23.63</v>
      </c>
      <c r="X762" s="61">
        <f t="shared" si="295"/>
        <v>141.78</v>
      </c>
      <c r="Y762" s="60">
        <v>23.63</v>
      </c>
      <c r="Z762" s="60">
        <v>23.63</v>
      </c>
      <c r="AA762" s="60">
        <v>23.63</v>
      </c>
      <c r="AB762" s="60">
        <v>23.63</v>
      </c>
      <c r="AC762" s="60">
        <v>23.63</v>
      </c>
      <c r="AD762" s="60">
        <v>23.63</v>
      </c>
      <c r="AE762" s="61">
        <f t="shared" si="296"/>
        <v>141.78</v>
      </c>
      <c r="AF762" s="62">
        <f t="shared" si="307"/>
        <v>24932</v>
      </c>
      <c r="AG762" s="62">
        <f t="shared" si="306"/>
        <v>14727.47999999999</v>
      </c>
      <c r="AH762" s="62">
        <f t="shared" si="301"/>
        <v>10204.52000000001</v>
      </c>
      <c r="AI762" s="63"/>
      <c r="AJ762" s="63"/>
      <c r="AK762" s="62"/>
      <c r="AL762" s="60">
        <v>23.63</v>
      </c>
      <c r="AM762" s="60">
        <v>23.63</v>
      </c>
      <c r="AN762" s="60">
        <v>23.63</v>
      </c>
      <c r="AO762" s="60">
        <v>23.63</v>
      </c>
      <c r="AP762" s="60">
        <v>23.63</v>
      </c>
      <c r="AQ762" s="60">
        <v>23.63</v>
      </c>
      <c r="AR762" s="61">
        <f t="shared" si="297"/>
        <v>141.78</v>
      </c>
      <c r="AS762" s="60">
        <v>23.63</v>
      </c>
      <c r="AT762" s="60">
        <v>23.63</v>
      </c>
      <c r="AU762" s="60">
        <v>23.63</v>
      </c>
      <c r="AV762" s="60">
        <v>23.63</v>
      </c>
      <c r="AW762" s="60">
        <v>23.63</v>
      </c>
      <c r="AX762" s="60">
        <v>23.63</v>
      </c>
      <c r="AY762" s="61">
        <f t="shared" si="298"/>
        <v>141.78</v>
      </c>
      <c r="AZ762" s="56">
        <f t="shared" si="292"/>
        <v>283.56</v>
      </c>
      <c r="BA762" s="62">
        <f t="shared" si="314"/>
        <v>24932</v>
      </c>
      <c r="BB762" s="62">
        <f t="shared" si="299"/>
        <v>15011.039999999981</v>
      </c>
      <c r="BC762" s="62">
        <f t="shared" si="315"/>
        <v>9920.9600000000191</v>
      </c>
      <c r="BD762" s="63"/>
      <c r="BE762" s="57"/>
      <c r="BF762" s="35" t="e">
        <f>VLOOKUP(A:A,'2023-2027'!A:G,1,+FALSE)</f>
        <v>#N/A</v>
      </c>
      <c r="BG762" s="7" t="e">
        <f t="shared" si="305"/>
        <v>#N/A</v>
      </c>
      <c r="BH762" s="35"/>
    </row>
    <row r="763" spans="1:60" ht="12" hidden="1" customHeight="1" outlineLevel="1" x14ac:dyDescent="0.2">
      <c r="A763" s="59" t="s">
        <v>1776</v>
      </c>
      <c r="B763" s="59" t="s">
        <v>44</v>
      </c>
      <c r="C763" s="59" t="s">
        <v>82</v>
      </c>
      <c r="D763" s="65" t="s">
        <v>1777</v>
      </c>
      <c r="E763" s="59" t="s">
        <v>243</v>
      </c>
      <c r="F763" s="60">
        <v>9365</v>
      </c>
      <c r="G763" s="60">
        <v>4542.09</v>
      </c>
      <c r="H763" s="60">
        <v>4822.91</v>
      </c>
      <c r="I763" s="59"/>
      <c r="J763" s="68">
        <v>107.64</v>
      </c>
      <c r="K763" s="59"/>
      <c r="L763" s="59"/>
      <c r="M763" s="60">
        <v>9365</v>
      </c>
      <c r="N763" s="60">
        <v>4649.7299999999996</v>
      </c>
      <c r="O763" s="60">
        <v>4715.2700000000004</v>
      </c>
      <c r="P763" s="55"/>
      <c r="Q763" s="55"/>
      <c r="R763" s="61">
        <f t="shared" si="294"/>
        <v>8.9700000000000006</v>
      </c>
      <c r="S763" s="60">
        <v>8.9700000000000006</v>
      </c>
      <c r="T763" s="60">
        <v>8.9700000000000006</v>
      </c>
      <c r="U763" s="60">
        <v>8.9700000000000006</v>
      </c>
      <c r="V763" s="60">
        <v>8.9700000000000006</v>
      </c>
      <c r="W763" s="60">
        <v>8.9700000000000006</v>
      </c>
      <c r="X763" s="61">
        <f t="shared" si="295"/>
        <v>53.82</v>
      </c>
      <c r="Y763" s="60">
        <v>8.9700000000000006</v>
      </c>
      <c r="Z763" s="60">
        <v>8.9700000000000006</v>
      </c>
      <c r="AA763" s="60">
        <v>8.9700000000000006</v>
      </c>
      <c r="AB763" s="60">
        <v>8.9700000000000006</v>
      </c>
      <c r="AC763" s="60">
        <v>8.9700000000000006</v>
      </c>
      <c r="AD763" s="60">
        <v>8.9700000000000006</v>
      </c>
      <c r="AE763" s="61">
        <f t="shared" si="296"/>
        <v>53.82</v>
      </c>
      <c r="AF763" s="62">
        <f t="shared" si="307"/>
        <v>9365</v>
      </c>
      <c r="AG763" s="62">
        <f t="shared" si="306"/>
        <v>4757.3700000000026</v>
      </c>
      <c r="AH763" s="62">
        <f t="shared" si="301"/>
        <v>4607.6299999999974</v>
      </c>
      <c r="AI763" s="63"/>
      <c r="AJ763" s="63"/>
      <c r="AK763" s="62"/>
      <c r="AL763" s="60">
        <v>8.9700000000000006</v>
      </c>
      <c r="AM763" s="60">
        <v>8.9700000000000006</v>
      </c>
      <c r="AN763" s="60">
        <v>8.9700000000000006</v>
      </c>
      <c r="AO763" s="60">
        <v>8.9700000000000006</v>
      </c>
      <c r="AP763" s="60">
        <v>8.9700000000000006</v>
      </c>
      <c r="AQ763" s="60">
        <v>8.9700000000000006</v>
      </c>
      <c r="AR763" s="61">
        <f t="shared" si="297"/>
        <v>53.82</v>
      </c>
      <c r="AS763" s="60">
        <v>8.9700000000000006</v>
      </c>
      <c r="AT763" s="60">
        <v>8.9700000000000006</v>
      </c>
      <c r="AU763" s="60">
        <v>8.9700000000000006</v>
      </c>
      <c r="AV763" s="60">
        <v>8.9700000000000006</v>
      </c>
      <c r="AW763" s="60">
        <v>8.9700000000000006</v>
      </c>
      <c r="AX763" s="60">
        <v>8.9700000000000006</v>
      </c>
      <c r="AY763" s="61">
        <f t="shared" si="298"/>
        <v>53.82</v>
      </c>
      <c r="AZ763" s="56">
        <f t="shared" si="292"/>
        <v>107.64</v>
      </c>
      <c r="BA763" s="62">
        <f t="shared" si="314"/>
        <v>9365</v>
      </c>
      <c r="BB763" s="62">
        <f t="shared" si="299"/>
        <v>4865.0100000000057</v>
      </c>
      <c r="BC763" s="62">
        <f t="shared" si="315"/>
        <v>4499.9899999999943</v>
      </c>
      <c r="BD763" s="63"/>
      <c r="BE763" s="57"/>
      <c r="BF763" s="35" t="e">
        <f>VLOOKUP(A:A,'2023-2027'!A:G,1,+FALSE)</f>
        <v>#N/A</v>
      </c>
      <c r="BG763" s="7" t="e">
        <f t="shared" si="305"/>
        <v>#N/A</v>
      </c>
      <c r="BH763" s="35"/>
    </row>
    <row r="764" spans="1:60" ht="24" hidden="1" customHeight="1" outlineLevel="1" x14ac:dyDescent="0.2">
      <c r="A764" s="59" t="s">
        <v>1778</v>
      </c>
      <c r="B764" s="59" t="s">
        <v>44</v>
      </c>
      <c r="C764" s="59" t="s">
        <v>82</v>
      </c>
      <c r="D764" s="65" t="s">
        <v>1779</v>
      </c>
      <c r="E764" s="59" t="s">
        <v>1235</v>
      </c>
      <c r="F764" s="60">
        <v>10340</v>
      </c>
      <c r="G764" s="60">
        <v>6905.49</v>
      </c>
      <c r="H764" s="60">
        <v>3434.51</v>
      </c>
      <c r="I764" s="59"/>
      <c r="J764" s="68">
        <v>217.25</v>
      </c>
      <c r="K764" s="59"/>
      <c r="L764" s="59"/>
      <c r="M764" s="60">
        <v>10340</v>
      </c>
      <c r="N764" s="60">
        <v>7122.74</v>
      </c>
      <c r="O764" s="60">
        <v>3217.26</v>
      </c>
      <c r="P764" s="55"/>
      <c r="Q764" s="55"/>
      <c r="R764" s="61">
        <f t="shared" si="294"/>
        <v>18.104166666666668</v>
      </c>
      <c r="S764" s="60">
        <v>18.104166670000001</v>
      </c>
      <c r="T764" s="60">
        <v>18.104166670000001</v>
      </c>
      <c r="U764" s="60">
        <v>18.104166670000001</v>
      </c>
      <c r="V764" s="60">
        <v>18.104166670000001</v>
      </c>
      <c r="W764" s="60">
        <v>18.104166670000001</v>
      </c>
      <c r="X764" s="61">
        <f t="shared" si="295"/>
        <v>108.62500001666666</v>
      </c>
      <c r="Y764" s="60">
        <v>18.104166670000001</v>
      </c>
      <c r="Z764" s="60">
        <v>18.104166670000001</v>
      </c>
      <c r="AA764" s="60">
        <v>18.104166670000001</v>
      </c>
      <c r="AB764" s="60">
        <v>18.104166670000001</v>
      </c>
      <c r="AC764" s="60">
        <v>18.104166670000001</v>
      </c>
      <c r="AD764" s="60">
        <v>18.104166670000001</v>
      </c>
      <c r="AE764" s="61">
        <f t="shared" si="296"/>
        <v>108.62500002</v>
      </c>
      <c r="AF764" s="62">
        <f t="shared" si="307"/>
        <v>10340</v>
      </c>
      <c r="AG764" s="62">
        <f t="shared" si="306"/>
        <v>7339.9900000366697</v>
      </c>
      <c r="AH764" s="62">
        <f t="shared" si="301"/>
        <v>3000.0099999633303</v>
      </c>
      <c r="AI764" s="63"/>
      <c r="AJ764" s="63"/>
      <c r="AK764" s="62"/>
      <c r="AL764" s="60">
        <v>18.104166670000001</v>
      </c>
      <c r="AM764" s="60">
        <v>18.104166670000001</v>
      </c>
      <c r="AN764" s="60">
        <v>18.104166670000001</v>
      </c>
      <c r="AO764" s="60">
        <v>18.104166670000001</v>
      </c>
      <c r="AP764" s="60">
        <v>18.104166670000001</v>
      </c>
      <c r="AQ764" s="60">
        <v>18.104166670000001</v>
      </c>
      <c r="AR764" s="61">
        <f t="shared" si="297"/>
        <v>108.62500002</v>
      </c>
      <c r="AS764" s="60">
        <v>18.104166670000001</v>
      </c>
      <c r="AT764" s="60">
        <v>18.104166670000001</v>
      </c>
      <c r="AU764" s="60">
        <v>18.104166670000001</v>
      </c>
      <c r="AV764" s="60">
        <v>18.104166670000001</v>
      </c>
      <c r="AW764" s="60">
        <v>18.104166670000001</v>
      </c>
      <c r="AX764" s="60">
        <v>18.104166670000001</v>
      </c>
      <c r="AY764" s="61">
        <f t="shared" si="298"/>
        <v>108.62500002</v>
      </c>
      <c r="AZ764" s="56">
        <f t="shared" si="292"/>
        <v>217.25000004</v>
      </c>
      <c r="BA764" s="62">
        <f t="shared" si="314"/>
        <v>10340</v>
      </c>
      <c r="BB764" s="62">
        <f t="shared" si="299"/>
        <v>7557.2400000766729</v>
      </c>
      <c r="BC764" s="62">
        <f t="shared" si="315"/>
        <v>2782.7599999233271</v>
      </c>
      <c r="BD764" s="63"/>
      <c r="BE764" s="57"/>
      <c r="BF764" s="35" t="e">
        <f>VLOOKUP(A:A,'2023-2027'!A:G,1,+FALSE)</f>
        <v>#N/A</v>
      </c>
      <c r="BG764" s="7" t="e">
        <f t="shared" si="305"/>
        <v>#N/A</v>
      </c>
      <c r="BH764" s="35"/>
    </row>
    <row r="765" spans="1:60" ht="24" hidden="1" customHeight="1" outlineLevel="1" x14ac:dyDescent="0.2">
      <c r="A765" s="59" t="s">
        <v>1780</v>
      </c>
      <c r="B765" s="59" t="s">
        <v>44</v>
      </c>
      <c r="C765" s="59" t="s">
        <v>82</v>
      </c>
      <c r="D765" s="65" t="s">
        <v>1781</v>
      </c>
      <c r="E765" s="59" t="s">
        <v>1782</v>
      </c>
      <c r="F765" s="60">
        <v>10340</v>
      </c>
      <c r="G765" s="60">
        <v>6872.08</v>
      </c>
      <c r="H765" s="60">
        <v>3467.92</v>
      </c>
      <c r="I765" s="59"/>
      <c r="J765" s="68">
        <v>156</v>
      </c>
      <c r="K765" s="59"/>
      <c r="L765" s="59"/>
      <c r="M765" s="60">
        <v>10340</v>
      </c>
      <c r="N765" s="60">
        <v>7028.08</v>
      </c>
      <c r="O765" s="60">
        <v>3311.92</v>
      </c>
      <c r="P765" s="55"/>
      <c r="Q765" s="55"/>
      <c r="R765" s="61">
        <f t="shared" si="294"/>
        <v>13</v>
      </c>
      <c r="S765" s="60">
        <v>13</v>
      </c>
      <c r="T765" s="60">
        <v>13</v>
      </c>
      <c r="U765" s="60">
        <v>13</v>
      </c>
      <c r="V765" s="60">
        <v>13</v>
      </c>
      <c r="W765" s="60">
        <v>13</v>
      </c>
      <c r="X765" s="61">
        <f t="shared" si="295"/>
        <v>78</v>
      </c>
      <c r="Y765" s="60">
        <v>13</v>
      </c>
      <c r="Z765" s="60">
        <v>13</v>
      </c>
      <c r="AA765" s="60">
        <v>13</v>
      </c>
      <c r="AB765" s="60">
        <v>13</v>
      </c>
      <c r="AC765" s="60">
        <v>13</v>
      </c>
      <c r="AD765" s="60">
        <v>13</v>
      </c>
      <c r="AE765" s="61">
        <f t="shared" si="296"/>
        <v>78</v>
      </c>
      <c r="AF765" s="62">
        <f t="shared" si="307"/>
        <v>10340</v>
      </c>
      <c r="AG765" s="62">
        <f t="shared" si="306"/>
        <v>7184.08</v>
      </c>
      <c r="AH765" s="62">
        <f t="shared" si="301"/>
        <v>3155.92</v>
      </c>
      <c r="AI765" s="63"/>
      <c r="AJ765" s="63"/>
      <c r="AK765" s="62"/>
      <c r="AL765" s="60">
        <v>13</v>
      </c>
      <c r="AM765" s="60">
        <v>13</v>
      </c>
      <c r="AN765" s="60">
        <v>13</v>
      </c>
      <c r="AO765" s="60">
        <v>13</v>
      </c>
      <c r="AP765" s="60">
        <v>13</v>
      </c>
      <c r="AQ765" s="60">
        <v>13</v>
      </c>
      <c r="AR765" s="61">
        <f t="shared" si="297"/>
        <v>78</v>
      </c>
      <c r="AS765" s="60">
        <v>13</v>
      </c>
      <c r="AT765" s="60">
        <v>13</v>
      </c>
      <c r="AU765" s="60">
        <v>13</v>
      </c>
      <c r="AV765" s="60">
        <v>13</v>
      </c>
      <c r="AW765" s="60">
        <v>13</v>
      </c>
      <c r="AX765" s="60">
        <v>13</v>
      </c>
      <c r="AY765" s="61">
        <f t="shared" si="298"/>
        <v>78</v>
      </c>
      <c r="AZ765" s="56">
        <f t="shared" si="292"/>
        <v>156</v>
      </c>
      <c r="BA765" s="62">
        <f t="shared" si="314"/>
        <v>10340</v>
      </c>
      <c r="BB765" s="62">
        <f t="shared" si="299"/>
        <v>7340.08</v>
      </c>
      <c r="BC765" s="62">
        <f t="shared" si="315"/>
        <v>2999.92</v>
      </c>
      <c r="BD765" s="63"/>
      <c r="BE765" s="57"/>
      <c r="BF765" s="35" t="e">
        <f>VLOOKUP(A:A,'2023-2027'!A:G,1,+FALSE)</f>
        <v>#N/A</v>
      </c>
      <c r="BG765" s="7" t="e">
        <f t="shared" si="305"/>
        <v>#N/A</v>
      </c>
      <c r="BH765" s="35"/>
    </row>
    <row r="766" spans="1:60" ht="24" hidden="1" customHeight="1" outlineLevel="1" x14ac:dyDescent="0.2">
      <c r="A766" s="59" t="s">
        <v>1783</v>
      </c>
      <c r="B766" s="59" t="s">
        <v>44</v>
      </c>
      <c r="C766" s="59" t="s">
        <v>82</v>
      </c>
      <c r="D766" s="66" t="s">
        <v>1784</v>
      </c>
      <c r="E766" s="59" t="s">
        <v>1295</v>
      </c>
      <c r="F766" s="60">
        <v>655370.73</v>
      </c>
      <c r="G766" s="60">
        <v>551314.43999999994</v>
      </c>
      <c r="H766" s="60">
        <v>104056.29</v>
      </c>
      <c r="I766" s="59"/>
      <c r="J766" s="60">
        <v>13474.2</v>
      </c>
      <c r="K766" s="59"/>
      <c r="L766" s="59"/>
      <c r="M766" s="60">
        <v>655370.73</v>
      </c>
      <c r="N766" s="60">
        <v>564788.64</v>
      </c>
      <c r="O766" s="60">
        <v>90582.09</v>
      </c>
      <c r="P766" s="55"/>
      <c r="Q766" s="55"/>
      <c r="R766" s="61">
        <f t="shared" si="294"/>
        <v>1122.8500000000001</v>
      </c>
      <c r="S766" s="60">
        <v>1122.8499999999999</v>
      </c>
      <c r="T766" s="60">
        <v>1122.8499999999999</v>
      </c>
      <c r="U766" s="60">
        <v>1122.8499999999999</v>
      </c>
      <c r="V766" s="60">
        <v>1122.8499999999999</v>
      </c>
      <c r="W766" s="60">
        <v>1122.8499999999999</v>
      </c>
      <c r="X766" s="61">
        <f t="shared" si="295"/>
        <v>6737.1</v>
      </c>
      <c r="Y766" s="60">
        <v>1122.8499999999999</v>
      </c>
      <c r="Z766" s="60">
        <v>1122.8499999999999</v>
      </c>
      <c r="AA766" s="60">
        <v>1122.8499999999999</v>
      </c>
      <c r="AB766" s="60">
        <v>1122.8499999999999</v>
      </c>
      <c r="AC766" s="60">
        <v>1122.8499999999999</v>
      </c>
      <c r="AD766" s="60">
        <v>1122.8499999999999</v>
      </c>
      <c r="AE766" s="61">
        <f t="shared" si="296"/>
        <v>6737.1</v>
      </c>
      <c r="AF766" s="62">
        <f t="shared" si="307"/>
        <v>655370.73</v>
      </c>
      <c r="AG766" s="62">
        <f t="shared" si="306"/>
        <v>578262.83999999973</v>
      </c>
      <c r="AH766" s="62">
        <f t="shared" si="301"/>
        <v>77107.890000000247</v>
      </c>
      <c r="AI766" s="63"/>
      <c r="AJ766" s="63"/>
      <c r="AK766" s="62"/>
      <c r="AL766" s="60">
        <v>1122.8499999999999</v>
      </c>
      <c r="AM766" s="60">
        <v>1122.8499999999999</v>
      </c>
      <c r="AN766" s="60">
        <v>1122.8499999999999</v>
      </c>
      <c r="AO766" s="60">
        <v>1122.8499999999999</v>
      </c>
      <c r="AP766" s="60">
        <v>1122.8499999999999</v>
      </c>
      <c r="AQ766" s="60">
        <v>1122.8499999999999</v>
      </c>
      <c r="AR766" s="61">
        <f t="shared" si="297"/>
        <v>6737.1</v>
      </c>
      <c r="AS766" s="60">
        <v>1122.8499999999999</v>
      </c>
      <c r="AT766" s="60">
        <v>1122.8499999999999</v>
      </c>
      <c r="AU766" s="60">
        <v>1122.8499999999999</v>
      </c>
      <c r="AV766" s="60">
        <v>1122.8499999999999</v>
      </c>
      <c r="AW766" s="60">
        <v>1122.8499999999999</v>
      </c>
      <c r="AX766" s="60">
        <v>1122.8499999999999</v>
      </c>
      <c r="AY766" s="61">
        <f t="shared" si="298"/>
        <v>6737.1</v>
      </c>
      <c r="AZ766" s="56">
        <f t="shared" si="292"/>
        <v>13474.2</v>
      </c>
      <c r="BA766" s="62">
        <f t="shared" si="314"/>
        <v>655370.73</v>
      </c>
      <c r="BB766" s="62">
        <f t="shared" si="299"/>
        <v>591737.03999999946</v>
      </c>
      <c r="BC766" s="62">
        <f t="shared" si="315"/>
        <v>63633.690000000526</v>
      </c>
      <c r="BD766" s="63"/>
      <c r="BE766" s="57"/>
      <c r="BF766" s="35" t="str">
        <f>VLOOKUP(A:A,'2023-2027'!A:G,1,+FALSE)</f>
        <v>Оборудование ТП-18 ул 60 лет СССР 5</v>
      </c>
      <c r="BG766" s="7" t="b">
        <f t="shared" si="305"/>
        <v>1</v>
      </c>
      <c r="BH766" s="35">
        <f>VLOOKUP(A:A,'2023-2027'!A:AT,43,+FALSE)</f>
        <v>4808.9799999999987</v>
      </c>
    </row>
    <row r="767" spans="1:60" ht="24" hidden="1" customHeight="1" outlineLevel="1" x14ac:dyDescent="0.2">
      <c r="A767" s="59" t="s">
        <v>1785</v>
      </c>
      <c r="B767" s="59" t="s">
        <v>44</v>
      </c>
      <c r="C767" s="59" t="s">
        <v>82</v>
      </c>
      <c r="D767" s="66" t="s">
        <v>1786</v>
      </c>
      <c r="E767" s="59" t="s">
        <v>1371</v>
      </c>
      <c r="F767" s="60">
        <v>595136.96</v>
      </c>
      <c r="G767" s="60">
        <v>524814.05000000005</v>
      </c>
      <c r="H767" s="60">
        <v>70322.91</v>
      </c>
      <c r="I767" s="59"/>
      <c r="J767" s="60">
        <v>9733.44</v>
      </c>
      <c r="K767" s="59"/>
      <c r="L767" s="59"/>
      <c r="M767" s="60">
        <v>595136.96</v>
      </c>
      <c r="N767" s="60">
        <v>534547.49</v>
      </c>
      <c r="O767" s="60">
        <v>60589.47</v>
      </c>
      <c r="P767" s="55"/>
      <c r="Q767" s="55"/>
      <c r="R767" s="61">
        <f t="shared" si="294"/>
        <v>811.12</v>
      </c>
      <c r="S767" s="60">
        <v>811.12</v>
      </c>
      <c r="T767" s="60">
        <v>811.12</v>
      </c>
      <c r="U767" s="60">
        <v>811.12</v>
      </c>
      <c r="V767" s="60">
        <v>811.12</v>
      </c>
      <c r="W767" s="60">
        <v>811.12</v>
      </c>
      <c r="X767" s="61">
        <f t="shared" si="295"/>
        <v>4866.72</v>
      </c>
      <c r="Y767" s="60">
        <v>811.12</v>
      </c>
      <c r="Z767" s="60">
        <v>811.12</v>
      </c>
      <c r="AA767" s="60">
        <v>811.12</v>
      </c>
      <c r="AB767" s="60">
        <v>811.12</v>
      </c>
      <c r="AC767" s="60">
        <v>811.12</v>
      </c>
      <c r="AD767" s="60">
        <v>811.12</v>
      </c>
      <c r="AE767" s="61">
        <f t="shared" si="296"/>
        <v>4866.72</v>
      </c>
      <c r="AF767" s="62">
        <f t="shared" si="307"/>
        <v>595136.96</v>
      </c>
      <c r="AG767" s="62">
        <f t="shared" si="306"/>
        <v>544280.92999999993</v>
      </c>
      <c r="AH767" s="62">
        <f t="shared" si="301"/>
        <v>50856.030000000028</v>
      </c>
      <c r="AI767" s="63"/>
      <c r="AJ767" s="63"/>
      <c r="AK767" s="62"/>
      <c r="AL767" s="60">
        <v>811.12</v>
      </c>
      <c r="AM767" s="60">
        <v>811.12</v>
      </c>
      <c r="AN767" s="60">
        <v>811.12</v>
      </c>
      <c r="AO767" s="60">
        <v>811.12</v>
      </c>
      <c r="AP767" s="60">
        <v>811.12</v>
      </c>
      <c r="AQ767" s="60">
        <v>811.12</v>
      </c>
      <c r="AR767" s="61">
        <f t="shared" si="297"/>
        <v>4866.72</v>
      </c>
      <c r="AS767" s="60">
        <v>811.12</v>
      </c>
      <c r="AT767" s="60">
        <v>811.12</v>
      </c>
      <c r="AU767" s="60">
        <v>811.12</v>
      </c>
      <c r="AV767" s="60">
        <v>811.12</v>
      </c>
      <c r="AW767" s="60">
        <v>811.12</v>
      </c>
      <c r="AX767" s="60">
        <v>811.12</v>
      </c>
      <c r="AY767" s="61">
        <f t="shared" si="298"/>
        <v>4866.72</v>
      </c>
      <c r="AZ767" s="56">
        <f t="shared" si="292"/>
        <v>9733.44</v>
      </c>
      <c r="BA767" s="62">
        <f t="shared" si="314"/>
        <v>595136.96</v>
      </c>
      <c r="BB767" s="62">
        <f t="shared" si="299"/>
        <v>554014.36999999988</v>
      </c>
      <c r="BC767" s="62">
        <f t="shared" si="315"/>
        <v>41122.590000000084</v>
      </c>
      <c r="BD767" s="63"/>
      <c r="BE767" s="57"/>
      <c r="BF767" s="35" t="str">
        <f>VLOOKUP(A:A,'2023-2027'!A:G,1,+FALSE)</f>
        <v>Оборудование ТП-19 ул  Южная, кот 2</v>
      </c>
      <c r="BG767" s="7" t="b">
        <f t="shared" si="305"/>
        <v>1</v>
      </c>
      <c r="BH767" s="35">
        <f>VLOOKUP(A:A,'2023-2027'!A:AT,43,+FALSE)</f>
        <v>3962.6699999999987</v>
      </c>
    </row>
    <row r="768" spans="1:60" ht="24" hidden="1" customHeight="1" outlineLevel="1" x14ac:dyDescent="0.2">
      <c r="A768" s="59" t="s">
        <v>1787</v>
      </c>
      <c r="B768" s="59" t="s">
        <v>44</v>
      </c>
      <c r="C768" s="59" t="s">
        <v>82</v>
      </c>
      <c r="D768" s="66" t="s">
        <v>1788</v>
      </c>
      <c r="E768" s="59" t="s">
        <v>553</v>
      </c>
      <c r="F768" s="60">
        <v>433565.58</v>
      </c>
      <c r="G768" s="60">
        <v>367457.86</v>
      </c>
      <c r="H768" s="60">
        <v>66107.72</v>
      </c>
      <c r="I768" s="59"/>
      <c r="J768" s="60">
        <v>7077.48</v>
      </c>
      <c r="K768" s="59"/>
      <c r="L768" s="59"/>
      <c r="M768" s="60">
        <v>433565.58</v>
      </c>
      <c r="N768" s="60">
        <v>374535.34</v>
      </c>
      <c r="O768" s="60">
        <v>59030.239999999998</v>
      </c>
      <c r="P768" s="55"/>
      <c r="Q768" s="55"/>
      <c r="R768" s="61">
        <f t="shared" si="294"/>
        <v>589.79</v>
      </c>
      <c r="S768" s="60">
        <v>589.79</v>
      </c>
      <c r="T768" s="60">
        <v>589.79</v>
      </c>
      <c r="U768" s="60">
        <v>589.79</v>
      </c>
      <c r="V768" s="60">
        <v>589.79</v>
      </c>
      <c r="W768" s="60">
        <v>589.79</v>
      </c>
      <c r="X768" s="61">
        <f t="shared" si="295"/>
        <v>3538.74</v>
      </c>
      <c r="Y768" s="60">
        <v>589.79</v>
      </c>
      <c r="Z768" s="60">
        <v>589.79</v>
      </c>
      <c r="AA768" s="60">
        <v>589.79</v>
      </c>
      <c r="AB768" s="60">
        <v>589.79</v>
      </c>
      <c r="AC768" s="60">
        <v>589.79</v>
      </c>
      <c r="AD768" s="60">
        <v>589.79</v>
      </c>
      <c r="AE768" s="61">
        <f t="shared" si="296"/>
        <v>3538.74</v>
      </c>
      <c r="AF768" s="62">
        <f t="shared" si="307"/>
        <v>433565.58</v>
      </c>
      <c r="AG768" s="62">
        <f t="shared" si="306"/>
        <v>381612.81999999977</v>
      </c>
      <c r="AH768" s="62">
        <f t="shared" si="301"/>
        <v>51952.760000000242</v>
      </c>
      <c r="AI768" s="63"/>
      <c r="AJ768" s="63"/>
      <c r="AK768" s="62"/>
      <c r="AL768" s="60">
        <v>589.79</v>
      </c>
      <c r="AM768" s="60">
        <v>589.79</v>
      </c>
      <c r="AN768" s="60">
        <v>589.79</v>
      </c>
      <c r="AO768" s="60">
        <v>589.79</v>
      </c>
      <c r="AP768" s="60">
        <v>589.79</v>
      </c>
      <c r="AQ768" s="60">
        <v>589.79</v>
      </c>
      <c r="AR768" s="61">
        <f t="shared" si="297"/>
        <v>3538.74</v>
      </c>
      <c r="AS768" s="60">
        <v>589.79</v>
      </c>
      <c r="AT768" s="60">
        <v>589.79</v>
      </c>
      <c r="AU768" s="60">
        <v>589.79</v>
      </c>
      <c r="AV768" s="60">
        <v>589.79</v>
      </c>
      <c r="AW768" s="60">
        <v>589.79</v>
      </c>
      <c r="AX768" s="60">
        <v>589.79</v>
      </c>
      <c r="AY768" s="61">
        <f t="shared" si="298"/>
        <v>3538.74</v>
      </c>
      <c r="AZ768" s="56">
        <f t="shared" si="292"/>
        <v>7077.48</v>
      </c>
      <c r="BA768" s="62">
        <f t="shared" si="314"/>
        <v>433565.58</v>
      </c>
      <c r="BB768" s="62">
        <f t="shared" si="299"/>
        <v>388690.29999999952</v>
      </c>
      <c r="BC768" s="62">
        <f t="shared" si="315"/>
        <v>44875.280000000494</v>
      </c>
      <c r="BD768" s="63"/>
      <c r="BE768" s="57"/>
      <c r="BF768" s="35" t="str">
        <f>VLOOKUP(A:A,'2023-2027'!A:G,1,+FALSE)</f>
        <v>Оборудование ТП-20 пер Рыбацкий</v>
      </c>
      <c r="BG768" s="7" t="b">
        <f t="shared" si="305"/>
        <v>1</v>
      </c>
      <c r="BH768" s="35">
        <f>VLOOKUP(A:A,'2023-2027'!A:AT,43,+FALSE)</f>
        <v>2390.75</v>
      </c>
    </row>
    <row r="769" spans="1:60" ht="24" hidden="1" customHeight="1" outlineLevel="1" x14ac:dyDescent="0.2">
      <c r="A769" s="59" t="s">
        <v>1789</v>
      </c>
      <c r="B769" s="59" t="s">
        <v>44</v>
      </c>
      <c r="C769" s="59" t="s">
        <v>82</v>
      </c>
      <c r="D769" s="66" t="s">
        <v>1790</v>
      </c>
      <c r="E769" s="59" t="s">
        <v>1791</v>
      </c>
      <c r="F769" s="60">
        <v>2475139.4700000002</v>
      </c>
      <c r="G769" s="60">
        <v>1824342.65</v>
      </c>
      <c r="H769" s="60">
        <v>650796.81999999995</v>
      </c>
      <c r="I769" s="59"/>
      <c r="J769" s="60">
        <v>33220.32</v>
      </c>
      <c r="K769" s="59"/>
      <c r="L769" s="59"/>
      <c r="M769" s="60">
        <v>2475139.4700000002</v>
      </c>
      <c r="N769" s="60">
        <v>1857562.97</v>
      </c>
      <c r="O769" s="60">
        <v>617576.5</v>
      </c>
      <c r="P769" s="55"/>
      <c r="Q769" s="55"/>
      <c r="R769" s="61">
        <f t="shared" si="294"/>
        <v>2768.36</v>
      </c>
      <c r="S769" s="60">
        <v>2768.36</v>
      </c>
      <c r="T769" s="60">
        <v>2768.36</v>
      </c>
      <c r="U769" s="60">
        <v>2768.36</v>
      </c>
      <c r="V769" s="60">
        <v>2768.36</v>
      </c>
      <c r="W769" s="60">
        <v>2768.36</v>
      </c>
      <c r="X769" s="61">
        <f t="shared" si="295"/>
        <v>16610.16</v>
      </c>
      <c r="Y769" s="60">
        <v>2768.36</v>
      </c>
      <c r="Z769" s="60">
        <v>2768.36</v>
      </c>
      <c r="AA769" s="60">
        <v>2768.36</v>
      </c>
      <c r="AB769" s="60">
        <v>2768.36</v>
      </c>
      <c r="AC769" s="60">
        <v>2768.36</v>
      </c>
      <c r="AD769" s="60">
        <v>2768.36</v>
      </c>
      <c r="AE769" s="61">
        <f t="shared" si="296"/>
        <v>16610.16</v>
      </c>
      <c r="AF769" s="62">
        <f t="shared" si="307"/>
        <v>2475139.4700000002</v>
      </c>
      <c r="AG769" s="62">
        <f t="shared" si="306"/>
        <v>1890783.2900000012</v>
      </c>
      <c r="AH769" s="62">
        <f t="shared" si="301"/>
        <v>584356.179999999</v>
      </c>
      <c r="AI769" s="63"/>
      <c r="AJ769" s="63"/>
      <c r="AK769" s="62"/>
      <c r="AL769" s="60">
        <v>2768.36</v>
      </c>
      <c r="AM769" s="60">
        <v>2768.36</v>
      </c>
      <c r="AN769" s="60">
        <v>2768.36</v>
      </c>
      <c r="AO769" s="60">
        <v>2768.36</v>
      </c>
      <c r="AP769" s="60">
        <v>2768.36</v>
      </c>
      <c r="AQ769" s="60">
        <v>2768.36</v>
      </c>
      <c r="AR769" s="61">
        <f t="shared" si="297"/>
        <v>16610.16</v>
      </c>
      <c r="AS769" s="60">
        <v>2768.36</v>
      </c>
      <c r="AT769" s="60">
        <v>2768.36</v>
      </c>
      <c r="AU769" s="60">
        <v>2768.36</v>
      </c>
      <c r="AV769" s="60">
        <v>2768.36</v>
      </c>
      <c r="AW769" s="60">
        <v>2768.36</v>
      </c>
      <c r="AX769" s="60">
        <v>2768.36</v>
      </c>
      <c r="AY769" s="61">
        <f t="shared" si="298"/>
        <v>16610.16</v>
      </c>
      <c r="AZ769" s="56">
        <f t="shared" si="292"/>
        <v>33220.32</v>
      </c>
      <c r="BA769" s="62">
        <f t="shared" si="314"/>
        <v>2475139.4700000002</v>
      </c>
      <c r="BB769" s="62">
        <f t="shared" si="299"/>
        <v>1924003.6100000024</v>
      </c>
      <c r="BC769" s="62">
        <f t="shared" si="315"/>
        <v>551135.85999999777</v>
      </c>
      <c r="BD769" s="63"/>
      <c r="BE769" s="57"/>
      <c r="BF769" s="35" t="str">
        <f>VLOOKUP(A:A,'2023-2027'!A:G,1,+FALSE)</f>
        <v>Оборудование ТП-21 ул Хатанзейского</v>
      </c>
      <c r="BG769" s="7" t="b">
        <f t="shared" si="305"/>
        <v>1</v>
      </c>
      <c r="BH769" s="35">
        <f>VLOOKUP(A:A,'2023-2027'!A:AT,43,+FALSE)</f>
        <v>9715.5182478632487</v>
      </c>
    </row>
    <row r="770" spans="1:60" ht="24" hidden="1" customHeight="1" outlineLevel="1" x14ac:dyDescent="0.2">
      <c r="A770" s="59" t="s">
        <v>1792</v>
      </c>
      <c r="B770" s="59" t="s">
        <v>44</v>
      </c>
      <c r="C770" s="59" t="s">
        <v>82</v>
      </c>
      <c r="D770" s="65" t="s">
        <v>1793</v>
      </c>
      <c r="E770" s="59" t="s">
        <v>1794</v>
      </c>
      <c r="F770" s="60">
        <v>8789</v>
      </c>
      <c r="G770" s="60">
        <v>5438.58</v>
      </c>
      <c r="H770" s="60">
        <v>3350.42</v>
      </c>
      <c r="I770" s="59"/>
      <c r="J770" s="68">
        <v>116.78</v>
      </c>
      <c r="K770" s="59"/>
      <c r="L770" s="59"/>
      <c r="M770" s="60">
        <v>8789</v>
      </c>
      <c r="N770" s="60">
        <v>5555.36</v>
      </c>
      <c r="O770" s="60">
        <v>3233.64</v>
      </c>
      <c r="P770" s="55"/>
      <c r="Q770" s="55"/>
      <c r="R770" s="61">
        <f t="shared" si="294"/>
        <v>9.7316666666666674</v>
      </c>
      <c r="S770" s="60">
        <v>9.7316666670000007</v>
      </c>
      <c r="T770" s="60">
        <v>9.7316666670000007</v>
      </c>
      <c r="U770" s="60">
        <v>9.7316666670000007</v>
      </c>
      <c r="V770" s="60">
        <v>9.7316666670000007</v>
      </c>
      <c r="W770" s="60">
        <v>9.7316666670000007</v>
      </c>
      <c r="X770" s="61">
        <f t="shared" si="295"/>
        <v>58.390000001666664</v>
      </c>
      <c r="Y770" s="60">
        <v>9.7316666670000007</v>
      </c>
      <c r="Z770" s="60">
        <v>9.7316666670000007</v>
      </c>
      <c r="AA770" s="60">
        <v>9.7316666670000007</v>
      </c>
      <c r="AB770" s="60">
        <v>9.7316666670000007</v>
      </c>
      <c r="AC770" s="60">
        <v>9.7316666670000007</v>
      </c>
      <c r="AD770" s="60">
        <v>9.7316666670000007</v>
      </c>
      <c r="AE770" s="61">
        <f t="shared" si="296"/>
        <v>58.390000002000001</v>
      </c>
      <c r="AF770" s="62">
        <f t="shared" si="307"/>
        <v>8789</v>
      </c>
      <c r="AG770" s="62">
        <f t="shared" si="306"/>
        <v>5672.1400000036701</v>
      </c>
      <c r="AH770" s="62">
        <f t="shared" si="301"/>
        <v>3116.8599999963299</v>
      </c>
      <c r="AI770" s="63"/>
      <c r="AJ770" s="63"/>
      <c r="AK770" s="62"/>
      <c r="AL770" s="60">
        <v>9.7316666670000007</v>
      </c>
      <c r="AM770" s="60">
        <v>9.7316666670000007</v>
      </c>
      <c r="AN770" s="60">
        <v>9.7316666670000007</v>
      </c>
      <c r="AO770" s="60">
        <v>9.7316666670000007</v>
      </c>
      <c r="AP770" s="60">
        <v>9.7316666670000007</v>
      </c>
      <c r="AQ770" s="60">
        <v>9.7316666670000007</v>
      </c>
      <c r="AR770" s="61">
        <f t="shared" si="297"/>
        <v>58.390000002000001</v>
      </c>
      <c r="AS770" s="60">
        <v>9.7316666670000007</v>
      </c>
      <c r="AT770" s="60">
        <v>9.7316666670000007</v>
      </c>
      <c r="AU770" s="60">
        <v>9.7316666670000007</v>
      </c>
      <c r="AV770" s="60">
        <v>9.7316666670000007</v>
      </c>
      <c r="AW770" s="60">
        <v>9.7316666670000007</v>
      </c>
      <c r="AX770" s="60">
        <v>9.7316666670000007</v>
      </c>
      <c r="AY770" s="61">
        <f t="shared" si="298"/>
        <v>58.390000002000001</v>
      </c>
      <c r="AZ770" s="56">
        <f t="shared" si="292"/>
        <v>116.780000004</v>
      </c>
      <c r="BA770" s="62">
        <f t="shared" si="314"/>
        <v>8789</v>
      </c>
      <c r="BB770" s="62">
        <f t="shared" si="299"/>
        <v>5788.9200000076744</v>
      </c>
      <c r="BC770" s="62">
        <f t="shared" si="315"/>
        <v>3000.0799999923256</v>
      </c>
      <c r="BD770" s="63"/>
      <c r="BE770" s="57"/>
      <c r="BF770" s="35" t="e">
        <f>VLOOKUP(A:A,'2023-2027'!A:G,1,+FALSE)</f>
        <v>#N/A</v>
      </c>
      <c r="BG770" s="7" t="e">
        <f t="shared" si="305"/>
        <v>#N/A</v>
      </c>
      <c r="BH770" s="35"/>
    </row>
    <row r="771" spans="1:60" ht="12" hidden="1" customHeight="1" outlineLevel="1" x14ac:dyDescent="0.2">
      <c r="A771" s="59" t="s">
        <v>1795</v>
      </c>
      <c r="B771" s="59" t="s">
        <v>44</v>
      </c>
      <c r="C771" s="59" t="s">
        <v>82</v>
      </c>
      <c r="D771" s="65" t="s">
        <v>1796</v>
      </c>
      <c r="E771" s="59" t="s">
        <v>1782</v>
      </c>
      <c r="F771" s="60">
        <v>10340</v>
      </c>
      <c r="G771" s="60">
        <v>6872.08</v>
      </c>
      <c r="H771" s="60">
        <v>3467.92</v>
      </c>
      <c r="I771" s="59"/>
      <c r="J771" s="68">
        <v>156</v>
      </c>
      <c r="K771" s="59"/>
      <c r="L771" s="59"/>
      <c r="M771" s="60">
        <v>10340</v>
      </c>
      <c r="N771" s="60">
        <v>7028.08</v>
      </c>
      <c r="O771" s="60">
        <v>3311.92</v>
      </c>
      <c r="P771" s="55"/>
      <c r="Q771" s="55"/>
      <c r="R771" s="61">
        <f t="shared" si="294"/>
        <v>13</v>
      </c>
      <c r="S771" s="60">
        <v>13</v>
      </c>
      <c r="T771" s="60">
        <v>13</v>
      </c>
      <c r="U771" s="60">
        <v>13</v>
      </c>
      <c r="V771" s="60">
        <v>13</v>
      </c>
      <c r="W771" s="60">
        <v>13</v>
      </c>
      <c r="X771" s="61">
        <f t="shared" si="295"/>
        <v>78</v>
      </c>
      <c r="Y771" s="60">
        <v>13</v>
      </c>
      <c r="Z771" s="60">
        <v>13</v>
      </c>
      <c r="AA771" s="60">
        <v>13</v>
      </c>
      <c r="AB771" s="60">
        <v>13</v>
      </c>
      <c r="AC771" s="60">
        <v>13</v>
      </c>
      <c r="AD771" s="60">
        <v>13</v>
      </c>
      <c r="AE771" s="61">
        <f t="shared" si="296"/>
        <v>78</v>
      </c>
      <c r="AF771" s="62">
        <f t="shared" si="307"/>
        <v>10340</v>
      </c>
      <c r="AG771" s="62">
        <f t="shared" si="306"/>
        <v>7184.08</v>
      </c>
      <c r="AH771" s="62">
        <f t="shared" si="301"/>
        <v>3155.92</v>
      </c>
      <c r="AI771" s="63"/>
      <c r="AJ771" s="63"/>
      <c r="AK771" s="62"/>
      <c r="AL771" s="60">
        <v>13</v>
      </c>
      <c r="AM771" s="60">
        <v>13</v>
      </c>
      <c r="AN771" s="60">
        <v>13</v>
      </c>
      <c r="AO771" s="60">
        <v>13</v>
      </c>
      <c r="AP771" s="60">
        <v>13</v>
      </c>
      <c r="AQ771" s="60">
        <v>13</v>
      </c>
      <c r="AR771" s="61">
        <f t="shared" si="297"/>
        <v>78</v>
      </c>
      <c r="AS771" s="60">
        <v>13</v>
      </c>
      <c r="AT771" s="60">
        <v>13</v>
      </c>
      <c r="AU771" s="60">
        <v>13</v>
      </c>
      <c r="AV771" s="60">
        <v>13</v>
      </c>
      <c r="AW771" s="60">
        <v>13</v>
      </c>
      <c r="AX771" s="60">
        <v>13</v>
      </c>
      <c r="AY771" s="61">
        <f t="shared" si="298"/>
        <v>78</v>
      </c>
      <c r="AZ771" s="56">
        <f t="shared" si="292"/>
        <v>156</v>
      </c>
      <c r="BA771" s="62">
        <f t="shared" si="314"/>
        <v>10340</v>
      </c>
      <c r="BB771" s="62">
        <f t="shared" si="299"/>
        <v>7340.08</v>
      </c>
      <c r="BC771" s="62">
        <f t="shared" si="315"/>
        <v>2999.92</v>
      </c>
      <c r="BD771" s="63"/>
      <c r="BE771" s="57"/>
      <c r="BF771" s="35" t="e">
        <f>VLOOKUP(A:A,'2023-2027'!A:G,1,+FALSE)</f>
        <v>#N/A</v>
      </c>
      <c r="BG771" s="7" t="e">
        <f t="shared" si="305"/>
        <v>#N/A</v>
      </c>
      <c r="BH771" s="35"/>
    </row>
    <row r="772" spans="1:60" ht="24" hidden="1" customHeight="1" outlineLevel="1" x14ac:dyDescent="0.2">
      <c r="A772" s="59" t="s">
        <v>1797</v>
      </c>
      <c r="B772" s="59" t="s">
        <v>44</v>
      </c>
      <c r="C772" s="59" t="s">
        <v>82</v>
      </c>
      <c r="D772" s="66" t="s">
        <v>1798</v>
      </c>
      <c r="E772" s="59" t="s">
        <v>1799</v>
      </c>
      <c r="F772" s="60">
        <v>1220989.8899999999</v>
      </c>
      <c r="G772" s="60">
        <v>740375.93</v>
      </c>
      <c r="H772" s="60">
        <v>480613.96</v>
      </c>
      <c r="I772" s="59"/>
      <c r="J772" s="60">
        <v>18548.16</v>
      </c>
      <c r="K772" s="59"/>
      <c r="L772" s="59"/>
      <c r="M772" s="60">
        <v>1220989.8899999999</v>
      </c>
      <c r="N772" s="60">
        <v>758924.09</v>
      </c>
      <c r="O772" s="60">
        <v>462065.8</v>
      </c>
      <c r="P772" s="55"/>
      <c r="Q772" s="55"/>
      <c r="R772" s="61">
        <f t="shared" si="294"/>
        <v>1545.68</v>
      </c>
      <c r="S772" s="60">
        <v>1545.68</v>
      </c>
      <c r="T772" s="60">
        <v>1545.68</v>
      </c>
      <c r="U772" s="60">
        <v>1545.68</v>
      </c>
      <c r="V772" s="60">
        <v>1545.68</v>
      </c>
      <c r="W772" s="60">
        <v>1545.68</v>
      </c>
      <c r="X772" s="61">
        <f t="shared" si="295"/>
        <v>9274.08</v>
      </c>
      <c r="Y772" s="60">
        <v>1545.68</v>
      </c>
      <c r="Z772" s="60">
        <v>1545.68</v>
      </c>
      <c r="AA772" s="60">
        <v>1545.68</v>
      </c>
      <c r="AB772" s="60">
        <v>1545.68</v>
      </c>
      <c r="AC772" s="60">
        <v>1545.68</v>
      </c>
      <c r="AD772" s="60">
        <v>1545.68</v>
      </c>
      <c r="AE772" s="61">
        <f t="shared" si="296"/>
        <v>9274.08</v>
      </c>
      <c r="AF772" s="62">
        <f t="shared" si="307"/>
        <v>1220989.8899999999</v>
      </c>
      <c r="AG772" s="62">
        <f t="shared" si="306"/>
        <v>777472.25000000058</v>
      </c>
      <c r="AH772" s="62">
        <f t="shared" si="301"/>
        <v>443517.63999999932</v>
      </c>
      <c r="AI772" s="63"/>
      <c r="AJ772" s="63"/>
      <c r="AK772" s="62"/>
      <c r="AL772" s="60">
        <v>1545.68</v>
      </c>
      <c r="AM772" s="60">
        <v>1545.68</v>
      </c>
      <c r="AN772" s="60">
        <v>1545.68</v>
      </c>
      <c r="AO772" s="60">
        <v>1545.68</v>
      </c>
      <c r="AP772" s="60">
        <v>1545.68</v>
      </c>
      <c r="AQ772" s="60">
        <v>1545.68</v>
      </c>
      <c r="AR772" s="61">
        <f t="shared" si="297"/>
        <v>9274.08</v>
      </c>
      <c r="AS772" s="60">
        <v>1545.68</v>
      </c>
      <c r="AT772" s="60">
        <v>1545.68</v>
      </c>
      <c r="AU772" s="60">
        <v>1545.68</v>
      </c>
      <c r="AV772" s="60">
        <v>1545.68</v>
      </c>
      <c r="AW772" s="60">
        <v>1545.68</v>
      </c>
      <c r="AX772" s="60">
        <v>1545.68</v>
      </c>
      <c r="AY772" s="61">
        <f t="shared" si="298"/>
        <v>9274.08</v>
      </c>
      <c r="AZ772" s="56">
        <f t="shared" si="292"/>
        <v>18548.16</v>
      </c>
      <c r="BA772" s="62">
        <f t="shared" si="314"/>
        <v>1220989.8899999999</v>
      </c>
      <c r="BB772" s="62">
        <f t="shared" si="299"/>
        <v>796020.4100000012</v>
      </c>
      <c r="BC772" s="62">
        <f t="shared" si="315"/>
        <v>424969.4799999987</v>
      </c>
      <c r="BD772" s="63"/>
      <c r="BE772" s="57"/>
      <c r="BF772" s="35" t="str">
        <f>VLOOKUP(A:A,'2023-2027'!A:G,1,+FALSE)</f>
        <v>Оборудование ТП-27 канал ст шк 1 1982г.</v>
      </c>
      <c r="BG772" s="7" t="b">
        <f t="shared" si="305"/>
        <v>1</v>
      </c>
      <c r="BH772" s="35">
        <f>VLOOKUP(A:A,'2023-2027'!A:AT,43,+FALSE)</f>
        <v>3333.7900000000004</v>
      </c>
    </row>
    <row r="773" spans="1:60" ht="24" hidden="1" customHeight="1" outlineLevel="1" x14ac:dyDescent="0.2">
      <c r="A773" s="59" t="s">
        <v>1800</v>
      </c>
      <c r="B773" s="59" t="s">
        <v>44</v>
      </c>
      <c r="C773" s="59" t="s">
        <v>82</v>
      </c>
      <c r="D773" s="65" t="s">
        <v>1801</v>
      </c>
      <c r="E773" s="59" t="s">
        <v>1354</v>
      </c>
      <c r="F773" s="60">
        <v>58033</v>
      </c>
      <c r="G773" s="60">
        <v>47960.88</v>
      </c>
      <c r="H773" s="60">
        <v>10072.120000000001</v>
      </c>
      <c r="I773" s="59"/>
      <c r="J773" s="60">
        <v>1414.44</v>
      </c>
      <c r="K773" s="59"/>
      <c r="L773" s="59"/>
      <c r="M773" s="60">
        <v>58033</v>
      </c>
      <c r="N773" s="60">
        <v>49375.32</v>
      </c>
      <c r="O773" s="60">
        <v>8657.68</v>
      </c>
      <c r="P773" s="55"/>
      <c r="Q773" s="55"/>
      <c r="R773" s="61">
        <f t="shared" si="294"/>
        <v>117.87</v>
      </c>
      <c r="S773" s="60">
        <v>117.87</v>
      </c>
      <c r="T773" s="60">
        <v>117.87</v>
      </c>
      <c r="U773" s="60">
        <v>117.87</v>
      </c>
      <c r="V773" s="60">
        <v>117.87</v>
      </c>
      <c r="W773" s="60">
        <v>117.87</v>
      </c>
      <c r="X773" s="61">
        <f t="shared" si="295"/>
        <v>707.22</v>
      </c>
      <c r="Y773" s="60">
        <v>117.87</v>
      </c>
      <c r="Z773" s="60">
        <v>117.87</v>
      </c>
      <c r="AA773" s="60">
        <v>117.87</v>
      </c>
      <c r="AB773" s="60">
        <v>117.87</v>
      </c>
      <c r="AC773" s="60">
        <v>117.87</v>
      </c>
      <c r="AD773" s="60">
        <v>117.87</v>
      </c>
      <c r="AE773" s="61">
        <f t="shared" si="296"/>
        <v>707.22</v>
      </c>
      <c r="AF773" s="62">
        <f t="shared" si="307"/>
        <v>58033</v>
      </c>
      <c r="AG773" s="62">
        <f t="shared" si="306"/>
        <v>50789.760000000031</v>
      </c>
      <c r="AH773" s="62">
        <f t="shared" si="301"/>
        <v>7243.2399999999689</v>
      </c>
      <c r="AI773" s="63"/>
      <c r="AJ773" s="63"/>
      <c r="AK773" s="62"/>
      <c r="AL773" s="60">
        <v>117.87</v>
      </c>
      <c r="AM773" s="60">
        <v>117.87</v>
      </c>
      <c r="AN773" s="60">
        <v>117.87</v>
      </c>
      <c r="AO773" s="60">
        <v>117.87</v>
      </c>
      <c r="AP773" s="60">
        <v>117.87</v>
      </c>
      <c r="AQ773" s="60">
        <v>117.87</v>
      </c>
      <c r="AR773" s="61">
        <f t="shared" si="297"/>
        <v>707.22</v>
      </c>
      <c r="AS773" s="60">
        <v>117.87</v>
      </c>
      <c r="AT773" s="60">
        <v>117.87</v>
      </c>
      <c r="AU773" s="60">
        <v>117.87</v>
      </c>
      <c r="AV773" s="60">
        <v>117.87</v>
      </c>
      <c r="AW773" s="60">
        <v>117.87</v>
      </c>
      <c r="AX773" s="60">
        <v>117.87</v>
      </c>
      <c r="AY773" s="61">
        <f t="shared" si="298"/>
        <v>707.22</v>
      </c>
      <c r="AZ773" s="56">
        <f t="shared" si="292"/>
        <v>1414.44</v>
      </c>
      <c r="BA773" s="62">
        <f t="shared" si="314"/>
        <v>58033</v>
      </c>
      <c r="BB773" s="62">
        <f t="shared" si="299"/>
        <v>52204.200000000063</v>
      </c>
      <c r="BC773" s="62">
        <f t="shared" si="315"/>
        <v>5828.7999999999374</v>
      </c>
      <c r="BD773" s="63"/>
      <c r="BE773" s="57"/>
      <c r="BF773" s="35" t="e">
        <f>VLOOKUP(A:A,'2023-2027'!A:G,1,+FALSE)</f>
        <v>#N/A</v>
      </c>
      <c r="BG773" s="7" t="e">
        <f t="shared" si="305"/>
        <v>#N/A</v>
      </c>
      <c r="BH773" s="35"/>
    </row>
    <row r="774" spans="1:60" ht="24" hidden="1" customHeight="1" outlineLevel="1" x14ac:dyDescent="0.2">
      <c r="A774" s="59" t="s">
        <v>1802</v>
      </c>
      <c r="B774" s="59" t="s">
        <v>44</v>
      </c>
      <c r="C774" s="59" t="s">
        <v>82</v>
      </c>
      <c r="D774" s="66" t="s">
        <v>1803</v>
      </c>
      <c r="E774" s="59" t="s">
        <v>359</v>
      </c>
      <c r="F774" s="60">
        <v>9285466.1799999997</v>
      </c>
      <c r="G774" s="60">
        <v>4939448.6399999997</v>
      </c>
      <c r="H774" s="60">
        <v>4346017.54</v>
      </c>
      <c r="I774" s="59"/>
      <c r="J774" s="60">
        <v>617431.07999999996</v>
      </c>
      <c r="K774" s="59"/>
      <c r="L774" s="59"/>
      <c r="M774" s="60">
        <v>9285466.1799999997</v>
      </c>
      <c r="N774" s="60">
        <v>5556879.7199999997</v>
      </c>
      <c r="O774" s="60">
        <v>3728586.46</v>
      </c>
      <c r="P774" s="55"/>
      <c r="Q774" s="55"/>
      <c r="R774" s="61">
        <f t="shared" si="294"/>
        <v>51452.59</v>
      </c>
      <c r="S774" s="60">
        <v>51452.59</v>
      </c>
      <c r="T774" s="60">
        <v>51452.59</v>
      </c>
      <c r="U774" s="60">
        <v>51452.59</v>
      </c>
      <c r="V774" s="60">
        <v>51452.59</v>
      </c>
      <c r="W774" s="60">
        <v>51452.59</v>
      </c>
      <c r="X774" s="61">
        <f t="shared" si="295"/>
        <v>308715.53999999998</v>
      </c>
      <c r="Y774" s="60">
        <v>51452.59</v>
      </c>
      <c r="Z774" s="60">
        <v>51452.59</v>
      </c>
      <c r="AA774" s="60">
        <v>51452.59</v>
      </c>
      <c r="AB774" s="60">
        <v>51452.59</v>
      </c>
      <c r="AC774" s="60">
        <v>51452.59</v>
      </c>
      <c r="AD774" s="60">
        <v>51452.59</v>
      </c>
      <c r="AE774" s="61">
        <f t="shared" si="296"/>
        <v>308715.53999999998</v>
      </c>
      <c r="AF774" s="62">
        <f t="shared" si="307"/>
        <v>9285466.1799999997</v>
      </c>
      <c r="AG774" s="62">
        <f t="shared" si="306"/>
        <v>6174310.799999998</v>
      </c>
      <c r="AH774" s="62">
        <f t="shared" si="301"/>
        <v>3111155.3800000018</v>
      </c>
      <c r="AI774" s="63"/>
      <c r="AJ774" s="63"/>
      <c r="AK774" s="62"/>
      <c r="AL774" s="60">
        <v>51452.59</v>
      </c>
      <c r="AM774" s="60">
        <v>51452.59</v>
      </c>
      <c r="AN774" s="60">
        <v>51452.59</v>
      </c>
      <c r="AO774" s="60">
        <v>51452.59</v>
      </c>
      <c r="AP774" s="60">
        <v>51452.59</v>
      </c>
      <c r="AQ774" s="60">
        <v>51452.59</v>
      </c>
      <c r="AR774" s="61">
        <f t="shared" si="297"/>
        <v>308715.53999999998</v>
      </c>
      <c r="AS774" s="60">
        <v>51452.59</v>
      </c>
      <c r="AT774" s="60">
        <v>51452.59</v>
      </c>
      <c r="AU774" s="60">
        <v>51452.59</v>
      </c>
      <c r="AV774" s="60">
        <v>51452.59</v>
      </c>
      <c r="AW774" s="60">
        <v>51452.59</v>
      </c>
      <c r="AX774" s="60">
        <v>51452.59</v>
      </c>
      <c r="AY774" s="61">
        <f t="shared" si="298"/>
        <v>308715.53999999998</v>
      </c>
      <c r="AZ774" s="56">
        <f t="shared" si="292"/>
        <v>617431.07999999996</v>
      </c>
      <c r="BA774" s="62">
        <f t="shared" si="314"/>
        <v>9285466.1799999997</v>
      </c>
      <c r="BB774" s="62">
        <f t="shared" si="299"/>
        <v>6791741.8799999962</v>
      </c>
      <c r="BC774" s="62">
        <f t="shared" si="315"/>
        <v>2493724.3000000035</v>
      </c>
      <c r="BD774" s="63"/>
      <c r="BE774" s="57"/>
      <c r="BF774" s="35" t="str">
        <f>VLOOKUP(A:A,'2023-2027'!A:G,1,+FALSE)</f>
        <v>Оборудование ТП-3 "Больница" ул.Ленина 2013г</v>
      </c>
      <c r="BG774" s="7" t="b">
        <f t="shared" si="305"/>
        <v>1</v>
      </c>
      <c r="BH774" s="35">
        <f>VLOOKUP(A:A,'2023-2027'!A:AT,43,+FALSE)</f>
        <v>51585.919999999991</v>
      </c>
    </row>
    <row r="775" spans="1:60" ht="24" hidden="1" customHeight="1" outlineLevel="1" x14ac:dyDescent="0.2">
      <c r="A775" s="59" t="s">
        <v>1804</v>
      </c>
      <c r="B775" s="59" t="s">
        <v>44</v>
      </c>
      <c r="C775" s="59" t="s">
        <v>82</v>
      </c>
      <c r="D775" s="65" t="s">
        <v>1805</v>
      </c>
      <c r="E775" s="59" t="s">
        <v>399</v>
      </c>
      <c r="F775" s="60">
        <v>53187</v>
      </c>
      <c r="G775" s="60">
        <v>49380.58</v>
      </c>
      <c r="H775" s="60">
        <v>3806.42</v>
      </c>
      <c r="I775" s="59"/>
      <c r="J775" s="60">
        <v>1268.78</v>
      </c>
      <c r="K775" s="59"/>
      <c r="L775" s="59"/>
      <c r="M775" s="60">
        <v>53187</v>
      </c>
      <c r="N775" s="60">
        <v>50649.36</v>
      </c>
      <c r="O775" s="60">
        <v>2537.64</v>
      </c>
      <c r="P775" s="55"/>
      <c r="Q775" s="55"/>
      <c r="R775" s="61">
        <f t="shared" si="294"/>
        <v>105.73166666666667</v>
      </c>
      <c r="S775" s="60">
        <v>105.73166670000001</v>
      </c>
      <c r="T775" s="60">
        <v>105.73166670000001</v>
      </c>
      <c r="U775" s="60">
        <v>105.73166670000001</v>
      </c>
      <c r="V775" s="60">
        <v>105.73166670000001</v>
      </c>
      <c r="W775" s="60">
        <v>105.73166670000001</v>
      </c>
      <c r="X775" s="61">
        <f t="shared" si="295"/>
        <v>634.39000016666671</v>
      </c>
      <c r="Y775" s="60">
        <v>105.73166670000001</v>
      </c>
      <c r="Z775" s="60">
        <v>105.73166670000001</v>
      </c>
      <c r="AA775" s="60">
        <v>105.73166670000001</v>
      </c>
      <c r="AB775" s="60">
        <v>105.73166670000001</v>
      </c>
      <c r="AC775" s="60">
        <v>105.73166670000001</v>
      </c>
      <c r="AD775" s="60">
        <v>105.73166670000001</v>
      </c>
      <c r="AE775" s="61">
        <f t="shared" si="296"/>
        <v>634.39000020000003</v>
      </c>
      <c r="AF775" s="62">
        <f t="shared" si="307"/>
        <v>53187</v>
      </c>
      <c r="AG775" s="62">
        <f t="shared" si="306"/>
        <v>51918.140000366642</v>
      </c>
      <c r="AH775" s="62">
        <f t="shared" si="301"/>
        <v>1268.8599996333578</v>
      </c>
      <c r="AI775" s="63"/>
      <c r="AJ775" s="63"/>
      <c r="AK775" s="62"/>
      <c r="AL775" s="60">
        <v>105.73166670000001</v>
      </c>
      <c r="AM775" s="60">
        <v>105.73166670000001</v>
      </c>
      <c r="AN775" s="60">
        <v>105.73166670000001</v>
      </c>
      <c r="AO775" s="60">
        <v>105.73166670000001</v>
      </c>
      <c r="AP775" s="60">
        <v>105.73166670000001</v>
      </c>
      <c r="AQ775" s="60">
        <v>105.73166670000001</v>
      </c>
      <c r="AR775" s="61">
        <f t="shared" si="297"/>
        <v>634.39000020000003</v>
      </c>
      <c r="AS775" s="60">
        <v>105.73166670000001</v>
      </c>
      <c r="AT775" s="60">
        <v>105.73166670000001</v>
      </c>
      <c r="AU775" s="60">
        <v>105.73166670000001</v>
      </c>
      <c r="AV775" s="60">
        <v>105.73166670000001</v>
      </c>
      <c r="AW775" s="60">
        <v>105.73166670000001</v>
      </c>
      <c r="AX775" s="60">
        <v>105.73166670000001</v>
      </c>
      <c r="AY775" s="61">
        <f t="shared" si="298"/>
        <v>634.39000020000003</v>
      </c>
      <c r="AZ775" s="56">
        <f t="shared" si="292"/>
        <v>1268.7800004000001</v>
      </c>
      <c r="BA775" s="62">
        <f t="shared" si="314"/>
        <v>53187</v>
      </c>
      <c r="BB775" s="62">
        <f t="shared" si="299"/>
        <v>53186.920000766615</v>
      </c>
      <c r="BC775" s="62">
        <f t="shared" si="315"/>
        <v>7.9999233385024127E-2</v>
      </c>
      <c r="BD775" s="63"/>
      <c r="BE775" s="57"/>
      <c r="BF775" s="35" t="e">
        <f>VLOOKUP(A:A,'2023-2027'!A:G,1,+FALSE)</f>
        <v>#N/A</v>
      </c>
      <c r="BG775" s="7" t="e">
        <f t="shared" si="305"/>
        <v>#N/A</v>
      </c>
      <c r="BH775" s="35"/>
    </row>
    <row r="776" spans="1:60" ht="24" hidden="1" customHeight="1" outlineLevel="1" x14ac:dyDescent="0.2">
      <c r="A776" s="59" t="s">
        <v>1806</v>
      </c>
      <c r="B776" s="59" t="s">
        <v>44</v>
      </c>
      <c r="C776" s="59" t="s">
        <v>82</v>
      </c>
      <c r="D776" s="65" t="s">
        <v>1807</v>
      </c>
      <c r="E776" s="59" t="s">
        <v>1808</v>
      </c>
      <c r="F776" s="60">
        <v>48602</v>
      </c>
      <c r="G776" s="60">
        <v>40294.19</v>
      </c>
      <c r="H776" s="60">
        <v>8307.81</v>
      </c>
      <c r="I776" s="59"/>
      <c r="J776" s="60">
        <v>1121.52</v>
      </c>
      <c r="K776" s="59"/>
      <c r="L776" s="59"/>
      <c r="M776" s="60">
        <v>48602</v>
      </c>
      <c r="N776" s="60">
        <v>41415.71</v>
      </c>
      <c r="O776" s="60">
        <v>7186.29</v>
      </c>
      <c r="P776" s="55"/>
      <c r="Q776" s="55"/>
      <c r="R776" s="61">
        <f t="shared" si="294"/>
        <v>93.46</v>
      </c>
      <c r="S776" s="60">
        <v>93.46</v>
      </c>
      <c r="T776" s="60">
        <v>93.46</v>
      </c>
      <c r="U776" s="60">
        <v>93.46</v>
      </c>
      <c r="V776" s="60">
        <v>93.46</v>
      </c>
      <c r="W776" s="60">
        <v>93.46</v>
      </c>
      <c r="X776" s="61">
        <f t="shared" si="295"/>
        <v>560.76</v>
      </c>
      <c r="Y776" s="60">
        <v>93.46</v>
      </c>
      <c r="Z776" s="60">
        <v>93.46</v>
      </c>
      <c r="AA776" s="60">
        <v>93.46</v>
      </c>
      <c r="AB776" s="60">
        <v>93.46</v>
      </c>
      <c r="AC776" s="60">
        <v>93.46</v>
      </c>
      <c r="AD776" s="60">
        <v>93.46</v>
      </c>
      <c r="AE776" s="61">
        <f t="shared" si="296"/>
        <v>560.76</v>
      </c>
      <c r="AF776" s="62">
        <f t="shared" si="307"/>
        <v>48602</v>
      </c>
      <c r="AG776" s="62">
        <f t="shared" si="306"/>
        <v>42537.229999999989</v>
      </c>
      <c r="AH776" s="62">
        <f t="shared" si="301"/>
        <v>6064.7700000000114</v>
      </c>
      <c r="AI776" s="63"/>
      <c r="AJ776" s="63"/>
      <c r="AK776" s="62"/>
      <c r="AL776" s="60">
        <v>93.46</v>
      </c>
      <c r="AM776" s="60">
        <v>93.46</v>
      </c>
      <c r="AN776" s="60">
        <v>93.46</v>
      </c>
      <c r="AO776" s="60">
        <v>93.46</v>
      </c>
      <c r="AP776" s="60">
        <v>93.46</v>
      </c>
      <c r="AQ776" s="60">
        <v>93.46</v>
      </c>
      <c r="AR776" s="61">
        <f t="shared" si="297"/>
        <v>560.76</v>
      </c>
      <c r="AS776" s="60">
        <v>93.46</v>
      </c>
      <c r="AT776" s="60">
        <v>93.46</v>
      </c>
      <c r="AU776" s="60">
        <v>93.46</v>
      </c>
      <c r="AV776" s="60">
        <v>93.46</v>
      </c>
      <c r="AW776" s="60">
        <v>93.46</v>
      </c>
      <c r="AX776" s="60">
        <v>93.46</v>
      </c>
      <c r="AY776" s="61">
        <f t="shared" si="298"/>
        <v>560.76</v>
      </c>
      <c r="AZ776" s="56">
        <f t="shared" si="292"/>
        <v>1121.52</v>
      </c>
      <c r="BA776" s="62">
        <f t="shared" si="314"/>
        <v>48602</v>
      </c>
      <c r="BB776" s="62">
        <f t="shared" si="299"/>
        <v>43658.749999999978</v>
      </c>
      <c r="BC776" s="62">
        <f t="shared" si="315"/>
        <v>4943.2500000000218</v>
      </c>
      <c r="BD776" s="63"/>
      <c r="BE776" s="57"/>
      <c r="BF776" s="35" t="e">
        <f>VLOOKUP(A:A,'2023-2027'!A:G,1,+FALSE)</f>
        <v>#N/A</v>
      </c>
      <c r="BG776" s="7" t="e">
        <f t="shared" si="305"/>
        <v>#N/A</v>
      </c>
      <c r="BH776" s="35"/>
    </row>
    <row r="777" spans="1:60" ht="24" hidden="1" customHeight="1" outlineLevel="1" x14ac:dyDescent="0.2">
      <c r="A777" s="59" t="s">
        <v>1809</v>
      </c>
      <c r="B777" s="59" t="s">
        <v>44</v>
      </c>
      <c r="C777" s="59" t="s">
        <v>82</v>
      </c>
      <c r="D777" s="66" t="s">
        <v>1810</v>
      </c>
      <c r="E777" s="59" t="s">
        <v>359</v>
      </c>
      <c r="F777" s="60">
        <v>8382296.4100000001</v>
      </c>
      <c r="G777" s="60">
        <v>4460957.76</v>
      </c>
      <c r="H777" s="60">
        <v>3921338.65</v>
      </c>
      <c r="I777" s="59"/>
      <c r="J777" s="60">
        <v>557619.84</v>
      </c>
      <c r="K777" s="59"/>
      <c r="L777" s="59"/>
      <c r="M777" s="60">
        <v>8382296.4100000001</v>
      </c>
      <c r="N777" s="60">
        <v>5018577.5999999996</v>
      </c>
      <c r="O777" s="60">
        <v>3363718.81</v>
      </c>
      <c r="P777" s="55"/>
      <c r="Q777" s="55"/>
      <c r="R777" s="61">
        <f t="shared" si="294"/>
        <v>46468.32</v>
      </c>
      <c r="S777" s="60">
        <v>46468.32</v>
      </c>
      <c r="T777" s="60">
        <v>46468.32</v>
      </c>
      <c r="U777" s="60">
        <v>46468.32</v>
      </c>
      <c r="V777" s="60">
        <v>46468.32</v>
      </c>
      <c r="W777" s="60">
        <v>46468.32</v>
      </c>
      <c r="X777" s="61">
        <f t="shared" si="295"/>
        <v>278809.92</v>
      </c>
      <c r="Y777" s="60">
        <v>46468.32</v>
      </c>
      <c r="Z777" s="60">
        <v>46468.32</v>
      </c>
      <c r="AA777" s="60">
        <v>46468.32</v>
      </c>
      <c r="AB777" s="60">
        <v>46468.32</v>
      </c>
      <c r="AC777" s="60">
        <v>46468.32</v>
      </c>
      <c r="AD777" s="60">
        <v>46468.32</v>
      </c>
      <c r="AE777" s="61">
        <f t="shared" si="296"/>
        <v>278809.92</v>
      </c>
      <c r="AF777" s="62">
        <f t="shared" si="307"/>
        <v>8382296.4100000001</v>
      </c>
      <c r="AG777" s="62">
        <f t="shared" si="306"/>
        <v>5576197.4400000032</v>
      </c>
      <c r="AH777" s="62">
        <f t="shared" si="301"/>
        <v>2806098.9699999969</v>
      </c>
      <c r="AI777" s="63"/>
      <c r="AJ777" s="63"/>
      <c r="AK777" s="62"/>
      <c r="AL777" s="60">
        <v>46468.32</v>
      </c>
      <c r="AM777" s="60">
        <v>46468.32</v>
      </c>
      <c r="AN777" s="60">
        <v>46468.32</v>
      </c>
      <c r="AO777" s="60">
        <v>46468.32</v>
      </c>
      <c r="AP777" s="60">
        <v>46468.32</v>
      </c>
      <c r="AQ777" s="60">
        <v>46468.32</v>
      </c>
      <c r="AR777" s="61">
        <f t="shared" si="297"/>
        <v>278809.92</v>
      </c>
      <c r="AS777" s="60">
        <v>46468.32</v>
      </c>
      <c r="AT777" s="60">
        <v>46468.32</v>
      </c>
      <c r="AU777" s="60">
        <v>46468.32</v>
      </c>
      <c r="AV777" s="60">
        <v>46468.32</v>
      </c>
      <c r="AW777" s="60">
        <v>46468.32</v>
      </c>
      <c r="AX777" s="60">
        <v>46468.32</v>
      </c>
      <c r="AY777" s="61">
        <f t="shared" si="298"/>
        <v>278809.92</v>
      </c>
      <c r="AZ777" s="56">
        <f t="shared" si="292"/>
        <v>557619.84</v>
      </c>
      <c r="BA777" s="62">
        <f t="shared" si="314"/>
        <v>8382296.4100000001</v>
      </c>
      <c r="BB777" s="62">
        <f t="shared" si="299"/>
        <v>6133817.2800000068</v>
      </c>
      <c r="BC777" s="62">
        <f t="shared" si="315"/>
        <v>2248479.1299999934</v>
      </c>
      <c r="BD777" s="63"/>
      <c r="BE777" s="57"/>
      <c r="BF777" s="35" t="str">
        <f>VLOOKUP(A:A,'2023-2027'!A:G,1,+FALSE)</f>
        <v>Оборудование ТП-32 ул.Ленина, 41  2013г</v>
      </c>
      <c r="BG777" s="7" t="b">
        <f t="shared" si="305"/>
        <v>1</v>
      </c>
      <c r="BH777" s="35">
        <f>VLOOKUP(A:A,'2023-2027'!A:AT,43,+FALSE)</f>
        <v>46568.32</v>
      </c>
    </row>
    <row r="778" spans="1:60" ht="24" hidden="1" customHeight="1" outlineLevel="1" x14ac:dyDescent="0.2">
      <c r="A778" s="59" t="s">
        <v>1811</v>
      </c>
      <c r="B778" s="59" t="s">
        <v>44</v>
      </c>
      <c r="C778" s="59" t="s">
        <v>82</v>
      </c>
      <c r="D778" s="66" t="s">
        <v>1812</v>
      </c>
      <c r="E778" s="59" t="s">
        <v>359</v>
      </c>
      <c r="F778" s="60">
        <v>8961223.3300000001</v>
      </c>
      <c r="G778" s="60">
        <v>4770678.72</v>
      </c>
      <c r="H778" s="60">
        <v>4190544.61</v>
      </c>
      <c r="I778" s="59"/>
      <c r="J778" s="60">
        <v>596334.96</v>
      </c>
      <c r="K778" s="59"/>
      <c r="L778" s="59"/>
      <c r="M778" s="60">
        <v>8961223.3300000001</v>
      </c>
      <c r="N778" s="60">
        <v>5367013.68</v>
      </c>
      <c r="O778" s="60">
        <v>3594209.65</v>
      </c>
      <c r="P778" s="55"/>
      <c r="Q778" s="55"/>
      <c r="R778" s="61">
        <f t="shared" si="294"/>
        <v>49694.579999999994</v>
      </c>
      <c r="S778" s="60">
        <v>49694.58</v>
      </c>
      <c r="T778" s="60">
        <v>49694.58</v>
      </c>
      <c r="U778" s="60">
        <v>49694.58</v>
      </c>
      <c r="V778" s="60">
        <v>49694.58</v>
      </c>
      <c r="W778" s="60">
        <v>49694.58</v>
      </c>
      <c r="X778" s="61">
        <f t="shared" si="295"/>
        <v>298167.48000000004</v>
      </c>
      <c r="Y778" s="60">
        <v>49694.58</v>
      </c>
      <c r="Z778" s="60">
        <v>49694.58</v>
      </c>
      <c r="AA778" s="60">
        <v>49694.58</v>
      </c>
      <c r="AB778" s="60">
        <v>49694.58</v>
      </c>
      <c r="AC778" s="60">
        <v>49694.58</v>
      </c>
      <c r="AD778" s="60">
        <v>49694.58</v>
      </c>
      <c r="AE778" s="61">
        <f t="shared" si="296"/>
        <v>298167.48000000004</v>
      </c>
      <c r="AF778" s="62">
        <f t="shared" si="307"/>
        <v>8961223.3300000001</v>
      </c>
      <c r="AG778" s="62">
        <f t="shared" si="306"/>
        <v>5963348.6400000006</v>
      </c>
      <c r="AH778" s="62">
        <f t="shared" si="301"/>
        <v>2997874.6899999995</v>
      </c>
      <c r="AI778" s="63"/>
      <c r="AJ778" s="63"/>
      <c r="AK778" s="62"/>
      <c r="AL778" s="60">
        <v>49694.58</v>
      </c>
      <c r="AM778" s="60">
        <v>49694.58</v>
      </c>
      <c r="AN778" s="60">
        <v>49694.58</v>
      </c>
      <c r="AO778" s="60">
        <v>49694.58</v>
      </c>
      <c r="AP778" s="60">
        <v>49694.58</v>
      </c>
      <c r="AQ778" s="60">
        <v>49694.58</v>
      </c>
      <c r="AR778" s="61">
        <f t="shared" si="297"/>
        <v>298167.48000000004</v>
      </c>
      <c r="AS778" s="60">
        <v>49694.58</v>
      </c>
      <c r="AT778" s="60">
        <v>49694.58</v>
      </c>
      <c r="AU778" s="60">
        <v>49694.58</v>
      </c>
      <c r="AV778" s="60">
        <v>49694.58</v>
      </c>
      <c r="AW778" s="60">
        <v>49694.58</v>
      </c>
      <c r="AX778" s="60">
        <v>49694.58</v>
      </c>
      <c r="AY778" s="61">
        <f t="shared" si="298"/>
        <v>298167.48000000004</v>
      </c>
      <c r="AZ778" s="56">
        <f t="shared" ref="AZ778:AZ841" si="318">AR778+AY778</f>
        <v>596334.96000000008</v>
      </c>
      <c r="BA778" s="62">
        <f t="shared" si="314"/>
        <v>8961223.3300000001</v>
      </c>
      <c r="BB778" s="62">
        <f t="shared" si="299"/>
        <v>6559683.6000000015</v>
      </c>
      <c r="BC778" s="62">
        <f t="shared" si="315"/>
        <v>2401539.7299999986</v>
      </c>
      <c r="BD778" s="63"/>
      <c r="BE778" s="57"/>
      <c r="BF778" s="35" t="str">
        <f>VLOOKUP(A:A,'2023-2027'!A:G,1,+FALSE)</f>
        <v>Оборудование ТП-37 ул Ленина,27 2013г</v>
      </c>
      <c r="BG778" s="7" t="b">
        <f t="shared" si="305"/>
        <v>1</v>
      </c>
      <c r="BH778" s="35">
        <f>VLOOKUP(A:A,'2023-2027'!A:AT,43,+FALSE)</f>
        <v>49784.57</v>
      </c>
    </row>
    <row r="779" spans="1:60" ht="12" hidden="1" customHeight="1" outlineLevel="1" x14ac:dyDescent="0.2">
      <c r="A779" s="59" t="s">
        <v>1813</v>
      </c>
      <c r="B779" s="59" t="s">
        <v>44</v>
      </c>
      <c r="C779" s="59" t="s">
        <v>82</v>
      </c>
      <c r="D779" s="65" t="s">
        <v>1814</v>
      </c>
      <c r="E779" s="59" t="s">
        <v>1815</v>
      </c>
      <c r="F779" s="60">
        <v>27738</v>
      </c>
      <c r="G779" s="60">
        <v>15975.88</v>
      </c>
      <c r="H779" s="60">
        <v>11762.12</v>
      </c>
      <c r="I779" s="59"/>
      <c r="J779" s="68">
        <v>552.44000000000005</v>
      </c>
      <c r="K779" s="59"/>
      <c r="L779" s="59"/>
      <c r="M779" s="60">
        <v>27738</v>
      </c>
      <c r="N779" s="60">
        <v>16528.32</v>
      </c>
      <c r="O779" s="60">
        <v>11209.68</v>
      </c>
      <c r="P779" s="55"/>
      <c r="Q779" s="55"/>
      <c r="R779" s="61">
        <f t="shared" si="294"/>
        <v>46.036666666666669</v>
      </c>
      <c r="S779" s="60">
        <v>46.036666666999999</v>
      </c>
      <c r="T779" s="60">
        <v>46.036666666999999</v>
      </c>
      <c r="U779" s="60">
        <v>46.036666666999999</v>
      </c>
      <c r="V779" s="60">
        <v>46.036666666999999</v>
      </c>
      <c r="W779" s="60">
        <v>46.036666666999999</v>
      </c>
      <c r="X779" s="61">
        <f t="shared" si="295"/>
        <v>276.22000000166668</v>
      </c>
      <c r="Y779" s="60">
        <v>46.036666666999999</v>
      </c>
      <c r="Z779" s="60">
        <v>46.036666666999999</v>
      </c>
      <c r="AA779" s="60">
        <v>46.036666666999999</v>
      </c>
      <c r="AB779" s="60">
        <v>46.036666666999999</v>
      </c>
      <c r="AC779" s="60">
        <v>46.036666666999999</v>
      </c>
      <c r="AD779" s="60">
        <v>46.036666666999999</v>
      </c>
      <c r="AE779" s="61">
        <f t="shared" si="296"/>
        <v>276.22000000200001</v>
      </c>
      <c r="AF779" s="62">
        <f t="shared" si="307"/>
        <v>27738</v>
      </c>
      <c r="AG779" s="62">
        <f t="shared" si="306"/>
        <v>17080.760000003684</v>
      </c>
      <c r="AH779" s="62">
        <f t="shared" si="301"/>
        <v>10657.239999996316</v>
      </c>
      <c r="AI779" s="63"/>
      <c r="AJ779" s="63"/>
      <c r="AK779" s="62"/>
      <c r="AL779" s="60">
        <v>46.036666666999999</v>
      </c>
      <c r="AM779" s="60">
        <v>46.036666666999999</v>
      </c>
      <c r="AN779" s="60">
        <v>46.036666666999999</v>
      </c>
      <c r="AO779" s="60">
        <v>46.036666666999999</v>
      </c>
      <c r="AP779" s="60">
        <v>46.036666666999999</v>
      </c>
      <c r="AQ779" s="60">
        <v>46.036666666999999</v>
      </c>
      <c r="AR779" s="61">
        <f t="shared" si="297"/>
        <v>276.22000000200001</v>
      </c>
      <c r="AS779" s="60">
        <v>46.036666666999999</v>
      </c>
      <c r="AT779" s="60">
        <v>46.036666666999999</v>
      </c>
      <c r="AU779" s="60">
        <v>46.036666666999999</v>
      </c>
      <c r="AV779" s="60">
        <v>46.036666666999999</v>
      </c>
      <c r="AW779" s="60">
        <v>46.036666666999999</v>
      </c>
      <c r="AX779" s="60">
        <v>46.036666666999999</v>
      </c>
      <c r="AY779" s="61">
        <f t="shared" si="298"/>
        <v>276.22000000200001</v>
      </c>
      <c r="AZ779" s="56">
        <f t="shared" si="318"/>
        <v>552.44000000400001</v>
      </c>
      <c r="BA779" s="62">
        <f t="shared" si="314"/>
        <v>27738</v>
      </c>
      <c r="BB779" s="62">
        <f t="shared" si="299"/>
        <v>17633.200000007702</v>
      </c>
      <c r="BC779" s="62">
        <f t="shared" si="315"/>
        <v>10104.799999992298</v>
      </c>
      <c r="BD779" s="63"/>
      <c r="BE779" s="57"/>
      <c r="BF779" s="35" t="e">
        <f>VLOOKUP(A:A,'2023-2027'!A:G,1,+FALSE)</f>
        <v>#N/A</v>
      </c>
      <c r="BG779" s="7" t="e">
        <f t="shared" si="305"/>
        <v>#N/A</v>
      </c>
      <c r="BH779" s="35"/>
    </row>
    <row r="780" spans="1:60" ht="24" hidden="1" customHeight="1" outlineLevel="1" x14ac:dyDescent="0.2">
      <c r="A780" s="59" t="s">
        <v>103</v>
      </c>
      <c r="B780" s="59" t="s">
        <v>44</v>
      </c>
      <c r="C780" s="59" t="s">
        <v>82</v>
      </c>
      <c r="D780" s="65" t="s">
        <v>1816</v>
      </c>
      <c r="E780" s="59" t="s">
        <v>1456</v>
      </c>
      <c r="F780" s="59"/>
      <c r="G780" s="59"/>
      <c r="H780" s="59"/>
      <c r="I780" s="60">
        <v>3974449.89</v>
      </c>
      <c r="J780" s="59"/>
      <c r="K780" s="59"/>
      <c r="L780" s="59"/>
      <c r="M780" s="60">
        <v>3974449.89</v>
      </c>
      <c r="N780" s="59"/>
      <c r="O780" s="60">
        <v>3974449.89</v>
      </c>
      <c r="P780" s="55"/>
      <c r="Q780" s="55"/>
      <c r="R780" s="61">
        <f t="shared" si="294"/>
        <v>0</v>
      </c>
      <c r="S780" s="60">
        <v>0</v>
      </c>
      <c r="T780" s="60">
        <v>0</v>
      </c>
      <c r="U780" s="60">
        <v>0</v>
      </c>
      <c r="V780" s="60">
        <v>0</v>
      </c>
      <c r="W780" s="60">
        <v>0</v>
      </c>
      <c r="X780" s="61">
        <f t="shared" si="295"/>
        <v>0</v>
      </c>
      <c r="Y780" s="60">
        <v>0</v>
      </c>
      <c r="Z780" s="60">
        <v>0</v>
      </c>
      <c r="AA780" s="60">
        <v>0</v>
      </c>
      <c r="AB780" s="60">
        <v>0</v>
      </c>
      <c r="AC780" s="60">
        <v>0</v>
      </c>
      <c r="AD780" s="60">
        <v>0</v>
      </c>
      <c r="AE780" s="61">
        <f t="shared" si="296"/>
        <v>0</v>
      </c>
      <c r="AF780" s="62">
        <f t="shared" si="307"/>
        <v>3974449.89</v>
      </c>
      <c r="AG780" s="62">
        <f t="shared" si="306"/>
        <v>0</v>
      </c>
      <c r="AH780" s="62">
        <f t="shared" si="301"/>
        <v>3974449.89</v>
      </c>
      <c r="AI780" s="63"/>
      <c r="AJ780" s="63"/>
      <c r="AK780" s="62"/>
      <c r="AL780" s="60">
        <v>0</v>
      </c>
      <c r="AM780" s="60">
        <v>0</v>
      </c>
      <c r="AN780" s="60">
        <v>0</v>
      </c>
      <c r="AO780" s="60">
        <v>0</v>
      </c>
      <c r="AP780" s="60">
        <v>0</v>
      </c>
      <c r="AQ780" s="60">
        <v>0</v>
      </c>
      <c r="AR780" s="61">
        <f t="shared" si="297"/>
        <v>0</v>
      </c>
      <c r="AS780" s="60">
        <v>0</v>
      </c>
      <c r="AT780" s="60">
        <v>0</v>
      </c>
      <c r="AU780" s="60">
        <v>0</v>
      </c>
      <c r="AV780" s="60">
        <v>0</v>
      </c>
      <c r="AW780" s="60">
        <v>0</v>
      </c>
      <c r="AX780" s="60">
        <v>0</v>
      </c>
      <c r="AY780" s="61">
        <f t="shared" si="298"/>
        <v>0</v>
      </c>
      <c r="AZ780" s="56">
        <f t="shared" si="318"/>
        <v>0</v>
      </c>
      <c r="BA780" s="62">
        <f t="shared" si="314"/>
        <v>3974449.89</v>
      </c>
      <c r="BB780" s="62">
        <f t="shared" si="299"/>
        <v>0</v>
      </c>
      <c r="BC780" s="62">
        <f t="shared" si="315"/>
        <v>3974449.89</v>
      </c>
      <c r="BD780" s="63"/>
      <c r="BE780" s="57"/>
      <c r="BF780" s="35" t="str">
        <f>VLOOKUP(A:A,'2023-2027'!A:G,1,+FALSE)</f>
        <v>Модернизация ТП-43 "Водозабор ХНГРЭ" ул. Титова у д.6А</v>
      </c>
      <c r="BG780" s="7" t="b">
        <f t="shared" si="305"/>
        <v>1</v>
      </c>
      <c r="BH780" s="35">
        <f>VLOOKUP(A:A,'2023-2027'!A:AT,43,+FALSE)</f>
        <v>16560.207875</v>
      </c>
    </row>
    <row r="781" spans="1:60" ht="24" hidden="1" customHeight="1" outlineLevel="1" x14ac:dyDescent="0.2">
      <c r="A781" s="59" t="s">
        <v>1817</v>
      </c>
      <c r="B781" s="59" t="s">
        <v>44</v>
      </c>
      <c r="C781" s="59" t="s">
        <v>82</v>
      </c>
      <c r="D781" s="66" t="s">
        <v>1818</v>
      </c>
      <c r="E781" s="59" t="s">
        <v>1799</v>
      </c>
      <c r="F781" s="60">
        <v>525588.19999999995</v>
      </c>
      <c r="G781" s="60">
        <v>459083.18</v>
      </c>
      <c r="H781" s="60">
        <v>66505.02</v>
      </c>
      <c r="I781" s="59"/>
      <c r="J781" s="60">
        <v>11501.04</v>
      </c>
      <c r="K781" s="59"/>
      <c r="L781" s="59"/>
      <c r="M781" s="60">
        <v>525588.19999999995</v>
      </c>
      <c r="N781" s="60">
        <v>470584.22</v>
      </c>
      <c r="O781" s="60">
        <v>55003.98</v>
      </c>
      <c r="P781" s="55"/>
      <c r="Q781" s="55"/>
      <c r="R781" s="61">
        <f t="shared" si="294"/>
        <v>958.42000000000007</v>
      </c>
      <c r="S781" s="60">
        <v>958.42</v>
      </c>
      <c r="T781" s="60">
        <v>958.42</v>
      </c>
      <c r="U781" s="60">
        <v>958.42</v>
      </c>
      <c r="V781" s="60">
        <v>958.42</v>
      </c>
      <c r="W781" s="60">
        <v>958.42</v>
      </c>
      <c r="X781" s="61">
        <f t="shared" si="295"/>
        <v>5750.52</v>
      </c>
      <c r="Y781" s="60">
        <v>958.42</v>
      </c>
      <c r="Z781" s="60">
        <v>958.42</v>
      </c>
      <c r="AA781" s="60">
        <v>958.42</v>
      </c>
      <c r="AB781" s="60">
        <v>958.42</v>
      </c>
      <c r="AC781" s="60">
        <v>958.42</v>
      </c>
      <c r="AD781" s="60">
        <v>958.42</v>
      </c>
      <c r="AE781" s="61">
        <f t="shared" si="296"/>
        <v>5750.5199999999995</v>
      </c>
      <c r="AF781" s="62">
        <f t="shared" si="307"/>
        <v>525588.19999999995</v>
      </c>
      <c r="AG781" s="62">
        <f t="shared" si="306"/>
        <v>482085.25999999978</v>
      </c>
      <c r="AH781" s="62">
        <f t="shared" si="301"/>
        <v>43502.940000000177</v>
      </c>
      <c r="AI781" s="63"/>
      <c r="AJ781" s="63"/>
      <c r="AK781" s="62"/>
      <c r="AL781" s="60">
        <v>958.42</v>
      </c>
      <c r="AM781" s="60">
        <v>958.42</v>
      </c>
      <c r="AN781" s="60">
        <v>958.42</v>
      </c>
      <c r="AO781" s="60">
        <v>958.42</v>
      </c>
      <c r="AP781" s="60">
        <v>958.42</v>
      </c>
      <c r="AQ781" s="60">
        <v>958.42</v>
      </c>
      <c r="AR781" s="61">
        <f t="shared" si="297"/>
        <v>5750.5199999999995</v>
      </c>
      <c r="AS781" s="60">
        <v>958.42</v>
      </c>
      <c r="AT781" s="60">
        <v>958.42</v>
      </c>
      <c r="AU781" s="60">
        <v>958.42</v>
      </c>
      <c r="AV781" s="60">
        <v>958.42</v>
      </c>
      <c r="AW781" s="60">
        <v>958.42</v>
      </c>
      <c r="AX781" s="60">
        <v>958.42</v>
      </c>
      <c r="AY781" s="61">
        <f t="shared" si="298"/>
        <v>5750.5199999999995</v>
      </c>
      <c r="AZ781" s="56">
        <f t="shared" si="318"/>
        <v>11501.039999999999</v>
      </c>
      <c r="BA781" s="62">
        <f t="shared" si="314"/>
        <v>525588.19999999995</v>
      </c>
      <c r="BB781" s="62">
        <f t="shared" si="299"/>
        <v>493586.29999999958</v>
      </c>
      <c r="BC781" s="62">
        <f t="shared" si="315"/>
        <v>32001.900000000373</v>
      </c>
      <c r="BD781" s="63"/>
      <c r="BE781" s="57"/>
      <c r="BF781" s="35" t="str">
        <f>VLOOKUP(A:A,'2023-2027'!A:G,1,+FALSE)</f>
        <v>Оборудование ТП-52 Совхоз ГКТП 1982 г.</v>
      </c>
      <c r="BG781" s="7" t="b">
        <f t="shared" si="305"/>
        <v>1</v>
      </c>
      <c r="BH781" s="35">
        <f>VLOOKUP(A:A,'2023-2027'!A:AT,43,+FALSE)</f>
        <v>2859.8699999999994</v>
      </c>
    </row>
    <row r="782" spans="1:60" ht="24" hidden="1" customHeight="1" outlineLevel="1" x14ac:dyDescent="0.2">
      <c r="A782" s="59" t="s">
        <v>1819</v>
      </c>
      <c r="B782" s="59" t="s">
        <v>44</v>
      </c>
      <c r="C782" s="59" t="s">
        <v>82</v>
      </c>
      <c r="D782" s="65" t="s">
        <v>1820</v>
      </c>
      <c r="E782" s="59" t="s">
        <v>1354</v>
      </c>
      <c r="F782" s="60">
        <v>3642</v>
      </c>
      <c r="G782" s="68">
        <v>557.59</v>
      </c>
      <c r="H782" s="60">
        <v>3084.41</v>
      </c>
      <c r="I782" s="59"/>
      <c r="J782" s="68">
        <v>16.920000000000002</v>
      </c>
      <c r="K782" s="59"/>
      <c r="L782" s="59"/>
      <c r="M782" s="60">
        <v>3642</v>
      </c>
      <c r="N782" s="68">
        <v>574.51</v>
      </c>
      <c r="O782" s="60">
        <v>3067.49</v>
      </c>
      <c r="P782" s="55"/>
      <c r="Q782" s="55"/>
      <c r="R782" s="61">
        <f t="shared" si="294"/>
        <v>1.4100000000000001</v>
      </c>
      <c r="S782" s="60">
        <v>1.41</v>
      </c>
      <c r="T782" s="60">
        <v>1.41</v>
      </c>
      <c r="U782" s="60">
        <v>1.41</v>
      </c>
      <c r="V782" s="60">
        <v>1.41</v>
      </c>
      <c r="W782" s="60">
        <v>1.41</v>
      </c>
      <c r="X782" s="61">
        <f t="shared" si="295"/>
        <v>8.4600000000000009</v>
      </c>
      <c r="Y782" s="60">
        <v>1.41</v>
      </c>
      <c r="Z782" s="60">
        <v>1.41</v>
      </c>
      <c r="AA782" s="60">
        <v>1.41</v>
      </c>
      <c r="AB782" s="60">
        <v>1.41</v>
      </c>
      <c r="AC782" s="60">
        <v>1.41</v>
      </c>
      <c r="AD782" s="60">
        <v>1.41</v>
      </c>
      <c r="AE782" s="61">
        <f t="shared" si="296"/>
        <v>8.4599999999999991</v>
      </c>
      <c r="AF782" s="62">
        <f t="shared" si="307"/>
        <v>3642</v>
      </c>
      <c r="AG782" s="62">
        <f t="shared" si="306"/>
        <v>591.42999999999961</v>
      </c>
      <c r="AH782" s="62">
        <f t="shared" si="301"/>
        <v>3050.5700000000006</v>
      </c>
      <c r="AI782" s="63"/>
      <c r="AJ782" s="63"/>
      <c r="AK782" s="62"/>
      <c r="AL782" s="60">
        <v>1.41</v>
      </c>
      <c r="AM782" s="60">
        <v>1.41</v>
      </c>
      <c r="AN782" s="60">
        <v>1.41</v>
      </c>
      <c r="AO782" s="60">
        <v>1.41</v>
      </c>
      <c r="AP782" s="60">
        <v>1.41</v>
      </c>
      <c r="AQ782" s="60">
        <v>1.41</v>
      </c>
      <c r="AR782" s="61">
        <f t="shared" si="297"/>
        <v>8.4599999999999991</v>
      </c>
      <c r="AS782" s="60">
        <v>1.41</v>
      </c>
      <c r="AT782" s="60">
        <v>1.41</v>
      </c>
      <c r="AU782" s="60">
        <v>1.41</v>
      </c>
      <c r="AV782" s="60">
        <v>1.41</v>
      </c>
      <c r="AW782" s="60">
        <v>1.41</v>
      </c>
      <c r="AX782" s="60">
        <v>1.41</v>
      </c>
      <c r="AY782" s="61">
        <f t="shared" si="298"/>
        <v>8.4599999999999991</v>
      </c>
      <c r="AZ782" s="56">
        <f t="shared" si="318"/>
        <v>16.919999999999998</v>
      </c>
      <c r="BA782" s="62">
        <f t="shared" si="314"/>
        <v>3642</v>
      </c>
      <c r="BB782" s="62">
        <f t="shared" si="299"/>
        <v>608.34999999999923</v>
      </c>
      <c r="BC782" s="62">
        <f t="shared" si="315"/>
        <v>3033.6500000000005</v>
      </c>
      <c r="BD782" s="63"/>
      <c r="BE782" s="57"/>
      <c r="BF782" s="35" t="e">
        <f>VLOOKUP(A:A,'2023-2027'!A:G,1,+FALSE)</f>
        <v>#N/A</v>
      </c>
      <c r="BG782" s="7" t="e">
        <f t="shared" si="305"/>
        <v>#N/A</v>
      </c>
      <c r="BH782" s="35"/>
    </row>
    <row r="783" spans="1:60" ht="12" hidden="1" customHeight="1" outlineLevel="1" x14ac:dyDescent="0.2">
      <c r="A783" s="59" t="s">
        <v>1821</v>
      </c>
      <c r="B783" s="59" t="s">
        <v>44</v>
      </c>
      <c r="C783" s="59" t="s">
        <v>82</v>
      </c>
      <c r="D783" s="66" t="s">
        <v>1822</v>
      </c>
      <c r="E783" s="59" t="s">
        <v>1823</v>
      </c>
      <c r="F783" s="60">
        <v>857091.88</v>
      </c>
      <c r="G783" s="60">
        <v>714198.84</v>
      </c>
      <c r="H783" s="60">
        <v>142893.04</v>
      </c>
      <c r="I783" s="59"/>
      <c r="J783" s="60">
        <v>30391.200000000001</v>
      </c>
      <c r="K783" s="59"/>
      <c r="L783" s="59"/>
      <c r="M783" s="60">
        <v>857091.88</v>
      </c>
      <c r="N783" s="60">
        <v>744590.04</v>
      </c>
      <c r="O783" s="60">
        <v>112501.84</v>
      </c>
      <c r="P783" s="55"/>
      <c r="Q783" s="55"/>
      <c r="R783" s="61">
        <f t="shared" si="294"/>
        <v>2532.6</v>
      </c>
      <c r="S783" s="60">
        <v>2532.6</v>
      </c>
      <c r="T783" s="60">
        <v>2532.6</v>
      </c>
      <c r="U783" s="60">
        <v>2532.6</v>
      </c>
      <c r="V783" s="60">
        <v>2532.6</v>
      </c>
      <c r="W783" s="60">
        <v>2532.6</v>
      </c>
      <c r="X783" s="61">
        <f t="shared" si="295"/>
        <v>15195.6</v>
      </c>
      <c r="Y783" s="60">
        <v>2532.6</v>
      </c>
      <c r="Z783" s="60">
        <v>2532.6</v>
      </c>
      <c r="AA783" s="60">
        <v>2532.6</v>
      </c>
      <c r="AB783" s="60">
        <v>2532.6</v>
      </c>
      <c r="AC783" s="60">
        <v>2532.6</v>
      </c>
      <c r="AD783" s="60">
        <v>2532.6</v>
      </c>
      <c r="AE783" s="61">
        <f t="shared" si="296"/>
        <v>15195.6</v>
      </c>
      <c r="AF783" s="62">
        <f t="shared" si="307"/>
        <v>857091.88</v>
      </c>
      <c r="AG783" s="62">
        <f t="shared" si="306"/>
        <v>774981.23999999976</v>
      </c>
      <c r="AH783" s="62">
        <f t="shared" si="301"/>
        <v>82110.640000000247</v>
      </c>
      <c r="AI783" s="63"/>
      <c r="AJ783" s="63"/>
      <c r="AK783" s="62"/>
      <c r="AL783" s="60">
        <v>2532.6</v>
      </c>
      <c r="AM783" s="60">
        <v>2532.6</v>
      </c>
      <c r="AN783" s="60">
        <v>2532.6</v>
      </c>
      <c r="AO783" s="60">
        <v>2532.6</v>
      </c>
      <c r="AP783" s="60">
        <v>2532.6</v>
      </c>
      <c r="AQ783" s="60">
        <v>2532.6</v>
      </c>
      <c r="AR783" s="61">
        <f t="shared" si="297"/>
        <v>15195.6</v>
      </c>
      <c r="AS783" s="60">
        <v>2532.6</v>
      </c>
      <c r="AT783" s="60">
        <v>2532.6</v>
      </c>
      <c r="AU783" s="60">
        <v>2532.6</v>
      </c>
      <c r="AV783" s="60">
        <v>2532.6</v>
      </c>
      <c r="AW783" s="60">
        <v>2532.6</v>
      </c>
      <c r="AX783" s="60">
        <v>2532.6</v>
      </c>
      <c r="AY783" s="61">
        <f t="shared" si="298"/>
        <v>15195.6</v>
      </c>
      <c r="AZ783" s="56">
        <f t="shared" si="318"/>
        <v>30391.200000000001</v>
      </c>
      <c r="BA783" s="62">
        <f t="shared" si="314"/>
        <v>857091.88</v>
      </c>
      <c r="BB783" s="62">
        <f t="shared" si="299"/>
        <v>805372.43999999948</v>
      </c>
      <c r="BC783" s="62">
        <f t="shared" si="315"/>
        <v>51719.440000000526</v>
      </c>
      <c r="BD783" s="63"/>
      <c r="BE783" s="57"/>
      <c r="BF783" s="35" t="str">
        <f>VLOOKUP(A:A,'2023-2027'!A:G,1,+FALSE)</f>
        <v>Оборудование ТП-66 МРП 1998г.</v>
      </c>
      <c r="BG783" s="7" t="b">
        <f t="shared" si="305"/>
        <v>1</v>
      </c>
      <c r="BH783" s="35">
        <f>VLOOKUP(A:A,'2023-2027'!A:AT,43,+FALSE)</f>
        <v>7104.36</v>
      </c>
    </row>
    <row r="784" spans="1:60" ht="24" hidden="1" customHeight="1" outlineLevel="1" x14ac:dyDescent="0.2">
      <c r="A784" s="59" t="s">
        <v>1824</v>
      </c>
      <c r="B784" s="59" t="s">
        <v>44</v>
      </c>
      <c r="C784" s="59" t="s">
        <v>82</v>
      </c>
      <c r="D784" s="65" t="s">
        <v>1825</v>
      </c>
      <c r="E784" s="59" t="s">
        <v>1791</v>
      </c>
      <c r="F784" s="60">
        <v>14837</v>
      </c>
      <c r="G784" s="60">
        <v>11295.26</v>
      </c>
      <c r="H784" s="60">
        <v>3541.74</v>
      </c>
      <c r="I784" s="59"/>
      <c r="J784" s="68">
        <v>205.92</v>
      </c>
      <c r="K784" s="59"/>
      <c r="L784" s="59"/>
      <c r="M784" s="60">
        <v>14837</v>
      </c>
      <c r="N784" s="60">
        <v>11501.18</v>
      </c>
      <c r="O784" s="60">
        <v>3335.82</v>
      </c>
      <c r="P784" s="55"/>
      <c r="Q784" s="55"/>
      <c r="R784" s="61">
        <f t="shared" si="294"/>
        <v>17.16</v>
      </c>
      <c r="S784" s="60">
        <v>17.16</v>
      </c>
      <c r="T784" s="60">
        <v>17.16</v>
      </c>
      <c r="U784" s="60">
        <v>17.16</v>
      </c>
      <c r="V784" s="60">
        <v>17.16</v>
      </c>
      <c r="W784" s="60">
        <v>17.16</v>
      </c>
      <c r="X784" s="61">
        <f t="shared" si="295"/>
        <v>102.96</v>
      </c>
      <c r="Y784" s="60">
        <v>17.16</v>
      </c>
      <c r="Z784" s="60">
        <v>17.16</v>
      </c>
      <c r="AA784" s="60">
        <v>17.16</v>
      </c>
      <c r="AB784" s="60">
        <v>17.16</v>
      </c>
      <c r="AC784" s="60">
        <v>17.16</v>
      </c>
      <c r="AD784" s="60">
        <v>17.16</v>
      </c>
      <c r="AE784" s="61">
        <f t="shared" si="296"/>
        <v>102.96</v>
      </c>
      <c r="AF784" s="62">
        <f t="shared" si="307"/>
        <v>14837</v>
      </c>
      <c r="AG784" s="62">
        <f t="shared" si="306"/>
        <v>11707.099999999999</v>
      </c>
      <c r="AH784" s="62">
        <f t="shared" si="301"/>
        <v>3129.9000000000015</v>
      </c>
      <c r="AI784" s="63"/>
      <c r="AJ784" s="63"/>
      <c r="AK784" s="62"/>
      <c r="AL784" s="60">
        <v>17.16</v>
      </c>
      <c r="AM784" s="60">
        <v>17.16</v>
      </c>
      <c r="AN784" s="60">
        <v>17.16</v>
      </c>
      <c r="AO784" s="60">
        <v>17.16</v>
      </c>
      <c r="AP784" s="60">
        <v>17.16</v>
      </c>
      <c r="AQ784" s="60">
        <v>17.16</v>
      </c>
      <c r="AR784" s="61">
        <f t="shared" si="297"/>
        <v>102.96</v>
      </c>
      <c r="AS784" s="60">
        <v>17.16</v>
      </c>
      <c r="AT784" s="60">
        <v>17.16</v>
      </c>
      <c r="AU784" s="60">
        <v>17.16</v>
      </c>
      <c r="AV784" s="60">
        <v>17.16</v>
      </c>
      <c r="AW784" s="60">
        <v>17.16</v>
      </c>
      <c r="AX784" s="60">
        <v>17.16</v>
      </c>
      <c r="AY784" s="61">
        <f t="shared" si="298"/>
        <v>102.96</v>
      </c>
      <c r="AZ784" s="56">
        <f t="shared" si="318"/>
        <v>205.92</v>
      </c>
      <c r="BA784" s="62">
        <f t="shared" si="314"/>
        <v>14837</v>
      </c>
      <c r="BB784" s="62">
        <f t="shared" si="299"/>
        <v>11913.019999999997</v>
      </c>
      <c r="BC784" s="62">
        <f t="shared" si="315"/>
        <v>2923.9800000000032</v>
      </c>
      <c r="BD784" s="63"/>
      <c r="BE784" s="57"/>
      <c r="BF784" s="35" t="e">
        <f>VLOOKUP(A:A,'2023-2027'!A:G,1,+FALSE)</f>
        <v>#N/A</v>
      </c>
      <c r="BG784" s="7" t="e">
        <f t="shared" si="305"/>
        <v>#N/A</v>
      </c>
      <c r="BH784" s="35"/>
    </row>
    <row r="785" spans="1:60" ht="36" hidden="1" customHeight="1" outlineLevel="1" x14ac:dyDescent="0.2">
      <c r="A785" s="59" t="s">
        <v>1826</v>
      </c>
      <c r="B785" s="59" t="s">
        <v>44</v>
      </c>
      <c r="C785" s="59" t="s">
        <v>82</v>
      </c>
      <c r="D785" s="66" t="s">
        <v>1827</v>
      </c>
      <c r="E785" s="59" t="s">
        <v>359</v>
      </c>
      <c r="F785" s="60">
        <v>7974514.0499999998</v>
      </c>
      <c r="G785" s="60">
        <v>4243794.24</v>
      </c>
      <c r="H785" s="60">
        <v>3730719.81</v>
      </c>
      <c r="I785" s="59"/>
      <c r="J785" s="60">
        <v>530474.28</v>
      </c>
      <c r="K785" s="59"/>
      <c r="L785" s="59"/>
      <c r="M785" s="60">
        <v>7974514.0499999998</v>
      </c>
      <c r="N785" s="60">
        <v>4774268.5199999996</v>
      </c>
      <c r="O785" s="60">
        <v>3200245.53</v>
      </c>
      <c r="P785" s="55"/>
      <c r="Q785" s="55"/>
      <c r="R785" s="61">
        <f t="shared" si="294"/>
        <v>44206.19</v>
      </c>
      <c r="S785" s="60">
        <v>44206.19</v>
      </c>
      <c r="T785" s="60">
        <v>44206.19</v>
      </c>
      <c r="U785" s="60">
        <v>44206.19</v>
      </c>
      <c r="V785" s="60">
        <v>44206.19</v>
      </c>
      <c r="W785" s="60">
        <v>44206.19</v>
      </c>
      <c r="X785" s="61">
        <f t="shared" si="295"/>
        <v>265237.14</v>
      </c>
      <c r="Y785" s="60">
        <v>44206.19</v>
      </c>
      <c r="Z785" s="60">
        <v>44206.19</v>
      </c>
      <c r="AA785" s="60">
        <v>44206.19</v>
      </c>
      <c r="AB785" s="60">
        <v>44206.19</v>
      </c>
      <c r="AC785" s="60">
        <v>44206.19</v>
      </c>
      <c r="AD785" s="60">
        <v>44206.19</v>
      </c>
      <c r="AE785" s="61">
        <f t="shared" si="296"/>
        <v>265237.14</v>
      </c>
      <c r="AF785" s="62">
        <f t="shared" si="307"/>
        <v>7974514.0499999998</v>
      </c>
      <c r="AG785" s="62">
        <f t="shared" si="306"/>
        <v>5304742.8000000045</v>
      </c>
      <c r="AH785" s="62">
        <f t="shared" si="301"/>
        <v>2669771.2499999953</v>
      </c>
      <c r="AI785" s="63"/>
      <c r="AJ785" s="63"/>
      <c r="AK785" s="62"/>
      <c r="AL785" s="60">
        <v>44206.19</v>
      </c>
      <c r="AM785" s="60">
        <v>44206.19</v>
      </c>
      <c r="AN785" s="60">
        <v>44206.19</v>
      </c>
      <c r="AO785" s="60">
        <v>44206.19</v>
      </c>
      <c r="AP785" s="60">
        <v>44206.19</v>
      </c>
      <c r="AQ785" s="60">
        <v>44206.19</v>
      </c>
      <c r="AR785" s="61">
        <f t="shared" si="297"/>
        <v>265237.14</v>
      </c>
      <c r="AS785" s="60">
        <v>44206.19</v>
      </c>
      <c r="AT785" s="60">
        <v>44206.19</v>
      </c>
      <c r="AU785" s="60">
        <v>44206.19</v>
      </c>
      <c r="AV785" s="60">
        <v>44206.19</v>
      </c>
      <c r="AW785" s="60">
        <v>44206.19</v>
      </c>
      <c r="AX785" s="60">
        <v>44206.19</v>
      </c>
      <c r="AY785" s="61">
        <f t="shared" si="298"/>
        <v>265237.14</v>
      </c>
      <c r="AZ785" s="56">
        <f t="shared" si="318"/>
        <v>530474.28</v>
      </c>
      <c r="BA785" s="62">
        <f t="shared" si="314"/>
        <v>7974514.0499999998</v>
      </c>
      <c r="BB785" s="62">
        <f t="shared" si="299"/>
        <v>5835217.0800000094</v>
      </c>
      <c r="BC785" s="62">
        <f t="shared" si="315"/>
        <v>2139296.9699999904</v>
      </c>
      <c r="BD785" s="63"/>
      <c r="BE785" s="57"/>
      <c r="BF785" s="35" t="str">
        <f>VLOOKUP(A:A,'2023-2027'!A:G,1,+FALSE)</f>
        <v>Оборудование ТП-72 "Микрорайон Центральный"  ул Ленина, 29   2013г</v>
      </c>
      <c r="BG785" s="7" t="b">
        <f t="shared" si="305"/>
        <v>1</v>
      </c>
      <c r="BH785" s="35">
        <f>VLOOKUP(A:A,'2023-2027'!A:AT,43,+FALSE)</f>
        <v>44302.859999999993</v>
      </c>
    </row>
    <row r="786" spans="1:60" ht="24" hidden="1" customHeight="1" outlineLevel="1" x14ac:dyDescent="0.2">
      <c r="A786" s="59" t="s">
        <v>1828</v>
      </c>
      <c r="B786" s="59" t="s">
        <v>44</v>
      </c>
      <c r="C786" s="59" t="s">
        <v>82</v>
      </c>
      <c r="D786" s="66" t="s">
        <v>1829</v>
      </c>
      <c r="E786" s="59" t="s">
        <v>1782</v>
      </c>
      <c r="F786" s="60">
        <v>950550.24</v>
      </c>
      <c r="G786" s="60">
        <v>870103.35</v>
      </c>
      <c r="H786" s="60">
        <v>80446.89</v>
      </c>
      <c r="I786" s="59"/>
      <c r="J786" s="60">
        <v>19812.240000000002</v>
      </c>
      <c r="K786" s="59"/>
      <c r="L786" s="59"/>
      <c r="M786" s="60">
        <v>950550.24</v>
      </c>
      <c r="N786" s="60">
        <v>889915.59</v>
      </c>
      <c r="O786" s="60">
        <v>60634.65</v>
      </c>
      <c r="P786" s="55"/>
      <c r="Q786" s="55"/>
      <c r="R786" s="61">
        <f t="shared" ref="R786:R849" si="319">J786/12</f>
        <v>1651.0200000000002</v>
      </c>
      <c r="S786" s="60">
        <v>1651.02</v>
      </c>
      <c r="T786" s="60">
        <v>1651.02</v>
      </c>
      <c r="U786" s="60">
        <v>1651.02</v>
      </c>
      <c r="V786" s="60">
        <v>1651.02</v>
      </c>
      <c r="W786" s="60">
        <v>1651.02</v>
      </c>
      <c r="X786" s="61">
        <f t="shared" ref="X786:X849" si="320">R786+S786+T786+U786+V786+W786</f>
        <v>9906.1200000000008</v>
      </c>
      <c r="Y786" s="60">
        <v>1651.02</v>
      </c>
      <c r="Z786" s="60">
        <v>1651.02</v>
      </c>
      <c r="AA786" s="60">
        <v>1651.02</v>
      </c>
      <c r="AB786" s="60">
        <v>1651.02</v>
      </c>
      <c r="AC786" s="60">
        <v>1651.02</v>
      </c>
      <c r="AD786" s="60">
        <v>1651.02</v>
      </c>
      <c r="AE786" s="61">
        <f t="shared" ref="AE786:AE849" si="321">Y786+Z786+AA786+AB786+AC786+AD786</f>
        <v>9906.1200000000008</v>
      </c>
      <c r="AF786" s="62">
        <f t="shared" si="307"/>
        <v>950550.24</v>
      </c>
      <c r="AG786" s="62">
        <f t="shared" si="306"/>
        <v>909727.83000000019</v>
      </c>
      <c r="AH786" s="62">
        <f t="shared" si="301"/>
        <v>40822.4099999998</v>
      </c>
      <c r="AI786" s="63"/>
      <c r="AJ786" s="63"/>
      <c r="AK786" s="62"/>
      <c r="AL786" s="60">
        <v>1651.02</v>
      </c>
      <c r="AM786" s="60">
        <v>1651.02</v>
      </c>
      <c r="AN786" s="60">
        <v>1651.02</v>
      </c>
      <c r="AO786" s="60">
        <v>1651.02</v>
      </c>
      <c r="AP786" s="60">
        <v>1651.02</v>
      </c>
      <c r="AQ786" s="60">
        <v>1651.02</v>
      </c>
      <c r="AR786" s="61">
        <f t="shared" ref="AR786:AR849" si="322">AL786+AM786+AN786+AO786+AP786+AQ786</f>
        <v>9906.1200000000008</v>
      </c>
      <c r="AS786" s="60">
        <v>1651.02</v>
      </c>
      <c r="AT786" s="60">
        <v>1651.02</v>
      </c>
      <c r="AU786" s="60">
        <v>1651.02</v>
      </c>
      <c r="AV786" s="60">
        <v>1651.02</v>
      </c>
      <c r="AW786" s="60">
        <v>1651.02</v>
      </c>
      <c r="AX786" s="60">
        <v>1651.02</v>
      </c>
      <c r="AY786" s="61">
        <f t="shared" ref="AY786:AY849" si="323">AS786+AT786+AU786+AV786+AW786+AX786</f>
        <v>9906.1200000000008</v>
      </c>
      <c r="AZ786" s="56">
        <f t="shared" si="318"/>
        <v>19812.240000000002</v>
      </c>
      <c r="BA786" s="62">
        <f t="shared" si="314"/>
        <v>950550.24</v>
      </c>
      <c r="BB786" s="62">
        <f t="shared" ref="BB786:BB849" si="324">AG786+AL786+AM786+AN786+AO786+AP786+AQ786+AS786+AT786+AU786+AV786+AW786+AX786</f>
        <v>929540.07000000041</v>
      </c>
      <c r="BC786" s="62">
        <f t="shared" si="315"/>
        <v>21010.169999999576</v>
      </c>
      <c r="BD786" s="63"/>
      <c r="BE786" s="57"/>
      <c r="BF786" s="35" t="str">
        <f>VLOOKUP(A:A,'2023-2027'!A:G,1,+FALSE)</f>
        <v>Оборудование ТП-8 ул  Ленина 47, 47а</v>
      </c>
      <c r="BG786" s="7" t="b">
        <f t="shared" si="305"/>
        <v>1</v>
      </c>
      <c r="BH786" s="35">
        <f>VLOOKUP(A:A,'2023-2027'!A:AT,43,+FALSE)</f>
        <v>8647.5200000000023</v>
      </c>
    </row>
    <row r="787" spans="1:60" ht="24" hidden="1" customHeight="1" outlineLevel="1" x14ac:dyDescent="0.2">
      <c r="A787" s="59" t="s">
        <v>1830</v>
      </c>
      <c r="B787" s="59" t="s">
        <v>44</v>
      </c>
      <c r="C787" s="59" t="s">
        <v>82</v>
      </c>
      <c r="D787" s="66" t="s">
        <v>1831</v>
      </c>
      <c r="E787" s="59" t="s">
        <v>1172</v>
      </c>
      <c r="F787" s="60">
        <v>945605.02</v>
      </c>
      <c r="G787" s="60">
        <v>824887.14</v>
      </c>
      <c r="H787" s="60">
        <v>120717.88</v>
      </c>
      <c r="I787" s="59"/>
      <c r="J787" s="60">
        <v>14752.2</v>
      </c>
      <c r="K787" s="59"/>
      <c r="L787" s="59"/>
      <c r="M787" s="60">
        <v>945605.02</v>
      </c>
      <c r="N787" s="60">
        <v>839639.34</v>
      </c>
      <c r="O787" s="60">
        <v>105965.68</v>
      </c>
      <c r="P787" s="55"/>
      <c r="Q787" s="55"/>
      <c r="R787" s="61">
        <f t="shared" si="319"/>
        <v>1229.3500000000001</v>
      </c>
      <c r="S787" s="60">
        <v>1229.3499999999999</v>
      </c>
      <c r="T787" s="60">
        <v>1229.3499999999999</v>
      </c>
      <c r="U787" s="60">
        <v>1229.3499999999999</v>
      </c>
      <c r="V787" s="60">
        <v>1229.3499999999999</v>
      </c>
      <c r="W787" s="60">
        <v>1229.3499999999999</v>
      </c>
      <c r="X787" s="61">
        <f t="shared" si="320"/>
        <v>7376.1</v>
      </c>
      <c r="Y787" s="60">
        <v>1229.3499999999999</v>
      </c>
      <c r="Z787" s="60">
        <v>1229.3499999999999</v>
      </c>
      <c r="AA787" s="60">
        <v>1229.3499999999999</v>
      </c>
      <c r="AB787" s="60">
        <v>1229.3499999999999</v>
      </c>
      <c r="AC787" s="60">
        <v>1229.3499999999999</v>
      </c>
      <c r="AD787" s="60">
        <v>1229.3499999999999</v>
      </c>
      <c r="AE787" s="61">
        <f t="shared" si="321"/>
        <v>7376.1</v>
      </c>
      <c r="AF787" s="62">
        <f t="shared" si="307"/>
        <v>945605.02</v>
      </c>
      <c r="AG787" s="62">
        <f t="shared" si="306"/>
        <v>854391.53999999969</v>
      </c>
      <c r="AH787" s="62">
        <f t="shared" ref="AH787:AH850" si="325">AF787-AG787</f>
        <v>91213.480000000331</v>
      </c>
      <c r="AI787" s="63"/>
      <c r="AJ787" s="63"/>
      <c r="AK787" s="62"/>
      <c r="AL787" s="60">
        <v>1229.3499999999999</v>
      </c>
      <c r="AM787" s="60">
        <v>1229.3499999999999</v>
      </c>
      <c r="AN787" s="60">
        <v>1229.3499999999999</v>
      </c>
      <c r="AO787" s="60">
        <v>1229.3499999999999</v>
      </c>
      <c r="AP787" s="60">
        <v>1229.3499999999999</v>
      </c>
      <c r="AQ787" s="60">
        <v>1229.3499999999999</v>
      </c>
      <c r="AR787" s="61">
        <f t="shared" si="322"/>
        <v>7376.1</v>
      </c>
      <c r="AS787" s="60">
        <v>1229.3499999999999</v>
      </c>
      <c r="AT787" s="60">
        <v>1229.3499999999999</v>
      </c>
      <c r="AU787" s="60">
        <v>1229.3499999999999</v>
      </c>
      <c r="AV787" s="60">
        <v>1229.3499999999999</v>
      </c>
      <c r="AW787" s="60">
        <v>1229.3499999999999</v>
      </c>
      <c r="AX787" s="60">
        <v>1229.3499999999999</v>
      </c>
      <c r="AY787" s="61">
        <f t="shared" si="323"/>
        <v>7376.1</v>
      </c>
      <c r="AZ787" s="56">
        <f t="shared" si="318"/>
        <v>14752.2</v>
      </c>
      <c r="BA787" s="62">
        <f t="shared" si="314"/>
        <v>945605.02</v>
      </c>
      <c r="BB787" s="62">
        <f t="shared" si="324"/>
        <v>869143.73999999941</v>
      </c>
      <c r="BC787" s="62">
        <f t="shared" si="315"/>
        <v>76461.28000000061</v>
      </c>
      <c r="BD787" s="63"/>
      <c r="BE787" s="57"/>
      <c r="BF787" s="35" t="str">
        <f>VLOOKUP(A:A,'2023-2027'!A:G,1,+FALSE)</f>
        <v>Оборудование ТП-9  ул Октябрьская 17</v>
      </c>
      <c r="BG787" s="7" t="b">
        <f t="shared" si="305"/>
        <v>1</v>
      </c>
      <c r="BH787" s="35">
        <f>VLOOKUP(A:A,'2023-2027'!A:AT,43,+FALSE)</f>
        <v>5767.39</v>
      </c>
    </row>
    <row r="788" spans="1:60" ht="24" hidden="1" customHeight="1" outlineLevel="1" x14ac:dyDescent="0.2">
      <c r="A788" s="59" t="s">
        <v>1832</v>
      </c>
      <c r="B788" s="59" t="s">
        <v>44</v>
      </c>
      <c r="C788" s="59" t="s">
        <v>82</v>
      </c>
      <c r="D788" s="66" t="s">
        <v>1833</v>
      </c>
      <c r="E788" s="59" t="s">
        <v>1327</v>
      </c>
      <c r="F788" s="60">
        <v>236764.66</v>
      </c>
      <c r="G788" s="60">
        <v>190829.8</v>
      </c>
      <c r="H788" s="60">
        <v>45934.86</v>
      </c>
      <c r="I788" s="59"/>
      <c r="J788" s="60">
        <v>7386.96</v>
      </c>
      <c r="K788" s="59"/>
      <c r="L788" s="59"/>
      <c r="M788" s="60">
        <v>236764.66</v>
      </c>
      <c r="N788" s="60">
        <v>198216.76</v>
      </c>
      <c r="O788" s="60">
        <v>38547.9</v>
      </c>
      <c r="P788" s="55"/>
      <c r="Q788" s="55"/>
      <c r="R788" s="61">
        <f t="shared" si="319"/>
        <v>615.58000000000004</v>
      </c>
      <c r="S788" s="60">
        <v>615.58000000000004</v>
      </c>
      <c r="T788" s="60">
        <v>615.58000000000004</v>
      </c>
      <c r="U788" s="60">
        <v>615.58000000000004</v>
      </c>
      <c r="V788" s="60">
        <v>615.58000000000004</v>
      </c>
      <c r="W788" s="60">
        <v>615.58000000000004</v>
      </c>
      <c r="X788" s="61">
        <f t="shared" si="320"/>
        <v>3693.48</v>
      </c>
      <c r="Y788" s="60">
        <v>615.58000000000004</v>
      </c>
      <c r="Z788" s="60">
        <v>615.58000000000004</v>
      </c>
      <c r="AA788" s="60">
        <v>615.58000000000004</v>
      </c>
      <c r="AB788" s="60">
        <v>615.58000000000004</v>
      </c>
      <c r="AC788" s="60">
        <v>615.58000000000004</v>
      </c>
      <c r="AD788" s="60">
        <v>615.58000000000004</v>
      </c>
      <c r="AE788" s="61">
        <f t="shared" si="321"/>
        <v>3693.48</v>
      </c>
      <c r="AF788" s="62">
        <f t="shared" si="307"/>
        <v>236764.66</v>
      </c>
      <c r="AG788" s="62">
        <f t="shared" si="306"/>
        <v>205603.71999999986</v>
      </c>
      <c r="AH788" s="62">
        <f t="shared" si="325"/>
        <v>31160.940000000148</v>
      </c>
      <c r="AI788" s="63"/>
      <c r="AJ788" s="63"/>
      <c r="AK788" s="62"/>
      <c r="AL788" s="60">
        <v>615.58000000000004</v>
      </c>
      <c r="AM788" s="60">
        <v>615.58000000000004</v>
      </c>
      <c r="AN788" s="60">
        <v>615.58000000000004</v>
      </c>
      <c r="AO788" s="60">
        <v>615.58000000000004</v>
      </c>
      <c r="AP788" s="60">
        <v>615.58000000000004</v>
      </c>
      <c r="AQ788" s="60">
        <v>615.58000000000004</v>
      </c>
      <c r="AR788" s="61">
        <f t="shared" si="322"/>
        <v>3693.48</v>
      </c>
      <c r="AS788" s="60">
        <v>615.58000000000004</v>
      </c>
      <c r="AT788" s="60">
        <v>615.58000000000004</v>
      </c>
      <c r="AU788" s="60">
        <v>615.58000000000004</v>
      </c>
      <c r="AV788" s="60">
        <v>615.58000000000004</v>
      </c>
      <c r="AW788" s="60">
        <v>615.58000000000004</v>
      </c>
      <c r="AX788" s="60">
        <v>615.58000000000004</v>
      </c>
      <c r="AY788" s="61">
        <f t="shared" si="323"/>
        <v>3693.48</v>
      </c>
      <c r="AZ788" s="56">
        <f t="shared" si="318"/>
        <v>7386.96</v>
      </c>
      <c r="BA788" s="62">
        <f t="shared" si="314"/>
        <v>236764.66</v>
      </c>
      <c r="BB788" s="62">
        <f t="shared" si="324"/>
        <v>212990.6799999997</v>
      </c>
      <c r="BC788" s="62">
        <f t="shared" si="315"/>
        <v>23773.980000000302</v>
      </c>
      <c r="BD788" s="63"/>
      <c r="BE788" s="57"/>
      <c r="BF788" s="35" t="str">
        <f>VLOOKUP(A:A,'2023-2027'!A:G,1,+FALSE)</f>
        <v>Оборудование ТП46 Молодежная Факел 1996г</v>
      </c>
      <c r="BG788" s="7" t="b">
        <f t="shared" si="305"/>
        <v>1</v>
      </c>
      <c r="BH788" s="35">
        <f>VLOOKUP(A:A,'2023-2027'!A:AT,43,+FALSE)</f>
        <v>1271.57</v>
      </c>
    </row>
    <row r="789" spans="1:60" ht="24" hidden="1" customHeight="1" outlineLevel="1" x14ac:dyDescent="0.2">
      <c r="A789" s="59" t="s">
        <v>1834</v>
      </c>
      <c r="B789" s="59" t="s">
        <v>44</v>
      </c>
      <c r="C789" s="59" t="s">
        <v>82</v>
      </c>
      <c r="D789" s="65" t="s">
        <v>1835</v>
      </c>
      <c r="E789" s="59" t="s">
        <v>1557</v>
      </c>
      <c r="F789" s="60">
        <v>27922.07</v>
      </c>
      <c r="G789" s="60">
        <v>27922.07</v>
      </c>
      <c r="H789" s="59"/>
      <c r="I789" s="59"/>
      <c r="J789" s="59"/>
      <c r="K789" s="60">
        <v>27922.07</v>
      </c>
      <c r="L789" s="60">
        <v>27922.07</v>
      </c>
      <c r="M789" s="59"/>
      <c r="N789" s="59"/>
      <c r="O789" s="59"/>
      <c r="P789" s="67"/>
      <c r="Q789" s="67"/>
      <c r="R789" s="61">
        <f t="shared" si="319"/>
        <v>0</v>
      </c>
      <c r="S789" s="60">
        <v>0</v>
      </c>
      <c r="T789" s="60">
        <v>0</v>
      </c>
      <c r="U789" s="60">
        <v>0</v>
      </c>
      <c r="V789" s="60">
        <v>0</v>
      </c>
      <c r="W789" s="60">
        <v>0</v>
      </c>
      <c r="X789" s="61">
        <f t="shared" si="320"/>
        <v>0</v>
      </c>
      <c r="Y789" s="60">
        <v>0</v>
      </c>
      <c r="Z789" s="60">
        <v>0</v>
      </c>
      <c r="AA789" s="60">
        <v>0</v>
      </c>
      <c r="AB789" s="60">
        <v>0</v>
      </c>
      <c r="AC789" s="60">
        <v>0</v>
      </c>
      <c r="AD789" s="60">
        <v>0</v>
      </c>
      <c r="AE789" s="61">
        <f t="shared" si="321"/>
        <v>0</v>
      </c>
      <c r="AF789" s="62">
        <f t="shared" si="307"/>
        <v>0</v>
      </c>
      <c r="AG789" s="62">
        <f t="shared" si="306"/>
        <v>0</v>
      </c>
      <c r="AH789" s="62">
        <f t="shared" si="325"/>
        <v>0</v>
      </c>
      <c r="AI789" s="63"/>
      <c r="AJ789" s="63"/>
      <c r="AK789" s="62"/>
      <c r="AL789" s="60">
        <v>0</v>
      </c>
      <c r="AM789" s="60">
        <v>0</v>
      </c>
      <c r="AN789" s="60">
        <v>0</v>
      </c>
      <c r="AO789" s="60">
        <v>0</v>
      </c>
      <c r="AP789" s="60">
        <v>0</v>
      </c>
      <c r="AQ789" s="60">
        <v>0</v>
      </c>
      <c r="AR789" s="61">
        <f t="shared" si="322"/>
        <v>0</v>
      </c>
      <c r="AS789" s="60">
        <v>0</v>
      </c>
      <c r="AT789" s="60">
        <v>0</v>
      </c>
      <c r="AU789" s="60">
        <v>0</v>
      </c>
      <c r="AV789" s="60">
        <v>0</v>
      </c>
      <c r="AW789" s="60">
        <v>0</v>
      </c>
      <c r="AX789" s="60">
        <v>0</v>
      </c>
      <c r="AY789" s="61">
        <f t="shared" si="323"/>
        <v>0</v>
      </c>
      <c r="AZ789" s="56">
        <f t="shared" si="318"/>
        <v>0</v>
      </c>
      <c r="BA789" s="62">
        <f t="shared" si="314"/>
        <v>0</v>
      </c>
      <c r="BB789" s="62">
        <f t="shared" si="324"/>
        <v>0</v>
      </c>
      <c r="BC789" s="62">
        <f t="shared" si="315"/>
        <v>0</v>
      </c>
      <c r="BD789" s="63"/>
      <c r="BE789" s="57"/>
      <c r="BF789" s="35" t="e">
        <f>VLOOKUP(A:A,'2023-2027'!A:G,1,+FALSE)</f>
        <v>#N/A</v>
      </c>
      <c r="BG789" s="7" t="e">
        <f t="shared" si="305"/>
        <v>#N/A</v>
      </c>
      <c r="BH789" s="35"/>
    </row>
    <row r="790" spans="1:60" ht="24" hidden="1" customHeight="1" outlineLevel="1" x14ac:dyDescent="0.2">
      <c r="A790" s="59" t="s">
        <v>1836</v>
      </c>
      <c r="B790" s="59" t="s">
        <v>44</v>
      </c>
      <c r="C790" s="59" t="s">
        <v>82</v>
      </c>
      <c r="D790" s="65" t="s">
        <v>1837</v>
      </c>
      <c r="E790" s="59" t="s">
        <v>1557</v>
      </c>
      <c r="F790" s="60">
        <v>27922.07</v>
      </c>
      <c r="G790" s="60">
        <v>27922.07</v>
      </c>
      <c r="H790" s="59"/>
      <c r="I790" s="59"/>
      <c r="J790" s="59"/>
      <c r="K790" s="60">
        <v>27922.07</v>
      </c>
      <c r="L790" s="60">
        <v>27922.07</v>
      </c>
      <c r="M790" s="59"/>
      <c r="N790" s="59"/>
      <c r="O790" s="59"/>
      <c r="P790" s="67"/>
      <c r="Q790" s="67"/>
      <c r="R790" s="61">
        <f t="shared" si="319"/>
        <v>0</v>
      </c>
      <c r="S790" s="60">
        <v>0</v>
      </c>
      <c r="T790" s="60">
        <v>0</v>
      </c>
      <c r="U790" s="60">
        <v>0</v>
      </c>
      <c r="V790" s="60">
        <v>0</v>
      </c>
      <c r="W790" s="60">
        <v>0</v>
      </c>
      <c r="X790" s="61">
        <f t="shared" si="320"/>
        <v>0</v>
      </c>
      <c r="Y790" s="60">
        <v>0</v>
      </c>
      <c r="Z790" s="60">
        <v>0</v>
      </c>
      <c r="AA790" s="60">
        <v>0</v>
      </c>
      <c r="AB790" s="60">
        <v>0</v>
      </c>
      <c r="AC790" s="60">
        <v>0</v>
      </c>
      <c r="AD790" s="60">
        <v>0</v>
      </c>
      <c r="AE790" s="61">
        <f t="shared" si="321"/>
        <v>0</v>
      </c>
      <c r="AF790" s="62">
        <f t="shared" si="307"/>
        <v>0</v>
      </c>
      <c r="AG790" s="62">
        <f t="shared" si="306"/>
        <v>0</v>
      </c>
      <c r="AH790" s="62">
        <f t="shared" si="325"/>
        <v>0</v>
      </c>
      <c r="AI790" s="63"/>
      <c r="AJ790" s="63"/>
      <c r="AK790" s="62"/>
      <c r="AL790" s="60">
        <v>0</v>
      </c>
      <c r="AM790" s="60">
        <v>0</v>
      </c>
      <c r="AN790" s="60">
        <v>0</v>
      </c>
      <c r="AO790" s="60">
        <v>0</v>
      </c>
      <c r="AP790" s="60">
        <v>0</v>
      </c>
      <c r="AQ790" s="60">
        <v>0</v>
      </c>
      <c r="AR790" s="61">
        <f t="shared" si="322"/>
        <v>0</v>
      </c>
      <c r="AS790" s="60">
        <v>0</v>
      </c>
      <c r="AT790" s="60">
        <v>0</v>
      </c>
      <c r="AU790" s="60">
        <v>0</v>
      </c>
      <c r="AV790" s="60">
        <v>0</v>
      </c>
      <c r="AW790" s="60">
        <v>0</v>
      </c>
      <c r="AX790" s="60">
        <v>0</v>
      </c>
      <c r="AY790" s="61">
        <f t="shared" si="323"/>
        <v>0</v>
      </c>
      <c r="AZ790" s="56">
        <f t="shared" si="318"/>
        <v>0</v>
      </c>
      <c r="BA790" s="62">
        <f t="shared" si="314"/>
        <v>0</v>
      </c>
      <c r="BB790" s="62">
        <f t="shared" si="324"/>
        <v>0</v>
      </c>
      <c r="BC790" s="62">
        <f t="shared" si="315"/>
        <v>0</v>
      </c>
      <c r="BD790" s="63"/>
      <c r="BE790" s="57"/>
      <c r="BF790" s="35" t="e">
        <f>VLOOKUP(A:A,'2023-2027'!A:G,1,+FALSE)</f>
        <v>#N/A</v>
      </c>
      <c r="BG790" s="7" t="e">
        <f t="shared" ref="BG790:BG853" si="326">OR(EXACT(BF790,$A$4:$A$1071))</f>
        <v>#N/A</v>
      </c>
      <c r="BH790" s="35"/>
    </row>
    <row r="791" spans="1:60" ht="24" hidden="1" customHeight="1" outlineLevel="1" x14ac:dyDescent="0.2">
      <c r="A791" s="59" t="s">
        <v>1838</v>
      </c>
      <c r="B791" s="59" t="s">
        <v>44</v>
      </c>
      <c r="C791" s="59" t="s">
        <v>82</v>
      </c>
      <c r="D791" s="65" t="s">
        <v>1839</v>
      </c>
      <c r="E791" s="59" t="s">
        <v>1557</v>
      </c>
      <c r="F791" s="60">
        <v>27922.07</v>
      </c>
      <c r="G791" s="60">
        <v>27922.07</v>
      </c>
      <c r="H791" s="59"/>
      <c r="I791" s="59"/>
      <c r="J791" s="59"/>
      <c r="K791" s="60">
        <v>27922.07</v>
      </c>
      <c r="L791" s="60">
        <v>27922.07</v>
      </c>
      <c r="M791" s="59"/>
      <c r="N791" s="59"/>
      <c r="O791" s="59"/>
      <c r="P791" s="67"/>
      <c r="Q791" s="67"/>
      <c r="R791" s="61">
        <f t="shared" si="319"/>
        <v>0</v>
      </c>
      <c r="S791" s="60">
        <v>0</v>
      </c>
      <c r="T791" s="60">
        <v>0</v>
      </c>
      <c r="U791" s="60">
        <v>0</v>
      </c>
      <c r="V791" s="60">
        <v>0</v>
      </c>
      <c r="W791" s="60">
        <v>0</v>
      </c>
      <c r="X791" s="61">
        <f t="shared" si="320"/>
        <v>0</v>
      </c>
      <c r="Y791" s="60">
        <v>0</v>
      </c>
      <c r="Z791" s="60">
        <v>0</v>
      </c>
      <c r="AA791" s="60">
        <v>0</v>
      </c>
      <c r="AB791" s="60">
        <v>0</v>
      </c>
      <c r="AC791" s="60">
        <v>0</v>
      </c>
      <c r="AD791" s="60">
        <v>0</v>
      </c>
      <c r="AE791" s="61">
        <f t="shared" si="321"/>
        <v>0</v>
      </c>
      <c r="AF791" s="62">
        <f t="shared" si="307"/>
        <v>0</v>
      </c>
      <c r="AG791" s="62">
        <f t="shared" si="306"/>
        <v>0</v>
      </c>
      <c r="AH791" s="62">
        <f t="shared" si="325"/>
        <v>0</v>
      </c>
      <c r="AI791" s="63"/>
      <c r="AJ791" s="63"/>
      <c r="AK791" s="62"/>
      <c r="AL791" s="60">
        <v>0</v>
      </c>
      <c r="AM791" s="60">
        <v>0</v>
      </c>
      <c r="AN791" s="60">
        <v>0</v>
      </c>
      <c r="AO791" s="60">
        <v>0</v>
      </c>
      <c r="AP791" s="60">
        <v>0</v>
      </c>
      <c r="AQ791" s="60">
        <v>0</v>
      </c>
      <c r="AR791" s="61">
        <f t="shared" si="322"/>
        <v>0</v>
      </c>
      <c r="AS791" s="60">
        <v>0</v>
      </c>
      <c r="AT791" s="60">
        <v>0</v>
      </c>
      <c r="AU791" s="60">
        <v>0</v>
      </c>
      <c r="AV791" s="60">
        <v>0</v>
      </c>
      <c r="AW791" s="60">
        <v>0</v>
      </c>
      <c r="AX791" s="60">
        <v>0</v>
      </c>
      <c r="AY791" s="61">
        <f t="shared" si="323"/>
        <v>0</v>
      </c>
      <c r="AZ791" s="56">
        <f t="shared" si="318"/>
        <v>0</v>
      </c>
      <c r="BA791" s="62">
        <f t="shared" si="314"/>
        <v>0</v>
      </c>
      <c r="BB791" s="62">
        <f t="shared" si="324"/>
        <v>0</v>
      </c>
      <c r="BC791" s="62">
        <f t="shared" si="315"/>
        <v>0</v>
      </c>
      <c r="BD791" s="63"/>
      <c r="BE791" s="57"/>
      <c r="BF791" s="35" t="e">
        <f>VLOOKUP(A:A,'2023-2027'!A:G,1,+FALSE)</f>
        <v>#N/A</v>
      </c>
      <c r="BG791" s="7" t="e">
        <f t="shared" si="326"/>
        <v>#N/A</v>
      </c>
      <c r="BH791" s="35"/>
    </row>
    <row r="792" spans="1:60" ht="24" hidden="1" customHeight="1" outlineLevel="1" x14ac:dyDescent="0.2">
      <c r="A792" s="59" t="s">
        <v>1840</v>
      </c>
      <c r="B792" s="59" t="s">
        <v>44</v>
      </c>
      <c r="C792" s="59" t="s">
        <v>82</v>
      </c>
      <c r="D792" s="65" t="s">
        <v>1841</v>
      </c>
      <c r="E792" s="59" t="s">
        <v>1557</v>
      </c>
      <c r="F792" s="60">
        <v>27922.07</v>
      </c>
      <c r="G792" s="60">
        <v>27922.07</v>
      </c>
      <c r="H792" s="59"/>
      <c r="I792" s="59"/>
      <c r="J792" s="59"/>
      <c r="K792" s="60">
        <v>27922.07</v>
      </c>
      <c r="L792" s="60">
        <v>27922.07</v>
      </c>
      <c r="M792" s="59"/>
      <c r="N792" s="59"/>
      <c r="O792" s="59"/>
      <c r="P792" s="67"/>
      <c r="Q792" s="67"/>
      <c r="R792" s="61">
        <f t="shared" si="319"/>
        <v>0</v>
      </c>
      <c r="S792" s="60">
        <v>0</v>
      </c>
      <c r="T792" s="60">
        <v>0</v>
      </c>
      <c r="U792" s="60">
        <v>0</v>
      </c>
      <c r="V792" s="60">
        <v>0</v>
      </c>
      <c r="W792" s="60">
        <v>0</v>
      </c>
      <c r="X792" s="61">
        <f t="shared" si="320"/>
        <v>0</v>
      </c>
      <c r="Y792" s="60">
        <v>0</v>
      </c>
      <c r="Z792" s="60">
        <v>0</v>
      </c>
      <c r="AA792" s="60">
        <v>0</v>
      </c>
      <c r="AB792" s="60">
        <v>0</v>
      </c>
      <c r="AC792" s="60">
        <v>0</v>
      </c>
      <c r="AD792" s="60">
        <v>0</v>
      </c>
      <c r="AE792" s="61">
        <f t="shared" si="321"/>
        <v>0</v>
      </c>
      <c r="AF792" s="62">
        <f t="shared" si="307"/>
        <v>0</v>
      </c>
      <c r="AG792" s="62">
        <f t="shared" si="306"/>
        <v>0</v>
      </c>
      <c r="AH792" s="62">
        <f t="shared" si="325"/>
        <v>0</v>
      </c>
      <c r="AI792" s="63"/>
      <c r="AJ792" s="63"/>
      <c r="AK792" s="62"/>
      <c r="AL792" s="60">
        <v>0</v>
      </c>
      <c r="AM792" s="60">
        <v>0</v>
      </c>
      <c r="AN792" s="60">
        <v>0</v>
      </c>
      <c r="AO792" s="60">
        <v>0</v>
      </c>
      <c r="AP792" s="60">
        <v>0</v>
      </c>
      <c r="AQ792" s="60">
        <v>0</v>
      </c>
      <c r="AR792" s="61">
        <f t="shared" si="322"/>
        <v>0</v>
      </c>
      <c r="AS792" s="60">
        <v>0</v>
      </c>
      <c r="AT792" s="60">
        <v>0</v>
      </c>
      <c r="AU792" s="60">
        <v>0</v>
      </c>
      <c r="AV792" s="60">
        <v>0</v>
      </c>
      <c r="AW792" s="60">
        <v>0</v>
      </c>
      <c r="AX792" s="60">
        <v>0</v>
      </c>
      <c r="AY792" s="61">
        <f t="shared" si="323"/>
        <v>0</v>
      </c>
      <c r="AZ792" s="56">
        <f t="shared" si="318"/>
        <v>0</v>
      </c>
      <c r="BA792" s="62">
        <f t="shared" si="314"/>
        <v>0</v>
      </c>
      <c r="BB792" s="62">
        <f t="shared" si="324"/>
        <v>0</v>
      </c>
      <c r="BC792" s="62">
        <f t="shared" si="315"/>
        <v>0</v>
      </c>
      <c r="BD792" s="63"/>
      <c r="BE792" s="57"/>
      <c r="BF792" s="35" t="e">
        <f>VLOOKUP(A:A,'2023-2027'!A:G,1,+FALSE)</f>
        <v>#N/A</v>
      </c>
      <c r="BG792" s="7" t="e">
        <f t="shared" si="326"/>
        <v>#N/A</v>
      </c>
      <c r="BH792" s="35"/>
    </row>
    <row r="793" spans="1:60" ht="24" hidden="1" customHeight="1" outlineLevel="1" x14ac:dyDescent="0.2">
      <c r="A793" s="59" t="s">
        <v>1842</v>
      </c>
      <c r="B793" s="59" t="s">
        <v>44</v>
      </c>
      <c r="C793" s="59" t="s">
        <v>82</v>
      </c>
      <c r="D793" s="65" t="s">
        <v>1843</v>
      </c>
      <c r="E793" s="59" t="s">
        <v>1557</v>
      </c>
      <c r="F793" s="60">
        <v>27922.07</v>
      </c>
      <c r="G793" s="60">
        <v>27922.07</v>
      </c>
      <c r="H793" s="59"/>
      <c r="I793" s="59"/>
      <c r="J793" s="59"/>
      <c r="K793" s="60">
        <v>27922.07</v>
      </c>
      <c r="L793" s="60">
        <v>27922.07</v>
      </c>
      <c r="M793" s="59"/>
      <c r="N793" s="59"/>
      <c r="O793" s="59"/>
      <c r="P793" s="67"/>
      <c r="Q793" s="67"/>
      <c r="R793" s="61">
        <f t="shared" si="319"/>
        <v>0</v>
      </c>
      <c r="S793" s="60">
        <v>0</v>
      </c>
      <c r="T793" s="60">
        <v>0</v>
      </c>
      <c r="U793" s="60">
        <v>0</v>
      </c>
      <c r="V793" s="60">
        <v>0</v>
      </c>
      <c r="W793" s="60">
        <v>0</v>
      </c>
      <c r="X793" s="61">
        <f t="shared" si="320"/>
        <v>0</v>
      </c>
      <c r="Y793" s="60">
        <v>0</v>
      </c>
      <c r="Z793" s="60">
        <v>0</v>
      </c>
      <c r="AA793" s="60">
        <v>0</v>
      </c>
      <c r="AB793" s="60">
        <v>0</v>
      </c>
      <c r="AC793" s="60">
        <v>0</v>
      </c>
      <c r="AD793" s="60">
        <v>0</v>
      </c>
      <c r="AE793" s="61">
        <f t="shared" si="321"/>
        <v>0</v>
      </c>
      <c r="AF793" s="62">
        <f t="shared" si="307"/>
        <v>0</v>
      </c>
      <c r="AG793" s="62">
        <f t="shared" si="306"/>
        <v>0</v>
      </c>
      <c r="AH793" s="62">
        <f t="shared" si="325"/>
        <v>0</v>
      </c>
      <c r="AI793" s="63"/>
      <c r="AJ793" s="63"/>
      <c r="AK793" s="62"/>
      <c r="AL793" s="60">
        <v>0</v>
      </c>
      <c r="AM793" s="60">
        <v>0</v>
      </c>
      <c r="AN793" s="60">
        <v>0</v>
      </c>
      <c r="AO793" s="60">
        <v>0</v>
      </c>
      <c r="AP793" s="60">
        <v>0</v>
      </c>
      <c r="AQ793" s="60">
        <v>0</v>
      </c>
      <c r="AR793" s="61">
        <f t="shared" si="322"/>
        <v>0</v>
      </c>
      <c r="AS793" s="60">
        <v>0</v>
      </c>
      <c r="AT793" s="60">
        <v>0</v>
      </c>
      <c r="AU793" s="60">
        <v>0</v>
      </c>
      <c r="AV793" s="60">
        <v>0</v>
      </c>
      <c r="AW793" s="60">
        <v>0</v>
      </c>
      <c r="AX793" s="60">
        <v>0</v>
      </c>
      <c r="AY793" s="61">
        <f t="shared" si="323"/>
        <v>0</v>
      </c>
      <c r="AZ793" s="56">
        <f t="shared" si="318"/>
        <v>0</v>
      </c>
      <c r="BA793" s="62">
        <f t="shared" si="314"/>
        <v>0</v>
      </c>
      <c r="BB793" s="62">
        <f t="shared" si="324"/>
        <v>0</v>
      </c>
      <c r="BC793" s="62">
        <f t="shared" si="315"/>
        <v>0</v>
      </c>
      <c r="BD793" s="63"/>
      <c r="BE793" s="57"/>
      <c r="BF793" s="35" t="e">
        <f>VLOOKUP(A:A,'2023-2027'!A:G,1,+FALSE)</f>
        <v>#N/A</v>
      </c>
      <c r="BG793" s="7" t="e">
        <f t="shared" si="326"/>
        <v>#N/A</v>
      </c>
      <c r="BH793" s="35"/>
    </row>
    <row r="794" spans="1:60" ht="24" hidden="1" customHeight="1" outlineLevel="1" x14ac:dyDescent="0.2">
      <c r="A794" s="59" t="s">
        <v>1844</v>
      </c>
      <c r="B794" s="59" t="s">
        <v>44</v>
      </c>
      <c r="C794" s="59" t="s">
        <v>82</v>
      </c>
      <c r="D794" s="65" t="s">
        <v>1845</v>
      </c>
      <c r="E794" s="59" t="s">
        <v>1557</v>
      </c>
      <c r="F794" s="60">
        <v>27922.07</v>
      </c>
      <c r="G794" s="60">
        <v>27922.07</v>
      </c>
      <c r="H794" s="59"/>
      <c r="I794" s="59"/>
      <c r="J794" s="59"/>
      <c r="K794" s="60">
        <v>27922.07</v>
      </c>
      <c r="L794" s="60">
        <v>27922.07</v>
      </c>
      <c r="M794" s="59"/>
      <c r="N794" s="59"/>
      <c r="O794" s="59"/>
      <c r="P794" s="67"/>
      <c r="Q794" s="67"/>
      <c r="R794" s="61">
        <f t="shared" si="319"/>
        <v>0</v>
      </c>
      <c r="S794" s="60">
        <v>0</v>
      </c>
      <c r="T794" s="60">
        <v>0</v>
      </c>
      <c r="U794" s="60">
        <v>0</v>
      </c>
      <c r="V794" s="60">
        <v>0</v>
      </c>
      <c r="W794" s="60">
        <v>0</v>
      </c>
      <c r="X794" s="61">
        <f t="shared" si="320"/>
        <v>0</v>
      </c>
      <c r="Y794" s="60">
        <v>0</v>
      </c>
      <c r="Z794" s="60">
        <v>0</v>
      </c>
      <c r="AA794" s="60">
        <v>0</v>
      </c>
      <c r="AB794" s="60">
        <v>0</v>
      </c>
      <c r="AC794" s="60">
        <v>0</v>
      </c>
      <c r="AD794" s="60">
        <v>0</v>
      </c>
      <c r="AE794" s="61">
        <f t="shared" si="321"/>
        <v>0</v>
      </c>
      <c r="AF794" s="62">
        <f t="shared" si="307"/>
        <v>0</v>
      </c>
      <c r="AG794" s="62">
        <f t="shared" si="306"/>
        <v>0</v>
      </c>
      <c r="AH794" s="62">
        <f t="shared" si="325"/>
        <v>0</v>
      </c>
      <c r="AI794" s="63"/>
      <c r="AJ794" s="63"/>
      <c r="AK794" s="62"/>
      <c r="AL794" s="60">
        <v>0</v>
      </c>
      <c r="AM794" s="60">
        <v>0</v>
      </c>
      <c r="AN794" s="60">
        <v>0</v>
      </c>
      <c r="AO794" s="60">
        <v>0</v>
      </c>
      <c r="AP794" s="60">
        <v>0</v>
      </c>
      <c r="AQ794" s="60">
        <v>0</v>
      </c>
      <c r="AR794" s="61">
        <f t="shared" si="322"/>
        <v>0</v>
      </c>
      <c r="AS794" s="60">
        <v>0</v>
      </c>
      <c r="AT794" s="60">
        <v>0</v>
      </c>
      <c r="AU794" s="60">
        <v>0</v>
      </c>
      <c r="AV794" s="60">
        <v>0</v>
      </c>
      <c r="AW794" s="60">
        <v>0</v>
      </c>
      <c r="AX794" s="60">
        <v>0</v>
      </c>
      <c r="AY794" s="61">
        <f t="shared" si="323"/>
        <v>0</v>
      </c>
      <c r="AZ794" s="56">
        <f t="shared" si="318"/>
        <v>0</v>
      </c>
      <c r="BA794" s="62">
        <f t="shared" si="314"/>
        <v>0</v>
      </c>
      <c r="BB794" s="62">
        <f t="shared" si="324"/>
        <v>0</v>
      </c>
      <c r="BC794" s="62">
        <f t="shared" si="315"/>
        <v>0</v>
      </c>
      <c r="BD794" s="63"/>
      <c r="BE794" s="57"/>
      <c r="BF794" s="35" t="e">
        <f>VLOOKUP(A:A,'2023-2027'!A:G,1,+FALSE)</f>
        <v>#N/A</v>
      </c>
      <c r="BG794" s="7" t="e">
        <f t="shared" si="326"/>
        <v>#N/A</v>
      </c>
      <c r="BH794" s="35"/>
    </row>
    <row r="795" spans="1:60" ht="24" hidden="1" customHeight="1" outlineLevel="1" x14ac:dyDescent="0.2">
      <c r="A795" s="59" t="s">
        <v>1846</v>
      </c>
      <c r="B795" s="59" t="s">
        <v>44</v>
      </c>
      <c r="C795" s="59" t="s">
        <v>82</v>
      </c>
      <c r="D795" s="65" t="s">
        <v>1847</v>
      </c>
      <c r="E795" s="59" t="s">
        <v>1557</v>
      </c>
      <c r="F795" s="60">
        <v>27922.07</v>
      </c>
      <c r="G795" s="60">
        <v>27922.07</v>
      </c>
      <c r="H795" s="59"/>
      <c r="I795" s="59"/>
      <c r="J795" s="59"/>
      <c r="K795" s="60">
        <v>27922.07</v>
      </c>
      <c r="L795" s="60">
        <v>27922.07</v>
      </c>
      <c r="M795" s="59"/>
      <c r="N795" s="59"/>
      <c r="O795" s="59"/>
      <c r="P795" s="67"/>
      <c r="Q795" s="67"/>
      <c r="R795" s="61">
        <f t="shared" si="319"/>
        <v>0</v>
      </c>
      <c r="S795" s="60">
        <v>0</v>
      </c>
      <c r="T795" s="60">
        <v>0</v>
      </c>
      <c r="U795" s="60">
        <v>0</v>
      </c>
      <c r="V795" s="60">
        <v>0</v>
      </c>
      <c r="W795" s="60">
        <v>0</v>
      </c>
      <c r="X795" s="61">
        <f t="shared" si="320"/>
        <v>0</v>
      </c>
      <c r="Y795" s="60">
        <v>0</v>
      </c>
      <c r="Z795" s="60">
        <v>0</v>
      </c>
      <c r="AA795" s="60">
        <v>0</v>
      </c>
      <c r="AB795" s="60">
        <v>0</v>
      </c>
      <c r="AC795" s="60">
        <v>0</v>
      </c>
      <c r="AD795" s="60">
        <v>0</v>
      </c>
      <c r="AE795" s="61">
        <f t="shared" si="321"/>
        <v>0</v>
      </c>
      <c r="AF795" s="62">
        <f t="shared" si="307"/>
        <v>0</v>
      </c>
      <c r="AG795" s="62">
        <f t="shared" ref="AG795:AG858" si="327">N795+R795+S795+T795+U795+V795+W795+Y795+Z795+AA795+AB795+AC795+AD795</f>
        <v>0</v>
      </c>
      <c r="AH795" s="62">
        <f t="shared" si="325"/>
        <v>0</v>
      </c>
      <c r="AI795" s="63"/>
      <c r="AJ795" s="63"/>
      <c r="AK795" s="62"/>
      <c r="AL795" s="60">
        <v>0</v>
      </c>
      <c r="AM795" s="60">
        <v>0</v>
      </c>
      <c r="AN795" s="60">
        <v>0</v>
      </c>
      <c r="AO795" s="60">
        <v>0</v>
      </c>
      <c r="AP795" s="60">
        <v>0</v>
      </c>
      <c r="AQ795" s="60">
        <v>0</v>
      </c>
      <c r="AR795" s="61">
        <f t="shared" si="322"/>
        <v>0</v>
      </c>
      <c r="AS795" s="60">
        <v>0</v>
      </c>
      <c r="AT795" s="60">
        <v>0</v>
      </c>
      <c r="AU795" s="60">
        <v>0</v>
      </c>
      <c r="AV795" s="60">
        <v>0</v>
      </c>
      <c r="AW795" s="60">
        <v>0</v>
      </c>
      <c r="AX795" s="60">
        <v>0</v>
      </c>
      <c r="AY795" s="61">
        <f t="shared" si="323"/>
        <v>0</v>
      </c>
      <c r="AZ795" s="56">
        <f t="shared" si="318"/>
        <v>0</v>
      </c>
      <c r="BA795" s="62">
        <f t="shared" si="314"/>
        <v>0</v>
      </c>
      <c r="BB795" s="62">
        <f t="shared" si="324"/>
        <v>0</v>
      </c>
      <c r="BC795" s="62">
        <f t="shared" si="315"/>
        <v>0</v>
      </c>
      <c r="BD795" s="63"/>
      <c r="BE795" s="57"/>
      <c r="BF795" s="35" t="e">
        <f>VLOOKUP(A:A,'2023-2027'!A:G,1,+FALSE)</f>
        <v>#N/A</v>
      </c>
      <c r="BG795" s="7" t="e">
        <f t="shared" si="326"/>
        <v>#N/A</v>
      </c>
      <c r="BH795" s="35"/>
    </row>
    <row r="796" spans="1:60" ht="24" hidden="1" customHeight="1" outlineLevel="1" x14ac:dyDescent="0.2">
      <c r="A796" s="59" t="s">
        <v>1848</v>
      </c>
      <c r="B796" s="59" t="s">
        <v>44</v>
      </c>
      <c r="C796" s="59" t="s">
        <v>82</v>
      </c>
      <c r="D796" s="65" t="s">
        <v>1849</v>
      </c>
      <c r="E796" s="59" t="s">
        <v>1557</v>
      </c>
      <c r="F796" s="60">
        <v>28272.07</v>
      </c>
      <c r="G796" s="60">
        <v>28272.07</v>
      </c>
      <c r="H796" s="59"/>
      <c r="I796" s="59"/>
      <c r="J796" s="59"/>
      <c r="K796" s="60">
        <v>28272.07</v>
      </c>
      <c r="L796" s="60">
        <v>28272.07</v>
      </c>
      <c r="M796" s="59"/>
      <c r="N796" s="59"/>
      <c r="O796" s="59"/>
      <c r="P796" s="67"/>
      <c r="Q796" s="67"/>
      <c r="R796" s="61">
        <f t="shared" si="319"/>
        <v>0</v>
      </c>
      <c r="S796" s="60">
        <v>0</v>
      </c>
      <c r="T796" s="60">
        <v>0</v>
      </c>
      <c r="U796" s="60">
        <v>0</v>
      </c>
      <c r="V796" s="60">
        <v>0</v>
      </c>
      <c r="W796" s="60">
        <v>0</v>
      </c>
      <c r="X796" s="61">
        <f t="shared" si="320"/>
        <v>0</v>
      </c>
      <c r="Y796" s="60">
        <v>0</v>
      </c>
      <c r="Z796" s="60">
        <v>0</v>
      </c>
      <c r="AA796" s="60">
        <v>0</v>
      </c>
      <c r="AB796" s="60">
        <v>0</v>
      </c>
      <c r="AC796" s="60">
        <v>0</v>
      </c>
      <c r="AD796" s="60">
        <v>0</v>
      </c>
      <c r="AE796" s="61">
        <f t="shared" si="321"/>
        <v>0</v>
      </c>
      <c r="AF796" s="62">
        <f t="shared" si="307"/>
        <v>0</v>
      </c>
      <c r="AG796" s="62">
        <f t="shared" si="327"/>
        <v>0</v>
      </c>
      <c r="AH796" s="62">
        <f t="shared" si="325"/>
        <v>0</v>
      </c>
      <c r="AI796" s="63"/>
      <c r="AJ796" s="63"/>
      <c r="AK796" s="62"/>
      <c r="AL796" s="60">
        <v>0</v>
      </c>
      <c r="AM796" s="60">
        <v>0</v>
      </c>
      <c r="AN796" s="60">
        <v>0</v>
      </c>
      <c r="AO796" s="60">
        <v>0</v>
      </c>
      <c r="AP796" s="60">
        <v>0</v>
      </c>
      <c r="AQ796" s="60">
        <v>0</v>
      </c>
      <c r="AR796" s="61">
        <f t="shared" si="322"/>
        <v>0</v>
      </c>
      <c r="AS796" s="60">
        <v>0</v>
      </c>
      <c r="AT796" s="60">
        <v>0</v>
      </c>
      <c r="AU796" s="60">
        <v>0</v>
      </c>
      <c r="AV796" s="60">
        <v>0</v>
      </c>
      <c r="AW796" s="60">
        <v>0</v>
      </c>
      <c r="AX796" s="60">
        <v>0</v>
      </c>
      <c r="AY796" s="61">
        <f t="shared" si="323"/>
        <v>0</v>
      </c>
      <c r="AZ796" s="56">
        <f t="shared" si="318"/>
        <v>0</v>
      </c>
      <c r="BA796" s="62">
        <f t="shared" si="314"/>
        <v>0</v>
      </c>
      <c r="BB796" s="62">
        <f t="shared" si="324"/>
        <v>0</v>
      </c>
      <c r="BC796" s="62">
        <f t="shared" si="315"/>
        <v>0</v>
      </c>
      <c r="BD796" s="63"/>
      <c r="BE796" s="57"/>
      <c r="BF796" s="35" t="e">
        <f>VLOOKUP(A:A,'2023-2027'!A:G,1,+FALSE)</f>
        <v>#N/A</v>
      </c>
      <c r="BG796" s="7" t="e">
        <f t="shared" si="326"/>
        <v>#N/A</v>
      </c>
      <c r="BH796" s="35"/>
    </row>
    <row r="797" spans="1:60" ht="24" hidden="1" customHeight="1" outlineLevel="1" x14ac:dyDescent="0.2">
      <c r="A797" s="59" t="s">
        <v>1850</v>
      </c>
      <c r="B797" s="59" t="s">
        <v>44</v>
      </c>
      <c r="C797" s="59" t="s">
        <v>82</v>
      </c>
      <c r="D797" s="66" t="s">
        <v>1851</v>
      </c>
      <c r="E797" s="59" t="s">
        <v>1601</v>
      </c>
      <c r="F797" s="60">
        <v>14763.39</v>
      </c>
      <c r="G797" s="60">
        <v>13158.54</v>
      </c>
      <c r="H797" s="60">
        <v>1604.85</v>
      </c>
      <c r="I797" s="59"/>
      <c r="J797" s="68">
        <v>641.94000000000005</v>
      </c>
      <c r="K797" s="59"/>
      <c r="L797" s="59"/>
      <c r="M797" s="60">
        <v>14763.39</v>
      </c>
      <c r="N797" s="60">
        <v>13800.48</v>
      </c>
      <c r="O797" s="68">
        <v>962.91</v>
      </c>
      <c r="P797" s="82"/>
      <c r="Q797" s="82"/>
      <c r="R797" s="61">
        <f t="shared" si="319"/>
        <v>53.495000000000005</v>
      </c>
      <c r="S797" s="60">
        <v>53.494999999999997</v>
      </c>
      <c r="T797" s="60">
        <v>53.494999999999997</v>
      </c>
      <c r="U797" s="60">
        <v>53.494999999999997</v>
      </c>
      <c r="V797" s="60">
        <v>53.494999999999997</v>
      </c>
      <c r="W797" s="60">
        <v>53.494999999999997</v>
      </c>
      <c r="X797" s="61">
        <f t="shared" si="320"/>
        <v>320.97000000000003</v>
      </c>
      <c r="Y797" s="60">
        <v>53.494999999999997</v>
      </c>
      <c r="Z797" s="60">
        <v>53.494999999999997</v>
      </c>
      <c r="AA797" s="60">
        <v>53.494999999999997</v>
      </c>
      <c r="AB797" s="60">
        <v>53.494999999999997</v>
      </c>
      <c r="AC797" s="60">
        <v>53.494999999999997</v>
      </c>
      <c r="AD797" s="60">
        <v>53.494999999999997</v>
      </c>
      <c r="AE797" s="61">
        <f t="shared" si="321"/>
        <v>320.96999999999997</v>
      </c>
      <c r="AF797" s="62">
        <f t="shared" si="307"/>
        <v>14763.39</v>
      </c>
      <c r="AG797" s="62">
        <f t="shared" si="327"/>
        <v>14442.420000000009</v>
      </c>
      <c r="AH797" s="62">
        <f t="shared" si="325"/>
        <v>320.96999999999025</v>
      </c>
      <c r="AI797" s="63"/>
      <c r="AJ797" s="63"/>
      <c r="AK797" s="62"/>
      <c r="AL797" s="60">
        <v>53.494999999999997</v>
      </c>
      <c r="AM797" s="60">
        <v>53.494999999999997</v>
      </c>
      <c r="AN797" s="60">
        <v>53.494999999999997</v>
      </c>
      <c r="AO797" s="60">
        <v>53.494999999999997</v>
      </c>
      <c r="AP797" s="60">
        <v>53.494999999999997</v>
      </c>
      <c r="AQ797" s="60">
        <v>53.497999999999998</v>
      </c>
      <c r="AR797" s="61">
        <f t="shared" si="322"/>
        <v>320.97299999999996</v>
      </c>
      <c r="AS797" s="60"/>
      <c r="AT797" s="60"/>
      <c r="AU797" s="60"/>
      <c r="AV797" s="60"/>
      <c r="AW797" s="60"/>
      <c r="AX797" s="60"/>
      <c r="AY797" s="61">
        <f t="shared" si="323"/>
        <v>0</v>
      </c>
      <c r="AZ797" s="56">
        <f t="shared" si="318"/>
        <v>320.97299999999996</v>
      </c>
      <c r="BA797" s="85">
        <f t="shared" si="314"/>
        <v>14763.39</v>
      </c>
      <c r="BB797" s="85">
        <f t="shared" si="324"/>
        <v>14763.393000000013</v>
      </c>
      <c r="BC797" s="62"/>
      <c r="BD797" s="63"/>
      <c r="BE797" s="57"/>
      <c r="BF797" s="35" t="str">
        <f>VLOOKUP(A:A,'2023-2027'!A:G,1,+FALSE)</f>
        <v>Панель распределительная ЩО-70-1-01УЗ 2001г</v>
      </c>
      <c r="BG797" s="7" t="b">
        <f t="shared" si="326"/>
        <v>1</v>
      </c>
      <c r="BH797" s="35">
        <f>VLOOKUP(A:A,'2023-2027'!A:AT,43,+FALSE)</f>
        <v>53.49</v>
      </c>
    </row>
    <row r="798" spans="1:60" ht="24" hidden="1" customHeight="1" outlineLevel="1" x14ac:dyDescent="0.2">
      <c r="A798" s="59" t="s">
        <v>1852</v>
      </c>
      <c r="B798" s="59" t="s">
        <v>44</v>
      </c>
      <c r="C798" s="59" t="s">
        <v>82</v>
      </c>
      <c r="D798" s="66" t="s">
        <v>1853</v>
      </c>
      <c r="E798" s="59" t="s">
        <v>1601</v>
      </c>
      <c r="F798" s="60">
        <v>9557.9699999999993</v>
      </c>
      <c r="G798" s="60">
        <v>8518.98</v>
      </c>
      <c r="H798" s="60">
        <v>1038.99</v>
      </c>
      <c r="I798" s="59"/>
      <c r="J798" s="68">
        <v>415.56</v>
      </c>
      <c r="K798" s="59"/>
      <c r="L798" s="59"/>
      <c r="M798" s="60">
        <v>9557.9699999999993</v>
      </c>
      <c r="N798" s="60">
        <v>8934.5400000000009</v>
      </c>
      <c r="O798" s="68">
        <v>623.42999999999995</v>
      </c>
      <c r="P798" s="82"/>
      <c r="Q798" s="82"/>
      <c r="R798" s="61">
        <f t="shared" si="319"/>
        <v>34.630000000000003</v>
      </c>
      <c r="S798" s="60">
        <v>34.630000000000003</v>
      </c>
      <c r="T798" s="60">
        <v>34.630000000000003</v>
      </c>
      <c r="U798" s="60">
        <v>34.630000000000003</v>
      </c>
      <c r="V798" s="60">
        <v>34.630000000000003</v>
      </c>
      <c r="W798" s="60">
        <v>34.630000000000003</v>
      </c>
      <c r="X798" s="61">
        <f t="shared" si="320"/>
        <v>207.78</v>
      </c>
      <c r="Y798" s="60">
        <v>34.630000000000003</v>
      </c>
      <c r="Z798" s="60">
        <v>34.630000000000003</v>
      </c>
      <c r="AA798" s="60">
        <v>34.630000000000003</v>
      </c>
      <c r="AB798" s="60">
        <v>34.630000000000003</v>
      </c>
      <c r="AC798" s="60">
        <v>34.630000000000003</v>
      </c>
      <c r="AD798" s="60">
        <v>34.630000000000003</v>
      </c>
      <c r="AE798" s="61">
        <f t="shared" si="321"/>
        <v>207.78</v>
      </c>
      <c r="AF798" s="62">
        <f t="shared" si="307"/>
        <v>9557.9699999999993</v>
      </c>
      <c r="AG798" s="62">
        <f t="shared" si="327"/>
        <v>9350.0999999999913</v>
      </c>
      <c r="AH798" s="62">
        <f t="shared" si="325"/>
        <v>207.87000000000808</v>
      </c>
      <c r="AI798" s="63"/>
      <c r="AJ798" s="63"/>
      <c r="AK798" s="62"/>
      <c r="AL798" s="60">
        <v>34.630000000000003</v>
      </c>
      <c r="AM798" s="60">
        <v>34.630000000000003</v>
      </c>
      <c r="AN798" s="60">
        <v>34.630000000000003</v>
      </c>
      <c r="AO798" s="60">
        <v>34.630000000000003</v>
      </c>
      <c r="AP798" s="60">
        <v>34.630000000000003</v>
      </c>
      <c r="AQ798" s="60">
        <v>34.72</v>
      </c>
      <c r="AR798" s="61">
        <f t="shared" si="322"/>
        <v>207.87</v>
      </c>
      <c r="AS798" s="60"/>
      <c r="AT798" s="60"/>
      <c r="AU798" s="60"/>
      <c r="AV798" s="60"/>
      <c r="AW798" s="60"/>
      <c r="AX798" s="60"/>
      <c r="AY798" s="61">
        <f t="shared" si="323"/>
        <v>0</v>
      </c>
      <c r="AZ798" s="56">
        <f t="shared" si="318"/>
        <v>207.87</v>
      </c>
      <c r="BA798" s="62">
        <f t="shared" si="314"/>
        <v>9557.9699999999993</v>
      </c>
      <c r="BB798" s="62">
        <f t="shared" si="324"/>
        <v>9557.9699999999866</v>
      </c>
      <c r="BC798" s="62">
        <f t="shared" si="315"/>
        <v>0</v>
      </c>
      <c r="BD798" s="63"/>
      <c r="BE798" s="57"/>
      <c r="BF798" s="35" t="str">
        <f>VLOOKUP(A:A,'2023-2027'!A:G,1,+FALSE)</f>
        <v>Панель распределительная ЩО-70-1-04УЗ 2001г</v>
      </c>
      <c r="BG798" s="7" t="b">
        <f t="shared" si="326"/>
        <v>1</v>
      </c>
      <c r="BH798" s="35">
        <f>VLOOKUP(A:A,'2023-2027'!A:AT,43,+FALSE)</f>
        <v>34.630000000000003</v>
      </c>
    </row>
    <row r="799" spans="1:60" ht="12" hidden="1" customHeight="1" outlineLevel="1" x14ac:dyDescent="0.2">
      <c r="A799" s="59" t="s">
        <v>1854</v>
      </c>
      <c r="B799" s="59" t="s">
        <v>44</v>
      </c>
      <c r="C799" s="59" t="s">
        <v>82</v>
      </c>
      <c r="D799" s="65" t="s">
        <v>1855</v>
      </c>
      <c r="E799" s="59" t="s">
        <v>1856</v>
      </c>
      <c r="F799" s="60">
        <v>41225</v>
      </c>
      <c r="G799" s="60">
        <v>29445</v>
      </c>
      <c r="H799" s="60">
        <v>11780</v>
      </c>
      <c r="I799" s="59"/>
      <c r="J799" s="60">
        <v>1178.04</v>
      </c>
      <c r="K799" s="59"/>
      <c r="L799" s="59"/>
      <c r="M799" s="60">
        <v>41225</v>
      </c>
      <c r="N799" s="60">
        <v>30623.040000000001</v>
      </c>
      <c r="O799" s="60">
        <v>10601.96</v>
      </c>
      <c r="P799" s="55"/>
      <c r="Q799" s="55"/>
      <c r="R799" s="61">
        <f t="shared" si="319"/>
        <v>98.17</v>
      </c>
      <c r="S799" s="60">
        <v>98.17</v>
      </c>
      <c r="T799" s="60">
        <v>98.17</v>
      </c>
      <c r="U799" s="60">
        <v>98.17</v>
      </c>
      <c r="V799" s="60">
        <v>98.17</v>
      </c>
      <c r="W799" s="60">
        <v>98.17</v>
      </c>
      <c r="X799" s="61">
        <f t="shared" si="320"/>
        <v>589.02</v>
      </c>
      <c r="Y799" s="60">
        <v>98.17</v>
      </c>
      <c r="Z799" s="60">
        <v>98.17</v>
      </c>
      <c r="AA799" s="60">
        <v>98.17</v>
      </c>
      <c r="AB799" s="60">
        <v>98.17</v>
      </c>
      <c r="AC799" s="60">
        <v>98.17</v>
      </c>
      <c r="AD799" s="60">
        <v>98.17</v>
      </c>
      <c r="AE799" s="61">
        <f t="shared" si="321"/>
        <v>589.02</v>
      </c>
      <c r="AF799" s="62">
        <f t="shared" ref="AF799:AF862" si="328">M799</f>
        <v>41225</v>
      </c>
      <c r="AG799" s="62">
        <f t="shared" si="327"/>
        <v>31801.07999999998</v>
      </c>
      <c r="AH799" s="62">
        <f t="shared" si="325"/>
        <v>9423.9200000000201</v>
      </c>
      <c r="AI799" s="63"/>
      <c r="AJ799" s="63"/>
      <c r="AK799" s="62"/>
      <c r="AL799" s="60">
        <v>98.17</v>
      </c>
      <c r="AM799" s="60">
        <v>98.17</v>
      </c>
      <c r="AN799" s="60">
        <v>98.17</v>
      </c>
      <c r="AO799" s="60">
        <v>98.17</v>
      </c>
      <c r="AP799" s="60">
        <v>98.17</v>
      </c>
      <c r="AQ799" s="60">
        <v>98.17</v>
      </c>
      <c r="AR799" s="61">
        <f t="shared" si="322"/>
        <v>589.02</v>
      </c>
      <c r="AS799" s="60">
        <v>98.17</v>
      </c>
      <c r="AT799" s="60">
        <v>98.17</v>
      </c>
      <c r="AU799" s="60">
        <v>98.17</v>
      </c>
      <c r="AV799" s="60">
        <v>98.17</v>
      </c>
      <c r="AW799" s="60">
        <v>98.17</v>
      </c>
      <c r="AX799" s="60">
        <v>98.17</v>
      </c>
      <c r="AY799" s="61">
        <f t="shared" si="323"/>
        <v>589.02</v>
      </c>
      <c r="AZ799" s="56">
        <f t="shared" si="318"/>
        <v>1178.04</v>
      </c>
      <c r="BA799" s="62">
        <f t="shared" si="314"/>
        <v>41225</v>
      </c>
      <c r="BB799" s="62">
        <f t="shared" si="324"/>
        <v>32979.119999999959</v>
      </c>
      <c r="BC799" s="62">
        <f t="shared" si="315"/>
        <v>8245.880000000041</v>
      </c>
      <c r="BD799" s="63"/>
      <c r="BE799" s="57"/>
      <c r="BF799" s="35" t="e">
        <f>VLOOKUP(A:A,'2023-2027'!A:G,1,+FALSE)</f>
        <v>#N/A</v>
      </c>
      <c r="BG799" s="7" t="e">
        <f t="shared" si="326"/>
        <v>#N/A</v>
      </c>
      <c r="BH799" s="35"/>
    </row>
    <row r="800" spans="1:60" ht="12" hidden="1" customHeight="1" outlineLevel="1" x14ac:dyDescent="0.2">
      <c r="A800" s="59" t="s">
        <v>1857</v>
      </c>
      <c r="B800" s="59" t="s">
        <v>44</v>
      </c>
      <c r="C800" s="59" t="s">
        <v>82</v>
      </c>
      <c r="D800" s="66" t="s">
        <v>1858</v>
      </c>
      <c r="E800" s="59" t="s">
        <v>440</v>
      </c>
      <c r="F800" s="60">
        <v>20236.95</v>
      </c>
      <c r="G800" s="60">
        <v>20236.95</v>
      </c>
      <c r="H800" s="59"/>
      <c r="I800" s="59"/>
      <c r="J800" s="59"/>
      <c r="K800" s="60">
        <v>20236.95</v>
      </c>
      <c r="L800" s="60">
        <v>20236.95</v>
      </c>
      <c r="M800" s="59"/>
      <c r="N800" s="59"/>
      <c r="O800" s="59"/>
      <c r="P800" s="67"/>
      <c r="Q800" s="67"/>
      <c r="R800" s="61">
        <f t="shared" si="319"/>
        <v>0</v>
      </c>
      <c r="S800" s="60">
        <v>0</v>
      </c>
      <c r="T800" s="60">
        <v>0</v>
      </c>
      <c r="U800" s="60">
        <v>0</v>
      </c>
      <c r="V800" s="60">
        <v>0</v>
      </c>
      <c r="W800" s="60">
        <v>0</v>
      </c>
      <c r="X800" s="61">
        <f t="shared" si="320"/>
        <v>0</v>
      </c>
      <c r="Y800" s="60">
        <v>0</v>
      </c>
      <c r="Z800" s="60">
        <v>0</v>
      </c>
      <c r="AA800" s="60">
        <v>0</v>
      </c>
      <c r="AB800" s="60">
        <v>0</v>
      </c>
      <c r="AC800" s="60">
        <v>0</v>
      </c>
      <c r="AD800" s="60">
        <v>0</v>
      </c>
      <c r="AE800" s="61">
        <f t="shared" si="321"/>
        <v>0</v>
      </c>
      <c r="AF800" s="62">
        <f t="shared" si="328"/>
        <v>0</v>
      </c>
      <c r="AG800" s="62">
        <f t="shared" si="327"/>
        <v>0</v>
      </c>
      <c r="AH800" s="62">
        <f t="shared" si="325"/>
        <v>0</v>
      </c>
      <c r="AI800" s="63"/>
      <c r="AJ800" s="63"/>
      <c r="AK800" s="62"/>
      <c r="AL800" s="60">
        <v>0</v>
      </c>
      <c r="AM800" s="60">
        <v>0</v>
      </c>
      <c r="AN800" s="60">
        <v>0</v>
      </c>
      <c r="AO800" s="60">
        <v>0</v>
      </c>
      <c r="AP800" s="60">
        <v>0</v>
      </c>
      <c r="AQ800" s="60">
        <v>0</v>
      </c>
      <c r="AR800" s="61">
        <f t="shared" si="322"/>
        <v>0</v>
      </c>
      <c r="AS800" s="60">
        <v>0</v>
      </c>
      <c r="AT800" s="60">
        <v>0</v>
      </c>
      <c r="AU800" s="60">
        <v>0</v>
      </c>
      <c r="AV800" s="60">
        <v>0</v>
      </c>
      <c r="AW800" s="60">
        <v>0</v>
      </c>
      <c r="AX800" s="60">
        <v>0</v>
      </c>
      <c r="AY800" s="61">
        <f t="shared" si="323"/>
        <v>0</v>
      </c>
      <c r="AZ800" s="56">
        <f t="shared" si="318"/>
        <v>0</v>
      </c>
      <c r="BA800" s="62">
        <f t="shared" si="314"/>
        <v>0</v>
      </c>
      <c r="BB800" s="62">
        <f t="shared" si="324"/>
        <v>0</v>
      </c>
      <c r="BC800" s="62">
        <f t="shared" si="315"/>
        <v>0</v>
      </c>
      <c r="BD800" s="63"/>
      <c r="BE800" s="57"/>
      <c r="BF800" s="35" t="str">
        <f>VLOOKUP(A:A,'2023-2027'!A:G,1,+FALSE)</f>
        <v>Панель ЩО 70-1-02</v>
      </c>
      <c r="BG800" s="7" t="b">
        <f t="shared" si="326"/>
        <v>1</v>
      </c>
      <c r="BH800" s="35">
        <f>VLOOKUP(A:A,'2023-2027'!A:AT,43,+FALSE)</f>
        <v>0</v>
      </c>
    </row>
    <row r="801" spans="1:60" ht="12" hidden="1" customHeight="1" outlineLevel="1" x14ac:dyDescent="0.2">
      <c r="A801" s="59" t="s">
        <v>1857</v>
      </c>
      <c r="B801" s="59" t="s">
        <v>44</v>
      </c>
      <c r="C801" s="59" t="s">
        <v>82</v>
      </c>
      <c r="D801" s="66" t="s">
        <v>1859</v>
      </c>
      <c r="E801" s="59" t="s">
        <v>440</v>
      </c>
      <c r="F801" s="60">
        <v>20236.95</v>
      </c>
      <c r="G801" s="60">
        <v>20236.95</v>
      </c>
      <c r="H801" s="59"/>
      <c r="I801" s="59"/>
      <c r="J801" s="59"/>
      <c r="K801" s="60">
        <v>20236.95</v>
      </c>
      <c r="L801" s="60">
        <v>20236.95</v>
      </c>
      <c r="M801" s="59"/>
      <c r="N801" s="59"/>
      <c r="O801" s="59"/>
      <c r="P801" s="67"/>
      <c r="Q801" s="67"/>
      <c r="R801" s="61">
        <f t="shared" si="319"/>
        <v>0</v>
      </c>
      <c r="S801" s="60">
        <v>0</v>
      </c>
      <c r="T801" s="60">
        <v>0</v>
      </c>
      <c r="U801" s="60">
        <v>0</v>
      </c>
      <c r="V801" s="60">
        <v>0</v>
      </c>
      <c r="W801" s="60">
        <v>0</v>
      </c>
      <c r="X801" s="61">
        <f t="shared" si="320"/>
        <v>0</v>
      </c>
      <c r="Y801" s="60">
        <v>0</v>
      </c>
      <c r="Z801" s="60">
        <v>0</v>
      </c>
      <c r="AA801" s="60">
        <v>0</v>
      </c>
      <c r="AB801" s="60">
        <v>0</v>
      </c>
      <c r="AC801" s="60">
        <v>0</v>
      </c>
      <c r="AD801" s="60">
        <v>0</v>
      </c>
      <c r="AE801" s="61">
        <f t="shared" si="321"/>
        <v>0</v>
      </c>
      <c r="AF801" s="62">
        <f t="shared" si="328"/>
        <v>0</v>
      </c>
      <c r="AG801" s="62">
        <f t="shared" si="327"/>
        <v>0</v>
      </c>
      <c r="AH801" s="62">
        <f t="shared" si="325"/>
        <v>0</v>
      </c>
      <c r="AI801" s="63"/>
      <c r="AJ801" s="63"/>
      <c r="AK801" s="62"/>
      <c r="AL801" s="60">
        <v>0</v>
      </c>
      <c r="AM801" s="60">
        <v>0</v>
      </c>
      <c r="AN801" s="60">
        <v>0</v>
      </c>
      <c r="AO801" s="60">
        <v>0</v>
      </c>
      <c r="AP801" s="60">
        <v>0</v>
      </c>
      <c r="AQ801" s="60">
        <v>0</v>
      </c>
      <c r="AR801" s="61">
        <f t="shared" si="322"/>
        <v>0</v>
      </c>
      <c r="AS801" s="60">
        <v>0</v>
      </c>
      <c r="AT801" s="60">
        <v>0</v>
      </c>
      <c r="AU801" s="60">
        <v>0</v>
      </c>
      <c r="AV801" s="60">
        <v>0</v>
      </c>
      <c r="AW801" s="60">
        <v>0</v>
      </c>
      <c r="AX801" s="60">
        <v>0</v>
      </c>
      <c r="AY801" s="61">
        <f t="shared" si="323"/>
        <v>0</v>
      </c>
      <c r="AZ801" s="56">
        <f t="shared" si="318"/>
        <v>0</v>
      </c>
      <c r="BA801" s="62">
        <f t="shared" si="314"/>
        <v>0</v>
      </c>
      <c r="BB801" s="62">
        <f t="shared" si="324"/>
        <v>0</v>
      </c>
      <c r="BC801" s="62">
        <f t="shared" si="315"/>
        <v>0</v>
      </c>
      <c r="BD801" s="63"/>
      <c r="BE801" s="57"/>
      <c r="BF801" s="35" t="str">
        <f>VLOOKUP(A:A,'2023-2027'!A:G,1,+FALSE)</f>
        <v>Панель ЩО 70-1-02</v>
      </c>
      <c r="BG801" s="7" t="b">
        <f t="shared" si="326"/>
        <v>1</v>
      </c>
      <c r="BH801" s="35">
        <f>VLOOKUP(A:A,'2023-2027'!A:AT,43,+FALSE)</f>
        <v>0</v>
      </c>
    </row>
    <row r="802" spans="1:60" ht="12" hidden="1" customHeight="1" outlineLevel="1" x14ac:dyDescent="0.2">
      <c r="A802" s="59" t="s">
        <v>1857</v>
      </c>
      <c r="B802" s="59" t="s">
        <v>44</v>
      </c>
      <c r="C802" s="59" t="s">
        <v>82</v>
      </c>
      <c r="D802" s="66" t="s">
        <v>1860</v>
      </c>
      <c r="E802" s="59" t="s">
        <v>440</v>
      </c>
      <c r="F802" s="60">
        <v>20236.95</v>
      </c>
      <c r="G802" s="60">
        <v>20236.95</v>
      </c>
      <c r="H802" s="59"/>
      <c r="I802" s="59"/>
      <c r="J802" s="59"/>
      <c r="K802" s="60">
        <v>20236.95</v>
      </c>
      <c r="L802" s="60">
        <v>20236.95</v>
      </c>
      <c r="M802" s="59"/>
      <c r="N802" s="59"/>
      <c r="O802" s="59"/>
      <c r="P802" s="67"/>
      <c r="Q802" s="67"/>
      <c r="R802" s="61">
        <f t="shared" si="319"/>
        <v>0</v>
      </c>
      <c r="S802" s="60">
        <v>0</v>
      </c>
      <c r="T802" s="60">
        <v>0</v>
      </c>
      <c r="U802" s="60">
        <v>0</v>
      </c>
      <c r="V802" s="60">
        <v>0</v>
      </c>
      <c r="W802" s="60">
        <v>0</v>
      </c>
      <c r="X802" s="61">
        <f t="shared" si="320"/>
        <v>0</v>
      </c>
      <c r="Y802" s="60">
        <v>0</v>
      </c>
      <c r="Z802" s="60">
        <v>0</v>
      </c>
      <c r="AA802" s="60">
        <v>0</v>
      </c>
      <c r="AB802" s="60">
        <v>0</v>
      </c>
      <c r="AC802" s="60">
        <v>0</v>
      </c>
      <c r="AD802" s="60">
        <v>0</v>
      </c>
      <c r="AE802" s="61">
        <f t="shared" si="321"/>
        <v>0</v>
      </c>
      <c r="AF802" s="62">
        <f t="shared" si="328"/>
        <v>0</v>
      </c>
      <c r="AG802" s="62">
        <f t="shared" si="327"/>
        <v>0</v>
      </c>
      <c r="AH802" s="62">
        <f t="shared" si="325"/>
        <v>0</v>
      </c>
      <c r="AI802" s="63"/>
      <c r="AJ802" s="63"/>
      <c r="AK802" s="62"/>
      <c r="AL802" s="60">
        <v>0</v>
      </c>
      <c r="AM802" s="60">
        <v>0</v>
      </c>
      <c r="AN802" s="60">
        <v>0</v>
      </c>
      <c r="AO802" s="60">
        <v>0</v>
      </c>
      <c r="AP802" s="60">
        <v>0</v>
      </c>
      <c r="AQ802" s="60">
        <v>0</v>
      </c>
      <c r="AR802" s="61">
        <f t="shared" si="322"/>
        <v>0</v>
      </c>
      <c r="AS802" s="60">
        <v>0</v>
      </c>
      <c r="AT802" s="60">
        <v>0</v>
      </c>
      <c r="AU802" s="60">
        <v>0</v>
      </c>
      <c r="AV802" s="60">
        <v>0</v>
      </c>
      <c r="AW802" s="60">
        <v>0</v>
      </c>
      <c r="AX802" s="60">
        <v>0</v>
      </c>
      <c r="AY802" s="61">
        <f t="shared" si="323"/>
        <v>0</v>
      </c>
      <c r="AZ802" s="56">
        <f t="shared" si="318"/>
        <v>0</v>
      </c>
      <c r="BA802" s="62">
        <f t="shared" si="314"/>
        <v>0</v>
      </c>
      <c r="BB802" s="62">
        <f t="shared" si="324"/>
        <v>0</v>
      </c>
      <c r="BC802" s="62">
        <f t="shared" si="315"/>
        <v>0</v>
      </c>
      <c r="BD802" s="63"/>
      <c r="BE802" s="57"/>
      <c r="BF802" s="35" t="str">
        <f>VLOOKUP(A:A,'2023-2027'!A:G,1,+FALSE)</f>
        <v>Панель ЩО 70-1-02</v>
      </c>
      <c r="BG802" s="7" t="b">
        <f t="shared" si="326"/>
        <v>1</v>
      </c>
      <c r="BH802" s="35">
        <f>VLOOKUP(A:A,'2023-2027'!A:AT,43,+FALSE)</f>
        <v>0</v>
      </c>
    </row>
    <row r="803" spans="1:60" ht="12" hidden="1" customHeight="1" outlineLevel="1" x14ac:dyDescent="0.2">
      <c r="A803" s="59" t="s">
        <v>1861</v>
      </c>
      <c r="B803" s="59" t="s">
        <v>44</v>
      </c>
      <c r="C803" s="59" t="s">
        <v>82</v>
      </c>
      <c r="D803" s="66" t="s">
        <v>1862</v>
      </c>
      <c r="E803" s="59" t="s">
        <v>440</v>
      </c>
      <c r="F803" s="60">
        <v>23843.52</v>
      </c>
      <c r="G803" s="60">
        <v>23843.52</v>
      </c>
      <c r="H803" s="59"/>
      <c r="I803" s="59"/>
      <c r="J803" s="59"/>
      <c r="K803" s="60">
        <v>23843.52</v>
      </c>
      <c r="L803" s="60">
        <v>23843.52</v>
      </c>
      <c r="M803" s="59"/>
      <c r="N803" s="59"/>
      <c r="O803" s="59"/>
      <c r="P803" s="67"/>
      <c r="Q803" s="67"/>
      <c r="R803" s="61">
        <f t="shared" si="319"/>
        <v>0</v>
      </c>
      <c r="S803" s="60">
        <v>0</v>
      </c>
      <c r="T803" s="60">
        <v>0</v>
      </c>
      <c r="U803" s="60">
        <v>0</v>
      </c>
      <c r="V803" s="60">
        <v>0</v>
      </c>
      <c r="W803" s="60">
        <v>0</v>
      </c>
      <c r="X803" s="61">
        <f t="shared" si="320"/>
        <v>0</v>
      </c>
      <c r="Y803" s="60">
        <v>0</v>
      </c>
      <c r="Z803" s="60">
        <v>0</v>
      </c>
      <c r="AA803" s="60">
        <v>0</v>
      </c>
      <c r="AB803" s="60">
        <v>0</v>
      </c>
      <c r="AC803" s="60">
        <v>0</v>
      </c>
      <c r="AD803" s="60">
        <v>0</v>
      </c>
      <c r="AE803" s="61">
        <f t="shared" si="321"/>
        <v>0</v>
      </c>
      <c r="AF803" s="62">
        <f t="shared" si="328"/>
        <v>0</v>
      </c>
      <c r="AG803" s="62">
        <f t="shared" si="327"/>
        <v>0</v>
      </c>
      <c r="AH803" s="62">
        <f t="shared" si="325"/>
        <v>0</v>
      </c>
      <c r="AI803" s="63"/>
      <c r="AJ803" s="63"/>
      <c r="AK803" s="62"/>
      <c r="AL803" s="60">
        <v>0</v>
      </c>
      <c r="AM803" s="60">
        <v>0</v>
      </c>
      <c r="AN803" s="60">
        <v>0</v>
      </c>
      <c r="AO803" s="60">
        <v>0</v>
      </c>
      <c r="AP803" s="60">
        <v>0</v>
      </c>
      <c r="AQ803" s="60">
        <v>0</v>
      </c>
      <c r="AR803" s="61">
        <f t="shared" si="322"/>
        <v>0</v>
      </c>
      <c r="AS803" s="60">
        <v>0</v>
      </c>
      <c r="AT803" s="60">
        <v>0</v>
      </c>
      <c r="AU803" s="60">
        <v>0</v>
      </c>
      <c r="AV803" s="60">
        <v>0</v>
      </c>
      <c r="AW803" s="60">
        <v>0</v>
      </c>
      <c r="AX803" s="60">
        <v>0</v>
      </c>
      <c r="AY803" s="61">
        <f t="shared" si="323"/>
        <v>0</v>
      </c>
      <c r="AZ803" s="56">
        <f t="shared" si="318"/>
        <v>0</v>
      </c>
      <c r="BA803" s="62">
        <f t="shared" si="314"/>
        <v>0</v>
      </c>
      <c r="BB803" s="62">
        <f t="shared" si="324"/>
        <v>0</v>
      </c>
      <c r="BC803" s="62">
        <f t="shared" si="315"/>
        <v>0</v>
      </c>
      <c r="BD803" s="63"/>
      <c r="BE803" s="57"/>
      <c r="BF803" s="35" t="str">
        <f>VLOOKUP(A:A,'2023-2027'!A:G,1,+FALSE)</f>
        <v>Панель ЩО 70-1-32</v>
      </c>
      <c r="BG803" s="7" t="b">
        <f t="shared" si="326"/>
        <v>1</v>
      </c>
      <c r="BH803" s="35">
        <f>VLOOKUP(A:A,'2023-2027'!A:AT,43,+FALSE)</f>
        <v>0</v>
      </c>
    </row>
    <row r="804" spans="1:60" ht="12" hidden="1" customHeight="1" outlineLevel="1" x14ac:dyDescent="0.2">
      <c r="A804" s="59" t="s">
        <v>1861</v>
      </c>
      <c r="B804" s="59" t="s">
        <v>44</v>
      </c>
      <c r="C804" s="59" t="s">
        <v>82</v>
      </c>
      <c r="D804" s="66" t="s">
        <v>1863</v>
      </c>
      <c r="E804" s="59" t="s">
        <v>440</v>
      </c>
      <c r="F804" s="60">
        <v>23843.52</v>
      </c>
      <c r="G804" s="60">
        <v>23843.52</v>
      </c>
      <c r="H804" s="59"/>
      <c r="I804" s="59"/>
      <c r="J804" s="59"/>
      <c r="K804" s="60">
        <v>23843.52</v>
      </c>
      <c r="L804" s="60">
        <v>23843.52</v>
      </c>
      <c r="M804" s="59"/>
      <c r="N804" s="59"/>
      <c r="O804" s="59"/>
      <c r="P804" s="67"/>
      <c r="Q804" s="67"/>
      <c r="R804" s="61">
        <f t="shared" si="319"/>
        <v>0</v>
      </c>
      <c r="S804" s="60">
        <v>0</v>
      </c>
      <c r="T804" s="60">
        <v>0</v>
      </c>
      <c r="U804" s="60">
        <v>0</v>
      </c>
      <c r="V804" s="60">
        <v>0</v>
      </c>
      <c r="W804" s="60">
        <v>0</v>
      </c>
      <c r="X804" s="61">
        <f t="shared" si="320"/>
        <v>0</v>
      </c>
      <c r="Y804" s="60">
        <v>0</v>
      </c>
      <c r="Z804" s="60">
        <v>0</v>
      </c>
      <c r="AA804" s="60">
        <v>0</v>
      </c>
      <c r="AB804" s="60">
        <v>0</v>
      </c>
      <c r="AC804" s="60">
        <v>0</v>
      </c>
      <c r="AD804" s="60">
        <v>0</v>
      </c>
      <c r="AE804" s="61">
        <f t="shared" si="321"/>
        <v>0</v>
      </c>
      <c r="AF804" s="62">
        <f t="shared" si="328"/>
        <v>0</v>
      </c>
      <c r="AG804" s="62">
        <f t="shared" si="327"/>
        <v>0</v>
      </c>
      <c r="AH804" s="62">
        <f t="shared" si="325"/>
        <v>0</v>
      </c>
      <c r="AI804" s="63"/>
      <c r="AJ804" s="63"/>
      <c r="AK804" s="62"/>
      <c r="AL804" s="60">
        <v>0</v>
      </c>
      <c r="AM804" s="60">
        <v>0</v>
      </c>
      <c r="AN804" s="60">
        <v>0</v>
      </c>
      <c r="AO804" s="60">
        <v>0</v>
      </c>
      <c r="AP804" s="60">
        <v>0</v>
      </c>
      <c r="AQ804" s="60">
        <v>0</v>
      </c>
      <c r="AR804" s="61">
        <f t="shared" si="322"/>
        <v>0</v>
      </c>
      <c r="AS804" s="60">
        <v>0</v>
      </c>
      <c r="AT804" s="60">
        <v>0</v>
      </c>
      <c r="AU804" s="60">
        <v>0</v>
      </c>
      <c r="AV804" s="60">
        <v>0</v>
      </c>
      <c r="AW804" s="60">
        <v>0</v>
      </c>
      <c r="AX804" s="60">
        <v>0</v>
      </c>
      <c r="AY804" s="61">
        <f t="shared" si="323"/>
        <v>0</v>
      </c>
      <c r="AZ804" s="56">
        <f t="shared" si="318"/>
        <v>0</v>
      </c>
      <c r="BA804" s="62">
        <f t="shared" si="314"/>
        <v>0</v>
      </c>
      <c r="BB804" s="62">
        <f t="shared" si="324"/>
        <v>0</v>
      </c>
      <c r="BC804" s="62">
        <f t="shared" si="315"/>
        <v>0</v>
      </c>
      <c r="BD804" s="63"/>
      <c r="BE804" s="57"/>
      <c r="BF804" s="35" t="str">
        <f>VLOOKUP(A:A,'2023-2027'!A:G,1,+FALSE)</f>
        <v>Панель ЩО 70-1-32</v>
      </c>
      <c r="BG804" s="7" t="b">
        <f t="shared" si="326"/>
        <v>1</v>
      </c>
      <c r="BH804" s="35">
        <f>VLOOKUP(A:A,'2023-2027'!A:AT,43,+FALSE)</f>
        <v>0</v>
      </c>
    </row>
    <row r="805" spans="1:60" ht="24" hidden="1" customHeight="1" outlineLevel="1" x14ac:dyDescent="0.2">
      <c r="A805" s="59" t="s">
        <v>1864</v>
      </c>
      <c r="B805" s="59" t="s">
        <v>44</v>
      </c>
      <c r="C805" s="59" t="s">
        <v>82</v>
      </c>
      <c r="D805" s="66" t="s">
        <v>1865</v>
      </c>
      <c r="E805" s="59" t="s">
        <v>282</v>
      </c>
      <c r="F805" s="60">
        <v>42049.94</v>
      </c>
      <c r="G805" s="60">
        <v>28186.880000000001</v>
      </c>
      <c r="H805" s="60">
        <v>13863.06</v>
      </c>
      <c r="I805" s="59"/>
      <c r="J805" s="60">
        <v>2772.6</v>
      </c>
      <c r="K805" s="59"/>
      <c r="L805" s="59"/>
      <c r="M805" s="60">
        <v>42049.94</v>
      </c>
      <c r="N805" s="60">
        <v>30959.48</v>
      </c>
      <c r="O805" s="60">
        <v>11090.46</v>
      </c>
      <c r="P805" s="55"/>
      <c r="Q805" s="55"/>
      <c r="R805" s="61">
        <f t="shared" si="319"/>
        <v>231.04999999999998</v>
      </c>
      <c r="S805" s="60">
        <v>231.05</v>
      </c>
      <c r="T805" s="60">
        <v>231.05</v>
      </c>
      <c r="U805" s="60">
        <v>231.05</v>
      </c>
      <c r="V805" s="60">
        <v>231.05</v>
      </c>
      <c r="W805" s="60">
        <v>231.05</v>
      </c>
      <c r="X805" s="61">
        <f t="shared" si="320"/>
        <v>1386.3</v>
      </c>
      <c r="Y805" s="60">
        <v>231.05</v>
      </c>
      <c r="Z805" s="60">
        <v>231.05</v>
      </c>
      <c r="AA805" s="60">
        <v>231.05</v>
      </c>
      <c r="AB805" s="60">
        <v>231.05</v>
      </c>
      <c r="AC805" s="60">
        <v>231.05</v>
      </c>
      <c r="AD805" s="60">
        <v>231.05</v>
      </c>
      <c r="AE805" s="61">
        <f t="shared" si="321"/>
        <v>1386.3</v>
      </c>
      <c r="AF805" s="62">
        <f t="shared" si="328"/>
        <v>42049.94</v>
      </c>
      <c r="AG805" s="62">
        <f t="shared" si="327"/>
        <v>33732.080000000009</v>
      </c>
      <c r="AH805" s="62">
        <f t="shared" si="325"/>
        <v>8317.8599999999933</v>
      </c>
      <c r="AI805" s="63"/>
      <c r="AJ805" s="63"/>
      <c r="AK805" s="62"/>
      <c r="AL805" s="60">
        <v>231.05</v>
      </c>
      <c r="AM805" s="60">
        <v>231.05</v>
      </c>
      <c r="AN805" s="60">
        <v>231.05</v>
      </c>
      <c r="AO805" s="60">
        <v>231.05</v>
      </c>
      <c r="AP805" s="60">
        <v>231.05</v>
      </c>
      <c r="AQ805" s="60">
        <v>231.05</v>
      </c>
      <c r="AR805" s="61">
        <f t="shared" si="322"/>
        <v>1386.3</v>
      </c>
      <c r="AS805" s="60">
        <v>231.05</v>
      </c>
      <c r="AT805" s="60">
        <v>231.05</v>
      </c>
      <c r="AU805" s="60">
        <v>231.05</v>
      </c>
      <c r="AV805" s="60">
        <v>231.05</v>
      </c>
      <c r="AW805" s="60">
        <v>231.05</v>
      </c>
      <c r="AX805" s="60">
        <v>231.05</v>
      </c>
      <c r="AY805" s="61">
        <f t="shared" si="323"/>
        <v>1386.3</v>
      </c>
      <c r="AZ805" s="56">
        <f t="shared" si="318"/>
        <v>2772.6</v>
      </c>
      <c r="BA805" s="62">
        <f t="shared" si="314"/>
        <v>42049.94</v>
      </c>
      <c r="BB805" s="62">
        <f t="shared" si="324"/>
        <v>36504.680000000044</v>
      </c>
      <c r="BC805" s="62">
        <f t="shared" si="315"/>
        <v>5545.2599999999584</v>
      </c>
      <c r="BD805" s="63"/>
      <c r="BE805" s="57"/>
      <c r="BF805" s="35" t="str">
        <f>VLOOKUP(A:A,'2023-2027'!A:G,1,+FALSE)</f>
        <v>Панель ЩО 70-3-05 (Н) УЗ1 250А №6898</v>
      </c>
      <c r="BG805" s="7" t="b">
        <f t="shared" si="326"/>
        <v>1</v>
      </c>
      <c r="BH805" s="35">
        <f>VLOOKUP(A:A,'2023-2027'!A:AT,43,+FALSE)</f>
        <v>0</v>
      </c>
    </row>
    <row r="806" spans="1:60" ht="24" hidden="1" customHeight="1" outlineLevel="1" x14ac:dyDescent="0.2">
      <c r="A806" s="59" t="s">
        <v>1866</v>
      </c>
      <c r="B806" s="59" t="s">
        <v>44</v>
      </c>
      <c r="C806" s="59" t="s">
        <v>82</v>
      </c>
      <c r="D806" s="66" t="s">
        <v>1867</v>
      </c>
      <c r="E806" s="59" t="s">
        <v>282</v>
      </c>
      <c r="F806" s="60">
        <v>50064.160000000003</v>
      </c>
      <c r="G806" s="60">
        <v>33559.760000000002</v>
      </c>
      <c r="H806" s="60">
        <v>16504.400000000001</v>
      </c>
      <c r="I806" s="59"/>
      <c r="J806" s="60">
        <v>3300.84</v>
      </c>
      <c r="K806" s="59"/>
      <c r="L806" s="59"/>
      <c r="M806" s="60">
        <v>50064.160000000003</v>
      </c>
      <c r="N806" s="60">
        <v>36860.6</v>
      </c>
      <c r="O806" s="60">
        <v>13203.56</v>
      </c>
      <c r="P806" s="55"/>
      <c r="Q806" s="55"/>
      <c r="R806" s="61">
        <f t="shared" si="319"/>
        <v>275.07</v>
      </c>
      <c r="S806" s="60">
        <v>275.07</v>
      </c>
      <c r="T806" s="60">
        <v>275.07</v>
      </c>
      <c r="U806" s="60">
        <v>275.07</v>
      </c>
      <c r="V806" s="60">
        <v>275.07</v>
      </c>
      <c r="W806" s="60">
        <v>275.07</v>
      </c>
      <c r="X806" s="61">
        <f t="shared" si="320"/>
        <v>1650.4199999999998</v>
      </c>
      <c r="Y806" s="60">
        <v>275.07</v>
      </c>
      <c r="Z806" s="60">
        <v>275.07</v>
      </c>
      <c r="AA806" s="60">
        <v>275.07</v>
      </c>
      <c r="AB806" s="60">
        <v>275.07</v>
      </c>
      <c r="AC806" s="60">
        <v>275.07</v>
      </c>
      <c r="AD806" s="60">
        <v>275.07</v>
      </c>
      <c r="AE806" s="61">
        <f t="shared" si="321"/>
        <v>1650.4199999999998</v>
      </c>
      <c r="AF806" s="62">
        <f t="shared" si="328"/>
        <v>50064.160000000003</v>
      </c>
      <c r="AG806" s="62">
        <f t="shared" si="327"/>
        <v>40161.439999999995</v>
      </c>
      <c r="AH806" s="62">
        <f t="shared" si="325"/>
        <v>9902.7200000000084</v>
      </c>
      <c r="AI806" s="63"/>
      <c r="AJ806" s="63"/>
      <c r="AK806" s="62"/>
      <c r="AL806" s="60">
        <v>275.07</v>
      </c>
      <c r="AM806" s="60">
        <v>275.07</v>
      </c>
      <c r="AN806" s="60">
        <v>275.07</v>
      </c>
      <c r="AO806" s="60">
        <v>275.07</v>
      </c>
      <c r="AP806" s="60">
        <v>275.07</v>
      </c>
      <c r="AQ806" s="60">
        <v>275.07</v>
      </c>
      <c r="AR806" s="61">
        <f t="shared" si="322"/>
        <v>1650.4199999999998</v>
      </c>
      <c r="AS806" s="60">
        <v>275.07</v>
      </c>
      <c r="AT806" s="60">
        <v>275.07</v>
      </c>
      <c r="AU806" s="60">
        <v>275.07</v>
      </c>
      <c r="AV806" s="60">
        <v>275.07</v>
      </c>
      <c r="AW806" s="60">
        <v>275.07</v>
      </c>
      <c r="AX806" s="60">
        <v>275.07</v>
      </c>
      <c r="AY806" s="61">
        <f t="shared" si="323"/>
        <v>1650.4199999999998</v>
      </c>
      <c r="AZ806" s="56">
        <f t="shared" si="318"/>
        <v>3300.8399999999997</v>
      </c>
      <c r="BA806" s="62">
        <f t="shared" si="314"/>
        <v>50064.160000000003</v>
      </c>
      <c r="BB806" s="62">
        <f t="shared" si="324"/>
        <v>43462.279999999992</v>
      </c>
      <c r="BC806" s="62">
        <f t="shared" si="315"/>
        <v>6601.8800000000119</v>
      </c>
      <c r="BD806" s="63"/>
      <c r="BE806" s="57"/>
      <c r="BF806" s="35" t="str">
        <f>VLOOKUP(A:A,'2023-2027'!A:G,1,+FALSE)</f>
        <v>Панель ЩО 70-3-05 (Н) УЗ2 260А №6899</v>
      </c>
      <c r="BG806" s="7" t="b">
        <f t="shared" si="326"/>
        <v>1</v>
      </c>
      <c r="BH806" s="35">
        <f>VLOOKUP(A:A,'2023-2027'!A:AT,43,+FALSE)</f>
        <v>0</v>
      </c>
    </row>
    <row r="807" spans="1:60" ht="24" hidden="1" customHeight="1" outlineLevel="1" x14ac:dyDescent="0.2">
      <c r="A807" s="59" t="s">
        <v>1868</v>
      </c>
      <c r="B807" s="59" t="s">
        <v>44</v>
      </c>
      <c r="C807" s="59" t="s">
        <v>82</v>
      </c>
      <c r="D807" s="66" t="s">
        <v>1869</v>
      </c>
      <c r="E807" s="59" t="s">
        <v>282</v>
      </c>
      <c r="F807" s="60">
        <v>85089.29</v>
      </c>
      <c r="G807" s="60">
        <v>57037.440000000002</v>
      </c>
      <c r="H807" s="60">
        <v>28051.85</v>
      </c>
      <c r="I807" s="59"/>
      <c r="J807" s="60">
        <v>5610.36</v>
      </c>
      <c r="K807" s="59"/>
      <c r="L807" s="59"/>
      <c r="M807" s="60">
        <v>85089.29</v>
      </c>
      <c r="N807" s="60">
        <v>62647.8</v>
      </c>
      <c r="O807" s="60">
        <v>22441.49</v>
      </c>
      <c r="P807" s="55"/>
      <c r="Q807" s="55"/>
      <c r="R807" s="61">
        <f t="shared" si="319"/>
        <v>467.53</v>
      </c>
      <c r="S807" s="60">
        <v>467.53</v>
      </c>
      <c r="T807" s="60">
        <v>467.53</v>
      </c>
      <c r="U807" s="60">
        <v>467.53</v>
      </c>
      <c r="V807" s="60">
        <v>467.53</v>
      </c>
      <c r="W807" s="60">
        <v>467.53</v>
      </c>
      <c r="X807" s="61">
        <f t="shared" si="320"/>
        <v>2805.1799999999994</v>
      </c>
      <c r="Y807" s="60">
        <v>467.53</v>
      </c>
      <c r="Z807" s="60">
        <v>467.53</v>
      </c>
      <c r="AA807" s="60">
        <v>467.53</v>
      </c>
      <c r="AB807" s="60">
        <v>467.53</v>
      </c>
      <c r="AC807" s="60">
        <v>467.53</v>
      </c>
      <c r="AD807" s="60">
        <v>467.53</v>
      </c>
      <c r="AE807" s="61">
        <f t="shared" si="321"/>
        <v>2805.1799999999994</v>
      </c>
      <c r="AF807" s="62">
        <f t="shared" si="328"/>
        <v>85089.29</v>
      </c>
      <c r="AG807" s="62">
        <f t="shared" si="327"/>
        <v>68258.159999999989</v>
      </c>
      <c r="AH807" s="62">
        <f t="shared" si="325"/>
        <v>16831.130000000005</v>
      </c>
      <c r="AI807" s="63"/>
      <c r="AJ807" s="63"/>
      <c r="AK807" s="62"/>
      <c r="AL807" s="60">
        <v>467.53</v>
      </c>
      <c r="AM807" s="60">
        <v>467.53</v>
      </c>
      <c r="AN807" s="60">
        <v>467.53</v>
      </c>
      <c r="AO807" s="60">
        <v>467.53</v>
      </c>
      <c r="AP807" s="60">
        <v>467.53</v>
      </c>
      <c r="AQ807" s="60">
        <v>467.53</v>
      </c>
      <c r="AR807" s="61">
        <f t="shared" si="322"/>
        <v>2805.1799999999994</v>
      </c>
      <c r="AS807" s="60">
        <v>467.53</v>
      </c>
      <c r="AT807" s="60">
        <v>467.53</v>
      </c>
      <c r="AU807" s="60">
        <v>467.53</v>
      </c>
      <c r="AV807" s="60">
        <v>467.53</v>
      </c>
      <c r="AW807" s="60">
        <v>467.53</v>
      </c>
      <c r="AX807" s="60">
        <v>467.53</v>
      </c>
      <c r="AY807" s="61">
        <f t="shared" si="323"/>
        <v>2805.1799999999994</v>
      </c>
      <c r="AZ807" s="56">
        <f t="shared" si="318"/>
        <v>5610.3599999999988</v>
      </c>
      <c r="BA807" s="62">
        <f t="shared" si="314"/>
        <v>85089.29</v>
      </c>
      <c r="BB807" s="62">
        <f t="shared" si="324"/>
        <v>73868.519999999975</v>
      </c>
      <c r="BC807" s="62">
        <f t="shared" si="315"/>
        <v>11220.770000000019</v>
      </c>
      <c r="BD807" s="63"/>
      <c r="BE807" s="57"/>
      <c r="BF807" s="35" t="str">
        <f>VLOOKUP(A:A,'2023-2027'!A:G,1,+FALSE)</f>
        <v>Панель ЩО 70-3-09 УЗ 1000А №6900</v>
      </c>
      <c r="BG807" s="7" t="b">
        <f t="shared" si="326"/>
        <v>1</v>
      </c>
      <c r="BH807" s="35">
        <f>VLOOKUP(A:A,'2023-2027'!A:AT,43,+FALSE)</f>
        <v>0</v>
      </c>
    </row>
    <row r="808" spans="1:60" ht="12" hidden="1" customHeight="1" outlineLevel="1" x14ac:dyDescent="0.2">
      <c r="A808" s="59" t="s">
        <v>1870</v>
      </c>
      <c r="B808" s="59" t="s">
        <v>44</v>
      </c>
      <c r="C808" s="59" t="s">
        <v>82</v>
      </c>
      <c r="D808" s="66" t="s">
        <v>1871</v>
      </c>
      <c r="E808" s="59" t="s">
        <v>440</v>
      </c>
      <c r="F808" s="60">
        <v>49197.8</v>
      </c>
      <c r="G808" s="60">
        <v>36949.339999999997</v>
      </c>
      <c r="H808" s="60">
        <v>12248.46</v>
      </c>
      <c r="I808" s="59"/>
      <c r="J808" s="60">
        <v>2449.6799999999998</v>
      </c>
      <c r="K808" s="59"/>
      <c r="L808" s="59"/>
      <c r="M808" s="60">
        <v>49197.8</v>
      </c>
      <c r="N808" s="60">
        <v>39399.019999999997</v>
      </c>
      <c r="O808" s="60">
        <v>9798.7800000000007</v>
      </c>
      <c r="P808" s="55"/>
      <c r="Q808" s="55"/>
      <c r="R808" s="61">
        <f t="shared" si="319"/>
        <v>204.14</v>
      </c>
      <c r="S808" s="60">
        <v>204.14</v>
      </c>
      <c r="T808" s="60">
        <v>204.14</v>
      </c>
      <c r="U808" s="60">
        <v>204.14</v>
      </c>
      <c r="V808" s="60">
        <v>204.14</v>
      </c>
      <c r="W808" s="60">
        <v>204.14</v>
      </c>
      <c r="X808" s="61">
        <f t="shared" si="320"/>
        <v>1224.8399999999999</v>
      </c>
      <c r="Y808" s="60">
        <v>204.14</v>
      </c>
      <c r="Z808" s="60">
        <v>204.14</v>
      </c>
      <c r="AA808" s="60">
        <v>204.14</v>
      </c>
      <c r="AB808" s="60">
        <v>204.14</v>
      </c>
      <c r="AC808" s="60">
        <v>204.14</v>
      </c>
      <c r="AD808" s="60">
        <v>204.14</v>
      </c>
      <c r="AE808" s="61">
        <f t="shared" si="321"/>
        <v>1224.8399999999999</v>
      </c>
      <c r="AF808" s="62">
        <f t="shared" si="328"/>
        <v>49197.8</v>
      </c>
      <c r="AG808" s="62">
        <f t="shared" si="327"/>
        <v>41848.69999999999</v>
      </c>
      <c r="AH808" s="62">
        <f t="shared" si="325"/>
        <v>7349.1000000000131</v>
      </c>
      <c r="AI808" s="63"/>
      <c r="AJ808" s="63"/>
      <c r="AK808" s="62"/>
      <c r="AL808" s="60">
        <v>204.14</v>
      </c>
      <c r="AM808" s="60">
        <v>204.14</v>
      </c>
      <c r="AN808" s="60">
        <v>204.14</v>
      </c>
      <c r="AO808" s="60">
        <v>204.14</v>
      </c>
      <c r="AP808" s="60">
        <v>204.14</v>
      </c>
      <c r="AQ808" s="60">
        <v>204.14</v>
      </c>
      <c r="AR808" s="61">
        <f t="shared" si="322"/>
        <v>1224.8399999999999</v>
      </c>
      <c r="AS808" s="60">
        <v>204.14</v>
      </c>
      <c r="AT808" s="60">
        <v>204.14</v>
      </c>
      <c r="AU808" s="60">
        <v>204.14</v>
      </c>
      <c r="AV808" s="60">
        <v>204.14</v>
      </c>
      <c r="AW808" s="60">
        <v>204.14</v>
      </c>
      <c r="AX808" s="60">
        <v>204.14</v>
      </c>
      <c r="AY808" s="61">
        <f t="shared" si="323"/>
        <v>1224.8399999999999</v>
      </c>
      <c r="AZ808" s="56">
        <f t="shared" si="318"/>
        <v>2449.6799999999998</v>
      </c>
      <c r="BA808" s="62">
        <f t="shared" si="314"/>
        <v>49197.8</v>
      </c>
      <c r="BB808" s="62">
        <f t="shared" si="324"/>
        <v>44298.379999999983</v>
      </c>
      <c r="BC808" s="62">
        <f t="shared" si="315"/>
        <v>4899.4200000000201</v>
      </c>
      <c r="BD808" s="63"/>
      <c r="BE808" s="57"/>
      <c r="BF808" s="35" t="str">
        <f>VLOOKUP(A:A,'2023-2027'!A:G,1,+FALSE)</f>
        <v>Панель ЩО 70-3М-01</v>
      </c>
      <c r="BG808" s="7" t="b">
        <f t="shared" si="326"/>
        <v>1</v>
      </c>
      <c r="BH808" s="35">
        <f>VLOOKUP(A:A,'2023-2027'!A:AT,43,+FALSE)</f>
        <v>0</v>
      </c>
    </row>
    <row r="809" spans="1:60" ht="24" hidden="1" customHeight="1" outlineLevel="1" x14ac:dyDescent="0.2">
      <c r="A809" s="59" t="s">
        <v>1872</v>
      </c>
      <c r="B809" s="59" t="s">
        <v>44</v>
      </c>
      <c r="C809" s="59" t="s">
        <v>82</v>
      </c>
      <c r="D809" s="65" t="s">
        <v>1873</v>
      </c>
      <c r="E809" s="59" t="s">
        <v>257</v>
      </c>
      <c r="F809" s="60">
        <v>53487.9</v>
      </c>
      <c r="G809" s="60">
        <v>47572.57</v>
      </c>
      <c r="H809" s="60">
        <v>5915.33</v>
      </c>
      <c r="I809" s="59"/>
      <c r="J809" s="60">
        <v>2957.64</v>
      </c>
      <c r="K809" s="59"/>
      <c r="L809" s="59"/>
      <c r="M809" s="60">
        <v>53487.9</v>
      </c>
      <c r="N809" s="60">
        <v>50530.21</v>
      </c>
      <c r="O809" s="60">
        <v>2957.69</v>
      </c>
      <c r="P809" s="55"/>
      <c r="Q809" s="55"/>
      <c r="R809" s="61">
        <f t="shared" si="319"/>
        <v>246.47</v>
      </c>
      <c r="S809" s="60">
        <v>246.47</v>
      </c>
      <c r="T809" s="60">
        <v>246.47</v>
      </c>
      <c r="U809" s="60">
        <v>246.47</v>
      </c>
      <c r="V809" s="60">
        <v>246.47</v>
      </c>
      <c r="W809" s="60">
        <v>246.47</v>
      </c>
      <c r="X809" s="61">
        <f t="shared" si="320"/>
        <v>1478.82</v>
      </c>
      <c r="Y809" s="60">
        <v>246.47</v>
      </c>
      <c r="Z809" s="60">
        <v>246.47</v>
      </c>
      <c r="AA809" s="60">
        <v>246.47</v>
      </c>
      <c r="AB809" s="60">
        <v>246.47</v>
      </c>
      <c r="AC809" s="60">
        <v>246.47</v>
      </c>
      <c r="AD809" s="60">
        <v>246.47</v>
      </c>
      <c r="AE809" s="61">
        <f t="shared" si="321"/>
        <v>1478.82</v>
      </c>
      <c r="AF809" s="62">
        <f t="shared" si="328"/>
        <v>53487.9</v>
      </c>
      <c r="AG809" s="62">
        <f t="shared" si="327"/>
        <v>53487.850000000013</v>
      </c>
      <c r="AH809" s="62">
        <f t="shared" si="325"/>
        <v>4.9999999988358468E-2</v>
      </c>
      <c r="AI809" s="63"/>
      <c r="AJ809" s="63"/>
      <c r="AK809" s="62"/>
      <c r="AL809" s="60">
        <v>0.05</v>
      </c>
      <c r="AM809" s="60"/>
      <c r="AN809" s="60"/>
      <c r="AO809" s="60"/>
      <c r="AP809" s="60"/>
      <c r="AQ809" s="60"/>
      <c r="AR809" s="61">
        <f t="shared" si="322"/>
        <v>0.05</v>
      </c>
      <c r="AS809" s="60"/>
      <c r="AT809" s="60"/>
      <c r="AU809" s="60"/>
      <c r="AV809" s="60"/>
      <c r="AW809" s="60"/>
      <c r="AX809" s="60"/>
      <c r="AY809" s="61">
        <f t="shared" si="323"/>
        <v>0</v>
      </c>
      <c r="AZ809" s="56">
        <f t="shared" si="318"/>
        <v>0.05</v>
      </c>
      <c r="BA809" s="62">
        <f t="shared" ref="BA809:BA872" si="329">AF809</f>
        <v>53487.9</v>
      </c>
      <c r="BB809" s="62">
        <f t="shared" si="324"/>
        <v>53487.900000000016</v>
      </c>
      <c r="BC809" s="62">
        <f t="shared" ref="BC809:BC872" si="330">BA809-BB809</f>
        <v>0</v>
      </c>
      <c r="BD809" s="63"/>
      <c r="BE809" s="57"/>
      <c r="BF809" s="35" t="e">
        <f>VLOOKUP(A:A,'2023-2027'!A:G,1,+FALSE)</f>
        <v>#N/A</v>
      </c>
      <c r="BG809" s="7" t="e">
        <f t="shared" si="326"/>
        <v>#N/A</v>
      </c>
      <c r="BH809" s="35"/>
    </row>
    <row r="810" spans="1:60" ht="12" hidden="1" customHeight="1" outlineLevel="1" x14ac:dyDescent="0.2">
      <c r="A810" s="59" t="s">
        <v>1874</v>
      </c>
      <c r="B810" s="59" t="s">
        <v>44</v>
      </c>
      <c r="C810" s="59" t="s">
        <v>82</v>
      </c>
      <c r="D810" s="66" t="s">
        <v>1875</v>
      </c>
      <c r="E810" s="59" t="s">
        <v>1876</v>
      </c>
      <c r="F810" s="60">
        <v>91853.91</v>
      </c>
      <c r="G810" s="60">
        <v>33376.949999999997</v>
      </c>
      <c r="H810" s="60">
        <v>58476.959999999999</v>
      </c>
      <c r="I810" s="59"/>
      <c r="J810" s="60">
        <v>4712.04</v>
      </c>
      <c r="K810" s="59"/>
      <c r="L810" s="59"/>
      <c r="M810" s="60">
        <v>91853.91</v>
      </c>
      <c r="N810" s="60">
        <v>38088.99</v>
      </c>
      <c r="O810" s="60">
        <v>53764.92</v>
      </c>
      <c r="P810" s="55"/>
      <c r="Q810" s="55"/>
      <c r="R810" s="61">
        <f t="shared" si="319"/>
        <v>392.67</v>
      </c>
      <c r="S810" s="60">
        <v>392.67</v>
      </c>
      <c r="T810" s="60">
        <v>392.67</v>
      </c>
      <c r="U810" s="60">
        <v>392.67</v>
      </c>
      <c r="V810" s="60">
        <v>392.67</v>
      </c>
      <c r="W810" s="60">
        <v>392.67</v>
      </c>
      <c r="X810" s="61">
        <f t="shared" si="320"/>
        <v>2356.02</v>
      </c>
      <c r="Y810" s="60">
        <v>392.67</v>
      </c>
      <c r="Z810" s="60">
        <v>392.67</v>
      </c>
      <c r="AA810" s="60">
        <v>392.67</v>
      </c>
      <c r="AB810" s="60">
        <v>392.67</v>
      </c>
      <c r="AC810" s="60">
        <v>392.67</v>
      </c>
      <c r="AD810" s="60">
        <v>392.67</v>
      </c>
      <c r="AE810" s="61">
        <f t="shared" si="321"/>
        <v>2356.02</v>
      </c>
      <c r="AF810" s="62">
        <f t="shared" si="328"/>
        <v>91853.91</v>
      </c>
      <c r="AG810" s="62">
        <f t="shared" si="327"/>
        <v>42801.029999999977</v>
      </c>
      <c r="AH810" s="62">
        <f t="shared" si="325"/>
        <v>49052.880000000026</v>
      </c>
      <c r="AI810" s="63"/>
      <c r="AJ810" s="63"/>
      <c r="AK810" s="62"/>
      <c r="AL810" s="60">
        <v>392.67</v>
      </c>
      <c r="AM810" s="60">
        <v>392.67</v>
      </c>
      <c r="AN810" s="60">
        <v>392.67</v>
      </c>
      <c r="AO810" s="60">
        <v>392.67</v>
      </c>
      <c r="AP810" s="60">
        <v>392.67</v>
      </c>
      <c r="AQ810" s="60">
        <v>392.67</v>
      </c>
      <c r="AR810" s="61">
        <f t="shared" si="322"/>
        <v>2356.02</v>
      </c>
      <c r="AS810" s="60">
        <v>392.67</v>
      </c>
      <c r="AT810" s="60">
        <v>392.67</v>
      </c>
      <c r="AU810" s="60">
        <v>392.67</v>
      </c>
      <c r="AV810" s="60">
        <v>392.67</v>
      </c>
      <c r="AW810" s="60">
        <v>392.67</v>
      </c>
      <c r="AX810" s="60">
        <v>392.67</v>
      </c>
      <c r="AY810" s="61">
        <f t="shared" si="323"/>
        <v>2356.02</v>
      </c>
      <c r="AZ810" s="56">
        <f t="shared" si="318"/>
        <v>4712.04</v>
      </c>
      <c r="BA810" s="62">
        <f t="shared" si="329"/>
        <v>91853.91</v>
      </c>
      <c r="BB810" s="62">
        <f t="shared" si="324"/>
        <v>47513.069999999956</v>
      </c>
      <c r="BC810" s="62">
        <f t="shared" si="330"/>
        <v>44340.840000000047</v>
      </c>
      <c r="BD810" s="63"/>
      <c r="BE810" s="57"/>
      <c r="BF810" s="35" t="str">
        <f>VLOOKUP(A:A,'2023-2027'!A:G,1,+FALSE)</f>
        <v>Передвижная КТП</v>
      </c>
      <c r="BG810" s="7" t="b">
        <f t="shared" si="326"/>
        <v>1</v>
      </c>
      <c r="BH810" s="35">
        <f>VLOOKUP(A:A,'2023-2027'!A:AT,43,+FALSE)</f>
        <v>435.33</v>
      </c>
    </row>
    <row r="811" spans="1:60" ht="12" hidden="1" customHeight="1" outlineLevel="1" x14ac:dyDescent="0.2">
      <c r="A811" s="59" t="s">
        <v>1877</v>
      </c>
      <c r="B811" s="59" t="s">
        <v>44</v>
      </c>
      <c r="C811" s="59" t="s">
        <v>82</v>
      </c>
      <c r="D811" s="66" t="s">
        <v>1878</v>
      </c>
      <c r="E811" s="59" t="s">
        <v>1879</v>
      </c>
      <c r="F811" s="60">
        <v>43604.17</v>
      </c>
      <c r="G811" s="60">
        <v>12824.8</v>
      </c>
      <c r="H811" s="60">
        <v>30779.37</v>
      </c>
      <c r="I811" s="59"/>
      <c r="J811" s="60">
        <v>7694.88</v>
      </c>
      <c r="K811" s="59"/>
      <c r="L811" s="59"/>
      <c r="M811" s="60">
        <v>43604.17</v>
      </c>
      <c r="N811" s="60">
        <v>20519.68</v>
      </c>
      <c r="O811" s="60">
        <v>23084.49</v>
      </c>
      <c r="P811" s="55"/>
      <c r="Q811" s="55"/>
      <c r="R811" s="61">
        <f t="shared" si="319"/>
        <v>641.24</v>
      </c>
      <c r="S811" s="60">
        <v>641.24</v>
      </c>
      <c r="T811" s="60">
        <v>641.24</v>
      </c>
      <c r="U811" s="60">
        <v>641.24</v>
      </c>
      <c r="V811" s="60">
        <v>641.24</v>
      </c>
      <c r="W811" s="60">
        <v>641.24</v>
      </c>
      <c r="X811" s="61">
        <f t="shared" si="320"/>
        <v>3847.4399999999996</v>
      </c>
      <c r="Y811" s="60">
        <v>641.24</v>
      </c>
      <c r="Z811" s="60">
        <v>641.24</v>
      </c>
      <c r="AA811" s="60">
        <v>641.24</v>
      </c>
      <c r="AB811" s="60">
        <v>641.24</v>
      </c>
      <c r="AC811" s="60">
        <v>641.24</v>
      </c>
      <c r="AD811" s="60">
        <v>641.24</v>
      </c>
      <c r="AE811" s="61">
        <f t="shared" si="321"/>
        <v>3847.4399999999996</v>
      </c>
      <c r="AF811" s="62">
        <f t="shared" si="328"/>
        <v>43604.17</v>
      </c>
      <c r="AG811" s="62">
        <f t="shared" si="327"/>
        <v>28214.560000000019</v>
      </c>
      <c r="AH811" s="62">
        <f t="shared" si="325"/>
        <v>15389.609999999979</v>
      </c>
      <c r="AI811" s="63"/>
      <c r="AJ811" s="63"/>
      <c r="AK811" s="62"/>
      <c r="AL811" s="60">
        <v>641.24</v>
      </c>
      <c r="AM811" s="60">
        <v>641.24</v>
      </c>
      <c r="AN811" s="60">
        <v>641.24</v>
      </c>
      <c r="AO811" s="60">
        <v>641.24</v>
      </c>
      <c r="AP811" s="60">
        <v>641.24</v>
      </c>
      <c r="AQ811" s="60">
        <v>641.24</v>
      </c>
      <c r="AR811" s="61">
        <f t="shared" si="322"/>
        <v>3847.4399999999996</v>
      </c>
      <c r="AS811" s="60">
        <v>641.24</v>
      </c>
      <c r="AT811" s="60">
        <v>641.24</v>
      </c>
      <c r="AU811" s="60">
        <v>641.24</v>
      </c>
      <c r="AV811" s="60">
        <v>641.24</v>
      </c>
      <c r="AW811" s="60">
        <v>641.24</v>
      </c>
      <c r="AX811" s="60">
        <v>641.24</v>
      </c>
      <c r="AY811" s="61">
        <f t="shared" si="323"/>
        <v>3847.4399999999996</v>
      </c>
      <c r="AZ811" s="56">
        <f t="shared" si="318"/>
        <v>7694.8799999999992</v>
      </c>
      <c r="BA811" s="62">
        <f t="shared" si="329"/>
        <v>43604.17</v>
      </c>
      <c r="BB811" s="62">
        <f t="shared" si="324"/>
        <v>35909.440000000024</v>
      </c>
      <c r="BC811" s="62">
        <f t="shared" si="330"/>
        <v>7694.7299999999741</v>
      </c>
      <c r="BD811" s="63"/>
      <c r="BE811" s="57"/>
      <c r="BF811" s="35" t="str">
        <f>VLOOKUP(A:A,'2023-2027'!A:G,1,+FALSE)</f>
        <v>Перфоратор Makita HR5202C</v>
      </c>
      <c r="BG811" s="7" t="b">
        <f t="shared" si="326"/>
        <v>1</v>
      </c>
      <c r="BH811" s="35">
        <f>VLOOKUP(A:A,'2023-2027'!A:AT,43,+FALSE)</f>
        <v>0</v>
      </c>
    </row>
    <row r="812" spans="1:60" ht="24" hidden="1" customHeight="1" outlineLevel="1" x14ac:dyDescent="0.2">
      <c r="A812" s="59" t="s">
        <v>1880</v>
      </c>
      <c r="B812" s="59" t="s">
        <v>44</v>
      </c>
      <c r="C812" s="59" t="s">
        <v>82</v>
      </c>
      <c r="D812" s="66" t="s">
        <v>1881</v>
      </c>
      <c r="E812" s="59" t="s">
        <v>182</v>
      </c>
      <c r="F812" s="60">
        <v>329828.57</v>
      </c>
      <c r="G812" s="60">
        <v>237134.7</v>
      </c>
      <c r="H812" s="60">
        <v>92693.87</v>
      </c>
      <c r="I812" s="59"/>
      <c r="J812" s="60">
        <v>16738.8</v>
      </c>
      <c r="K812" s="59"/>
      <c r="L812" s="59"/>
      <c r="M812" s="60">
        <v>329828.57</v>
      </c>
      <c r="N812" s="60">
        <v>253873.5</v>
      </c>
      <c r="O812" s="60">
        <v>75955.070000000007</v>
      </c>
      <c r="P812" s="55">
        <v>84324.47</v>
      </c>
      <c r="Q812" s="55">
        <f t="shared" ref="Q812:Q815" si="331">P812*2.2%</f>
        <v>1855.1383400000002</v>
      </c>
      <c r="R812" s="61">
        <f t="shared" si="319"/>
        <v>1394.8999999999999</v>
      </c>
      <c r="S812" s="60">
        <v>1394.9</v>
      </c>
      <c r="T812" s="60">
        <v>1394.9</v>
      </c>
      <c r="U812" s="60">
        <v>1394.9</v>
      </c>
      <c r="V812" s="60">
        <v>1394.9</v>
      </c>
      <c r="W812" s="60">
        <v>1394.9</v>
      </c>
      <c r="X812" s="61">
        <f t="shared" si="320"/>
        <v>8369.4</v>
      </c>
      <c r="Y812" s="60">
        <v>1394.9</v>
      </c>
      <c r="Z812" s="60">
        <v>1394.9</v>
      </c>
      <c r="AA812" s="60">
        <v>1394.9</v>
      </c>
      <c r="AB812" s="60">
        <v>1394.9</v>
      </c>
      <c r="AC812" s="60">
        <v>1394.9</v>
      </c>
      <c r="AD812" s="60">
        <v>1394.9</v>
      </c>
      <c r="AE812" s="61">
        <f t="shared" si="321"/>
        <v>8369.4</v>
      </c>
      <c r="AF812" s="62">
        <f t="shared" si="328"/>
        <v>329828.57</v>
      </c>
      <c r="AG812" s="62">
        <f t="shared" si="327"/>
        <v>270612.3000000001</v>
      </c>
      <c r="AH812" s="62">
        <f t="shared" si="325"/>
        <v>59216.269999999902</v>
      </c>
      <c r="AI812" s="63">
        <v>67585.670000000027</v>
      </c>
      <c r="AJ812" s="63">
        <f t="shared" ref="AJ812:AJ815" si="332">AI812*2.2%</f>
        <v>1486.8847400000006</v>
      </c>
      <c r="AK812" s="72">
        <f t="shared" ref="AK812:AK815" si="333">AI812*2.2%</f>
        <v>1486.8847400000006</v>
      </c>
      <c r="AL812" s="60">
        <v>1394.9</v>
      </c>
      <c r="AM812" s="60">
        <v>1394.9</v>
      </c>
      <c r="AN812" s="60">
        <v>1394.9</v>
      </c>
      <c r="AO812" s="60">
        <v>1394.9</v>
      </c>
      <c r="AP812" s="60">
        <v>1394.9</v>
      </c>
      <c r="AQ812" s="60">
        <v>1394.9</v>
      </c>
      <c r="AR812" s="61">
        <f t="shared" si="322"/>
        <v>8369.4</v>
      </c>
      <c r="AS812" s="60">
        <v>1394.9</v>
      </c>
      <c r="AT812" s="60">
        <v>1394.9</v>
      </c>
      <c r="AU812" s="60">
        <v>1394.9</v>
      </c>
      <c r="AV812" s="60">
        <v>1394.9</v>
      </c>
      <c r="AW812" s="60">
        <v>1394.9</v>
      </c>
      <c r="AX812" s="60">
        <v>1394.9</v>
      </c>
      <c r="AY812" s="61">
        <f t="shared" si="323"/>
        <v>8369.4</v>
      </c>
      <c r="AZ812" s="56">
        <f t="shared" si="318"/>
        <v>16738.8</v>
      </c>
      <c r="BA812" s="62">
        <f t="shared" si="329"/>
        <v>329828.57</v>
      </c>
      <c r="BB812" s="62">
        <f t="shared" si="324"/>
        <v>287351.10000000038</v>
      </c>
      <c r="BC812" s="62">
        <f t="shared" si="330"/>
        <v>42477.469999999623</v>
      </c>
      <c r="BD812" s="63">
        <v>50846.870000000112</v>
      </c>
      <c r="BE812" s="57">
        <f t="shared" ref="BE812:BE815" si="334">BD812*2.2%</f>
        <v>1118.6311400000025</v>
      </c>
      <c r="BF812" s="35" t="str">
        <f>VLOOKUP(A:A,'2023-2027'!A:G,1,+FALSE)</f>
        <v>Подстанция КТПКп-400 №2273 ( ТП № 2  2008г)</v>
      </c>
      <c r="BG812" s="7" t="b">
        <f t="shared" si="326"/>
        <v>1</v>
      </c>
      <c r="BH812" s="35">
        <f>VLOOKUP(A:A,'2023-2027'!A:AT,43,+FALSE)</f>
        <v>0</v>
      </c>
    </row>
    <row r="813" spans="1:60" ht="24" hidden="1" customHeight="1" outlineLevel="1" x14ac:dyDescent="0.2">
      <c r="A813" s="59" t="s">
        <v>1882</v>
      </c>
      <c r="B813" s="59" t="s">
        <v>44</v>
      </c>
      <c r="C813" s="59" t="s">
        <v>82</v>
      </c>
      <c r="D813" s="66" t="s">
        <v>1883</v>
      </c>
      <c r="E813" s="59" t="s">
        <v>182</v>
      </c>
      <c r="F813" s="60">
        <v>251274.09</v>
      </c>
      <c r="G813" s="60">
        <v>179072.9</v>
      </c>
      <c r="H813" s="60">
        <v>72201.19</v>
      </c>
      <c r="I813" s="59"/>
      <c r="J813" s="60">
        <v>12640.2</v>
      </c>
      <c r="K813" s="59"/>
      <c r="L813" s="59"/>
      <c r="M813" s="60">
        <v>251274.09</v>
      </c>
      <c r="N813" s="60">
        <v>191713.1</v>
      </c>
      <c r="O813" s="60">
        <v>59560.99</v>
      </c>
      <c r="P813" s="55">
        <v>65881.09</v>
      </c>
      <c r="Q813" s="55">
        <f t="shared" si="331"/>
        <v>1449.3839800000001</v>
      </c>
      <c r="R813" s="61">
        <f t="shared" si="319"/>
        <v>1053.3500000000001</v>
      </c>
      <c r="S813" s="60">
        <v>1053.3499999999999</v>
      </c>
      <c r="T813" s="60">
        <v>1053.3499999999999</v>
      </c>
      <c r="U813" s="60">
        <v>1053.3499999999999</v>
      </c>
      <c r="V813" s="60">
        <v>1053.3499999999999</v>
      </c>
      <c r="W813" s="60">
        <v>1053.3499999999999</v>
      </c>
      <c r="X813" s="61">
        <f t="shared" si="320"/>
        <v>6320.1</v>
      </c>
      <c r="Y813" s="60">
        <v>1053.3499999999999</v>
      </c>
      <c r="Z813" s="60">
        <v>1053.3499999999999</v>
      </c>
      <c r="AA813" s="60">
        <v>1053.3499999999999</v>
      </c>
      <c r="AB813" s="60">
        <v>1053.3499999999999</v>
      </c>
      <c r="AC813" s="60">
        <v>1053.3499999999999</v>
      </c>
      <c r="AD813" s="60">
        <v>1053.3499999999999</v>
      </c>
      <c r="AE813" s="61">
        <f t="shared" si="321"/>
        <v>6320.1</v>
      </c>
      <c r="AF813" s="62">
        <f t="shared" si="328"/>
        <v>251274.09</v>
      </c>
      <c r="AG813" s="62">
        <f t="shared" si="327"/>
        <v>204353.30000000008</v>
      </c>
      <c r="AH813" s="62">
        <f t="shared" si="325"/>
        <v>46920.789999999921</v>
      </c>
      <c r="AI813" s="63">
        <v>53240.88999999997</v>
      </c>
      <c r="AJ813" s="63">
        <f t="shared" si="332"/>
        <v>1171.2995799999994</v>
      </c>
      <c r="AK813" s="72">
        <f t="shared" si="333"/>
        <v>1171.2995799999994</v>
      </c>
      <c r="AL813" s="60">
        <v>1053.3499999999999</v>
      </c>
      <c r="AM813" s="60">
        <v>1053.3499999999999</v>
      </c>
      <c r="AN813" s="60">
        <v>1053.3499999999999</v>
      </c>
      <c r="AO813" s="60">
        <v>1053.3499999999999</v>
      </c>
      <c r="AP813" s="60">
        <v>1053.3499999999999</v>
      </c>
      <c r="AQ813" s="60">
        <v>1053.3499999999999</v>
      </c>
      <c r="AR813" s="61">
        <f t="shared" si="322"/>
        <v>6320.1</v>
      </c>
      <c r="AS813" s="60">
        <v>1053.3499999999999</v>
      </c>
      <c r="AT813" s="60">
        <v>1053.3499999999999</v>
      </c>
      <c r="AU813" s="60">
        <v>1053.3499999999999</v>
      </c>
      <c r="AV813" s="60">
        <v>1053.3499999999999</v>
      </c>
      <c r="AW813" s="60">
        <v>1053.3499999999999</v>
      </c>
      <c r="AX813" s="60">
        <v>1053.3499999999999</v>
      </c>
      <c r="AY813" s="61">
        <f t="shared" si="323"/>
        <v>6320.1</v>
      </c>
      <c r="AZ813" s="56">
        <f t="shared" si="318"/>
        <v>12640.2</v>
      </c>
      <c r="BA813" s="62">
        <f t="shared" si="329"/>
        <v>251274.09</v>
      </c>
      <c r="BB813" s="62">
        <f t="shared" si="324"/>
        <v>216993.50000000015</v>
      </c>
      <c r="BC813" s="62">
        <f t="shared" si="330"/>
        <v>34280.589999999851</v>
      </c>
      <c r="BD813" s="63">
        <v>40600.6899999999</v>
      </c>
      <c r="BE813" s="57">
        <f t="shared" si="334"/>
        <v>893.21517999999787</v>
      </c>
      <c r="BF813" s="35" t="str">
        <f>VLOOKUP(A:A,'2023-2027'!A:G,1,+FALSE)</f>
        <v>Подстанция КТПКп-400 №2275 (ТП № 65 с 18.08.09г)</v>
      </c>
      <c r="BG813" s="7" t="b">
        <f t="shared" si="326"/>
        <v>1</v>
      </c>
      <c r="BH813" s="35">
        <f>VLOOKUP(A:A,'2023-2027'!A:AT,43,+FALSE)</f>
        <v>1395.9699999999996</v>
      </c>
    </row>
    <row r="814" spans="1:60" ht="24" hidden="1" customHeight="1" outlineLevel="1" x14ac:dyDescent="0.2">
      <c r="A814" s="59" t="s">
        <v>1884</v>
      </c>
      <c r="B814" s="59" t="s">
        <v>44</v>
      </c>
      <c r="C814" s="59" t="s">
        <v>82</v>
      </c>
      <c r="D814" s="65" t="s">
        <v>1885</v>
      </c>
      <c r="E814" s="59" t="s">
        <v>1198</v>
      </c>
      <c r="F814" s="60">
        <v>185383.33</v>
      </c>
      <c r="G814" s="60">
        <v>113945.7</v>
      </c>
      <c r="H814" s="60">
        <v>71437.63</v>
      </c>
      <c r="I814" s="59"/>
      <c r="J814" s="60">
        <v>6243.72</v>
      </c>
      <c r="K814" s="59"/>
      <c r="L814" s="59"/>
      <c r="M814" s="60">
        <v>185383.33</v>
      </c>
      <c r="N814" s="60">
        <v>120189.42</v>
      </c>
      <c r="O814" s="60">
        <v>65193.91</v>
      </c>
      <c r="P814" s="55">
        <v>68315.77</v>
      </c>
      <c r="Q814" s="55">
        <f t="shared" si="331"/>
        <v>1502.9469400000003</v>
      </c>
      <c r="R814" s="61">
        <f t="shared" si="319"/>
        <v>520.31000000000006</v>
      </c>
      <c r="S814" s="60">
        <v>520.30999999999995</v>
      </c>
      <c r="T814" s="60">
        <v>520.30999999999995</v>
      </c>
      <c r="U814" s="60">
        <v>520.30999999999995</v>
      </c>
      <c r="V814" s="60">
        <v>520.30999999999995</v>
      </c>
      <c r="W814" s="60">
        <v>520.30999999999995</v>
      </c>
      <c r="X814" s="61">
        <f t="shared" si="320"/>
        <v>3121.8599999999997</v>
      </c>
      <c r="Y814" s="60">
        <v>520.30999999999995</v>
      </c>
      <c r="Z814" s="60">
        <v>520.30999999999995</v>
      </c>
      <c r="AA814" s="60">
        <v>520.30999999999995</v>
      </c>
      <c r="AB814" s="60">
        <v>520.30999999999995</v>
      </c>
      <c r="AC814" s="60">
        <v>520.30999999999995</v>
      </c>
      <c r="AD814" s="60">
        <v>520.30999999999995</v>
      </c>
      <c r="AE814" s="61">
        <f t="shared" si="321"/>
        <v>3121.8599999999997</v>
      </c>
      <c r="AF814" s="62">
        <f t="shared" si="328"/>
        <v>185383.33</v>
      </c>
      <c r="AG814" s="62">
        <f t="shared" si="327"/>
        <v>126433.13999999997</v>
      </c>
      <c r="AH814" s="62">
        <f t="shared" si="325"/>
        <v>58950.190000000017</v>
      </c>
      <c r="AI814" s="63">
        <v>62072.050000000017</v>
      </c>
      <c r="AJ814" s="63">
        <f t="shared" si="332"/>
        <v>1365.5851000000005</v>
      </c>
      <c r="AK814" s="72">
        <f t="shared" si="333"/>
        <v>1365.5851000000005</v>
      </c>
      <c r="AL814" s="60">
        <v>520.30999999999995</v>
      </c>
      <c r="AM814" s="60">
        <v>520.30999999999995</v>
      </c>
      <c r="AN814" s="60">
        <v>520.30999999999995</v>
      </c>
      <c r="AO814" s="60">
        <v>520.30999999999995</v>
      </c>
      <c r="AP814" s="60">
        <v>520.30999999999995</v>
      </c>
      <c r="AQ814" s="60">
        <v>520.30999999999995</v>
      </c>
      <c r="AR814" s="61">
        <f t="shared" si="322"/>
        <v>3121.8599999999997</v>
      </c>
      <c r="AS814" s="60">
        <v>520.30999999999995</v>
      </c>
      <c r="AT814" s="60">
        <v>520.30999999999995</v>
      </c>
      <c r="AU814" s="60">
        <v>520.30999999999995</v>
      </c>
      <c r="AV814" s="60">
        <v>520.30999999999995</v>
      </c>
      <c r="AW814" s="60">
        <v>520.30999999999995</v>
      </c>
      <c r="AX814" s="60">
        <v>520.30999999999995</v>
      </c>
      <c r="AY814" s="61">
        <f t="shared" si="323"/>
        <v>3121.8599999999997</v>
      </c>
      <c r="AZ814" s="56">
        <f t="shared" si="318"/>
        <v>6243.7199999999993</v>
      </c>
      <c r="BA814" s="62">
        <f t="shared" si="329"/>
        <v>185383.33</v>
      </c>
      <c r="BB814" s="62">
        <f t="shared" si="324"/>
        <v>132676.85999999996</v>
      </c>
      <c r="BC814" s="62">
        <f t="shared" si="330"/>
        <v>52706.47000000003</v>
      </c>
      <c r="BD814" s="63">
        <v>55828.330000000045</v>
      </c>
      <c r="BE814" s="57">
        <f t="shared" si="334"/>
        <v>1228.2232600000011</v>
      </c>
      <c r="BF814" s="35" t="e">
        <f>VLOOKUP(A:A,'2023-2027'!A:G,1,+FALSE)</f>
        <v>#N/A</v>
      </c>
      <c r="BG814" s="7" t="e">
        <f t="shared" si="326"/>
        <v>#N/A</v>
      </c>
      <c r="BH814" s="35"/>
    </row>
    <row r="815" spans="1:60" ht="24" hidden="1" customHeight="1" outlineLevel="1" x14ac:dyDescent="0.2">
      <c r="A815" s="59" t="s">
        <v>1886</v>
      </c>
      <c r="B815" s="59" t="s">
        <v>44</v>
      </c>
      <c r="C815" s="59" t="s">
        <v>82</v>
      </c>
      <c r="D815" s="66" t="s">
        <v>1887</v>
      </c>
      <c r="E815" s="59" t="s">
        <v>1100</v>
      </c>
      <c r="F815" s="60">
        <v>865197.63</v>
      </c>
      <c r="G815" s="60">
        <v>597554.24</v>
      </c>
      <c r="H815" s="60">
        <v>267643.39</v>
      </c>
      <c r="I815" s="59"/>
      <c r="J815" s="60">
        <v>53512.44</v>
      </c>
      <c r="K815" s="59"/>
      <c r="L815" s="59"/>
      <c r="M815" s="60">
        <v>865197.63</v>
      </c>
      <c r="N815" s="60">
        <v>651066.68000000005</v>
      </c>
      <c r="O815" s="60">
        <v>214130.95</v>
      </c>
      <c r="P815" s="55">
        <v>240887.17</v>
      </c>
      <c r="Q815" s="55">
        <f t="shared" si="331"/>
        <v>5299.5177400000011</v>
      </c>
      <c r="R815" s="61">
        <f t="shared" si="319"/>
        <v>4459.37</v>
      </c>
      <c r="S815" s="60">
        <v>4459.37</v>
      </c>
      <c r="T815" s="60">
        <v>4459.37</v>
      </c>
      <c r="U815" s="60">
        <v>4459.37</v>
      </c>
      <c r="V815" s="60">
        <v>4459.37</v>
      </c>
      <c r="W815" s="60">
        <v>4459.37</v>
      </c>
      <c r="X815" s="61">
        <f t="shared" si="320"/>
        <v>26756.219999999998</v>
      </c>
      <c r="Y815" s="60">
        <v>4459.37</v>
      </c>
      <c r="Z815" s="60">
        <v>4459.37</v>
      </c>
      <c r="AA815" s="60">
        <v>4459.37</v>
      </c>
      <c r="AB815" s="60">
        <v>4459.37</v>
      </c>
      <c r="AC815" s="60">
        <v>4459.37</v>
      </c>
      <c r="AD815" s="60">
        <v>4459.37</v>
      </c>
      <c r="AE815" s="61">
        <f t="shared" si="321"/>
        <v>26756.219999999998</v>
      </c>
      <c r="AF815" s="62">
        <f t="shared" si="328"/>
        <v>865197.63</v>
      </c>
      <c r="AG815" s="62">
        <f t="shared" si="327"/>
        <v>704579.12</v>
      </c>
      <c r="AH815" s="62">
        <f t="shared" si="325"/>
        <v>160618.51</v>
      </c>
      <c r="AI815" s="63">
        <v>187374.73000000004</v>
      </c>
      <c r="AJ815" s="63">
        <f t="shared" si="332"/>
        <v>4122.2440600000009</v>
      </c>
      <c r="AK815" s="72">
        <f t="shared" si="333"/>
        <v>4122.2440600000009</v>
      </c>
      <c r="AL815" s="60">
        <v>4459.37</v>
      </c>
      <c r="AM815" s="60">
        <v>4459.37</v>
      </c>
      <c r="AN815" s="60">
        <v>4459.37</v>
      </c>
      <c r="AO815" s="60">
        <v>4459.37</v>
      </c>
      <c r="AP815" s="60">
        <v>4459.37</v>
      </c>
      <c r="AQ815" s="60">
        <v>4459.37</v>
      </c>
      <c r="AR815" s="61">
        <f t="shared" si="322"/>
        <v>26756.219999999998</v>
      </c>
      <c r="AS815" s="60">
        <v>4459.37</v>
      </c>
      <c r="AT815" s="60">
        <v>4459.37</v>
      </c>
      <c r="AU815" s="60">
        <v>4459.37</v>
      </c>
      <c r="AV815" s="60">
        <v>4459.37</v>
      </c>
      <c r="AW815" s="60">
        <v>4459.37</v>
      </c>
      <c r="AX815" s="60">
        <v>4459.37</v>
      </c>
      <c r="AY815" s="61">
        <f t="shared" si="323"/>
        <v>26756.219999999998</v>
      </c>
      <c r="AZ815" s="56">
        <f t="shared" si="318"/>
        <v>53512.439999999995</v>
      </c>
      <c r="BA815" s="62">
        <f t="shared" si="329"/>
        <v>865197.63</v>
      </c>
      <c r="BB815" s="62">
        <f t="shared" si="324"/>
        <v>758091.55999999994</v>
      </c>
      <c r="BC815" s="62">
        <f t="shared" si="330"/>
        <v>107106.07000000007</v>
      </c>
      <c r="BD815" s="63">
        <v>133862.2900000001</v>
      </c>
      <c r="BE815" s="57">
        <f t="shared" si="334"/>
        <v>2944.9703800000025</v>
      </c>
      <c r="BF815" s="35" t="str">
        <f>VLOOKUP(A:A,'2023-2027'!A:G,1,+FALSE)</f>
        <v>Подстанция трансформат. компл. КТП/ПК 630/6/0,4 кВ</v>
      </c>
      <c r="BG815" s="7" t="b">
        <f t="shared" si="326"/>
        <v>1</v>
      </c>
      <c r="BH815" s="35">
        <f>VLOOKUP(A:A,'2023-2027'!A:AT,43,+FALSE)</f>
        <v>3696.4599999999996</v>
      </c>
    </row>
    <row r="816" spans="1:60" ht="12" hidden="1" customHeight="1" outlineLevel="1" x14ac:dyDescent="0.2">
      <c r="A816" s="59" t="s">
        <v>1888</v>
      </c>
      <c r="B816" s="59" t="s">
        <v>44</v>
      </c>
      <c r="C816" s="59" t="s">
        <v>82</v>
      </c>
      <c r="D816" s="65" t="s">
        <v>1889</v>
      </c>
      <c r="E816" s="59" t="s">
        <v>1890</v>
      </c>
      <c r="F816" s="60">
        <v>41186.449999999997</v>
      </c>
      <c r="G816" s="60">
        <v>30394.65</v>
      </c>
      <c r="H816" s="60">
        <v>10791.8</v>
      </c>
      <c r="I816" s="59"/>
      <c r="J816" s="60">
        <v>2158.3200000000002</v>
      </c>
      <c r="K816" s="59"/>
      <c r="L816" s="59"/>
      <c r="M816" s="60">
        <v>41186.449999999997</v>
      </c>
      <c r="N816" s="60">
        <v>32552.97</v>
      </c>
      <c r="O816" s="60">
        <v>8633.48</v>
      </c>
      <c r="P816" s="55"/>
      <c r="Q816" s="55"/>
      <c r="R816" s="61">
        <f t="shared" si="319"/>
        <v>179.86</v>
      </c>
      <c r="S816" s="60">
        <v>179.86</v>
      </c>
      <c r="T816" s="60">
        <v>179.86</v>
      </c>
      <c r="U816" s="60">
        <v>179.86</v>
      </c>
      <c r="V816" s="60">
        <v>179.86</v>
      </c>
      <c r="W816" s="60">
        <v>179.86</v>
      </c>
      <c r="X816" s="61">
        <f t="shared" si="320"/>
        <v>1079.1600000000001</v>
      </c>
      <c r="Y816" s="60">
        <v>179.86</v>
      </c>
      <c r="Z816" s="60">
        <v>179.86</v>
      </c>
      <c r="AA816" s="60">
        <v>179.86</v>
      </c>
      <c r="AB816" s="60">
        <v>179.86</v>
      </c>
      <c r="AC816" s="60">
        <v>179.86</v>
      </c>
      <c r="AD816" s="60">
        <v>179.86</v>
      </c>
      <c r="AE816" s="61">
        <f t="shared" si="321"/>
        <v>1079.1600000000001</v>
      </c>
      <c r="AF816" s="62">
        <f t="shared" si="328"/>
        <v>41186.449999999997</v>
      </c>
      <c r="AG816" s="62">
        <f t="shared" si="327"/>
        <v>34711.290000000008</v>
      </c>
      <c r="AH816" s="62">
        <f t="shared" si="325"/>
        <v>6475.1599999999889</v>
      </c>
      <c r="AI816" s="63"/>
      <c r="AJ816" s="63"/>
      <c r="AK816" s="62"/>
      <c r="AL816" s="60">
        <v>179.86</v>
      </c>
      <c r="AM816" s="60">
        <v>179.86</v>
      </c>
      <c r="AN816" s="60">
        <v>179.86</v>
      </c>
      <c r="AO816" s="60">
        <v>179.86</v>
      </c>
      <c r="AP816" s="60">
        <v>179.86</v>
      </c>
      <c r="AQ816" s="60">
        <v>179.86</v>
      </c>
      <c r="AR816" s="61">
        <f t="shared" si="322"/>
        <v>1079.1600000000001</v>
      </c>
      <c r="AS816" s="60">
        <v>179.86</v>
      </c>
      <c r="AT816" s="60">
        <v>179.86</v>
      </c>
      <c r="AU816" s="60">
        <v>179.86</v>
      </c>
      <c r="AV816" s="60">
        <v>179.86</v>
      </c>
      <c r="AW816" s="60">
        <v>179.86</v>
      </c>
      <c r="AX816" s="60">
        <v>179.86</v>
      </c>
      <c r="AY816" s="61">
        <f t="shared" si="323"/>
        <v>1079.1600000000001</v>
      </c>
      <c r="AZ816" s="56">
        <f t="shared" si="318"/>
        <v>2158.3200000000002</v>
      </c>
      <c r="BA816" s="62">
        <f t="shared" si="329"/>
        <v>41186.449999999997</v>
      </c>
      <c r="BB816" s="62">
        <f t="shared" si="324"/>
        <v>36869.610000000015</v>
      </c>
      <c r="BC816" s="62">
        <f t="shared" si="330"/>
        <v>4316.839999999982</v>
      </c>
      <c r="BD816" s="63"/>
      <c r="BE816" s="57"/>
      <c r="BF816" s="35" t="e">
        <f>VLOOKUP(A:A,'2023-2027'!A:G,1,+FALSE)</f>
        <v>#N/A</v>
      </c>
      <c r="BG816" s="7" t="e">
        <f t="shared" si="326"/>
        <v>#N/A</v>
      </c>
      <c r="BH816" s="35"/>
    </row>
    <row r="817" spans="1:60" ht="36" hidden="1" customHeight="1" outlineLevel="1" x14ac:dyDescent="0.2">
      <c r="A817" s="59" t="s">
        <v>1891</v>
      </c>
      <c r="B817" s="59" t="s">
        <v>44</v>
      </c>
      <c r="C817" s="59" t="s">
        <v>82</v>
      </c>
      <c r="D817" s="66" t="s">
        <v>1892</v>
      </c>
      <c r="E817" s="59" t="s">
        <v>1893</v>
      </c>
      <c r="F817" s="60">
        <v>127916.95</v>
      </c>
      <c r="G817" s="60">
        <v>97363.199999999997</v>
      </c>
      <c r="H817" s="60">
        <v>30553.75</v>
      </c>
      <c r="I817" s="59"/>
      <c r="J817" s="60">
        <v>17702.52</v>
      </c>
      <c r="K817" s="59"/>
      <c r="L817" s="59"/>
      <c r="M817" s="60">
        <v>127916.95</v>
      </c>
      <c r="N817" s="60">
        <v>115065.72</v>
      </c>
      <c r="O817" s="60">
        <v>12851.23</v>
      </c>
      <c r="P817" s="55"/>
      <c r="Q817" s="55"/>
      <c r="R817" s="61">
        <f t="shared" si="319"/>
        <v>1475.21</v>
      </c>
      <c r="S817" s="60">
        <v>1475.21</v>
      </c>
      <c r="T817" s="60">
        <v>1475.21</v>
      </c>
      <c r="U817" s="60">
        <v>1475.21</v>
      </c>
      <c r="V817" s="60">
        <v>1475.21</v>
      </c>
      <c r="W817" s="60">
        <v>1475.21</v>
      </c>
      <c r="X817" s="61">
        <f t="shared" si="320"/>
        <v>8851.26</v>
      </c>
      <c r="Y817" s="60">
        <v>1475.21</v>
      </c>
      <c r="Z817" s="60">
        <v>1475.21</v>
      </c>
      <c r="AA817" s="60">
        <v>1049.55</v>
      </c>
      <c r="AB817" s="60"/>
      <c r="AC817" s="60"/>
      <c r="AD817" s="60"/>
      <c r="AE817" s="61">
        <f t="shared" si="321"/>
        <v>3999.9700000000003</v>
      </c>
      <c r="AF817" s="62">
        <f t="shared" si="328"/>
        <v>127916.95</v>
      </c>
      <c r="AG817" s="62">
        <f t="shared" si="327"/>
        <v>127916.95000000006</v>
      </c>
      <c r="AH817" s="62">
        <f t="shared" si="325"/>
        <v>0</v>
      </c>
      <c r="AI817" s="63"/>
      <c r="AJ817" s="63"/>
      <c r="AK817" s="62"/>
      <c r="AL817" s="60"/>
      <c r="AM817" s="60"/>
      <c r="AN817" s="60"/>
      <c r="AO817" s="60"/>
      <c r="AP817" s="60"/>
      <c r="AQ817" s="60"/>
      <c r="AR817" s="61">
        <f t="shared" si="322"/>
        <v>0</v>
      </c>
      <c r="AS817" s="60"/>
      <c r="AT817" s="60"/>
      <c r="AU817" s="60"/>
      <c r="AV817" s="60"/>
      <c r="AW817" s="60"/>
      <c r="AX817" s="60"/>
      <c r="AY817" s="61">
        <f t="shared" si="323"/>
        <v>0</v>
      </c>
      <c r="AZ817" s="56">
        <f t="shared" si="318"/>
        <v>0</v>
      </c>
      <c r="BA817" s="62">
        <f t="shared" si="329"/>
        <v>127916.95</v>
      </c>
      <c r="BB817" s="62">
        <f t="shared" si="324"/>
        <v>127916.95000000006</v>
      </c>
      <c r="BC817" s="62">
        <f t="shared" si="330"/>
        <v>0</v>
      </c>
      <c r="BD817" s="63"/>
      <c r="BE817" s="57"/>
      <c r="BF817" s="35" t="str">
        <f>VLOOKUP(A:A,'2023-2027'!A:G,1,+FALSE)</f>
        <v>Пункт коммерческого учета ПКУ-6-У1 (ВМ) (16-1513.1) 16-1513.1</v>
      </c>
      <c r="BG817" s="7" t="b">
        <f t="shared" si="326"/>
        <v>1</v>
      </c>
      <c r="BH817" s="35">
        <f>VLOOKUP(A:A,'2023-2027'!A:AT,43,+FALSE)</f>
        <v>0</v>
      </c>
    </row>
    <row r="818" spans="1:60" ht="24" hidden="1" customHeight="1" outlineLevel="1" x14ac:dyDescent="0.2">
      <c r="A818" s="59" t="s">
        <v>1894</v>
      </c>
      <c r="B818" s="59" t="s">
        <v>44</v>
      </c>
      <c r="C818" s="59" t="s">
        <v>82</v>
      </c>
      <c r="D818" s="65" t="s">
        <v>1895</v>
      </c>
      <c r="E818" s="59" t="s">
        <v>1808</v>
      </c>
      <c r="F818" s="60">
        <v>30510</v>
      </c>
      <c r="G818" s="60">
        <v>20812.990000000002</v>
      </c>
      <c r="H818" s="60">
        <v>9697.01</v>
      </c>
      <c r="I818" s="59"/>
      <c r="J818" s="68">
        <v>579.72</v>
      </c>
      <c r="K818" s="59"/>
      <c r="L818" s="59"/>
      <c r="M818" s="60">
        <v>30510</v>
      </c>
      <c r="N818" s="60">
        <v>21392.71</v>
      </c>
      <c r="O818" s="60">
        <v>9117.2900000000009</v>
      </c>
      <c r="P818" s="55"/>
      <c r="Q818" s="55"/>
      <c r="R818" s="61">
        <f t="shared" si="319"/>
        <v>48.31</v>
      </c>
      <c r="S818" s="60">
        <v>48.31</v>
      </c>
      <c r="T818" s="60">
        <v>48.31</v>
      </c>
      <c r="U818" s="60">
        <v>48.31</v>
      </c>
      <c r="V818" s="60">
        <v>48.31</v>
      </c>
      <c r="W818" s="60">
        <v>48.31</v>
      </c>
      <c r="X818" s="61">
        <f t="shared" si="320"/>
        <v>289.86</v>
      </c>
      <c r="Y818" s="60">
        <v>48.31</v>
      </c>
      <c r="Z818" s="60">
        <v>48.31</v>
      </c>
      <c r="AA818" s="60">
        <v>48.31</v>
      </c>
      <c r="AB818" s="60">
        <v>48.31</v>
      </c>
      <c r="AC818" s="60">
        <v>48.31</v>
      </c>
      <c r="AD818" s="60">
        <v>48.31</v>
      </c>
      <c r="AE818" s="61">
        <f t="shared" si="321"/>
        <v>289.86</v>
      </c>
      <c r="AF818" s="62">
        <f t="shared" si="328"/>
        <v>30510</v>
      </c>
      <c r="AG818" s="62">
        <f t="shared" si="327"/>
        <v>21972.430000000015</v>
      </c>
      <c r="AH818" s="62">
        <f t="shared" si="325"/>
        <v>8537.5699999999852</v>
      </c>
      <c r="AI818" s="63"/>
      <c r="AJ818" s="63"/>
      <c r="AK818" s="62"/>
      <c r="AL818" s="60">
        <v>48.31</v>
      </c>
      <c r="AM818" s="60">
        <v>48.31</v>
      </c>
      <c r="AN818" s="60">
        <v>48.31</v>
      </c>
      <c r="AO818" s="60">
        <v>48.31</v>
      </c>
      <c r="AP818" s="60">
        <v>48.31</v>
      </c>
      <c r="AQ818" s="60">
        <v>48.31</v>
      </c>
      <c r="AR818" s="61">
        <f t="shared" si="322"/>
        <v>289.86</v>
      </c>
      <c r="AS818" s="60">
        <v>48.31</v>
      </c>
      <c r="AT818" s="60">
        <v>48.31</v>
      </c>
      <c r="AU818" s="60">
        <v>48.31</v>
      </c>
      <c r="AV818" s="60">
        <v>48.31</v>
      </c>
      <c r="AW818" s="60">
        <v>48.31</v>
      </c>
      <c r="AX818" s="60">
        <v>48.31</v>
      </c>
      <c r="AY818" s="61">
        <f t="shared" si="323"/>
        <v>289.86</v>
      </c>
      <c r="AZ818" s="56">
        <f t="shared" si="318"/>
        <v>579.72</v>
      </c>
      <c r="BA818" s="62">
        <f t="shared" si="329"/>
        <v>30510</v>
      </c>
      <c r="BB818" s="62">
        <f t="shared" si="324"/>
        <v>22552.150000000031</v>
      </c>
      <c r="BC818" s="62">
        <f t="shared" si="330"/>
        <v>7957.8499999999694</v>
      </c>
      <c r="BD818" s="63"/>
      <c r="BE818" s="57"/>
      <c r="BF818" s="35" t="e">
        <f>VLOOKUP(A:A,'2023-2027'!A:G,1,+FALSE)</f>
        <v>#N/A</v>
      </c>
      <c r="BG818" s="7" t="e">
        <f t="shared" si="326"/>
        <v>#N/A</v>
      </c>
      <c r="BH818" s="35"/>
    </row>
    <row r="819" spans="1:60" ht="12" hidden="1" customHeight="1" outlineLevel="1" x14ac:dyDescent="0.2">
      <c r="A819" s="59" t="s">
        <v>1896</v>
      </c>
      <c r="B819" s="59" t="s">
        <v>44</v>
      </c>
      <c r="C819" s="59" t="s">
        <v>82</v>
      </c>
      <c r="D819" s="66" t="s">
        <v>1897</v>
      </c>
      <c r="E819" s="59" t="s">
        <v>1808</v>
      </c>
      <c r="F819" s="60">
        <v>14221</v>
      </c>
      <c r="G819" s="60">
        <v>8658.7900000000009</v>
      </c>
      <c r="H819" s="60">
        <v>5562.21</v>
      </c>
      <c r="I819" s="59"/>
      <c r="J819" s="68">
        <v>240.96</v>
      </c>
      <c r="K819" s="59"/>
      <c r="L819" s="59"/>
      <c r="M819" s="60">
        <v>14221</v>
      </c>
      <c r="N819" s="60">
        <v>8899.75</v>
      </c>
      <c r="O819" s="60">
        <v>5321.25</v>
      </c>
      <c r="P819" s="55">
        <v>5441.73</v>
      </c>
      <c r="Q819" s="55">
        <f t="shared" ref="Q819:Q820" si="335">P819*2.2%</f>
        <v>119.71806000000001</v>
      </c>
      <c r="R819" s="61">
        <f t="shared" si="319"/>
        <v>20.080000000000002</v>
      </c>
      <c r="S819" s="60">
        <v>20.079999999999998</v>
      </c>
      <c r="T819" s="60">
        <v>20.079999999999998</v>
      </c>
      <c r="U819" s="60">
        <v>20.079999999999998</v>
      </c>
      <c r="V819" s="60">
        <v>20.079999999999998</v>
      </c>
      <c r="W819" s="60">
        <v>20.079999999999998</v>
      </c>
      <c r="X819" s="61">
        <f t="shared" si="320"/>
        <v>120.47999999999999</v>
      </c>
      <c r="Y819" s="60">
        <v>20.079999999999998</v>
      </c>
      <c r="Z819" s="60">
        <v>20.079999999999998</v>
      </c>
      <c r="AA819" s="60">
        <v>20.079999999999998</v>
      </c>
      <c r="AB819" s="60">
        <v>20.079999999999998</v>
      </c>
      <c r="AC819" s="60">
        <v>20.079999999999998</v>
      </c>
      <c r="AD819" s="60">
        <v>20.079999999999998</v>
      </c>
      <c r="AE819" s="61">
        <f t="shared" si="321"/>
        <v>120.47999999999999</v>
      </c>
      <c r="AF819" s="62">
        <f t="shared" si="328"/>
        <v>14221</v>
      </c>
      <c r="AG819" s="62">
        <f t="shared" si="327"/>
        <v>9140.7099999999991</v>
      </c>
      <c r="AH819" s="62">
        <f t="shared" si="325"/>
        <v>5080.2900000000009</v>
      </c>
      <c r="AI819" s="63">
        <v>5200.7700000000004</v>
      </c>
      <c r="AJ819" s="63">
        <f t="shared" ref="AJ819:AJ820" si="336">AI819*2.2%</f>
        <v>114.41694000000003</v>
      </c>
      <c r="AK819" s="62"/>
      <c r="AL819" s="60">
        <v>20.079999999999998</v>
      </c>
      <c r="AM819" s="60">
        <v>20.079999999999998</v>
      </c>
      <c r="AN819" s="60">
        <v>20.079999999999998</v>
      </c>
      <c r="AO819" s="60">
        <v>20.079999999999998</v>
      </c>
      <c r="AP819" s="60">
        <v>20.079999999999998</v>
      </c>
      <c r="AQ819" s="60">
        <v>20.079999999999998</v>
      </c>
      <c r="AR819" s="61">
        <f t="shared" si="322"/>
        <v>120.47999999999999</v>
      </c>
      <c r="AS819" s="60">
        <v>20.079999999999998</v>
      </c>
      <c r="AT819" s="60">
        <v>20.079999999999998</v>
      </c>
      <c r="AU819" s="60">
        <v>20.079999999999998</v>
      </c>
      <c r="AV819" s="60">
        <v>20.079999999999998</v>
      </c>
      <c r="AW819" s="60">
        <v>20.079999999999998</v>
      </c>
      <c r="AX819" s="60">
        <v>20.079999999999998</v>
      </c>
      <c r="AY819" s="61">
        <f t="shared" si="323"/>
        <v>120.47999999999999</v>
      </c>
      <c r="AZ819" s="56">
        <f t="shared" si="318"/>
        <v>240.95999999999998</v>
      </c>
      <c r="BA819" s="62">
        <f t="shared" si="329"/>
        <v>14221</v>
      </c>
      <c r="BB819" s="62">
        <f t="shared" si="324"/>
        <v>9381.6699999999983</v>
      </c>
      <c r="BC819" s="62">
        <f t="shared" si="330"/>
        <v>4839.3300000000017</v>
      </c>
      <c r="BD819" s="63">
        <v>4959.8100000000013</v>
      </c>
      <c r="BE819" s="57">
        <f t="shared" ref="BE819:BE820" si="337">BD819*2.2%</f>
        <v>109.11582000000004</v>
      </c>
      <c r="BF819" s="35" t="str">
        <f>VLOOKUP(A:A,'2023-2027'!A:G,1,+FALSE)</f>
        <v>Распред. устройство 6кв 1986г</v>
      </c>
      <c r="BG819" s="7" t="b">
        <f t="shared" si="326"/>
        <v>1</v>
      </c>
      <c r="BH819" s="35">
        <f>VLOOKUP(A:A,'2023-2027'!A:AT,43,+FALSE)</f>
        <v>20.079999999999998</v>
      </c>
    </row>
    <row r="820" spans="1:60" ht="24" hidden="1" customHeight="1" outlineLevel="1" x14ac:dyDescent="0.2">
      <c r="A820" s="59" t="s">
        <v>1898</v>
      </c>
      <c r="B820" s="59" t="s">
        <v>44</v>
      </c>
      <c r="C820" s="59" t="s">
        <v>82</v>
      </c>
      <c r="D820" s="66" t="s">
        <v>1899</v>
      </c>
      <c r="E820" s="59" t="s">
        <v>179</v>
      </c>
      <c r="F820" s="60">
        <v>9657084.6099999994</v>
      </c>
      <c r="G820" s="60">
        <v>7179520.4800000004</v>
      </c>
      <c r="H820" s="60">
        <v>2477564.13</v>
      </c>
      <c r="I820" s="59"/>
      <c r="J820" s="60">
        <v>489512.85</v>
      </c>
      <c r="K820" s="59"/>
      <c r="L820" s="59"/>
      <c r="M820" s="60">
        <v>9657084.6099999994</v>
      </c>
      <c r="N820" s="60">
        <v>7669033.3300000001</v>
      </c>
      <c r="O820" s="60">
        <v>1988051.28</v>
      </c>
      <c r="P820" s="55">
        <v>2232807.7000000002</v>
      </c>
      <c r="Q820" s="55">
        <f t="shared" si="335"/>
        <v>49121.769400000012</v>
      </c>
      <c r="R820" s="61">
        <f t="shared" si="319"/>
        <v>40792.737499999996</v>
      </c>
      <c r="S820" s="60">
        <v>40792.737500000003</v>
      </c>
      <c r="T820" s="60">
        <v>40792.737500000003</v>
      </c>
      <c r="U820" s="60">
        <v>40792.737500000003</v>
      </c>
      <c r="V820" s="60">
        <v>40792.737500000003</v>
      </c>
      <c r="W820" s="60">
        <v>40792.737500000003</v>
      </c>
      <c r="X820" s="61">
        <f t="shared" si="320"/>
        <v>244756.42499999999</v>
      </c>
      <c r="Y820" s="60">
        <v>40792.737500000003</v>
      </c>
      <c r="Z820" s="60">
        <v>40792.737500000003</v>
      </c>
      <c r="AA820" s="60">
        <v>40792.737500000003</v>
      </c>
      <c r="AB820" s="60">
        <v>40792.737500000003</v>
      </c>
      <c r="AC820" s="60">
        <v>40792.737500000003</v>
      </c>
      <c r="AD820" s="60">
        <v>40792.737500000003</v>
      </c>
      <c r="AE820" s="61">
        <f t="shared" si="321"/>
        <v>244756.42499999999</v>
      </c>
      <c r="AF820" s="62">
        <f t="shared" si="328"/>
        <v>9657084.6099999994</v>
      </c>
      <c r="AG820" s="62">
        <f t="shared" si="327"/>
        <v>8158546.1799999978</v>
      </c>
      <c r="AH820" s="62">
        <f t="shared" si="325"/>
        <v>1498538.4300000016</v>
      </c>
      <c r="AI820" s="63">
        <v>1743294.8400000015</v>
      </c>
      <c r="AJ820" s="63">
        <f t="shared" si="336"/>
        <v>38352.486480000036</v>
      </c>
      <c r="AK820" s="62"/>
      <c r="AL820" s="60">
        <v>40792.737500000003</v>
      </c>
      <c r="AM820" s="60">
        <v>40792.737500000003</v>
      </c>
      <c r="AN820" s="60">
        <v>40792.737500000003</v>
      </c>
      <c r="AO820" s="60">
        <v>40792.737500000003</v>
      </c>
      <c r="AP820" s="60">
        <v>40792.737500000003</v>
      </c>
      <c r="AQ820" s="60">
        <v>40792.737500000003</v>
      </c>
      <c r="AR820" s="61">
        <f t="shared" si="322"/>
        <v>244756.42499999999</v>
      </c>
      <c r="AS820" s="60">
        <v>40792.737500000003</v>
      </c>
      <c r="AT820" s="60">
        <v>40792.737500000003</v>
      </c>
      <c r="AU820" s="60">
        <v>40792.737500000003</v>
      </c>
      <c r="AV820" s="60">
        <v>40792.737500000003</v>
      </c>
      <c r="AW820" s="60">
        <v>40792.737500000003</v>
      </c>
      <c r="AX820" s="60">
        <v>40792.737500000003</v>
      </c>
      <c r="AY820" s="61">
        <f t="shared" si="323"/>
        <v>244756.42499999999</v>
      </c>
      <c r="AZ820" s="56">
        <f t="shared" si="318"/>
        <v>489512.85</v>
      </c>
      <c r="BA820" s="62">
        <f t="shared" si="329"/>
        <v>9657084.6099999994</v>
      </c>
      <c r="BB820" s="62">
        <f t="shared" si="324"/>
        <v>8648059.0300000012</v>
      </c>
      <c r="BC820" s="62">
        <f t="shared" si="330"/>
        <v>1009025.5799999982</v>
      </c>
      <c r="BD820" s="63">
        <v>1253781.9600000044</v>
      </c>
      <c r="BE820" s="57">
        <f t="shared" si="337"/>
        <v>27583.2031200001</v>
      </c>
      <c r="BF820" s="35" t="str">
        <f>VLOOKUP(A:A,'2023-2027'!A:G,1,+FALSE)</f>
        <v>Распределительное устройство РУ-6 кВ 2007г</v>
      </c>
      <c r="BG820" s="7" t="b">
        <f t="shared" si="326"/>
        <v>1</v>
      </c>
      <c r="BH820" s="35">
        <f>VLOOKUP(A:A,'2023-2027'!A:AT,43,+FALSE)</f>
        <v>0</v>
      </c>
    </row>
    <row r="821" spans="1:60" ht="24" hidden="1" customHeight="1" outlineLevel="1" x14ac:dyDescent="0.2">
      <c r="A821" s="59" t="s">
        <v>1900</v>
      </c>
      <c r="B821" s="59" t="s">
        <v>44</v>
      </c>
      <c r="C821" s="59" t="s">
        <v>82</v>
      </c>
      <c r="D821" s="66" t="s">
        <v>1901</v>
      </c>
      <c r="E821" s="59" t="s">
        <v>1158</v>
      </c>
      <c r="F821" s="60">
        <v>1311763</v>
      </c>
      <c r="G821" s="60">
        <v>524305.43999999994</v>
      </c>
      <c r="H821" s="60">
        <v>787457.56</v>
      </c>
      <c r="I821" s="59"/>
      <c r="J821" s="60">
        <v>87384.12</v>
      </c>
      <c r="K821" s="59"/>
      <c r="L821" s="59"/>
      <c r="M821" s="60">
        <v>1311763</v>
      </c>
      <c r="N821" s="60">
        <v>611689.56000000006</v>
      </c>
      <c r="O821" s="60">
        <v>700073.44</v>
      </c>
      <c r="P821" s="55"/>
      <c r="Q821" s="55"/>
      <c r="R821" s="61">
        <f t="shared" si="319"/>
        <v>7282.0099999999993</v>
      </c>
      <c r="S821" s="60">
        <v>7282.01</v>
      </c>
      <c r="T821" s="60">
        <v>7282.01</v>
      </c>
      <c r="U821" s="60">
        <v>7282.01</v>
      </c>
      <c r="V821" s="60">
        <v>7282.01</v>
      </c>
      <c r="W821" s="60">
        <v>7282.01</v>
      </c>
      <c r="X821" s="61">
        <f t="shared" si="320"/>
        <v>43692.060000000005</v>
      </c>
      <c r="Y821" s="60">
        <v>7282.01</v>
      </c>
      <c r="Z821" s="60">
        <v>7282.01</v>
      </c>
      <c r="AA821" s="60">
        <v>7282.01</v>
      </c>
      <c r="AB821" s="60">
        <v>7282.01</v>
      </c>
      <c r="AC821" s="60">
        <v>7282.01</v>
      </c>
      <c r="AD821" s="60">
        <v>7282.01</v>
      </c>
      <c r="AE821" s="61">
        <f t="shared" si="321"/>
        <v>43692.060000000005</v>
      </c>
      <c r="AF821" s="62">
        <f t="shared" si="328"/>
        <v>1311763</v>
      </c>
      <c r="AG821" s="62">
        <f t="shared" si="327"/>
        <v>699073.68000000017</v>
      </c>
      <c r="AH821" s="62">
        <f t="shared" si="325"/>
        <v>612689.31999999983</v>
      </c>
      <c r="AI821" s="63"/>
      <c r="AJ821" s="63"/>
      <c r="AK821" s="62"/>
      <c r="AL821" s="60">
        <v>7282.01</v>
      </c>
      <c r="AM821" s="60">
        <v>7282.01</v>
      </c>
      <c r="AN821" s="60">
        <v>7282.01</v>
      </c>
      <c r="AO821" s="60">
        <v>7282.01</v>
      </c>
      <c r="AP821" s="60">
        <v>7282.01</v>
      </c>
      <c r="AQ821" s="60">
        <v>7282.01</v>
      </c>
      <c r="AR821" s="61">
        <f t="shared" si="322"/>
        <v>43692.060000000005</v>
      </c>
      <c r="AS821" s="60">
        <v>7282.01</v>
      </c>
      <c r="AT821" s="60">
        <v>7282.01</v>
      </c>
      <c r="AU821" s="60">
        <v>7282.01</v>
      </c>
      <c r="AV821" s="60">
        <v>7282.01</v>
      </c>
      <c r="AW821" s="60">
        <v>7282.01</v>
      </c>
      <c r="AX821" s="60">
        <v>7282.01</v>
      </c>
      <c r="AY821" s="61">
        <f t="shared" si="323"/>
        <v>43692.060000000005</v>
      </c>
      <c r="AZ821" s="56">
        <f t="shared" si="318"/>
        <v>87384.12000000001</v>
      </c>
      <c r="BA821" s="62">
        <f t="shared" si="329"/>
        <v>1311763</v>
      </c>
      <c r="BB821" s="62">
        <f t="shared" si="324"/>
        <v>786457.80000000028</v>
      </c>
      <c r="BC821" s="62">
        <f t="shared" si="330"/>
        <v>525305.19999999972</v>
      </c>
      <c r="BD821" s="63"/>
      <c r="BE821" s="57"/>
      <c r="BF821" s="35" t="str">
        <f>VLOOKUP(A:A,'2023-2027'!A:G,1,+FALSE)</f>
        <v>Реклоузер вакуумный PBA/TEL фидер ЖВК на ВЛ-6кВ</v>
      </c>
      <c r="BG821" s="7" t="b">
        <f t="shared" si="326"/>
        <v>1</v>
      </c>
      <c r="BH821" s="35">
        <f>VLOOKUP(A:A,'2023-2027'!A:AT,43,+FALSE)</f>
        <v>7287.5700000000024</v>
      </c>
    </row>
    <row r="822" spans="1:60" ht="48" hidden="1" customHeight="1" outlineLevel="1" x14ac:dyDescent="0.2">
      <c r="A822" s="59" t="s">
        <v>2480</v>
      </c>
      <c r="B822" s="59" t="s">
        <v>44</v>
      </c>
      <c r="C822" s="59" t="s">
        <v>82</v>
      </c>
      <c r="D822" s="66" t="s">
        <v>1902</v>
      </c>
      <c r="E822" s="59" t="s">
        <v>1903</v>
      </c>
      <c r="F822" s="60">
        <v>1356000</v>
      </c>
      <c r="G822" s="60">
        <v>257450.19</v>
      </c>
      <c r="H822" s="60">
        <v>1098549.81</v>
      </c>
      <c r="I822" s="59"/>
      <c r="J822" s="60">
        <v>54200.04</v>
      </c>
      <c r="K822" s="59"/>
      <c r="L822" s="59"/>
      <c r="M822" s="60">
        <v>1356000</v>
      </c>
      <c r="N822" s="60">
        <v>311650.23</v>
      </c>
      <c r="O822" s="60">
        <v>1044349.77</v>
      </c>
      <c r="P822" s="55"/>
      <c r="Q822" s="55"/>
      <c r="R822" s="61">
        <f t="shared" si="319"/>
        <v>4516.67</v>
      </c>
      <c r="S822" s="60">
        <v>4516.67</v>
      </c>
      <c r="T822" s="60">
        <v>4516.67</v>
      </c>
      <c r="U822" s="60">
        <v>4516.67</v>
      </c>
      <c r="V822" s="60">
        <v>4516.67</v>
      </c>
      <c r="W822" s="60">
        <v>4516.67</v>
      </c>
      <c r="X822" s="61">
        <f t="shared" si="320"/>
        <v>27100.019999999997</v>
      </c>
      <c r="Y822" s="60">
        <v>4516.67</v>
      </c>
      <c r="Z822" s="60">
        <v>4516.67</v>
      </c>
      <c r="AA822" s="60">
        <v>4516.67</v>
      </c>
      <c r="AB822" s="60">
        <v>4516.67</v>
      </c>
      <c r="AC822" s="60">
        <v>4516.67</v>
      </c>
      <c r="AD822" s="60">
        <v>4516.67</v>
      </c>
      <c r="AE822" s="61">
        <f t="shared" si="321"/>
        <v>27100.019999999997</v>
      </c>
      <c r="AF822" s="62">
        <f t="shared" si="328"/>
        <v>1356000</v>
      </c>
      <c r="AG822" s="62">
        <f t="shared" si="327"/>
        <v>365850.26999999979</v>
      </c>
      <c r="AH822" s="62">
        <f t="shared" si="325"/>
        <v>990149.73000000021</v>
      </c>
      <c r="AI822" s="63"/>
      <c r="AJ822" s="63"/>
      <c r="AK822" s="62"/>
      <c r="AL822" s="60">
        <v>4516.67</v>
      </c>
      <c r="AM822" s="60">
        <v>4516.67</v>
      </c>
      <c r="AN822" s="60">
        <v>4516.67</v>
      </c>
      <c r="AO822" s="60">
        <v>4516.67</v>
      </c>
      <c r="AP822" s="60">
        <v>4516.67</v>
      </c>
      <c r="AQ822" s="60">
        <v>4516.67</v>
      </c>
      <c r="AR822" s="61">
        <f t="shared" si="322"/>
        <v>27100.019999999997</v>
      </c>
      <c r="AS822" s="60">
        <v>4516.67</v>
      </c>
      <c r="AT822" s="60">
        <v>4516.67</v>
      </c>
      <c r="AU822" s="60">
        <v>4516.67</v>
      </c>
      <c r="AV822" s="60">
        <v>4516.67</v>
      </c>
      <c r="AW822" s="60">
        <v>4516.67</v>
      </c>
      <c r="AX822" s="60">
        <v>4516.67</v>
      </c>
      <c r="AY822" s="61">
        <f t="shared" si="323"/>
        <v>27100.019999999997</v>
      </c>
      <c r="AZ822" s="56">
        <f t="shared" si="318"/>
        <v>54200.039999999994</v>
      </c>
      <c r="BA822" s="62">
        <f t="shared" si="329"/>
        <v>1356000</v>
      </c>
      <c r="BB822" s="62">
        <f t="shared" si="324"/>
        <v>420050.30999999959</v>
      </c>
      <c r="BC822" s="62">
        <f t="shared" si="330"/>
        <v>935949.69000000041</v>
      </c>
      <c r="BD822" s="63"/>
      <c r="BE822" s="57"/>
      <c r="BF822" s="35" t="str">
        <f>VLOOKUP(A:A,'2023-2027'!A:G,1,+FALSE)</f>
        <v>Реклоузер вакуумный PBA/TEL фидер Искатели на ВЛ 6 кВ ул. Монтажников в районе дома №11</v>
      </c>
      <c r="BG822" s="7" t="b">
        <f t="shared" si="326"/>
        <v>1</v>
      </c>
      <c r="BH822" s="35">
        <f>VLOOKUP(A:A,'2023-2027'!A:AT,43,+FALSE)</f>
        <v>4520</v>
      </c>
    </row>
    <row r="823" spans="1:60" ht="36" hidden="1" customHeight="1" outlineLevel="1" x14ac:dyDescent="0.2">
      <c r="A823" s="59" t="s">
        <v>1904</v>
      </c>
      <c r="B823" s="59" t="s">
        <v>44</v>
      </c>
      <c r="C823" s="59" t="s">
        <v>82</v>
      </c>
      <c r="D823" s="66" t="s">
        <v>1905</v>
      </c>
      <c r="E823" s="59" t="s">
        <v>1903</v>
      </c>
      <c r="F823" s="60">
        <v>1356000</v>
      </c>
      <c r="G823" s="60">
        <v>257450.19</v>
      </c>
      <c r="H823" s="60">
        <v>1098549.81</v>
      </c>
      <c r="I823" s="59"/>
      <c r="J823" s="60">
        <v>54200.04</v>
      </c>
      <c r="K823" s="59"/>
      <c r="L823" s="59"/>
      <c r="M823" s="60">
        <v>1356000</v>
      </c>
      <c r="N823" s="60">
        <v>311650.23</v>
      </c>
      <c r="O823" s="60">
        <v>1044349.77</v>
      </c>
      <c r="P823" s="55"/>
      <c r="Q823" s="55"/>
      <c r="R823" s="61">
        <f t="shared" si="319"/>
        <v>4516.67</v>
      </c>
      <c r="S823" s="60">
        <v>4516.67</v>
      </c>
      <c r="T823" s="60">
        <v>4516.67</v>
      </c>
      <c r="U823" s="60">
        <v>4516.67</v>
      </c>
      <c r="V823" s="60">
        <v>4516.67</v>
      </c>
      <c r="W823" s="60">
        <v>4516.67</v>
      </c>
      <c r="X823" s="61">
        <f t="shared" si="320"/>
        <v>27100.019999999997</v>
      </c>
      <c r="Y823" s="60">
        <v>4516.67</v>
      </c>
      <c r="Z823" s="60">
        <v>4516.67</v>
      </c>
      <c r="AA823" s="60">
        <v>4516.67</v>
      </c>
      <c r="AB823" s="60">
        <v>4516.67</v>
      </c>
      <c r="AC823" s="60">
        <v>4516.67</v>
      </c>
      <c r="AD823" s="60">
        <v>4516.67</v>
      </c>
      <c r="AE823" s="61">
        <f t="shared" si="321"/>
        <v>27100.019999999997</v>
      </c>
      <c r="AF823" s="62">
        <f t="shared" si="328"/>
        <v>1356000</v>
      </c>
      <c r="AG823" s="62">
        <f t="shared" si="327"/>
        <v>365850.26999999979</v>
      </c>
      <c r="AH823" s="62">
        <f t="shared" si="325"/>
        <v>990149.73000000021</v>
      </c>
      <c r="AI823" s="63"/>
      <c r="AJ823" s="63"/>
      <c r="AK823" s="62"/>
      <c r="AL823" s="60">
        <v>4516.67</v>
      </c>
      <c r="AM823" s="60">
        <v>4516.67</v>
      </c>
      <c r="AN823" s="60">
        <v>4516.67</v>
      </c>
      <c r="AO823" s="60">
        <v>4516.67</v>
      </c>
      <c r="AP823" s="60">
        <v>4516.67</v>
      </c>
      <c r="AQ823" s="60">
        <v>4516.67</v>
      </c>
      <c r="AR823" s="61">
        <f t="shared" si="322"/>
        <v>27100.019999999997</v>
      </c>
      <c r="AS823" s="60">
        <v>4516.67</v>
      </c>
      <c r="AT823" s="60">
        <v>4516.67</v>
      </c>
      <c r="AU823" s="60">
        <v>4516.67</v>
      </c>
      <c r="AV823" s="60">
        <v>4516.67</v>
      </c>
      <c r="AW823" s="60">
        <v>4516.67</v>
      </c>
      <c r="AX823" s="60">
        <v>4516.67</v>
      </c>
      <c r="AY823" s="61">
        <f t="shared" si="323"/>
        <v>27100.019999999997</v>
      </c>
      <c r="AZ823" s="56">
        <f t="shared" si="318"/>
        <v>54200.039999999994</v>
      </c>
      <c r="BA823" s="62">
        <f t="shared" si="329"/>
        <v>1356000</v>
      </c>
      <c r="BB823" s="62">
        <f t="shared" si="324"/>
        <v>420050.30999999959</v>
      </c>
      <c r="BC823" s="62">
        <f t="shared" si="330"/>
        <v>935949.69000000041</v>
      </c>
      <c r="BD823" s="63"/>
      <c r="BE823" s="57"/>
      <c r="BF823" s="35" t="str">
        <f>VLOOKUP(A:A,'2023-2027'!A:G,1,+FALSE)</f>
        <v>Реклоузер вакуумный PBA/TEL фидер Нефтебаза на ВЛ 6 кВ ул. Калмыкова, в районе дома №14</v>
      </c>
      <c r="BG823" s="7" t="b">
        <f t="shared" si="326"/>
        <v>1</v>
      </c>
      <c r="BH823" s="35">
        <f>VLOOKUP(A:A,'2023-2027'!A:AT,43,+FALSE)</f>
        <v>4520</v>
      </c>
    </row>
    <row r="824" spans="1:60" ht="36" hidden="1" customHeight="1" outlineLevel="1" x14ac:dyDescent="0.2">
      <c r="A824" s="59" t="s">
        <v>1906</v>
      </c>
      <c r="B824" s="59" t="s">
        <v>44</v>
      </c>
      <c r="C824" s="59" t="s">
        <v>82</v>
      </c>
      <c r="D824" s="66" t="s">
        <v>1907</v>
      </c>
      <c r="E824" s="59" t="s">
        <v>1908</v>
      </c>
      <c r="F824" s="60">
        <v>3985204.78</v>
      </c>
      <c r="G824" s="60">
        <v>1528412.9</v>
      </c>
      <c r="H824" s="60">
        <v>2456791.88</v>
      </c>
      <c r="I824" s="59"/>
      <c r="J824" s="60">
        <v>262013.64</v>
      </c>
      <c r="K824" s="59"/>
      <c r="L824" s="59"/>
      <c r="M824" s="60">
        <v>3985204.78</v>
      </c>
      <c r="N824" s="60">
        <v>1790426.54</v>
      </c>
      <c r="O824" s="60">
        <v>2194778.2400000002</v>
      </c>
      <c r="P824" s="55">
        <v>2325785.06</v>
      </c>
      <c r="Q824" s="55">
        <f t="shared" ref="Q824:Q829" si="338">P824*2.2%</f>
        <v>51167.271320000007</v>
      </c>
      <c r="R824" s="61">
        <f t="shared" si="319"/>
        <v>21834.47</v>
      </c>
      <c r="S824" s="60">
        <v>21834.47</v>
      </c>
      <c r="T824" s="60">
        <v>21834.47</v>
      </c>
      <c r="U824" s="60">
        <v>21834.47</v>
      </c>
      <c r="V824" s="60">
        <v>21834.47</v>
      </c>
      <c r="W824" s="60">
        <v>21834.47</v>
      </c>
      <c r="X824" s="61">
        <f t="shared" si="320"/>
        <v>131006.82</v>
      </c>
      <c r="Y824" s="60">
        <v>21834.47</v>
      </c>
      <c r="Z824" s="60">
        <v>21834.47</v>
      </c>
      <c r="AA824" s="60">
        <v>21834.47</v>
      </c>
      <c r="AB824" s="60">
        <v>21834.47</v>
      </c>
      <c r="AC824" s="60">
        <v>21834.47</v>
      </c>
      <c r="AD824" s="60">
        <v>21834.47</v>
      </c>
      <c r="AE824" s="61">
        <f t="shared" si="321"/>
        <v>131006.82</v>
      </c>
      <c r="AF824" s="62">
        <f t="shared" si="328"/>
        <v>3985204.78</v>
      </c>
      <c r="AG824" s="62">
        <f t="shared" si="327"/>
        <v>2052440.1799999997</v>
      </c>
      <c r="AH824" s="62">
        <f t="shared" si="325"/>
        <v>1932764.6</v>
      </c>
      <c r="AI824" s="63">
        <v>2063771.4200000018</v>
      </c>
      <c r="AJ824" s="63">
        <f t="shared" ref="AJ824:AJ829" si="339">AI824*2.2%</f>
        <v>45402.971240000043</v>
      </c>
      <c r="AK824" s="72">
        <f t="shared" ref="AK824:AK829" si="340">AI824*2.2%</f>
        <v>45402.971240000043</v>
      </c>
      <c r="AL824" s="60">
        <v>21834.47</v>
      </c>
      <c r="AM824" s="60">
        <v>21834.47</v>
      </c>
      <c r="AN824" s="60">
        <v>21834.47</v>
      </c>
      <c r="AO824" s="60">
        <v>21834.47</v>
      </c>
      <c r="AP824" s="60">
        <v>21834.47</v>
      </c>
      <c r="AQ824" s="60">
        <v>21834.47</v>
      </c>
      <c r="AR824" s="61">
        <f t="shared" si="322"/>
        <v>131006.82</v>
      </c>
      <c r="AS824" s="60">
        <v>21834.47</v>
      </c>
      <c r="AT824" s="60">
        <v>21834.47</v>
      </c>
      <c r="AU824" s="60">
        <v>21834.47</v>
      </c>
      <c r="AV824" s="60">
        <v>21834.47</v>
      </c>
      <c r="AW824" s="60">
        <v>21834.47</v>
      </c>
      <c r="AX824" s="60">
        <v>21834.47</v>
      </c>
      <c r="AY824" s="61">
        <f t="shared" si="323"/>
        <v>131006.82</v>
      </c>
      <c r="AZ824" s="56">
        <f t="shared" si="318"/>
        <v>262013.64</v>
      </c>
      <c r="BA824" s="62">
        <f t="shared" si="329"/>
        <v>3985204.78</v>
      </c>
      <c r="BB824" s="62">
        <f t="shared" si="324"/>
        <v>2314453.8200000017</v>
      </c>
      <c r="BC824" s="62">
        <f t="shared" si="330"/>
        <v>1670750.9599999981</v>
      </c>
      <c r="BD824" s="63">
        <v>1801757.7800000052</v>
      </c>
      <c r="BE824" s="57">
        <f t="shared" ref="BE824:BE829" si="341">BD824*2.2%</f>
        <v>39638.671160000114</v>
      </c>
      <c r="BF824" s="35" t="str">
        <f>VLOOKUP(A:A,'2023-2027'!A:G,1,+FALSE)</f>
        <v>Реконструкция ВЛ-0,4 кВ от ТП № 43 фидер "ул. Рабочая 43" г. Нарьян-Мар НАО</v>
      </c>
      <c r="BG824" s="7" t="b">
        <f t="shared" si="326"/>
        <v>1</v>
      </c>
      <c r="BH824" s="35">
        <f>VLOOKUP(A:A,'2023-2027'!A:AT,43,+FALSE)</f>
        <v>22140.03</v>
      </c>
    </row>
    <row r="825" spans="1:60" ht="36" hidden="1" customHeight="1" outlineLevel="1" x14ac:dyDescent="0.2">
      <c r="A825" s="59" t="s">
        <v>1909</v>
      </c>
      <c r="B825" s="59" t="s">
        <v>44</v>
      </c>
      <c r="C825" s="59" t="s">
        <v>82</v>
      </c>
      <c r="D825" s="66" t="s">
        <v>1910</v>
      </c>
      <c r="E825" s="59" t="s">
        <v>1908</v>
      </c>
      <c r="F825" s="60">
        <v>3184874.41</v>
      </c>
      <c r="G825" s="60">
        <v>1216006.3999999999</v>
      </c>
      <c r="H825" s="60">
        <v>1968868.01</v>
      </c>
      <c r="I825" s="59"/>
      <c r="J825" s="60">
        <v>208458.36</v>
      </c>
      <c r="K825" s="59"/>
      <c r="L825" s="59"/>
      <c r="M825" s="60">
        <v>3184874.41</v>
      </c>
      <c r="N825" s="60">
        <v>1424464.76</v>
      </c>
      <c r="O825" s="60">
        <v>1760409.65</v>
      </c>
      <c r="P825" s="55">
        <v>1864638.83</v>
      </c>
      <c r="Q825" s="55">
        <f t="shared" si="338"/>
        <v>41022.054260000004</v>
      </c>
      <c r="R825" s="61">
        <f t="shared" si="319"/>
        <v>17371.53</v>
      </c>
      <c r="S825" s="60">
        <v>17371.53</v>
      </c>
      <c r="T825" s="60">
        <v>17371.53</v>
      </c>
      <c r="U825" s="60">
        <v>17371.53</v>
      </c>
      <c r="V825" s="60">
        <v>17371.53</v>
      </c>
      <c r="W825" s="60">
        <v>17371.53</v>
      </c>
      <c r="X825" s="61">
        <f t="shared" si="320"/>
        <v>104229.18</v>
      </c>
      <c r="Y825" s="60">
        <v>17371.53</v>
      </c>
      <c r="Z825" s="60">
        <v>17371.53</v>
      </c>
      <c r="AA825" s="60">
        <v>17371.53</v>
      </c>
      <c r="AB825" s="60">
        <v>17371.53</v>
      </c>
      <c r="AC825" s="60">
        <v>17371.53</v>
      </c>
      <c r="AD825" s="60">
        <v>17371.53</v>
      </c>
      <c r="AE825" s="61">
        <f t="shared" si="321"/>
        <v>104229.18</v>
      </c>
      <c r="AF825" s="62">
        <f t="shared" si="328"/>
        <v>3184874.41</v>
      </c>
      <c r="AG825" s="62">
        <f t="shared" si="327"/>
        <v>1632923.1200000003</v>
      </c>
      <c r="AH825" s="62">
        <f t="shared" si="325"/>
        <v>1551951.2899999998</v>
      </c>
      <c r="AI825" s="63">
        <v>1656180.47</v>
      </c>
      <c r="AJ825" s="63">
        <f t="shared" si="339"/>
        <v>36435.97034</v>
      </c>
      <c r="AK825" s="72">
        <f t="shared" si="340"/>
        <v>36435.97034</v>
      </c>
      <c r="AL825" s="60">
        <v>17371.53</v>
      </c>
      <c r="AM825" s="60">
        <v>17371.53</v>
      </c>
      <c r="AN825" s="60">
        <v>17371.53</v>
      </c>
      <c r="AO825" s="60">
        <v>17371.53</v>
      </c>
      <c r="AP825" s="60">
        <v>17371.53</v>
      </c>
      <c r="AQ825" s="60">
        <v>17371.53</v>
      </c>
      <c r="AR825" s="61">
        <f t="shared" si="322"/>
        <v>104229.18</v>
      </c>
      <c r="AS825" s="60">
        <v>17371.53</v>
      </c>
      <c r="AT825" s="60">
        <v>17371.53</v>
      </c>
      <c r="AU825" s="60">
        <v>17371.53</v>
      </c>
      <c r="AV825" s="60">
        <v>17371.53</v>
      </c>
      <c r="AW825" s="60">
        <v>17371.53</v>
      </c>
      <c r="AX825" s="60">
        <v>17371.53</v>
      </c>
      <c r="AY825" s="61">
        <f t="shared" si="323"/>
        <v>104229.18</v>
      </c>
      <c r="AZ825" s="56">
        <f t="shared" si="318"/>
        <v>208458.36</v>
      </c>
      <c r="BA825" s="62">
        <f t="shared" si="329"/>
        <v>3184874.41</v>
      </c>
      <c r="BB825" s="62">
        <f t="shared" si="324"/>
        <v>1841381.4800000007</v>
      </c>
      <c r="BC825" s="62">
        <f t="shared" si="330"/>
        <v>1343492.9299999995</v>
      </c>
      <c r="BD825" s="63">
        <v>1447722.1099999994</v>
      </c>
      <c r="BE825" s="57">
        <f t="shared" si="341"/>
        <v>31849.886419999992</v>
      </c>
      <c r="BF825" s="35" t="str">
        <f>VLOOKUP(A:A,'2023-2027'!A:G,1,+FALSE)</f>
        <v>Реконструкция ВЛ-0,4 кВ от ТП №24 фидер "ул. 60 лет Октября 3а"</v>
      </c>
      <c r="BG825" s="7" t="b">
        <f t="shared" si="326"/>
        <v>1</v>
      </c>
      <c r="BH825" s="35">
        <f>VLOOKUP(A:A,'2023-2027'!A:AT,43,+FALSE)</f>
        <v>17693.75</v>
      </c>
    </row>
    <row r="826" spans="1:60" ht="12" hidden="1" customHeight="1" outlineLevel="1" x14ac:dyDescent="0.2">
      <c r="A826" s="59" t="s">
        <v>1911</v>
      </c>
      <c r="B826" s="59" t="s">
        <v>44</v>
      </c>
      <c r="C826" s="59" t="s">
        <v>82</v>
      </c>
      <c r="D826" s="66" t="s">
        <v>1912</v>
      </c>
      <c r="E826" s="59" t="s">
        <v>1275</v>
      </c>
      <c r="F826" s="60">
        <v>588018.28</v>
      </c>
      <c r="G826" s="60">
        <v>507491.43</v>
      </c>
      <c r="H826" s="60">
        <v>80526.850000000006</v>
      </c>
      <c r="I826" s="59"/>
      <c r="J826" s="60">
        <v>38301.06</v>
      </c>
      <c r="K826" s="59"/>
      <c r="L826" s="59"/>
      <c r="M826" s="60">
        <v>588018.28</v>
      </c>
      <c r="N826" s="60">
        <v>545792.49</v>
      </c>
      <c r="O826" s="60">
        <v>42225.79</v>
      </c>
      <c r="P826" s="55">
        <v>61376.32</v>
      </c>
      <c r="Q826" s="55">
        <f t="shared" si="338"/>
        <v>1350.2790400000001</v>
      </c>
      <c r="R826" s="61">
        <f t="shared" si="319"/>
        <v>3191.7549999999997</v>
      </c>
      <c r="S826" s="60">
        <v>3191.7550000000001</v>
      </c>
      <c r="T826" s="60">
        <v>3191.7550000000001</v>
      </c>
      <c r="U826" s="60">
        <v>3191.7550000000001</v>
      </c>
      <c r="V826" s="60">
        <v>3191.7550000000001</v>
      </c>
      <c r="W826" s="60">
        <v>3191.7550000000001</v>
      </c>
      <c r="X826" s="61">
        <f t="shared" si="320"/>
        <v>19150.530000000002</v>
      </c>
      <c r="Y826" s="60">
        <v>3191.7550000000001</v>
      </c>
      <c r="Z826" s="60">
        <v>3191.7550000000001</v>
      </c>
      <c r="AA826" s="60">
        <v>3191.7550000000001</v>
      </c>
      <c r="AB826" s="60">
        <v>3191.7550000000001</v>
      </c>
      <c r="AC826" s="60">
        <v>3191.7550000000001</v>
      </c>
      <c r="AD826" s="60">
        <v>3191.7550000000001</v>
      </c>
      <c r="AE826" s="61">
        <f t="shared" si="321"/>
        <v>19150.530000000002</v>
      </c>
      <c r="AF826" s="62">
        <f t="shared" si="328"/>
        <v>588018.28</v>
      </c>
      <c r="AG826" s="62">
        <f t="shared" si="327"/>
        <v>584093.55000000005</v>
      </c>
      <c r="AH826" s="62">
        <f t="shared" si="325"/>
        <v>3924.7299999999814</v>
      </c>
      <c r="AI826" s="63">
        <v>23075.289999999997</v>
      </c>
      <c r="AJ826" s="63">
        <f t="shared" si="339"/>
        <v>507.65638000000001</v>
      </c>
      <c r="AK826" s="72">
        <f t="shared" si="340"/>
        <v>507.65638000000001</v>
      </c>
      <c r="AL826" s="60">
        <v>3191.7550000000001</v>
      </c>
      <c r="AM826" s="60">
        <v>732.97</v>
      </c>
      <c r="AN826" s="60"/>
      <c r="AO826" s="60"/>
      <c r="AP826" s="60"/>
      <c r="AQ826" s="60"/>
      <c r="AR826" s="61">
        <f t="shared" si="322"/>
        <v>3924.7250000000004</v>
      </c>
      <c r="AS826" s="60"/>
      <c r="AT826" s="60"/>
      <c r="AU826" s="60"/>
      <c r="AV826" s="60"/>
      <c r="AW826" s="60"/>
      <c r="AX826" s="60"/>
      <c r="AY826" s="61">
        <f t="shared" si="323"/>
        <v>0</v>
      </c>
      <c r="AZ826" s="56">
        <f t="shared" si="318"/>
        <v>3924.7250000000004</v>
      </c>
      <c r="BA826" s="62">
        <f t="shared" si="329"/>
        <v>588018.28</v>
      </c>
      <c r="BB826" s="62">
        <f t="shared" si="324"/>
        <v>588018.27500000002</v>
      </c>
      <c r="BC826" s="62">
        <f t="shared" si="330"/>
        <v>5.0000000046566129E-3</v>
      </c>
      <c r="BD826" s="63">
        <v>2328.9150000000009</v>
      </c>
      <c r="BE826" s="57">
        <f t="shared" si="341"/>
        <v>51.236130000000024</v>
      </c>
      <c r="BF826" s="35" t="str">
        <f>VLOOKUP(A:A,'2023-2027'!A:G,1,+FALSE)</f>
        <v>РП-6кВ "Банное озеро" 2008г</v>
      </c>
      <c r="BG826" s="7" t="b">
        <f t="shared" si="326"/>
        <v>1</v>
      </c>
      <c r="BH826" s="35">
        <f>VLOOKUP(A:A,'2023-2027'!A:AT,43,+FALSE)</f>
        <v>3266.77</v>
      </c>
    </row>
    <row r="827" spans="1:60" ht="36" hidden="1" customHeight="1" outlineLevel="1" x14ac:dyDescent="0.2">
      <c r="A827" s="59" t="s">
        <v>1913</v>
      </c>
      <c r="B827" s="59" t="s">
        <v>44</v>
      </c>
      <c r="C827" s="59" t="s">
        <v>82</v>
      </c>
      <c r="D827" s="66" t="s">
        <v>1914</v>
      </c>
      <c r="E827" s="59" t="s">
        <v>1915</v>
      </c>
      <c r="F827" s="60">
        <v>10871012.09</v>
      </c>
      <c r="G827" s="60">
        <v>1302505.56</v>
      </c>
      <c r="H827" s="60">
        <v>9568506.5299999993</v>
      </c>
      <c r="I827" s="59"/>
      <c r="J827" s="60">
        <v>434168.52</v>
      </c>
      <c r="K827" s="59"/>
      <c r="L827" s="59"/>
      <c r="M827" s="60">
        <v>10871012.09</v>
      </c>
      <c r="N827" s="60">
        <v>1736674.08</v>
      </c>
      <c r="O827" s="60">
        <v>9134338.0099999998</v>
      </c>
      <c r="P827" s="55">
        <v>9351422.2699999996</v>
      </c>
      <c r="Q827" s="55">
        <f t="shared" si="338"/>
        <v>205731.28994000002</v>
      </c>
      <c r="R827" s="61">
        <f t="shared" si="319"/>
        <v>36180.71</v>
      </c>
      <c r="S827" s="60">
        <v>36180.71</v>
      </c>
      <c r="T827" s="60">
        <v>36180.71</v>
      </c>
      <c r="U827" s="60">
        <v>36180.71</v>
      </c>
      <c r="V827" s="60">
        <v>36180.71</v>
      </c>
      <c r="W827" s="60">
        <v>36180.71</v>
      </c>
      <c r="X827" s="61">
        <f t="shared" si="320"/>
        <v>217084.25999999998</v>
      </c>
      <c r="Y827" s="60">
        <v>36180.71</v>
      </c>
      <c r="Z827" s="60">
        <v>36180.71</v>
      </c>
      <c r="AA827" s="60">
        <v>36180.71</v>
      </c>
      <c r="AB827" s="60">
        <v>36180.71</v>
      </c>
      <c r="AC827" s="60">
        <v>36180.71</v>
      </c>
      <c r="AD827" s="60">
        <v>36180.71</v>
      </c>
      <c r="AE827" s="61">
        <f t="shared" si="321"/>
        <v>217084.25999999998</v>
      </c>
      <c r="AF827" s="62">
        <f t="shared" si="328"/>
        <v>10871012.09</v>
      </c>
      <c r="AG827" s="62">
        <f t="shared" si="327"/>
        <v>2170842.5999999996</v>
      </c>
      <c r="AH827" s="62">
        <f t="shared" si="325"/>
        <v>8700169.4900000002</v>
      </c>
      <c r="AI827" s="63">
        <v>8917253.7500000037</v>
      </c>
      <c r="AJ827" s="63">
        <f t="shared" si="339"/>
        <v>196179.58250000011</v>
      </c>
      <c r="AK827" s="72">
        <f t="shared" si="340"/>
        <v>196179.58250000011</v>
      </c>
      <c r="AL827" s="60">
        <v>36180.71</v>
      </c>
      <c r="AM827" s="60">
        <v>36180.71</v>
      </c>
      <c r="AN827" s="60">
        <v>36180.71</v>
      </c>
      <c r="AO827" s="60">
        <v>36180.71</v>
      </c>
      <c r="AP827" s="60">
        <v>36180.71</v>
      </c>
      <c r="AQ827" s="60">
        <v>36180.71</v>
      </c>
      <c r="AR827" s="61">
        <f t="shared" si="322"/>
        <v>217084.25999999998</v>
      </c>
      <c r="AS827" s="60">
        <v>36180.71</v>
      </c>
      <c r="AT827" s="60">
        <v>36180.71</v>
      </c>
      <c r="AU827" s="60">
        <v>36180.71</v>
      </c>
      <c r="AV827" s="60">
        <v>36180.71</v>
      </c>
      <c r="AW827" s="60">
        <v>36180.71</v>
      </c>
      <c r="AX827" s="60">
        <v>36180.71</v>
      </c>
      <c r="AY827" s="61">
        <f t="shared" si="323"/>
        <v>217084.25999999998</v>
      </c>
      <c r="AZ827" s="56">
        <f t="shared" si="318"/>
        <v>434168.51999999996</v>
      </c>
      <c r="BA827" s="62">
        <f t="shared" si="329"/>
        <v>10871012.09</v>
      </c>
      <c r="BB827" s="62">
        <f t="shared" si="324"/>
        <v>2605011.1199999992</v>
      </c>
      <c r="BC827" s="62">
        <f t="shared" si="330"/>
        <v>8266000.9700000007</v>
      </c>
      <c r="BD827" s="63">
        <v>8483085.2300000172</v>
      </c>
      <c r="BE827" s="57">
        <f t="shared" si="341"/>
        <v>186627.8750600004</v>
      </c>
      <c r="BF827" s="35" t="str">
        <f>VLOOKUP(A:A,'2023-2027'!A:G,1,+FALSE)</f>
        <v>РП-6кВ с питающими кабельными линиями 6 кВ по ул. Октябрьская и ул. Выучейского</v>
      </c>
      <c r="BG827" s="7" t="b">
        <f t="shared" si="326"/>
        <v>1</v>
      </c>
      <c r="BH827" s="35">
        <f>VLOOKUP(A:A,'2023-2027'!A:AT,43,+FALSE)</f>
        <v>36236.710000000006</v>
      </c>
    </row>
    <row r="828" spans="1:60" ht="12" hidden="1" customHeight="1" outlineLevel="1" x14ac:dyDescent="0.2">
      <c r="A828" s="59" t="s">
        <v>1916</v>
      </c>
      <c r="B828" s="59" t="s">
        <v>44</v>
      </c>
      <c r="C828" s="59" t="s">
        <v>82</v>
      </c>
      <c r="D828" s="66" t="s">
        <v>1917</v>
      </c>
      <c r="E828" s="59" t="s">
        <v>1727</v>
      </c>
      <c r="F828" s="60">
        <v>474777</v>
      </c>
      <c r="G828" s="60">
        <v>67260.33</v>
      </c>
      <c r="H828" s="60">
        <v>407516.67</v>
      </c>
      <c r="I828" s="59"/>
      <c r="J828" s="60">
        <v>15825.84</v>
      </c>
      <c r="K828" s="59"/>
      <c r="L828" s="59"/>
      <c r="M828" s="60">
        <v>474777</v>
      </c>
      <c r="N828" s="60">
        <v>83086.17</v>
      </c>
      <c r="O828" s="60">
        <v>391690.83</v>
      </c>
      <c r="P828" s="55">
        <v>399603.75</v>
      </c>
      <c r="Q828" s="55">
        <f t="shared" si="338"/>
        <v>8791.2825000000012</v>
      </c>
      <c r="R828" s="61">
        <f t="shared" si="319"/>
        <v>1318.82</v>
      </c>
      <c r="S828" s="60">
        <v>1318.82</v>
      </c>
      <c r="T828" s="60">
        <v>1318.82</v>
      </c>
      <c r="U828" s="60">
        <v>1318.82</v>
      </c>
      <c r="V828" s="60">
        <v>1318.82</v>
      </c>
      <c r="W828" s="60">
        <v>1318.82</v>
      </c>
      <c r="X828" s="61">
        <f t="shared" si="320"/>
        <v>7912.9199999999992</v>
      </c>
      <c r="Y828" s="60">
        <v>1318.82</v>
      </c>
      <c r="Z828" s="60">
        <v>1318.82</v>
      </c>
      <c r="AA828" s="60">
        <v>1318.82</v>
      </c>
      <c r="AB828" s="60">
        <v>1318.82</v>
      </c>
      <c r="AC828" s="60">
        <v>1318.82</v>
      </c>
      <c r="AD828" s="60">
        <v>1318.82</v>
      </c>
      <c r="AE828" s="61">
        <f t="shared" si="321"/>
        <v>7912.9199999999992</v>
      </c>
      <c r="AF828" s="62">
        <f t="shared" si="328"/>
        <v>474777</v>
      </c>
      <c r="AG828" s="62">
        <f t="shared" si="327"/>
        <v>98912.010000000082</v>
      </c>
      <c r="AH828" s="62">
        <f t="shared" si="325"/>
        <v>375864.98999999993</v>
      </c>
      <c r="AI828" s="63">
        <v>383777.90999999992</v>
      </c>
      <c r="AJ828" s="63">
        <f t="shared" si="339"/>
        <v>8443.1140199999991</v>
      </c>
      <c r="AK828" s="72">
        <f t="shared" si="340"/>
        <v>8443.1140199999991</v>
      </c>
      <c r="AL828" s="60">
        <v>1318.82</v>
      </c>
      <c r="AM828" s="60">
        <v>1318.82</v>
      </c>
      <c r="AN828" s="60">
        <v>1318.82</v>
      </c>
      <c r="AO828" s="60">
        <v>1318.82</v>
      </c>
      <c r="AP828" s="60">
        <v>1318.82</v>
      </c>
      <c r="AQ828" s="60">
        <v>1318.82</v>
      </c>
      <c r="AR828" s="61">
        <f t="shared" si="322"/>
        <v>7912.9199999999992</v>
      </c>
      <c r="AS828" s="60">
        <v>1318.82</v>
      </c>
      <c r="AT828" s="60">
        <v>1318.82</v>
      </c>
      <c r="AU828" s="60">
        <v>1318.82</v>
      </c>
      <c r="AV828" s="60">
        <v>1318.82</v>
      </c>
      <c r="AW828" s="60">
        <v>1318.82</v>
      </c>
      <c r="AX828" s="60">
        <v>1318.82</v>
      </c>
      <c r="AY828" s="61">
        <f t="shared" si="323"/>
        <v>7912.9199999999992</v>
      </c>
      <c r="AZ828" s="56">
        <f t="shared" si="318"/>
        <v>15825.839999999998</v>
      </c>
      <c r="BA828" s="62">
        <f t="shared" si="329"/>
        <v>474777</v>
      </c>
      <c r="BB828" s="62">
        <f t="shared" si="324"/>
        <v>114737.85000000017</v>
      </c>
      <c r="BC828" s="62">
        <f t="shared" si="330"/>
        <v>360039.14999999985</v>
      </c>
      <c r="BD828" s="63">
        <v>367952.06999999989</v>
      </c>
      <c r="BE828" s="57">
        <f t="shared" si="341"/>
        <v>8094.9455399999988</v>
      </c>
      <c r="BF828" s="35" t="str">
        <f>VLOOKUP(A:A,'2023-2027'!A:G,1,+FALSE)</f>
        <v>Сети электроснабжения</v>
      </c>
      <c r="BG828" s="7" t="b">
        <f t="shared" si="326"/>
        <v>1</v>
      </c>
      <c r="BH828" s="35">
        <f>VLOOKUP(A:A,'2023-2027'!A:AT,43,+FALSE)</f>
        <v>1318.82</v>
      </c>
    </row>
    <row r="829" spans="1:60" ht="24" hidden="1" customHeight="1" outlineLevel="1" x14ac:dyDescent="0.2">
      <c r="A829" s="59" t="s">
        <v>1918</v>
      </c>
      <c r="B829" s="59" t="s">
        <v>44</v>
      </c>
      <c r="C829" s="59" t="s">
        <v>82</v>
      </c>
      <c r="D829" s="66" t="s">
        <v>1919</v>
      </c>
      <c r="E829" s="59" t="s">
        <v>1920</v>
      </c>
      <c r="F829" s="60">
        <v>959565.45</v>
      </c>
      <c r="G829" s="60">
        <v>570408.43999999994</v>
      </c>
      <c r="H829" s="60">
        <v>389157.01</v>
      </c>
      <c r="I829" s="59"/>
      <c r="J829" s="60">
        <v>63971.040000000001</v>
      </c>
      <c r="K829" s="59"/>
      <c r="L829" s="59"/>
      <c r="M829" s="60">
        <v>959565.45</v>
      </c>
      <c r="N829" s="60">
        <v>634379.48</v>
      </c>
      <c r="O829" s="60">
        <v>325185.96999999997</v>
      </c>
      <c r="P829" s="55">
        <v>357171.49</v>
      </c>
      <c r="Q829" s="55">
        <f t="shared" si="338"/>
        <v>7857.7727800000002</v>
      </c>
      <c r="R829" s="61">
        <f t="shared" si="319"/>
        <v>5330.92</v>
      </c>
      <c r="S829" s="60">
        <v>5330.92</v>
      </c>
      <c r="T829" s="60">
        <v>5330.92</v>
      </c>
      <c r="U829" s="60">
        <v>5330.92</v>
      </c>
      <c r="V829" s="60">
        <v>5330.92</v>
      </c>
      <c r="W829" s="60">
        <v>5330.92</v>
      </c>
      <c r="X829" s="61">
        <f t="shared" si="320"/>
        <v>31985.519999999997</v>
      </c>
      <c r="Y829" s="60">
        <v>5330.92</v>
      </c>
      <c r="Z829" s="60">
        <v>5330.92</v>
      </c>
      <c r="AA829" s="60">
        <v>5330.92</v>
      </c>
      <c r="AB829" s="60">
        <v>5330.92</v>
      </c>
      <c r="AC829" s="60">
        <v>5330.92</v>
      </c>
      <c r="AD829" s="60">
        <v>5330.92</v>
      </c>
      <c r="AE829" s="61">
        <f t="shared" si="321"/>
        <v>31985.519999999997</v>
      </c>
      <c r="AF829" s="62">
        <f t="shared" si="328"/>
        <v>959565.45</v>
      </c>
      <c r="AG829" s="62">
        <f t="shared" si="327"/>
        <v>698350.52000000048</v>
      </c>
      <c r="AH829" s="62">
        <f t="shared" si="325"/>
        <v>261214.92999999947</v>
      </c>
      <c r="AI829" s="63">
        <v>293200.45000000007</v>
      </c>
      <c r="AJ829" s="63">
        <f t="shared" si="339"/>
        <v>6450.4099000000024</v>
      </c>
      <c r="AK829" s="72">
        <f t="shared" si="340"/>
        <v>6450.4099000000024</v>
      </c>
      <c r="AL829" s="60">
        <v>5330.92</v>
      </c>
      <c r="AM829" s="60">
        <v>5330.92</v>
      </c>
      <c r="AN829" s="60">
        <v>5330.92</v>
      </c>
      <c r="AO829" s="60">
        <v>5330.92</v>
      </c>
      <c r="AP829" s="60">
        <v>5330.92</v>
      </c>
      <c r="AQ829" s="60">
        <v>5330.92</v>
      </c>
      <c r="AR829" s="61">
        <f t="shared" si="322"/>
        <v>31985.519999999997</v>
      </c>
      <c r="AS829" s="60">
        <v>5330.92</v>
      </c>
      <c r="AT829" s="60">
        <v>5330.92</v>
      </c>
      <c r="AU829" s="60">
        <v>5330.92</v>
      </c>
      <c r="AV829" s="60">
        <v>5330.92</v>
      </c>
      <c r="AW829" s="60">
        <v>5330.92</v>
      </c>
      <c r="AX829" s="60">
        <v>5330.92</v>
      </c>
      <c r="AY829" s="61">
        <f t="shared" si="323"/>
        <v>31985.519999999997</v>
      </c>
      <c r="AZ829" s="56">
        <f t="shared" si="318"/>
        <v>63971.039999999994</v>
      </c>
      <c r="BA829" s="62">
        <f t="shared" si="329"/>
        <v>959565.45</v>
      </c>
      <c r="BB829" s="62">
        <f t="shared" si="324"/>
        <v>762321.56000000099</v>
      </c>
      <c r="BC829" s="62">
        <f t="shared" si="330"/>
        <v>197243.88999999897</v>
      </c>
      <c r="BD829" s="63">
        <v>229229.41000000029</v>
      </c>
      <c r="BE829" s="57">
        <f t="shared" si="341"/>
        <v>5043.0470200000073</v>
      </c>
      <c r="BF829" s="35" t="str">
        <f>VLOOKUP(A:A,'2023-2027'!A:G,1,+FALSE)</f>
        <v>Сети электроснабжения (База МТР)</v>
      </c>
      <c r="BG829" s="7" t="b">
        <f t="shared" si="326"/>
        <v>1</v>
      </c>
      <c r="BH829" s="35">
        <f>VLOOKUP(A:A,'2023-2027'!A:AT,43,+FALSE)</f>
        <v>5330.9199999999992</v>
      </c>
    </row>
    <row r="830" spans="1:60" ht="58.9" hidden="1" customHeight="1" outlineLevel="1" x14ac:dyDescent="0.2">
      <c r="A830" s="59" t="s">
        <v>2481</v>
      </c>
      <c r="B830" s="59" t="s">
        <v>44</v>
      </c>
      <c r="C830" s="59" t="s">
        <v>82</v>
      </c>
      <c r="D830" s="66" t="s">
        <v>1921</v>
      </c>
      <c r="E830" s="59" t="s">
        <v>234</v>
      </c>
      <c r="F830" s="60">
        <v>105065.86</v>
      </c>
      <c r="G830" s="60">
        <v>25099.1</v>
      </c>
      <c r="H830" s="60">
        <v>79966.759999999995</v>
      </c>
      <c r="I830" s="59"/>
      <c r="J830" s="60">
        <v>7004.4</v>
      </c>
      <c r="K830" s="59"/>
      <c r="L830" s="59"/>
      <c r="M830" s="60">
        <v>105065.86</v>
      </c>
      <c r="N830" s="60">
        <v>32103.5</v>
      </c>
      <c r="O830" s="60">
        <v>72962.36</v>
      </c>
      <c r="P830" s="55"/>
      <c r="Q830" s="55"/>
      <c r="R830" s="61">
        <f t="shared" si="319"/>
        <v>583.69999999999993</v>
      </c>
      <c r="S830" s="60">
        <v>583.70000000000005</v>
      </c>
      <c r="T830" s="60">
        <v>583.70000000000005</v>
      </c>
      <c r="U830" s="60">
        <v>583.70000000000005</v>
      </c>
      <c r="V830" s="60">
        <v>583.70000000000005</v>
      </c>
      <c r="W830" s="60">
        <v>583.70000000000005</v>
      </c>
      <c r="X830" s="61">
        <f t="shared" si="320"/>
        <v>3502.2</v>
      </c>
      <c r="Y830" s="60">
        <v>583.70000000000005</v>
      </c>
      <c r="Z830" s="60">
        <v>583.70000000000005</v>
      </c>
      <c r="AA830" s="60">
        <v>583.70000000000005</v>
      </c>
      <c r="AB830" s="60">
        <v>583.70000000000005</v>
      </c>
      <c r="AC830" s="60">
        <v>583.70000000000005</v>
      </c>
      <c r="AD830" s="60">
        <v>583.70000000000005</v>
      </c>
      <c r="AE830" s="61">
        <f t="shared" si="321"/>
        <v>3502.2</v>
      </c>
      <c r="AF830" s="62">
        <f t="shared" si="328"/>
        <v>105065.86</v>
      </c>
      <c r="AG830" s="62">
        <f t="shared" si="327"/>
        <v>39107.899999999972</v>
      </c>
      <c r="AH830" s="62">
        <f t="shared" si="325"/>
        <v>65957.960000000021</v>
      </c>
      <c r="AI830" s="63"/>
      <c r="AJ830" s="63"/>
      <c r="AK830" s="62"/>
      <c r="AL830" s="60">
        <v>583.70000000000005</v>
      </c>
      <c r="AM830" s="60">
        <v>583.70000000000005</v>
      </c>
      <c r="AN830" s="60">
        <v>583.70000000000005</v>
      </c>
      <c r="AO830" s="60">
        <v>583.70000000000005</v>
      </c>
      <c r="AP830" s="60">
        <v>583.70000000000005</v>
      </c>
      <c r="AQ830" s="60">
        <v>583.70000000000005</v>
      </c>
      <c r="AR830" s="61">
        <f t="shared" si="322"/>
        <v>3502.2</v>
      </c>
      <c r="AS830" s="60">
        <v>583.70000000000005</v>
      </c>
      <c r="AT830" s="60">
        <v>583.70000000000005</v>
      </c>
      <c r="AU830" s="60">
        <v>583.70000000000005</v>
      </c>
      <c r="AV830" s="60">
        <v>583.70000000000005</v>
      </c>
      <c r="AW830" s="60">
        <v>583.70000000000005</v>
      </c>
      <c r="AX830" s="60">
        <v>583.70000000000005</v>
      </c>
      <c r="AY830" s="61">
        <f t="shared" si="323"/>
        <v>3502.2</v>
      </c>
      <c r="AZ830" s="56">
        <f t="shared" si="318"/>
        <v>7004.4</v>
      </c>
      <c r="BA830" s="62">
        <f t="shared" si="329"/>
        <v>105065.86</v>
      </c>
      <c r="BB830" s="62">
        <f t="shared" si="324"/>
        <v>46112.299999999937</v>
      </c>
      <c r="BC830" s="62">
        <f t="shared" si="330"/>
        <v>58953.560000000063</v>
      </c>
      <c r="BD830" s="63"/>
      <c r="BE830" s="57"/>
      <c r="BF830" s="35" t="str">
        <f>VLOOKUP(A:A,'2023-2027'!A:G,1,+FALSE)</f>
        <v>Система охранно-пожарной сигнализации в производственных помещениях ЦЭС ГУП НАО "Нарьян-Марская электростанция"</v>
      </c>
      <c r="BG830" s="7" t="b">
        <f t="shared" si="326"/>
        <v>1</v>
      </c>
      <c r="BH830" s="35">
        <f>VLOOKUP(A:A,'2023-2027'!A:AT,43,+FALSE)</f>
        <v>583.69999999999993</v>
      </c>
    </row>
    <row r="831" spans="1:60" ht="36" hidden="1" customHeight="1" outlineLevel="1" x14ac:dyDescent="0.2">
      <c r="A831" s="59" t="s">
        <v>1922</v>
      </c>
      <c r="B831" s="59" t="s">
        <v>44</v>
      </c>
      <c r="C831" s="59" t="s">
        <v>82</v>
      </c>
      <c r="D831" s="66" t="s">
        <v>1923</v>
      </c>
      <c r="E831" s="59" t="s">
        <v>1924</v>
      </c>
      <c r="F831" s="60">
        <v>7653204.9500000002</v>
      </c>
      <c r="G831" s="60">
        <v>1169239.5</v>
      </c>
      <c r="H831" s="60">
        <v>6483965.4500000002</v>
      </c>
      <c r="I831" s="59"/>
      <c r="J831" s="60">
        <v>255106.8</v>
      </c>
      <c r="K831" s="59"/>
      <c r="L831" s="59"/>
      <c r="M831" s="60">
        <v>7653204.9500000002</v>
      </c>
      <c r="N831" s="60">
        <v>1424346.3</v>
      </c>
      <c r="O831" s="60">
        <v>6228858.6500000004</v>
      </c>
      <c r="P831" s="55">
        <v>6356412.0499999998</v>
      </c>
      <c r="Q831" s="55">
        <f t="shared" ref="Q831" si="342">P831*2.2%</f>
        <v>139841.06510000001</v>
      </c>
      <c r="R831" s="61">
        <f t="shared" si="319"/>
        <v>21258.899999999998</v>
      </c>
      <c r="S831" s="60">
        <v>21258.9</v>
      </c>
      <c r="T831" s="60">
        <v>21258.9</v>
      </c>
      <c r="U831" s="60">
        <v>21258.9</v>
      </c>
      <c r="V831" s="60">
        <v>21258.9</v>
      </c>
      <c r="W831" s="60">
        <v>21258.9</v>
      </c>
      <c r="X831" s="61">
        <f t="shared" si="320"/>
        <v>127553.4</v>
      </c>
      <c r="Y831" s="60">
        <v>21258.9</v>
      </c>
      <c r="Z831" s="60">
        <v>21258.9</v>
      </c>
      <c r="AA831" s="60">
        <v>21258.9</v>
      </c>
      <c r="AB831" s="60">
        <v>21258.9</v>
      </c>
      <c r="AC831" s="60">
        <v>21258.9</v>
      </c>
      <c r="AD831" s="60">
        <v>21258.9</v>
      </c>
      <c r="AE831" s="61">
        <f t="shared" si="321"/>
        <v>127553.4</v>
      </c>
      <c r="AF831" s="62">
        <f t="shared" si="328"/>
        <v>7653204.9500000002</v>
      </c>
      <c r="AG831" s="62">
        <f t="shared" si="327"/>
        <v>1679453.0999999989</v>
      </c>
      <c r="AH831" s="62">
        <f t="shared" si="325"/>
        <v>5973751.8500000015</v>
      </c>
      <c r="AI831" s="63">
        <v>6101305.2499999991</v>
      </c>
      <c r="AJ831" s="63">
        <f t="shared" ref="AJ831" si="343">AI831*2.2%</f>
        <v>134228.71549999999</v>
      </c>
      <c r="AK831" s="62"/>
      <c r="AL831" s="60">
        <v>21258.9</v>
      </c>
      <c r="AM831" s="60">
        <v>21258.9</v>
      </c>
      <c r="AN831" s="60">
        <v>21258.9</v>
      </c>
      <c r="AO831" s="60">
        <v>21258.9</v>
      </c>
      <c r="AP831" s="60">
        <v>21258.9</v>
      </c>
      <c r="AQ831" s="60">
        <v>21258.9</v>
      </c>
      <c r="AR831" s="61">
        <f t="shared" si="322"/>
        <v>127553.4</v>
      </c>
      <c r="AS831" s="60">
        <v>21258.9</v>
      </c>
      <c r="AT831" s="60">
        <v>21258.9</v>
      </c>
      <c r="AU831" s="60">
        <v>21258.9</v>
      </c>
      <c r="AV831" s="60">
        <v>21258.9</v>
      </c>
      <c r="AW831" s="60">
        <v>21258.9</v>
      </c>
      <c r="AX831" s="60">
        <v>21258.9</v>
      </c>
      <c r="AY831" s="61">
        <f t="shared" si="323"/>
        <v>127553.4</v>
      </c>
      <c r="AZ831" s="56">
        <f t="shared" si="318"/>
        <v>255106.8</v>
      </c>
      <c r="BA831" s="62">
        <f t="shared" si="329"/>
        <v>7653204.9500000002</v>
      </c>
      <c r="BB831" s="62">
        <f t="shared" si="324"/>
        <v>1934559.8999999978</v>
      </c>
      <c r="BC831" s="62">
        <f t="shared" si="330"/>
        <v>5718645.0500000026</v>
      </c>
      <c r="BD831" s="63">
        <v>5846198.4499999946</v>
      </c>
      <c r="BE831" s="57">
        <f t="shared" ref="BE831" si="344">BD831*2.2%</f>
        <v>128616.36589999989</v>
      </c>
      <c r="BF831" s="35" t="str">
        <f>VLOOKUP(A:A,'2023-2027'!A:G,1,+FALSE)</f>
        <v>Спасательный центр в г. Нарьян-Маре. Кабель электроснабжения 6 кВ</v>
      </c>
      <c r="BG831" s="7" t="b">
        <f t="shared" si="326"/>
        <v>1</v>
      </c>
      <c r="BH831" s="35">
        <f>VLOOKUP(A:A,'2023-2027'!A:AT,43,+FALSE)</f>
        <v>21258.899999999998</v>
      </c>
    </row>
    <row r="832" spans="1:60" ht="24" hidden="1" customHeight="1" outlineLevel="1" x14ac:dyDescent="0.2">
      <c r="A832" s="59" t="s">
        <v>1925</v>
      </c>
      <c r="B832" s="59" t="s">
        <v>44</v>
      </c>
      <c r="C832" s="59" t="s">
        <v>82</v>
      </c>
      <c r="D832" s="65" t="s">
        <v>1926</v>
      </c>
      <c r="E832" s="59" t="s">
        <v>773</v>
      </c>
      <c r="F832" s="60">
        <v>55508.47</v>
      </c>
      <c r="G832" s="60">
        <v>14390.88</v>
      </c>
      <c r="H832" s="60">
        <v>41117.589999999997</v>
      </c>
      <c r="I832" s="59"/>
      <c r="J832" s="60">
        <v>4111.8</v>
      </c>
      <c r="K832" s="59"/>
      <c r="L832" s="59"/>
      <c r="M832" s="60">
        <v>55508.47</v>
      </c>
      <c r="N832" s="60">
        <v>18502.68</v>
      </c>
      <c r="O832" s="60">
        <v>37005.79</v>
      </c>
      <c r="P832" s="55"/>
      <c r="Q832" s="55"/>
      <c r="R832" s="61">
        <f t="shared" si="319"/>
        <v>342.65000000000003</v>
      </c>
      <c r="S832" s="60">
        <v>342.65</v>
      </c>
      <c r="T832" s="60">
        <v>342.65</v>
      </c>
      <c r="U832" s="60">
        <v>342.65</v>
      </c>
      <c r="V832" s="60">
        <v>342.65</v>
      </c>
      <c r="W832" s="60">
        <v>342.65</v>
      </c>
      <c r="X832" s="61">
        <f t="shared" si="320"/>
        <v>2055.9</v>
      </c>
      <c r="Y832" s="60">
        <v>342.65</v>
      </c>
      <c r="Z832" s="60">
        <v>342.65</v>
      </c>
      <c r="AA832" s="60">
        <v>342.65</v>
      </c>
      <c r="AB832" s="60">
        <v>342.65</v>
      </c>
      <c r="AC832" s="60">
        <v>342.65</v>
      </c>
      <c r="AD832" s="60">
        <v>342.65</v>
      </c>
      <c r="AE832" s="61">
        <f t="shared" si="321"/>
        <v>2055.9</v>
      </c>
      <c r="AF832" s="62">
        <f t="shared" si="328"/>
        <v>55508.47</v>
      </c>
      <c r="AG832" s="62">
        <f t="shared" si="327"/>
        <v>22614.480000000018</v>
      </c>
      <c r="AH832" s="62">
        <f t="shared" si="325"/>
        <v>32893.989999999983</v>
      </c>
      <c r="AI832" s="63"/>
      <c r="AJ832" s="63"/>
      <c r="AK832" s="62"/>
      <c r="AL832" s="60">
        <v>342.65</v>
      </c>
      <c r="AM832" s="60">
        <v>342.65</v>
      </c>
      <c r="AN832" s="60">
        <v>342.65</v>
      </c>
      <c r="AO832" s="60">
        <v>342.65</v>
      </c>
      <c r="AP832" s="60">
        <v>342.65</v>
      </c>
      <c r="AQ832" s="60">
        <v>342.65</v>
      </c>
      <c r="AR832" s="61">
        <f t="shared" si="322"/>
        <v>2055.9</v>
      </c>
      <c r="AS832" s="60">
        <v>342.65</v>
      </c>
      <c r="AT832" s="60">
        <v>342.65</v>
      </c>
      <c r="AU832" s="60">
        <v>342.65</v>
      </c>
      <c r="AV832" s="60">
        <v>342.65</v>
      </c>
      <c r="AW832" s="60">
        <v>342.65</v>
      </c>
      <c r="AX832" s="60">
        <v>342.65</v>
      </c>
      <c r="AY832" s="61">
        <f t="shared" si="323"/>
        <v>2055.9</v>
      </c>
      <c r="AZ832" s="56">
        <f t="shared" si="318"/>
        <v>4111.8</v>
      </c>
      <c r="BA832" s="62">
        <f t="shared" si="329"/>
        <v>55508.47</v>
      </c>
      <c r="BB832" s="62">
        <f t="shared" si="324"/>
        <v>26726.280000000035</v>
      </c>
      <c r="BC832" s="62">
        <f t="shared" si="330"/>
        <v>28782.189999999966</v>
      </c>
      <c r="BD832" s="63"/>
      <c r="BE832" s="57"/>
      <c r="BF832" s="35" t="e">
        <f>VLOOKUP(A:A,'2023-2027'!A:G,1,+FALSE)</f>
        <v>#N/A</v>
      </c>
      <c r="BG832" s="7" t="e">
        <f t="shared" si="326"/>
        <v>#N/A</v>
      </c>
      <c r="BH832" s="35"/>
    </row>
    <row r="833" spans="1:60" ht="48" hidden="1" customHeight="1" outlineLevel="1" x14ac:dyDescent="0.2">
      <c r="A833" s="59" t="s">
        <v>2483</v>
      </c>
      <c r="B833" s="59" t="s">
        <v>44</v>
      </c>
      <c r="C833" s="59" t="s">
        <v>82</v>
      </c>
      <c r="D833" s="66" t="s">
        <v>1927</v>
      </c>
      <c r="E833" s="59" t="s">
        <v>1928</v>
      </c>
      <c r="F833" s="60">
        <v>4267272.09</v>
      </c>
      <c r="G833" s="60">
        <v>114753.99</v>
      </c>
      <c r="H833" s="60">
        <v>4152518.1</v>
      </c>
      <c r="I833" s="59"/>
      <c r="J833" s="60">
        <v>105926.76</v>
      </c>
      <c r="K833" s="59"/>
      <c r="L833" s="59"/>
      <c r="M833" s="60">
        <v>4267272.09</v>
      </c>
      <c r="N833" s="60">
        <v>220680.75</v>
      </c>
      <c r="O833" s="60">
        <v>4046591.34</v>
      </c>
      <c r="P833" s="55">
        <v>4099554.72</v>
      </c>
      <c r="Q833" s="55">
        <f t="shared" ref="Q833:Q835" si="345">P833*2.2%</f>
        <v>90190.203840000016</v>
      </c>
      <c r="R833" s="61">
        <f t="shared" si="319"/>
        <v>8827.23</v>
      </c>
      <c r="S833" s="60">
        <v>8827.23</v>
      </c>
      <c r="T833" s="60">
        <v>8827.23</v>
      </c>
      <c r="U833" s="60">
        <v>8827.23</v>
      </c>
      <c r="V833" s="60">
        <v>8827.23</v>
      </c>
      <c r="W833" s="60">
        <v>8827.23</v>
      </c>
      <c r="X833" s="61">
        <f t="shared" si="320"/>
        <v>52963.37999999999</v>
      </c>
      <c r="Y833" s="60">
        <v>8827.23</v>
      </c>
      <c r="Z833" s="60">
        <v>8827.23</v>
      </c>
      <c r="AA833" s="60">
        <v>8827.23</v>
      </c>
      <c r="AB833" s="60">
        <v>8827.23</v>
      </c>
      <c r="AC833" s="60">
        <v>8827.23</v>
      </c>
      <c r="AD833" s="60">
        <v>8827.23</v>
      </c>
      <c r="AE833" s="61">
        <f t="shared" si="321"/>
        <v>52963.37999999999</v>
      </c>
      <c r="AF833" s="62">
        <f t="shared" si="328"/>
        <v>4267272.09</v>
      </c>
      <c r="AG833" s="62">
        <f t="shared" si="327"/>
        <v>326607.50999999989</v>
      </c>
      <c r="AH833" s="62">
        <f t="shared" si="325"/>
        <v>3940664.58</v>
      </c>
      <c r="AI833" s="63">
        <v>3993627.9600000004</v>
      </c>
      <c r="AJ833" s="63">
        <f t="shared" ref="AJ833:AJ835" si="346">AI833*2.2%</f>
        <v>87859.815120000014</v>
      </c>
      <c r="AK833" s="72">
        <f t="shared" ref="AK833:AK835" si="347">AI833*2.2%</f>
        <v>87859.815120000014</v>
      </c>
      <c r="AL833" s="60">
        <v>8827.23</v>
      </c>
      <c r="AM833" s="60">
        <v>8827.23</v>
      </c>
      <c r="AN833" s="60">
        <v>8827.23</v>
      </c>
      <c r="AO833" s="60">
        <v>8827.23</v>
      </c>
      <c r="AP833" s="60">
        <v>8827.23</v>
      </c>
      <c r="AQ833" s="60">
        <v>8827.23</v>
      </c>
      <c r="AR833" s="61">
        <f t="shared" si="322"/>
        <v>52963.37999999999</v>
      </c>
      <c r="AS833" s="60">
        <v>8827.23</v>
      </c>
      <c r="AT833" s="60">
        <v>8827.23</v>
      </c>
      <c r="AU833" s="60">
        <v>8827.23</v>
      </c>
      <c r="AV833" s="60">
        <v>8827.23</v>
      </c>
      <c r="AW833" s="60">
        <v>8827.23</v>
      </c>
      <c r="AX833" s="60">
        <v>8827.23</v>
      </c>
      <c r="AY833" s="61">
        <f t="shared" si="323"/>
        <v>52963.37999999999</v>
      </c>
      <c r="AZ833" s="56">
        <f t="shared" si="318"/>
        <v>105926.75999999998</v>
      </c>
      <c r="BA833" s="62">
        <f t="shared" si="329"/>
        <v>4267272.09</v>
      </c>
      <c r="BB833" s="62">
        <f t="shared" si="324"/>
        <v>432534.26999999967</v>
      </c>
      <c r="BC833" s="62">
        <f t="shared" si="330"/>
        <v>3834737.8200000003</v>
      </c>
      <c r="BD833" s="63">
        <v>3887701.1999999997</v>
      </c>
      <c r="BE833" s="57">
        <f t="shared" ref="BE833:BE835" si="348">BD833*2.2%</f>
        <v>85529.426399999997</v>
      </c>
      <c r="BF833" s="35" t="str">
        <f>VLOOKUP(A:A,'2023-2027'!A:G,1,+FALSE)</f>
        <v>Строительство ВЛ-0,4 кВ по ул. Строителей (от ТП №65 ф. Монтажников д.15, 15б, 17, ф. Строителей д.1, 3, 3а)</v>
      </c>
      <c r="BG833" s="7" t="b">
        <f t="shared" si="326"/>
        <v>1</v>
      </c>
      <c r="BH833" s="35">
        <f>VLOOKUP(A:A,'2023-2027'!A:AT,43,+FALSE)</f>
        <v>8890.1499999999978</v>
      </c>
    </row>
    <row r="834" spans="1:60" ht="36" hidden="1" customHeight="1" outlineLevel="1" x14ac:dyDescent="0.2">
      <c r="A834" s="59" t="s">
        <v>1929</v>
      </c>
      <c r="B834" s="59" t="s">
        <v>44</v>
      </c>
      <c r="C834" s="59" t="s">
        <v>82</v>
      </c>
      <c r="D834" s="66" t="s">
        <v>1930</v>
      </c>
      <c r="E834" s="59" t="s">
        <v>1931</v>
      </c>
      <c r="F834" s="60">
        <v>1849040.59</v>
      </c>
      <c r="G834" s="60">
        <v>646769.92000000004</v>
      </c>
      <c r="H834" s="60">
        <v>1202270.67</v>
      </c>
      <c r="I834" s="59"/>
      <c r="J834" s="60">
        <v>121269.36</v>
      </c>
      <c r="K834" s="59"/>
      <c r="L834" s="59"/>
      <c r="M834" s="60">
        <v>1849040.59</v>
      </c>
      <c r="N834" s="60">
        <v>768039.28</v>
      </c>
      <c r="O834" s="60">
        <v>1081001.31</v>
      </c>
      <c r="P834" s="55">
        <v>1141635.99</v>
      </c>
      <c r="Q834" s="55">
        <f t="shared" si="345"/>
        <v>25115.991780000004</v>
      </c>
      <c r="R834" s="61">
        <f t="shared" si="319"/>
        <v>10105.780000000001</v>
      </c>
      <c r="S834" s="60">
        <v>10105.780000000001</v>
      </c>
      <c r="T834" s="60">
        <v>10105.780000000001</v>
      </c>
      <c r="U834" s="60">
        <v>10105.780000000001</v>
      </c>
      <c r="V834" s="60">
        <v>10105.780000000001</v>
      </c>
      <c r="W834" s="60">
        <v>10105.780000000001</v>
      </c>
      <c r="X834" s="61">
        <f t="shared" si="320"/>
        <v>60634.68</v>
      </c>
      <c r="Y834" s="60">
        <v>10105.780000000001</v>
      </c>
      <c r="Z834" s="60">
        <v>10105.780000000001</v>
      </c>
      <c r="AA834" s="60">
        <v>10105.780000000001</v>
      </c>
      <c r="AB834" s="60">
        <v>10105.780000000001</v>
      </c>
      <c r="AC834" s="60">
        <v>10105.780000000001</v>
      </c>
      <c r="AD834" s="60">
        <v>10105.780000000001</v>
      </c>
      <c r="AE834" s="61">
        <f t="shared" si="321"/>
        <v>60634.68</v>
      </c>
      <c r="AF834" s="62">
        <f t="shared" si="328"/>
        <v>1849040.59</v>
      </c>
      <c r="AG834" s="62">
        <f t="shared" si="327"/>
        <v>889308.64000000036</v>
      </c>
      <c r="AH834" s="62">
        <f t="shared" si="325"/>
        <v>959731.94999999972</v>
      </c>
      <c r="AI834" s="63">
        <v>1020366.6299999998</v>
      </c>
      <c r="AJ834" s="63">
        <f t="shared" si="346"/>
        <v>22448.065859999999</v>
      </c>
      <c r="AK834" s="72">
        <f t="shared" si="347"/>
        <v>22448.065859999999</v>
      </c>
      <c r="AL834" s="60">
        <v>10105.780000000001</v>
      </c>
      <c r="AM834" s="60">
        <v>10105.780000000001</v>
      </c>
      <c r="AN834" s="60">
        <v>10105.780000000001</v>
      </c>
      <c r="AO834" s="60">
        <v>10105.780000000001</v>
      </c>
      <c r="AP834" s="60">
        <v>10105.780000000001</v>
      </c>
      <c r="AQ834" s="60">
        <v>10105.780000000001</v>
      </c>
      <c r="AR834" s="61">
        <f t="shared" si="322"/>
        <v>60634.68</v>
      </c>
      <c r="AS834" s="60">
        <v>10105.780000000001</v>
      </c>
      <c r="AT834" s="60">
        <v>10105.780000000001</v>
      </c>
      <c r="AU834" s="60">
        <v>10105.780000000001</v>
      </c>
      <c r="AV834" s="60">
        <v>10105.780000000001</v>
      </c>
      <c r="AW834" s="60">
        <v>10105.780000000001</v>
      </c>
      <c r="AX834" s="60">
        <v>10105.780000000001</v>
      </c>
      <c r="AY834" s="61">
        <f t="shared" si="323"/>
        <v>60634.68</v>
      </c>
      <c r="AZ834" s="56">
        <f t="shared" si="318"/>
        <v>121269.36</v>
      </c>
      <c r="BA834" s="62">
        <f t="shared" si="329"/>
        <v>1849040.59</v>
      </c>
      <c r="BB834" s="62">
        <f t="shared" si="324"/>
        <v>1010578.0000000007</v>
      </c>
      <c r="BC834" s="62">
        <f t="shared" si="330"/>
        <v>838462.58999999939</v>
      </c>
      <c r="BD834" s="63">
        <v>899097.26999999944</v>
      </c>
      <c r="BE834" s="57">
        <f t="shared" si="348"/>
        <v>19780.13993999999</v>
      </c>
      <c r="BF834" s="35" t="str">
        <f>VLOOKUP(A:A,'2023-2027'!A:G,1,+FALSE)</f>
        <v>Строительство ВЛ-0,4кВ от ТП №2 фидер ул. 60 лет Октября д.43А г. Нарьян-Мар НАО</v>
      </c>
      <c r="BG834" s="7" t="b">
        <f t="shared" si="326"/>
        <v>1</v>
      </c>
      <c r="BH834" s="35">
        <f>VLOOKUP(A:A,'2023-2027'!A:AT,43,+FALSE)</f>
        <v>10272.449999999999</v>
      </c>
    </row>
    <row r="835" spans="1:60" ht="52.5" hidden="1" customHeight="1" outlineLevel="1" x14ac:dyDescent="0.2">
      <c r="A835" s="59" t="s">
        <v>2484</v>
      </c>
      <c r="B835" s="59" t="s">
        <v>44</v>
      </c>
      <c r="C835" s="59" t="s">
        <v>82</v>
      </c>
      <c r="D835" s="66" t="s">
        <v>1932</v>
      </c>
      <c r="E835" s="59" t="s">
        <v>1933</v>
      </c>
      <c r="F835" s="60">
        <v>2516509.21</v>
      </c>
      <c r="G835" s="60">
        <v>822502.8</v>
      </c>
      <c r="H835" s="60">
        <v>1694006.41</v>
      </c>
      <c r="I835" s="59"/>
      <c r="J835" s="60">
        <v>164500.68</v>
      </c>
      <c r="K835" s="59"/>
      <c r="L835" s="59"/>
      <c r="M835" s="60">
        <v>2516509.21</v>
      </c>
      <c r="N835" s="60">
        <v>987003.48</v>
      </c>
      <c r="O835" s="60">
        <v>1529505.73</v>
      </c>
      <c r="P835" s="55">
        <v>1611756.07</v>
      </c>
      <c r="Q835" s="55">
        <f t="shared" si="345"/>
        <v>35458.633540000003</v>
      </c>
      <c r="R835" s="61">
        <f t="shared" si="319"/>
        <v>13708.39</v>
      </c>
      <c r="S835" s="60">
        <v>13708.39</v>
      </c>
      <c r="T835" s="60">
        <v>13708.39</v>
      </c>
      <c r="U835" s="60">
        <v>13708.39</v>
      </c>
      <c r="V835" s="60">
        <v>13708.39</v>
      </c>
      <c r="W835" s="60">
        <v>13708.39</v>
      </c>
      <c r="X835" s="61">
        <f t="shared" si="320"/>
        <v>82250.34</v>
      </c>
      <c r="Y835" s="60">
        <v>13708.39</v>
      </c>
      <c r="Z835" s="60">
        <v>13708.39</v>
      </c>
      <c r="AA835" s="60">
        <v>13708.39</v>
      </c>
      <c r="AB835" s="60">
        <v>13708.39</v>
      </c>
      <c r="AC835" s="60">
        <v>13708.39</v>
      </c>
      <c r="AD835" s="60">
        <v>13708.39</v>
      </c>
      <c r="AE835" s="61">
        <f t="shared" si="321"/>
        <v>82250.34</v>
      </c>
      <c r="AF835" s="62">
        <f t="shared" si="328"/>
        <v>2516509.21</v>
      </c>
      <c r="AG835" s="62">
        <f t="shared" si="327"/>
        <v>1151504.1599999992</v>
      </c>
      <c r="AH835" s="62">
        <f t="shared" si="325"/>
        <v>1365005.0500000007</v>
      </c>
      <c r="AI835" s="63">
        <v>1447255.3900000006</v>
      </c>
      <c r="AJ835" s="63">
        <f t="shared" si="346"/>
        <v>31839.618580000017</v>
      </c>
      <c r="AK835" s="72">
        <f t="shared" si="347"/>
        <v>31839.618580000017</v>
      </c>
      <c r="AL835" s="60">
        <v>13708.39</v>
      </c>
      <c r="AM835" s="60">
        <v>13708.39</v>
      </c>
      <c r="AN835" s="60">
        <v>13708.39</v>
      </c>
      <c r="AO835" s="60">
        <v>13708.39</v>
      </c>
      <c r="AP835" s="60">
        <v>13708.39</v>
      </c>
      <c r="AQ835" s="60">
        <v>13708.39</v>
      </c>
      <c r="AR835" s="61">
        <f t="shared" si="322"/>
        <v>82250.34</v>
      </c>
      <c r="AS835" s="60">
        <v>13708.39</v>
      </c>
      <c r="AT835" s="60">
        <v>13708.39</v>
      </c>
      <c r="AU835" s="60">
        <v>13708.39</v>
      </c>
      <c r="AV835" s="60">
        <v>13708.39</v>
      </c>
      <c r="AW835" s="60">
        <v>13708.39</v>
      </c>
      <c r="AX835" s="60">
        <v>13708.39</v>
      </c>
      <c r="AY835" s="61">
        <f t="shared" si="323"/>
        <v>82250.34</v>
      </c>
      <c r="AZ835" s="56">
        <f t="shared" si="318"/>
        <v>164500.68</v>
      </c>
      <c r="BA835" s="62">
        <f t="shared" si="329"/>
        <v>2516509.21</v>
      </c>
      <c r="BB835" s="62">
        <f t="shared" si="324"/>
        <v>1316004.839999998</v>
      </c>
      <c r="BC835" s="62">
        <f t="shared" si="330"/>
        <v>1200504.370000002</v>
      </c>
      <c r="BD835" s="63">
        <v>1282754.7100000018</v>
      </c>
      <c r="BE835" s="57">
        <f t="shared" si="348"/>
        <v>28220.603620000042</v>
      </c>
      <c r="BF835" s="35" t="str">
        <f>VLOOKUP(A:A,'2023-2027'!A:G,1,+FALSE)</f>
        <v>Строительство участка ВЛ-0,4 кВ от ТП №46, фидер "ул.Молодежная", фидер "ул.Юбилейная", фидер магазин "Хороший"</v>
      </c>
      <c r="BG835" s="7" t="b">
        <f t="shared" si="326"/>
        <v>1</v>
      </c>
      <c r="BH835" s="35">
        <f>VLOOKUP(A:A,'2023-2027'!A:AT,43,+FALSE)</f>
        <v>13980.61</v>
      </c>
    </row>
    <row r="836" spans="1:60" ht="12" hidden="1" customHeight="1" outlineLevel="1" x14ac:dyDescent="0.2">
      <c r="A836" s="59" t="s">
        <v>1934</v>
      </c>
      <c r="B836" s="59" t="s">
        <v>44</v>
      </c>
      <c r="C836" s="59" t="s">
        <v>82</v>
      </c>
      <c r="D836" s="65" t="s">
        <v>1935</v>
      </c>
      <c r="E836" s="59" t="s">
        <v>575</v>
      </c>
      <c r="F836" s="60">
        <v>13592</v>
      </c>
      <c r="G836" s="60">
        <v>13592</v>
      </c>
      <c r="H836" s="59"/>
      <c r="I836" s="59"/>
      <c r="J836" s="59"/>
      <c r="K836" s="60">
        <v>13592</v>
      </c>
      <c r="L836" s="60">
        <v>13592</v>
      </c>
      <c r="M836" s="59"/>
      <c r="N836" s="59"/>
      <c r="O836" s="59"/>
      <c r="P836" s="67"/>
      <c r="Q836" s="67"/>
      <c r="R836" s="61">
        <f t="shared" si="319"/>
        <v>0</v>
      </c>
      <c r="S836" s="60">
        <v>0</v>
      </c>
      <c r="T836" s="60">
        <v>0</v>
      </c>
      <c r="U836" s="60">
        <v>0</v>
      </c>
      <c r="V836" s="60">
        <v>0</v>
      </c>
      <c r="W836" s="60">
        <v>0</v>
      </c>
      <c r="X836" s="61">
        <f t="shared" si="320"/>
        <v>0</v>
      </c>
      <c r="Y836" s="60">
        <v>0</v>
      </c>
      <c r="Z836" s="60">
        <v>0</v>
      </c>
      <c r="AA836" s="60">
        <v>0</v>
      </c>
      <c r="AB836" s="60">
        <v>0</v>
      </c>
      <c r="AC836" s="60">
        <v>0</v>
      </c>
      <c r="AD836" s="60">
        <v>0</v>
      </c>
      <c r="AE836" s="61">
        <f t="shared" si="321"/>
        <v>0</v>
      </c>
      <c r="AF836" s="62">
        <f t="shared" si="328"/>
        <v>0</v>
      </c>
      <c r="AG836" s="62">
        <f t="shared" si="327"/>
        <v>0</v>
      </c>
      <c r="AH836" s="62">
        <f t="shared" si="325"/>
        <v>0</v>
      </c>
      <c r="AI836" s="63"/>
      <c r="AJ836" s="63"/>
      <c r="AK836" s="62"/>
      <c r="AL836" s="60">
        <v>0</v>
      </c>
      <c r="AM836" s="60">
        <v>0</v>
      </c>
      <c r="AN836" s="60">
        <v>0</v>
      </c>
      <c r="AO836" s="60">
        <v>0</v>
      </c>
      <c r="AP836" s="60">
        <v>0</v>
      </c>
      <c r="AQ836" s="60">
        <v>0</v>
      </c>
      <c r="AR836" s="61">
        <f t="shared" si="322"/>
        <v>0</v>
      </c>
      <c r="AS836" s="60">
        <v>0</v>
      </c>
      <c r="AT836" s="60">
        <v>0</v>
      </c>
      <c r="AU836" s="60">
        <v>0</v>
      </c>
      <c r="AV836" s="60">
        <v>0</v>
      </c>
      <c r="AW836" s="60">
        <v>0</v>
      </c>
      <c r="AX836" s="60">
        <v>0</v>
      </c>
      <c r="AY836" s="61">
        <f t="shared" si="323"/>
        <v>0</v>
      </c>
      <c r="AZ836" s="56">
        <f t="shared" si="318"/>
        <v>0</v>
      </c>
      <c r="BA836" s="62">
        <f t="shared" si="329"/>
        <v>0</v>
      </c>
      <c r="BB836" s="62">
        <f t="shared" si="324"/>
        <v>0</v>
      </c>
      <c r="BC836" s="62">
        <f t="shared" si="330"/>
        <v>0</v>
      </c>
      <c r="BD836" s="63"/>
      <c r="BE836" s="57"/>
      <c r="BF836" s="35" t="e">
        <f>VLOOKUP(A:A,'2023-2027'!A:G,1,+FALSE)</f>
        <v>#N/A</v>
      </c>
      <c r="BG836" s="7" t="e">
        <f t="shared" si="326"/>
        <v>#N/A</v>
      </c>
      <c r="BH836" s="35"/>
    </row>
    <row r="837" spans="1:60" ht="24" hidden="1" customHeight="1" outlineLevel="1" x14ac:dyDescent="0.2">
      <c r="A837" s="59" t="s">
        <v>1936</v>
      </c>
      <c r="B837" s="59" t="s">
        <v>44</v>
      </c>
      <c r="C837" s="59" t="s">
        <v>82</v>
      </c>
      <c r="D837" s="65" t="s">
        <v>1937</v>
      </c>
      <c r="E837" s="59" t="s">
        <v>575</v>
      </c>
      <c r="F837" s="60">
        <v>13592</v>
      </c>
      <c r="G837" s="60">
        <v>13592</v>
      </c>
      <c r="H837" s="59"/>
      <c r="I837" s="59"/>
      <c r="J837" s="59"/>
      <c r="K837" s="60">
        <v>13592</v>
      </c>
      <c r="L837" s="60">
        <v>13592</v>
      </c>
      <c r="M837" s="59"/>
      <c r="N837" s="59"/>
      <c r="O837" s="59"/>
      <c r="P837" s="67"/>
      <c r="Q837" s="67"/>
      <c r="R837" s="61">
        <f t="shared" si="319"/>
        <v>0</v>
      </c>
      <c r="S837" s="60">
        <v>0</v>
      </c>
      <c r="T837" s="60">
        <v>0</v>
      </c>
      <c r="U837" s="60">
        <v>0</v>
      </c>
      <c r="V837" s="60">
        <v>0</v>
      </c>
      <c r="W837" s="60">
        <v>0</v>
      </c>
      <c r="X837" s="61">
        <f t="shared" si="320"/>
        <v>0</v>
      </c>
      <c r="Y837" s="60">
        <v>0</v>
      </c>
      <c r="Z837" s="60">
        <v>0</v>
      </c>
      <c r="AA837" s="60">
        <v>0</v>
      </c>
      <c r="AB837" s="60">
        <v>0</v>
      </c>
      <c r="AC837" s="60">
        <v>0</v>
      </c>
      <c r="AD837" s="60">
        <v>0</v>
      </c>
      <c r="AE837" s="61">
        <f t="shared" si="321"/>
        <v>0</v>
      </c>
      <c r="AF837" s="62">
        <f t="shared" si="328"/>
        <v>0</v>
      </c>
      <c r="AG837" s="62">
        <f t="shared" si="327"/>
        <v>0</v>
      </c>
      <c r="AH837" s="62">
        <f t="shared" si="325"/>
        <v>0</v>
      </c>
      <c r="AI837" s="63"/>
      <c r="AJ837" s="63"/>
      <c r="AK837" s="62"/>
      <c r="AL837" s="60">
        <v>0</v>
      </c>
      <c r="AM837" s="60">
        <v>0</v>
      </c>
      <c r="AN837" s="60">
        <v>0</v>
      </c>
      <c r="AO837" s="60">
        <v>0</v>
      </c>
      <c r="AP837" s="60">
        <v>0</v>
      </c>
      <c r="AQ837" s="60">
        <v>0</v>
      </c>
      <c r="AR837" s="61">
        <f t="shared" si="322"/>
        <v>0</v>
      </c>
      <c r="AS837" s="60">
        <v>0</v>
      </c>
      <c r="AT837" s="60">
        <v>0</v>
      </c>
      <c r="AU837" s="60">
        <v>0</v>
      </c>
      <c r="AV837" s="60">
        <v>0</v>
      </c>
      <c r="AW837" s="60">
        <v>0</v>
      </c>
      <c r="AX837" s="60">
        <v>0</v>
      </c>
      <c r="AY837" s="61">
        <f t="shared" si="323"/>
        <v>0</v>
      </c>
      <c r="AZ837" s="56">
        <f t="shared" si="318"/>
        <v>0</v>
      </c>
      <c r="BA837" s="62">
        <f t="shared" si="329"/>
        <v>0</v>
      </c>
      <c r="BB837" s="62">
        <f t="shared" si="324"/>
        <v>0</v>
      </c>
      <c r="BC837" s="62">
        <f t="shared" si="330"/>
        <v>0</v>
      </c>
      <c r="BD837" s="63"/>
      <c r="BE837" s="57"/>
      <c r="BF837" s="35" t="e">
        <f>VLOOKUP(A:A,'2023-2027'!A:G,1,+FALSE)</f>
        <v>#N/A</v>
      </c>
      <c r="BG837" s="7" t="e">
        <f t="shared" si="326"/>
        <v>#N/A</v>
      </c>
      <c r="BH837" s="35"/>
    </row>
    <row r="838" spans="1:60" ht="12" hidden="1" customHeight="1" outlineLevel="1" x14ac:dyDescent="0.2">
      <c r="A838" s="59" t="s">
        <v>1938</v>
      </c>
      <c r="B838" s="59" t="s">
        <v>44</v>
      </c>
      <c r="C838" s="59" t="s">
        <v>82</v>
      </c>
      <c r="D838" s="65" t="s">
        <v>1939</v>
      </c>
      <c r="E838" s="59" t="s">
        <v>575</v>
      </c>
      <c r="F838" s="60">
        <v>14253.66</v>
      </c>
      <c r="G838" s="60">
        <v>14253.66</v>
      </c>
      <c r="H838" s="59"/>
      <c r="I838" s="59"/>
      <c r="J838" s="59"/>
      <c r="K838" s="60">
        <v>14253.66</v>
      </c>
      <c r="L838" s="60">
        <v>14253.66</v>
      </c>
      <c r="M838" s="59"/>
      <c r="N838" s="59"/>
      <c r="O838" s="59"/>
      <c r="P838" s="67"/>
      <c r="Q838" s="67"/>
      <c r="R838" s="61">
        <f t="shared" si="319"/>
        <v>0</v>
      </c>
      <c r="S838" s="60">
        <v>0</v>
      </c>
      <c r="T838" s="60">
        <v>0</v>
      </c>
      <c r="U838" s="60">
        <v>0</v>
      </c>
      <c r="V838" s="60">
        <v>0</v>
      </c>
      <c r="W838" s="60">
        <v>0</v>
      </c>
      <c r="X838" s="61">
        <f t="shared" si="320"/>
        <v>0</v>
      </c>
      <c r="Y838" s="60">
        <v>0</v>
      </c>
      <c r="Z838" s="60">
        <v>0</v>
      </c>
      <c r="AA838" s="60">
        <v>0</v>
      </c>
      <c r="AB838" s="60">
        <v>0</v>
      </c>
      <c r="AC838" s="60">
        <v>0</v>
      </c>
      <c r="AD838" s="60">
        <v>0</v>
      </c>
      <c r="AE838" s="61">
        <f t="shared" si="321"/>
        <v>0</v>
      </c>
      <c r="AF838" s="62">
        <f t="shared" si="328"/>
        <v>0</v>
      </c>
      <c r="AG838" s="62">
        <f t="shared" si="327"/>
        <v>0</v>
      </c>
      <c r="AH838" s="62">
        <f t="shared" si="325"/>
        <v>0</v>
      </c>
      <c r="AI838" s="63"/>
      <c r="AJ838" s="63"/>
      <c r="AK838" s="62"/>
      <c r="AL838" s="60">
        <v>0</v>
      </c>
      <c r="AM838" s="60">
        <v>0</v>
      </c>
      <c r="AN838" s="60">
        <v>0</v>
      </c>
      <c r="AO838" s="60">
        <v>0</v>
      </c>
      <c r="AP838" s="60">
        <v>0</v>
      </c>
      <c r="AQ838" s="60">
        <v>0</v>
      </c>
      <c r="AR838" s="61">
        <f t="shared" si="322"/>
        <v>0</v>
      </c>
      <c r="AS838" s="60">
        <v>0</v>
      </c>
      <c r="AT838" s="60">
        <v>0</v>
      </c>
      <c r="AU838" s="60">
        <v>0</v>
      </c>
      <c r="AV838" s="60">
        <v>0</v>
      </c>
      <c r="AW838" s="60">
        <v>0</v>
      </c>
      <c r="AX838" s="60">
        <v>0</v>
      </c>
      <c r="AY838" s="61">
        <f t="shared" si="323"/>
        <v>0</v>
      </c>
      <c r="AZ838" s="56">
        <f t="shared" si="318"/>
        <v>0</v>
      </c>
      <c r="BA838" s="62">
        <f t="shared" si="329"/>
        <v>0</v>
      </c>
      <c r="BB838" s="62">
        <f t="shared" si="324"/>
        <v>0</v>
      </c>
      <c r="BC838" s="62">
        <f t="shared" si="330"/>
        <v>0</v>
      </c>
      <c r="BD838" s="63"/>
      <c r="BE838" s="57"/>
      <c r="BF838" s="35" t="e">
        <f>VLOOKUP(A:A,'2023-2027'!A:G,1,+FALSE)</f>
        <v>#N/A</v>
      </c>
      <c r="BG838" s="7" t="e">
        <f t="shared" si="326"/>
        <v>#N/A</v>
      </c>
      <c r="BH838" s="35"/>
    </row>
    <row r="839" spans="1:60" ht="24" hidden="1" customHeight="1" outlineLevel="1" x14ac:dyDescent="0.2">
      <c r="A839" s="59" t="s">
        <v>1940</v>
      </c>
      <c r="B839" s="59" t="s">
        <v>44</v>
      </c>
      <c r="C839" s="59" t="s">
        <v>82</v>
      </c>
      <c r="D839" s="65" t="s">
        <v>1941</v>
      </c>
      <c r="E839" s="59" t="s">
        <v>575</v>
      </c>
      <c r="F839" s="60">
        <v>14253.66</v>
      </c>
      <c r="G839" s="60">
        <v>14253.66</v>
      </c>
      <c r="H839" s="59"/>
      <c r="I839" s="59"/>
      <c r="J839" s="59"/>
      <c r="K839" s="60">
        <v>14253.66</v>
      </c>
      <c r="L839" s="60">
        <v>14253.66</v>
      </c>
      <c r="M839" s="59"/>
      <c r="N839" s="59"/>
      <c r="O839" s="59"/>
      <c r="P839" s="67"/>
      <c r="Q839" s="67"/>
      <c r="R839" s="61">
        <f t="shared" si="319"/>
        <v>0</v>
      </c>
      <c r="S839" s="60">
        <v>0</v>
      </c>
      <c r="T839" s="60">
        <v>0</v>
      </c>
      <c r="U839" s="60">
        <v>0</v>
      </c>
      <c r="V839" s="60">
        <v>0</v>
      </c>
      <c r="W839" s="60">
        <v>0</v>
      </c>
      <c r="X839" s="61">
        <f t="shared" si="320"/>
        <v>0</v>
      </c>
      <c r="Y839" s="60">
        <v>0</v>
      </c>
      <c r="Z839" s="60">
        <v>0</v>
      </c>
      <c r="AA839" s="60">
        <v>0</v>
      </c>
      <c r="AB839" s="60">
        <v>0</v>
      </c>
      <c r="AC839" s="60">
        <v>0</v>
      </c>
      <c r="AD839" s="60">
        <v>0</v>
      </c>
      <c r="AE839" s="61">
        <f t="shared" si="321"/>
        <v>0</v>
      </c>
      <c r="AF839" s="62">
        <f t="shared" si="328"/>
        <v>0</v>
      </c>
      <c r="AG839" s="62">
        <f t="shared" si="327"/>
        <v>0</v>
      </c>
      <c r="AH839" s="62">
        <f t="shared" si="325"/>
        <v>0</v>
      </c>
      <c r="AI839" s="63"/>
      <c r="AJ839" s="63"/>
      <c r="AK839" s="62"/>
      <c r="AL839" s="60">
        <v>0</v>
      </c>
      <c r="AM839" s="60">
        <v>0</v>
      </c>
      <c r="AN839" s="60">
        <v>0</v>
      </c>
      <c r="AO839" s="60">
        <v>0</v>
      </c>
      <c r="AP839" s="60">
        <v>0</v>
      </c>
      <c r="AQ839" s="60">
        <v>0</v>
      </c>
      <c r="AR839" s="61">
        <f t="shared" si="322"/>
        <v>0</v>
      </c>
      <c r="AS839" s="60">
        <v>0</v>
      </c>
      <c r="AT839" s="60">
        <v>0</v>
      </c>
      <c r="AU839" s="60">
        <v>0</v>
      </c>
      <c r="AV839" s="60">
        <v>0</v>
      </c>
      <c r="AW839" s="60">
        <v>0</v>
      </c>
      <c r="AX839" s="60">
        <v>0</v>
      </c>
      <c r="AY839" s="61">
        <f t="shared" si="323"/>
        <v>0</v>
      </c>
      <c r="AZ839" s="56">
        <f t="shared" si="318"/>
        <v>0</v>
      </c>
      <c r="BA839" s="62">
        <f t="shared" si="329"/>
        <v>0</v>
      </c>
      <c r="BB839" s="62">
        <f t="shared" si="324"/>
        <v>0</v>
      </c>
      <c r="BC839" s="62">
        <f t="shared" si="330"/>
        <v>0</v>
      </c>
      <c r="BD839" s="63"/>
      <c r="BE839" s="57"/>
      <c r="BF839" s="35" t="e">
        <f>VLOOKUP(A:A,'2023-2027'!A:G,1,+FALSE)</f>
        <v>#N/A</v>
      </c>
      <c r="BG839" s="7" t="e">
        <f t="shared" si="326"/>
        <v>#N/A</v>
      </c>
      <c r="BH839" s="35"/>
    </row>
    <row r="840" spans="1:60" ht="12" hidden="1" customHeight="1" outlineLevel="1" x14ac:dyDescent="0.2">
      <c r="A840" s="59" t="s">
        <v>1942</v>
      </c>
      <c r="B840" s="59" t="s">
        <v>44</v>
      </c>
      <c r="C840" s="59" t="s">
        <v>82</v>
      </c>
      <c r="D840" s="66" t="s">
        <v>1943</v>
      </c>
      <c r="E840" s="59" t="s">
        <v>305</v>
      </c>
      <c r="F840" s="60">
        <v>138588.07</v>
      </c>
      <c r="G840" s="60">
        <v>92392</v>
      </c>
      <c r="H840" s="60">
        <v>46196.07</v>
      </c>
      <c r="I840" s="59"/>
      <c r="J840" s="60">
        <v>27717.63</v>
      </c>
      <c r="K840" s="59"/>
      <c r="L840" s="59"/>
      <c r="M840" s="60">
        <v>138588.07</v>
      </c>
      <c r="N840" s="60">
        <v>120109.63</v>
      </c>
      <c r="O840" s="60">
        <v>18478.439999999999</v>
      </c>
      <c r="P840" s="55"/>
      <c r="Q840" s="55"/>
      <c r="R840" s="61">
        <f t="shared" si="319"/>
        <v>2309.8025000000002</v>
      </c>
      <c r="S840" s="60">
        <v>2309.8024999999998</v>
      </c>
      <c r="T840" s="60">
        <v>2309.8024999999998</v>
      </c>
      <c r="U840" s="60">
        <v>2309.8024999999998</v>
      </c>
      <c r="V840" s="60">
        <v>2309.8024999999998</v>
      </c>
      <c r="W840" s="60">
        <v>2309.8024999999998</v>
      </c>
      <c r="X840" s="61">
        <f t="shared" si="320"/>
        <v>13858.814999999999</v>
      </c>
      <c r="Y840" s="60">
        <v>2309.8024999999998</v>
      </c>
      <c r="Z840" s="60">
        <v>2309.8024999999998</v>
      </c>
      <c r="AA840" s="60">
        <v>0.02</v>
      </c>
      <c r="AB840" s="60"/>
      <c r="AC840" s="60"/>
      <c r="AD840" s="60"/>
      <c r="AE840" s="61">
        <f t="shared" si="321"/>
        <v>4619.625</v>
      </c>
      <c r="AF840" s="62">
        <f t="shared" si="328"/>
        <v>138588.07</v>
      </c>
      <c r="AG840" s="62">
        <f t="shared" si="327"/>
        <v>138588.06999999998</v>
      </c>
      <c r="AH840" s="62">
        <f t="shared" si="325"/>
        <v>0</v>
      </c>
      <c r="AI840" s="63"/>
      <c r="AJ840" s="63"/>
      <c r="AK840" s="62"/>
      <c r="AL840" s="60"/>
      <c r="AM840" s="60"/>
      <c r="AN840" s="60"/>
      <c r="AO840" s="60"/>
      <c r="AP840" s="60"/>
      <c r="AQ840" s="60"/>
      <c r="AR840" s="61">
        <f t="shared" si="322"/>
        <v>0</v>
      </c>
      <c r="AS840" s="60"/>
      <c r="AT840" s="60"/>
      <c r="AU840" s="60"/>
      <c r="AV840" s="60"/>
      <c r="AW840" s="60"/>
      <c r="AX840" s="60"/>
      <c r="AY840" s="61">
        <f t="shared" si="323"/>
        <v>0</v>
      </c>
      <c r="AZ840" s="56">
        <f t="shared" si="318"/>
        <v>0</v>
      </c>
      <c r="BA840" s="62">
        <f t="shared" si="329"/>
        <v>138588.07</v>
      </c>
      <c r="BB840" s="62">
        <f t="shared" si="324"/>
        <v>138588.06999999998</v>
      </c>
      <c r="BC840" s="62">
        <f t="shared" si="330"/>
        <v>0</v>
      </c>
      <c r="BD840" s="63"/>
      <c r="BE840" s="57"/>
      <c r="BF840" s="35" t="str">
        <f>VLOOKUP(A:A,'2023-2027'!A:G,1,+FALSE)</f>
        <v>Тепловизор RGK TL-80</v>
      </c>
      <c r="BG840" s="7" t="b">
        <f t="shared" si="326"/>
        <v>1</v>
      </c>
      <c r="BH840" s="35">
        <f>VLOOKUP(A:A,'2023-2027'!A:AT,43,+FALSE)</f>
        <v>0</v>
      </c>
    </row>
    <row r="841" spans="1:60" ht="24" hidden="1" customHeight="1" outlineLevel="1" x14ac:dyDescent="0.2">
      <c r="A841" s="59" t="s">
        <v>1944</v>
      </c>
      <c r="B841" s="59" t="s">
        <v>44</v>
      </c>
      <c r="C841" s="59" t="s">
        <v>82</v>
      </c>
      <c r="D841" s="65" t="s">
        <v>1945</v>
      </c>
      <c r="E841" s="59" t="s">
        <v>1601</v>
      </c>
      <c r="F841" s="60">
        <v>1740</v>
      </c>
      <c r="G841" s="60">
        <v>1740</v>
      </c>
      <c r="H841" s="59"/>
      <c r="I841" s="59"/>
      <c r="J841" s="59"/>
      <c r="K841" s="60">
        <v>1740</v>
      </c>
      <c r="L841" s="60">
        <v>1740</v>
      </c>
      <c r="M841" s="59"/>
      <c r="N841" s="59"/>
      <c r="O841" s="59"/>
      <c r="P841" s="67"/>
      <c r="Q841" s="67"/>
      <c r="R841" s="61">
        <f t="shared" si="319"/>
        <v>0</v>
      </c>
      <c r="S841" s="60">
        <v>0</v>
      </c>
      <c r="T841" s="60">
        <v>0</v>
      </c>
      <c r="U841" s="60">
        <v>0</v>
      </c>
      <c r="V841" s="60">
        <v>0</v>
      </c>
      <c r="W841" s="60">
        <v>0</v>
      </c>
      <c r="X841" s="61">
        <f t="shared" si="320"/>
        <v>0</v>
      </c>
      <c r="Y841" s="60">
        <v>0</v>
      </c>
      <c r="Z841" s="60">
        <v>0</v>
      </c>
      <c r="AA841" s="60">
        <v>0</v>
      </c>
      <c r="AB841" s="60">
        <v>0</v>
      </c>
      <c r="AC841" s="60">
        <v>0</v>
      </c>
      <c r="AD841" s="60">
        <v>0</v>
      </c>
      <c r="AE841" s="61">
        <f t="shared" si="321"/>
        <v>0</v>
      </c>
      <c r="AF841" s="62">
        <f t="shared" si="328"/>
        <v>0</v>
      </c>
      <c r="AG841" s="62">
        <f t="shared" si="327"/>
        <v>0</v>
      </c>
      <c r="AH841" s="62">
        <f t="shared" si="325"/>
        <v>0</v>
      </c>
      <c r="AI841" s="63"/>
      <c r="AJ841" s="63"/>
      <c r="AK841" s="62"/>
      <c r="AL841" s="60">
        <v>0</v>
      </c>
      <c r="AM841" s="60">
        <v>0</v>
      </c>
      <c r="AN841" s="60">
        <v>0</v>
      </c>
      <c r="AO841" s="60">
        <v>0</v>
      </c>
      <c r="AP841" s="60">
        <v>0</v>
      </c>
      <c r="AQ841" s="60">
        <v>0</v>
      </c>
      <c r="AR841" s="61">
        <f t="shared" si="322"/>
        <v>0</v>
      </c>
      <c r="AS841" s="60">
        <v>0</v>
      </c>
      <c r="AT841" s="60">
        <v>0</v>
      </c>
      <c r="AU841" s="60">
        <v>0</v>
      </c>
      <c r="AV841" s="60">
        <v>0</v>
      </c>
      <c r="AW841" s="60">
        <v>0</v>
      </c>
      <c r="AX841" s="60">
        <v>0</v>
      </c>
      <c r="AY841" s="61">
        <f t="shared" si="323"/>
        <v>0</v>
      </c>
      <c r="AZ841" s="56">
        <f t="shared" si="318"/>
        <v>0</v>
      </c>
      <c r="BA841" s="62">
        <f t="shared" si="329"/>
        <v>0</v>
      </c>
      <c r="BB841" s="62">
        <f t="shared" si="324"/>
        <v>0</v>
      </c>
      <c r="BC841" s="62">
        <f t="shared" si="330"/>
        <v>0</v>
      </c>
      <c r="BD841" s="63"/>
      <c r="BE841" s="57"/>
      <c r="BF841" s="35" t="e">
        <f>VLOOKUP(A:A,'2023-2027'!A:G,1,+FALSE)</f>
        <v>#N/A</v>
      </c>
      <c r="BG841" s="7" t="e">
        <f t="shared" si="326"/>
        <v>#N/A</v>
      </c>
      <c r="BH841" s="35"/>
    </row>
    <row r="842" spans="1:60" ht="24" hidden="1" customHeight="1" outlineLevel="1" x14ac:dyDescent="0.2">
      <c r="A842" s="59" t="s">
        <v>1946</v>
      </c>
      <c r="B842" s="59" t="s">
        <v>44</v>
      </c>
      <c r="C842" s="59" t="s">
        <v>82</v>
      </c>
      <c r="D842" s="66" t="s">
        <v>1947</v>
      </c>
      <c r="E842" s="59" t="s">
        <v>1948</v>
      </c>
      <c r="F842" s="60">
        <v>62904.17</v>
      </c>
      <c r="G842" s="68">
        <v>748.86</v>
      </c>
      <c r="H842" s="60">
        <v>62155.31</v>
      </c>
      <c r="I842" s="59"/>
      <c r="J842" s="60">
        <v>8986.32</v>
      </c>
      <c r="K842" s="59"/>
      <c r="L842" s="59"/>
      <c r="M842" s="60">
        <v>62904.17</v>
      </c>
      <c r="N842" s="60">
        <v>9735.18</v>
      </c>
      <c r="O842" s="60">
        <v>53168.99</v>
      </c>
      <c r="P842" s="55"/>
      <c r="Q842" s="55"/>
      <c r="R842" s="61">
        <f t="shared" si="319"/>
        <v>748.86</v>
      </c>
      <c r="S842" s="60">
        <v>748.86</v>
      </c>
      <c r="T842" s="60">
        <v>748.86</v>
      </c>
      <c r="U842" s="60">
        <v>748.86</v>
      </c>
      <c r="V842" s="60">
        <v>748.86</v>
      </c>
      <c r="W842" s="60">
        <v>748.86</v>
      </c>
      <c r="X842" s="61">
        <f t="shared" si="320"/>
        <v>4493.16</v>
      </c>
      <c r="Y842" s="60">
        <v>748.86</v>
      </c>
      <c r="Z842" s="60">
        <v>748.86</v>
      </c>
      <c r="AA842" s="60">
        <v>748.86</v>
      </c>
      <c r="AB842" s="60">
        <v>748.86</v>
      </c>
      <c r="AC842" s="60">
        <v>748.86</v>
      </c>
      <c r="AD842" s="60">
        <v>748.86</v>
      </c>
      <c r="AE842" s="61">
        <f t="shared" si="321"/>
        <v>4493.16</v>
      </c>
      <c r="AF842" s="62">
        <f t="shared" si="328"/>
        <v>62904.17</v>
      </c>
      <c r="AG842" s="62">
        <f t="shared" si="327"/>
        <v>18721.500000000007</v>
      </c>
      <c r="AH842" s="62">
        <f t="shared" si="325"/>
        <v>44182.669999999991</v>
      </c>
      <c r="AI842" s="63"/>
      <c r="AJ842" s="63"/>
      <c r="AK842" s="62"/>
      <c r="AL842" s="60">
        <v>748.86</v>
      </c>
      <c r="AM842" s="60">
        <v>748.86</v>
      </c>
      <c r="AN842" s="60">
        <v>748.86</v>
      </c>
      <c r="AO842" s="60">
        <v>748.86</v>
      </c>
      <c r="AP842" s="60">
        <v>748.86</v>
      </c>
      <c r="AQ842" s="60">
        <v>748.86</v>
      </c>
      <c r="AR842" s="61">
        <f t="shared" si="322"/>
        <v>4493.16</v>
      </c>
      <c r="AS842" s="60">
        <v>748.86</v>
      </c>
      <c r="AT842" s="60">
        <v>748.86</v>
      </c>
      <c r="AU842" s="60">
        <v>748.86</v>
      </c>
      <c r="AV842" s="60">
        <v>748.86</v>
      </c>
      <c r="AW842" s="60">
        <v>748.86</v>
      </c>
      <c r="AX842" s="60">
        <v>748.86</v>
      </c>
      <c r="AY842" s="61">
        <f t="shared" si="323"/>
        <v>4493.16</v>
      </c>
      <c r="AZ842" s="56">
        <f t="shared" ref="AZ842:AZ905" si="349">AR842+AY842</f>
        <v>8986.32</v>
      </c>
      <c r="BA842" s="62">
        <f t="shared" si="329"/>
        <v>62904.17</v>
      </c>
      <c r="BB842" s="62">
        <f t="shared" si="324"/>
        <v>27707.820000000014</v>
      </c>
      <c r="BC842" s="62">
        <f t="shared" si="330"/>
        <v>35196.349999999984</v>
      </c>
      <c r="BD842" s="63"/>
      <c r="BE842" s="57"/>
      <c r="BF842" s="35" t="str">
        <f>VLOOKUP(A:A,'2023-2027'!A:G,1,+FALSE)</f>
        <v>Токоизмерительные клещи с поверкой U1213A</v>
      </c>
      <c r="BG842" s="7" t="b">
        <f t="shared" si="326"/>
        <v>1</v>
      </c>
      <c r="BH842" s="35">
        <f>VLOOKUP(A:A,'2023-2027'!A:AT,43,+FALSE)</f>
        <v>748.86</v>
      </c>
    </row>
    <row r="843" spans="1:60" ht="24" hidden="1" customHeight="1" outlineLevel="1" x14ac:dyDescent="0.2">
      <c r="A843" s="59" t="s">
        <v>1949</v>
      </c>
      <c r="B843" s="59" t="s">
        <v>44</v>
      </c>
      <c r="C843" s="59" t="s">
        <v>82</v>
      </c>
      <c r="D843" s="66" t="s">
        <v>1950</v>
      </c>
      <c r="E843" s="59" t="s">
        <v>614</v>
      </c>
      <c r="F843" s="60">
        <v>164403.51999999999</v>
      </c>
      <c r="G843" s="60">
        <v>89443.83</v>
      </c>
      <c r="H843" s="60">
        <v>74959.69</v>
      </c>
      <c r="I843" s="59"/>
      <c r="J843" s="60">
        <v>8070.24</v>
      </c>
      <c r="K843" s="59"/>
      <c r="L843" s="59"/>
      <c r="M843" s="60">
        <v>164403.51999999999</v>
      </c>
      <c r="N843" s="60">
        <v>97514.07</v>
      </c>
      <c r="O843" s="60">
        <v>66889.45</v>
      </c>
      <c r="P843" s="55">
        <v>70924.570000000007</v>
      </c>
      <c r="Q843" s="55">
        <f t="shared" ref="Q843:Q869" si="350">P843*2.2%</f>
        <v>1560.3405400000004</v>
      </c>
      <c r="R843" s="61">
        <f t="shared" si="319"/>
        <v>672.52</v>
      </c>
      <c r="S843" s="60">
        <v>672.52</v>
      </c>
      <c r="T843" s="60">
        <v>672.52</v>
      </c>
      <c r="U843" s="60">
        <v>672.52</v>
      </c>
      <c r="V843" s="60">
        <v>672.52</v>
      </c>
      <c r="W843" s="60">
        <v>672.52</v>
      </c>
      <c r="X843" s="61">
        <f t="shared" si="320"/>
        <v>4035.12</v>
      </c>
      <c r="Y843" s="60">
        <v>672.52</v>
      </c>
      <c r="Z843" s="60">
        <v>672.52</v>
      </c>
      <c r="AA843" s="60">
        <v>672.52</v>
      </c>
      <c r="AB843" s="60">
        <v>672.52</v>
      </c>
      <c r="AC843" s="60">
        <v>672.52</v>
      </c>
      <c r="AD843" s="60">
        <v>672.52</v>
      </c>
      <c r="AE843" s="61">
        <f t="shared" si="321"/>
        <v>4035.12</v>
      </c>
      <c r="AF843" s="62">
        <f t="shared" si="328"/>
        <v>164403.51999999999</v>
      </c>
      <c r="AG843" s="62">
        <f t="shared" si="327"/>
        <v>105584.31000000006</v>
      </c>
      <c r="AH843" s="62">
        <f t="shared" si="325"/>
        <v>58819.209999999934</v>
      </c>
      <c r="AI843" s="63">
        <v>62854.329999999965</v>
      </c>
      <c r="AJ843" s="63">
        <f t="shared" ref="AJ843:AJ873" si="351">AI843*2.2%</f>
        <v>1382.7952599999994</v>
      </c>
      <c r="AK843" s="72">
        <f t="shared" ref="AK843:AK869" si="352">AI843*2.2%</f>
        <v>1382.7952599999994</v>
      </c>
      <c r="AL843" s="60">
        <v>672.52</v>
      </c>
      <c r="AM843" s="60">
        <v>672.52</v>
      </c>
      <c r="AN843" s="60">
        <v>672.52</v>
      </c>
      <c r="AO843" s="60">
        <v>672.52</v>
      </c>
      <c r="AP843" s="60">
        <v>672.52</v>
      </c>
      <c r="AQ843" s="60">
        <v>672.52</v>
      </c>
      <c r="AR843" s="61">
        <f t="shared" si="322"/>
        <v>4035.12</v>
      </c>
      <c r="AS843" s="60">
        <v>672.52</v>
      </c>
      <c r="AT843" s="60">
        <v>672.52</v>
      </c>
      <c r="AU843" s="60">
        <v>672.52</v>
      </c>
      <c r="AV843" s="60">
        <v>672.52</v>
      </c>
      <c r="AW843" s="60">
        <v>672.52</v>
      </c>
      <c r="AX843" s="60">
        <v>672.52</v>
      </c>
      <c r="AY843" s="61">
        <f t="shared" si="323"/>
        <v>4035.12</v>
      </c>
      <c r="AZ843" s="56">
        <f t="shared" si="349"/>
        <v>8070.24</v>
      </c>
      <c r="BA843" s="62">
        <f t="shared" si="329"/>
        <v>164403.51999999999</v>
      </c>
      <c r="BB843" s="62">
        <f t="shared" si="324"/>
        <v>113654.5500000001</v>
      </c>
      <c r="BC843" s="62">
        <f t="shared" si="330"/>
        <v>50748.969999999885</v>
      </c>
      <c r="BD843" s="63">
        <v>54784.089999999916</v>
      </c>
      <c r="BE843" s="57">
        <f t="shared" ref="BE843:BE869" si="353">BD843*2.2%</f>
        <v>1205.2499799999982</v>
      </c>
      <c r="BF843" s="35" t="str">
        <f>VLOOKUP(A:A,'2023-2027'!A:G,1,+FALSE)</f>
        <v>ТП 100/6/0,4кВ лыжная база "Старт"</v>
      </c>
      <c r="BG843" s="7" t="b">
        <f t="shared" si="326"/>
        <v>1</v>
      </c>
      <c r="BH843" s="35">
        <f>VLOOKUP(A:A,'2023-2027'!A:AT,43,+FALSE)</f>
        <v>682.2399999999999</v>
      </c>
    </row>
    <row r="844" spans="1:60" ht="12" hidden="1" customHeight="1" outlineLevel="1" x14ac:dyDescent="0.2">
      <c r="A844" s="59" t="s">
        <v>1951</v>
      </c>
      <c r="B844" s="59" t="s">
        <v>44</v>
      </c>
      <c r="C844" s="59" t="s">
        <v>82</v>
      </c>
      <c r="D844" s="66" t="s">
        <v>1952</v>
      </c>
      <c r="E844" s="59" t="s">
        <v>766</v>
      </c>
      <c r="F844" s="60">
        <v>113278.86</v>
      </c>
      <c r="G844" s="60">
        <v>62842.78</v>
      </c>
      <c r="H844" s="60">
        <v>50436.08</v>
      </c>
      <c r="I844" s="59"/>
      <c r="J844" s="60">
        <v>4143.6000000000004</v>
      </c>
      <c r="K844" s="59"/>
      <c r="L844" s="59"/>
      <c r="M844" s="60">
        <v>113278.86</v>
      </c>
      <c r="N844" s="60">
        <v>66986.38</v>
      </c>
      <c r="O844" s="60">
        <v>46292.480000000003</v>
      </c>
      <c r="P844" s="55">
        <v>48364.28</v>
      </c>
      <c r="Q844" s="55">
        <f t="shared" si="350"/>
        <v>1064.0141600000002</v>
      </c>
      <c r="R844" s="61">
        <f t="shared" si="319"/>
        <v>345.3</v>
      </c>
      <c r="S844" s="60">
        <v>345.3</v>
      </c>
      <c r="T844" s="60">
        <v>345.3</v>
      </c>
      <c r="U844" s="60">
        <v>345.3</v>
      </c>
      <c r="V844" s="60">
        <v>345.3</v>
      </c>
      <c r="W844" s="60">
        <v>345.3</v>
      </c>
      <c r="X844" s="61">
        <f t="shared" si="320"/>
        <v>2071.8000000000002</v>
      </c>
      <c r="Y844" s="60">
        <v>345.3</v>
      </c>
      <c r="Z844" s="60">
        <v>345.3</v>
      </c>
      <c r="AA844" s="60">
        <v>345.3</v>
      </c>
      <c r="AB844" s="60">
        <v>345.3</v>
      </c>
      <c r="AC844" s="60">
        <v>345.3</v>
      </c>
      <c r="AD844" s="60">
        <v>345.3</v>
      </c>
      <c r="AE844" s="61">
        <f t="shared" si="321"/>
        <v>2071.8000000000002</v>
      </c>
      <c r="AF844" s="62">
        <f t="shared" si="328"/>
        <v>113278.86</v>
      </c>
      <c r="AG844" s="62">
        <f t="shared" si="327"/>
        <v>71129.98000000004</v>
      </c>
      <c r="AH844" s="62">
        <f t="shared" si="325"/>
        <v>42148.879999999961</v>
      </c>
      <c r="AI844" s="63">
        <v>44220.679999999986</v>
      </c>
      <c r="AJ844" s="63">
        <f t="shared" si="351"/>
        <v>972.85495999999978</v>
      </c>
      <c r="AK844" s="72">
        <f t="shared" si="352"/>
        <v>972.85495999999978</v>
      </c>
      <c r="AL844" s="60">
        <v>345.3</v>
      </c>
      <c r="AM844" s="60">
        <v>345.3</v>
      </c>
      <c r="AN844" s="60">
        <v>345.3</v>
      </c>
      <c r="AO844" s="60">
        <v>345.3</v>
      </c>
      <c r="AP844" s="60">
        <v>345.3</v>
      </c>
      <c r="AQ844" s="60">
        <v>345.3</v>
      </c>
      <c r="AR844" s="61">
        <f t="shared" si="322"/>
        <v>2071.8000000000002</v>
      </c>
      <c r="AS844" s="60">
        <v>345.3</v>
      </c>
      <c r="AT844" s="60">
        <v>345.3</v>
      </c>
      <c r="AU844" s="60">
        <v>345.3</v>
      </c>
      <c r="AV844" s="60">
        <v>345.3</v>
      </c>
      <c r="AW844" s="60">
        <v>345.3</v>
      </c>
      <c r="AX844" s="60">
        <v>345.3</v>
      </c>
      <c r="AY844" s="61">
        <f t="shared" si="323"/>
        <v>2071.8000000000002</v>
      </c>
      <c r="AZ844" s="56">
        <f t="shared" si="349"/>
        <v>4143.6000000000004</v>
      </c>
      <c r="BA844" s="62">
        <f t="shared" si="329"/>
        <v>113278.86</v>
      </c>
      <c r="BB844" s="62">
        <f t="shared" si="324"/>
        <v>75273.580000000075</v>
      </c>
      <c r="BC844" s="62">
        <f t="shared" si="330"/>
        <v>38005.279999999926</v>
      </c>
      <c r="BD844" s="63">
        <v>40077.079999999951</v>
      </c>
      <c r="BE844" s="57">
        <f t="shared" si="353"/>
        <v>881.69575999999904</v>
      </c>
      <c r="BF844" s="35" t="str">
        <f>VLOOKUP(A:A,'2023-2027'!A:G,1,+FALSE)</f>
        <v>ТП №1 " Сахалин "</v>
      </c>
      <c r="BG844" s="7" t="b">
        <f t="shared" si="326"/>
        <v>1</v>
      </c>
      <c r="BH844" s="35">
        <f>VLOOKUP(A:A,'2023-2027'!A:AT,43,+FALSE)</f>
        <v>0</v>
      </c>
    </row>
    <row r="845" spans="1:60" ht="12" hidden="1" customHeight="1" outlineLevel="1" x14ac:dyDescent="0.2">
      <c r="A845" s="59" t="s">
        <v>1953</v>
      </c>
      <c r="B845" s="59" t="s">
        <v>44</v>
      </c>
      <c r="C845" s="59" t="s">
        <v>82</v>
      </c>
      <c r="D845" s="66" t="s">
        <v>1954</v>
      </c>
      <c r="E845" s="59" t="s">
        <v>200</v>
      </c>
      <c r="F845" s="60">
        <v>283921.7</v>
      </c>
      <c r="G845" s="60">
        <v>111884.58</v>
      </c>
      <c r="H845" s="60">
        <v>172037.12</v>
      </c>
      <c r="I845" s="59"/>
      <c r="J845" s="60">
        <v>4812.24</v>
      </c>
      <c r="K845" s="59"/>
      <c r="L845" s="59"/>
      <c r="M845" s="60">
        <v>283921.7</v>
      </c>
      <c r="N845" s="60">
        <v>116696.82</v>
      </c>
      <c r="O845" s="60">
        <v>167224.88</v>
      </c>
      <c r="P845" s="55">
        <v>169631</v>
      </c>
      <c r="Q845" s="55">
        <f t="shared" si="350"/>
        <v>3731.8820000000005</v>
      </c>
      <c r="R845" s="61">
        <f t="shared" si="319"/>
        <v>401.02</v>
      </c>
      <c r="S845" s="60">
        <v>401.02</v>
      </c>
      <c r="T845" s="60">
        <v>401.02</v>
      </c>
      <c r="U845" s="60">
        <v>401.02</v>
      </c>
      <c r="V845" s="60">
        <v>401.02</v>
      </c>
      <c r="W845" s="60">
        <v>401.02</v>
      </c>
      <c r="X845" s="61">
        <f t="shared" si="320"/>
        <v>2406.12</v>
      </c>
      <c r="Y845" s="60">
        <v>401.02</v>
      </c>
      <c r="Z845" s="60">
        <v>401.02</v>
      </c>
      <c r="AA845" s="60">
        <v>401.02</v>
      </c>
      <c r="AB845" s="60">
        <v>401.02</v>
      </c>
      <c r="AC845" s="60">
        <v>401.02</v>
      </c>
      <c r="AD845" s="60">
        <v>401.02</v>
      </c>
      <c r="AE845" s="61">
        <f t="shared" si="321"/>
        <v>2406.12</v>
      </c>
      <c r="AF845" s="62">
        <f t="shared" si="328"/>
        <v>283921.7</v>
      </c>
      <c r="AG845" s="62">
        <f t="shared" si="327"/>
        <v>121509.06000000006</v>
      </c>
      <c r="AH845" s="62">
        <f t="shared" si="325"/>
        <v>162412.63999999996</v>
      </c>
      <c r="AI845" s="63">
        <v>164818.76000000007</v>
      </c>
      <c r="AJ845" s="63">
        <f t="shared" si="351"/>
        <v>3626.012720000002</v>
      </c>
      <c r="AK845" s="72">
        <f t="shared" si="352"/>
        <v>3626.012720000002</v>
      </c>
      <c r="AL845" s="60">
        <v>401.02</v>
      </c>
      <c r="AM845" s="60">
        <v>401.02</v>
      </c>
      <c r="AN845" s="60">
        <v>401.02</v>
      </c>
      <c r="AO845" s="60">
        <v>401.02</v>
      </c>
      <c r="AP845" s="60">
        <v>401.02</v>
      </c>
      <c r="AQ845" s="60">
        <v>401.02</v>
      </c>
      <c r="AR845" s="61">
        <f t="shared" si="322"/>
        <v>2406.12</v>
      </c>
      <c r="AS845" s="60">
        <v>401.02</v>
      </c>
      <c r="AT845" s="60">
        <v>401.02</v>
      </c>
      <c r="AU845" s="60">
        <v>401.02</v>
      </c>
      <c r="AV845" s="60">
        <v>401.02</v>
      </c>
      <c r="AW845" s="60">
        <v>401.02</v>
      </c>
      <c r="AX845" s="60">
        <v>401.02</v>
      </c>
      <c r="AY845" s="61">
        <f t="shared" si="323"/>
        <v>2406.12</v>
      </c>
      <c r="AZ845" s="56">
        <f t="shared" si="349"/>
        <v>4812.24</v>
      </c>
      <c r="BA845" s="62">
        <f t="shared" si="329"/>
        <v>283921.7</v>
      </c>
      <c r="BB845" s="62">
        <f t="shared" si="324"/>
        <v>126321.3000000001</v>
      </c>
      <c r="BC845" s="62">
        <f t="shared" si="330"/>
        <v>157600.39999999991</v>
      </c>
      <c r="BD845" s="63">
        <v>160006.52000000016</v>
      </c>
      <c r="BE845" s="57">
        <f t="shared" si="353"/>
        <v>3520.1434400000039</v>
      </c>
      <c r="BF845" s="35" t="str">
        <f>VLOOKUP(A:A,'2023-2027'!A:G,1,+FALSE)</f>
        <v>ТП №10  Маслозавод    =10лет</v>
      </c>
      <c r="BG845" s="7" t="b">
        <f t="shared" si="326"/>
        <v>1</v>
      </c>
      <c r="BH845" s="35">
        <f>VLOOKUP(A:A,'2023-2027'!A:AT,43,+FALSE)</f>
        <v>401.02</v>
      </c>
    </row>
    <row r="846" spans="1:60" ht="12" hidden="1" customHeight="1" outlineLevel="1" x14ac:dyDescent="0.2">
      <c r="A846" s="59" t="s">
        <v>1955</v>
      </c>
      <c r="B846" s="59" t="s">
        <v>44</v>
      </c>
      <c r="C846" s="59" t="s">
        <v>82</v>
      </c>
      <c r="D846" s="66" t="s">
        <v>1956</v>
      </c>
      <c r="E846" s="59" t="s">
        <v>1957</v>
      </c>
      <c r="F846" s="60">
        <v>3012131.78</v>
      </c>
      <c r="G846" s="60">
        <v>1337558.8500000001</v>
      </c>
      <c r="H846" s="60">
        <v>1674572.93</v>
      </c>
      <c r="I846" s="59"/>
      <c r="J846" s="60">
        <v>150006.6</v>
      </c>
      <c r="K846" s="59"/>
      <c r="L846" s="59"/>
      <c r="M846" s="60">
        <v>3012131.78</v>
      </c>
      <c r="N846" s="60">
        <v>1487565.45</v>
      </c>
      <c r="O846" s="60">
        <v>1524566.33</v>
      </c>
      <c r="P846" s="55">
        <v>1599569.63</v>
      </c>
      <c r="Q846" s="55">
        <f t="shared" si="350"/>
        <v>35190.531860000003</v>
      </c>
      <c r="R846" s="61">
        <f t="shared" si="319"/>
        <v>12500.550000000001</v>
      </c>
      <c r="S846" s="60">
        <v>12500.55</v>
      </c>
      <c r="T846" s="60">
        <v>12500.55</v>
      </c>
      <c r="U846" s="60">
        <v>12500.55</v>
      </c>
      <c r="V846" s="60">
        <v>12500.55</v>
      </c>
      <c r="W846" s="60">
        <v>12500.55</v>
      </c>
      <c r="X846" s="61">
        <f t="shared" si="320"/>
        <v>75003.3</v>
      </c>
      <c r="Y846" s="60">
        <v>12500.55</v>
      </c>
      <c r="Z846" s="60">
        <v>12500.55</v>
      </c>
      <c r="AA846" s="60">
        <v>12500.55</v>
      </c>
      <c r="AB846" s="60">
        <v>12500.55</v>
      </c>
      <c r="AC846" s="60">
        <v>12500.55</v>
      </c>
      <c r="AD846" s="60">
        <v>12500.55</v>
      </c>
      <c r="AE846" s="61">
        <f t="shared" si="321"/>
        <v>75003.3</v>
      </c>
      <c r="AF846" s="62">
        <f t="shared" si="328"/>
        <v>3012131.78</v>
      </c>
      <c r="AG846" s="62">
        <f t="shared" si="327"/>
        <v>1637572.0500000005</v>
      </c>
      <c r="AH846" s="62">
        <f t="shared" si="325"/>
        <v>1374559.7299999993</v>
      </c>
      <c r="AI846" s="63">
        <v>1449563.0299999998</v>
      </c>
      <c r="AJ846" s="63">
        <f t="shared" si="351"/>
        <v>31890.38666</v>
      </c>
      <c r="AK846" s="72">
        <f t="shared" si="352"/>
        <v>31890.38666</v>
      </c>
      <c r="AL846" s="60">
        <v>12500.55</v>
      </c>
      <c r="AM846" s="60">
        <v>12500.55</v>
      </c>
      <c r="AN846" s="60">
        <v>12500.55</v>
      </c>
      <c r="AO846" s="60">
        <v>12500.55</v>
      </c>
      <c r="AP846" s="60">
        <v>12500.55</v>
      </c>
      <c r="AQ846" s="60">
        <v>12500.55</v>
      </c>
      <c r="AR846" s="61">
        <f t="shared" si="322"/>
        <v>75003.3</v>
      </c>
      <c r="AS846" s="60">
        <v>12500.55</v>
      </c>
      <c r="AT846" s="60">
        <v>12500.55</v>
      </c>
      <c r="AU846" s="60">
        <v>12500.55</v>
      </c>
      <c r="AV846" s="60">
        <v>12500.55</v>
      </c>
      <c r="AW846" s="60">
        <v>12500.55</v>
      </c>
      <c r="AX846" s="60">
        <v>12500.55</v>
      </c>
      <c r="AY846" s="61">
        <f t="shared" si="323"/>
        <v>75003.3</v>
      </c>
      <c r="AZ846" s="56">
        <f t="shared" si="349"/>
        <v>150006.6</v>
      </c>
      <c r="BA846" s="62">
        <f t="shared" si="329"/>
        <v>3012131.78</v>
      </c>
      <c r="BB846" s="62">
        <f t="shared" si="324"/>
        <v>1787578.6500000011</v>
      </c>
      <c r="BC846" s="62">
        <f t="shared" si="330"/>
        <v>1224553.1299999987</v>
      </c>
      <c r="BD846" s="63">
        <v>1299556.4299999995</v>
      </c>
      <c r="BE846" s="57">
        <f t="shared" si="353"/>
        <v>28590.24145999999</v>
      </c>
      <c r="BF846" s="35" t="str">
        <f>VLOOKUP(A:A,'2023-2027'!A:G,1,+FALSE)</f>
        <v>ТП №101 (2КТП База МТР)</v>
      </c>
      <c r="BG846" s="7" t="b">
        <f t="shared" si="326"/>
        <v>1</v>
      </c>
      <c r="BH846" s="35">
        <f>VLOOKUP(A:A,'2023-2027'!A:AT,43,+FALSE)</f>
        <v>12550.550000000001</v>
      </c>
    </row>
    <row r="847" spans="1:60" ht="12" hidden="1" customHeight="1" outlineLevel="1" x14ac:dyDescent="0.2">
      <c r="A847" s="59" t="s">
        <v>2458</v>
      </c>
      <c r="B847" s="59" t="s">
        <v>44</v>
      </c>
      <c r="C847" s="59" t="s">
        <v>82</v>
      </c>
      <c r="D847" s="66" t="s">
        <v>1958</v>
      </c>
      <c r="E847" s="59" t="s">
        <v>1652</v>
      </c>
      <c r="F847" s="60">
        <v>6071038.6600000001</v>
      </c>
      <c r="G847" s="60">
        <v>2393025.2999999998</v>
      </c>
      <c r="H847" s="60">
        <v>3678013.36</v>
      </c>
      <c r="I847" s="59"/>
      <c r="J847" s="60">
        <v>302277</v>
      </c>
      <c r="K847" s="59"/>
      <c r="L847" s="59"/>
      <c r="M847" s="60">
        <v>6071038.6600000001</v>
      </c>
      <c r="N847" s="60">
        <v>2695302.3</v>
      </c>
      <c r="O847" s="60">
        <v>3375736.36</v>
      </c>
      <c r="P847" s="55">
        <v>3526874.86</v>
      </c>
      <c r="Q847" s="55">
        <f t="shared" si="350"/>
        <v>77591.246920000005</v>
      </c>
      <c r="R847" s="61">
        <f t="shared" si="319"/>
        <v>25189.75</v>
      </c>
      <c r="S847" s="60">
        <v>25189.75</v>
      </c>
      <c r="T847" s="60">
        <v>25189.75</v>
      </c>
      <c r="U847" s="60">
        <v>25189.75</v>
      </c>
      <c r="V847" s="60">
        <v>25189.75</v>
      </c>
      <c r="W847" s="60">
        <v>25189.75</v>
      </c>
      <c r="X847" s="61">
        <f t="shared" si="320"/>
        <v>151138.5</v>
      </c>
      <c r="Y847" s="60">
        <v>25189.75</v>
      </c>
      <c r="Z847" s="60">
        <v>25189.75</v>
      </c>
      <c r="AA847" s="60">
        <v>25189.75</v>
      </c>
      <c r="AB847" s="60">
        <v>25189.75</v>
      </c>
      <c r="AC847" s="60">
        <v>25189.75</v>
      </c>
      <c r="AD847" s="60">
        <v>25189.75</v>
      </c>
      <c r="AE847" s="61">
        <f t="shared" si="321"/>
        <v>151138.5</v>
      </c>
      <c r="AF847" s="62">
        <f t="shared" si="328"/>
        <v>6071038.6600000001</v>
      </c>
      <c r="AG847" s="62">
        <f t="shared" si="327"/>
        <v>2997579.3</v>
      </c>
      <c r="AH847" s="62">
        <f t="shared" si="325"/>
        <v>3073459.3600000003</v>
      </c>
      <c r="AI847" s="63">
        <v>3224597.86</v>
      </c>
      <c r="AJ847" s="63">
        <f t="shared" si="351"/>
        <v>70941.152920000008</v>
      </c>
      <c r="AK847" s="72">
        <f t="shared" si="352"/>
        <v>70941.152920000008</v>
      </c>
      <c r="AL847" s="60">
        <v>25189.75</v>
      </c>
      <c r="AM847" s="60">
        <v>25189.75</v>
      </c>
      <c r="AN847" s="60">
        <v>25189.75</v>
      </c>
      <c r="AO847" s="60">
        <v>25189.75</v>
      </c>
      <c r="AP847" s="60">
        <v>25189.75</v>
      </c>
      <c r="AQ847" s="60">
        <v>25189.75</v>
      </c>
      <c r="AR847" s="61">
        <f t="shared" si="322"/>
        <v>151138.5</v>
      </c>
      <c r="AS847" s="60">
        <v>25189.75</v>
      </c>
      <c r="AT847" s="60">
        <v>25189.75</v>
      </c>
      <c r="AU847" s="60">
        <v>25189.75</v>
      </c>
      <c r="AV847" s="60">
        <v>25189.75</v>
      </c>
      <c r="AW847" s="60">
        <v>25189.75</v>
      </c>
      <c r="AX847" s="60">
        <v>25189.75</v>
      </c>
      <c r="AY847" s="61">
        <f t="shared" si="323"/>
        <v>151138.5</v>
      </c>
      <c r="AZ847" s="56">
        <f t="shared" si="349"/>
        <v>302277</v>
      </c>
      <c r="BA847" s="62">
        <f t="shared" si="329"/>
        <v>6071038.6600000001</v>
      </c>
      <c r="BB847" s="62">
        <f t="shared" si="324"/>
        <v>3299856.3</v>
      </c>
      <c r="BC847" s="62">
        <f t="shared" si="330"/>
        <v>2771182.3600000003</v>
      </c>
      <c r="BD847" s="63">
        <v>2922320.86</v>
      </c>
      <c r="BE847" s="57">
        <f t="shared" si="353"/>
        <v>64291.058920000003</v>
      </c>
      <c r="BF847" s="35" t="str">
        <f>VLOOKUP(A:A,'2023-2027'!A:G,1,+FALSE)</f>
        <v>2КТПБ 1000/6/0,4-УХЛ1  №104 по ул. Авиаторов в районе котельной</v>
      </c>
      <c r="BG847" s="7" t="b">
        <f t="shared" si="326"/>
        <v>1</v>
      </c>
      <c r="BH847" s="35">
        <f>VLOOKUP(A:A,'2023-2027'!A:AT,43,+FALSE)</f>
        <v>25295.989999999994</v>
      </c>
    </row>
    <row r="848" spans="1:60" ht="12" hidden="1" customHeight="1" outlineLevel="1" x14ac:dyDescent="0.2">
      <c r="A848" s="59" t="s">
        <v>2459</v>
      </c>
      <c r="B848" s="59" t="s">
        <v>44</v>
      </c>
      <c r="C848" s="59" t="s">
        <v>82</v>
      </c>
      <c r="D848" s="66" t="s">
        <v>1959</v>
      </c>
      <c r="E848" s="59" t="s">
        <v>1652</v>
      </c>
      <c r="F848" s="60">
        <v>6351899.04</v>
      </c>
      <c r="G848" s="60">
        <v>2504200</v>
      </c>
      <c r="H848" s="60">
        <v>3847699.04</v>
      </c>
      <c r="I848" s="59"/>
      <c r="J848" s="60">
        <v>316319.88</v>
      </c>
      <c r="K848" s="59"/>
      <c r="L848" s="59"/>
      <c r="M848" s="60">
        <v>6351899.04</v>
      </c>
      <c r="N848" s="60">
        <v>2820519.88</v>
      </c>
      <c r="O848" s="60">
        <v>3531379.16</v>
      </c>
      <c r="P848" s="55">
        <v>3689539.1</v>
      </c>
      <c r="Q848" s="55">
        <f t="shared" si="350"/>
        <v>81169.86020000001</v>
      </c>
      <c r="R848" s="61">
        <f t="shared" si="319"/>
        <v>26359.99</v>
      </c>
      <c r="S848" s="60">
        <v>26359.99</v>
      </c>
      <c r="T848" s="60">
        <v>26359.99</v>
      </c>
      <c r="U848" s="60">
        <v>26359.99</v>
      </c>
      <c r="V848" s="60">
        <v>26359.99</v>
      </c>
      <c r="W848" s="60">
        <v>26359.99</v>
      </c>
      <c r="X848" s="61">
        <f t="shared" si="320"/>
        <v>158159.94</v>
      </c>
      <c r="Y848" s="60">
        <v>26359.99</v>
      </c>
      <c r="Z848" s="60">
        <v>26359.99</v>
      </c>
      <c r="AA848" s="60">
        <v>26359.99</v>
      </c>
      <c r="AB848" s="60">
        <v>26359.99</v>
      </c>
      <c r="AC848" s="60">
        <v>26359.99</v>
      </c>
      <c r="AD848" s="60">
        <v>26359.99</v>
      </c>
      <c r="AE848" s="61">
        <f t="shared" si="321"/>
        <v>158159.94</v>
      </c>
      <c r="AF848" s="62">
        <f t="shared" si="328"/>
        <v>6351899.04</v>
      </c>
      <c r="AG848" s="62">
        <f t="shared" si="327"/>
        <v>3136839.7600000026</v>
      </c>
      <c r="AH848" s="62">
        <f t="shared" si="325"/>
        <v>3215059.2799999975</v>
      </c>
      <c r="AI848" s="63">
        <v>3373219.2199999988</v>
      </c>
      <c r="AJ848" s="63">
        <f t="shared" si="351"/>
        <v>74210.822839999979</v>
      </c>
      <c r="AK848" s="72">
        <f t="shared" si="352"/>
        <v>74210.822839999979</v>
      </c>
      <c r="AL848" s="60">
        <v>26359.99</v>
      </c>
      <c r="AM848" s="60">
        <v>26359.99</v>
      </c>
      <c r="AN848" s="60">
        <v>26359.99</v>
      </c>
      <c r="AO848" s="60">
        <v>26359.99</v>
      </c>
      <c r="AP848" s="60">
        <v>26359.99</v>
      </c>
      <c r="AQ848" s="60">
        <v>26359.99</v>
      </c>
      <c r="AR848" s="61">
        <f t="shared" si="322"/>
        <v>158159.94</v>
      </c>
      <c r="AS848" s="60">
        <v>26359.99</v>
      </c>
      <c r="AT848" s="60">
        <v>26359.99</v>
      </c>
      <c r="AU848" s="60">
        <v>26359.99</v>
      </c>
      <c r="AV848" s="60">
        <v>26359.99</v>
      </c>
      <c r="AW848" s="60">
        <v>26359.99</v>
      </c>
      <c r="AX848" s="60">
        <v>26359.99</v>
      </c>
      <c r="AY848" s="61">
        <f t="shared" si="323"/>
        <v>158159.94</v>
      </c>
      <c r="AZ848" s="56">
        <f t="shared" si="349"/>
        <v>316319.88</v>
      </c>
      <c r="BA848" s="62">
        <f t="shared" si="329"/>
        <v>6351899.04</v>
      </c>
      <c r="BB848" s="62">
        <f t="shared" si="324"/>
        <v>3453159.6400000053</v>
      </c>
      <c r="BC848" s="62">
        <f t="shared" si="330"/>
        <v>2898739.3999999948</v>
      </c>
      <c r="BD848" s="63">
        <v>3056899.3399999957</v>
      </c>
      <c r="BE848" s="57">
        <f t="shared" si="353"/>
        <v>67251.785479999904</v>
      </c>
      <c r="BF848" s="35" t="str">
        <f>VLOOKUP(A:A,'2023-2027'!A:G,1,+FALSE)</f>
        <v>2КТПБ 1000/6/0,4-УХЛ1  №105 по ул. Авиаторов в районе жилых домов</v>
      </c>
      <c r="BG848" s="7" t="b">
        <f t="shared" si="326"/>
        <v>1</v>
      </c>
      <c r="BH848" s="35">
        <f>VLOOKUP(A:A,'2023-2027'!A:AT,43,+FALSE)</f>
        <v>26466.25</v>
      </c>
    </row>
    <row r="849" spans="1:60" ht="12" hidden="1" customHeight="1" outlineLevel="1" x14ac:dyDescent="0.2">
      <c r="A849" s="59" t="s">
        <v>1960</v>
      </c>
      <c r="B849" s="59" t="s">
        <v>44</v>
      </c>
      <c r="C849" s="59" t="s">
        <v>82</v>
      </c>
      <c r="D849" s="66" t="s">
        <v>1961</v>
      </c>
      <c r="E849" s="59" t="s">
        <v>1962</v>
      </c>
      <c r="F849" s="60">
        <v>583613.52</v>
      </c>
      <c r="G849" s="60">
        <v>493761.69</v>
      </c>
      <c r="H849" s="60">
        <v>89851.83</v>
      </c>
      <c r="I849" s="59"/>
      <c r="J849" s="60">
        <v>9891.9599999999991</v>
      </c>
      <c r="K849" s="59"/>
      <c r="L849" s="59"/>
      <c r="M849" s="60">
        <v>583613.52</v>
      </c>
      <c r="N849" s="60">
        <v>503653.65</v>
      </c>
      <c r="O849" s="60">
        <v>79959.87</v>
      </c>
      <c r="P849" s="55">
        <v>84905.85</v>
      </c>
      <c r="Q849" s="55">
        <f t="shared" si="350"/>
        <v>1867.9287000000004</v>
      </c>
      <c r="R849" s="61">
        <f t="shared" si="319"/>
        <v>824.32999999999993</v>
      </c>
      <c r="S849" s="60">
        <v>824.33</v>
      </c>
      <c r="T849" s="60">
        <v>824.33</v>
      </c>
      <c r="U849" s="60">
        <v>824.33</v>
      </c>
      <c r="V849" s="60">
        <v>824.33</v>
      </c>
      <c r="W849" s="60">
        <v>824.33</v>
      </c>
      <c r="X849" s="61">
        <f t="shared" si="320"/>
        <v>4945.9799999999996</v>
      </c>
      <c r="Y849" s="60">
        <v>824.33</v>
      </c>
      <c r="Z849" s="60">
        <v>824.33</v>
      </c>
      <c r="AA849" s="60">
        <v>824.33</v>
      </c>
      <c r="AB849" s="60">
        <v>824.33</v>
      </c>
      <c r="AC849" s="60">
        <v>824.33</v>
      </c>
      <c r="AD849" s="60">
        <v>824.33</v>
      </c>
      <c r="AE849" s="61">
        <f t="shared" si="321"/>
        <v>4945.9800000000005</v>
      </c>
      <c r="AF849" s="62">
        <f t="shared" si="328"/>
        <v>583613.52</v>
      </c>
      <c r="AG849" s="62">
        <f t="shared" si="327"/>
        <v>513545.61000000022</v>
      </c>
      <c r="AH849" s="62">
        <f t="shared" si="325"/>
        <v>70067.9099999998</v>
      </c>
      <c r="AI849" s="63">
        <v>75013.889999999985</v>
      </c>
      <c r="AJ849" s="63">
        <f t="shared" si="351"/>
        <v>1650.3055799999997</v>
      </c>
      <c r="AK849" s="72">
        <f t="shared" si="352"/>
        <v>1650.3055799999997</v>
      </c>
      <c r="AL849" s="60">
        <v>824.33</v>
      </c>
      <c r="AM849" s="60">
        <v>824.33</v>
      </c>
      <c r="AN849" s="60">
        <v>824.33</v>
      </c>
      <c r="AO849" s="60">
        <v>824.33</v>
      </c>
      <c r="AP849" s="60">
        <v>824.33</v>
      </c>
      <c r="AQ849" s="60">
        <v>824.33</v>
      </c>
      <c r="AR849" s="61">
        <f t="shared" si="322"/>
        <v>4945.9800000000005</v>
      </c>
      <c r="AS849" s="60">
        <v>824.33</v>
      </c>
      <c r="AT849" s="60">
        <v>824.33</v>
      </c>
      <c r="AU849" s="60">
        <v>824.33</v>
      </c>
      <c r="AV849" s="60">
        <v>824.33</v>
      </c>
      <c r="AW849" s="60">
        <v>824.33</v>
      </c>
      <c r="AX849" s="60">
        <v>824.33</v>
      </c>
      <c r="AY849" s="61">
        <f t="shared" si="323"/>
        <v>4945.9800000000005</v>
      </c>
      <c r="AZ849" s="56">
        <f t="shared" si="349"/>
        <v>9891.9600000000009</v>
      </c>
      <c r="BA849" s="62">
        <f t="shared" si="329"/>
        <v>583613.52</v>
      </c>
      <c r="BB849" s="62">
        <f t="shared" si="324"/>
        <v>523437.57000000041</v>
      </c>
      <c r="BC849" s="62">
        <f t="shared" si="330"/>
        <v>60175.949999999604</v>
      </c>
      <c r="BD849" s="63">
        <v>65121.929999999949</v>
      </c>
      <c r="BE849" s="57">
        <f t="shared" si="353"/>
        <v>1432.6824599999991</v>
      </c>
      <c r="BF849" s="35" t="str">
        <f>VLOOKUP(A:A,'2023-2027'!A:G,1,+FALSE)</f>
        <v>ТП №11 ул Меньшикова 1  1972г.</v>
      </c>
      <c r="BG849" s="7" t="b">
        <f t="shared" si="326"/>
        <v>1</v>
      </c>
      <c r="BH849" s="35">
        <f>VLOOKUP(A:A,'2023-2027'!A:AT,43,+FALSE)</f>
        <v>2673.2900000000004</v>
      </c>
    </row>
    <row r="850" spans="1:60" ht="24" hidden="1" customHeight="1" outlineLevel="1" x14ac:dyDescent="0.2">
      <c r="A850" s="59" t="s">
        <v>1963</v>
      </c>
      <c r="B850" s="59" t="s">
        <v>44</v>
      </c>
      <c r="C850" s="59" t="s">
        <v>82</v>
      </c>
      <c r="D850" s="66" t="s">
        <v>1964</v>
      </c>
      <c r="E850" s="59" t="s">
        <v>1100</v>
      </c>
      <c r="F850" s="60">
        <v>687228.88</v>
      </c>
      <c r="G850" s="60">
        <v>375327.3</v>
      </c>
      <c r="H850" s="60">
        <v>311901.58</v>
      </c>
      <c r="I850" s="59"/>
      <c r="J850" s="60">
        <v>33611.519999999997</v>
      </c>
      <c r="K850" s="59"/>
      <c r="L850" s="59"/>
      <c r="M850" s="60">
        <v>687228.88</v>
      </c>
      <c r="N850" s="60">
        <v>408938.82</v>
      </c>
      <c r="O850" s="60">
        <v>278290.06</v>
      </c>
      <c r="P850" s="55">
        <v>295095.82</v>
      </c>
      <c r="Q850" s="55">
        <f t="shared" si="350"/>
        <v>6492.108040000001</v>
      </c>
      <c r="R850" s="61">
        <f t="shared" ref="R850:R913" si="354">J850/12</f>
        <v>2800.9599999999996</v>
      </c>
      <c r="S850" s="60">
        <v>2800.96</v>
      </c>
      <c r="T850" s="60">
        <v>2800.96</v>
      </c>
      <c r="U850" s="60">
        <v>2800.96</v>
      </c>
      <c r="V850" s="60">
        <v>2800.96</v>
      </c>
      <c r="W850" s="60">
        <v>2800.96</v>
      </c>
      <c r="X850" s="61">
        <f t="shared" ref="X850:X913" si="355">R850+S850+T850+U850+V850+W850</f>
        <v>16805.759999999998</v>
      </c>
      <c r="Y850" s="60">
        <v>2800.96</v>
      </c>
      <c r="Z850" s="60">
        <v>2800.96</v>
      </c>
      <c r="AA850" s="60">
        <v>2800.96</v>
      </c>
      <c r="AB850" s="60">
        <v>2800.96</v>
      </c>
      <c r="AC850" s="60">
        <v>2800.96</v>
      </c>
      <c r="AD850" s="60">
        <v>2800.96</v>
      </c>
      <c r="AE850" s="61">
        <f t="shared" ref="AE850:AE913" si="356">Y850+Z850+AA850+AB850+AC850+AD850</f>
        <v>16805.759999999998</v>
      </c>
      <c r="AF850" s="62">
        <f t="shared" si="328"/>
        <v>687228.88</v>
      </c>
      <c r="AG850" s="62">
        <f t="shared" si="327"/>
        <v>442550.34000000026</v>
      </c>
      <c r="AH850" s="62">
        <f t="shared" si="325"/>
        <v>244678.53999999975</v>
      </c>
      <c r="AI850" s="63">
        <v>261484.29999999984</v>
      </c>
      <c r="AJ850" s="63">
        <f t="shared" si="351"/>
        <v>5752.6545999999971</v>
      </c>
      <c r="AK850" s="72">
        <f t="shared" si="352"/>
        <v>5752.6545999999971</v>
      </c>
      <c r="AL850" s="60">
        <v>2800.96</v>
      </c>
      <c r="AM850" s="60">
        <v>2800.96</v>
      </c>
      <c r="AN850" s="60">
        <v>2800.96</v>
      </c>
      <c r="AO850" s="60">
        <v>2800.96</v>
      </c>
      <c r="AP850" s="60">
        <v>2800.96</v>
      </c>
      <c r="AQ850" s="60">
        <v>2800.96</v>
      </c>
      <c r="AR850" s="61">
        <f t="shared" ref="AR850:AR913" si="357">AL850+AM850+AN850+AO850+AP850+AQ850</f>
        <v>16805.759999999998</v>
      </c>
      <c r="AS850" s="60">
        <v>2800.96</v>
      </c>
      <c r="AT850" s="60">
        <v>2800.96</v>
      </c>
      <c r="AU850" s="60">
        <v>2800.96</v>
      </c>
      <c r="AV850" s="60">
        <v>2800.96</v>
      </c>
      <c r="AW850" s="60">
        <v>2800.96</v>
      </c>
      <c r="AX850" s="60">
        <v>2800.96</v>
      </c>
      <c r="AY850" s="61">
        <f t="shared" ref="AY850:AY913" si="358">AS850+AT850+AU850+AV850+AW850+AX850</f>
        <v>16805.759999999998</v>
      </c>
      <c r="AZ850" s="56">
        <f t="shared" si="349"/>
        <v>33611.519999999997</v>
      </c>
      <c r="BA850" s="62">
        <f t="shared" si="329"/>
        <v>687228.88</v>
      </c>
      <c r="BB850" s="62">
        <f t="shared" ref="BB850:BB913" si="359">AG850+AL850+AM850+AN850+AO850+AP850+AQ850+AS850+AT850+AU850+AV850+AW850+AX850</f>
        <v>476161.86000000051</v>
      </c>
      <c r="BC850" s="62">
        <f t="shared" si="330"/>
        <v>211067.01999999949</v>
      </c>
      <c r="BD850" s="63">
        <v>227872.77999999959</v>
      </c>
      <c r="BE850" s="57">
        <f t="shared" si="353"/>
        <v>5013.2011599999914</v>
      </c>
      <c r="BF850" s="35" t="str">
        <f>VLOOKUP(A:A,'2023-2027'!A:G,1,+FALSE)</f>
        <v>ТП №12/1 по ул. Меньшикова д.22А</v>
      </c>
      <c r="BG850" s="7" t="b">
        <f t="shared" si="326"/>
        <v>1</v>
      </c>
      <c r="BH850" s="35">
        <f>VLOOKUP(A:A,'2023-2027'!A:AT,43,+FALSE)</f>
        <v>2863.4500000000003</v>
      </c>
    </row>
    <row r="851" spans="1:60" ht="36" hidden="1" customHeight="1" outlineLevel="1" x14ac:dyDescent="0.2">
      <c r="A851" s="59" t="s">
        <v>1965</v>
      </c>
      <c r="B851" s="59" t="s">
        <v>44</v>
      </c>
      <c r="C851" s="59" t="s">
        <v>82</v>
      </c>
      <c r="D851" s="66" t="s">
        <v>1966</v>
      </c>
      <c r="E851" s="59" t="s">
        <v>1967</v>
      </c>
      <c r="F851" s="60">
        <v>696914.55</v>
      </c>
      <c r="G851" s="60">
        <v>586002.24</v>
      </c>
      <c r="H851" s="60">
        <v>110912.31</v>
      </c>
      <c r="I851" s="59"/>
      <c r="J851" s="60">
        <v>45961.04</v>
      </c>
      <c r="K851" s="59"/>
      <c r="L851" s="59"/>
      <c r="M851" s="60">
        <v>696914.55</v>
      </c>
      <c r="N851" s="60">
        <v>631963.28</v>
      </c>
      <c r="O851" s="60">
        <v>64951.27</v>
      </c>
      <c r="P851" s="55">
        <v>87931.79</v>
      </c>
      <c r="Q851" s="55">
        <f t="shared" si="350"/>
        <v>1934.49938</v>
      </c>
      <c r="R851" s="61">
        <f t="shared" si="354"/>
        <v>3830.0866666666666</v>
      </c>
      <c r="S851" s="60">
        <v>3830.086667</v>
      </c>
      <c r="T851" s="60">
        <v>3830.086667</v>
      </c>
      <c r="U851" s="60">
        <v>3830.086667</v>
      </c>
      <c r="V851" s="60">
        <v>3830.086667</v>
      </c>
      <c r="W851" s="60">
        <v>3830.086667</v>
      </c>
      <c r="X851" s="61">
        <f t="shared" si="355"/>
        <v>22980.520001666668</v>
      </c>
      <c r="Y851" s="60">
        <v>3830.086667</v>
      </c>
      <c r="Z851" s="60">
        <v>3830.086667</v>
      </c>
      <c r="AA851" s="60">
        <v>3830.086667</v>
      </c>
      <c r="AB851" s="60">
        <v>3830.086667</v>
      </c>
      <c r="AC851" s="60">
        <v>3830.086667</v>
      </c>
      <c r="AD851" s="60">
        <v>3830.086667</v>
      </c>
      <c r="AE851" s="61">
        <f t="shared" si="356"/>
        <v>22980.520002000001</v>
      </c>
      <c r="AF851" s="62">
        <f t="shared" si="328"/>
        <v>696914.55</v>
      </c>
      <c r="AG851" s="62">
        <f t="shared" si="327"/>
        <v>677924.32000366633</v>
      </c>
      <c r="AH851" s="62">
        <f t="shared" ref="AH851:AH914" si="360">AF851-AG851</f>
        <v>18990.229996333714</v>
      </c>
      <c r="AI851" s="63">
        <v>41970.730000000025</v>
      </c>
      <c r="AJ851" s="63">
        <f t="shared" si="351"/>
        <v>923.35606000000064</v>
      </c>
      <c r="AK851" s="72">
        <f t="shared" si="352"/>
        <v>923.35606000000064</v>
      </c>
      <c r="AL851" s="60">
        <v>3830.086667</v>
      </c>
      <c r="AM851" s="60">
        <v>3830.086667</v>
      </c>
      <c r="AN851" s="60">
        <v>3830.086667</v>
      </c>
      <c r="AO851" s="60">
        <v>3830.086667</v>
      </c>
      <c r="AP851" s="60">
        <v>3669.88</v>
      </c>
      <c r="AQ851" s="60"/>
      <c r="AR851" s="61">
        <f t="shared" si="357"/>
        <v>18990.226667999999</v>
      </c>
      <c r="AS851" s="60"/>
      <c r="AT851" s="60"/>
      <c r="AU851" s="60"/>
      <c r="AV851" s="60"/>
      <c r="AW851" s="60"/>
      <c r="AX851" s="60"/>
      <c r="AY851" s="61">
        <f t="shared" si="358"/>
        <v>0</v>
      </c>
      <c r="AZ851" s="56">
        <f t="shared" si="349"/>
        <v>18990.226667999999</v>
      </c>
      <c r="BA851" s="62">
        <f t="shared" si="329"/>
        <v>696914.55</v>
      </c>
      <c r="BB851" s="62">
        <f t="shared" si="359"/>
        <v>696914.5466716662</v>
      </c>
      <c r="BC851" s="62">
        <f t="shared" si="330"/>
        <v>3.3283338416367769E-3</v>
      </c>
      <c r="BD851" s="63">
        <v>11330.010000000046</v>
      </c>
      <c r="BE851" s="57">
        <f t="shared" si="353"/>
        <v>249.26022000000103</v>
      </c>
      <c r="BF851" s="35" t="str">
        <f>VLOOKUP(A:A,'2023-2027'!A:G,1,+FALSE)</f>
        <v>ТП №13-1 "Бондарная"(КТПН(КК)400 с тр-мТМ250/60,4)</v>
      </c>
      <c r="BG851" s="7" t="b">
        <f t="shared" si="326"/>
        <v>1</v>
      </c>
      <c r="BH851" s="35">
        <f>VLOOKUP(A:A,'2023-2027'!A:AT,43,+FALSE)</f>
        <v>4276.8300000000008</v>
      </c>
    </row>
    <row r="852" spans="1:60" ht="12" hidden="1" customHeight="1" outlineLevel="1" x14ac:dyDescent="0.2">
      <c r="A852" s="59" t="s">
        <v>1968</v>
      </c>
      <c r="B852" s="59" t="s">
        <v>44</v>
      </c>
      <c r="C852" s="59" t="s">
        <v>82</v>
      </c>
      <c r="D852" s="66" t="s">
        <v>1969</v>
      </c>
      <c r="E852" s="59" t="s">
        <v>1970</v>
      </c>
      <c r="F852" s="60">
        <v>403347</v>
      </c>
      <c r="G852" s="60">
        <v>327577.5</v>
      </c>
      <c r="H852" s="60">
        <v>75769.5</v>
      </c>
      <c r="I852" s="59"/>
      <c r="J852" s="60">
        <v>6836.4</v>
      </c>
      <c r="K852" s="59"/>
      <c r="L852" s="59"/>
      <c r="M852" s="60">
        <v>403347</v>
      </c>
      <c r="N852" s="60">
        <v>334413.90000000002</v>
      </c>
      <c r="O852" s="60">
        <v>68933.100000000006</v>
      </c>
      <c r="P852" s="55">
        <v>72351.3</v>
      </c>
      <c r="Q852" s="55">
        <f t="shared" si="350"/>
        <v>1591.7286000000001</v>
      </c>
      <c r="R852" s="61">
        <f t="shared" si="354"/>
        <v>569.69999999999993</v>
      </c>
      <c r="S852" s="60">
        <v>569.70000000000005</v>
      </c>
      <c r="T852" s="60">
        <v>569.70000000000005</v>
      </c>
      <c r="U852" s="60">
        <v>569.70000000000005</v>
      </c>
      <c r="V852" s="60">
        <v>569.70000000000005</v>
      </c>
      <c r="W852" s="60">
        <v>569.70000000000005</v>
      </c>
      <c r="X852" s="61">
        <f t="shared" si="355"/>
        <v>3418.2</v>
      </c>
      <c r="Y852" s="60">
        <v>569.70000000000005</v>
      </c>
      <c r="Z852" s="60">
        <v>569.70000000000005</v>
      </c>
      <c r="AA852" s="60">
        <v>569.70000000000005</v>
      </c>
      <c r="AB852" s="60">
        <v>569.70000000000005</v>
      </c>
      <c r="AC852" s="60">
        <v>569.70000000000005</v>
      </c>
      <c r="AD852" s="60">
        <v>569.70000000000005</v>
      </c>
      <c r="AE852" s="61">
        <f t="shared" si="356"/>
        <v>3418.2</v>
      </c>
      <c r="AF852" s="62">
        <f t="shared" si="328"/>
        <v>403347</v>
      </c>
      <c r="AG852" s="62">
        <f t="shared" si="327"/>
        <v>341250.30000000016</v>
      </c>
      <c r="AH852" s="62">
        <f t="shared" si="360"/>
        <v>62096.699999999837</v>
      </c>
      <c r="AI852" s="63">
        <v>65514.900000000016</v>
      </c>
      <c r="AJ852" s="63">
        <f t="shared" si="351"/>
        <v>1441.3278000000005</v>
      </c>
      <c r="AK852" s="72">
        <f t="shared" si="352"/>
        <v>1441.3278000000005</v>
      </c>
      <c r="AL852" s="60">
        <v>569.70000000000005</v>
      </c>
      <c r="AM852" s="60">
        <v>569.70000000000005</v>
      </c>
      <c r="AN852" s="60">
        <v>569.70000000000005</v>
      </c>
      <c r="AO852" s="60">
        <v>569.70000000000005</v>
      </c>
      <c r="AP852" s="60">
        <v>569.70000000000005</v>
      </c>
      <c r="AQ852" s="60">
        <v>569.70000000000005</v>
      </c>
      <c r="AR852" s="61">
        <f t="shared" si="357"/>
        <v>3418.2</v>
      </c>
      <c r="AS852" s="60">
        <v>569.70000000000005</v>
      </c>
      <c r="AT852" s="60">
        <v>569.70000000000005</v>
      </c>
      <c r="AU852" s="60">
        <v>569.70000000000005</v>
      </c>
      <c r="AV852" s="60">
        <v>569.70000000000005</v>
      </c>
      <c r="AW852" s="60">
        <v>569.70000000000005</v>
      </c>
      <c r="AX852" s="60">
        <v>569.70000000000005</v>
      </c>
      <c r="AY852" s="61">
        <f t="shared" si="358"/>
        <v>3418.2</v>
      </c>
      <c r="AZ852" s="56">
        <f t="shared" si="349"/>
        <v>6836.4</v>
      </c>
      <c r="BA852" s="62">
        <f t="shared" si="329"/>
        <v>403347</v>
      </c>
      <c r="BB852" s="62">
        <f t="shared" si="359"/>
        <v>348086.7000000003</v>
      </c>
      <c r="BC852" s="62">
        <f t="shared" si="330"/>
        <v>55260.299999999697</v>
      </c>
      <c r="BD852" s="63">
        <v>58678.500000000051</v>
      </c>
      <c r="BE852" s="57">
        <f t="shared" si="353"/>
        <v>1290.9270000000013</v>
      </c>
      <c r="BF852" s="35" t="str">
        <f>VLOOKUP(A:A,'2023-2027'!A:G,1,+FALSE)</f>
        <v>ТП №14 баня 1  1974г.</v>
      </c>
      <c r="BG852" s="7" t="b">
        <f t="shared" si="326"/>
        <v>1</v>
      </c>
      <c r="BH852" s="35">
        <f>VLOOKUP(A:A,'2023-2027'!A:AT,43,+FALSE)</f>
        <v>1909.43</v>
      </c>
    </row>
    <row r="853" spans="1:60" ht="12" hidden="1" customHeight="1" outlineLevel="1" x14ac:dyDescent="0.2">
      <c r="A853" s="59" t="s">
        <v>1971</v>
      </c>
      <c r="B853" s="59" t="s">
        <v>44</v>
      </c>
      <c r="C853" s="59" t="s">
        <v>82</v>
      </c>
      <c r="D853" s="66" t="s">
        <v>1972</v>
      </c>
      <c r="E853" s="59" t="s">
        <v>1973</v>
      </c>
      <c r="F853" s="60">
        <v>35347</v>
      </c>
      <c r="G853" s="60">
        <v>26313.11</v>
      </c>
      <c r="H853" s="60">
        <v>9033.89</v>
      </c>
      <c r="I853" s="59"/>
      <c r="J853" s="68">
        <v>598.91999999999996</v>
      </c>
      <c r="K853" s="59"/>
      <c r="L853" s="59"/>
      <c r="M853" s="60">
        <v>35347</v>
      </c>
      <c r="N853" s="60">
        <v>26912.03</v>
      </c>
      <c r="O853" s="60">
        <v>8434.9699999999993</v>
      </c>
      <c r="P853" s="55">
        <v>8734.43</v>
      </c>
      <c r="Q853" s="55">
        <f t="shared" si="350"/>
        <v>192.15746000000001</v>
      </c>
      <c r="R853" s="61">
        <f t="shared" si="354"/>
        <v>49.91</v>
      </c>
      <c r="S853" s="60">
        <v>49.91</v>
      </c>
      <c r="T853" s="60">
        <v>49.91</v>
      </c>
      <c r="U853" s="60">
        <v>49.91</v>
      </c>
      <c r="V853" s="60">
        <v>49.91</v>
      </c>
      <c r="W853" s="60">
        <v>49.91</v>
      </c>
      <c r="X853" s="61">
        <f t="shared" si="355"/>
        <v>299.45999999999998</v>
      </c>
      <c r="Y853" s="60">
        <v>49.91</v>
      </c>
      <c r="Z853" s="60">
        <v>49.91</v>
      </c>
      <c r="AA853" s="60">
        <v>49.91</v>
      </c>
      <c r="AB853" s="60">
        <v>49.91</v>
      </c>
      <c r="AC853" s="60">
        <v>49.91</v>
      </c>
      <c r="AD853" s="60">
        <v>49.91</v>
      </c>
      <c r="AE853" s="61">
        <f t="shared" si="356"/>
        <v>299.45999999999998</v>
      </c>
      <c r="AF853" s="62">
        <f t="shared" si="328"/>
        <v>35347</v>
      </c>
      <c r="AG853" s="62">
        <f t="shared" si="327"/>
        <v>27510.949999999997</v>
      </c>
      <c r="AH853" s="62">
        <f t="shared" si="360"/>
        <v>7836.0500000000029</v>
      </c>
      <c r="AI853" s="63">
        <v>8135.51</v>
      </c>
      <c r="AJ853" s="63">
        <f t="shared" si="351"/>
        <v>178.98122000000004</v>
      </c>
      <c r="AK853" s="72">
        <f t="shared" si="352"/>
        <v>178.98122000000004</v>
      </c>
      <c r="AL853" s="60">
        <v>49.91</v>
      </c>
      <c r="AM853" s="60">
        <v>49.91</v>
      </c>
      <c r="AN853" s="60">
        <v>49.91</v>
      </c>
      <c r="AO853" s="60">
        <v>49.91</v>
      </c>
      <c r="AP853" s="60">
        <v>49.91</v>
      </c>
      <c r="AQ853" s="60">
        <v>49.91</v>
      </c>
      <c r="AR853" s="61">
        <f t="shared" si="357"/>
        <v>299.45999999999998</v>
      </c>
      <c r="AS853" s="60">
        <v>49.91</v>
      </c>
      <c r="AT853" s="60">
        <v>49.91</v>
      </c>
      <c r="AU853" s="60">
        <v>49.91</v>
      </c>
      <c r="AV853" s="60">
        <v>49.91</v>
      </c>
      <c r="AW853" s="60">
        <v>49.91</v>
      </c>
      <c r="AX853" s="60">
        <v>49.91</v>
      </c>
      <c r="AY853" s="61">
        <f t="shared" si="358"/>
        <v>299.45999999999998</v>
      </c>
      <c r="AZ853" s="56">
        <f t="shared" si="349"/>
        <v>598.91999999999996</v>
      </c>
      <c r="BA853" s="62">
        <f t="shared" si="329"/>
        <v>35347</v>
      </c>
      <c r="BB853" s="62">
        <f t="shared" si="359"/>
        <v>28109.869999999995</v>
      </c>
      <c r="BC853" s="62">
        <f t="shared" si="330"/>
        <v>7237.1300000000047</v>
      </c>
      <c r="BD853" s="63">
        <v>7536.590000000002</v>
      </c>
      <c r="BE853" s="57">
        <f t="shared" si="353"/>
        <v>165.80498000000006</v>
      </c>
      <c r="BF853" s="35" t="str">
        <f>VLOOKUP(A:A,'2023-2027'!A:G,1,+FALSE)</f>
        <v>ТП №17 ул Печорская  1978г.</v>
      </c>
      <c r="BG853" s="7" t="b">
        <f t="shared" si="326"/>
        <v>1</v>
      </c>
      <c r="BH853" s="35">
        <f>VLOOKUP(A:A,'2023-2027'!A:AT,43,+FALSE)</f>
        <v>49.91</v>
      </c>
    </row>
    <row r="854" spans="1:60" ht="12" hidden="1" customHeight="1" outlineLevel="1" x14ac:dyDescent="0.2">
      <c r="A854" s="59" t="s">
        <v>1974</v>
      </c>
      <c r="B854" s="59" t="s">
        <v>44</v>
      </c>
      <c r="C854" s="59" t="s">
        <v>82</v>
      </c>
      <c r="D854" s="66" t="s">
        <v>1975</v>
      </c>
      <c r="E854" s="59" t="s">
        <v>1976</v>
      </c>
      <c r="F854" s="60">
        <v>35347</v>
      </c>
      <c r="G854" s="60">
        <v>24515.63</v>
      </c>
      <c r="H854" s="60">
        <v>10831.37</v>
      </c>
      <c r="I854" s="59"/>
      <c r="J854" s="68">
        <v>598.91999999999996</v>
      </c>
      <c r="K854" s="59"/>
      <c r="L854" s="59"/>
      <c r="M854" s="60">
        <v>35347</v>
      </c>
      <c r="N854" s="60">
        <v>25114.55</v>
      </c>
      <c r="O854" s="60">
        <v>10232.450000000001</v>
      </c>
      <c r="P854" s="55">
        <v>10531.91</v>
      </c>
      <c r="Q854" s="55">
        <f t="shared" si="350"/>
        <v>231.70202000000003</v>
      </c>
      <c r="R854" s="61">
        <f t="shared" si="354"/>
        <v>49.91</v>
      </c>
      <c r="S854" s="60">
        <v>49.91</v>
      </c>
      <c r="T854" s="60">
        <v>49.91</v>
      </c>
      <c r="U854" s="60">
        <v>49.91</v>
      </c>
      <c r="V854" s="60">
        <v>49.91</v>
      </c>
      <c r="W854" s="60">
        <v>49.91</v>
      </c>
      <c r="X854" s="61">
        <f t="shared" si="355"/>
        <v>299.45999999999998</v>
      </c>
      <c r="Y854" s="60">
        <v>49.91</v>
      </c>
      <c r="Z854" s="60">
        <v>49.91</v>
      </c>
      <c r="AA854" s="60">
        <v>49.91</v>
      </c>
      <c r="AB854" s="60">
        <v>49.91</v>
      </c>
      <c r="AC854" s="60">
        <v>49.91</v>
      </c>
      <c r="AD854" s="60">
        <v>49.91</v>
      </c>
      <c r="AE854" s="61">
        <f t="shared" si="356"/>
        <v>299.45999999999998</v>
      </c>
      <c r="AF854" s="62">
        <f t="shared" si="328"/>
        <v>35347</v>
      </c>
      <c r="AG854" s="62">
        <f t="shared" si="327"/>
        <v>25713.469999999998</v>
      </c>
      <c r="AH854" s="62">
        <f t="shared" si="360"/>
        <v>9633.5300000000025</v>
      </c>
      <c r="AI854" s="63">
        <v>9932.9899999999907</v>
      </c>
      <c r="AJ854" s="63">
        <f t="shared" si="351"/>
        <v>218.52577999999983</v>
      </c>
      <c r="AK854" s="72">
        <f t="shared" si="352"/>
        <v>218.52577999999983</v>
      </c>
      <c r="AL854" s="60">
        <v>49.91</v>
      </c>
      <c r="AM854" s="60">
        <v>49.91</v>
      </c>
      <c r="AN854" s="60">
        <v>49.91</v>
      </c>
      <c r="AO854" s="60">
        <v>49.91</v>
      </c>
      <c r="AP854" s="60">
        <v>49.91</v>
      </c>
      <c r="AQ854" s="60">
        <v>49.91</v>
      </c>
      <c r="AR854" s="61">
        <f t="shared" si="357"/>
        <v>299.45999999999998</v>
      </c>
      <c r="AS854" s="60">
        <v>49.91</v>
      </c>
      <c r="AT854" s="60">
        <v>49.91</v>
      </c>
      <c r="AU854" s="60">
        <v>49.91</v>
      </c>
      <c r="AV854" s="60">
        <v>49.91</v>
      </c>
      <c r="AW854" s="60">
        <v>49.91</v>
      </c>
      <c r="AX854" s="60">
        <v>49.91</v>
      </c>
      <c r="AY854" s="61">
        <f t="shared" si="358"/>
        <v>299.45999999999998</v>
      </c>
      <c r="AZ854" s="56">
        <f t="shared" si="349"/>
        <v>598.91999999999996</v>
      </c>
      <c r="BA854" s="62">
        <f t="shared" si="329"/>
        <v>35347</v>
      </c>
      <c r="BB854" s="62">
        <f t="shared" si="359"/>
        <v>26312.389999999996</v>
      </c>
      <c r="BC854" s="62">
        <f t="shared" si="330"/>
        <v>9034.6100000000042</v>
      </c>
      <c r="BD854" s="63">
        <v>9334.0699999999706</v>
      </c>
      <c r="BE854" s="57">
        <f t="shared" si="353"/>
        <v>205.34953999999937</v>
      </c>
      <c r="BF854" s="35" t="str">
        <f>VLOOKUP(A:A,'2023-2027'!A:G,1,+FALSE)</f>
        <v>ТП №18 ул 60 лет СССР 5  1981г.</v>
      </c>
      <c r="BG854" s="7" t="b">
        <f t="shared" ref="BG854:BG917" si="361">OR(EXACT(BF854,$A$4:$A$1071))</f>
        <v>1</v>
      </c>
      <c r="BH854" s="35">
        <f>VLOOKUP(A:A,'2023-2027'!A:AT,43,+FALSE)</f>
        <v>49.91</v>
      </c>
    </row>
    <row r="855" spans="1:60" ht="12" hidden="1" customHeight="1" outlineLevel="1" x14ac:dyDescent="0.2">
      <c r="A855" s="59" t="s">
        <v>1977</v>
      </c>
      <c r="B855" s="59" t="s">
        <v>44</v>
      </c>
      <c r="C855" s="59" t="s">
        <v>82</v>
      </c>
      <c r="D855" s="66" t="s">
        <v>1978</v>
      </c>
      <c r="E855" s="59" t="s">
        <v>1979</v>
      </c>
      <c r="F855" s="60">
        <v>374452</v>
      </c>
      <c r="G855" s="60">
        <v>342191.83</v>
      </c>
      <c r="H855" s="60">
        <v>32260.17</v>
      </c>
      <c r="I855" s="59"/>
      <c r="J855" s="60">
        <v>6346.28</v>
      </c>
      <c r="K855" s="59"/>
      <c r="L855" s="59"/>
      <c r="M855" s="60">
        <v>374452</v>
      </c>
      <c r="N855" s="60">
        <v>348538.11</v>
      </c>
      <c r="O855" s="60">
        <v>25913.89</v>
      </c>
      <c r="P855" s="55">
        <v>29087.03</v>
      </c>
      <c r="Q855" s="55">
        <f t="shared" si="350"/>
        <v>639.91466000000003</v>
      </c>
      <c r="R855" s="61">
        <f t="shared" si="354"/>
        <v>528.85666666666668</v>
      </c>
      <c r="S855" s="60">
        <v>528.85666670000001</v>
      </c>
      <c r="T855" s="60">
        <v>528.85666670000001</v>
      </c>
      <c r="U855" s="60">
        <v>528.85666670000001</v>
      </c>
      <c r="V855" s="60">
        <v>528.85666670000001</v>
      </c>
      <c r="W855" s="60">
        <v>528.85666670000001</v>
      </c>
      <c r="X855" s="61">
        <f t="shared" si="355"/>
        <v>3173.1400001666666</v>
      </c>
      <c r="Y855" s="60">
        <v>528.85666670000001</v>
      </c>
      <c r="Z855" s="60">
        <v>528.85666670000001</v>
      </c>
      <c r="AA855" s="60">
        <v>528.85666670000001</v>
      </c>
      <c r="AB855" s="60">
        <v>528.85666670000001</v>
      </c>
      <c r="AC855" s="60">
        <v>528.85666670000001</v>
      </c>
      <c r="AD855" s="60">
        <v>528.85666670000001</v>
      </c>
      <c r="AE855" s="61">
        <f t="shared" si="356"/>
        <v>3173.1400002</v>
      </c>
      <c r="AF855" s="62">
        <f t="shared" si="328"/>
        <v>374452</v>
      </c>
      <c r="AG855" s="62">
        <f t="shared" si="327"/>
        <v>354884.39000036649</v>
      </c>
      <c r="AH855" s="62">
        <f t="shared" si="360"/>
        <v>19567.609999633511</v>
      </c>
      <c r="AI855" s="63">
        <v>22740.730000000018</v>
      </c>
      <c r="AJ855" s="63">
        <f t="shared" si="351"/>
        <v>500.29606000000047</v>
      </c>
      <c r="AK855" s="72">
        <f t="shared" si="352"/>
        <v>500.29606000000047</v>
      </c>
      <c r="AL855" s="60">
        <v>528.85666670000001</v>
      </c>
      <c r="AM855" s="60">
        <v>528.85666670000001</v>
      </c>
      <c r="AN855" s="60">
        <v>528.85666670000001</v>
      </c>
      <c r="AO855" s="60">
        <v>528.85666670000001</v>
      </c>
      <c r="AP855" s="60">
        <v>528.85666670000001</v>
      </c>
      <c r="AQ855" s="60">
        <v>528.85666670000001</v>
      </c>
      <c r="AR855" s="61">
        <f t="shared" si="357"/>
        <v>3173.1400002</v>
      </c>
      <c r="AS855" s="60">
        <v>528.85666670000001</v>
      </c>
      <c r="AT855" s="60">
        <v>528.85666670000001</v>
      </c>
      <c r="AU855" s="60">
        <v>528.85666670000001</v>
      </c>
      <c r="AV855" s="60">
        <v>528.85666670000001</v>
      </c>
      <c r="AW855" s="60">
        <v>528.85666670000001</v>
      </c>
      <c r="AX855" s="60">
        <v>528.85666670000001</v>
      </c>
      <c r="AY855" s="61">
        <f t="shared" si="358"/>
        <v>3173.1400002</v>
      </c>
      <c r="AZ855" s="56">
        <f t="shared" si="349"/>
        <v>6346.2800004000001</v>
      </c>
      <c r="BA855" s="62">
        <f t="shared" si="329"/>
        <v>374452</v>
      </c>
      <c r="BB855" s="62">
        <f t="shared" si="359"/>
        <v>361230.67000076629</v>
      </c>
      <c r="BC855" s="62">
        <f t="shared" si="330"/>
        <v>13221.329999233712</v>
      </c>
      <c r="BD855" s="63">
        <v>16394.410000000054</v>
      </c>
      <c r="BE855" s="57">
        <f t="shared" si="353"/>
        <v>360.67702000000122</v>
      </c>
      <c r="BF855" s="35" t="str">
        <f>VLOOKUP(A:A,'2023-2027'!A:G,1,+FALSE)</f>
        <v>ТП №19 ул Южная 2  1968г.</v>
      </c>
      <c r="BG855" s="7" t="b">
        <f t="shared" si="361"/>
        <v>1</v>
      </c>
      <c r="BH855" s="35">
        <f>VLOOKUP(A:A,'2023-2027'!A:AT,43,+FALSE)</f>
        <v>2852.52</v>
      </c>
    </row>
    <row r="856" spans="1:60" ht="12" hidden="1" customHeight="1" outlineLevel="1" x14ac:dyDescent="0.2">
      <c r="A856" s="59" t="s">
        <v>1980</v>
      </c>
      <c r="B856" s="59" t="s">
        <v>44</v>
      </c>
      <c r="C856" s="59" t="s">
        <v>82</v>
      </c>
      <c r="D856" s="66" t="s">
        <v>1981</v>
      </c>
      <c r="E856" s="59" t="s">
        <v>1982</v>
      </c>
      <c r="F856" s="60">
        <v>28452</v>
      </c>
      <c r="G856" s="60">
        <v>25038.37</v>
      </c>
      <c r="H856" s="60">
        <v>3413.63</v>
      </c>
      <c r="I856" s="59"/>
      <c r="J856" s="68">
        <v>481.92</v>
      </c>
      <c r="K856" s="59"/>
      <c r="L856" s="59"/>
      <c r="M856" s="60">
        <v>28452</v>
      </c>
      <c r="N856" s="60">
        <v>25520.29</v>
      </c>
      <c r="O856" s="60">
        <v>2931.71</v>
      </c>
      <c r="P856" s="55">
        <v>3172.67</v>
      </c>
      <c r="Q856" s="55">
        <f t="shared" si="350"/>
        <v>69.798740000000009</v>
      </c>
      <c r="R856" s="61">
        <f t="shared" si="354"/>
        <v>40.160000000000004</v>
      </c>
      <c r="S856" s="60">
        <v>40.159999999999997</v>
      </c>
      <c r="T856" s="60">
        <v>40.159999999999997</v>
      </c>
      <c r="U856" s="60">
        <v>40.159999999999997</v>
      </c>
      <c r="V856" s="60">
        <v>40.159999999999997</v>
      </c>
      <c r="W856" s="60">
        <v>40.159999999999997</v>
      </c>
      <c r="X856" s="61">
        <f t="shared" si="355"/>
        <v>240.95999999999998</v>
      </c>
      <c r="Y856" s="60">
        <v>40.159999999999997</v>
      </c>
      <c r="Z856" s="60">
        <v>40.159999999999997</v>
      </c>
      <c r="AA856" s="60">
        <v>40.159999999999997</v>
      </c>
      <c r="AB856" s="60">
        <v>40.159999999999997</v>
      </c>
      <c r="AC856" s="60">
        <v>40.159999999999997</v>
      </c>
      <c r="AD856" s="60">
        <v>40.159999999999997</v>
      </c>
      <c r="AE856" s="61">
        <f t="shared" si="356"/>
        <v>240.95999999999998</v>
      </c>
      <c r="AF856" s="62">
        <f t="shared" si="328"/>
        <v>28452</v>
      </c>
      <c r="AG856" s="62">
        <f t="shared" si="327"/>
        <v>26002.21</v>
      </c>
      <c r="AH856" s="62">
        <f t="shared" si="360"/>
        <v>2449.7900000000009</v>
      </c>
      <c r="AI856" s="63">
        <v>2690.7499999999977</v>
      </c>
      <c r="AJ856" s="63">
        <f t="shared" si="351"/>
        <v>59.196499999999958</v>
      </c>
      <c r="AK856" s="72">
        <f t="shared" si="352"/>
        <v>59.196499999999958</v>
      </c>
      <c r="AL856" s="60">
        <v>40.159999999999997</v>
      </c>
      <c r="AM856" s="60">
        <v>40.159999999999997</v>
      </c>
      <c r="AN856" s="60">
        <v>40.159999999999997</v>
      </c>
      <c r="AO856" s="60">
        <v>40.159999999999997</v>
      </c>
      <c r="AP856" s="60">
        <v>40.159999999999997</v>
      </c>
      <c r="AQ856" s="60">
        <v>40.159999999999997</v>
      </c>
      <c r="AR856" s="61">
        <f t="shared" si="357"/>
        <v>240.95999999999998</v>
      </c>
      <c r="AS856" s="60">
        <v>40.159999999999997</v>
      </c>
      <c r="AT856" s="60">
        <v>40.159999999999997</v>
      </c>
      <c r="AU856" s="60">
        <v>40.159999999999997</v>
      </c>
      <c r="AV856" s="60">
        <v>40.159999999999997</v>
      </c>
      <c r="AW856" s="60">
        <v>40.159999999999997</v>
      </c>
      <c r="AX856" s="60">
        <v>40.159999999999997</v>
      </c>
      <c r="AY856" s="61">
        <f t="shared" si="358"/>
        <v>240.95999999999998</v>
      </c>
      <c r="AZ856" s="56">
        <f t="shared" si="349"/>
        <v>481.91999999999996</v>
      </c>
      <c r="BA856" s="62">
        <f t="shared" si="329"/>
        <v>28452</v>
      </c>
      <c r="BB856" s="62">
        <f t="shared" si="359"/>
        <v>26484.129999999997</v>
      </c>
      <c r="BC856" s="62">
        <f t="shared" si="330"/>
        <v>1967.8700000000026</v>
      </c>
      <c r="BD856" s="63">
        <v>2208.8299999999949</v>
      </c>
      <c r="BE856" s="57">
        <f t="shared" si="353"/>
        <v>48.594259999999892</v>
      </c>
      <c r="BF856" s="35" t="str">
        <f>VLOOKUP(A:A,'2023-2027'!A:G,1,+FALSE)</f>
        <v>ТП №20 пер Рыбацкий 1970г</v>
      </c>
      <c r="BG856" s="7" t="b">
        <f t="shared" si="361"/>
        <v>1</v>
      </c>
      <c r="BH856" s="35">
        <f>VLOOKUP(A:A,'2023-2027'!A:AT,43,+FALSE)</f>
        <v>40.159999999999997</v>
      </c>
    </row>
    <row r="857" spans="1:60" ht="12" hidden="1" customHeight="1" outlineLevel="1" x14ac:dyDescent="0.2">
      <c r="A857" s="59" t="s">
        <v>1983</v>
      </c>
      <c r="B857" s="59" t="s">
        <v>44</v>
      </c>
      <c r="C857" s="59" t="s">
        <v>82</v>
      </c>
      <c r="D857" s="66" t="s">
        <v>1984</v>
      </c>
      <c r="E857" s="59" t="s">
        <v>1985</v>
      </c>
      <c r="F857" s="60">
        <v>110115</v>
      </c>
      <c r="G857" s="60">
        <v>102494.27</v>
      </c>
      <c r="H857" s="60">
        <v>7620.73</v>
      </c>
      <c r="I857" s="59"/>
      <c r="J857" s="60">
        <v>1866.31</v>
      </c>
      <c r="K857" s="59"/>
      <c r="L857" s="59"/>
      <c r="M857" s="60">
        <v>110115</v>
      </c>
      <c r="N857" s="60">
        <v>104360.58</v>
      </c>
      <c r="O857" s="60">
        <v>5754.42</v>
      </c>
      <c r="P857" s="55">
        <v>6687.57</v>
      </c>
      <c r="Q857" s="55">
        <f t="shared" si="350"/>
        <v>147.12654000000001</v>
      </c>
      <c r="R857" s="61">
        <f t="shared" si="354"/>
        <v>155.52583333333334</v>
      </c>
      <c r="S857" s="60">
        <v>155.52583329999999</v>
      </c>
      <c r="T857" s="60">
        <v>155.52583329999999</v>
      </c>
      <c r="U857" s="60">
        <v>155.52583329999999</v>
      </c>
      <c r="V857" s="60">
        <v>155.52583329999999</v>
      </c>
      <c r="W857" s="60">
        <v>155.52583329999999</v>
      </c>
      <c r="X857" s="61">
        <f t="shared" si="355"/>
        <v>933.15499983333325</v>
      </c>
      <c r="Y857" s="60">
        <v>155.52583329999999</v>
      </c>
      <c r="Z857" s="60">
        <v>155.52583329999999</v>
      </c>
      <c r="AA857" s="60">
        <v>155.52583329999999</v>
      </c>
      <c r="AB857" s="60">
        <v>155.52583329999999</v>
      </c>
      <c r="AC857" s="60">
        <v>155.52583329999999</v>
      </c>
      <c r="AD857" s="60">
        <v>155.52583329999999</v>
      </c>
      <c r="AE857" s="61">
        <f t="shared" si="356"/>
        <v>933.15499979999981</v>
      </c>
      <c r="AF857" s="62">
        <f t="shared" si="328"/>
        <v>110115</v>
      </c>
      <c r="AG857" s="62">
        <f t="shared" si="327"/>
        <v>106226.88999963328</v>
      </c>
      <c r="AH857" s="62">
        <f t="shared" si="360"/>
        <v>3888.1100003667234</v>
      </c>
      <c r="AI857" s="63">
        <v>4821.2400000000016</v>
      </c>
      <c r="AJ857" s="63">
        <f t="shared" si="351"/>
        <v>106.06728000000004</v>
      </c>
      <c r="AK857" s="72">
        <f t="shared" si="352"/>
        <v>106.06728000000004</v>
      </c>
      <c r="AL857" s="60">
        <v>155.52583329999999</v>
      </c>
      <c r="AM857" s="60">
        <v>155.52583329999999</v>
      </c>
      <c r="AN857" s="60">
        <v>155.52583329999999</v>
      </c>
      <c r="AO857" s="60">
        <v>155.52583329999999</v>
      </c>
      <c r="AP857" s="60">
        <v>155.52583329999999</v>
      </c>
      <c r="AQ857" s="60">
        <v>155.52583329999999</v>
      </c>
      <c r="AR857" s="61">
        <f t="shared" si="357"/>
        <v>933.15499979999981</v>
      </c>
      <c r="AS857" s="60">
        <v>155.52583329999999</v>
      </c>
      <c r="AT857" s="60">
        <v>155.52583329999999</v>
      </c>
      <c r="AU857" s="60">
        <v>155.52583329999999</v>
      </c>
      <c r="AV857" s="60">
        <v>155.52583329999999</v>
      </c>
      <c r="AW857" s="60">
        <v>155.52583329999999</v>
      </c>
      <c r="AX857" s="60">
        <v>155.52583329999999</v>
      </c>
      <c r="AY857" s="61">
        <f t="shared" si="358"/>
        <v>933.15499979999981</v>
      </c>
      <c r="AZ857" s="56">
        <f t="shared" si="349"/>
        <v>1866.3099995999996</v>
      </c>
      <c r="BA857" s="62">
        <f t="shared" si="329"/>
        <v>110115</v>
      </c>
      <c r="BB857" s="62">
        <f t="shared" si="359"/>
        <v>108093.19999923321</v>
      </c>
      <c r="BC857" s="62">
        <f t="shared" si="330"/>
        <v>2021.800000766787</v>
      </c>
      <c r="BD857" s="63">
        <v>2954.8800000000047</v>
      </c>
      <c r="BE857" s="57">
        <f t="shared" si="353"/>
        <v>65.007360000000105</v>
      </c>
      <c r="BF857" s="35" t="str">
        <f>VLOOKUP(A:A,'2023-2027'!A:G,1,+FALSE)</f>
        <v>ТП №21 ул Хатанзейского  1967г.</v>
      </c>
      <c r="BG857" s="7" t="b">
        <f t="shared" si="361"/>
        <v>1</v>
      </c>
      <c r="BH857" s="35">
        <f>VLOOKUP(A:A,'2023-2027'!A:AT,43,+FALSE)</f>
        <v>581.7600000000001</v>
      </c>
    </row>
    <row r="858" spans="1:60" ht="24" hidden="1" customHeight="1" outlineLevel="1" x14ac:dyDescent="0.2">
      <c r="A858" s="59" t="s">
        <v>1986</v>
      </c>
      <c r="B858" s="59" t="s">
        <v>44</v>
      </c>
      <c r="C858" s="59" t="s">
        <v>82</v>
      </c>
      <c r="D858" s="66" t="s">
        <v>1987</v>
      </c>
      <c r="E858" s="59" t="s">
        <v>1988</v>
      </c>
      <c r="F858" s="60">
        <v>58630</v>
      </c>
      <c r="G858" s="60">
        <v>29728.79</v>
      </c>
      <c r="H858" s="60">
        <v>28901.21</v>
      </c>
      <c r="I858" s="59"/>
      <c r="J858" s="68">
        <v>993.72</v>
      </c>
      <c r="K858" s="59"/>
      <c r="L858" s="59"/>
      <c r="M858" s="60">
        <v>58630</v>
      </c>
      <c r="N858" s="60">
        <v>30722.51</v>
      </c>
      <c r="O858" s="60">
        <v>27907.49</v>
      </c>
      <c r="P858" s="55">
        <v>28404.35</v>
      </c>
      <c r="Q858" s="55">
        <f t="shared" si="350"/>
        <v>624.89570000000003</v>
      </c>
      <c r="R858" s="61">
        <f t="shared" si="354"/>
        <v>82.81</v>
      </c>
      <c r="S858" s="60">
        <v>82.81</v>
      </c>
      <c r="T858" s="60">
        <v>82.81</v>
      </c>
      <c r="U858" s="60">
        <v>82.81</v>
      </c>
      <c r="V858" s="60">
        <v>82.81</v>
      </c>
      <c r="W858" s="60">
        <v>82.81</v>
      </c>
      <c r="X858" s="61">
        <f t="shared" si="355"/>
        <v>496.86</v>
      </c>
      <c r="Y858" s="60">
        <v>82.81</v>
      </c>
      <c r="Z858" s="60">
        <v>82.81</v>
      </c>
      <c r="AA858" s="60">
        <v>82.81</v>
      </c>
      <c r="AB858" s="60">
        <v>82.81</v>
      </c>
      <c r="AC858" s="60">
        <v>82.81</v>
      </c>
      <c r="AD858" s="60">
        <v>82.81</v>
      </c>
      <c r="AE858" s="61">
        <f t="shared" si="356"/>
        <v>496.86</v>
      </c>
      <c r="AF858" s="62">
        <f t="shared" si="328"/>
        <v>58630</v>
      </c>
      <c r="AG858" s="62">
        <f t="shared" si="327"/>
        <v>31716.230000000014</v>
      </c>
      <c r="AH858" s="62">
        <f t="shared" si="360"/>
        <v>26913.769999999986</v>
      </c>
      <c r="AI858" s="63">
        <v>27410.630000000008</v>
      </c>
      <c r="AJ858" s="63">
        <f t="shared" si="351"/>
        <v>603.03386000000023</v>
      </c>
      <c r="AK858" s="72">
        <f t="shared" si="352"/>
        <v>603.03386000000023</v>
      </c>
      <c r="AL858" s="60">
        <v>82.81</v>
      </c>
      <c r="AM858" s="60">
        <v>82.81</v>
      </c>
      <c r="AN858" s="60">
        <v>82.81</v>
      </c>
      <c r="AO858" s="60">
        <v>82.81</v>
      </c>
      <c r="AP858" s="60">
        <v>82.81</v>
      </c>
      <c r="AQ858" s="60">
        <v>82.81</v>
      </c>
      <c r="AR858" s="61">
        <f t="shared" si="357"/>
        <v>496.86</v>
      </c>
      <c r="AS858" s="60">
        <v>82.81</v>
      </c>
      <c r="AT858" s="60">
        <v>82.81</v>
      </c>
      <c r="AU858" s="60">
        <v>82.81</v>
      </c>
      <c r="AV858" s="60">
        <v>82.81</v>
      </c>
      <c r="AW858" s="60">
        <v>82.81</v>
      </c>
      <c r="AX858" s="60">
        <v>82.81</v>
      </c>
      <c r="AY858" s="61">
        <f t="shared" si="358"/>
        <v>496.86</v>
      </c>
      <c r="AZ858" s="56">
        <f t="shared" si="349"/>
        <v>993.72</v>
      </c>
      <c r="BA858" s="62">
        <f t="shared" si="329"/>
        <v>58630</v>
      </c>
      <c r="BB858" s="62">
        <f t="shared" si="359"/>
        <v>32709.95000000003</v>
      </c>
      <c r="BC858" s="62">
        <f t="shared" si="330"/>
        <v>25920.04999999997</v>
      </c>
      <c r="BD858" s="63">
        <v>26416.910000000036</v>
      </c>
      <c r="BE858" s="57">
        <f t="shared" si="353"/>
        <v>581.17202000000088</v>
      </c>
      <c r="BF858" s="35" t="str">
        <f>VLOOKUP(A:A,'2023-2027'!A:G,1,+FALSE)</f>
        <v>ТП №22  пос Р/комб   ул Строительная  1992г.</v>
      </c>
      <c r="BG858" s="7" t="b">
        <f t="shared" si="361"/>
        <v>1</v>
      </c>
      <c r="BH858" s="35">
        <f>VLOOKUP(A:A,'2023-2027'!A:AT,43,+FALSE)</f>
        <v>82.809999999999988</v>
      </c>
    </row>
    <row r="859" spans="1:60" ht="24" hidden="1" customHeight="1" outlineLevel="1" x14ac:dyDescent="0.2">
      <c r="A859" s="59" t="s">
        <v>1989</v>
      </c>
      <c r="B859" s="59" t="s">
        <v>44</v>
      </c>
      <c r="C859" s="59" t="s">
        <v>82</v>
      </c>
      <c r="D859" s="66" t="s">
        <v>1990</v>
      </c>
      <c r="E859" s="59" t="s">
        <v>1275</v>
      </c>
      <c r="F859" s="60">
        <v>365828.44</v>
      </c>
      <c r="G859" s="60">
        <v>316522.89</v>
      </c>
      <c r="H859" s="60">
        <v>49305.55</v>
      </c>
      <c r="I859" s="59"/>
      <c r="J859" s="60">
        <v>23888.880000000001</v>
      </c>
      <c r="K859" s="59"/>
      <c r="L859" s="59"/>
      <c r="M859" s="60">
        <v>365828.44</v>
      </c>
      <c r="N859" s="60">
        <v>340411.77</v>
      </c>
      <c r="O859" s="60">
        <v>25416.67</v>
      </c>
      <c r="P859" s="55">
        <v>37361.11</v>
      </c>
      <c r="Q859" s="55">
        <f t="shared" si="350"/>
        <v>821.94442000000015</v>
      </c>
      <c r="R859" s="61">
        <f t="shared" si="354"/>
        <v>1990.74</v>
      </c>
      <c r="S859" s="60">
        <v>1990.74</v>
      </c>
      <c r="T859" s="60">
        <v>1990.74</v>
      </c>
      <c r="U859" s="60">
        <v>1990.74</v>
      </c>
      <c r="V859" s="60">
        <v>1990.74</v>
      </c>
      <c r="W859" s="60">
        <v>1990.74</v>
      </c>
      <c r="X859" s="61">
        <f t="shared" si="355"/>
        <v>11944.44</v>
      </c>
      <c r="Y859" s="60">
        <v>1990.74</v>
      </c>
      <c r="Z859" s="60">
        <v>1990.74</v>
      </c>
      <c r="AA859" s="60">
        <v>1990.74</v>
      </c>
      <c r="AB859" s="60">
        <v>1990.74</v>
      </c>
      <c r="AC859" s="60">
        <v>1990.74</v>
      </c>
      <c r="AD859" s="60">
        <v>1990.74</v>
      </c>
      <c r="AE859" s="61">
        <f t="shared" si="356"/>
        <v>11944.44</v>
      </c>
      <c r="AF859" s="62">
        <f t="shared" si="328"/>
        <v>365828.44</v>
      </c>
      <c r="AG859" s="62">
        <f t="shared" ref="AG859:AG922" si="362">N859+R859+S859+T859+U859+V859+W859+Y859+Z859+AA859+AB859+AC859+AD859</f>
        <v>364300.64999999991</v>
      </c>
      <c r="AH859" s="62">
        <f t="shared" si="360"/>
        <v>1527.7900000000955</v>
      </c>
      <c r="AI859" s="63">
        <v>13472.229999999969</v>
      </c>
      <c r="AJ859" s="63">
        <f t="shared" si="351"/>
        <v>296.38905999999935</v>
      </c>
      <c r="AK859" s="72">
        <f t="shared" si="352"/>
        <v>296.38905999999935</v>
      </c>
      <c r="AL859" s="60">
        <v>1527.79</v>
      </c>
      <c r="AM859" s="60"/>
      <c r="AN859" s="60"/>
      <c r="AO859" s="60"/>
      <c r="AP859" s="60"/>
      <c r="AQ859" s="60"/>
      <c r="AR859" s="61">
        <f t="shared" si="357"/>
        <v>1527.79</v>
      </c>
      <c r="AS859" s="60"/>
      <c r="AT859" s="60"/>
      <c r="AU859" s="60"/>
      <c r="AV859" s="60"/>
      <c r="AW859" s="60"/>
      <c r="AX859" s="60"/>
      <c r="AY859" s="61">
        <f t="shared" si="358"/>
        <v>0</v>
      </c>
      <c r="AZ859" s="56">
        <f t="shared" si="349"/>
        <v>1527.79</v>
      </c>
      <c r="BA859" s="62">
        <f t="shared" si="329"/>
        <v>365828.44</v>
      </c>
      <c r="BB859" s="62">
        <f t="shared" si="359"/>
        <v>365828.43999999989</v>
      </c>
      <c r="BC859" s="62">
        <f t="shared" si="330"/>
        <v>0</v>
      </c>
      <c r="BD859" s="63">
        <v>1527.7899999999354</v>
      </c>
      <c r="BE859" s="57">
        <f t="shared" si="353"/>
        <v>33.611379999998583</v>
      </c>
      <c r="BF859" s="35" t="str">
        <f>VLOOKUP(A:A,'2023-2027'!A:G,1,+FALSE)</f>
        <v>ТП №23 район "Тубдиспансер" 2008г</v>
      </c>
      <c r="BG859" s="7" t="b">
        <f t="shared" si="361"/>
        <v>1</v>
      </c>
      <c r="BH859" s="35">
        <f>VLOOKUP(A:A,'2023-2027'!A:AT,43,+FALSE)</f>
        <v>0</v>
      </c>
    </row>
    <row r="860" spans="1:60" ht="24" hidden="1" customHeight="1" outlineLevel="1" x14ac:dyDescent="0.2">
      <c r="A860" s="59" t="s">
        <v>1991</v>
      </c>
      <c r="B860" s="59" t="s">
        <v>44</v>
      </c>
      <c r="C860" s="59" t="s">
        <v>82</v>
      </c>
      <c r="D860" s="66" t="s">
        <v>1992</v>
      </c>
      <c r="E860" s="59" t="s">
        <v>1993</v>
      </c>
      <c r="F860" s="60">
        <v>57954.52</v>
      </c>
      <c r="G860" s="60">
        <v>46087.18</v>
      </c>
      <c r="H860" s="60">
        <v>11867.34</v>
      </c>
      <c r="I860" s="59"/>
      <c r="J860" s="68">
        <v>982.08</v>
      </c>
      <c r="K860" s="59"/>
      <c r="L860" s="59"/>
      <c r="M860" s="60">
        <v>57954.52</v>
      </c>
      <c r="N860" s="60">
        <v>47069.26</v>
      </c>
      <c r="O860" s="60">
        <v>10885.26</v>
      </c>
      <c r="P860" s="55">
        <v>11376.3</v>
      </c>
      <c r="Q860" s="55">
        <f t="shared" si="350"/>
        <v>250.27860000000001</v>
      </c>
      <c r="R860" s="61">
        <f t="shared" si="354"/>
        <v>81.84</v>
      </c>
      <c r="S860" s="60">
        <v>81.84</v>
      </c>
      <c r="T860" s="60">
        <v>81.84</v>
      </c>
      <c r="U860" s="60">
        <v>81.84</v>
      </c>
      <c r="V860" s="60">
        <v>81.84</v>
      </c>
      <c r="W860" s="60">
        <v>81.84</v>
      </c>
      <c r="X860" s="61">
        <f t="shared" si="355"/>
        <v>491.04000000000008</v>
      </c>
      <c r="Y860" s="60">
        <v>81.84</v>
      </c>
      <c r="Z860" s="60">
        <v>81.84</v>
      </c>
      <c r="AA860" s="60">
        <v>81.84</v>
      </c>
      <c r="AB860" s="60">
        <v>81.84</v>
      </c>
      <c r="AC860" s="60">
        <v>81.84</v>
      </c>
      <c r="AD860" s="60">
        <v>81.84</v>
      </c>
      <c r="AE860" s="61">
        <f t="shared" si="356"/>
        <v>491.04000000000008</v>
      </c>
      <c r="AF860" s="62">
        <f t="shared" si="328"/>
        <v>57954.52</v>
      </c>
      <c r="AG860" s="62">
        <f t="shared" si="362"/>
        <v>48051.33999999996</v>
      </c>
      <c r="AH860" s="62">
        <f t="shared" si="360"/>
        <v>9903.1800000000367</v>
      </c>
      <c r="AI860" s="63">
        <v>10394.219999999999</v>
      </c>
      <c r="AJ860" s="63">
        <f t="shared" si="351"/>
        <v>228.67284000000001</v>
      </c>
      <c r="AK860" s="72">
        <f t="shared" si="352"/>
        <v>228.67284000000001</v>
      </c>
      <c r="AL860" s="60">
        <v>81.84</v>
      </c>
      <c r="AM860" s="60">
        <v>81.84</v>
      </c>
      <c r="AN860" s="60">
        <v>81.84</v>
      </c>
      <c r="AO860" s="60">
        <v>81.84</v>
      </c>
      <c r="AP860" s="60">
        <v>81.84</v>
      </c>
      <c r="AQ860" s="60">
        <v>81.84</v>
      </c>
      <c r="AR860" s="61">
        <f t="shared" si="357"/>
        <v>491.04000000000008</v>
      </c>
      <c r="AS860" s="60">
        <v>81.84</v>
      </c>
      <c r="AT860" s="60">
        <v>81.84</v>
      </c>
      <c r="AU860" s="60">
        <v>81.84</v>
      </c>
      <c r="AV860" s="60">
        <v>81.84</v>
      </c>
      <c r="AW860" s="60">
        <v>81.84</v>
      </c>
      <c r="AX860" s="60">
        <v>81.84</v>
      </c>
      <c r="AY860" s="61">
        <f t="shared" si="358"/>
        <v>491.04000000000008</v>
      </c>
      <c r="AZ860" s="56">
        <f t="shared" si="349"/>
        <v>982.08000000000015</v>
      </c>
      <c r="BA860" s="62">
        <f t="shared" si="329"/>
        <v>57954.52</v>
      </c>
      <c r="BB860" s="62">
        <f t="shared" si="359"/>
        <v>49033.419999999918</v>
      </c>
      <c r="BC860" s="62">
        <f t="shared" si="330"/>
        <v>8921.1000000000786</v>
      </c>
      <c r="BD860" s="63">
        <v>9412.1399999999976</v>
      </c>
      <c r="BE860" s="57">
        <f t="shared" si="353"/>
        <v>207.06707999999998</v>
      </c>
      <c r="BF860" s="35" t="str">
        <f>VLOOKUP(A:A,'2023-2027'!A:G,1,+FALSE)</f>
        <v>ТП №24   ул 60 лет Октября 3а  1975г.</v>
      </c>
      <c r="BG860" s="7" t="b">
        <f t="shared" si="361"/>
        <v>1</v>
      </c>
      <c r="BH860" s="35">
        <f>VLOOKUP(A:A,'2023-2027'!A:AT,43,+FALSE)</f>
        <v>143.68000000000004</v>
      </c>
    </row>
    <row r="861" spans="1:60" ht="12" hidden="1" customHeight="1" outlineLevel="1" x14ac:dyDescent="0.2">
      <c r="A861" s="59" t="s">
        <v>1994</v>
      </c>
      <c r="B861" s="59" t="s">
        <v>44</v>
      </c>
      <c r="C861" s="59" t="s">
        <v>82</v>
      </c>
      <c r="D861" s="66" t="s">
        <v>1995</v>
      </c>
      <c r="E861" s="59" t="s">
        <v>1973</v>
      </c>
      <c r="F861" s="60">
        <v>28452</v>
      </c>
      <c r="G861" s="60">
        <v>21180.13</v>
      </c>
      <c r="H861" s="60">
        <v>7271.87</v>
      </c>
      <c r="I861" s="59"/>
      <c r="J861" s="68">
        <v>482.16</v>
      </c>
      <c r="K861" s="59"/>
      <c r="L861" s="59"/>
      <c r="M861" s="60">
        <v>28452</v>
      </c>
      <c r="N861" s="60">
        <v>21662.29</v>
      </c>
      <c r="O861" s="60">
        <v>6789.71</v>
      </c>
      <c r="P861" s="55">
        <v>7030.79</v>
      </c>
      <c r="Q861" s="55">
        <f t="shared" si="350"/>
        <v>154.67738000000003</v>
      </c>
      <c r="R861" s="61">
        <f t="shared" si="354"/>
        <v>40.18</v>
      </c>
      <c r="S861" s="60">
        <v>40.18</v>
      </c>
      <c r="T861" s="60">
        <v>40.18</v>
      </c>
      <c r="U861" s="60">
        <v>40.18</v>
      </c>
      <c r="V861" s="60">
        <v>40.18</v>
      </c>
      <c r="W861" s="60">
        <v>40.18</v>
      </c>
      <c r="X861" s="61">
        <f t="shared" si="355"/>
        <v>241.08</v>
      </c>
      <c r="Y861" s="60">
        <v>40.18</v>
      </c>
      <c r="Z861" s="60">
        <v>40.18</v>
      </c>
      <c r="AA861" s="60">
        <v>40.18</v>
      </c>
      <c r="AB861" s="60">
        <v>40.18</v>
      </c>
      <c r="AC861" s="60">
        <v>40.18</v>
      </c>
      <c r="AD861" s="60">
        <v>40.18</v>
      </c>
      <c r="AE861" s="61">
        <f t="shared" si="356"/>
        <v>241.08</v>
      </c>
      <c r="AF861" s="62">
        <f t="shared" si="328"/>
        <v>28452</v>
      </c>
      <c r="AG861" s="62">
        <f t="shared" si="362"/>
        <v>22144.450000000004</v>
      </c>
      <c r="AH861" s="62">
        <f t="shared" si="360"/>
        <v>6307.5499999999956</v>
      </c>
      <c r="AI861" s="63">
        <v>6548.6299999999992</v>
      </c>
      <c r="AJ861" s="63">
        <f t="shared" si="351"/>
        <v>144.06986000000001</v>
      </c>
      <c r="AK861" s="72">
        <f t="shared" si="352"/>
        <v>144.06986000000001</v>
      </c>
      <c r="AL861" s="60">
        <v>40.18</v>
      </c>
      <c r="AM861" s="60">
        <v>40.18</v>
      </c>
      <c r="AN861" s="60">
        <v>40.18</v>
      </c>
      <c r="AO861" s="60">
        <v>40.18</v>
      </c>
      <c r="AP861" s="60">
        <v>40.18</v>
      </c>
      <c r="AQ861" s="60">
        <v>40.18</v>
      </c>
      <c r="AR861" s="61">
        <f t="shared" si="357"/>
        <v>241.08</v>
      </c>
      <c r="AS861" s="60">
        <v>40.18</v>
      </c>
      <c r="AT861" s="60">
        <v>40.18</v>
      </c>
      <c r="AU861" s="60">
        <v>40.18</v>
      </c>
      <c r="AV861" s="60">
        <v>40.18</v>
      </c>
      <c r="AW861" s="60">
        <v>40.18</v>
      </c>
      <c r="AX861" s="60">
        <v>40.18</v>
      </c>
      <c r="AY861" s="61">
        <f t="shared" si="358"/>
        <v>241.08</v>
      </c>
      <c r="AZ861" s="56">
        <f t="shared" si="349"/>
        <v>482.16</v>
      </c>
      <c r="BA861" s="62">
        <f t="shared" si="329"/>
        <v>28452</v>
      </c>
      <c r="BB861" s="62">
        <f t="shared" si="359"/>
        <v>22626.610000000008</v>
      </c>
      <c r="BC861" s="62">
        <f t="shared" si="330"/>
        <v>5825.3899999999921</v>
      </c>
      <c r="BD861" s="63">
        <v>6066.4699999999957</v>
      </c>
      <c r="BE861" s="57">
        <f t="shared" si="353"/>
        <v>133.46233999999993</v>
      </c>
      <c r="BF861" s="35" t="str">
        <f>VLOOKUP(A:A,'2023-2027'!A:G,1,+FALSE)</f>
        <v>ТП №25 Н-Марское АТП  1978г.</v>
      </c>
      <c r="BG861" s="7" t="b">
        <f t="shared" si="361"/>
        <v>1</v>
      </c>
      <c r="BH861" s="35">
        <f>VLOOKUP(A:A,'2023-2027'!A:AT,43,+FALSE)</f>
        <v>40.18</v>
      </c>
    </row>
    <row r="862" spans="1:60" ht="12" hidden="1" customHeight="1" outlineLevel="1" x14ac:dyDescent="0.2">
      <c r="A862" s="59" t="s">
        <v>1996</v>
      </c>
      <c r="B862" s="59" t="s">
        <v>44</v>
      </c>
      <c r="C862" s="59" t="s">
        <v>82</v>
      </c>
      <c r="D862" s="66" t="s">
        <v>1997</v>
      </c>
      <c r="E862" s="59" t="s">
        <v>1998</v>
      </c>
      <c r="F862" s="60">
        <v>1621695.9</v>
      </c>
      <c r="G862" s="60">
        <v>564968.88</v>
      </c>
      <c r="H862" s="60">
        <v>1056727.02</v>
      </c>
      <c r="I862" s="59"/>
      <c r="J862" s="60">
        <v>80709.72</v>
      </c>
      <c r="K862" s="59"/>
      <c r="L862" s="59"/>
      <c r="M862" s="60">
        <v>1621695.9</v>
      </c>
      <c r="N862" s="60">
        <v>645678.6</v>
      </c>
      <c r="O862" s="60">
        <v>976017.3</v>
      </c>
      <c r="P862" s="55">
        <v>1016372.16</v>
      </c>
      <c r="Q862" s="55">
        <f t="shared" si="350"/>
        <v>22360.187520000003</v>
      </c>
      <c r="R862" s="61">
        <f t="shared" si="354"/>
        <v>6725.81</v>
      </c>
      <c r="S862" s="60">
        <v>6725.81</v>
      </c>
      <c r="T862" s="60">
        <v>6725.81</v>
      </c>
      <c r="U862" s="60">
        <v>6725.81</v>
      </c>
      <c r="V862" s="60">
        <v>6725.81</v>
      </c>
      <c r="W862" s="60">
        <v>6725.81</v>
      </c>
      <c r="X862" s="61">
        <f t="shared" si="355"/>
        <v>40354.86</v>
      </c>
      <c r="Y862" s="60">
        <v>6725.81</v>
      </c>
      <c r="Z862" s="60">
        <v>6725.81</v>
      </c>
      <c r="AA862" s="60">
        <v>6725.81</v>
      </c>
      <c r="AB862" s="60">
        <v>6725.81</v>
      </c>
      <c r="AC862" s="60">
        <v>6725.81</v>
      </c>
      <c r="AD862" s="60">
        <v>6725.81</v>
      </c>
      <c r="AE862" s="61">
        <f t="shared" si="356"/>
        <v>40354.86</v>
      </c>
      <c r="AF862" s="62">
        <f t="shared" si="328"/>
        <v>1621695.9</v>
      </c>
      <c r="AG862" s="62">
        <f t="shared" si="362"/>
        <v>726388.32000000065</v>
      </c>
      <c r="AH862" s="62">
        <f t="shared" si="360"/>
        <v>895307.57999999926</v>
      </c>
      <c r="AI862" s="63">
        <v>935662.43999999971</v>
      </c>
      <c r="AJ862" s="63">
        <f t="shared" si="351"/>
        <v>20584.573679999994</v>
      </c>
      <c r="AK862" s="72">
        <f t="shared" si="352"/>
        <v>20584.573679999994</v>
      </c>
      <c r="AL862" s="60">
        <v>6725.81</v>
      </c>
      <c r="AM862" s="60">
        <v>6725.81</v>
      </c>
      <c r="AN862" s="60">
        <v>6725.81</v>
      </c>
      <c r="AO862" s="60">
        <v>6725.81</v>
      </c>
      <c r="AP862" s="60">
        <v>6725.81</v>
      </c>
      <c r="AQ862" s="60">
        <v>6725.81</v>
      </c>
      <c r="AR862" s="61">
        <f t="shared" si="357"/>
        <v>40354.86</v>
      </c>
      <c r="AS862" s="60">
        <v>6725.81</v>
      </c>
      <c r="AT862" s="60">
        <v>6725.81</v>
      </c>
      <c r="AU862" s="60">
        <v>6725.81</v>
      </c>
      <c r="AV862" s="60">
        <v>6725.81</v>
      </c>
      <c r="AW862" s="60">
        <v>6725.81</v>
      </c>
      <c r="AX862" s="60">
        <v>6725.81</v>
      </c>
      <c r="AY862" s="61">
        <f t="shared" si="358"/>
        <v>40354.86</v>
      </c>
      <c r="AZ862" s="56">
        <f t="shared" si="349"/>
        <v>80709.72</v>
      </c>
      <c r="BA862" s="62">
        <f t="shared" si="329"/>
        <v>1621695.9</v>
      </c>
      <c r="BB862" s="62">
        <f t="shared" si="359"/>
        <v>807098.04000000132</v>
      </c>
      <c r="BC862" s="62">
        <f t="shared" si="330"/>
        <v>814597.85999999859</v>
      </c>
      <c r="BD862" s="63">
        <v>854952.71999999892</v>
      </c>
      <c r="BE862" s="57">
        <f t="shared" si="353"/>
        <v>18808.959839999978</v>
      </c>
      <c r="BF862" s="35" t="str">
        <f>VLOOKUP(A:A,'2023-2027'!A:G,1,+FALSE)</f>
        <v>ТП №26/1 "База РСУ"</v>
      </c>
      <c r="BG862" s="7" t="b">
        <f t="shared" si="361"/>
        <v>1</v>
      </c>
      <c r="BH862" s="35">
        <f>VLOOKUP(A:A,'2023-2027'!A:AT,43,+FALSE)</f>
        <v>6757.07</v>
      </c>
    </row>
    <row r="863" spans="1:60" ht="12" hidden="1" customHeight="1" outlineLevel="1" x14ac:dyDescent="0.2">
      <c r="A863" s="59" t="s">
        <v>1999</v>
      </c>
      <c r="B863" s="59" t="s">
        <v>44</v>
      </c>
      <c r="C863" s="59" t="s">
        <v>82</v>
      </c>
      <c r="D863" s="66" t="s">
        <v>2000</v>
      </c>
      <c r="E863" s="59" t="s">
        <v>2001</v>
      </c>
      <c r="F863" s="60">
        <v>81054</v>
      </c>
      <c r="G863" s="60">
        <v>54835.92</v>
      </c>
      <c r="H863" s="60">
        <v>26218.080000000002</v>
      </c>
      <c r="I863" s="59"/>
      <c r="J863" s="60">
        <v>1373.88</v>
      </c>
      <c r="K863" s="59"/>
      <c r="L863" s="59"/>
      <c r="M863" s="60">
        <v>81054</v>
      </c>
      <c r="N863" s="60">
        <v>56209.8</v>
      </c>
      <c r="O863" s="60">
        <v>24844.2</v>
      </c>
      <c r="P863" s="55">
        <v>25531.14</v>
      </c>
      <c r="Q863" s="55">
        <f t="shared" si="350"/>
        <v>561.68508000000008</v>
      </c>
      <c r="R863" s="61">
        <f t="shared" si="354"/>
        <v>114.49000000000001</v>
      </c>
      <c r="S863" s="60">
        <v>114.49</v>
      </c>
      <c r="T863" s="60">
        <v>114.49</v>
      </c>
      <c r="U863" s="60">
        <v>114.49</v>
      </c>
      <c r="V863" s="60">
        <v>114.49</v>
      </c>
      <c r="W863" s="60">
        <v>114.49</v>
      </c>
      <c r="X863" s="61">
        <f t="shared" si="355"/>
        <v>686.94</v>
      </c>
      <c r="Y863" s="60">
        <v>114.49</v>
      </c>
      <c r="Z863" s="60">
        <v>114.49</v>
      </c>
      <c r="AA863" s="60">
        <v>114.49</v>
      </c>
      <c r="AB863" s="60">
        <v>114.49</v>
      </c>
      <c r="AC863" s="60">
        <v>114.49</v>
      </c>
      <c r="AD863" s="60">
        <v>114.49</v>
      </c>
      <c r="AE863" s="61">
        <f t="shared" si="356"/>
        <v>686.93999999999994</v>
      </c>
      <c r="AF863" s="62">
        <f t="shared" ref="AF863:AF926" si="363">M863</f>
        <v>81054</v>
      </c>
      <c r="AG863" s="62">
        <f t="shared" si="362"/>
        <v>57583.679999999978</v>
      </c>
      <c r="AH863" s="62">
        <f t="shared" si="360"/>
        <v>23470.320000000022</v>
      </c>
      <c r="AI863" s="63">
        <v>24157.259999999991</v>
      </c>
      <c r="AJ863" s="63">
        <f t="shared" si="351"/>
        <v>531.45971999999983</v>
      </c>
      <c r="AK863" s="72">
        <f t="shared" si="352"/>
        <v>531.45971999999983</v>
      </c>
      <c r="AL863" s="60">
        <v>114.49</v>
      </c>
      <c r="AM863" s="60">
        <v>114.49</v>
      </c>
      <c r="AN863" s="60">
        <v>114.49</v>
      </c>
      <c r="AO863" s="60">
        <v>114.49</v>
      </c>
      <c r="AP863" s="60">
        <v>114.49</v>
      </c>
      <c r="AQ863" s="60">
        <v>114.49</v>
      </c>
      <c r="AR863" s="61">
        <f t="shared" si="357"/>
        <v>686.93999999999994</v>
      </c>
      <c r="AS863" s="60">
        <v>114.49</v>
      </c>
      <c r="AT863" s="60">
        <v>114.49</v>
      </c>
      <c r="AU863" s="60">
        <v>114.49</v>
      </c>
      <c r="AV863" s="60">
        <v>114.49</v>
      </c>
      <c r="AW863" s="60">
        <v>114.49</v>
      </c>
      <c r="AX863" s="60">
        <v>114.49</v>
      </c>
      <c r="AY863" s="61">
        <f t="shared" si="358"/>
        <v>686.93999999999994</v>
      </c>
      <c r="AZ863" s="56">
        <f t="shared" si="349"/>
        <v>1373.8799999999999</v>
      </c>
      <c r="BA863" s="62">
        <f t="shared" si="329"/>
        <v>81054</v>
      </c>
      <c r="BB863" s="62">
        <f t="shared" si="359"/>
        <v>58957.559999999954</v>
      </c>
      <c r="BC863" s="62">
        <f t="shared" si="330"/>
        <v>22096.440000000046</v>
      </c>
      <c r="BD863" s="63">
        <v>22783.379999999968</v>
      </c>
      <c r="BE863" s="57">
        <f t="shared" si="353"/>
        <v>501.23435999999936</v>
      </c>
      <c r="BF863" s="35" t="str">
        <f>VLOOKUP(A:A,'2023-2027'!A:G,1,+FALSE)</f>
        <v>ТП №27 школа 1  1982г.</v>
      </c>
      <c r="BG863" s="7" t="b">
        <f t="shared" si="361"/>
        <v>1</v>
      </c>
      <c r="BH863" s="35">
        <f>VLOOKUP(A:A,'2023-2027'!A:AT,43,+FALSE)</f>
        <v>114.49</v>
      </c>
    </row>
    <row r="864" spans="1:60" ht="12" hidden="1" customHeight="1" outlineLevel="1" x14ac:dyDescent="0.2">
      <c r="A864" s="59" t="s">
        <v>2002</v>
      </c>
      <c r="B864" s="59" t="s">
        <v>44</v>
      </c>
      <c r="C864" s="59" t="s">
        <v>82</v>
      </c>
      <c r="D864" s="66" t="s">
        <v>2003</v>
      </c>
      <c r="E864" s="59" t="s">
        <v>1638</v>
      </c>
      <c r="F864" s="60">
        <v>1622740.26</v>
      </c>
      <c r="G864" s="60">
        <v>565334.28</v>
      </c>
      <c r="H864" s="60">
        <v>1057405.98</v>
      </c>
      <c r="I864" s="59"/>
      <c r="J864" s="60">
        <v>80762.039999999994</v>
      </c>
      <c r="K864" s="59"/>
      <c r="L864" s="59"/>
      <c r="M864" s="60">
        <v>1622740.26</v>
      </c>
      <c r="N864" s="60">
        <v>646096.31999999995</v>
      </c>
      <c r="O864" s="60">
        <v>976643.94</v>
      </c>
      <c r="P864" s="55">
        <v>1017024.96</v>
      </c>
      <c r="Q864" s="55">
        <f t="shared" si="350"/>
        <v>22374.54912</v>
      </c>
      <c r="R864" s="61">
        <f t="shared" si="354"/>
        <v>6730.1699999999992</v>
      </c>
      <c r="S864" s="60">
        <v>6730.17</v>
      </c>
      <c r="T864" s="60">
        <v>6730.17</v>
      </c>
      <c r="U864" s="60">
        <v>6730.17</v>
      </c>
      <c r="V864" s="60">
        <v>6730.17</v>
      </c>
      <c r="W864" s="60">
        <v>6730.17</v>
      </c>
      <c r="X864" s="61">
        <f t="shared" si="355"/>
        <v>40381.019999999997</v>
      </c>
      <c r="Y864" s="60">
        <v>6730.17</v>
      </c>
      <c r="Z864" s="60">
        <v>6730.17</v>
      </c>
      <c r="AA864" s="60">
        <v>6730.17</v>
      </c>
      <c r="AB864" s="60">
        <v>6730.17</v>
      </c>
      <c r="AC864" s="60">
        <v>6730.17</v>
      </c>
      <c r="AD864" s="60">
        <v>6730.17</v>
      </c>
      <c r="AE864" s="61">
        <f t="shared" si="356"/>
        <v>40381.019999999997</v>
      </c>
      <c r="AF864" s="62">
        <f t="shared" si="363"/>
        <v>1622740.26</v>
      </c>
      <c r="AG864" s="62">
        <f t="shared" si="362"/>
        <v>726858.36000000045</v>
      </c>
      <c r="AH864" s="62">
        <f t="shared" si="360"/>
        <v>895881.89999999956</v>
      </c>
      <c r="AI864" s="63">
        <v>936262.92</v>
      </c>
      <c r="AJ864" s="63">
        <f t="shared" si="351"/>
        <v>20597.784240000005</v>
      </c>
      <c r="AK864" s="72">
        <f t="shared" si="352"/>
        <v>20597.784240000005</v>
      </c>
      <c r="AL864" s="60">
        <v>6730.17</v>
      </c>
      <c r="AM864" s="60">
        <v>6730.17</v>
      </c>
      <c r="AN864" s="60">
        <v>6730.17</v>
      </c>
      <c r="AO864" s="60">
        <v>6730.17</v>
      </c>
      <c r="AP864" s="60">
        <v>6730.17</v>
      </c>
      <c r="AQ864" s="60">
        <v>6730.17</v>
      </c>
      <c r="AR864" s="61">
        <f t="shared" si="357"/>
        <v>40381.019999999997</v>
      </c>
      <c r="AS864" s="60">
        <v>6730.17</v>
      </c>
      <c r="AT864" s="60">
        <v>6730.17</v>
      </c>
      <c r="AU864" s="60">
        <v>6730.17</v>
      </c>
      <c r="AV864" s="60">
        <v>6730.17</v>
      </c>
      <c r="AW864" s="60">
        <v>6730.17</v>
      </c>
      <c r="AX864" s="60">
        <v>6730.17</v>
      </c>
      <c r="AY864" s="61">
        <f t="shared" si="358"/>
        <v>40381.019999999997</v>
      </c>
      <c r="AZ864" s="56">
        <f t="shared" si="349"/>
        <v>80762.039999999994</v>
      </c>
      <c r="BA864" s="62">
        <f t="shared" si="329"/>
        <v>1622740.26</v>
      </c>
      <c r="BB864" s="62">
        <f t="shared" si="359"/>
        <v>807620.40000000095</v>
      </c>
      <c r="BC864" s="62">
        <f t="shared" si="330"/>
        <v>815119.85999999905</v>
      </c>
      <c r="BD864" s="63">
        <v>855500.88000000094</v>
      </c>
      <c r="BE864" s="57">
        <f t="shared" si="353"/>
        <v>18821.019360000024</v>
      </c>
      <c r="BF864" s="35" t="str">
        <f>VLOOKUP(A:A,'2023-2027'!A:G,1,+FALSE)</f>
        <v>ТП №28/1 "Юбилейная"</v>
      </c>
      <c r="BG864" s="7" t="b">
        <f t="shared" si="361"/>
        <v>1</v>
      </c>
      <c r="BH864" s="35">
        <f>VLOOKUP(A:A,'2023-2027'!A:AT,43,+FALSE)</f>
        <v>6761.4199999999992</v>
      </c>
    </row>
    <row r="865" spans="1:60" ht="12" hidden="1" customHeight="1" outlineLevel="1" x14ac:dyDescent="0.2">
      <c r="A865" s="59" t="s">
        <v>2004</v>
      </c>
      <c r="B865" s="59" t="s">
        <v>44</v>
      </c>
      <c r="C865" s="59" t="s">
        <v>82</v>
      </c>
      <c r="D865" s="66" t="s">
        <v>2005</v>
      </c>
      <c r="E865" s="59" t="s">
        <v>2006</v>
      </c>
      <c r="F865" s="60">
        <v>139755</v>
      </c>
      <c r="G865" s="60">
        <v>80337.73</v>
      </c>
      <c r="H865" s="60">
        <v>59417.27</v>
      </c>
      <c r="I865" s="59"/>
      <c r="J865" s="60">
        <v>2368.8000000000002</v>
      </c>
      <c r="K865" s="59"/>
      <c r="L865" s="59"/>
      <c r="M865" s="60">
        <v>139755</v>
      </c>
      <c r="N865" s="60">
        <v>82706.53</v>
      </c>
      <c r="O865" s="60">
        <v>57048.47</v>
      </c>
      <c r="P865" s="55">
        <v>58232.87</v>
      </c>
      <c r="Q865" s="55">
        <f t="shared" si="350"/>
        <v>1281.1231400000001</v>
      </c>
      <c r="R865" s="61">
        <f t="shared" si="354"/>
        <v>197.4</v>
      </c>
      <c r="S865" s="60">
        <v>197.4</v>
      </c>
      <c r="T865" s="60">
        <v>197.4</v>
      </c>
      <c r="U865" s="60">
        <v>197.4</v>
      </c>
      <c r="V865" s="60">
        <v>197.4</v>
      </c>
      <c r="W865" s="60">
        <v>197.4</v>
      </c>
      <c r="X865" s="61">
        <f t="shared" si="355"/>
        <v>1184.4000000000001</v>
      </c>
      <c r="Y865" s="60">
        <v>197.4</v>
      </c>
      <c r="Z865" s="60">
        <v>197.4</v>
      </c>
      <c r="AA865" s="60">
        <v>197.4</v>
      </c>
      <c r="AB865" s="60">
        <v>197.4</v>
      </c>
      <c r="AC865" s="60">
        <v>197.4</v>
      </c>
      <c r="AD865" s="60">
        <v>197.4</v>
      </c>
      <c r="AE865" s="61">
        <f t="shared" si="356"/>
        <v>1184.4000000000001</v>
      </c>
      <c r="AF865" s="62">
        <f t="shared" si="363"/>
        <v>139755</v>
      </c>
      <c r="AG865" s="62">
        <f t="shared" si="362"/>
        <v>85075.329999999929</v>
      </c>
      <c r="AH865" s="62">
        <f t="shared" si="360"/>
        <v>54679.670000000071</v>
      </c>
      <c r="AI865" s="63">
        <v>55864.070000000029</v>
      </c>
      <c r="AJ865" s="63">
        <f t="shared" si="351"/>
        <v>1229.0095400000007</v>
      </c>
      <c r="AK865" s="72">
        <f t="shared" si="352"/>
        <v>1229.0095400000007</v>
      </c>
      <c r="AL865" s="60">
        <v>197.4</v>
      </c>
      <c r="AM865" s="60">
        <v>197.4</v>
      </c>
      <c r="AN865" s="60">
        <v>197.4</v>
      </c>
      <c r="AO865" s="60">
        <v>197.4</v>
      </c>
      <c r="AP865" s="60">
        <v>197.4</v>
      </c>
      <c r="AQ865" s="60">
        <v>197.4</v>
      </c>
      <c r="AR865" s="61">
        <f t="shared" si="357"/>
        <v>1184.4000000000001</v>
      </c>
      <c r="AS865" s="60">
        <v>197.4</v>
      </c>
      <c r="AT865" s="60">
        <v>197.4</v>
      </c>
      <c r="AU865" s="60">
        <v>197.4</v>
      </c>
      <c r="AV865" s="60">
        <v>197.4</v>
      </c>
      <c r="AW865" s="60">
        <v>197.4</v>
      </c>
      <c r="AX865" s="60">
        <v>197.4</v>
      </c>
      <c r="AY865" s="61">
        <f t="shared" si="358"/>
        <v>1184.4000000000001</v>
      </c>
      <c r="AZ865" s="56">
        <f t="shared" si="349"/>
        <v>2368.8000000000002</v>
      </c>
      <c r="BA865" s="62">
        <f t="shared" si="329"/>
        <v>139755</v>
      </c>
      <c r="BB865" s="62">
        <f t="shared" si="359"/>
        <v>87444.129999999859</v>
      </c>
      <c r="BC865" s="62">
        <f t="shared" si="330"/>
        <v>52310.870000000141</v>
      </c>
      <c r="BD865" s="63">
        <v>53495.270000000099</v>
      </c>
      <c r="BE865" s="57">
        <f t="shared" si="353"/>
        <v>1176.8959400000024</v>
      </c>
      <c r="BF865" s="35" t="str">
        <f>VLOOKUP(A:A,'2023-2027'!A:G,1,+FALSE)</f>
        <v>ТП №3 больница 1988г.</v>
      </c>
      <c r="BG865" s="7" t="b">
        <f t="shared" si="361"/>
        <v>1</v>
      </c>
      <c r="BH865" s="35">
        <f>VLOOKUP(A:A,'2023-2027'!A:AT,43,+FALSE)</f>
        <v>197.4</v>
      </c>
    </row>
    <row r="866" spans="1:60" ht="24" hidden="1" customHeight="1" outlineLevel="1" x14ac:dyDescent="0.2">
      <c r="A866" s="59" t="s">
        <v>2007</v>
      </c>
      <c r="B866" s="59" t="s">
        <v>44</v>
      </c>
      <c r="C866" s="59" t="s">
        <v>82</v>
      </c>
      <c r="D866" s="66" t="s">
        <v>2008</v>
      </c>
      <c r="E866" s="59" t="s">
        <v>1808</v>
      </c>
      <c r="F866" s="60">
        <v>138425</v>
      </c>
      <c r="G866" s="60">
        <v>84269.119999999995</v>
      </c>
      <c r="H866" s="60">
        <v>54155.88</v>
      </c>
      <c r="I866" s="59"/>
      <c r="J866" s="60">
        <v>2346.12</v>
      </c>
      <c r="K866" s="59"/>
      <c r="L866" s="59"/>
      <c r="M866" s="60">
        <v>138425</v>
      </c>
      <c r="N866" s="60">
        <v>86615.24</v>
      </c>
      <c r="O866" s="60">
        <v>51809.760000000002</v>
      </c>
      <c r="P866" s="55">
        <v>52982.82</v>
      </c>
      <c r="Q866" s="55">
        <f t="shared" si="350"/>
        <v>1165.6220400000002</v>
      </c>
      <c r="R866" s="61">
        <f t="shared" si="354"/>
        <v>195.51</v>
      </c>
      <c r="S866" s="60">
        <v>195.51</v>
      </c>
      <c r="T866" s="60">
        <v>195.51</v>
      </c>
      <c r="U866" s="60">
        <v>195.51</v>
      </c>
      <c r="V866" s="60">
        <v>195.51</v>
      </c>
      <c r="W866" s="60">
        <v>195.51</v>
      </c>
      <c r="X866" s="61">
        <f t="shared" si="355"/>
        <v>1173.06</v>
      </c>
      <c r="Y866" s="60">
        <v>195.51</v>
      </c>
      <c r="Z866" s="60">
        <v>195.51</v>
      </c>
      <c r="AA866" s="60">
        <v>195.51</v>
      </c>
      <c r="AB866" s="60">
        <v>195.51</v>
      </c>
      <c r="AC866" s="60">
        <v>195.51</v>
      </c>
      <c r="AD866" s="60">
        <v>195.51</v>
      </c>
      <c r="AE866" s="61">
        <f t="shared" si="356"/>
        <v>1173.06</v>
      </c>
      <c r="AF866" s="62">
        <f t="shared" si="363"/>
        <v>138425</v>
      </c>
      <c r="AG866" s="62">
        <f t="shared" si="362"/>
        <v>88961.359999999942</v>
      </c>
      <c r="AH866" s="62">
        <f t="shared" si="360"/>
        <v>49463.640000000058</v>
      </c>
      <c r="AI866" s="63">
        <v>50636.700000000026</v>
      </c>
      <c r="AJ866" s="63">
        <f t="shared" si="351"/>
        <v>1114.0074000000006</v>
      </c>
      <c r="AK866" s="72">
        <f t="shared" si="352"/>
        <v>1114.0074000000006</v>
      </c>
      <c r="AL866" s="60">
        <v>195.51</v>
      </c>
      <c r="AM866" s="60">
        <v>195.51</v>
      </c>
      <c r="AN866" s="60">
        <v>195.51</v>
      </c>
      <c r="AO866" s="60">
        <v>195.51</v>
      </c>
      <c r="AP866" s="60">
        <v>195.51</v>
      </c>
      <c r="AQ866" s="60">
        <v>195.51</v>
      </c>
      <c r="AR866" s="61">
        <f t="shared" si="357"/>
        <v>1173.06</v>
      </c>
      <c r="AS866" s="60">
        <v>195.51</v>
      </c>
      <c r="AT866" s="60">
        <v>195.51</v>
      </c>
      <c r="AU866" s="60">
        <v>195.51</v>
      </c>
      <c r="AV866" s="60">
        <v>195.51</v>
      </c>
      <c r="AW866" s="60">
        <v>195.51</v>
      </c>
      <c r="AX866" s="60">
        <v>195.51</v>
      </c>
      <c r="AY866" s="61">
        <f t="shared" si="358"/>
        <v>1173.06</v>
      </c>
      <c r="AZ866" s="56">
        <f t="shared" si="349"/>
        <v>2346.12</v>
      </c>
      <c r="BA866" s="62">
        <f t="shared" si="329"/>
        <v>138425</v>
      </c>
      <c r="BB866" s="62">
        <f t="shared" si="359"/>
        <v>91307.47999999988</v>
      </c>
      <c r="BC866" s="62">
        <f t="shared" si="330"/>
        <v>47117.52000000012</v>
      </c>
      <c r="BD866" s="63">
        <v>48290.580000000104</v>
      </c>
      <c r="BE866" s="57">
        <f t="shared" si="353"/>
        <v>1062.3927600000025</v>
      </c>
      <c r="BF866" s="35" t="str">
        <f>VLOOKUP(A:A,'2023-2027'!A:G,1,+FALSE)</f>
        <v>ТП №31 Озерная  водонасосная 1986г</v>
      </c>
      <c r="BG866" s="7" t="b">
        <f t="shared" si="361"/>
        <v>1</v>
      </c>
      <c r="BH866" s="35">
        <f>VLOOKUP(A:A,'2023-2027'!A:AT,43,+FALSE)</f>
        <v>195.51</v>
      </c>
    </row>
    <row r="867" spans="1:60" ht="12" hidden="1" customHeight="1" outlineLevel="1" x14ac:dyDescent="0.2">
      <c r="A867" s="59" t="s">
        <v>2009</v>
      </c>
      <c r="B867" s="59" t="s">
        <v>44</v>
      </c>
      <c r="C867" s="59" t="s">
        <v>82</v>
      </c>
      <c r="D867" s="66" t="s">
        <v>2010</v>
      </c>
      <c r="E867" s="59" t="s">
        <v>2011</v>
      </c>
      <c r="F867" s="60">
        <v>104326</v>
      </c>
      <c r="G867" s="60">
        <v>65276.05</v>
      </c>
      <c r="H867" s="60">
        <v>39049.949999999997</v>
      </c>
      <c r="I867" s="59"/>
      <c r="J867" s="60">
        <v>1768.32</v>
      </c>
      <c r="K867" s="59"/>
      <c r="L867" s="59"/>
      <c r="M867" s="60">
        <v>104326</v>
      </c>
      <c r="N867" s="60">
        <v>67044.37</v>
      </c>
      <c r="O867" s="60">
        <v>37281.629999999997</v>
      </c>
      <c r="P867" s="55">
        <v>38165.79</v>
      </c>
      <c r="Q867" s="55">
        <f t="shared" si="350"/>
        <v>839.64738000000011</v>
      </c>
      <c r="R867" s="61">
        <f t="shared" si="354"/>
        <v>147.35999999999999</v>
      </c>
      <c r="S867" s="60">
        <v>147.36000000000001</v>
      </c>
      <c r="T867" s="60">
        <v>147.36000000000001</v>
      </c>
      <c r="U867" s="60">
        <v>147.36000000000001</v>
      </c>
      <c r="V867" s="60">
        <v>147.36000000000001</v>
      </c>
      <c r="W867" s="60">
        <v>147.36000000000001</v>
      </c>
      <c r="X867" s="61">
        <f t="shared" si="355"/>
        <v>884.16000000000008</v>
      </c>
      <c r="Y867" s="60">
        <v>147.36000000000001</v>
      </c>
      <c r="Z867" s="60">
        <v>147.36000000000001</v>
      </c>
      <c r="AA867" s="60">
        <v>147.36000000000001</v>
      </c>
      <c r="AB867" s="60">
        <v>147.36000000000001</v>
      </c>
      <c r="AC867" s="60">
        <v>147.36000000000001</v>
      </c>
      <c r="AD867" s="60">
        <v>147.36000000000001</v>
      </c>
      <c r="AE867" s="61">
        <f t="shared" si="356"/>
        <v>884.16000000000008</v>
      </c>
      <c r="AF867" s="62">
        <f t="shared" si="363"/>
        <v>104326</v>
      </c>
      <c r="AG867" s="62">
        <f t="shared" si="362"/>
        <v>68812.69</v>
      </c>
      <c r="AH867" s="62">
        <f t="shared" si="360"/>
        <v>35513.31</v>
      </c>
      <c r="AI867" s="63">
        <v>36397.469999999994</v>
      </c>
      <c r="AJ867" s="63">
        <f t="shared" si="351"/>
        <v>800.74433999999997</v>
      </c>
      <c r="AK867" s="72">
        <f t="shared" si="352"/>
        <v>800.74433999999997</v>
      </c>
      <c r="AL867" s="60">
        <v>147.36000000000001</v>
      </c>
      <c r="AM867" s="60">
        <v>147.36000000000001</v>
      </c>
      <c r="AN867" s="60">
        <v>147.36000000000001</v>
      </c>
      <c r="AO867" s="60">
        <v>147.36000000000001</v>
      </c>
      <c r="AP867" s="60">
        <v>147.36000000000001</v>
      </c>
      <c r="AQ867" s="60">
        <v>147.36000000000001</v>
      </c>
      <c r="AR867" s="61">
        <f t="shared" si="357"/>
        <v>884.16000000000008</v>
      </c>
      <c r="AS867" s="60">
        <v>147.36000000000001</v>
      </c>
      <c r="AT867" s="60">
        <v>147.36000000000001</v>
      </c>
      <c r="AU867" s="60">
        <v>147.36000000000001</v>
      </c>
      <c r="AV867" s="60">
        <v>147.36000000000001</v>
      </c>
      <c r="AW867" s="60">
        <v>147.36000000000001</v>
      </c>
      <c r="AX867" s="60">
        <v>147.36000000000001</v>
      </c>
      <c r="AY867" s="61">
        <f t="shared" si="358"/>
        <v>884.16000000000008</v>
      </c>
      <c r="AZ867" s="56">
        <f t="shared" si="349"/>
        <v>1768.3200000000002</v>
      </c>
      <c r="BA867" s="62">
        <f t="shared" si="329"/>
        <v>104326</v>
      </c>
      <c r="BB867" s="62">
        <f t="shared" si="359"/>
        <v>70581.010000000009</v>
      </c>
      <c r="BC867" s="62">
        <f t="shared" si="330"/>
        <v>33744.989999999991</v>
      </c>
      <c r="BD867" s="63">
        <v>34629.149999999987</v>
      </c>
      <c r="BE867" s="57">
        <f t="shared" si="353"/>
        <v>761.84129999999982</v>
      </c>
      <c r="BF867" s="35" t="str">
        <f>VLOOKUP(A:A,'2023-2027'!A:G,1,+FALSE)</f>
        <v>ТП №32 ул Ленина 41  1985г.</v>
      </c>
      <c r="BG867" s="7" t="b">
        <f t="shared" si="361"/>
        <v>1</v>
      </c>
      <c r="BH867" s="35">
        <f>VLOOKUP(A:A,'2023-2027'!A:AT,43,+FALSE)</f>
        <v>147.36000000000001</v>
      </c>
    </row>
    <row r="868" spans="1:60" ht="24" hidden="1" customHeight="1" outlineLevel="1" x14ac:dyDescent="0.2">
      <c r="A868" s="59" t="s">
        <v>2012</v>
      </c>
      <c r="B868" s="59" t="s">
        <v>44</v>
      </c>
      <c r="C868" s="59" t="s">
        <v>82</v>
      </c>
      <c r="D868" s="66" t="s">
        <v>2013</v>
      </c>
      <c r="E868" s="59" t="s">
        <v>1164</v>
      </c>
      <c r="F868" s="60">
        <v>340105.33</v>
      </c>
      <c r="G868" s="60">
        <v>251315.4</v>
      </c>
      <c r="H868" s="60">
        <v>88789.93</v>
      </c>
      <c r="I868" s="59"/>
      <c r="J868" s="60">
        <v>8129.04</v>
      </c>
      <c r="K868" s="59"/>
      <c r="L868" s="59"/>
      <c r="M868" s="60">
        <v>340105.33</v>
      </c>
      <c r="N868" s="60">
        <v>259444.44</v>
      </c>
      <c r="O868" s="60">
        <v>80660.89</v>
      </c>
      <c r="P868" s="55">
        <v>84725.41</v>
      </c>
      <c r="Q868" s="55">
        <f t="shared" si="350"/>
        <v>1863.9590200000002</v>
      </c>
      <c r="R868" s="61">
        <f t="shared" si="354"/>
        <v>677.42</v>
      </c>
      <c r="S868" s="60">
        <v>677.42</v>
      </c>
      <c r="T868" s="60">
        <v>677.42</v>
      </c>
      <c r="U868" s="60">
        <v>677.42</v>
      </c>
      <c r="V868" s="60">
        <v>677.42</v>
      </c>
      <c r="W868" s="60">
        <v>677.42</v>
      </c>
      <c r="X868" s="61">
        <f t="shared" si="355"/>
        <v>4064.52</v>
      </c>
      <c r="Y868" s="60">
        <v>677.42</v>
      </c>
      <c r="Z868" s="60">
        <v>677.42</v>
      </c>
      <c r="AA868" s="60">
        <v>677.42</v>
      </c>
      <c r="AB868" s="60">
        <v>677.42</v>
      </c>
      <c r="AC868" s="60">
        <v>677.42</v>
      </c>
      <c r="AD868" s="60">
        <v>677.42</v>
      </c>
      <c r="AE868" s="61">
        <f t="shared" si="356"/>
        <v>4064.52</v>
      </c>
      <c r="AF868" s="62">
        <f t="shared" si="363"/>
        <v>340105.33</v>
      </c>
      <c r="AG868" s="62">
        <f t="shared" si="362"/>
        <v>267573.47999999992</v>
      </c>
      <c r="AH868" s="62">
        <f t="shared" si="360"/>
        <v>72531.850000000093</v>
      </c>
      <c r="AI868" s="63">
        <v>76596.37000000001</v>
      </c>
      <c r="AJ868" s="63">
        <f t="shared" si="351"/>
        <v>1685.1201400000004</v>
      </c>
      <c r="AK868" s="72">
        <f t="shared" si="352"/>
        <v>1685.1201400000004</v>
      </c>
      <c r="AL868" s="60">
        <v>677.42</v>
      </c>
      <c r="AM868" s="60">
        <v>677.42</v>
      </c>
      <c r="AN868" s="60">
        <v>677.42</v>
      </c>
      <c r="AO868" s="60">
        <v>677.42</v>
      </c>
      <c r="AP868" s="60">
        <v>677.42</v>
      </c>
      <c r="AQ868" s="60">
        <v>677.42</v>
      </c>
      <c r="AR868" s="61">
        <f t="shared" si="357"/>
        <v>4064.52</v>
      </c>
      <c r="AS868" s="60">
        <v>677.42</v>
      </c>
      <c r="AT868" s="60">
        <v>677.42</v>
      </c>
      <c r="AU868" s="60">
        <v>677.42</v>
      </c>
      <c r="AV868" s="60">
        <v>677.42</v>
      </c>
      <c r="AW868" s="60">
        <v>677.42</v>
      </c>
      <c r="AX868" s="60">
        <v>677.42</v>
      </c>
      <c r="AY868" s="61">
        <f t="shared" si="358"/>
        <v>4064.52</v>
      </c>
      <c r="AZ868" s="56">
        <f t="shared" si="349"/>
        <v>8129.04</v>
      </c>
      <c r="BA868" s="62">
        <f t="shared" si="329"/>
        <v>340105.33</v>
      </c>
      <c r="BB868" s="62">
        <f t="shared" si="359"/>
        <v>275702.51999999973</v>
      </c>
      <c r="BC868" s="62">
        <f t="shared" si="330"/>
        <v>64402.810000000289</v>
      </c>
      <c r="BD868" s="63">
        <v>68467.330000000045</v>
      </c>
      <c r="BE868" s="57">
        <f t="shared" si="353"/>
        <v>1506.2812600000011</v>
      </c>
      <c r="BF868" s="35" t="str">
        <f>VLOOKUP(A:A,'2023-2027'!A:G,1,+FALSE)</f>
        <v>ТП №34 ул Южная 43а  ГКТП 1991г.</v>
      </c>
      <c r="BG868" s="7" t="b">
        <f t="shared" si="361"/>
        <v>1</v>
      </c>
      <c r="BH868" s="35">
        <f>VLOOKUP(A:A,'2023-2027'!A:AT,43,+FALSE)</f>
        <v>2093.14</v>
      </c>
    </row>
    <row r="869" spans="1:60" ht="12" hidden="1" customHeight="1" outlineLevel="1" x14ac:dyDescent="0.2">
      <c r="A869" s="59" t="s">
        <v>2014</v>
      </c>
      <c r="B869" s="59" t="s">
        <v>44</v>
      </c>
      <c r="C869" s="59" t="s">
        <v>82</v>
      </c>
      <c r="D869" s="66" t="s">
        <v>2015</v>
      </c>
      <c r="E869" s="59" t="s">
        <v>2016</v>
      </c>
      <c r="F869" s="60">
        <v>2184</v>
      </c>
      <c r="G869" s="60">
        <v>1068.76</v>
      </c>
      <c r="H869" s="60">
        <v>1115.24</v>
      </c>
      <c r="I869" s="59"/>
      <c r="J869" s="68">
        <v>37.08</v>
      </c>
      <c r="K869" s="59"/>
      <c r="L869" s="59"/>
      <c r="M869" s="60">
        <v>2184</v>
      </c>
      <c r="N869" s="60">
        <v>1105.8399999999999</v>
      </c>
      <c r="O869" s="60">
        <v>1078.1600000000001</v>
      </c>
      <c r="P869" s="55">
        <v>1096.7</v>
      </c>
      <c r="Q869" s="55">
        <f t="shared" si="350"/>
        <v>24.127400000000005</v>
      </c>
      <c r="R869" s="61">
        <f t="shared" si="354"/>
        <v>3.09</v>
      </c>
      <c r="S869" s="60">
        <v>3.09</v>
      </c>
      <c r="T869" s="60">
        <v>3.09</v>
      </c>
      <c r="U869" s="60">
        <v>3.09</v>
      </c>
      <c r="V869" s="60">
        <v>3.09</v>
      </c>
      <c r="W869" s="60">
        <v>3.09</v>
      </c>
      <c r="X869" s="61">
        <f t="shared" si="355"/>
        <v>18.54</v>
      </c>
      <c r="Y869" s="60">
        <v>3.09</v>
      </c>
      <c r="Z869" s="60">
        <v>3.09</v>
      </c>
      <c r="AA869" s="60">
        <v>3.09</v>
      </c>
      <c r="AB869" s="60">
        <v>3.09</v>
      </c>
      <c r="AC869" s="60">
        <v>3.09</v>
      </c>
      <c r="AD869" s="60">
        <v>3.09</v>
      </c>
      <c r="AE869" s="61">
        <f t="shared" si="356"/>
        <v>18.54</v>
      </c>
      <c r="AF869" s="62">
        <f t="shared" si="363"/>
        <v>2184</v>
      </c>
      <c r="AG869" s="62">
        <f t="shared" si="362"/>
        <v>1142.9199999999989</v>
      </c>
      <c r="AH869" s="62">
        <f t="shared" si="360"/>
        <v>1041.0800000000011</v>
      </c>
      <c r="AI869" s="63">
        <v>1059.6200000000006</v>
      </c>
      <c r="AJ869" s="63">
        <f t="shared" si="351"/>
        <v>23.311640000000015</v>
      </c>
      <c r="AK869" s="72">
        <f t="shared" si="352"/>
        <v>23.311640000000015</v>
      </c>
      <c r="AL869" s="60">
        <v>3.09</v>
      </c>
      <c r="AM869" s="60">
        <v>3.09</v>
      </c>
      <c r="AN869" s="60">
        <v>3.09</v>
      </c>
      <c r="AO869" s="60">
        <v>3.09</v>
      </c>
      <c r="AP869" s="60">
        <v>3.09</v>
      </c>
      <c r="AQ869" s="60">
        <v>3.09</v>
      </c>
      <c r="AR869" s="61">
        <f t="shared" si="357"/>
        <v>18.54</v>
      </c>
      <c r="AS869" s="60">
        <v>3.09</v>
      </c>
      <c r="AT869" s="60">
        <v>3.09</v>
      </c>
      <c r="AU869" s="60">
        <v>3.09</v>
      </c>
      <c r="AV869" s="60">
        <v>3.09</v>
      </c>
      <c r="AW869" s="60">
        <v>3.09</v>
      </c>
      <c r="AX869" s="60">
        <v>3.09</v>
      </c>
      <c r="AY869" s="61">
        <f t="shared" si="358"/>
        <v>18.54</v>
      </c>
      <c r="AZ869" s="56">
        <f t="shared" si="349"/>
        <v>37.08</v>
      </c>
      <c r="BA869" s="62">
        <f t="shared" si="329"/>
        <v>2184</v>
      </c>
      <c r="BB869" s="62">
        <f t="shared" si="359"/>
        <v>1179.999999999998</v>
      </c>
      <c r="BC869" s="62">
        <f t="shared" si="330"/>
        <v>1004.000000000002</v>
      </c>
      <c r="BD869" s="63">
        <v>1022.5400000000017</v>
      </c>
      <c r="BE869" s="57">
        <f t="shared" si="353"/>
        <v>22.495880000000039</v>
      </c>
      <c r="BF869" s="35" t="str">
        <f>VLOOKUP(A:A,'2023-2027'!A:G,1,+FALSE)</f>
        <v>ТП №35 ул Ленина 5  1993г.</v>
      </c>
      <c r="BG869" s="7" t="b">
        <f t="shared" si="361"/>
        <v>1</v>
      </c>
      <c r="BH869" s="35">
        <f>VLOOKUP(A:A,'2023-2027'!A:AT,43,+FALSE)</f>
        <v>3.09</v>
      </c>
    </row>
    <row r="870" spans="1:60" ht="24" hidden="1" customHeight="1" outlineLevel="1" x14ac:dyDescent="0.2">
      <c r="A870" s="59" t="s">
        <v>2017</v>
      </c>
      <c r="B870" s="59" t="s">
        <v>44</v>
      </c>
      <c r="C870" s="59" t="s">
        <v>82</v>
      </c>
      <c r="D870" s="66" t="s">
        <v>2018</v>
      </c>
      <c r="E870" s="59" t="s">
        <v>1275</v>
      </c>
      <c r="F870" s="60">
        <v>603015.09</v>
      </c>
      <c r="G870" s="60">
        <v>302107.95</v>
      </c>
      <c r="H870" s="60">
        <v>300907.14</v>
      </c>
      <c r="I870" s="59"/>
      <c r="J870" s="60">
        <v>22800.6</v>
      </c>
      <c r="K870" s="59"/>
      <c r="L870" s="59"/>
      <c r="M870" s="60">
        <v>603015.09</v>
      </c>
      <c r="N870" s="60">
        <v>324908.55</v>
      </c>
      <c r="O870" s="60">
        <v>278106.53999999998</v>
      </c>
      <c r="P870" s="55"/>
      <c r="Q870" s="55"/>
      <c r="R870" s="61">
        <f t="shared" si="354"/>
        <v>1900.05</v>
      </c>
      <c r="S870" s="60">
        <v>1900.05</v>
      </c>
      <c r="T870" s="60">
        <v>1900.05</v>
      </c>
      <c r="U870" s="60">
        <v>1900.05</v>
      </c>
      <c r="V870" s="60">
        <v>1900.05</v>
      </c>
      <c r="W870" s="60">
        <v>1900.05</v>
      </c>
      <c r="X870" s="61">
        <f t="shared" si="355"/>
        <v>11400.3</v>
      </c>
      <c r="Y870" s="60">
        <v>1900.05</v>
      </c>
      <c r="Z870" s="60">
        <v>1900.05</v>
      </c>
      <c r="AA870" s="60">
        <v>1900.05</v>
      </c>
      <c r="AB870" s="60">
        <v>1900.05</v>
      </c>
      <c r="AC870" s="60">
        <v>1900.05</v>
      </c>
      <c r="AD870" s="60">
        <v>1900.05</v>
      </c>
      <c r="AE870" s="61">
        <f t="shared" si="356"/>
        <v>11400.3</v>
      </c>
      <c r="AF870" s="62">
        <f t="shared" si="363"/>
        <v>603015.09</v>
      </c>
      <c r="AG870" s="62">
        <f t="shared" si="362"/>
        <v>347709.14999999985</v>
      </c>
      <c r="AH870" s="62">
        <f t="shared" si="360"/>
        <v>255305.94000000012</v>
      </c>
      <c r="AI870" s="63"/>
      <c r="AJ870" s="63">
        <f t="shared" si="351"/>
        <v>0</v>
      </c>
      <c r="AK870" s="62"/>
      <c r="AL870" s="60">
        <v>1900.05</v>
      </c>
      <c r="AM870" s="60">
        <v>1900.05</v>
      </c>
      <c r="AN870" s="60">
        <v>1900.05</v>
      </c>
      <c r="AO870" s="60">
        <v>1900.05</v>
      </c>
      <c r="AP870" s="60">
        <v>1900.05</v>
      </c>
      <c r="AQ870" s="60">
        <v>1900.05</v>
      </c>
      <c r="AR870" s="61">
        <f t="shared" si="357"/>
        <v>11400.3</v>
      </c>
      <c r="AS870" s="60">
        <v>1900.05</v>
      </c>
      <c r="AT870" s="60">
        <v>1900.05</v>
      </c>
      <c r="AU870" s="60">
        <v>1900.05</v>
      </c>
      <c r="AV870" s="60">
        <v>1900.05</v>
      </c>
      <c r="AW870" s="60">
        <v>1900.05</v>
      </c>
      <c r="AX870" s="60">
        <v>1900.05</v>
      </c>
      <c r="AY870" s="61">
        <f t="shared" si="358"/>
        <v>11400.3</v>
      </c>
      <c r="AZ870" s="56">
        <f t="shared" si="349"/>
        <v>22800.6</v>
      </c>
      <c r="BA870" s="62">
        <f t="shared" si="329"/>
        <v>603015.09</v>
      </c>
      <c r="BB870" s="62">
        <f t="shared" si="359"/>
        <v>370509.74999999971</v>
      </c>
      <c r="BC870" s="62">
        <f t="shared" si="330"/>
        <v>232505.34000000026</v>
      </c>
      <c r="BD870" s="63"/>
      <c r="BE870" s="57"/>
      <c r="BF870" s="35" t="str">
        <f>VLOOKUP(A:A,'2023-2027'!A:G,1,+FALSE)</f>
        <v>ТП №35 ул. Ленина р-он д.№5 2008г(оборуд-е)</v>
      </c>
      <c r="BG870" s="7" t="b">
        <f t="shared" si="361"/>
        <v>1</v>
      </c>
      <c r="BH870" s="35">
        <f>VLOOKUP(A:A,'2023-2027'!A:AT,43,+FALSE)</f>
        <v>2519.6199999999994</v>
      </c>
    </row>
    <row r="871" spans="1:60" ht="24" hidden="1" customHeight="1" outlineLevel="1" x14ac:dyDescent="0.2">
      <c r="A871" s="59" t="s">
        <v>2019</v>
      </c>
      <c r="B871" s="59" t="s">
        <v>44</v>
      </c>
      <c r="C871" s="59" t="s">
        <v>82</v>
      </c>
      <c r="D871" s="66" t="s">
        <v>2020</v>
      </c>
      <c r="E871" s="59" t="s">
        <v>2016</v>
      </c>
      <c r="F871" s="60">
        <v>401728.31</v>
      </c>
      <c r="G871" s="60">
        <v>363020.99</v>
      </c>
      <c r="H871" s="60">
        <v>38707.32</v>
      </c>
      <c r="I871" s="59"/>
      <c r="J871" s="60">
        <v>12553.7</v>
      </c>
      <c r="K871" s="59"/>
      <c r="L871" s="59"/>
      <c r="M871" s="60">
        <v>401728.31</v>
      </c>
      <c r="N871" s="60">
        <v>375574.69</v>
      </c>
      <c r="O871" s="60">
        <v>26153.62</v>
      </c>
      <c r="P871" s="55">
        <v>32430.48</v>
      </c>
      <c r="Q871" s="55">
        <f t="shared" ref="Q871:Q873" si="364">P871*2.2%</f>
        <v>713.47056000000009</v>
      </c>
      <c r="R871" s="61">
        <f t="shared" si="354"/>
        <v>1046.1416666666667</v>
      </c>
      <c r="S871" s="60">
        <v>1046.1416670000001</v>
      </c>
      <c r="T871" s="60">
        <v>1046.1416670000001</v>
      </c>
      <c r="U871" s="60">
        <v>1046.1416670000001</v>
      </c>
      <c r="V871" s="60">
        <v>1046.1416670000001</v>
      </c>
      <c r="W871" s="60">
        <v>1046.1416670000001</v>
      </c>
      <c r="X871" s="61">
        <f t="shared" si="355"/>
        <v>6276.8500016666667</v>
      </c>
      <c r="Y871" s="60">
        <v>1046.1416670000001</v>
      </c>
      <c r="Z871" s="60">
        <v>1046.1416670000001</v>
      </c>
      <c r="AA871" s="60">
        <v>1046.1416670000001</v>
      </c>
      <c r="AB871" s="60">
        <v>1046.1416670000001</v>
      </c>
      <c r="AC871" s="60">
        <v>1046.1416670000001</v>
      </c>
      <c r="AD871" s="60">
        <v>1046.1416670000001</v>
      </c>
      <c r="AE871" s="61">
        <f t="shared" si="356"/>
        <v>6276.8500020000001</v>
      </c>
      <c r="AF871" s="62">
        <f t="shared" si="363"/>
        <v>401728.31</v>
      </c>
      <c r="AG871" s="62">
        <f t="shared" si="362"/>
        <v>388128.39000366686</v>
      </c>
      <c r="AH871" s="62">
        <f t="shared" si="360"/>
        <v>13599.919996333134</v>
      </c>
      <c r="AI871" s="63">
        <v>19876.780000000002</v>
      </c>
      <c r="AJ871" s="63">
        <f t="shared" si="351"/>
        <v>437.28916000000009</v>
      </c>
      <c r="AK871" s="72">
        <f t="shared" ref="AK871:AK873" si="365">AI871*2.2%</f>
        <v>437.28916000000009</v>
      </c>
      <c r="AL871" s="60">
        <v>1046.1416670000001</v>
      </c>
      <c r="AM871" s="60">
        <v>1046.1416670000001</v>
      </c>
      <c r="AN871" s="60">
        <v>1046.1416670000001</v>
      </c>
      <c r="AO871" s="60">
        <v>1046.1416670000001</v>
      </c>
      <c r="AP871" s="60">
        <v>1046.1416670000001</v>
      </c>
      <c r="AQ871" s="60">
        <v>1046.1416670000001</v>
      </c>
      <c r="AR871" s="61">
        <f t="shared" si="357"/>
        <v>6276.8500020000001</v>
      </c>
      <c r="AS871" s="60">
        <v>1046.1416670000001</v>
      </c>
      <c r="AT871" s="60">
        <v>1046.1416670000001</v>
      </c>
      <c r="AU871" s="60">
        <v>1046.1416670000001</v>
      </c>
      <c r="AV871" s="60">
        <v>1046.1416670000001</v>
      </c>
      <c r="AW871" s="60">
        <v>1046.1416670000001</v>
      </c>
      <c r="AX871" s="60">
        <v>1046.1416670000001</v>
      </c>
      <c r="AY871" s="61">
        <f t="shared" si="358"/>
        <v>6276.8500020000001</v>
      </c>
      <c r="AZ871" s="56">
        <f t="shared" si="349"/>
        <v>12553.700004</v>
      </c>
      <c r="BA871" s="62">
        <f t="shared" si="329"/>
        <v>401728.31</v>
      </c>
      <c r="BB871" s="62">
        <f t="shared" si="359"/>
        <v>400682.09000766708</v>
      </c>
      <c r="BC871" s="62">
        <f t="shared" si="330"/>
        <v>1046.2199923329172</v>
      </c>
      <c r="BD871" s="63">
        <v>7323.1000000000067</v>
      </c>
      <c r="BE871" s="57">
        <f t="shared" ref="BE871:BE873" si="366">BD871*2.2%</f>
        <v>161.10820000000015</v>
      </c>
      <c r="BF871" s="35" t="str">
        <f>VLOOKUP(A:A,'2023-2027'!A:G,1,+FALSE)</f>
        <v>ТП №36  КОП ресторан Север 1993г</v>
      </c>
      <c r="BG871" s="7" t="b">
        <f t="shared" si="361"/>
        <v>1</v>
      </c>
      <c r="BH871" s="35">
        <f>VLOOKUP(A:A,'2023-2027'!A:AT,43,+FALSE)</f>
        <v>2136.3300000000004</v>
      </c>
    </row>
    <row r="872" spans="1:60" ht="24" hidden="1" customHeight="1" outlineLevel="1" x14ac:dyDescent="0.2">
      <c r="A872" s="59" t="s">
        <v>2021</v>
      </c>
      <c r="B872" s="59" t="s">
        <v>44</v>
      </c>
      <c r="C872" s="59" t="s">
        <v>82</v>
      </c>
      <c r="D872" s="66" t="s">
        <v>2022</v>
      </c>
      <c r="E872" s="59" t="s">
        <v>2023</v>
      </c>
      <c r="F872" s="60">
        <v>490429.34</v>
      </c>
      <c r="G872" s="60">
        <v>232054.5</v>
      </c>
      <c r="H872" s="60">
        <v>258374.84</v>
      </c>
      <c r="I872" s="59"/>
      <c r="J872" s="60">
        <v>8312.2800000000007</v>
      </c>
      <c r="K872" s="59"/>
      <c r="L872" s="59"/>
      <c r="M872" s="60">
        <v>490429.34</v>
      </c>
      <c r="N872" s="60">
        <v>240366.78</v>
      </c>
      <c r="O872" s="60">
        <v>250062.56</v>
      </c>
      <c r="P872" s="55">
        <v>254218.7</v>
      </c>
      <c r="Q872" s="55">
        <f t="shared" si="364"/>
        <v>5592.8114000000005</v>
      </c>
      <c r="R872" s="61">
        <f t="shared" si="354"/>
        <v>692.69</v>
      </c>
      <c r="S872" s="60">
        <v>692.69</v>
      </c>
      <c r="T872" s="60">
        <v>692.69</v>
      </c>
      <c r="U872" s="60">
        <v>692.69</v>
      </c>
      <c r="V872" s="60">
        <v>692.69</v>
      </c>
      <c r="W872" s="60">
        <v>692.69</v>
      </c>
      <c r="X872" s="61">
        <f t="shared" si="355"/>
        <v>4156.1400000000003</v>
      </c>
      <c r="Y872" s="60">
        <v>692.69</v>
      </c>
      <c r="Z872" s="60">
        <v>692.69</v>
      </c>
      <c r="AA872" s="60">
        <v>692.69</v>
      </c>
      <c r="AB872" s="60">
        <v>692.69</v>
      </c>
      <c r="AC872" s="60">
        <v>692.69</v>
      </c>
      <c r="AD872" s="60">
        <v>692.69</v>
      </c>
      <c r="AE872" s="61">
        <f t="shared" si="356"/>
        <v>4156.1400000000003</v>
      </c>
      <c r="AF872" s="62">
        <f t="shared" si="363"/>
        <v>490429.34</v>
      </c>
      <c r="AG872" s="62">
        <f t="shared" si="362"/>
        <v>248679.06000000003</v>
      </c>
      <c r="AH872" s="62">
        <f t="shared" si="360"/>
        <v>241750.28</v>
      </c>
      <c r="AI872" s="63">
        <v>245906.41999999995</v>
      </c>
      <c r="AJ872" s="63">
        <f t="shared" si="351"/>
        <v>5409.9412399999992</v>
      </c>
      <c r="AK872" s="72">
        <f t="shared" si="365"/>
        <v>5409.9412399999992</v>
      </c>
      <c r="AL872" s="60">
        <v>692.69</v>
      </c>
      <c r="AM872" s="60">
        <v>692.69</v>
      </c>
      <c r="AN872" s="60">
        <v>692.69</v>
      </c>
      <c r="AO872" s="60">
        <v>692.69</v>
      </c>
      <c r="AP872" s="60">
        <v>692.69</v>
      </c>
      <c r="AQ872" s="60">
        <v>692.69</v>
      </c>
      <c r="AR872" s="61">
        <f t="shared" si="357"/>
        <v>4156.1400000000003</v>
      </c>
      <c r="AS872" s="60">
        <v>692.69</v>
      </c>
      <c r="AT872" s="60">
        <v>692.69</v>
      </c>
      <c r="AU872" s="60">
        <v>692.69</v>
      </c>
      <c r="AV872" s="60">
        <v>692.69</v>
      </c>
      <c r="AW872" s="60">
        <v>692.69</v>
      </c>
      <c r="AX872" s="60">
        <v>692.69</v>
      </c>
      <c r="AY872" s="61">
        <f t="shared" si="358"/>
        <v>4156.1400000000003</v>
      </c>
      <c r="AZ872" s="56">
        <f t="shared" si="349"/>
        <v>8312.2800000000007</v>
      </c>
      <c r="BA872" s="62">
        <f t="shared" si="329"/>
        <v>490429.34</v>
      </c>
      <c r="BB872" s="62">
        <f t="shared" si="359"/>
        <v>256991.34000000005</v>
      </c>
      <c r="BC872" s="62">
        <f t="shared" si="330"/>
        <v>233437.99999999997</v>
      </c>
      <c r="BD872" s="63">
        <v>237594.13999999993</v>
      </c>
      <c r="BE872" s="57">
        <f t="shared" si="366"/>
        <v>5227.0710799999988</v>
      </c>
      <c r="BF872" s="35" t="str">
        <f>VLOOKUP(A:A,'2023-2027'!A:G,1,+FALSE)</f>
        <v>ТП №37 жил, дом Ленина 27  1984г.</v>
      </c>
      <c r="BG872" s="7" t="b">
        <f t="shared" si="361"/>
        <v>1</v>
      </c>
      <c r="BH872" s="35">
        <f>VLOOKUP(A:A,'2023-2027'!A:AT,43,+FALSE)</f>
        <v>952.62999999999977</v>
      </c>
    </row>
    <row r="873" spans="1:60" ht="12" hidden="1" customHeight="1" outlineLevel="1" x14ac:dyDescent="0.2">
      <c r="A873" s="59" t="s">
        <v>2024</v>
      </c>
      <c r="B873" s="59" t="s">
        <v>44</v>
      </c>
      <c r="C873" s="59" t="s">
        <v>82</v>
      </c>
      <c r="D873" s="65" t="s">
        <v>2025</v>
      </c>
      <c r="E873" s="59" t="s">
        <v>2026</v>
      </c>
      <c r="F873" s="60">
        <v>28452</v>
      </c>
      <c r="G873" s="60">
        <v>22389.22</v>
      </c>
      <c r="H873" s="60">
        <v>6062.78</v>
      </c>
      <c r="I873" s="59"/>
      <c r="J873" s="68">
        <v>606.24</v>
      </c>
      <c r="K873" s="59"/>
      <c r="L873" s="59"/>
      <c r="M873" s="60">
        <v>28452</v>
      </c>
      <c r="N873" s="60">
        <v>22995.46</v>
      </c>
      <c r="O873" s="60">
        <v>5456.54</v>
      </c>
      <c r="P873" s="55">
        <v>5759.66</v>
      </c>
      <c r="Q873" s="55">
        <f t="shared" si="364"/>
        <v>126.71252000000001</v>
      </c>
      <c r="R873" s="61">
        <f t="shared" si="354"/>
        <v>50.52</v>
      </c>
      <c r="S873" s="60">
        <v>50.52</v>
      </c>
      <c r="T873" s="60">
        <v>50.52</v>
      </c>
      <c r="U873" s="60">
        <v>50.52</v>
      </c>
      <c r="V873" s="60">
        <v>50.52</v>
      </c>
      <c r="W873" s="60">
        <v>50.52</v>
      </c>
      <c r="X873" s="61">
        <f t="shared" si="355"/>
        <v>303.12</v>
      </c>
      <c r="Y873" s="60">
        <v>50.52</v>
      </c>
      <c r="Z873" s="60">
        <v>50.52</v>
      </c>
      <c r="AA873" s="60">
        <v>50.52</v>
      </c>
      <c r="AB873" s="60">
        <v>50.52</v>
      </c>
      <c r="AC873" s="60">
        <v>50.52</v>
      </c>
      <c r="AD873" s="60">
        <v>50.52</v>
      </c>
      <c r="AE873" s="61">
        <f t="shared" si="356"/>
        <v>303.12</v>
      </c>
      <c r="AF873" s="62">
        <f t="shared" si="363"/>
        <v>28452</v>
      </c>
      <c r="AG873" s="62">
        <f t="shared" si="362"/>
        <v>23601.700000000004</v>
      </c>
      <c r="AH873" s="62">
        <f t="shared" si="360"/>
        <v>4850.2999999999956</v>
      </c>
      <c r="AI873" s="63">
        <v>5153.4200000000028</v>
      </c>
      <c r="AJ873" s="63">
        <f t="shared" si="351"/>
        <v>113.37524000000008</v>
      </c>
      <c r="AK873" s="72">
        <f t="shared" si="365"/>
        <v>113.37524000000008</v>
      </c>
      <c r="AL873" s="60">
        <v>50.52</v>
      </c>
      <c r="AM873" s="60">
        <v>50.52</v>
      </c>
      <c r="AN873" s="60">
        <v>50.52</v>
      </c>
      <c r="AO873" s="60">
        <v>50.52</v>
      </c>
      <c r="AP873" s="60">
        <v>50.52</v>
      </c>
      <c r="AQ873" s="60">
        <v>50.52</v>
      </c>
      <c r="AR873" s="61">
        <f t="shared" si="357"/>
        <v>303.12</v>
      </c>
      <c r="AS873" s="60">
        <v>50.52</v>
      </c>
      <c r="AT873" s="60">
        <v>50.52</v>
      </c>
      <c r="AU873" s="60">
        <v>50.52</v>
      </c>
      <c r="AV873" s="60">
        <v>50.52</v>
      </c>
      <c r="AW873" s="60">
        <v>50.52</v>
      </c>
      <c r="AX873" s="60">
        <v>50.52</v>
      </c>
      <c r="AY873" s="61">
        <f t="shared" si="358"/>
        <v>303.12</v>
      </c>
      <c r="AZ873" s="56">
        <f t="shared" si="349"/>
        <v>606.24</v>
      </c>
      <c r="BA873" s="62">
        <f t="shared" ref="BA873:BA936" si="367">AF873</f>
        <v>28452</v>
      </c>
      <c r="BB873" s="62">
        <f t="shared" si="359"/>
        <v>24207.94000000001</v>
      </c>
      <c r="BC873" s="62">
        <f t="shared" ref="BC873:BC936" si="368">BA873-BB873</f>
        <v>4244.0599999999904</v>
      </c>
      <c r="BD873" s="63">
        <v>4547.1800000000085</v>
      </c>
      <c r="BE873" s="57">
        <f t="shared" si="366"/>
        <v>100.0379600000002</v>
      </c>
      <c r="BF873" s="35" t="e">
        <f>VLOOKUP(A:A,'2023-2027'!A:G,1,+FALSE)</f>
        <v>#N/A</v>
      </c>
      <c r="BG873" s="7" t="e">
        <f t="shared" si="361"/>
        <v>#N/A</v>
      </c>
      <c r="BH873" s="35"/>
    </row>
    <row r="874" spans="1:60" ht="12" hidden="1" customHeight="1" outlineLevel="1" x14ac:dyDescent="0.2">
      <c r="A874" s="59" t="s">
        <v>2027</v>
      </c>
      <c r="B874" s="59" t="s">
        <v>44</v>
      </c>
      <c r="C874" s="59" t="s">
        <v>82</v>
      </c>
      <c r="D874" s="66" t="s">
        <v>2028</v>
      </c>
      <c r="E874" s="59" t="s">
        <v>237</v>
      </c>
      <c r="F874" s="60">
        <v>153796.03</v>
      </c>
      <c r="G874" s="60">
        <v>25558.799999999999</v>
      </c>
      <c r="H874" s="60">
        <v>128237.23</v>
      </c>
      <c r="I874" s="59"/>
      <c r="J874" s="60">
        <v>2555.88</v>
      </c>
      <c r="K874" s="59"/>
      <c r="L874" s="59"/>
      <c r="M874" s="60">
        <v>153796.03</v>
      </c>
      <c r="N874" s="60">
        <v>28114.68</v>
      </c>
      <c r="O874" s="60">
        <v>125681.35</v>
      </c>
      <c r="P874" s="55"/>
      <c r="Q874" s="55"/>
      <c r="R874" s="61">
        <f t="shared" si="354"/>
        <v>212.99</v>
      </c>
      <c r="S874" s="60">
        <v>212.99</v>
      </c>
      <c r="T874" s="60">
        <v>212.99</v>
      </c>
      <c r="U874" s="60">
        <v>212.99</v>
      </c>
      <c r="V874" s="60">
        <v>212.99</v>
      </c>
      <c r="W874" s="60">
        <v>212.99</v>
      </c>
      <c r="X874" s="61">
        <f t="shared" si="355"/>
        <v>1277.94</v>
      </c>
      <c r="Y874" s="60">
        <v>212.99</v>
      </c>
      <c r="Z874" s="60">
        <v>212.99</v>
      </c>
      <c r="AA874" s="60">
        <v>212.99</v>
      </c>
      <c r="AB874" s="60">
        <v>212.99</v>
      </c>
      <c r="AC874" s="60">
        <v>212.99</v>
      </c>
      <c r="AD874" s="60">
        <v>212.99</v>
      </c>
      <c r="AE874" s="61">
        <f t="shared" si="356"/>
        <v>1277.94</v>
      </c>
      <c r="AF874" s="62">
        <f t="shared" si="363"/>
        <v>153796.03</v>
      </c>
      <c r="AG874" s="62">
        <f t="shared" si="362"/>
        <v>30670.560000000019</v>
      </c>
      <c r="AH874" s="62">
        <f t="shared" si="360"/>
        <v>123125.46999999997</v>
      </c>
      <c r="AI874" s="63"/>
      <c r="AJ874" s="63"/>
      <c r="AK874" s="62"/>
      <c r="AL874" s="60">
        <v>212.99</v>
      </c>
      <c r="AM874" s="60">
        <v>212.99</v>
      </c>
      <c r="AN874" s="60">
        <v>212.99</v>
      </c>
      <c r="AO874" s="60">
        <v>212.99</v>
      </c>
      <c r="AP874" s="60">
        <v>212.99</v>
      </c>
      <c r="AQ874" s="60">
        <v>212.99</v>
      </c>
      <c r="AR874" s="61">
        <f t="shared" si="357"/>
        <v>1277.94</v>
      </c>
      <c r="AS874" s="60">
        <v>212.99</v>
      </c>
      <c r="AT874" s="60">
        <v>212.99</v>
      </c>
      <c r="AU874" s="60">
        <v>212.99</v>
      </c>
      <c r="AV874" s="60">
        <v>212.99</v>
      </c>
      <c r="AW874" s="60">
        <v>212.99</v>
      </c>
      <c r="AX874" s="60">
        <v>212.99</v>
      </c>
      <c r="AY874" s="61">
        <f t="shared" si="358"/>
        <v>1277.94</v>
      </c>
      <c r="AZ874" s="56">
        <f t="shared" si="349"/>
        <v>2555.88</v>
      </c>
      <c r="BA874" s="62">
        <f t="shared" si="367"/>
        <v>153796.03</v>
      </c>
      <c r="BB874" s="62">
        <f t="shared" si="359"/>
        <v>33226.440000000031</v>
      </c>
      <c r="BC874" s="62">
        <f t="shared" si="368"/>
        <v>120569.58999999997</v>
      </c>
      <c r="BD874" s="63"/>
      <c r="BE874" s="57"/>
      <c r="BF874" s="35" t="str">
        <f>VLOOKUP(A:A,'2023-2027'!A:G,1,+FALSE)</f>
        <v>ТП №38 ул Заполярная   1985г.</v>
      </c>
      <c r="BG874" s="7" t="b">
        <f t="shared" si="361"/>
        <v>1</v>
      </c>
      <c r="BH874" s="35">
        <f>VLOOKUP(A:A,'2023-2027'!A:AT,43,+FALSE)</f>
        <v>205.99</v>
      </c>
    </row>
    <row r="875" spans="1:60" ht="12" hidden="1" customHeight="1" outlineLevel="1" x14ac:dyDescent="0.2">
      <c r="A875" s="59" t="s">
        <v>2029</v>
      </c>
      <c r="B875" s="59" t="s">
        <v>44</v>
      </c>
      <c r="C875" s="59" t="s">
        <v>82</v>
      </c>
      <c r="D875" s="65" t="s">
        <v>2030</v>
      </c>
      <c r="E875" s="59" t="s">
        <v>243</v>
      </c>
      <c r="F875" s="60">
        <v>12933</v>
      </c>
      <c r="G875" s="60">
        <v>4853.95</v>
      </c>
      <c r="H875" s="60">
        <v>8079.05</v>
      </c>
      <c r="I875" s="59"/>
      <c r="J875" s="68">
        <v>115.8</v>
      </c>
      <c r="K875" s="59"/>
      <c r="L875" s="59"/>
      <c r="M875" s="60">
        <v>12933</v>
      </c>
      <c r="N875" s="60">
        <v>4969.75</v>
      </c>
      <c r="O875" s="60">
        <v>7963.25</v>
      </c>
      <c r="P875" s="55">
        <v>8021.15</v>
      </c>
      <c r="Q875" s="55">
        <f t="shared" ref="Q875:Q877" si="369">P875*2.2%</f>
        <v>176.46530000000001</v>
      </c>
      <c r="R875" s="61">
        <f t="shared" si="354"/>
        <v>9.65</v>
      </c>
      <c r="S875" s="60">
        <v>9.65</v>
      </c>
      <c r="T875" s="60">
        <v>9.65</v>
      </c>
      <c r="U875" s="60">
        <v>9.65</v>
      </c>
      <c r="V875" s="60">
        <v>9.65</v>
      </c>
      <c r="W875" s="60">
        <v>9.65</v>
      </c>
      <c r="X875" s="61">
        <f t="shared" si="355"/>
        <v>57.9</v>
      </c>
      <c r="Y875" s="60">
        <v>9.65</v>
      </c>
      <c r="Z875" s="60">
        <v>9.65</v>
      </c>
      <c r="AA875" s="60">
        <v>9.65</v>
      </c>
      <c r="AB875" s="60">
        <v>9.65</v>
      </c>
      <c r="AC875" s="60">
        <v>9.65</v>
      </c>
      <c r="AD875" s="60">
        <v>9.65</v>
      </c>
      <c r="AE875" s="61">
        <f t="shared" si="356"/>
        <v>57.9</v>
      </c>
      <c r="AF875" s="62">
        <f t="shared" si="363"/>
        <v>12933</v>
      </c>
      <c r="AG875" s="62">
        <f t="shared" si="362"/>
        <v>5085.5499999999956</v>
      </c>
      <c r="AH875" s="62">
        <f t="shared" si="360"/>
        <v>7847.4500000000044</v>
      </c>
      <c r="AI875" s="63">
        <v>7905.3499999999967</v>
      </c>
      <c r="AJ875" s="63">
        <f t="shared" ref="AJ875:AJ877" si="370">AI875*2.2%</f>
        <v>173.91769999999994</v>
      </c>
      <c r="AK875" s="72">
        <f t="shared" ref="AK875:AK877" si="371">AI875*2.2%</f>
        <v>173.91769999999994</v>
      </c>
      <c r="AL875" s="60">
        <v>9.65</v>
      </c>
      <c r="AM875" s="60">
        <v>9.65</v>
      </c>
      <c r="AN875" s="60">
        <v>9.65</v>
      </c>
      <c r="AO875" s="60">
        <v>9.65</v>
      </c>
      <c r="AP875" s="60">
        <v>9.65</v>
      </c>
      <c r="AQ875" s="60">
        <v>9.65</v>
      </c>
      <c r="AR875" s="61">
        <f t="shared" si="357"/>
        <v>57.9</v>
      </c>
      <c r="AS875" s="60">
        <v>9.65</v>
      </c>
      <c r="AT875" s="60">
        <v>9.65</v>
      </c>
      <c r="AU875" s="60">
        <v>9.65</v>
      </c>
      <c r="AV875" s="60">
        <v>9.65</v>
      </c>
      <c r="AW875" s="60">
        <v>9.65</v>
      </c>
      <c r="AX875" s="60">
        <v>9.65</v>
      </c>
      <c r="AY875" s="61">
        <f t="shared" si="358"/>
        <v>57.9</v>
      </c>
      <c r="AZ875" s="56">
        <f t="shared" si="349"/>
        <v>115.8</v>
      </c>
      <c r="BA875" s="62">
        <f t="shared" si="367"/>
        <v>12933</v>
      </c>
      <c r="BB875" s="62">
        <f t="shared" si="359"/>
        <v>5201.3499999999913</v>
      </c>
      <c r="BC875" s="62">
        <f t="shared" si="368"/>
        <v>7731.6500000000087</v>
      </c>
      <c r="BD875" s="63">
        <v>7789.5499999999902</v>
      </c>
      <c r="BE875" s="57">
        <f t="shared" ref="BE875:BE877" si="372">BD875*2.2%</f>
        <v>171.37009999999981</v>
      </c>
      <c r="BF875" s="35" t="e">
        <f>VLOOKUP(A:A,'2023-2027'!A:G,1,+FALSE)</f>
        <v>#N/A</v>
      </c>
      <c r="BG875" s="7" t="e">
        <f t="shared" si="361"/>
        <v>#N/A</v>
      </c>
      <c r="BH875" s="35"/>
    </row>
    <row r="876" spans="1:60" ht="12" hidden="1" customHeight="1" outlineLevel="1" x14ac:dyDescent="0.2">
      <c r="A876" s="59" t="s">
        <v>2031</v>
      </c>
      <c r="B876" s="59" t="s">
        <v>44</v>
      </c>
      <c r="C876" s="59" t="s">
        <v>82</v>
      </c>
      <c r="D876" s="66" t="s">
        <v>2032</v>
      </c>
      <c r="E876" s="59" t="s">
        <v>2016</v>
      </c>
      <c r="F876" s="60">
        <v>3990</v>
      </c>
      <c r="G876" s="60">
        <v>1957.08</v>
      </c>
      <c r="H876" s="60">
        <v>2032.92</v>
      </c>
      <c r="I876" s="59"/>
      <c r="J876" s="68">
        <v>67.56</v>
      </c>
      <c r="K876" s="59"/>
      <c r="L876" s="59"/>
      <c r="M876" s="60">
        <v>3990</v>
      </c>
      <c r="N876" s="60">
        <v>2024.64</v>
      </c>
      <c r="O876" s="60">
        <v>1965.36</v>
      </c>
      <c r="P876" s="55">
        <v>1999.14</v>
      </c>
      <c r="Q876" s="55">
        <f t="shared" si="369"/>
        <v>43.981080000000006</v>
      </c>
      <c r="R876" s="61">
        <f t="shared" si="354"/>
        <v>5.63</v>
      </c>
      <c r="S876" s="60">
        <v>5.63</v>
      </c>
      <c r="T876" s="60">
        <v>5.63</v>
      </c>
      <c r="U876" s="60">
        <v>5.63</v>
      </c>
      <c r="V876" s="60">
        <v>5.63</v>
      </c>
      <c r="W876" s="60">
        <v>5.63</v>
      </c>
      <c r="X876" s="61">
        <f t="shared" si="355"/>
        <v>33.78</v>
      </c>
      <c r="Y876" s="60">
        <v>5.63</v>
      </c>
      <c r="Z876" s="60">
        <v>5.63</v>
      </c>
      <c r="AA876" s="60">
        <v>5.63</v>
      </c>
      <c r="AB876" s="60">
        <v>5.63</v>
      </c>
      <c r="AC876" s="60">
        <v>5.63</v>
      </c>
      <c r="AD876" s="60">
        <v>5.63</v>
      </c>
      <c r="AE876" s="61">
        <f t="shared" si="356"/>
        <v>33.78</v>
      </c>
      <c r="AF876" s="62">
        <f t="shared" si="363"/>
        <v>3990</v>
      </c>
      <c r="AG876" s="62">
        <f t="shared" si="362"/>
        <v>2092.2000000000012</v>
      </c>
      <c r="AH876" s="62">
        <f t="shared" si="360"/>
        <v>1897.7999999999988</v>
      </c>
      <c r="AI876" s="63">
        <v>1931.5799999999992</v>
      </c>
      <c r="AJ876" s="63">
        <f t="shared" si="370"/>
        <v>42.494759999999985</v>
      </c>
      <c r="AK876" s="72">
        <f t="shared" si="371"/>
        <v>42.494759999999985</v>
      </c>
      <c r="AL876" s="60">
        <v>5.63</v>
      </c>
      <c r="AM876" s="60">
        <v>5.63</v>
      </c>
      <c r="AN876" s="60">
        <v>5.63</v>
      </c>
      <c r="AO876" s="60">
        <v>5.63</v>
      </c>
      <c r="AP876" s="60">
        <v>5.63</v>
      </c>
      <c r="AQ876" s="60">
        <v>5.63</v>
      </c>
      <c r="AR876" s="61">
        <f t="shared" si="357"/>
        <v>33.78</v>
      </c>
      <c r="AS876" s="60">
        <v>5.63</v>
      </c>
      <c r="AT876" s="60">
        <v>5.63</v>
      </c>
      <c r="AU876" s="60">
        <v>5.63</v>
      </c>
      <c r="AV876" s="60">
        <v>5.63</v>
      </c>
      <c r="AW876" s="60">
        <v>5.63</v>
      </c>
      <c r="AX876" s="60">
        <v>5.63</v>
      </c>
      <c r="AY876" s="61">
        <f t="shared" si="358"/>
        <v>33.78</v>
      </c>
      <c r="AZ876" s="56">
        <f t="shared" si="349"/>
        <v>67.56</v>
      </c>
      <c r="BA876" s="62">
        <f t="shared" si="367"/>
        <v>3990</v>
      </c>
      <c r="BB876" s="62">
        <f t="shared" si="359"/>
        <v>2159.7600000000025</v>
      </c>
      <c r="BC876" s="62">
        <f t="shared" si="368"/>
        <v>1830.2399999999975</v>
      </c>
      <c r="BD876" s="63">
        <v>1864.0199999999979</v>
      </c>
      <c r="BE876" s="57">
        <f t="shared" si="372"/>
        <v>41.008439999999958</v>
      </c>
      <c r="BF876" s="35" t="str">
        <f>VLOOKUP(A:A,'2023-2027'!A:G,1,+FALSE)</f>
        <v>ТП №4 АТС  КБО 1993г</v>
      </c>
      <c r="BG876" s="7" t="b">
        <f t="shared" si="361"/>
        <v>1</v>
      </c>
      <c r="BH876" s="35">
        <f>VLOOKUP(A:A,'2023-2027'!A:AT,43,+FALSE)</f>
        <v>5.63</v>
      </c>
    </row>
    <row r="877" spans="1:60" ht="12" hidden="1" customHeight="1" outlineLevel="1" x14ac:dyDescent="0.2">
      <c r="A877" s="59" t="s">
        <v>2033</v>
      </c>
      <c r="B877" s="59" t="s">
        <v>44</v>
      </c>
      <c r="C877" s="59" t="s">
        <v>82</v>
      </c>
      <c r="D877" s="66" t="s">
        <v>2034</v>
      </c>
      <c r="E877" s="59" t="s">
        <v>712</v>
      </c>
      <c r="F877" s="60">
        <v>709010.42</v>
      </c>
      <c r="G877" s="60">
        <v>280604.15999999997</v>
      </c>
      <c r="H877" s="60">
        <v>428406.26</v>
      </c>
      <c r="I877" s="59"/>
      <c r="J877" s="60">
        <v>23383.68</v>
      </c>
      <c r="K877" s="59"/>
      <c r="L877" s="59"/>
      <c r="M877" s="60">
        <v>709010.42</v>
      </c>
      <c r="N877" s="60">
        <v>303987.84000000003</v>
      </c>
      <c r="O877" s="60">
        <v>405022.58</v>
      </c>
      <c r="P877" s="55">
        <v>416714.42</v>
      </c>
      <c r="Q877" s="55">
        <f t="shared" si="369"/>
        <v>9167.7172399999999</v>
      </c>
      <c r="R877" s="61">
        <f t="shared" si="354"/>
        <v>1948.64</v>
      </c>
      <c r="S877" s="60">
        <v>1948.64</v>
      </c>
      <c r="T877" s="60">
        <v>1948.64</v>
      </c>
      <c r="U877" s="60">
        <v>1948.64</v>
      </c>
      <c r="V877" s="60">
        <v>1948.64</v>
      </c>
      <c r="W877" s="60">
        <v>1948.64</v>
      </c>
      <c r="X877" s="61">
        <f t="shared" si="355"/>
        <v>11691.84</v>
      </c>
      <c r="Y877" s="60">
        <v>1948.64</v>
      </c>
      <c r="Z877" s="60">
        <v>1948.64</v>
      </c>
      <c r="AA877" s="60">
        <v>1948.64</v>
      </c>
      <c r="AB877" s="60">
        <v>1948.64</v>
      </c>
      <c r="AC877" s="60">
        <v>1948.64</v>
      </c>
      <c r="AD877" s="60">
        <v>1948.64</v>
      </c>
      <c r="AE877" s="61">
        <f t="shared" si="356"/>
        <v>11691.84</v>
      </c>
      <c r="AF877" s="62">
        <f t="shared" si="363"/>
        <v>709010.42</v>
      </c>
      <c r="AG877" s="62">
        <f t="shared" si="362"/>
        <v>327371.52000000019</v>
      </c>
      <c r="AH877" s="62">
        <f t="shared" si="360"/>
        <v>381638.89999999985</v>
      </c>
      <c r="AI877" s="63">
        <v>393330.73999999993</v>
      </c>
      <c r="AJ877" s="63">
        <f t="shared" si="370"/>
        <v>8653.27628</v>
      </c>
      <c r="AK877" s="72">
        <f t="shared" si="371"/>
        <v>8653.27628</v>
      </c>
      <c r="AL877" s="60">
        <v>1948.64</v>
      </c>
      <c r="AM877" s="60">
        <v>1948.64</v>
      </c>
      <c r="AN877" s="60">
        <v>1948.64</v>
      </c>
      <c r="AO877" s="60">
        <v>1948.64</v>
      </c>
      <c r="AP877" s="60">
        <v>1948.64</v>
      </c>
      <c r="AQ877" s="60">
        <v>1948.64</v>
      </c>
      <c r="AR877" s="61">
        <f t="shared" si="357"/>
        <v>11691.84</v>
      </c>
      <c r="AS877" s="60">
        <v>1948.64</v>
      </c>
      <c r="AT877" s="60">
        <v>1948.64</v>
      </c>
      <c r="AU877" s="60">
        <v>1948.64</v>
      </c>
      <c r="AV877" s="60">
        <v>1948.64</v>
      </c>
      <c r="AW877" s="60">
        <v>1948.64</v>
      </c>
      <c r="AX877" s="60">
        <v>1948.64</v>
      </c>
      <c r="AY877" s="61">
        <f t="shared" si="358"/>
        <v>11691.84</v>
      </c>
      <c r="AZ877" s="56">
        <f t="shared" si="349"/>
        <v>23383.68</v>
      </c>
      <c r="BA877" s="62">
        <f t="shared" si="367"/>
        <v>709010.42</v>
      </c>
      <c r="BB877" s="62">
        <f t="shared" si="359"/>
        <v>350755.20000000036</v>
      </c>
      <c r="BC877" s="62">
        <f t="shared" si="368"/>
        <v>358255.21999999968</v>
      </c>
      <c r="BD877" s="63">
        <v>369947.05999999971</v>
      </c>
      <c r="BE877" s="57">
        <f t="shared" si="372"/>
        <v>8138.8353199999947</v>
      </c>
      <c r="BF877" s="35" t="str">
        <f>VLOOKUP(A:A,'2023-2027'!A:G,1,+FALSE)</f>
        <v>ТП №40-1 школа №2-новая</v>
      </c>
      <c r="BG877" s="7" t="b">
        <f t="shared" si="361"/>
        <v>1</v>
      </c>
      <c r="BH877" s="35">
        <f>VLOOKUP(A:A,'2023-2027'!A:AT,43,+FALSE)</f>
        <v>1969.4700000000003</v>
      </c>
    </row>
    <row r="878" spans="1:60" ht="24" hidden="1" customHeight="1" outlineLevel="1" x14ac:dyDescent="0.2">
      <c r="A878" s="59" t="s">
        <v>2035</v>
      </c>
      <c r="B878" s="59" t="s">
        <v>44</v>
      </c>
      <c r="C878" s="59" t="s">
        <v>82</v>
      </c>
      <c r="D878" s="66" t="s">
        <v>2036</v>
      </c>
      <c r="E878" s="59" t="s">
        <v>1275</v>
      </c>
      <c r="F878" s="60">
        <v>792311.92</v>
      </c>
      <c r="G878" s="60">
        <v>402311.34</v>
      </c>
      <c r="H878" s="60">
        <v>390000.58</v>
      </c>
      <c r="I878" s="59"/>
      <c r="J878" s="60">
        <v>30363.24</v>
      </c>
      <c r="K878" s="59"/>
      <c r="L878" s="59"/>
      <c r="M878" s="60">
        <v>792311.92</v>
      </c>
      <c r="N878" s="60">
        <v>432674.58</v>
      </c>
      <c r="O878" s="60">
        <v>359637.34</v>
      </c>
      <c r="P878" s="55"/>
      <c r="Q878" s="55"/>
      <c r="R878" s="61">
        <f t="shared" si="354"/>
        <v>2530.27</v>
      </c>
      <c r="S878" s="60">
        <v>2530.27</v>
      </c>
      <c r="T878" s="60">
        <v>2530.27</v>
      </c>
      <c r="U878" s="60">
        <v>2530.27</v>
      </c>
      <c r="V878" s="60">
        <v>2530.27</v>
      </c>
      <c r="W878" s="60">
        <v>2530.27</v>
      </c>
      <c r="X878" s="61">
        <f t="shared" si="355"/>
        <v>15181.62</v>
      </c>
      <c r="Y878" s="60">
        <v>2530.27</v>
      </c>
      <c r="Z878" s="60">
        <v>2530.27</v>
      </c>
      <c r="AA878" s="60">
        <v>2530.27</v>
      </c>
      <c r="AB878" s="60">
        <v>2530.27</v>
      </c>
      <c r="AC878" s="60">
        <v>2530.27</v>
      </c>
      <c r="AD878" s="60">
        <v>2530.27</v>
      </c>
      <c r="AE878" s="61">
        <f t="shared" si="356"/>
        <v>15181.62</v>
      </c>
      <c r="AF878" s="62">
        <f t="shared" si="363"/>
        <v>792311.92</v>
      </c>
      <c r="AG878" s="62">
        <f t="shared" si="362"/>
        <v>463037.82000000024</v>
      </c>
      <c r="AH878" s="62">
        <f t="shared" si="360"/>
        <v>329274.0999999998</v>
      </c>
      <c r="AI878" s="63"/>
      <c r="AJ878" s="63"/>
      <c r="AK878" s="62"/>
      <c r="AL878" s="60">
        <v>2530.27</v>
      </c>
      <c r="AM878" s="60">
        <v>2530.27</v>
      </c>
      <c r="AN878" s="60">
        <v>2530.27</v>
      </c>
      <c r="AO878" s="60">
        <v>2530.27</v>
      </c>
      <c r="AP878" s="60">
        <v>2530.27</v>
      </c>
      <c r="AQ878" s="60">
        <v>2530.27</v>
      </c>
      <c r="AR878" s="61">
        <f t="shared" si="357"/>
        <v>15181.62</v>
      </c>
      <c r="AS878" s="60">
        <v>2530.27</v>
      </c>
      <c r="AT878" s="60">
        <v>2530.27</v>
      </c>
      <c r="AU878" s="60">
        <v>2530.27</v>
      </c>
      <c r="AV878" s="60">
        <v>2530.27</v>
      </c>
      <c r="AW878" s="60">
        <v>2530.27</v>
      </c>
      <c r="AX878" s="60">
        <v>2530.27</v>
      </c>
      <c r="AY878" s="61">
        <f t="shared" si="358"/>
        <v>15181.62</v>
      </c>
      <c r="AZ878" s="56">
        <f t="shared" si="349"/>
        <v>30363.24</v>
      </c>
      <c r="BA878" s="62">
        <f t="shared" si="367"/>
        <v>792311.92</v>
      </c>
      <c r="BB878" s="62">
        <f t="shared" si="359"/>
        <v>493401.06000000046</v>
      </c>
      <c r="BC878" s="62">
        <f t="shared" si="368"/>
        <v>298910.85999999958</v>
      </c>
      <c r="BD878" s="63"/>
      <c r="BE878" s="57"/>
      <c r="BF878" s="35" t="str">
        <f>VLOOKUP(A:A,'2023-2027'!A:G,1,+FALSE)</f>
        <v>ТП №42 по ул. Рабочая  2008г(оборуд-е)</v>
      </c>
      <c r="BG878" s="7" t="b">
        <f t="shared" si="361"/>
        <v>1</v>
      </c>
      <c r="BH878" s="35">
        <f>VLOOKUP(A:A,'2023-2027'!A:AT,43,+FALSE)</f>
        <v>2784.1699999999996</v>
      </c>
    </row>
    <row r="879" spans="1:60" ht="12" hidden="1" customHeight="1" outlineLevel="1" x14ac:dyDescent="0.2">
      <c r="A879" s="59" t="s">
        <v>2037</v>
      </c>
      <c r="B879" s="59" t="s">
        <v>44</v>
      </c>
      <c r="C879" s="59" t="s">
        <v>82</v>
      </c>
      <c r="D879" s="66" t="s">
        <v>2038</v>
      </c>
      <c r="E879" s="59" t="s">
        <v>2039</v>
      </c>
      <c r="F879" s="60">
        <v>94845</v>
      </c>
      <c r="G879" s="60">
        <v>67381.88</v>
      </c>
      <c r="H879" s="60">
        <v>27463.119999999999</v>
      </c>
      <c r="I879" s="59"/>
      <c r="J879" s="60">
        <v>1607.64</v>
      </c>
      <c r="K879" s="59"/>
      <c r="L879" s="59"/>
      <c r="M879" s="60">
        <v>94845</v>
      </c>
      <c r="N879" s="60">
        <v>68989.52</v>
      </c>
      <c r="O879" s="60">
        <v>25855.48</v>
      </c>
      <c r="P879" s="55">
        <v>26659.3</v>
      </c>
      <c r="Q879" s="55">
        <f t="shared" ref="Q879:Q914" si="373">P879*2.2%</f>
        <v>586.5046000000001</v>
      </c>
      <c r="R879" s="61">
        <f t="shared" si="354"/>
        <v>133.97</v>
      </c>
      <c r="S879" s="60">
        <v>133.97</v>
      </c>
      <c r="T879" s="60">
        <v>133.97</v>
      </c>
      <c r="U879" s="60">
        <v>133.97</v>
      </c>
      <c r="V879" s="60">
        <v>133.97</v>
      </c>
      <c r="W879" s="60">
        <v>133.97</v>
      </c>
      <c r="X879" s="61">
        <f t="shared" si="355"/>
        <v>803.82</v>
      </c>
      <c r="Y879" s="60">
        <v>133.97</v>
      </c>
      <c r="Z879" s="60">
        <v>133.97</v>
      </c>
      <c r="AA879" s="60">
        <v>133.97</v>
      </c>
      <c r="AB879" s="60">
        <v>133.97</v>
      </c>
      <c r="AC879" s="60">
        <v>133.97</v>
      </c>
      <c r="AD879" s="60">
        <v>133.97</v>
      </c>
      <c r="AE879" s="61">
        <f t="shared" si="356"/>
        <v>803.82</v>
      </c>
      <c r="AF879" s="62">
        <f t="shared" si="363"/>
        <v>94845</v>
      </c>
      <c r="AG879" s="62">
        <f t="shared" si="362"/>
        <v>70597.160000000018</v>
      </c>
      <c r="AH879" s="62">
        <f t="shared" si="360"/>
        <v>24247.839999999982</v>
      </c>
      <c r="AI879" s="63">
        <v>25051.660000000011</v>
      </c>
      <c r="AJ879" s="63">
        <f t="shared" ref="AJ879:AJ914" si="374">AI879*2.2%</f>
        <v>551.13652000000025</v>
      </c>
      <c r="AK879" s="72">
        <f t="shared" ref="AK879:AK891" si="375">AI879*2.2%</f>
        <v>551.13652000000025</v>
      </c>
      <c r="AL879" s="60">
        <v>133.97</v>
      </c>
      <c r="AM879" s="60">
        <v>133.97</v>
      </c>
      <c r="AN879" s="60">
        <v>133.97</v>
      </c>
      <c r="AO879" s="60">
        <v>133.97</v>
      </c>
      <c r="AP879" s="60">
        <v>133.97</v>
      </c>
      <c r="AQ879" s="60">
        <v>133.97</v>
      </c>
      <c r="AR879" s="61">
        <f t="shared" si="357"/>
        <v>803.82</v>
      </c>
      <c r="AS879" s="60">
        <v>133.97</v>
      </c>
      <c r="AT879" s="60">
        <v>133.97</v>
      </c>
      <c r="AU879" s="60">
        <v>133.97</v>
      </c>
      <c r="AV879" s="60">
        <v>133.97</v>
      </c>
      <c r="AW879" s="60">
        <v>133.97</v>
      </c>
      <c r="AX879" s="60">
        <v>133.97</v>
      </c>
      <c r="AY879" s="61">
        <f t="shared" si="358"/>
        <v>803.82</v>
      </c>
      <c r="AZ879" s="56">
        <f t="shared" si="349"/>
        <v>1607.64</v>
      </c>
      <c r="BA879" s="62">
        <f t="shared" si="367"/>
        <v>94845</v>
      </c>
      <c r="BB879" s="62">
        <f t="shared" si="359"/>
        <v>72204.800000000032</v>
      </c>
      <c r="BC879" s="62">
        <f t="shared" si="368"/>
        <v>22640.199999999968</v>
      </c>
      <c r="BD879" s="63">
        <v>23444.020000000044</v>
      </c>
      <c r="BE879" s="57">
        <f t="shared" ref="BE879:BE886" si="376">BD879*2.2%</f>
        <v>515.76844000000096</v>
      </c>
      <c r="BF879" s="35" t="str">
        <f>VLOOKUP(A:A,'2023-2027'!A:G,1,+FALSE)</f>
        <v>ТП №42 ул Рабочая 21 1980г</v>
      </c>
      <c r="BG879" s="7" t="b">
        <f t="shared" si="361"/>
        <v>1</v>
      </c>
      <c r="BH879" s="35">
        <f>VLOOKUP(A:A,'2023-2027'!A:AT,43,+FALSE)</f>
        <v>133.97</v>
      </c>
    </row>
    <row r="880" spans="1:60" ht="24" hidden="1" customHeight="1" outlineLevel="1" x14ac:dyDescent="0.2">
      <c r="A880" s="59" t="s">
        <v>2040</v>
      </c>
      <c r="B880" s="59" t="s">
        <v>44</v>
      </c>
      <c r="C880" s="59" t="s">
        <v>82</v>
      </c>
      <c r="D880" s="65" t="s">
        <v>2041</v>
      </c>
      <c r="E880" s="59" t="s">
        <v>2042</v>
      </c>
      <c r="F880" s="60">
        <v>38224</v>
      </c>
      <c r="G880" s="60">
        <v>29935.279999999999</v>
      </c>
      <c r="H880" s="60">
        <v>8288.7199999999993</v>
      </c>
      <c r="I880" s="60">
        <v>1399514.21</v>
      </c>
      <c r="J880" s="68">
        <v>937.76</v>
      </c>
      <c r="K880" s="59"/>
      <c r="L880" s="59"/>
      <c r="M880" s="60">
        <v>1437738.21</v>
      </c>
      <c r="N880" s="60">
        <v>30873.040000000001</v>
      </c>
      <c r="O880" s="60">
        <v>1406865.17</v>
      </c>
      <c r="P880" s="55">
        <v>115474.77</v>
      </c>
      <c r="Q880" s="55">
        <f t="shared" si="373"/>
        <v>2540.4449400000003</v>
      </c>
      <c r="R880" s="61">
        <f t="shared" si="354"/>
        <v>78.146666666666661</v>
      </c>
      <c r="S880" s="60">
        <v>78.146666670000002</v>
      </c>
      <c r="T880" s="60">
        <v>78.146666670000002</v>
      </c>
      <c r="U880" s="60">
        <v>78.146666670000002</v>
      </c>
      <c r="V880" s="60">
        <v>78.146666670000002</v>
      </c>
      <c r="W880" s="60">
        <v>78.146666670000002</v>
      </c>
      <c r="X880" s="61">
        <f t="shared" si="355"/>
        <v>468.88000001666666</v>
      </c>
      <c r="Y880" s="60">
        <v>78.146666670000002</v>
      </c>
      <c r="Z880" s="60">
        <v>78.146666670000002</v>
      </c>
      <c r="AA880" s="60">
        <v>78.146666670000002</v>
      </c>
      <c r="AB880" s="60">
        <v>78.146666670000002</v>
      </c>
      <c r="AC880" s="60">
        <v>78.146666670000002</v>
      </c>
      <c r="AD880" s="60">
        <v>78.146666670000002</v>
      </c>
      <c r="AE880" s="61">
        <f t="shared" si="356"/>
        <v>468.88000002000001</v>
      </c>
      <c r="AF880" s="62">
        <f t="shared" si="363"/>
        <v>1437738.21</v>
      </c>
      <c r="AG880" s="62">
        <f t="shared" si="362"/>
        <v>31810.800000036666</v>
      </c>
      <c r="AH880" s="62">
        <f t="shared" si="360"/>
        <v>1405927.4099999634</v>
      </c>
      <c r="AI880" s="63">
        <v>1406396.2700000005</v>
      </c>
      <c r="AJ880" s="63">
        <f t="shared" si="374"/>
        <v>30940.717940000013</v>
      </c>
      <c r="AK880" s="72">
        <f t="shared" si="375"/>
        <v>30940.717940000013</v>
      </c>
      <c r="AL880" s="60">
        <v>78.146666670000002</v>
      </c>
      <c r="AM880" s="60">
        <v>78.146666670000002</v>
      </c>
      <c r="AN880" s="60">
        <v>78.146666670000002</v>
      </c>
      <c r="AO880" s="60">
        <v>78.146666670000002</v>
      </c>
      <c r="AP880" s="60">
        <v>78.146666670000002</v>
      </c>
      <c r="AQ880" s="60">
        <v>78.146666670000002</v>
      </c>
      <c r="AR880" s="61">
        <f t="shared" si="357"/>
        <v>468.88000002000001</v>
      </c>
      <c r="AS880" s="60">
        <v>78.146666670000002</v>
      </c>
      <c r="AT880" s="60">
        <v>78.146666670000002</v>
      </c>
      <c r="AU880" s="60">
        <v>78.146666670000002</v>
      </c>
      <c r="AV880" s="60">
        <v>78.146666670000002</v>
      </c>
      <c r="AW880" s="60">
        <v>78.146666670000002</v>
      </c>
      <c r="AX880" s="60">
        <v>78.146666670000002</v>
      </c>
      <c r="AY880" s="61">
        <f t="shared" si="358"/>
        <v>468.88000002000001</v>
      </c>
      <c r="AZ880" s="56">
        <f>AR880+AY880</f>
        <v>937.76000004000002</v>
      </c>
      <c r="BA880" s="62">
        <f t="shared" si="367"/>
        <v>1437738.21</v>
      </c>
      <c r="BB880" s="62">
        <f t="shared" si="359"/>
        <v>32748.560000076664</v>
      </c>
      <c r="BC880" s="62">
        <f t="shared" si="368"/>
        <v>1404989.6499999233</v>
      </c>
      <c r="BD880" s="63">
        <v>1405458.4700000016</v>
      </c>
      <c r="BE880" s="57">
        <f t="shared" si="376"/>
        <v>30920.086340000038</v>
      </c>
      <c r="BF880" s="35" t="str">
        <f>VLOOKUP(A:A,'2023-2027'!A:G,1,+FALSE)</f>
        <v>ТП №43 ул Рабочая водозабор  1996г.</v>
      </c>
      <c r="BG880" s="7" t="b">
        <f t="shared" si="361"/>
        <v>1</v>
      </c>
      <c r="BH880" s="35"/>
    </row>
    <row r="881" spans="1:60" ht="24" hidden="1" customHeight="1" outlineLevel="1" x14ac:dyDescent="0.2">
      <c r="A881" s="59" t="s">
        <v>2043</v>
      </c>
      <c r="B881" s="59" t="s">
        <v>44</v>
      </c>
      <c r="C881" s="59" t="s">
        <v>82</v>
      </c>
      <c r="D881" s="66" t="s">
        <v>2044</v>
      </c>
      <c r="E881" s="59" t="s">
        <v>1158</v>
      </c>
      <c r="F881" s="60">
        <v>1561848.18</v>
      </c>
      <c r="G881" s="60">
        <v>466304.4</v>
      </c>
      <c r="H881" s="60">
        <v>1095543.78</v>
      </c>
      <c r="I881" s="59"/>
      <c r="J881" s="60">
        <v>77717.399999999994</v>
      </c>
      <c r="K881" s="59"/>
      <c r="L881" s="59"/>
      <c r="M881" s="60">
        <v>1561848.18</v>
      </c>
      <c r="N881" s="60">
        <v>544021.80000000005</v>
      </c>
      <c r="O881" s="60">
        <v>1017826.38</v>
      </c>
      <c r="P881" s="55">
        <v>1056685.08</v>
      </c>
      <c r="Q881" s="55">
        <f t="shared" si="373"/>
        <v>23247.071760000003</v>
      </c>
      <c r="R881" s="61">
        <f t="shared" si="354"/>
        <v>6476.45</v>
      </c>
      <c r="S881" s="60">
        <v>6476.45</v>
      </c>
      <c r="T881" s="60">
        <v>6476.45</v>
      </c>
      <c r="U881" s="60">
        <v>6476.45</v>
      </c>
      <c r="V881" s="60">
        <v>6476.45</v>
      </c>
      <c r="W881" s="60">
        <v>6476.45</v>
      </c>
      <c r="X881" s="61">
        <f t="shared" si="355"/>
        <v>38858.699999999997</v>
      </c>
      <c r="Y881" s="60">
        <v>6476.45</v>
      </c>
      <c r="Z881" s="60">
        <v>6476.45</v>
      </c>
      <c r="AA881" s="60">
        <v>6476.45</v>
      </c>
      <c r="AB881" s="60">
        <v>6476.45</v>
      </c>
      <c r="AC881" s="60">
        <v>6476.45</v>
      </c>
      <c r="AD881" s="60">
        <v>6476.45</v>
      </c>
      <c r="AE881" s="61">
        <f t="shared" si="356"/>
        <v>38858.699999999997</v>
      </c>
      <c r="AF881" s="62">
        <f t="shared" si="363"/>
        <v>1561848.18</v>
      </c>
      <c r="AG881" s="62">
        <f t="shared" si="362"/>
        <v>621739.19999999949</v>
      </c>
      <c r="AH881" s="62">
        <f t="shared" si="360"/>
        <v>940108.98000000045</v>
      </c>
      <c r="AI881" s="63">
        <v>978967.68000000028</v>
      </c>
      <c r="AJ881" s="63">
        <f t="shared" si="374"/>
        <v>21537.288960000009</v>
      </c>
      <c r="AK881" s="72">
        <f t="shared" si="375"/>
        <v>21537.288960000009</v>
      </c>
      <c r="AL881" s="60">
        <v>6476.45</v>
      </c>
      <c r="AM881" s="60">
        <v>6476.45</v>
      </c>
      <c r="AN881" s="60">
        <v>6476.45</v>
      </c>
      <c r="AO881" s="60">
        <v>6476.45</v>
      </c>
      <c r="AP881" s="60">
        <v>6476.45</v>
      </c>
      <c r="AQ881" s="60">
        <v>6476.45</v>
      </c>
      <c r="AR881" s="61">
        <f t="shared" si="357"/>
        <v>38858.699999999997</v>
      </c>
      <c r="AS881" s="60">
        <v>6476.45</v>
      </c>
      <c r="AT881" s="60">
        <v>6476.45</v>
      </c>
      <c r="AU881" s="60">
        <v>6476.45</v>
      </c>
      <c r="AV881" s="60">
        <v>6476.45</v>
      </c>
      <c r="AW881" s="60">
        <v>6476.45</v>
      </c>
      <c r="AX881" s="60">
        <v>6476.45</v>
      </c>
      <c r="AY881" s="61">
        <f t="shared" si="358"/>
        <v>38858.699999999997</v>
      </c>
      <c r="AZ881" s="56">
        <f t="shared" si="349"/>
        <v>77717.399999999994</v>
      </c>
      <c r="BA881" s="62">
        <f t="shared" si="367"/>
        <v>1561848.18</v>
      </c>
      <c r="BB881" s="62">
        <f t="shared" si="359"/>
        <v>699456.59999999893</v>
      </c>
      <c r="BC881" s="62">
        <f t="shared" si="368"/>
        <v>862391.58000000101</v>
      </c>
      <c r="BD881" s="63">
        <v>901250.28000000096</v>
      </c>
      <c r="BE881" s="57">
        <f t="shared" si="376"/>
        <v>19827.506160000023</v>
      </c>
      <c r="BF881" s="35" t="str">
        <f>VLOOKUP(A:A,'2023-2027'!A:G,1,+FALSE)</f>
        <v>ТП №44 "Ненецкая СББЖ г.Нарьян-Мара"</v>
      </c>
      <c r="BG881" s="7" t="b">
        <f t="shared" si="361"/>
        <v>1</v>
      </c>
      <c r="BH881" s="35">
        <f>VLOOKUP(A:A,'2023-2027'!A:AT,43,+FALSE)</f>
        <v>6507.699999999998</v>
      </c>
    </row>
    <row r="882" spans="1:60" ht="12" hidden="1" customHeight="1" outlineLevel="1" x14ac:dyDescent="0.2">
      <c r="A882" s="59" t="s">
        <v>2045</v>
      </c>
      <c r="B882" s="59" t="s">
        <v>44</v>
      </c>
      <c r="C882" s="59" t="s">
        <v>82</v>
      </c>
      <c r="D882" s="66" t="s">
        <v>2046</v>
      </c>
      <c r="E882" s="59" t="s">
        <v>2047</v>
      </c>
      <c r="F882" s="60">
        <v>636241.19999999995</v>
      </c>
      <c r="G882" s="60">
        <v>551895.57999999996</v>
      </c>
      <c r="H882" s="60">
        <v>84345.62</v>
      </c>
      <c r="I882" s="59"/>
      <c r="J882" s="60">
        <v>41915.769999999997</v>
      </c>
      <c r="K882" s="59"/>
      <c r="L882" s="59"/>
      <c r="M882" s="60">
        <v>636241.19999999995</v>
      </c>
      <c r="N882" s="60">
        <v>593811.35</v>
      </c>
      <c r="O882" s="60">
        <v>42429.85</v>
      </c>
      <c r="P882" s="55">
        <v>63387.74</v>
      </c>
      <c r="Q882" s="55">
        <f t="shared" si="373"/>
        <v>1394.5302800000002</v>
      </c>
      <c r="R882" s="61">
        <f t="shared" si="354"/>
        <v>3492.9808333333331</v>
      </c>
      <c r="S882" s="60">
        <v>3492.9808330000001</v>
      </c>
      <c r="T882" s="60">
        <v>3492.9808330000001</v>
      </c>
      <c r="U882" s="60">
        <v>3492.9808330000001</v>
      </c>
      <c r="V882" s="60">
        <v>3492.9808330000001</v>
      </c>
      <c r="W882" s="60">
        <v>3492.9808330000001</v>
      </c>
      <c r="X882" s="61">
        <f t="shared" si="355"/>
        <v>20957.884998333335</v>
      </c>
      <c r="Y882" s="60">
        <v>3492.9808330000001</v>
      </c>
      <c r="Z882" s="60">
        <v>3492.9808330000001</v>
      </c>
      <c r="AA882" s="60">
        <v>3492.9808330000001</v>
      </c>
      <c r="AB882" s="60">
        <v>3492.9808330000001</v>
      </c>
      <c r="AC882" s="60">
        <v>3492.9808330000001</v>
      </c>
      <c r="AD882" s="60">
        <v>3492.9808330000001</v>
      </c>
      <c r="AE882" s="61">
        <f t="shared" si="356"/>
        <v>20957.884998000001</v>
      </c>
      <c r="AF882" s="62">
        <f t="shared" si="363"/>
        <v>636241.19999999995</v>
      </c>
      <c r="AG882" s="62">
        <f t="shared" si="362"/>
        <v>635727.11999633373</v>
      </c>
      <c r="AH882" s="62">
        <f t="shared" si="360"/>
        <v>514.08000366622582</v>
      </c>
      <c r="AI882" s="63">
        <v>21471.970000000027</v>
      </c>
      <c r="AJ882" s="63">
        <f t="shared" si="374"/>
        <v>472.38334000000066</v>
      </c>
      <c r="AK882" s="72">
        <f t="shared" si="375"/>
        <v>472.38334000000066</v>
      </c>
      <c r="AL882" s="60">
        <v>514.08000000000004</v>
      </c>
      <c r="AM882" s="60"/>
      <c r="AN882" s="60"/>
      <c r="AO882" s="60"/>
      <c r="AP882" s="60"/>
      <c r="AQ882" s="60"/>
      <c r="AR882" s="61">
        <f t="shared" si="357"/>
        <v>514.08000000000004</v>
      </c>
      <c r="AS882" s="60"/>
      <c r="AT882" s="60"/>
      <c r="AU882" s="60"/>
      <c r="AV882" s="60"/>
      <c r="AW882" s="60"/>
      <c r="AX882" s="60"/>
      <c r="AY882" s="61">
        <f t="shared" si="358"/>
        <v>0</v>
      </c>
      <c r="AZ882" s="56">
        <f t="shared" si="349"/>
        <v>514.08000000000004</v>
      </c>
      <c r="BA882" s="62">
        <f t="shared" si="367"/>
        <v>636241.19999999995</v>
      </c>
      <c r="BB882" s="62">
        <f t="shared" si="359"/>
        <v>636241.19999633369</v>
      </c>
      <c r="BC882" s="62">
        <f t="shared" si="368"/>
        <v>3.6662677302956581E-6</v>
      </c>
      <c r="BD882" s="63">
        <v>514.09000000004744</v>
      </c>
      <c r="BE882" s="57">
        <f t="shared" si="376"/>
        <v>11.309980000001044</v>
      </c>
      <c r="BF882" s="35" t="str">
        <f>VLOOKUP(A:A,'2023-2027'!A:G,1,+FALSE)</f>
        <v>ТП №45 ПОКиТС 2008г</v>
      </c>
      <c r="BG882" s="7" t="b">
        <f t="shared" si="361"/>
        <v>1</v>
      </c>
      <c r="BH882" s="35">
        <f>VLOOKUP(A:A,'2023-2027'!A:AT,43,+FALSE)</f>
        <v>0</v>
      </c>
    </row>
    <row r="883" spans="1:60" ht="12" hidden="1" customHeight="1" outlineLevel="1" x14ac:dyDescent="0.2">
      <c r="A883" s="59" t="s">
        <v>2048</v>
      </c>
      <c r="B883" s="59" t="s">
        <v>44</v>
      </c>
      <c r="C883" s="59" t="s">
        <v>82</v>
      </c>
      <c r="D883" s="66" t="s">
        <v>2049</v>
      </c>
      <c r="E883" s="59" t="s">
        <v>1322</v>
      </c>
      <c r="F883" s="60">
        <v>84493.17</v>
      </c>
      <c r="G883" s="60">
        <v>35136.78</v>
      </c>
      <c r="H883" s="60">
        <v>49356.39</v>
      </c>
      <c r="I883" s="59"/>
      <c r="J883" s="60">
        <v>1355.88</v>
      </c>
      <c r="K883" s="59"/>
      <c r="L883" s="59"/>
      <c r="M883" s="60">
        <v>84493.17</v>
      </c>
      <c r="N883" s="60">
        <v>36492.660000000003</v>
      </c>
      <c r="O883" s="60">
        <v>48000.51</v>
      </c>
      <c r="P883" s="55">
        <v>48678.45</v>
      </c>
      <c r="Q883" s="55">
        <f t="shared" si="373"/>
        <v>1070.9259</v>
      </c>
      <c r="R883" s="61">
        <f t="shared" si="354"/>
        <v>112.99000000000001</v>
      </c>
      <c r="S883" s="60">
        <v>112.99</v>
      </c>
      <c r="T883" s="60">
        <v>112.99</v>
      </c>
      <c r="U883" s="60">
        <v>112.99</v>
      </c>
      <c r="V883" s="60">
        <v>112.99</v>
      </c>
      <c r="W883" s="60">
        <v>112.99</v>
      </c>
      <c r="X883" s="61">
        <f t="shared" si="355"/>
        <v>677.94</v>
      </c>
      <c r="Y883" s="60">
        <v>112.99</v>
      </c>
      <c r="Z883" s="60">
        <v>112.99</v>
      </c>
      <c r="AA883" s="60">
        <v>112.99</v>
      </c>
      <c r="AB883" s="60">
        <v>112.99</v>
      </c>
      <c r="AC883" s="60">
        <v>112.99</v>
      </c>
      <c r="AD883" s="60">
        <v>112.99</v>
      </c>
      <c r="AE883" s="61">
        <f t="shared" si="356"/>
        <v>677.93999999999994</v>
      </c>
      <c r="AF883" s="62">
        <f t="shared" si="363"/>
        <v>84493.17</v>
      </c>
      <c r="AG883" s="62">
        <f t="shared" si="362"/>
        <v>37848.539999999979</v>
      </c>
      <c r="AH883" s="62">
        <f t="shared" si="360"/>
        <v>46644.630000000019</v>
      </c>
      <c r="AI883" s="63">
        <v>47322.570000000014</v>
      </c>
      <c r="AJ883" s="63">
        <f t="shared" si="374"/>
        <v>1041.0965400000005</v>
      </c>
      <c r="AK883" s="72">
        <f t="shared" si="375"/>
        <v>1041.0965400000005</v>
      </c>
      <c r="AL883" s="60">
        <v>112.99</v>
      </c>
      <c r="AM883" s="60">
        <v>112.99</v>
      </c>
      <c r="AN883" s="60">
        <v>112.99</v>
      </c>
      <c r="AO883" s="60">
        <v>112.99</v>
      </c>
      <c r="AP883" s="60">
        <v>112.99</v>
      </c>
      <c r="AQ883" s="60">
        <v>112.99</v>
      </c>
      <c r="AR883" s="61">
        <f t="shared" si="357"/>
        <v>677.93999999999994</v>
      </c>
      <c r="AS883" s="60">
        <v>112.99</v>
      </c>
      <c r="AT883" s="60">
        <v>112.99</v>
      </c>
      <c r="AU883" s="60">
        <v>112.99</v>
      </c>
      <c r="AV883" s="60">
        <v>112.99</v>
      </c>
      <c r="AW883" s="60">
        <v>112.99</v>
      </c>
      <c r="AX883" s="60">
        <v>112.99</v>
      </c>
      <c r="AY883" s="61">
        <f t="shared" si="358"/>
        <v>677.93999999999994</v>
      </c>
      <c r="AZ883" s="56">
        <f t="shared" si="349"/>
        <v>1355.8799999999999</v>
      </c>
      <c r="BA883" s="62">
        <f t="shared" si="367"/>
        <v>84493.17</v>
      </c>
      <c r="BB883" s="62">
        <f t="shared" si="359"/>
        <v>39204.419999999955</v>
      </c>
      <c r="BC883" s="62">
        <f t="shared" si="368"/>
        <v>45288.750000000044</v>
      </c>
      <c r="BD883" s="63">
        <v>45966.690000000031</v>
      </c>
      <c r="BE883" s="57">
        <f t="shared" si="376"/>
        <v>1011.2671800000008</v>
      </c>
      <c r="BF883" s="35" t="str">
        <f>VLOOKUP(A:A,'2023-2027'!A:G,1,+FALSE)</f>
        <v>ТП №48 Угольная</v>
      </c>
      <c r="BG883" s="7" t="b">
        <f t="shared" si="361"/>
        <v>1</v>
      </c>
      <c r="BH883" s="35">
        <f>VLOOKUP(A:A,'2023-2027'!A:AT,43,+FALSE)</f>
        <v>155.40000000000003</v>
      </c>
    </row>
    <row r="884" spans="1:60" ht="24" hidden="1" customHeight="1" outlineLevel="1" x14ac:dyDescent="0.2">
      <c r="A884" s="59" t="s">
        <v>2050</v>
      </c>
      <c r="B884" s="59" t="s">
        <v>44</v>
      </c>
      <c r="C884" s="59" t="s">
        <v>82</v>
      </c>
      <c r="D884" s="66" t="s">
        <v>2051</v>
      </c>
      <c r="E884" s="59" t="s">
        <v>590</v>
      </c>
      <c r="F884" s="60">
        <v>5770950</v>
      </c>
      <c r="G884" s="60">
        <v>3165773.16</v>
      </c>
      <c r="H884" s="60">
        <v>2605176.84</v>
      </c>
      <c r="I884" s="59"/>
      <c r="J884" s="60">
        <v>287797.44</v>
      </c>
      <c r="K884" s="59"/>
      <c r="L884" s="59"/>
      <c r="M884" s="60">
        <v>5770950</v>
      </c>
      <c r="N884" s="60">
        <v>3453570.6</v>
      </c>
      <c r="O884" s="60">
        <v>2317379.4</v>
      </c>
      <c r="P884" s="55">
        <v>2461278.12</v>
      </c>
      <c r="Q884" s="55">
        <f t="shared" si="373"/>
        <v>54148.118640000008</v>
      </c>
      <c r="R884" s="61">
        <f t="shared" si="354"/>
        <v>23983.119999999999</v>
      </c>
      <c r="S884" s="60">
        <v>23983.119999999999</v>
      </c>
      <c r="T884" s="60">
        <v>23983.119999999999</v>
      </c>
      <c r="U884" s="60">
        <v>23983.119999999999</v>
      </c>
      <c r="V884" s="60">
        <v>23983.119999999999</v>
      </c>
      <c r="W884" s="60">
        <v>23983.119999999999</v>
      </c>
      <c r="X884" s="61">
        <f t="shared" si="355"/>
        <v>143898.72</v>
      </c>
      <c r="Y884" s="60">
        <v>23983.119999999999</v>
      </c>
      <c r="Z884" s="60">
        <v>23983.119999999999</v>
      </c>
      <c r="AA884" s="60">
        <v>23983.119999999999</v>
      </c>
      <c r="AB884" s="60">
        <v>23983.119999999999</v>
      </c>
      <c r="AC884" s="60">
        <v>23983.119999999999</v>
      </c>
      <c r="AD884" s="60">
        <v>23983.119999999999</v>
      </c>
      <c r="AE884" s="61">
        <f t="shared" si="356"/>
        <v>143898.72</v>
      </c>
      <c r="AF884" s="62">
        <f t="shared" si="363"/>
        <v>5770950</v>
      </c>
      <c r="AG884" s="62">
        <f t="shared" si="362"/>
        <v>3741368.0400000014</v>
      </c>
      <c r="AH884" s="62">
        <f t="shared" si="360"/>
        <v>2029581.9599999986</v>
      </c>
      <c r="AI884" s="63">
        <v>2173480.6800000025</v>
      </c>
      <c r="AJ884" s="63">
        <f t="shared" si="374"/>
        <v>47816.574960000056</v>
      </c>
      <c r="AK884" s="72">
        <f t="shared" si="375"/>
        <v>47816.574960000056</v>
      </c>
      <c r="AL884" s="60">
        <v>23983.119999999999</v>
      </c>
      <c r="AM884" s="60">
        <v>23983.119999999999</v>
      </c>
      <c r="AN884" s="60">
        <v>23983.119999999999</v>
      </c>
      <c r="AO884" s="60">
        <v>23983.119999999999</v>
      </c>
      <c r="AP884" s="60">
        <v>23983.119999999999</v>
      </c>
      <c r="AQ884" s="60">
        <v>23983.119999999999</v>
      </c>
      <c r="AR884" s="61">
        <f t="shared" si="357"/>
        <v>143898.72</v>
      </c>
      <c r="AS884" s="60">
        <v>23983.119999999999</v>
      </c>
      <c r="AT884" s="60">
        <v>23983.119999999999</v>
      </c>
      <c r="AU884" s="60">
        <v>23983.119999999999</v>
      </c>
      <c r="AV884" s="60">
        <v>23983.119999999999</v>
      </c>
      <c r="AW884" s="60">
        <v>23983.119999999999</v>
      </c>
      <c r="AX884" s="60">
        <v>23983.119999999999</v>
      </c>
      <c r="AY884" s="61">
        <f t="shared" si="358"/>
        <v>143898.72</v>
      </c>
      <c r="AZ884" s="56">
        <f t="shared" si="349"/>
        <v>287797.44</v>
      </c>
      <c r="BA884" s="62">
        <f t="shared" si="367"/>
        <v>5770950</v>
      </c>
      <c r="BB884" s="62">
        <f t="shared" si="359"/>
        <v>4029165.4800000028</v>
      </c>
      <c r="BC884" s="62">
        <f t="shared" si="368"/>
        <v>1741784.5199999972</v>
      </c>
      <c r="BD884" s="63">
        <v>1885683.240000006</v>
      </c>
      <c r="BE884" s="57">
        <f t="shared" si="376"/>
        <v>41485.031280000134</v>
      </c>
      <c r="BF884" s="35" t="str">
        <f>VLOOKUP(A:A,'2023-2027'!A:G,1,+FALSE)</f>
        <v>ТП №5/1 2КТПН-630/6/0,4 Смидовича 20А 2010г</v>
      </c>
      <c r="BG884" s="7" t="b">
        <f t="shared" si="361"/>
        <v>1</v>
      </c>
      <c r="BH884" s="35">
        <f>VLOOKUP(A:A,'2023-2027'!A:AT,43,+FALSE)</f>
        <v>24045.63</v>
      </c>
    </row>
    <row r="885" spans="1:60" ht="24" hidden="1" customHeight="1" outlineLevel="1" x14ac:dyDescent="0.2">
      <c r="A885" s="59" t="s">
        <v>2052</v>
      </c>
      <c r="B885" s="59" t="s">
        <v>44</v>
      </c>
      <c r="C885" s="59" t="s">
        <v>82</v>
      </c>
      <c r="D885" s="66" t="s">
        <v>2053</v>
      </c>
      <c r="E885" s="59" t="s">
        <v>1403</v>
      </c>
      <c r="F885" s="60">
        <v>511304</v>
      </c>
      <c r="G885" s="60">
        <v>207987.84</v>
      </c>
      <c r="H885" s="60">
        <v>303316.15999999997</v>
      </c>
      <c r="I885" s="60">
        <v>9776270.8100000005</v>
      </c>
      <c r="J885" s="60">
        <v>8666.16</v>
      </c>
      <c r="K885" s="59"/>
      <c r="L885" s="59"/>
      <c r="M885" s="60">
        <v>10287574.810000001</v>
      </c>
      <c r="N885" s="60">
        <v>216654</v>
      </c>
      <c r="O885" s="60">
        <v>10070920.810000001</v>
      </c>
      <c r="P885" s="55">
        <v>1051003.9099999999</v>
      </c>
      <c r="Q885" s="55">
        <f t="shared" si="373"/>
        <v>23122.086019999999</v>
      </c>
      <c r="R885" s="61">
        <f t="shared" si="354"/>
        <v>722.18</v>
      </c>
      <c r="S885" s="60">
        <v>722.18</v>
      </c>
      <c r="T885" s="60">
        <v>722.18</v>
      </c>
      <c r="U885" s="60">
        <v>722.18</v>
      </c>
      <c r="V885" s="60">
        <v>722.18</v>
      </c>
      <c r="W885" s="60">
        <v>722.18</v>
      </c>
      <c r="X885" s="61">
        <f t="shared" si="355"/>
        <v>4333.08</v>
      </c>
      <c r="Y885" s="60">
        <v>722.18</v>
      </c>
      <c r="Z885" s="60">
        <v>722.18</v>
      </c>
      <c r="AA885" s="60">
        <v>722.18</v>
      </c>
      <c r="AB885" s="60">
        <v>722.18</v>
      </c>
      <c r="AC885" s="60">
        <v>722.18</v>
      </c>
      <c r="AD885" s="60">
        <v>722.18</v>
      </c>
      <c r="AE885" s="61">
        <f t="shared" si="356"/>
        <v>4333.08</v>
      </c>
      <c r="AF885" s="62">
        <f t="shared" si="363"/>
        <v>10287574.810000001</v>
      </c>
      <c r="AG885" s="62">
        <f t="shared" si="362"/>
        <v>225320.15999999992</v>
      </c>
      <c r="AH885" s="62">
        <f t="shared" si="360"/>
        <v>10062254.65</v>
      </c>
      <c r="AI885" s="63">
        <v>10066587.730000002</v>
      </c>
      <c r="AJ885" s="63">
        <f t="shared" si="374"/>
        <v>221464.93006000007</v>
      </c>
      <c r="AK885" s="72">
        <f t="shared" si="375"/>
        <v>221464.93006000007</v>
      </c>
      <c r="AL885" s="60">
        <v>722.18</v>
      </c>
      <c r="AM885" s="60">
        <v>722.18</v>
      </c>
      <c r="AN885" s="60">
        <v>722.18</v>
      </c>
      <c r="AO885" s="60">
        <v>722.18</v>
      </c>
      <c r="AP885" s="60">
        <v>722.18</v>
      </c>
      <c r="AQ885" s="60">
        <v>722.18</v>
      </c>
      <c r="AR885" s="61">
        <f t="shared" si="357"/>
        <v>4333.08</v>
      </c>
      <c r="AS885" s="60">
        <v>722.18</v>
      </c>
      <c r="AT885" s="60">
        <v>722.18</v>
      </c>
      <c r="AU885" s="60">
        <v>722.18</v>
      </c>
      <c r="AV885" s="60">
        <v>722.18</v>
      </c>
      <c r="AW885" s="60">
        <v>722.18</v>
      </c>
      <c r="AX885" s="60">
        <v>722.18</v>
      </c>
      <c r="AY885" s="61">
        <f t="shared" si="358"/>
        <v>4333.08</v>
      </c>
      <c r="AZ885" s="56">
        <f t="shared" si="349"/>
        <v>8666.16</v>
      </c>
      <c r="BA885" s="62">
        <f t="shared" si="367"/>
        <v>10287574.810000001</v>
      </c>
      <c r="BB885" s="62">
        <f t="shared" si="359"/>
        <v>233986.31999999983</v>
      </c>
      <c r="BC885" s="62">
        <f t="shared" si="368"/>
        <v>10053588.49</v>
      </c>
      <c r="BD885" s="63">
        <v>10057921.570000006</v>
      </c>
      <c r="BE885" s="57">
        <f t="shared" si="376"/>
        <v>221274.27454000016</v>
      </c>
      <c r="BF885" s="35" t="str">
        <f>VLOOKUP(A:A,'2023-2027'!A:G,1,+FALSE)</f>
        <v>ТП №51 ГОСНИ по НАО К-42-630 1997г.</v>
      </c>
      <c r="BG885" s="7" t="b">
        <f t="shared" si="361"/>
        <v>1</v>
      </c>
      <c r="BH885" s="35">
        <f>VLOOKUP(A:A,'2023-2027'!A:AT,43,+FALSE)</f>
        <v>24683.628854685943</v>
      </c>
    </row>
    <row r="886" spans="1:60" ht="12" hidden="1" customHeight="1" outlineLevel="1" x14ac:dyDescent="0.2">
      <c r="A886" s="59" t="s">
        <v>2054</v>
      </c>
      <c r="B886" s="59" t="s">
        <v>44</v>
      </c>
      <c r="C886" s="59" t="s">
        <v>82</v>
      </c>
      <c r="D886" s="66" t="s">
        <v>2055</v>
      </c>
      <c r="E886" s="59" t="s">
        <v>1403</v>
      </c>
      <c r="F886" s="60">
        <v>55000</v>
      </c>
      <c r="G886" s="60">
        <v>42883.199999999997</v>
      </c>
      <c r="H886" s="60">
        <v>12116.8</v>
      </c>
      <c r="I886" s="59"/>
      <c r="J886" s="60">
        <v>1787.16</v>
      </c>
      <c r="K886" s="59"/>
      <c r="L886" s="59"/>
      <c r="M886" s="60">
        <v>55000</v>
      </c>
      <c r="N886" s="60">
        <v>44670.36</v>
      </c>
      <c r="O886" s="60">
        <v>10329.64</v>
      </c>
      <c r="P886" s="55">
        <v>11223.22</v>
      </c>
      <c r="Q886" s="55">
        <f t="shared" si="373"/>
        <v>246.91084000000001</v>
      </c>
      <c r="R886" s="61">
        <f t="shared" si="354"/>
        <v>148.93</v>
      </c>
      <c r="S886" s="60">
        <v>148.93</v>
      </c>
      <c r="T886" s="60">
        <v>148.93</v>
      </c>
      <c r="U886" s="60">
        <v>148.93</v>
      </c>
      <c r="V886" s="60">
        <v>148.93</v>
      </c>
      <c r="W886" s="60">
        <v>148.93</v>
      </c>
      <c r="X886" s="61">
        <f t="shared" si="355"/>
        <v>893.58000000000015</v>
      </c>
      <c r="Y886" s="60">
        <v>148.93</v>
      </c>
      <c r="Z886" s="60">
        <v>148.93</v>
      </c>
      <c r="AA886" s="60">
        <v>148.93</v>
      </c>
      <c r="AB886" s="60">
        <v>148.93</v>
      </c>
      <c r="AC886" s="60">
        <v>148.93</v>
      </c>
      <c r="AD886" s="60">
        <v>148.93</v>
      </c>
      <c r="AE886" s="61">
        <f t="shared" si="356"/>
        <v>893.58000000000015</v>
      </c>
      <c r="AF886" s="62">
        <f t="shared" si="363"/>
        <v>55000</v>
      </c>
      <c r="AG886" s="62">
        <f t="shared" si="362"/>
        <v>46457.520000000004</v>
      </c>
      <c r="AH886" s="62">
        <f t="shared" si="360"/>
        <v>8542.4799999999959</v>
      </c>
      <c r="AI886" s="63">
        <v>9436.0600000000086</v>
      </c>
      <c r="AJ886" s="63">
        <f t="shared" si="374"/>
        <v>207.5933200000002</v>
      </c>
      <c r="AK886" s="72">
        <f t="shared" si="375"/>
        <v>207.5933200000002</v>
      </c>
      <c r="AL886" s="60">
        <v>148.93</v>
      </c>
      <c r="AM886" s="60">
        <v>148.93</v>
      </c>
      <c r="AN886" s="60">
        <v>148.93</v>
      </c>
      <c r="AO886" s="60">
        <v>148.93</v>
      </c>
      <c r="AP886" s="60">
        <v>148.93</v>
      </c>
      <c r="AQ886" s="60">
        <v>148.93</v>
      </c>
      <c r="AR886" s="61">
        <f t="shared" si="357"/>
        <v>893.58000000000015</v>
      </c>
      <c r="AS886" s="60">
        <v>148.93</v>
      </c>
      <c r="AT886" s="60">
        <v>148.93</v>
      </c>
      <c r="AU886" s="60">
        <v>148.93</v>
      </c>
      <c r="AV886" s="60">
        <v>148.93</v>
      </c>
      <c r="AW886" s="60">
        <v>148.93</v>
      </c>
      <c r="AX886" s="60">
        <v>148.93</v>
      </c>
      <c r="AY886" s="61">
        <f t="shared" si="358"/>
        <v>893.58000000000015</v>
      </c>
      <c r="AZ886" s="56">
        <f t="shared" si="349"/>
        <v>1787.1600000000003</v>
      </c>
      <c r="BA886" s="62">
        <f t="shared" si="367"/>
        <v>55000</v>
      </c>
      <c r="BB886" s="62">
        <f t="shared" si="359"/>
        <v>48244.680000000008</v>
      </c>
      <c r="BC886" s="62">
        <f t="shared" si="368"/>
        <v>6755.3199999999924</v>
      </c>
      <c r="BD886" s="63">
        <v>7648.9000000000251</v>
      </c>
      <c r="BE886" s="57">
        <f t="shared" si="376"/>
        <v>168.27580000000057</v>
      </c>
      <c r="BF886" s="35" t="str">
        <f>VLOOKUP(A:A,'2023-2027'!A:G,1,+FALSE)</f>
        <v>ТП №54  на базе ДРСУ</v>
      </c>
      <c r="BG886" s="7" t="b">
        <f t="shared" si="361"/>
        <v>1</v>
      </c>
      <c r="BH886" s="35">
        <f>VLOOKUP(A:A,'2023-2027'!A:AT,43,+FALSE)</f>
        <v>199.28</v>
      </c>
    </row>
    <row r="887" spans="1:60" ht="24" hidden="1" customHeight="1" outlineLevel="1" x14ac:dyDescent="0.2">
      <c r="A887" s="59" t="s">
        <v>2056</v>
      </c>
      <c r="B887" s="59" t="s">
        <v>44</v>
      </c>
      <c r="C887" s="59" t="s">
        <v>82</v>
      </c>
      <c r="D887" s="66" t="s">
        <v>2057</v>
      </c>
      <c r="E887" s="59" t="s">
        <v>2058</v>
      </c>
      <c r="F887" s="60">
        <v>15845</v>
      </c>
      <c r="G887" s="60">
        <v>5423.86</v>
      </c>
      <c r="H887" s="60">
        <v>10421.14</v>
      </c>
      <c r="I887" s="59"/>
      <c r="J887" s="68">
        <v>217.68</v>
      </c>
      <c r="K887" s="60">
        <v>15845</v>
      </c>
      <c r="L887" s="60">
        <v>5641.54</v>
      </c>
      <c r="M887" s="59"/>
      <c r="N887" s="59"/>
      <c r="O887" s="59"/>
      <c r="P887" s="73">
        <v>9527.42</v>
      </c>
      <c r="Q887" s="55">
        <f t="shared" si="373"/>
        <v>209.60324000000003</v>
      </c>
      <c r="R887" s="61"/>
      <c r="S887" s="60"/>
      <c r="T887" s="60"/>
      <c r="U887" s="60"/>
      <c r="V887" s="60"/>
      <c r="W887" s="60"/>
      <c r="X887" s="61">
        <f t="shared" si="355"/>
        <v>0</v>
      </c>
      <c r="Y887" s="60"/>
      <c r="Z887" s="60"/>
      <c r="AA887" s="60"/>
      <c r="AB887" s="60"/>
      <c r="AC887" s="60"/>
      <c r="AD887" s="60"/>
      <c r="AE887" s="61">
        <f t="shared" si="356"/>
        <v>0</v>
      </c>
      <c r="AF887" s="62">
        <f t="shared" si="363"/>
        <v>0</v>
      </c>
      <c r="AG887" s="62">
        <f t="shared" si="362"/>
        <v>0</v>
      </c>
      <c r="AH887" s="62">
        <f t="shared" si="360"/>
        <v>0</v>
      </c>
      <c r="AI887" s="63">
        <v>0</v>
      </c>
      <c r="AJ887" s="63">
        <f t="shared" si="374"/>
        <v>0</v>
      </c>
      <c r="AK887" s="72"/>
      <c r="AL887" s="60"/>
      <c r="AM887" s="60"/>
      <c r="AN887" s="60"/>
      <c r="AO887" s="60"/>
      <c r="AP887" s="60"/>
      <c r="AQ887" s="60"/>
      <c r="AR887" s="61">
        <f t="shared" si="357"/>
        <v>0</v>
      </c>
      <c r="AS887" s="60"/>
      <c r="AT887" s="60"/>
      <c r="AU887" s="60"/>
      <c r="AV887" s="60"/>
      <c r="AW887" s="60"/>
      <c r="AX887" s="60"/>
      <c r="AY887" s="61">
        <f t="shared" si="358"/>
        <v>0</v>
      </c>
      <c r="AZ887" s="56">
        <f t="shared" si="349"/>
        <v>0</v>
      </c>
      <c r="BA887" s="62">
        <f t="shared" si="367"/>
        <v>0</v>
      </c>
      <c r="BB887" s="62">
        <f t="shared" si="359"/>
        <v>0</v>
      </c>
      <c r="BC887" s="62">
        <f t="shared" si="368"/>
        <v>0</v>
      </c>
      <c r="BD887" s="63">
        <v>0</v>
      </c>
      <c r="BE887" s="57"/>
      <c r="BF887" s="35" t="str">
        <f>VLOOKUP(A:A,'2023-2027'!A:G,1,+FALSE)</f>
        <v>ТП №56 Факел звероферма КТП  1997г  ч/з ле/з курью</v>
      </c>
      <c r="BG887" s="7" t="b">
        <f t="shared" si="361"/>
        <v>1</v>
      </c>
      <c r="BH887" s="35">
        <f>VLOOKUP(A:A,'2023-2027'!A:AT,43,+FALSE)</f>
        <v>22.38</v>
      </c>
    </row>
    <row r="888" spans="1:60" ht="24" hidden="1" customHeight="1" outlineLevel="1" x14ac:dyDescent="0.2">
      <c r="A888" s="59" t="s">
        <v>2059</v>
      </c>
      <c r="B888" s="59" t="s">
        <v>44</v>
      </c>
      <c r="C888" s="59" t="s">
        <v>82</v>
      </c>
      <c r="D888" s="66" t="s">
        <v>2060</v>
      </c>
      <c r="E888" s="59" t="s">
        <v>1403</v>
      </c>
      <c r="F888" s="60">
        <v>1759133.06</v>
      </c>
      <c r="G888" s="60">
        <v>715579.2</v>
      </c>
      <c r="H888" s="60">
        <v>1043553.86</v>
      </c>
      <c r="I888" s="59"/>
      <c r="J888" s="60">
        <v>29815.8</v>
      </c>
      <c r="K888" s="59"/>
      <c r="L888" s="59"/>
      <c r="M888" s="60">
        <v>1759133.06</v>
      </c>
      <c r="N888" s="60">
        <v>745395</v>
      </c>
      <c r="O888" s="60">
        <v>1013738.06</v>
      </c>
      <c r="P888" s="55">
        <v>1028645.96</v>
      </c>
      <c r="Q888" s="55">
        <f t="shared" si="373"/>
        <v>22630.21112</v>
      </c>
      <c r="R888" s="61">
        <f t="shared" si="354"/>
        <v>2484.65</v>
      </c>
      <c r="S888" s="60">
        <v>2484.65</v>
      </c>
      <c r="T888" s="60">
        <v>2484.65</v>
      </c>
      <c r="U888" s="60">
        <v>2484.65</v>
      </c>
      <c r="V888" s="60">
        <v>2484.65</v>
      </c>
      <c r="W888" s="60">
        <v>2484.65</v>
      </c>
      <c r="X888" s="61">
        <f t="shared" si="355"/>
        <v>14907.9</v>
      </c>
      <c r="Y888" s="60">
        <v>2484.65</v>
      </c>
      <c r="Z888" s="60">
        <v>2484.65</v>
      </c>
      <c r="AA888" s="60">
        <v>2484.65</v>
      </c>
      <c r="AB888" s="60">
        <v>2484.65</v>
      </c>
      <c r="AC888" s="60">
        <v>2484.65</v>
      </c>
      <c r="AD888" s="60">
        <v>2484.65</v>
      </c>
      <c r="AE888" s="61">
        <f t="shared" si="356"/>
        <v>14907.9</v>
      </c>
      <c r="AF888" s="62">
        <f t="shared" si="363"/>
        <v>1759133.06</v>
      </c>
      <c r="AG888" s="62">
        <f t="shared" si="362"/>
        <v>775210.80000000028</v>
      </c>
      <c r="AH888" s="62">
        <f t="shared" si="360"/>
        <v>983922.25999999978</v>
      </c>
      <c r="AI888" s="63">
        <v>998830.16</v>
      </c>
      <c r="AJ888" s="63">
        <f t="shared" si="374"/>
        <v>21974.263520000004</v>
      </c>
      <c r="AK888" s="72">
        <f t="shared" si="375"/>
        <v>21974.263520000004</v>
      </c>
      <c r="AL888" s="60">
        <v>2484.65</v>
      </c>
      <c r="AM888" s="60">
        <v>2484.65</v>
      </c>
      <c r="AN888" s="60">
        <v>2484.65</v>
      </c>
      <c r="AO888" s="60">
        <v>2484.65</v>
      </c>
      <c r="AP888" s="60">
        <v>2484.65</v>
      </c>
      <c r="AQ888" s="60">
        <v>2484.65</v>
      </c>
      <c r="AR888" s="61">
        <f t="shared" si="357"/>
        <v>14907.9</v>
      </c>
      <c r="AS888" s="60">
        <v>2484.65</v>
      </c>
      <c r="AT888" s="60">
        <v>2484.65</v>
      </c>
      <c r="AU888" s="60">
        <v>2484.65</v>
      </c>
      <c r="AV888" s="60">
        <v>2484.65</v>
      </c>
      <c r="AW888" s="60">
        <v>2484.65</v>
      </c>
      <c r="AX888" s="60">
        <v>2484.65</v>
      </c>
      <c r="AY888" s="61">
        <f t="shared" si="358"/>
        <v>14907.9</v>
      </c>
      <c r="AZ888" s="56">
        <f t="shared" si="349"/>
        <v>29815.8</v>
      </c>
      <c r="BA888" s="62">
        <f t="shared" si="367"/>
        <v>1759133.06</v>
      </c>
      <c r="BB888" s="62">
        <f t="shared" si="359"/>
        <v>805026.60000000056</v>
      </c>
      <c r="BC888" s="62">
        <f t="shared" si="368"/>
        <v>954106.4599999995</v>
      </c>
      <c r="BD888" s="63">
        <v>969014.35999999964</v>
      </c>
      <c r="BE888" s="57">
        <f t="shared" ref="BE888:BE891" si="377">BD888*2.2%</f>
        <v>21318.315919999994</v>
      </c>
      <c r="BF888" s="35" t="str">
        <f>VLOOKUP(A:A,'2023-2027'!A:G,1,+FALSE)</f>
        <v>ТП №57 Геолог 2х ТМ-250 п Искателей  1981г.</v>
      </c>
      <c r="BG888" s="7" t="b">
        <f t="shared" si="361"/>
        <v>1</v>
      </c>
      <c r="BH888" s="35">
        <f>VLOOKUP(A:A,'2023-2027'!A:AT,43,+FALSE)</f>
        <v>3924.6900000000005</v>
      </c>
    </row>
    <row r="889" spans="1:60" ht="12" hidden="1" customHeight="1" outlineLevel="1" x14ac:dyDescent="0.2">
      <c r="A889" s="59" t="s">
        <v>2061</v>
      </c>
      <c r="B889" s="59" t="s">
        <v>44</v>
      </c>
      <c r="C889" s="59" t="s">
        <v>82</v>
      </c>
      <c r="D889" s="66" t="s">
        <v>2062</v>
      </c>
      <c r="E889" s="59" t="s">
        <v>1823</v>
      </c>
      <c r="F889" s="60">
        <v>41158.949999999997</v>
      </c>
      <c r="G889" s="60">
        <v>27754.44</v>
      </c>
      <c r="H889" s="60">
        <v>13404.51</v>
      </c>
      <c r="I889" s="59"/>
      <c r="J889" s="60">
        <v>1180.92</v>
      </c>
      <c r="K889" s="59"/>
      <c r="L889" s="59"/>
      <c r="M889" s="60">
        <v>41158.949999999997</v>
      </c>
      <c r="N889" s="60">
        <v>28935.360000000001</v>
      </c>
      <c r="O889" s="60">
        <v>12223.59</v>
      </c>
      <c r="P889" s="55">
        <v>12814.05</v>
      </c>
      <c r="Q889" s="55">
        <f t="shared" si="373"/>
        <v>281.90910000000002</v>
      </c>
      <c r="R889" s="61">
        <f t="shared" si="354"/>
        <v>98.410000000000011</v>
      </c>
      <c r="S889" s="60">
        <v>98.41</v>
      </c>
      <c r="T889" s="60">
        <v>98.41</v>
      </c>
      <c r="U889" s="60">
        <v>98.41</v>
      </c>
      <c r="V889" s="60">
        <v>98.41</v>
      </c>
      <c r="W889" s="60">
        <v>98.41</v>
      </c>
      <c r="X889" s="61">
        <f t="shared" si="355"/>
        <v>590.45999999999992</v>
      </c>
      <c r="Y889" s="60">
        <v>98.41</v>
      </c>
      <c r="Z889" s="60">
        <v>98.41</v>
      </c>
      <c r="AA889" s="60">
        <v>98.41</v>
      </c>
      <c r="AB889" s="60">
        <v>98.41</v>
      </c>
      <c r="AC889" s="60">
        <v>98.41</v>
      </c>
      <c r="AD889" s="60">
        <v>98.41</v>
      </c>
      <c r="AE889" s="61">
        <f t="shared" si="356"/>
        <v>590.45999999999992</v>
      </c>
      <c r="AF889" s="62">
        <f t="shared" si="363"/>
        <v>41158.949999999997</v>
      </c>
      <c r="AG889" s="62">
        <f t="shared" si="362"/>
        <v>30116.28</v>
      </c>
      <c r="AH889" s="62">
        <f t="shared" si="360"/>
        <v>11042.669999999998</v>
      </c>
      <c r="AI889" s="63">
        <v>11633.130000000003</v>
      </c>
      <c r="AJ889" s="63">
        <f t="shared" si="374"/>
        <v>255.9288600000001</v>
      </c>
      <c r="AK889" s="72">
        <f t="shared" si="375"/>
        <v>255.9288600000001</v>
      </c>
      <c r="AL889" s="60">
        <v>98.41</v>
      </c>
      <c r="AM889" s="60">
        <v>98.41</v>
      </c>
      <c r="AN889" s="60">
        <v>98.41</v>
      </c>
      <c r="AO889" s="60">
        <v>98.41</v>
      </c>
      <c r="AP889" s="60">
        <v>98.41</v>
      </c>
      <c r="AQ889" s="60">
        <v>98.41</v>
      </c>
      <c r="AR889" s="61">
        <f t="shared" si="357"/>
        <v>590.45999999999992</v>
      </c>
      <c r="AS889" s="60">
        <v>98.41</v>
      </c>
      <c r="AT889" s="60">
        <v>98.41</v>
      </c>
      <c r="AU889" s="60">
        <v>98.41</v>
      </c>
      <c r="AV889" s="60">
        <v>98.41</v>
      </c>
      <c r="AW889" s="60">
        <v>98.41</v>
      </c>
      <c r="AX889" s="60">
        <v>98.41</v>
      </c>
      <c r="AY889" s="61">
        <f t="shared" si="358"/>
        <v>590.45999999999992</v>
      </c>
      <c r="AZ889" s="56">
        <f t="shared" si="349"/>
        <v>1180.9199999999998</v>
      </c>
      <c r="BA889" s="62">
        <f t="shared" si="367"/>
        <v>41158.949999999997</v>
      </c>
      <c r="BB889" s="62">
        <f t="shared" si="359"/>
        <v>31297.199999999997</v>
      </c>
      <c r="BC889" s="62">
        <f t="shared" si="368"/>
        <v>9861.75</v>
      </c>
      <c r="BD889" s="63">
        <v>10452.210000000003</v>
      </c>
      <c r="BE889" s="57">
        <f t="shared" si="377"/>
        <v>229.94862000000009</v>
      </c>
      <c r="BF889" s="35" t="str">
        <f>VLOOKUP(A:A,'2023-2027'!A:G,1,+FALSE)</f>
        <v>ТП №58 ГКТПН 10-400</v>
      </c>
      <c r="BG889" s="7" t="b">
        <f t="shared" si="361"/>
        <v>1</v>
      </c>
      <c r="BH889" s="35">
        <f>VLOOKUP(A:A,'2023-2027'!A:AT,43,+FALSE)</f>
        <v>0</v>
      </c>
    </row>
    <row r="890" spans="1:60" ht="24" hidden="1" customHeight="1" outlineLevel="1" x14ac:dyDescent="0.2">
      <c r="A890" s="59" t="s">
        <v>2063</v>
      </c>
      <c r="B890" s="59" t="s">
        <v>44</v>
      </c>
      <c r="C890" s="59" t="s">
        <v>82</v>
      </c>
      <c r="D890" s="66" t="s">
        <v>2064</v>
      </c>
      <c r="E890" s="59" t="s">
        <v>1403</v>
      </c>
      <c r="F890" s="60">
        <v>11932</v>
      </c>
      <c r="G890" s="60">
        <v>4852.8</v>
      </c>
      <c r="H890" s="60">
        <v>7079.2</v>
      </c>
      <c r="I890" s="59"/>
      <c r="J890" s="68">
        <v>202.32</v>
      </c>
      <c r="K890" s="59"/>
      <c r="L890" s="59"/>
      <c r="M890" s="60">
        <v>11932</v>
      </c>
      <c r="N890" s="60">
        <v>5055.12</v>
      </c>
      <c r="O890" s="60">
        <v>6876.88</v>
      </c>
      <c r="P890" s="55">
        <v>6978.04</v>
      </c>
      <c r="Q890" s="55">
        <f t="shared" si="373"/>
        <v>153.51688000000001</v>
      </c>
      <c r="R890" s="61">
        <f t="shared" si="354"/>
        <v>16.86</v>
      </c>
      <c r="S890" s="60">
        <v>16.86</v>
      </c>
      <c r="T890" s="60">
        <v>16.86</v>
      </c>
      <c r="U890" s="60">
        <v>16.86</v>
      </c>
      <c r="V890" s="60">
        <v>16.86</v>
      </c>
      <c r="W890" s="60">
        <v>16.86</v>
      </c>
      <c r="X890" s="61">
        <f t="shared" si="355"/>
        <v>101.16</v>
      </c>
      <c r="Y890" s="60">
        <v>16.86</v>
      </c>
      <c r="Z890" s="60">
        <v>16.86</v>
      </c>
      <c r="AA890" s="60">
        <v>16.86</v>
      </c>
      <c r="AB890" s="60">
        <v>16.86</v>
      </c>
      <c r="AC890" s="60">
        <v>16.86</v>
      </c>
      <c r="AD890" s="60">
        <v>16.86</v>
      </c>
      <c r="AE890" s="61">
        <f t="shared" si="356"/>
        <v>101.16</v>
      </c>
      <c r="AF890" s="62">
        <f t="shared" si="363"/>
        <v>11932</v>
      </c>
      <c r="AG890" s="62">
        <f t="shared" si="362"/>
        <v>5257.439999999996</v>
      </c>
      <c r="AH890" s="62">
        <f t="shared" si="360"/>
        <v>6674.560000000004</v>
      </c>
      <c r="AI890" s="63">
        <v>6775.72</v>
      </c>
      <c r="AJ890" s="63">
        <f t="shared" si="374"/>
        <v>149.06584000000001</v>
      </c>
      <c r="AK890" s="72">
        <f t="shared" si="375"/>
        <v>149.06584000000001</v>
      </c>
      <c r="AL890" s="60">
        <v>16.86</v>
      </c>
      <c r="AM890" s="60">
        <v>16.86</v>
      </c>
      <c r="AN890" s="60">
        <v>16.86</v>
      </c>
      <c r="AO890" s="60">
        <v>16.86</v>
      </c>
      <c r="AP890" s="60">
        <v>16.86</v>
      </c>
      <c r="AQ890" s="60">
        <v>16.86</v>
      </c>
      <c r="AR890" s="61">
        <f t="shared" si="357"/>
        <v>101.16</v>
      </c>
      <c r="AS890" s="60">
        <v>16.86</v>
      </c>
      <c r="AT890" s="60">
        <v>16.86</v>
      </c>
      <c r="AU890" s="60">
        <v>16.86</v>
      </c>
      <c r="AV890" s="60">
        <v>16.86</v>
      </c>
      <c r="AW890" s="60">
        <v>16.86</v>
      </c>
      <c r="AX890" s="60">
        <v>16.86</v>
      </c>
      <c r="AY890" s="61">
        <f t="shared" si="358"/>
        <v>101.16</v>
      </c>
      <c r="AZ890" s="56">
        <f t="shared" si="349"/>
        <v>202.32</v>
      </c>
      <c r="BA890" s="62">
        <f t="shared" si="367"/>
        <v>11932</v>
      </c>
      <c r="BB890" s="62">
        <f t="shared" si="359"/>
        <v>5459.759999999992</v>
      </c>
      <c r="BC890" s="62">
        <f t="shared" si="368"/>
        <v>6472.240000000008</v>
      </c>
      <c r="BD890" s="63">
        <v>6573.4000000000051</v>
      </c>
      <c r="BE890" s="57">
        <f t="shared" si="377"/>
        <v>144.61480000000012</v>
      </c>
      <c r="BF890" s="35" t="str">
        <f>VLOOKUP(A:A,'2023-2027'!A:G,1,+FALSE)</f>
        <v>ТП №59 ТМ-250 школа п.Искателей 1997г</v>
      </c>
      <c r="BG890" s="7" t="b">
        <f t="shared" si="361"/>
        <v>1</v>
      </c>
      <c r="BH890" s="35">
        <f>VLOOKUP(A:A,'2023-2027'!A:AT,43,+FALSE)</f>
        <v>16.86</v>
      </c>
    </row>
    <row r="891" spans="1:60" ht="36" hidden="1" customHeight="1" outlineLevel="1" x14ac:dyDescent="0.2">
      <c r="A891" s="59" t="s">
        <v>2065</v>
      </c>
      <c r="B891" s="59" t="s">
        <v>44</v>
      </c>
      <c r="C891" s="59" t="s">
        <v>82</v>
      </c>
      <c r="D891" s="66" t="s">
        <v>2066</v>
      </c>
      <c r="E891" s="59" t="s">
        <v>749</v>
      </c>
      <c r="F891" s="60">
        <v>5475203</v>
      </c>
      <c r="G891" s="60">
        <v>3162368.15</v>
      </c>
      <c r="H891" s="60">
        <v>2312834.85</v>
      </c>
      <c r="I891" s="59"/>
      <c r="J891" s="60">
        <v>273010.08</v>
      </c>
      <c r="K891" s="59"/>
      <c r="L891" s="59"/>
      <c r="M891" s="60">
        <v>5475203</v>
      </c>
      <c r="N891" s="60">
        <v>3435378.23</v>
      </c>
      <c r="O891" s="60">
        <v>2039824.77</v>
      </c>
      <c r="P891" s="55">
        <v>2176329.81</v>
      </c>
      <c r="Q891" s="55">
        <f t="shared" si="373"/>
        <v>47879.255820000006</v>
      </c>
      <c r="R891" s="61">
        <f t="shared" si="354"/>
        <v>22750.84</v>
      </c>
      <c r="S891" s="60">
        <v>22750.84</v>
      </c>
      <c r="T891" s="60">
        <v>22750.84</v>
      </c>
      <c r="U891" s="60">
        <v>22750.84</v>
      </c>
      <c r="V891" s="60">
        <v>22750.84</v>
      </c>
      <c r="W891" s="60">
        <v>22750.84</v>
      </c>
      <c r="X891" s="61">
        <f t="shared" si="355"/>
        <v>136505.04</v>
      </c>
      <c r="Y891" s="60">
        <v>22750.84</v>
      </c>
      <c r="Z891" s="60">
        <v>22750.84</v>
      </c>
      <c r="AA891" s="60">
        <v>22750.84</v>
      </c>
      <c r="AB891" s="60">
        <v>22750.84</v>
      </c>
      <c r="AC891" s="60">
        <v>22750.84</v>
      </c>
      <c r="AD891" s="60">
        <v>22750.84</v>
      </c>
      <c r="AE891" s="61">
        <f t="shared" si="356"/>
        <v>136505.04</v>
      </c>
      <c r="AF891" s="62">
        <f t="shared" si="363"/>
        <v>5475203</v>
      </c>
      <c r="AG891" s="62">
        <f t="shared" si="362"/>
        <v>3708388.3099999982</v>
      </c>
      <c r="AH891" s="62">
        <f t="shared" si="360"/>
        <v>1766814.6900000018</v>
      </c>
      <c r="AI891" s="63">
        <v>1903319.7299999984</v>
      </c>
      <c r="AJ891" s="63">
        <f t="shared" si="374"/>
        <v>41873.034059999969</v>
      </c>
      <c r="AK891" s="72">
        <f t="shared" si="375"/>
        <v>41873.034059999969</v>
      </c>
      <c r="AL891" s="60">
        <v>22750.84</v>
      </c>
      <c r="AM891" s="60">
        <v>22750.84</v>
      </c>
      <c r="AN891" s="60">
        <v>22750.84</v>
      </c>
      <c r="AO891" s="60">
        <v>22750.84</v>
      </c>
      <c r="AP891" s="60">
        <v>22750.84</v>
      </c>
      <c r="AQ891" s="60">
        <v>22750.84</v>
      </c>
      <c r="AR891" s="61">
        <f t="shared" si="357"/>
        <v>136505.04</v>
      </c>
      <c r="AS891" s="60">
        <v>22750.84</v>
      </c>
      <c r="AT891" s="60">
        <v>22750.84</v>
      </c>
      <c r="AU891" s="60">
        <v>22750.84</v>
      </c>
      <c r="AV891" s="60">
        <v>22750.84</v>
      </c>
      <c r="AW891" s="60">
        <v>22750.84</v>
      </c>
      <c r="AX891" s="60">
        <v>22750.84</v>
      </c>
      <c r="AY891" s="61">
        <f t="shared" si="358"/>
        <v>136505.04</v>
      </c>
      <c r="AZ891" s="56">
        <f t="shared" si="349"/>
        <v>273010.08</v>
      </c>
      <c r="BA891" s="62">
        <f t="shared" si="367"/>
        <v>5475203</v>
      </c>
      <c r="BB891" s="62">
        <f t="shared" si="359"/>
        <v>3981398.3899999964</v>
      </c>
      <c r="BC891" s="62">
        <f t="shared" si="368"/>
        <v>1493804.6100000036</v>
      </c>
      <c r="BD891" s="63">
        <v>1630309.6499999943</v>
      </c>
      <c r="BE891" s="57">
        <f t="shared" si="377"/>
        <v>35866.812299999881</v>
      </c>
      <c r="BF891" s="35" t="str">
        <f>VLOOKUP(A:A,'2023-2027'!A:G,1,+FALSE)</f>
        <v>ТП №6-1 ул Ненец-Оленн-Выуч-Полярн 96-кв дом 2010г</v>
      </c>
      <c r="BG891" s="7" t="b">
        <f t="shared" si="361"/>
        <v>1</v>
      </c>
      <c r="BH891" s="35">
        <f>VLOOKUP(A:A,'2023-2027'!A:AT,43,+FALSE)</f>
        <v>22813.350000000002</v>
      </c>
    </row>
    <row r="892" spans="1:60" ht="12" hidden="1" customHeight="1" outlineLevel="1" x14ac:dyDescent="0.2">
      <c r="A892" s="59" t="s">
        <v>2067</v>
      </c>
      <c r="B892" s="59" t="s">
        <v>44</v>
      </c>
      <c r="C892" s="59" t="s">
        <v>82</v>
      </c>
      <c r="D892" s="66" t="s">
        <v>2068</v>
      </c>
      <c r="E892" s="59" t="s">
        <v>729</v>
      </c>
      <c r="F892" s="60">
        <v>1794513.35</v>
      </c>
      <c r="G892" s="60">
        <v>1352336.4</v>
      </c>
      <c r="H892" s="60">
        <v>442176.95</v>
      </c>
      <c r="I892" s="59"/>
      <c r="J892" s="60">
        <v>50241.599999999999</v>
      </c>
      <c r="K892" s="59"/>
      <c r="L892" s="59"/>
      <c r="M892" s="60">
        <v>1794513.35</v>
      </c>
      <c r="N892" s="60">
        <v>1402578</v>
      </c>
      <c r="O892" s="60">
        <v>391935.35</v>
      </c>
      <c r="P892" s="55"/>
      <c r="Q892" s="55"/>
      <c r="R892" s="61">
        <f t="shared" si="354"/>
        <v>4186.8</v>
      </c>
      <c r="S892" s="60">
        <v>4186.8</v>
      </c>
      <c r="T892" s="60">
        <v>4186.8</v>
      </c>
      <c r="U892" s="60">
        <v>4186.8</v>
      </c>
      <c r="V892" s="60">
        <v>4186.8</v>
      </c>
      <c r="W892" s="60">
        <v>4186.8</v>
      </c>
      <c r="X892" s="61">
        <f t="shared" si="355"/>
        <v>25120.799999999999</v>
      </c>
      <c r="Y892" s="60">
        <v>4186.8</v>
      </c>
      <c r="Z892" s="60">
        <v>4186.8</v>
      </c>
      <c r="AA892" s="60">
        <v>4186.8</v>
      </c>
      <c r="AB892" s="60">
        <v>4186.8</v>
      </c>
      <c r="AC892" s="60">
        <v>4186.8</v>
      </c>
      <c r="AD892" s="60">
        <v>4186.8</v>
      </c>
      <c r="AE892" s="61">
        <f t="shared" si="356"/>
        <v>25120.799999999999</v>
      </c>
      <c r="AF892" s="62">
        <f t="shared" si="363"/>
        <v>1794513.35</v>
      </c>
      <c r="AG892" s="62">
        <f t="shared" si="362"/>
        <v>1452819.6000000006</v>
      </c>
      <c r="AH892" s="62">
        <f t="shared" si="360"/>
        <v>341693.74999999953</v>
      </c>
      <c r="AI892" s="63"/>
      <c r="AJ892" s="63">
        <f t="shared" si="374"/>
        <v>0</v>
      </c>
      <c r="AK892" s="62"/>
      <c r="AL892" s="60">
        <v>4186.8</v>
      </c>
      <c r="AM892" s="60">
        <v>4186.8</v>
      </c>
      <c r="AN892" s="60">
        <v>4186.8</v>
      </c>
      <c r="AO892" s="60">
        <v>4186.8</v>
      </c>
      <c r="AP892" s="60">
        <v>4186.8</v>
      </c>
      <c r="AQ892" s="60">
        <v>4186.8</v>
      </c>
      <c r="AR892" s="61">
        <f t="shared" si="357"/>
        <v>25120.799999999999</v>
      </c>
      <c r="AS892" s="60">
        <v>4186.8</v>
      </c>
      <c r="AT892" s="60">
        <v>4186.8</v>
      </c>
      <c r="AU892" s="60">
        <v>4186.8</v>
      </c>
      <c r="AV892" s="60">
        <v>4186.8</v>
      </c>
      <c r="AW892" s="60">
        <v>4186.8</v>
      </c>
      <c r="AX892" s="60">
        <v>4186.8</v>
      </c>
      <c r="AY892" s="61">
        <f t="shared" si="358"/>
        <v>25120.799999999999</v>
      </c>
      <c r="AZ892" s="56">
        <f t="shared" si="349"/>
        <v>50241.599999999999</v>
      </c>
      <c r="BA892" s="62">
        <f t="shared" si="367"/>
        <v>1794513.35</v>
      </c>
      <c r="BB892" s="62">
        <f t="shared" si="359"/>
        <v>1503061.2000000011</v>
      </c>
      <c r="BC892" s="62">
        <f t="shared" si="368"/>
        <v>291452.14999999898</v>
      </c>
      <c r="BD892" s="63"/>
      <c r="BE892" s="57"/>
      <c r="BF892" s="35" t="str">
        <f>VLOOKUP(A:A,'2023-2027'!A:G,1,+FALSE)</f>
        <v>ТП №60</v>
      </c>
      <c r="BG892" s="7" t="b">
        <f t="shared" si="361"/>
        <v>1</v>
      </c>
      <c r="BH892" s="35">
        <f>VLOOKUP(A:A,'2023-2027'!A:AT,43,+FALSE)</f>
        <v>11342.39</v>
      </c>
    </row>
    <row r="893" spans="1:60" ht="12" hidden="1" customHeight="1" outlineLevel="1" x14ac:dyDescent="0.2">
      <c r="A893" s="59" t="s">
        <v>2485</v>
      </c>
      <c r="B893" s="59" t="s">
        <v>44</v>
      </c>
      <c r="C893" s="59" t="s">
        <v>82</v>
      </c>
      <c r="D893" s="66" t="s">
        <v>2069</v>
      </c>
      <c r="E893" s="59" t="s">
        <v>1403</v>
      </c>
      <c r="F893" s="60">
        <v>15582</v>
      </c>
      <c r="G893" s="60">
        <v>6338.88</v>
      </c>
      <c r="H893" s="60">
        <v>9243.1200000000008</v>
      </c>
      <c r="I893" s="59"/>
      <c r="J893" s="68">
        <v>264.12</v>
      </c>
      <c r="K893" s="59"/>
      <c r="L893" s="59"/>
      <c r="M893" s="60">
        <v>15582</v>
      </c>
      <c r="N893" s="60">
        <v>6603</v>
      </c>
      <c r="O893" s="60">
        <v>8979</v>
      </c>
      <c r="P893" s="55">
        <v>9111.06</v>
      </c>
      <c r="Q893" s="55">
        <f t="shared" si="373"/>
        <v>200.44332</v>
      </c>
      <c r="R893" s="61">
        <f t="shared" si="354"/>
        <v>22.01</v>
      </c>
      <c r="S893" s="60">
        <v>22.01</v>
      </c>
      <c r="T893" s="60">
        <v>22.01</v>
      </c>
      <c r="U893" s="60">
        <v>22.01</v>
      </c>
      <c r="V893" s="60">
        <v>22.01</v>
      </c>
      <c r="W893" s="60">
        <v>22.01</v>
      </c>
      <c r="X893" s="61">
        <f t="shared" si="355"/>
        <v>132.06</v>
      </c>
      <c r="Y893" s="60">
        <v>22.01</v>
      </c>
      <c r="Z893" s="60">
        <v>22.01</v>
      </c>
      <c r="AA893" s="60">
        <v>22.01</v>
      </c>
      <c r="AB893" s="60">
        <v>22.01</v>
      </c>
      <c r="AC893" s="60">
        <v>22.01</v>
      </c>
      <c r="AD893" s="60">
        <v>22.01</v>
      </c>
      <c r="AE893" s="61">
        <f t="shared" si="356"/>
        <v>132.06</v>
      </c>
      <c r="AF893" s="62">
        <f t="shared" si="363"/>
        <v>15582</v>
      </c>
      <c r="AG893" s="62">
        <f t="shared" si="362"/>
        <v>6867.1200000000026</v>
      </c>
      <c r="AH893" s="62">
        <f t="shared" si="360"/>
        <v>8714.8799999999974</v>
      </c>
      <c r="AI893" s="63">
        <v>8846.9399999999987</v>
      </c>
      <c r="AJ893" s="63">
        <f t="shared" si="374"/>
        <v>194.63267999999999</v>
      </c>
      <c r="AK893" s="72">
        <f t="shared" ref="AK893:AK914" si="378">AI893*2.2%</f>
        <v>194.63267999999999</v>
      </c>
      <c r="AL893" s="60">
        <v>22.01</v>
      </c>
      <c r="AM893" s="60">
        <v>22.01</v>
      </c>
      <c r="AN893" s="60">
        <v>22.01</v>
      </c>
      <c r="AO893" s="60">
        <v>22.01</v>
      </c>
      <c r="AP893" s="60">
        <v>22.01</v>
      </c>
      <c r="AQ893" s="60">
        <v>22.01</v>
      </c>
      <c r="AR893" s="61">
        <f t="shared" si="357"/>
        <v>132.06</v>
      </c>
      <c r="AS893" s="60">
        <v>22.01</v>
      </c>
      <c r="AT893" s="60">
        <v>22.01</v>
      </c>
      <c r="AU893" s="60">
        <v>22.01</v>
      </c>
      <c r="AV893" s="60">
        <v>22.01</v>
      </c>
      <c r="AW893" s="60">
        <v>22.01</v>
      </c>
      <c r="AX893" s="60">
        <v>22.01</v>
      </c>
      <c r="AY893" s="61">
        <f t="shared" si="358"/>
        <v>132.06</v>
      </c>
      <c r="AZ893" s="56">
        <f t="shared" si="349"/>
        <v>264.12</v>
      </c>
      <c r="BA893" s="62">
        <f t="shared" si="367"/>
        <v>15582</v>
      </c>
      <c r="BB893" s="62">
        <f t="shared" si="359"/>
        <v>7131.2400000000052</v>
      </c>
      <c r="BC893" s="62">
        <f t="shared" si="368"/>
        <v>8450.7599999999948</v>
      </c>
      <c r="BD893" s="63">
        <v>8582.8199999999961</v>
      </c>
      <c r="BE893" s="57">
        <f t="shared" ref="BE893:BE914" si="379">BD893*2.2%</f>
        <v>188.82203999999993</v>
      </c>
      <c r="BF893" s="35" t="str">
        <f>VLOOKUP(A:A,'2023-2027'!A:G,1,+FALSE)</f>
        <v xml:space="preserve">ТП №60 Озерная 6  Искателей </v>
      </c>
      <c r="BG893" s="7" t="b">
        <f t="shared" si="361"/>
        <v>1</v>
      </c>
      <c r="BH893" s="35">
        <f>VLOOKUP(A:A,'2023-2027'!A:AT,43,+FALSE)</f>
        <v>22.009999999999994</v>
      </c>
    </row>
    <row r="894" spans="1:60" ht="24" hidden="1" customHeight="1" outlineLevel="1" x14ac:dyDescent="0.2">
      <c r="A894" s="59" t="s">
        <v>2070</v>
      </c>
      <c r="B894" s="59" t="s">
        <v>44</v>
      </c>
      <c r="C894" s="59" t="s">
        <v>82</v>
      </c>
      <c r="D894" s="66" t="s">
        <v>2071</v>
      </c>
      <c r="E894" s="59" t="s">
        <v>1403</v>
      </c>
      <c r="F894" s="60">
        <v>141293</v>
      </c>
      <c r="G894" s="60">
        <v>120790.08</v>
      </c>
      <c r="H894" s="60">
        <v>20502.919999999998</v>
      </c>
      <c r="I894" s="59"/>
      <c r="J894" s="60">
        <v>5033.3999999999996</v>
      </c>
      <c r="K894" s="59"/>
      <c r="L894" s="59"/>
      <c r="M894" s="60">
        <v>141293</v>
      </c>
      <c r="N894" s="60">
        <v>125823.48</v>
      </c>
      <c r="O894" s="60">
        <v>15469.52</v>
      </c>
      <c r="P894" s="55">
        <v>17986.22</v>
      </c>
      <c r="Q894" s="55">
        <f t="shared" si="373"/>
        <v>395.69684000000007</v>
      </c>
      <c r="R894" s="61">
        <f t="shared" si="354"/>
        <v>419.45</v>
      </c>
      <c r="S894" s="60">
        <v>419.45</v>
      </c>
      <c r="T894" s="60">
        <v>419.45</v>
      </c>
      <c r="U894" s="60">
        <v>419.45</v>
      </c>
      <c r="V894" s="60">
        <v>419.45</v>
      </c>
      <c r="W894" s="60">
        <v>419.45</v>
      </c>
      <c r="X894" s="61">
        <f t="shared" si="355"/>
        <v>2516.6999999999998</v>
      </c>
      <c r="Y894" s="60">
        <v>419.45</v>
      </c>
      <c r="Z894" s="60">
        <v>419.45</v>
      </c>
      <c r="AA894" s="60">
        <v>419.45</v>
      </c>
      <c r="AB894" s="60">
        <v>419.45</v>
      </c>
      <c r="AC894" s="60">
        <v>419.45</v>
      </c>
      <c r="AD894" s="60">
        <v>419.45</v>
      </c>
      <c r="AE894" s="61">
        <f t="shared" si="356"/>
        <v>2516.6999999999998</v>
      </c>
      <c r="AF894" s="62">
        <f t="shared" si="363"/>
        <v>141293</v>
      </c>
      <c r="AG894" s="62">
        <f t="shared" si="362"/>
        <v>130856.87999999996</v>
      </c>
      <c r="AH894" s="62">
        <f t="shared" si="360"/>
        <v>10436.120000000039</v>
      </c>
      <c r="AI894" s="63">
        <v>12952.820000000018</v>
      </c>
      <c r="AJ894" s="63">
        <f t="shared" si="374"/>
        <v>284.9620400000004</v>
      </c>
      <c r="AK894" s="72">
        <f t="shared" si="378"/>
        <v>284.9620400000004</v>
      </c>
      <c r="AL894" s="60">
        <v>419.45</v>
      </c>
      <c r="AM894" s="60">
        <v>419.45</v>
      </c>
      <c r="AN894" s="60">
        <v>419.45</v>
      </c>
      <c r="AO894" s="60">
        <v>419.45</v>
      </c>
      <c r="AP894" s="60">
        <v>419.45</v>
      </c>
      <c r="AQ894" s="60">
        <v>419.45</v>
      </c>
      <c r="AR894" s="61">
        <f t="shared" si="357"/>
        <v>2516.6999999999998</v>
      </c>
      <c r="AS894" s="60">
        <v>419.45</v>
      </c>
      <c r="AT894" s="60">
        <v>419.45</v>
      </c>
      <c r="AU894" s="60">
        <v>419.45</v>
      </c>
      <c r="AV894" s="60">
        <v>419.45</v>
      </c>
      <c r="AW894" s="60">
        <v>419.45</v>
      </c>
      <c r="AX894" s="60">
        <v>419.45</v>
      </c>
      <c r="AY894" s="61">
        <f t="shared" si="358"/>
        <v>2516.6999999999998</v>
      </c>
      <c r="AZ894" s="56">
        <f t="shared" si="349"/>
        <v>5033.3999999999996</v>
      </c>
      <c r="BA894" s="62">
        <f t="shared" si="367"/>
        <v>141293</v>
      </c>
      <c r="BB894" s="62">
        <f t="shared" si="359"/>
        <v>135890.28000000009</v>
      </c>
      <c r="BC894" s="62">
        <f t="shared" si="368"/>
        <v>5402.7199999999139</v>
      </c>
      <c r="BD894" s="63">
        <v>7919.4200000000556</v>
      </c>
      <c r="BE894" s="57">
        <f t="shared" si="379"/>
        <v>174.22724000000125</v>
      </c>
      <c r="BF894" s="35" t="str">
        <f>VLOOKUP(A:A,'2023-2027'!A:G,1,+FALSE)</f>
        <v>ТП №64  Рассихина 7 ГКТП ТМ-320 пИскателей 1997г</v>
      </c>
      <c r="BG894" s="7" t="b">
        <f t="shared" si="361"/>
        <v>1</v>
      </c>
      <c r="BH894" s="35">
        <f>VLOOKUP(A:A,'2023-2027'!A:AT,43,+FALSE)</f>
        <v>511.93000000000006</v>
      </c>
    </row>
    <row r="895" spans="1:60" ht="24" hidden="1" customHeight="1" outlineLevel="1" x14ac:dyDescent="0.2">
      <c r="A895" s="59" t="s">
        <v>2072</v>
      </c>
      <c r="B895" s="59" t="s">
        <v>44</v>
      </c>
      <c r="C895" s="59" t="s">
        <v>82</v>
      </c>
      <c r="D895" s="66" t="s">
        <v>2073</v>
      </c>
      <c r="E895" s="59" t="s">
        <v>1403</v>
      </c>
      <c r="F895" s="60">
        <v>177359</v>
      </c>
      <c r="G895" s="60">
        <v>69094.080000000002</v>
      </c>
      <c r="H895" s="60">
        <v>108264.92</v>
      </c>
      <c r="I895" s="59"/>
      <c r="J895" s="60">
        <v>2879.04</v>
      </c>
      <c r="K895" s="59"/>
      <c r="L895" s="59"/>
      <c r="M895" s="60">
        <v>177359</v>
      </c>
      <c r="N895" s="60">
        <v>71973.119999999995</v>
      </c>
      <c r="O895" s="60">
        <v>105385.88</v>
      </c>
      <c r="P895" s="55">
        <v>106825.4</v>
      </c>
      <c r="Q895" s="55">
        <f t="shared" si="373"/>
        <v>2350.1588000000002</v>
      </c>
      <c r="R895" s="61">
        <f t="shared" si="354"/>
        <v>239.92</v>
      </c>
      <c r="S895" s="60">
        <v>239.92</v>
      </c>
      <c r="T895" s="60">
        <v>239.92</v>
      </c>
      <c r="U895" s="60">
        <v>239.92</v>
      </c>
      <c r="V895" s="60">
        <v>239.92</v>
      </c>
      <c r="W895" s="60">
        <v>239.92</v>
      </c>
      <c r="X895" s="61">
        <f t="shared" si="355"/>
        <v>1439.52</v>
      </c>
      <c r="Y895" s="60">
        <v>239.92</v>
      </c>
      <c r="Z895" s="60">
        <v>239.92</v>
      </c>
      <c r="AA895" s="60">
        <v>239.92</v>
      </c>
      <c r="AB895" s="60">
        <v>239.92</v>
      </c>
      <c r="AC895" s="60">
        <v>239.92</v>
      </c>
      <c r="AD895" s="60">
        <v>239.92</v>
      </c>
      <c r="AE895" s="61">
        <f t="shared" si="356"/>
        <v>1439.52</v>
      </c>
      <c r="AF895" s="62">
        <f t="shared" si="363"/>
        <v>177359</v>
      </c>
      <c r="AG895" s="62">
        <f t="shared" si="362"/>
        <v>74852.159999999974</v>
      </c>
      <c r="AH895" s="62">
        <f t="shared" si="360"/>
        <v>102506.84000000003</v>
      </c>
      <c r="AI895" s="63">
        <v>103946.36000000002</v>
      </c>
      <c r="AJ895" s="63">
        <f t="shared" si="374"/>
        <v>2286.8199200000004</v>
      </c>
      <c r="AK895" s="72">
        <f t="shared" si="378"/>
        <v>2286.8199200000004</v>
      </c>
      <c r="AL895" s="60">
        <v>239.92</v>
      </c>
      <c r="AM895" s="60">
        <v>239.92</v>
      </c>
      <c r="AN895" s="60">
        <v>239.92</v>
      </c>
      <c r="AO895" s="60">
        <v>239.92</v>
      </c>
      <c r="AP895" s="60">
        <v>239.92</v>
      </c>
      <c r="AQ895" s="60">
        <v>239.92</v>
      </c>
      <c r="AR895" s="61">
        <f t="shared" si="357"/>
        <v>1439.52</v>
      </c>
      <c r="AS895" s="60">
        <v>239.92</v>
      </c>
      <c r="AT895" s="60">
        <v>239.92</v>
      </c>
      <c r="AU895" s="60">
        <v>239.92</v>
      </c>
      <c r="AV895" s="60">
        <v>239.92</v>
      </c>
      <c r="AW895" s="60">
        <v>239.92</v>
      </c>
      <c r="AX895" s="60">
        <v>239.92</v>
      </c>
      <c r="AY895" s="61">
        <f t="shared" si="358"/>
        <v>1439.52</v>
      </c>
      <c r="AZ895" s="56">
        <f t="shared" si="349"/>
        <v>2879.04</v>
      </c>
      <c r="BA895" s="62">
        <f t="shared" si="367"/>
        <v>177359</v>
      </c>
      <c r="BB895" s="62">
        <f t="shared" si="359"/>
        <v>77731.199999999953</v>
      </c>
      <c r="BC895" s="62">
        <f t="shared" si="368"/>
        <v>99627.800000000047</v>
      </c>
      <c r="BD895" s="63">
        <v>101067.32000000005</v>
      </c>
      <c r="BE895" s="57">
        <f t="shared" si="379"/>
        <v>2223.4810400000015</v>
      </c>
      <c r="BF895" s="35" t="str">
        <f>VLOOKUP(A:A,'2023-2027'!A:G,1,+FALSE)</f>
        <v>ТП №65 Строителей 8  пИскателей 1997г</v>
      </c>
      <c r="BG895" s="7" t="b">
        <f t="shared" si="361"/>
        <v>1</v>
      </c>
      <c r="BH895" s="35">
        <f>VLOOKUP(A:A,'2023-2027'!A:AT,43,+FALSE)</f>
        <v>309.92999999999995</v>
      </c>
    </row>
    <row r="896" spans="1:60" ht="12" hidden="1" customHeight="1" outlineLevel="1" x14ac:dyDescent="0.2">
      <c r="A896" s="59" t="s">
        <v>2074</v>
      </c>
      <c r="B896" s="59" t="s">
        <v>44</v>
      </c>
      <c r="C896" s="59" t="s">
        <v>82</v>
      </c>
      <c r="D896" s="66" t="s">
        <v>2075</v>
      </c>
      <c r="E896" s="59" t="s">
        <v>2076</v>
      </c>
      <c r="F896" s="60">
        <v>264000</v>
      </c>
      <c r="G896" s="60">
        <v>105525.04</v>
      </c>
      <c r="H896" s="60">
        <v>158474.96</v>
      </c>
      <c r="I896" s="59"/>
      <c r="J896" s="60">
        <v>4474.5600000000004</v>
      </c>
      <c r="K896" s="59"/>
      <c r="L896" s="59"/>
      <c r="M896" s="60">
        <v>264000</v>
      </c>
      <c r="N896" s="60">
        <v>109999.6</v>
      </c>
      <c r="O896" s="60">
        <v>154000.4</v>
      </c>
      <c r="P896" s="55">
        <v>156237.68</v>
      </c>
      <c r="Q896" s="55">
        <f t="shared" si="373"/>
        <v>3437.2289600000004</v>
      </c>
      <c r="R896" s="61">
        <f t="shared" si="354"/>
        <v>372.88000000000005</v>
      </c>
      <c r="S896" s="60">
        <v>372.88</v>
      </c>
      <c r="T896" s="60">
        <v>372.88</v>
      </c>
      <c r="U896" s="60">
        <v>372.88</v>
      </c>
      <c r="V896" s="60">
        <v>372.88</v>
      </c>
      <c r="W896" s="60">
        <v>372.88</v>
      </c>
      <c r="X896" s="61">
        <f t="shared" si="355"/>
        <v>2237.2800000000002</v>
      </c>
      <c r="Y896" s="60">
        <v>372.88</v>
      </c>
      <c r="Z896" s="60">
        <v>372.88</v>
      </c>
      <c r="AA896" s="60">
        <v>372.88</v>
      </c>
      <c r="AB896" s="60">
        <v>372.88</v>
      </c>
      <c r="AC896" s="60">
        <v>372.88</v>
      </c>
      <c r="AD896" s="60">
        <v>372.88</v>
      </c>
      <c r="AE896" s="61">
        <f t="shared" si="356"/>
        <v>2237.2800000000002</v>
      </c>
      <c r="AF896" s="62">
        <f t="shared" si="363"/>
        <v>264000</v>
      </c>
      <c r="AG896" s="62">
        <f t="shared" si="362"/>
        <v>114474.16000000006</v>
      </c>
      <c r="AH896" s="62">
        <f t="shared" si="360"/>
        <v>149525.83999999994</v>
      </c>
      <c r="AI896" s="63">
        <v>151763.11999999994</v>
      </c>
      <c r="AJ896" s="63">
        <f t="shared" si="374"/>
        <v>3338.7886399999988</v>
      </c>
      <c r="AK896" s="72">
        <f t="shared" si="378"/>
        <v>3338.7886399999988</v>
      </c>
      <c r="AL896" s="60">
        <v>372.88</v>
      </c>
      <c r="AM896" s="60">
        <v>372.88</v>
      </c>
      <c r="AN896" s="60">
        <v>372.88</v>
      </c>
      <c r="AO896" s="60">
        <v>372.88</v>
      </c>
      <c r="AP896" s="60">
        <v>372.88</v>
      </c>
      <c r="AQ896" s="60">
        <v>372.88</v>
      </c>
      <c r="AR896" s="61">
        <f t="shared" si="357"/>
        <v>2237.2800000000002</v>
      </c>
      <c r="AS896" s="60">
        <v>372.88</v>
      </c>
      <c r="AT896" s="60">
        <v>372.88</v>
      </c>
      <c r="AU896" s="60">
        <v>372.88</v>
      </c>
      <c r="AV896" s="60">
        <v>372.88</v>
      </c>
      <c r="AW896" s="60">
        <v>372.88</v>
      </c>
      <c r="AX896" s="60">
        <v>372.88</v>
      </c>
      <c r="AY896" s="61">
        <f t="shared" si="358"/>
        <v>2237.2800000000002</v>
      </c>
      <c r="AZ896" s="56">
        <f t="shared" si="349"/>
        <v>4474.5600000000004</v>
      </c>
      <c r="BA896" s="62">
        <f t="shared" si="367"/>
        <v>264000</v>
      </c>
      <c r="BB896" s="62">
        <f t="shared" si="359"/>
        <v>118948.72000000012</v>
      </c>
      <c r="BC896" s="62">
        <f t="shared" si="368"/>
        <v>145051.27999999988</v>
      </c>
      <c r="BD896" s="63">
        <v>147288.55999999988</v>
      </c>
      <c r="BE896" s="57">
        <f t="shared" si="379"/>
        <v>3240.3483199999978</v>
      </c>
      <c r="BF896" s="35" t="str">
        <f>VLOOKUP(A:A,'2023-2027'!A:G,1,+FALSE)</f>
        <v>ТП №66  МРП</v>
      </c>
      <c r="BG896" s="7" t="b">
        <f t="shared" si="361"/>
        <v>1</v>
      </c>
      <c r="BH896" s="35">
        <f>VLOOKUP(A:A,'2023-2027'!A:AT,43,+FALSE)</f>
        <v>533.59</v>
      </c>
    </row>
    <row r="897" spans="1:60" ht="12" hidden="1" customHeight="1" outlineLevel="1" x14ac:dyDescent="0.2">
      <c r="A897" s="59" t="s">
        <v>2077</v>
      </c>
      <c r="B897" s="59" t="s">
        <v>44</v>
      </c>
      <c r="C897" s="59" t="s">
        <v>82</v>
      </c>
      <c r="D897" s="66" t="s">
        <v>2078</v>
      </c>
      <c r="E897" s="59" t="s">
        <v>1622</v>
      </c>
      <c r="F897" s="60">
        <v>110253</v>
      </c>
      <c r="G897" s="60">
        <v>40331.480000000003</v>
      </c>
      <c r="H897" s="60">
        <v>69921.52</v>
      </c>
      <c r="I897" s="59"/>
      <c r="J897" s="60">
        <v>1868.76</v>
      </c>
      <c r="K897" s="59"/>
      <c r="L897" s="59"/>
      <c r="M897" s="60">
        <v>110253</v>
      </c>
      <c r="N897" s="60">
        <v>42200.24</v>
      </c>
      <c r="O897" s="60">
        <v>68052.759999999995</v>
      </c>
      <c r="P897" s="55">
        <v>68987.14</v>
      </c>
      <c r="Q897" s="55">
        <f t="shared" si="373"/>
        <v>1517.7170800000001</v>
      </c>
      <c r="R897" s="61">
        <f t="shared" si="354"/>
        <v>155.72999999999999</v>
      </c>
      <c r="S897" s="60">
        <v>155.72999999999999</v>
      </c>
      <c r="T897" s="60">
        <v>155.72999999999999</v>
      </c>
      <c r="U897" s="60">
        <v>155.72999999999999</v>
      </c>
      <c r="V897" s="60">
        <v>155.72999999999999</v>
      </c>
      <c r="W897" s="60">
        <v>155.72999999999999</v>
      </c>
      <c r="X897" s="61">
        <f t="shared" si="355"/>
        <v>934.38</v>
      </c>
      <c r="Y897" s="60">
        <v>155.72999999999999</v>
      </c>
      <c r="Z897" s="60">
        <v>155.72999999999999</v>
      </c>
      <c r="AA897" s="60">
        <v>155.72999999999999</v>
      </c>
      <c r="AB897" s="60">
        <v>155.72999999999999</v>
      </c>
      <c r="AC897" s="60">
        <v>155.72999999999999</v>
      </c>
      <c r="AD897" s="60">
        <v>155.72999999999999</v>
      </c>
      <c r="AE897" s="61">
        <f t="shared" si="356"/>
        <v>934.38</v>
      </c>
      <c r="AF897" s="62">
        <f t="shared" si="363"/>
        <v>110253</v>
      </c>
      <c r="AG897" s="62">
        <f t="shared" si="362"/>
        <v>44069.000000000036</v>
      </c>
      <c r="AH897" s="62">
        <f t="shared" si="360"/>
        <v>66183.999999999971</v>
      </c>
      <c r="AI897" s="63">
        <v>67118.379999999932</v>
      </c>
      <c r="AJ897" s="63">
        <f t="shared" si="374"/>
        <v>1476.6043599999987</v>
      </c>
      <c r="AK897" s="72">
        <f t="shared" si="378"/>
        <v>1476.6043599999987</v>
      </c>
      <c r="AL897" s="60">
        <v>155.72999999999999</v>
      </c>
      <c r="AM897" s="60">
        <v>155.72999999999999</v>
      </c>
      <c r="AN897" s="60">
        <v>155.72999999999999</v>
      </c>
      <c r="AO897" s="60">
        <v>155.72999999999999</v>
      </c>
      <c r="AP897" s="60">
        <v>155.72999999999999</v>
      </c>
      <c r="AQ897" s="60">
        <v>155.72999999999999</v>
      </c>
      <c r="AR897" s="61">
        <f t="shared" si="357"/>
        <v>934.38</v>
      </c>
      <c r="AS897" s="60">
        <v>155.72999999999999</v>
      </c>
      <c r="AT897" s="60">
        <v>155.72999999999999</v>
      </c>
      <c r="AU897" s="60">
        <v>155.72999999999999</v>
      </c>
      <c r="AV897" s="60">
        <v>155.72999999999999</v>
      </c>
      <c r="AW897" s="60">
        <v>155.72999999999999</v>
      </c>
      <c r="AX897" s="60">
        <v>155.72999999999999</v>
      </c>
      <c r="AY897" s="61">
        <f t="shared" si="358"/>
        <v>934.38</v>
      </c>
      <c r="AZ897" s="56">
        <f t="shared" si="349"/>
        <v>1868.76</v>
      </c>
      <c r="BA897" s="62">
        <f t="shared" si="367"/>
        <v>110253</v>
      </c>
      <c r="BB897" s="62">
        <f t="shared" si="359"/>
        <v>45937.760000000075</v>
      </c>
      <c r="BC897" s="62">
        <f t="shared" si="368"/>
        <v>64315.239999999925</v>
      </c>
      <c r="BD897" s="63">
        <v>65249.619999999806</v>
      </c>
      <c r="BE897" s="57">
        <f t="shared" si="379"/>
        <v>1435.4916399999959</v>
      </c>
      <c r="BF897" s="35" t="str">
        <f>VLOOKUP(A:A,'2023-2027'!A:G,1,+FALSE)</f>
        <v>ТП №67 школа№5 2000г.</v>
      </c>
      <c r="BG897" s="7" t="b">
        <f t="shared" si="361"/>
        <v>1</v>
      </c>
      <c r="BH897" s="35">
        <f>VLOOKUP(A:A,'2023-2027'!A:AT,43,+FALSE)</f>
        <v>155.72999999999999</v>
      </c>
    </row>
    <row r="898" spans="1:60" ht="24" hidden="1" customHeight="1" outlineLevel="1" x14ac:dyDescent="0.2">
      <c r="A898" s="59" t="s">
        <v>2079</v>
      </c>
      <c r="B898" s="59" t="s">
        <v>44</v>
      </c>
      <c r="C898" s="59" t="s">
        <v>82</v>
      </c>
      <c r="D898" s="65" t="s">
        <v>2080</v>
      </c>
      <c r="E898" s="59" t="s">
        <v>2081</v>
      </c>
      <c r="F898" s="60">
        <v>182703.23</v>
      </c>
      <c r="G898" s="60">
        <v>91105.95</v>
      </c>
      <c r="H898" s="60">
        <v>91597.28</v>
      </c>
      <c r="I898" s="59"/>
      <c r="J898" s="60">
        <v>5606.52</v>
      </c>
      <c r="K898" s="59"/>
      <c r="L898" s="59"/>
      <c r="M898" s="60">
        <v>182703.23</v>
      </c>
      <c r="N898" s="60">
        <v>96712.47</v>
      </c>
      <c r="O898" s="60">
        <v>85990.76</v>
      </c>
      <c r="P898" s="55">
        <v>88794.02</v>
      </c>
      <c r="Q898" s="55">
        <f t="shared" si="373"/>
        <v>1953.4684400000003</v>
      </c>
      <c r="R898" s="61">
        <f t="shared" si="354"/>
        <v>467.21000000000004</v>
      </c>
      <c r="S898" s="60">
        <v>467.21</v>
      </c>
      <c r="T898" s="60">
        <v>467.21</v>
      </c>
      <c r="U898" s="60">
        <v>467.21</v>
      </c>
      <c r="V898" s="60">
        <v>467.21</v>
      </c>
      <c r="W898" s="60">
        <v>467.21</v>
      </c>
      <c r="X898" s="61">
        <f t="shared" si="355"/>
        <v>2803.26</v>
      </c>
      <c r="Y898" s="60">
        <v>467.21</v>
      </c>
      <c r="Z898" s="60">
        <v>467.21</v>
      </c>
      <c r="AA898" s="60">
        <v>467.21</v>
      </c>
      <c r="AB898" s="60">
        <v>467.21</v>
      </c>
      <c r="AC898" s="60">
        <v>467.21</v>
      </c>
      <c r="AD898" s="60">
        <v>467.21</v>
      </c>
      <c r="AE898" s="61">
        <f t="shared" si="356"/>
        <v>2803.2599999999998</v>
      </c>
      <c r="AF898" s="62">
        <f t="shared" si="363"/>
        <v>182703.23</v>
      </c>
      <c r="AG898" s="62">
        <f t="shared" si="362"/>
        <v>102318.99000000008</v>
      </c>
      <c r="AH898" s="62">
        <f t="shared" si="360"/>
        <v>80384.239999999932</v>
      </c>
      <c r="AI898" s="63">
        <v>83187.500000000029</v>
      </c>
      <c r="AJ898" s="63">
        <f t="shared" si="374"/>
        <v>1830.1250000000009</v>
      </c>
      <c r="AK898" s="72">
        <f t="shared" si="378"/>
        <v>1830.1250000000009</v>
      </c>
      <c r="AL898" s="60">
        <v>467.21</v>
      </c>
      <c r="AM898" s="60">
        <v>467.21</v>
      </c>
      <c r="AN898" s="60">
        <v>467.21</v>
      </c>
      <c r="AO898" s="60">
        <v>467.21</v>
      </c>
      <c r="AP898" s="60">
        <v>467.21</v>
      </c>
      <c r="AQ898" s="60">
        <v>467.21</v>
      </c>
      <c r="AR898" s="61">
        <f t="shared" si="357"/>
        <v>2803.2599999999998</v>
      </c>
      <c r="AS898" s="60">
        <v>467.21</v>
      </c>
      <c r="AT898" s="60">
        <v>467.21</v>
      </c>
      <c r="AU898" s="60">
        <v>467.21</v>
      </c>
      <c r="AV898" s="60">
        <v>467.21</v>
      </c>
      <c r="AW898" s="60">
        <v>467.21</v>
      </c>
      <c r="AX898" s="60">
        <v>467.21</v>
      </c>
      <c r="AY898" s="61">
        <f t="shared" si="358"/>
        <v>2803.2599999999998</v>
      </c>
      <c r="AZ898" s="56">
        <f t="shared" si="349"/>
        <v>5606.5199999999995</v>
      </c>
      <c r="BA898" s="62">
        <f t="shared" si="367"/>
        <v>182703.23</v>
      </c>
      <c r="BB898" s="62">
        <f t="shared" si="359"/>
        <v>107925.51000000015</v>
      </c>
      <c r="BC898" s="62">
        <f t="shared" si="368"/>
        <v>74777.719999999856</v>
      </c>
      <c r="BD898" s="63">
        <v>77580.980000000141</v>
      </c>
      <c r="BE898" s="57">
        <f t="shared" si="379"/>
        <v>1706.7815600000033</v>
      </c>
      <c r="BF898" s="35" t="e">
        <f>VLOOKUP(A:A,'2023-2027'!A:G,1,+FALSE)</f>
        <v>#N/A</v>
      </c>
      <c r="BG898" s="7" t="e">
        <f t="shared" si="361"/>
        <v>#N/A</v>
      </c>
      <c r="BH898" s="35"/>
    </row>
    <row r="899" spans="1:60" ht="12" hidden="1" customHeight="1" outlineLevel="1" x14ac:dyDescent="0.2">
      <c r="A899" s="59" t="s">
        <v>2082</v>
      </c>
      <c r="B899" s="59" t="s">
        <v>44</v>
      </c>
      <c r="C899" s="59" t="s">
        <v>82</v>
      </c>
      <c r="D899" s="66" t="s">
        <v>2083</v>
      </c>
      <c r="E899" s="59" t="s">
        <v>1985</v>
      </c>
      <c r="F899" s="60">
        <v>410888.55</v>
      </c>
      <c r="G899" s="60">
        <v>382450.65</v>
      </c>
      <c r="H899" s="60">
        <v>28437.9</v>
      </c>
      <c r="I899" s="59"/>
      <c r="J899" s="60">
        <v>6964.4</v>
      </c>
      <c r="K899" s="59"/>
      <c r="L899" s="59"/>
      <c r="M899" s="60">
        <v>410888.55</v>
      </c>
      <c r="N899" s="60">
        <v>389415.05</v>
      </c>
      <c r="O899" s="60">
        <v>21473.5</v>
      </c>
      <c r="P899" s="55">
        <v>24955.7</v>
      </c>
      <c r="Q899" s="55">
        <f t="shared" si="373"/>
        <v>549.0254000000001</v>
      </c>
      <c r="R899" s="61">
        <f t="shared" si="354"/>
        <v>580.36666666666667</v>
      </c>
      <c r="S899" s="60">
        <v>580.3666667</v>
      </c>
      <c r="T899" s="60">
        <v>580.3666667</v>
      </c>
      <c r="U899" s="60">
        <v>580.3666667</v>
      </c>
      <c r="V899" s="60">
        <v>580.3666667</v>
      </c>
      <c r="W899" s="60">
        <v>580.3666667</v>
      </c>
      <c r="X899" s="61">
        <f t="shared" si="355"/>
        <v>3482.2000001666665</v>
      </c>
      <c r="Y899" s="60">
        <v>580.3666667</v>
      </c>
      <c r="Z899" s="60">
        <v>580.3666667</v>
      </c>
      <c r="AA899" s="60">
        <v>580.3666667</v>
      </c>
      <c r="AB899" s="60">
        <v>580.3666667</v>
      </c>
      <c r="AC899" s="60">
        <v>580.3666667</v>
      </c>
      <c r="AD899" s="60">
        <v>580.3666667</v>
      </c>
      <c r="AE899" s="61">
        <f t="shared" si="356"/>
        <v>3482.2000001999995</v>
      </c>
      <c r="AF899" s="62">
        <f t="shared" si="363"/>
        <v>410888.55</v>
      </c>
      <c r="AG899" s="62">
        <f t="shared" si="362"/>
        <v>396379.45000036655</v>
      </c>
      <c r="AH899" s="62">
        <f t="shared" si="360"/>
        <v>14509.099999633443</v>
      </c>
      <c r="AI899" s="63">
        <v>17991.279999999984</v>
      </c>
      <c r="AJ899" s="63">
        <f t="shared" si="374"/>
        <v>395.8081599999997</v>
      </c>
      <c r="AK899" s="72">
        <f t="shared" si="378"/>
        <v>395.8081599999997</v>
      </c>
      <c r="AL899" s="60">
        <v>580.3666667</v>
      </c>
      <c r="AM899" s="60">
        <v>580.3666667</v>
      </c>
      <c r="AN899" s="60">
        <v>580.3666667</v>
      </c>
      <c r="AO899" s="60">
        <v>580.3666667</v>
      </c>
      <c r="AP899" s="60">
        <v>580.3666667</v>
      </c>
      <c r="AQ899" s="60">
        <v>580.3666667</v>
      </c>
      <c r="AR899" s="61">
        <f t="shared" si="357"/>
        <v>3482.2000001999995</v>
      </c>
      <c r="AS899" s="60">
        <v>580.3666667</v>
      </c>
      <c r="AT899" s="60">
        <v>580.3666667</v>
      </c>
      <c r="AU899" s="60">
        <v>580.3666667</v>
      </c>
      <c r="AV899" s="60">
        <v>580.3666667</v>
      </c>
      <c r="AW899" s="60">
        <v>580.3666667</v>
      </c>
      <c r="AX899" s="60">
        <v>580.3666667</v>
      </c>
      <c r="AY899" s="61">
        <f t="shared" si="358"/>
        <v>3482.2000001999995</v>
      </c>
      <c r="AZ899" s="56">
        <f t="shared" si="349"/>
        <v>6964.400000399999</v>
      </c>
      <c r="BA899" s="62">
        <f t="shared" si="367"/>
        <v>410888.55</v>
      </c>
      <c r="BB899" s="62">
        <f t="shared" si="359"/>
        <v>403343.85000076646</v>
      </c>
      <c r="BC899" s="62">
        <f t="shared" si="368"/>
        <v>7544.6999992335332</v>
      </c>
      <c r="BD899" s="63">
        <v>11026.839999999955</v>
      </c>
      <c r="BE899" s="57">
        <f t="shared" si="379"/>
        <v>242.59047999999902</v>
      </c>
      <c r="BF899" s="35" t="str">
        <f>VLOOKUP(A:A,'2023-2027'!A:G,1,+FALSE)</f>
        <v>ТП №7 столовая 1  1967г.</v>
      </c>
      <c r="BG899" s="7" t="b">
        <f t="shared" si="361"/>
        <v>1</v>
      </c>
      <c r="BH899" s="35">
        <f>VLOOKUP(A:A,'2023-2027'!A:AT,43,+FALSE)</f>
        <v>2562.8499999999995</v>
      </c>
    </row>
    <row r="900" spans="1:60" ht="24" hidden="1" customHeight="1" outlineLevel="1" x14ac:dyDescent="0.2">
      <c r="A900" s="59" t="s">
        <v>2084</v>
      </c>
      <c r="B900" s="59" t="s">
        <v>44</v>
      </c>
      <c r="C900" s="59" t="s">
        <v>82</v>
      </c>
      <c r="D900" s="66" t="s">
        <v>2085</v>
      </c>
      <c r="E900" s="59" t="s">
        <v>1557</v>
      </c>
      <c r="F900" s="60">
        <v>442207.81</v>
      </c>
      <c r="G900" s="60">
        <v>274536.96999999997</v>
      </c>
      <c r="H900" s="60">
        <v>167670.84</v>
      </c>
      <c r="I900" s="59"/>
      <c r="J900" s="60">
        <v>22110.48</v>
      </c>
      <c r="K900" s="59"/>
      <c r="L900" s="59"/>
      <c r="M900" s="60">
        <v>442207.81</v>
      </c>
      <c r="N900" s="60">
        <v>296647.45</v>
      </c>
      <c r="O900" s="60">
        <v>145560.35999999999</v>
      </c>
      <c r="P900" s="55">
        <v>156615.6</v>
      </c>
      <c r="Q900" s="55">
        <f t="shared" si="373"/>
        <v>3445.5432000000005</v>
      </c>
      <c r="R900" s="61">
        <f t="shared" si="354"/>
        <v>1842.54</v>
      </c>
      <c r="S900" s="60">
        <v>1842.54</v>
      </c>
      <c r="T900" s="60">
        <v>1842.54</v>
      </c>
      <c r="U900" s="60">
        <v>1842.54</v>
      </c>
      <c r="V900" s="60">
        <v>1842.54</v>
      </c>
      <c r="W900" s="60">
        <v>1842.54</v>
      </c>
      <c r="X900" s="61">
        <f t="shared" si="355"/>
        <v>11055.240000000002</v>
      </c>
      <c r="Y900" s="60">
        <v>1842.54</v>
      </c>
      <c r="Z900" s="60">
        <v>1842.54</v>
      </c>
      <c r="AA900" s="60">
        <v>1842.54</v>
      </c>
      <c r="AB900" s="60">
        <v>1842.54</v>
      </c>
      <c r="AC900" s="60">
        <v>1842.54</v>
      </c>
      <c r="AD900" s="60">
        <v>1842.54</v>
      </c>
      <c r="AE900" s="61">
        <f t="shared" si="356"/>
        <v>11055.240000000002</v>
      </c>
      <c r="AF900" s="62">
        <f t="shared" si="363"/>
        <v>442207.81</v>
      </c>
      <c r="AG900" s="62">
        <f t="shared" si="362"/>
        <v>318757.92999999976</v>
      </c>
      <c r="AH900" s="62">
        <f t="shared" si="360"/>
        <v>123449.88000000024</v>
      </c>
      <c r="AI900" s="63">
        <v>134505.11999999994</v>
      </c>
      <c r="AJ900" s="63">
        <f t="shared" si="374"/>
        <v>2959.1126399999989</v>
      </c>
      <c r="AK900" s="72">
        <f t="shared" si="378"/>
        <v>2959.1126399999989</v>
      </c>
      <c r="AL900" s="60">
        <v>1842.54</v>
      </c>
      <c r="AM900" s="60">
        <v>1842.54</v>
      </c>
      <c r="AN900" s="60">
        <v>1842.54</v>
      </c>
      <c r="AO900" s="60">
        <v>1842.54</v>
      </c>
      <c r="AP900" s="60">
        <v>1842.54</v>
      </c>
      <c r="AQ900" s="60">
        <v>1842.54</v>
      </c>
      <c r="AR900" s="61">
        <f t="shared" si="357"/>
        <v>11055.240000000002</v>
      </c>
      <c r="AS900" s="60">
        <v>1842.54</v>
      </c>
      <c r="AT900" s="60">
        <v>1842.54</v>
      </c>
      <c r="AU900" s="60">
        <v>1842.54</v>
      </c>
      <c r="AV900" s="60">
        <v>1842.54</v>
      </c>
      <c r="AW900" s="60">
        <v>1842.54</v>
      </c>
      <c r="AX900" s="60">
        <v>1842.54</v>
      </c>
      <c r="AY900" s="61">
        <f t="shared" si="358"/>
        <v>11055.240000000002</v>
      </c>
      <c r="AZ900" s="56">
        <f t="shared" si="349"/>
        <v>22110.480000000003</v>
      </c>
      <c r="BA900" s="62">
        <f t="shared" si="367"/>
        <v>442207.81</v>
      </c>
      <c r="BB900" s="62">
        <f t="shared" si="359"/>
        <v>340868.40999999951</v>
      </c>
      <c r="BC900" s="62">
        <f t="shared" si="368"/>
        <v>101339.40000000049</v>
      </c>
      <c r="BD900" s="63">
        <v>112394.63999999984</v>
      </c>
      <c r="BE900" s="57">
        <f t="shared" si="379"/>
        <v>2472.6820799999969</v>
      </c>
      <c r="BF900" s="35" t="str">
        <f>VLOOKUP(A:A,'2023-2027'!A:G,1,+FALSE)</f>
        <v>ТП №73(Трансформаторная подстанция Ленина 35б )</v>
      </c>
      <c r="BG900" s="7" t="b">
        <f t="shared" si="361"/>
        <v>1</v>
      </c>
      <c r="BH900" s="35">
        <f>VLOOKUP(A:A,'2023-2027'!A:AT,43,+FALSE)</f>
        <v>1842.54</v>
      </c>
    </row>
    <row r="901" spans="1:60" ht="24" hidden="1" customHeight="1" outlineLevel="1" x14ac:dyDescent="0.2">
      <c r="A901" s="59" t="s">
        <v>2086</v>
      </c>
      <c r="B901" s="59" t="s">
        <v>44</v>
      </c>
      <c r="C901" s="59" t="s">
        <v>82</v>
      </c>
      <c r="D901" s="65" t="s">
        <v>2087</v>
      </c>
      <c r="E901" s="59" t="s">
        <v>2088</v>
      </c>
      <c r="F901" s="60">
        <v>326158.13</v>
      </c>
      <c r="G901" s="60">
        <v>164469.12</v>
      </c>
      <c r="H901" s="60">
        <v>161689.01</v>
      </c>
      <c r="I901" s="59"/>
      <c r="J901" s="60">
        <v>10279.32</v>
      </c>
      <c r="K901" s="59"/>
      <c r="L901" s="59"/>
      <c r="M901" s="60">
        <v>326158.13</v>
      </c>
      <c r="N901" s="60">
        <v>174748.44</v>
      </c>
      <c r="O901" s="60">
        <v>151409.69</v>
      </c>
      <c r="P901" s="55">
        <v>156549.35</v>
      </c>
      <c r="Q901" s="55">
        <f t="shared" si="373"/>
        <v>3444.0857000000005</v>
      </c>
      <c r="R901" s="61">
        <f t="shared" si="354"/>
        <v>856.61</v>
      </c>
      <c r="S901" s="60">
        <v>856.61</v>
      </c>
      <c r="T901" s="60">
        <v>856.61</v>
      </c>
      <c r="U901" s="60">
        <v>856.61</v>
      </c>
      <c r="V901" s="60">
        <v>856.61</v>
      </c>
      <c r="W901" s="60">
        <v>856.61</v>
      </c>
      <c r="X901" s="61">
        <f t="shared" si="355"/>
        <v>5139.66</v>
      </c>
      <c r="Y901" s="60">
        <v>856.61</v>
      </c>
      <c r="Z901" s="60">
        <v>856.61</v>
      </c>
      <c r="AA901" s="60">
        <v>856.61</v>
      </c>
      <c r="AB901" s="60">
        <v>856.61</v>
      </c>
      <c r="AC901" s="60">
        <v>856.61</v>
      </c>
      <c r="AD901" s="60">
        <v>856.61</v>
      </c>
      <c r="AE901" s="61">
        <f t="shared" si="356"/>
        <v>5139.66</v>
      </c>
      <c r="AF901" s="62">
        <f t="shared" si="363"/>
        <v>326158.13</v>
      </c>
      <c r="AG901" s="62">
        <f t="shared" si="362"/>
        <v>185027.75999999983</v>
      </c>
      <c r="AH901" s="62">
        <f t="shared" si="360"/>
        <v>141130.37000000017</v>
      </c>
      <c r="AI901" s="63">
        <v>146270.02999999991</v>
      </c>
      <c r="AJ901" s="63">
        <f t="shared" si="374"/>
        <v>3217.9406599999984</v>
      </c>
      <c r="AK901" s="72">
        <f t="shared" si="378"/>
        <v>3217.9406599999984</v>
      </c>
      <c r="AL901" s="60">
        <v>856.61</v>
      </c>
      <c r="AM901" s="60">
        <v>856.61</v>
      </c>
      <c r="AN901" s="60">
        <v>856.61</v>
      </c>
      <c r="AO901" s="60">
        <v>856.61</v>
      </c>
      <c r="AP901" s="60">
        <v>856.61</v>
      </c>
      <c r="AQ901" s="60">
        <v>856.61</v>
      </c>
      <c r="AR901" s="61">
        <f t="shared" si="357"/>
        <v>5139.66</v>
      </c>
      <c r="AS901" s="60">
        <v>856.61</v>
      </c>
      <c r="AT901" s="60">
        <v>856.61</v>
      </c>
      <c r="AU901" s="60">
        <v>856.61</v>
      </c>
      <c r="AV901" s="60">
        <v>856.61</v>
      </c>
      <c r="AW901" s="60">
        <v>856.61</v>
      </c>
      <c r="AX901" s="60">
        <v>856.61</v>
      </c>
      <c r="AY901" s="61">
        <f t="shared" si="358"/>
        <v>5139.66</v>
      </c>
      <c r="AZ901" s="56">
        <f t="shared" si="349"/>
        <v>10279.32</v>
      </c>
      <c r="BA901" s="62">
        <f t="shared" si="367"/>
        <v>326158.13</v>
      </c>
      <c r="BB901" s="62">
        <f t="shared" si="359"/>
        <v>195307.07999999967</v>
      </c>
      <c r="BC901" s="62">
        <f t="shared" si="368"/>
        <v>130851.05000000034</v>
      </c>
      <c r="BD901" s="63">
        <v>135990.70999999973</v>
      </c>
      <c r="BE901" s="57">
        <f t="shared" si="379"/>
        <v>2991.7956199999944</v>
      </c>
      <c r="BF901" s="35" t="e">
        <f>VLOOKUP(A:A,'2023-2027'!A:G,1,+FALSE)</f>
        <v>#N/A</v>
      </c>
      <c r="BG901" s="7" t="e">
        <f t="shared" si="361"/>
        <v>#N/A</v>
      </c>
      <c r="BH901" s="35"/>
    </row>
    <row r="902" spans="1:60" ht="24" hidden="1" customHeight="1" outlineLevel="1" x14ac:dyDescent="0.2">
      <c r="A902" s="59" t="s">
        <v>2089</v>
      </c>
      <c r="B902" s="59" t="s">
        <v>44</v>
      </c>
      <c r="C902" s="59" t="s">
        <v>82</v>
      </c>
      <c r="D902" s="66" t="s">
        <v>2090</v>
      </c>
      <c r="E902" s="59" t="s">
        <v>349</v>
      </c>
      <c r="F902" s="60">
        <v>213802.94</v>
      </c>
      <c r="G902" s="60">
        <v>155572</v>
      </c>
      <c r="H902" s="60">
        <v>58230.94</v>
      </c>
      <c r="I902" s="59"/>
      <c r="J902" s="60">
        <v>10146.219999999999</v>
      </c>
      <c r="K902" s="59"/>
      <c r="L902" s="59"/>
      <c r="M902" s="60">
        <v>213802.94</v>
      </c>
      <c r="N902" s="60">
        <v>165718.22</v>
      </c>
      <c r="O902" s="60">
        <v>48084.72</v>
      </c>
      <c r="P902" s="55">
        <v>53157.82</v>
      </c>
      <c r="Q902" s="55">
        <f t="shared" si="373"/>
        <v>1169.4720400000001</v>
      </c>
      <c r="R902" s="61">
        <f t="shared" si="354"/>
        <v>845.51833333333332</v>
      </c>
      <c r="S902" s="60">
        <v>845.51833299999998</v>
      </c>
      <c r="T902" s="60">
        <v>845.51833299999998</v>
      </c>
      <c r="U902" s="60">
        <v>845.51833299999998</v>
      </c>
      <c r="V902" s="60">
        <v>845.51833299999998</v>
      </c>
      <c r="W902" s="60">
        <v>845.51833299999998</v>
      </c>
      <c r="X902" s="61">
        <f t="shared" si="355"/>
        <v>5073.1099983333334</v>
      </c>
      <c r="Y902" s="60">
        <v>845.51833299999998</v>
      </c>
      <c r="Z902" s="60">
        <v>845.51833299999998</v>
      </c>
      <c r="AA902" s="60">
        <v>845.51833299999998</v>
      </c>
      <c r="AB902" s="60">
        <v>845.51833299999998</v>
      </c>
      <c r="AC902" s="60">
        <v>845.51833299999998</v>
      </c>
      <c r="AD902" s="60">
        <v>845.51833299999998</v>
      </c>
      <c r="AE902" s="61">
        <f t="shared" si="356"/>
        <v>5073.1099979999999</v>
      </c>
      <c r="AF902" s="62">
        <f t="shared" si="363"/>
        <v>213802.94</v>
      </c>
      <c r="AG902" s="62">
        <f t="shared" si="362"/>
        <v>175864.4399963335</v>
      </c>
      <c r="AH902" s="62">
        <f t="shared" si="360"/>
        <v>37938.500003666501</v>
      </c>
      <c r="AI902" s="63">
        <v>43011.599999999969</v>
      </c>
      <c r="AJ902" s="63">
        <f t="shared" si="374"/>
        <v>946.25519999999938</v>
      </c>
      <c r="AK902" s="72">
        <f t="shared" si="378"/>
        <v>946.25519999999938</v>
      </c>
      <c r="AL902" s="60">
        <v>845.51833299999998</v>
      </c>
      <c r="AM902" s="60">
        <v>845.51833299999998</v>
      </c>
      <c r="AN902" s="60">
        <v>845.51833299999998</v>
      </c>
      <c r="AO902" s="60">
        <v>845.51833299999998</v>
      </c>
      <c r="AP902" s="60">
        <v>845.51833299999998</v>
      </c>
      <c r="AQ902" s="60">
        <v>845.51833299999998</v>
      </c>
      <c r="AR902" s="61">
        <f t="shared" si="357"/>
        <v>5073.1099979999999</v>
      </c>
      <c r="AS902" s="60">
        <v>845.51833299999998</v>
      </c>
      <c r="AT902" s="60">
        <v>845.51833299999998</v>
      </c>
      <c r="AU902" s="60">
        <v>845.51833299999998</v>
      </c>
      <c r="AV902" s="60">
        <v>845.51833299999998</v>
      </c>
      <c r="AW902" s="60">
        <v>845.51833299999998</v>
      </c>
      <c r="AX902" s="60">
        <v>845.51833299999998</v>
      </c>
      <c r="AY902" s="61">
        <f t="shared" si="358"/>
        <v>5073.1099979999999</v>
      </c>
      <c r="AZ902" s="56">
        <f t="shared" si="349"/>
        <v>10146.219996</v>
      </c>
      <c r="BA902" s="62">
        <f t="shared" si="367"/>
        <v>213802.94</v>
      </c>
      <c r="BB902" s="62">
        <f t="shared" si="359"/>
        <v>186010.65999233368</v>
      </c>
      <c r="BC902" s="62">
        <f t="shared" si="368"/>
        <v>27792.280007666326</v>
      </c>
      <c r="BD902" s="63">
        <v>32865.359999999921</v>
      </c>
      <c r="BE902" s="57">
        <f t="shared" si="379"/>
        <v>723.03791999999828</v>
      </c>
      <c r="BF902" s="35" t="str">
        <f>VLOOKUP(A:A,'2023-2027'!A:G,1,+FALSE)</f>
        <v>ТП №75 КТП /ПК-К-250/10/04 на Неф-в 11а  2006г</v>
      </c>
      <c r="BG902" s="7" t="b">
        <f t="shared" si="361"/>
        <v>1</v>
      </c>
      <c r="BH902" s="35">
        <f>VLOOKUP(A:A,'2023-2027'!A:AT,43,+FALSE)</f>
        <v>0</v>
      </c>
    </row>
    <row r="903" spans="1:60" ht="12" hidden="1" customHeight="1" outlineLevel="1" x14ac:dyDescent="0.2">
      <c r="A903" s="59" t="s">
        <v>2091</v>
      </c>
      <c r="B903" s="59" t="s">
        <v>44</v>
      </c>
      <c r="C903" s="59" t="s">
        <v>82</v>
      </c>
      <c r="D903" s="66" t="s">
        <v>2092</v>
      </c>
      <c r="E903" s="59" t="s">
        <v>766</v>
      </c>
      <c r="F903" s="60">
        <v>236505.42</v>
      </c>
      <c r="G903" s="60">
        <v>172226.6</v>
      </c>
      <c r="H903" s="60">
        <v>64278.82</v>
      </c>
      <c r="I903" s="59"/>
      <c r="J903" s="60">
        <v>11355.72</v>
      </c>
      <c r="K903" s="59"/>
      <c r="L903" s="59"/>
      <c r="M903" s="60">
        <v>236505.42</v>
      </c>
      <c r="N903" s="60">
        <v>183582.32</v>
      </c>
      <c r="O903" s="60">
        <v>52923.1</v>
      </c>
      <c r="P903" s="55">
        <v>58600.959999999999</v>
      </c>
      <c r="Q903" s="55">
        <f t="shared" si="373"/>
        <v>1289.2211200000002</v>
      </c>
      <c r="R903" s="61">
        <f t="shared" si="354"/>
        <v>946.31</v>
      </c>
      <c r="S903" s="60">
        <v>946.31</v>
      </c>
      <c r="T903" s="60">
        <v>946.31</v>
      </c>
      <c r="U903" s="60">
        <v>946.31</v>
      </c>
      <c r="V903" s="60">
        <v>946.31</v>
      </c>
      <c r="W903" s="60">
        <v>946.31</v>
      </c>
      <c r="X903" s="61">
        <f t="shared" si="355"/>
        <v>5677.8599999999988</v>
      </c>
      <c r="Y903" s="60">
        <v>946.31</v>
      </c>
      <c r="Z903" s="60">
        <v>946.31</v>
      </c>
      <c r="AA903" s="60">
        <v>946.31</v>
      </c>
      <c r="AB903" s="60">
        <v>946.31</v>
      </c>
      <c r="AC903" s="60">
        <v>946.31</v>
      </c>
      <c r="AD903" s="60">
        <v>946.31</v>
      </c>
      <c r="AE903" s="61">
        <f t="shared" si="356"/>
        <v>5677.8599999999988</v>
      </c>
      <c r="AF903" s="62">
        <f t="shared" si="363"/>
        <v>236505.42</v>
      </c>
      <c r="AG903" s="62">
        <f t="shared" si="362"/>
        <v>194938.03999999998</v>
      </c>
      <c r="AH903" s="62">
        <f t="shared" si="360"/>
        <v>41567.380000000034</v>
      </c>
      <c r="AI903" s="63">
        <v>47245.240000000005</v>
      </c>
      <c r="AJ903" s="63">
        <f t="shared" si="374"/>
        <v>1039.3952800000002</v>
      </c>
      <c r="AK903" s="72">
        <f t="shared" si="378"/>
        <v>1039.3952800000002</v>
      </c>
      <c r="AL903" s="60">
        <v>946.31</v>
      </c>
      <c r="AM903" s="60">
        <v>946.31</v>
      </c>
      <c r="AN903" s="60">
        <v>946.31</v>
      </c>
      <c r="AO903" s="60">
        <v>946.31</v>
      </c>
      <c r="AP903" s="60">
        <v>946.31</v>
      </c>
      <c r="AQ903" s="60">
        <v>946.31</v>
      </c>
      <c r="AR903" s="61">
        <f t="shared" si="357"/>
        <v>5677.8599999999988</v>
      </c>
      <c r="AS903" s="60">
        <v>946.31</v>
      </c>
      <c r="AT903" s="60">
        <v>946.31</v>
      </c>
      <c r="AU903" s="60">
        <v>946.31</v>
      </c>
      <c r="AV903" s="60">
        <v>946.31</v>
      </c>
      <c r="AW903" s="60">
        <v>946.31</v>
      </c>
      <c r="AX903" s="60">
        <v>946.31</v>
      </c>
      <c r="AY903" s="61">
        <f t="shared" si="358"/>
        <v>5677.8599999999988</v>
      </c>
      <c r="AZ903" s="56">
        <f t="shared" si="349"/>
        <v>11355.719999999998</v>
      </c>
      <c r="BA903" s="62">
        <f t="shared" si="367"/>
        <v>236505.42</v>
      </c>
      <c r="BB903" s="62">
        <f t="shared" si="359"/>
        <v>206293.75999999995</v>
      </c>
      <c r="BC903" s="62">
        <f t="shared" si="368"/>
        <v>30211.660000000062</v>
      </c>
      <c r="BD903" s="63">
        <v>35889.520000000033</v>
      </c>
      <c r="BE903" s="57">
        <f t="shared" si="379"/>
        <v>789.56944000000078</v>
      </c>
      <c r="BF903" s="35" t="str">
        <f>VLOOKUP(A:A,'2023-2027'!A:G,1,+FALSE)</f>
        <v>ТП №76 котельная №2</v>
      </c>
      <c r="BG903" s="7" t="b">
        <f t="shared" si="361"/>
        <v>1</v>
      </c>
      <c r="BH903" s="35">
        <f>VLOOKUP(A:A,'2023-2027'!A:AT,43,+FALSE)</f>
        <v>0</v>
      </c>
    </row>
    <row r="904" spans="1:60" ht="24" hidden="1" customHeight="1" outlineLevel="1" x14ac:dyDescent="0.2">
      <c r="A904" s="59" t="s">
        <v>2093</v>
      </c>
      <c r="B904" s="59" t="s">
        <v>44</v>
      </c>
      <c r="C904" s="59" t="s">
        <v>82</v>
      </c>
      <c r="D904" s="66" t="s">
        <v>2094</v>
      </c>
      <c r="E904" s="59" t="s">
        <v>2095</v>
      </c>
      <c r="F904" s="60">
        <v>604017.51</v>
      </c>
      <c r="G904" s="60">
        <v>440903.5</v>
      </c>
      <c r="H904" s="60">
        <v>163114.01</v>
      </c>
      <c r="I904" s="59"/>
      <c r="J904" s="60">
        <v>31122.84</v>
      </c>
      <c r="K904" s="59"/>
      <c r="L904" s="59"/>
      <c r="M904" s="60">
        <v>604017.51</v>
      </c>
      <c r="N904" s="60">
        <v>472026.34</v>
      </c>
      <c r="O904" s="60">
        <v>131991.17000000001</v>
      </c>
      <c r="P904" s="55">
        <v>147552.59</v>
      </c>
      <c r="Q904" s="55">
        <f t="shared" si="373"/>
        <v>3246.1569800000002</v>
      </c>
      <c r="R904" s="61">
        <f t="shared" si="354"/>
        <v>2593.5700000000002</v>
      </c>
      <c r="S904" s="60">
        <v>2593.5700000000002</v>
      </c>
      <c r="T904" s="60">
        <v>2593.5700000000002</v>
      </c>
      <c r="U904" s="60">
        <v>2593.5700000000002</v>
      </c>
      <c r="V904" s="60">
        <v>2593.5700000000002</v>
      </c>
      <c r="W904" s="60">
        <v>2593.5700000000002</v>
      </c>
      <c r="X904" s="61">
        <f t="shared" si="355"/>
        <v>15561.42</v>
      </c>
      <c r="Y904" s="60">
        <v>2593.5700000000002</v>
      </c>
      <c r="Z904" s="60">
        <v>2593.5700000000002</v>
      </c>
      <c r="AA904" s="60">
        <v>2593.5700000000002</v>
      </c>
      <c r="AB904" s="60">
        <v>2593.5700000000002</v>
      </c>
      <c r="AC904" s="60">
        <v>2593.5700000000002</v>
      </c>
      <c r="AD904" s="60">
        <v>2593.5700000000002</v>
      </c>
      <c r="AE904" s="61">
        <f t="shared" si="356"/>
        <v>15561.42</v>
      </c>
      <c r="AF904" s="62">
        <f t="shared" si="363"/>
        <v>604017.51</v>
      </c>
      <c r="AG904" s="62">
        <f t="shared" si="362"/>
        <v>503149.18000000011</v>
      </c>
      <c r="AH904" s="62">
        <f t="shared" si="360"/>
        <v>100868.3299999999</v>
      </c>
      <c r="AI904" s="63">
        <v>116429.74999999997</v>
      </c>
      <c r="AJ904" s="63">
        <f t="shared" si="374"/>
        <v>2561.4544999999998</v>
      </c>
      <c r="AK904" s="72">
        <f t="shared" si="378"/>
        <v>2561.4544999999998</v>
      </c>
      <c r="AL904" s="60">
        <v>2593.5700000000002</v>
      </c>
      <c r="AM904" s="60">
        <v>2593.5700000000002</v>
      </c>
      <c r="AN904" s="60">
        <v>2593.5700000000002</v>
      </c>
      <c r="AO904" s="60">
        <v>2593.5700000000002</v>
      </c>
      <c r="AP904" s="60">
        <v>2593.5700000000002</v>
      </c>
      <c r="AQ904" s="60">
        <v>2593.5700000000002</v>
      </c>
      <c r="AR904" s="61">
        <f t="shared" si="357"/>
        <v>15561.42</v>
      </c>
      <c r="AS904" s="60">
        <v>2593.5700000000002</v>
      </c>
      <c r="AT904" s="60">
        <v>2593.5700000000002</v>
      </c>
      <c r="AU904" s="60">
        <v>2593.5700000000002</v>
      </c>
      <c r="AV904" s="60">
        <v>2593.5700000000002</v>
      </c>
      <c r="AW904" s="60">
        <v>2593.5700000000002</v>
      </c>
      <c r="AX904" s="60">
        <v>2593.5700000000002</v>
      </c>
      <c r="AY904" s="61">
        <f t="shared" si="358"/>
        <v>15561.42</v>
      </c>
      <c r="AZ904" s="56">
        <f t="shared" si="349"/>
        <v>31122.84</v>
      </c>
      <c r="BA904" s="62">
        <f t="shared" si="367"/>
        <v>604017.51</v>
      </c>
      <c r="BB904" s="62">
        <f t="shared" si="359"/>
        <v>534272.02</v>
      </c>
      <c r="BC904" s="62">
        <f t="shared" si="368"/>
        <v>69745.489999999991</v>
      </c>
      <c r="BD904" s="63">
        <v>85306.909999999887</v>
      </c>
      <c r="BE904" s="57">
        <f t="shared" si="379"/>
        <v>1876.7520199999976</v>
      </c>
      <c r="BF904" s="35" t="str">
        <f>VLOOKUP(A:A,'2023-2027'!A:G,1,+FALSE)</f>
        <v>ТП №77 пер Антипина п Мирный 2007г</v>
      </c>
      <c r="BG904" s="7" t="b">
        <f t="shared" si="361"/>
        <v>1</v>
      </c>
      <c r="BH904" s="35">
        <f>VLOOKUP(A:A,'2023-2027'!A:AT,43,+FALSE)</f>
        <v>0</v>
      </c>
    </row>
    <row r="905" spans="1:60" ht="12" hidden="1" customHeight="1" outlineLevel="1" x14ac:dyDescent="0.2">
      <c r="A905" s="59" t="s">
        <v>2096</v>
      </c>
      <c r="B905" s="59" t="s">
        <v>44</v>
      </c>
      <c r="C905" s="59" t="s">
        <v>82</v>
      </c>
      <c r="D905" s="66" t="s">
        <v>2097</v>
      </c>
      <c r="E905" s="59" t="s">
        <v>1973</v>
      </c>
      <c r="F905" s="60">
        <v>35347</v>
      </c>
      <c r="G905" s="60">
        <v>26313.11</v>
      </c>
      <c r="H905" s="60">
        <v>9033.89</v>
      </c>
      <c r="I905" s="59"/>
      <c r="J905" s="68">
        <v>598.91999999999996</v>
      </c>
      <c r="K905" s="59"/>
      <c r="L905" s="59"/>
      <c r="M905" s="60">
        <v>35347</v>
      </c>
      <c r="N905" s="60">
        <v>26912.03</v>
      </c>
      <c r="O905" s="60">
        <v>8434.9699999999993</v>
      </c>
      <c r="P905" s="55">
        <v>8734.43</v>
      </c>
      <c r="Q905" s="55">
        <f t="shared" si="373"/>
        <v>192.15746000000001</v>
      </c>
      <c r="R905" s="61">
        <f t="shared" si="354"/>
        <v>49.91</v>
      </c>
      <c r="S905" s="60">
        <v>49.91</v>
      </c>
      <c r="T905" s="60">
        <v>49.91</v>
      </c>
      <c r="U905" s="60">
        <v>49.91</v>
      </c>
      <c r="V905" s="60">
        <v>49.91</v>
      </c>
      <c r="W905" s="60">
        <v>49.91</v>
      </c>
      <c r="X905" s="61">
        <f t="shared" si="355"/>
        <v>299.45999999999998</v>
      </c>
      <c r="Y905" s="60">
        <v>49.91</v>
      </c>
      <c r="Z905" s="60">
        <v>49.91</v>
      </c>
      <c r="AA905" s="60">
        <v>49.91</v>
      </c>
      <c r="AB905" s="60">
        <v>49.91</v>
      </c>
      <c r="AC905" s="60">
        <v>49.91</v>
      </c>
      <c r="AD905" s="60">
        <v>49.91</v>
      </c>
      <c r="AE905" s="61">
        <f t="shared" si="356"/>
        <v>299.45999999999998</v>
      </c>
      <c r="AF905" s="62">
        <f t="shared" si="363"/>
        <v>35347</v>
      </c>
      <c r="AG905" s="62">
        <f t="shared" si="362"/>
        <v>27510.949999999997</v>
      </c>
      <c r="AH905" s="62">
        <f t="shared" si="360"/>
        <v>7836.0500000000029</v>
      </c>
      <c r="AI905" s="63">
        <v>8135.51</v>
      </c>
      <c r="AJ905" s="63">
        <f t="shared" si="374"/>
        <v>178.98122000000004</v>
      </c>
      <c r="AK905" s="72">
        <f t="shared" si="378"/>
        <v>178.98122000000004</v>
      </c>
      <c r="AL905" s="60">
        <v>49.91</v>
      </c>
      <c r="AM905" s="60">
        <v>49.91</v>
      </c>
      <c r="AN905" s="60">
        <v>49.91</v>
      </c>
      <c r="AO905" s="60">
        <v>49.91</v>
      </c>
      <c r="AP905" s="60">
        <v>49.91</v>
      </c>
      <c r="AQ905" s="60">
        <v>49.91</v>
      </c>
      <c r="AR905" s="61">
        <f t="shared" si="357"/>
        <v>299.45999999999998</v>
      </c>
      <c r="AS905" s="60">
        <v>49.91</v>
      </c>
      <c r="AT905" s="60">
        <v>49.91</v>
      </c>
      <c r="AU905" s="60">
        <v>49.91</v>
      </c>
      <c r="AV905" s="60">
        <v>49.91</v>
      </c>
      <c r="AW905" s="60">
        <v>49.91</v>
      </c>
      <c r="AX905" s="60">
        <v>49.91</v>
      </c>
      <c r="AY905" s="61">
        <f t="shared" si="358"/>
        <v>299.45999999999998</v>
      </c>
      <c r="AZ905" s="56">
        <f t="shared" si="349"/>
        <v>598.91999999999996</v>
      </c>
      <c r="BA905" s="62">
        <f t="shared" si="367"/>
        <v>35347</v>
      </c>
      <c r="BB905" s="62">
        <f t="shared" si="359"/>
        <v>28109.869999999995</v>
      </c>
      <c r="BC905" s="62">
        <f t="shared" si="368"/>
        <v>7237.1300000000047</v>
      </c>
      <c r="BD905" s="63">
        <v>7536.590000000002</v>
      </c>
      <c r="BE905" s="57">
        <f t="shared" si="379"/>
        <v>165.80498000000006</v>
      </c>
      <c r="BF905" s="35" t="str">
        <f>VLOOKUP(A:A,'2023-2027'!A:G,1,+FALSE)</f>
        <v>ТП №8 ул Ленина 47, 47а  1978г.</v>
      </c>
      <c r="BG905" s="7" t="b">
        <f t="shared" si="361"/>
        <v>1</v>
      </c>
      <c r="BH905" s="35">
        <f>VLOOKUP(A:A,'2023-2027'!A:AT,43,+FALSE)</f>
        <v>49.91</v>
      </c>
    </row>
    <row r="906" spans="1:60" ht="24" hidden="1" customHeight="1" outlineLevel="1" x14ac:dyDescent="0.2">
      <c r="A906" s="59" t="s">
        <v>2098</v>
      </c>
      <c r="B906" s="59" t="s">
        <v>44</v>
      </c>
      <c r="C906" s="59" t="s">
        <v>82</v>
      </c>
      <c r="D906" s="66" t="s">
        <v>2099</v>
      </c>
      <c r="E906" s="59" t="s">
        <v>2100</v>
      </c>
      <c r="F906" s="60">
        <v>2890765</v>
      </c>
      <c r="G906" s="60">
        <v>1752160.6</v>
      </c>
      <c r="H906" s="60">
        <v>1138604.3999999999</v>
      </c>
      <c r="I906" s="59"/>
      <c r="J906" s="60">
        <v>144013.32</v>
      </c>
      <c r="K906" s="59"/>
      <c r="L906" s="59"/>
      <c r="M906" s="60">
        <v>2890765</v>
      </c>
      <c r="N906" s="60">
        <v>1896173.92</v>
      </c>
      <c r="O906" s="60">
        <v>994591.08</v>
      </c>
      <c r="P906" s="55">
        <v>1066597.74</v>
      </c>
      <c r="Q906" s="55">
        <f t="shared" si="373"/>
        <v>23465.150280000002</v>
      </c>
      <c r="R906" s="61">
        <f t="shared" si="354"/>
        <v>12001.11</v>
      </c>
      <c r="S906" s="60">
        <v>12001.11</v>
      </c>
      <c r="T906" s="60">
        <v>12001.11</v>
      </c>
      <c r="U906" s="60">
        <v>12001.11</v>
      </c>
      <c r="V906" s="60">
        <v>12001.11</v>
      </c>
      <c r="W906" s="60">
        <v>12001.11</v>
      </c>
      <c r="X906" s="61">
        <f t="shared" si="355"/>
        <v>72006.66</v>
      </c>
      <c r="Y906" s="60">
        <v>12001.11</v>
      </c>
      <c r="Z906" s="60">
        <v>12001.11</v>
      </c>
      <c r="AA906" s="60">
        <v>12001.11</v>
      </c>
      <c r="AB906" s="60">
        <v>12001.11</v>
      </c>
      <c r="AC906" s="60">
        <v>12001.11</v>
      </c>
      <c r="AD906" s="60">
        <v>12001.11</v>
      </c>
      <c r="AE906" s="61">
        <f t="shared" si="356"/>
        <v>72006.66</v>
      </c>
      <c r="AF906" s="62">
        <f t="shared" si="363"/>
        <v>2890765</v>
      </c>
      <c r="AG906" s="62">
        <f t="shared" si="362"/>
        <v>2040187.2400000012</v>
      </c>
      <c r="AH906" s="62">
        <f t="shared" si="360"/>
        <v>850577.75999999885</v>
      </c>
      <c r="AI906" s="63">
        <v>922584.42000000062</v>
      </c>
      <c r="AJ906" s="63">
        <f t="shared" si="374"/>
        <v>20296.857240000016</v>
      </c>
      <c r="AK906" s="72">
        <f t="shared" si="378"/>
        <v>20296.857240000016</v>
      </c>
      <c r="AL906" s="60">
        <v>12001.11</v>
      </c>
      <c r="AM906" s="60">
        <v>12001.11</v>
      </c>
      <c r="AN906" s="60">
        <v>12001.11</v>
      </c>
      <c r="AO906" s="60">
        <v>12001.11</v>
      </c>
      <c r="AP906" s="60">
        <v>12001.11</v>
      </c>
      <c r="AQ906" s="60">
        <v>12001.11</v>
      </c>
      <c r="AR906" s="61">
        <f t="shared" si="357"/>
        <v>72006.66</v>
      </c>
      <c r="AS906" s="60">
        <v>12001.11</v>
      </c>
      <c r="AT906" s="60">
        <v>12001.11</v>
      </c>
      <c r="AU906" s="60">
        <v>12001.11</v>
      </c>
      <c r="AV906" s="60">
        <v>12001.11</v>
      </c>
      <c r="AW906" s="60">
        <v>12001.11</v>
      </c>
      <c r="AX906" s="60">
        <v>12001.11</v>
      </c>
      <c r="AY906" s="61">
        <f t="shared" si="358"/>
        <v>72006.66</v>
      </c>
      <c r="AZ906" s="56">
        <f t="shared" ref="AZ906:AZ969" si="380">AR906+AY906</f>
        <v>144013.32</v>
      </c>
      <c r="BA906" s="62">
        <f t="shared" si="367"/>
        <v>2890765</v>
      </c>
      <c r="BB906" s="62">
        <f t="shared" si="359"/>
        <v>2184200.5600000005</v>
      </c>
      <c r="BC906" s="62">
        <f t="shared" si="368"/>
        <v>706564.43999999948</v>
      </c>
      <c r="BD906" s="63">
        <v>778571.10000000219</v>
      </c>
      <c r="BE906" s="57">
        <f t="shared" si="379"/>
        <v>17128.564200000052</v>
      </c>
      <c r="BF906" s="35" t="str">
        <f>VLOOKUP(A:A,'2023-2027'!A:G,1,+FALSE)</f>
        <v>ТП №80 "Окруж.музей" ул. Победы, р -он д.5</v>
      </c>
      <c r="BG906" s="7" t="b">
        <f t="shared" si="361"/>
        <v>1</v>
      </c>
      <c r="BH906" s="35">
        <f>VLOOKUP(A:A,'2023-2027'!A:AT,43,+FALSE)</f>
        <v>12044.850000000004</v>
      </c>
    </row>
    <row r="907" spans="1:60" ht="24" hidden="1" customHeight="1" outlineLevel="1" x14ac:dyDescent="0.2">
      <c r="A907" s="59" t="s">
        <v>2101</v>
      </c>
      <c r="B907" s="59" t="s">
        <v>44</v>
      </c>
      <c r="C907" s="59" t="s">
        <v>82</v>
      </c>
      <c r="D907" s="66" t="s">
        <v>2102</v>
      </c>
      <c r="E907" s="59" t="s">
        <v>2103</v>
      </c>
      <c r="F907" s="60">
        <v>5253378</v>
      </c>
      <c r="G907" s="60">
        <v>4485573.4000000004</v>
      </c>
      <c r="H907" s="60">
        <v>767804.6</v>
      </c>
      <c r="I907" s="59"/>
      <c r="J907" s="60">
        <v>349525.2</v>
      </c>
      <c r="K907" s="59"/>
      <c r="L907" s="59"/>
      <c r="M907" s="60">
        <v>5253378</v>
      </c>
      <c r="N907" s="60">
        <v>4835098.5999999996</v>
      </c>
      <c r="O907" s="60">
        <v>418279.4</v>
      </c>
      <c r="P907" s="55">
        <v>593042</v>
      </c>
      <c r="Q907" s="55">
        <f t="shared" si="373"/>
        <v>13046.924000000001</v>
      </c>
      <c r="R907" s="61">
        <f t="shared" si="354"/>
        <v>29127.100000000002</v>
      </c>
      <c r="S907" s="60">
        <v>29127.1</v>
      </c>
      <c r="T907" s="60">
        <v>29127.1</v>
      </c>
      <c r="U907" s="60">
        <v>29127.1</v>
      </c>
      <c r="V907" s="60">
        <v>29127.1</v>
      </c>
      <c r="W907" s="60">
        <v>29127.1</v>
      </c>
      <c r="X907" s="61">
        <f t="shared" si="355"/>
        <v>174762.6</v>
      </c>
      <c r="Y907" s="60">
        <v>29127.1</v>
      </c>
      <c r="Z907" s="60">
        <v>29127.1</v>
      </c>
      <c r="AA907" s="60">
        <v>29127.1</v>
      </c>
      <c r="AB907" s="60">
        <v>29127.1</v>
      </c>
      <c r="AC907" s="60">
        <v>29127.1</v>
      </c>
      <c r="AD907" s="60">
        <v>29127.1</v>
      </c>
      <c r="AE907" s="61">
        <f t="shared" si="356"/>
        <v>174762.6</v>
      </c>
      <c r="AF907" s="62">
        <f t="shared" si="363"/>
        <v>5253378</v>
      </c>
      <c r="AG907" s="62">
        <f t="shared" si="362"/>
        <v>5184623.7999999952</v>
      </c>
      <c r="AH907" s="62">
        <f t="shared" si="360"/>
        <v>68754.200000004843</v>
      </c>
      <c r="AI907" s="63">
        <v>243516.80000000013</v>
      </c>
      <c r="AJ907" s="63">
        <f t="shared" si="374"/>
        <v>5357.3696000000036</v>
      </c>
      <c r="AK907" s="72">
        <f t="shared" si="378"/>
        <v>5357.3696000000036</v>
      </c>
      <c r="AL907" s="60">
        <v>29127.1</v>
      </c>
      <c r="AM907" s="60">
        <v>29127.1</v>
      </c>
      <c r="AN907" s="60">
        <v>10500</v>
      </c>
      <c r="AO907" s="60"/>
      <c r="AP907" s="60"/>
      <c r="AQ907" s="60"/>
      <c r="AR907" s="61">
        <f t="shared" si="357"/>
        <v>68754.2</v>
      </c>
      <c r="AS907" s="60"/>
      <c r="AT907" s="60"/>
      <c r="AU907" s="60"/>
      <c r="AV907" s="60"/>
      <c r="AW907" s="60"/>
      <c r="AX907" s="60"/>
      <c r="AY907" s="61">
        <f t="shared" si="358"/>
        <v>0</v>
      </c>
      <c r="AZ907" s="56">
        <f t="shared" si="380"/>
        <v>68754.2</v>
      </c>
      <c r="BA907" s="62">
        <f t="shared" si="367"/>
        <v>5253378</v>
      </c>
      <c r="BB907" s="62">
        <f t="shared" si="359"/>
        <v>5253377.9999999944</v>
      </c>
      <c r="BC907" s="62">
        <f t="shared" si="368"/>
        <v>0</v>
      </c>
      <c r="BD907" s="63">
        <v>39627.100000000326</v>
      </c>
      <c r="BE907" s="57">
        <f t="shared" si="379"/>
        <v>871.79620000000727</v>
      </c>
      <c r="BF907" s="35" t="str">
        <f>VLOOKUP(A:A,'2023-2027'!A:G,1,+FALSE)</f>
        <v>ТП №85 по ул Ненецкая ул Первомайская</v>
      </c>
      <c r="BG907" s="7" t="b">
        <f t="shared" si="361"/>
        <v>1</v>
      </c>
      <c r="BH907" s="35">
        <f>VLOOKUP(A:A,'2023-2027'!A:AT,43,+FALSE)</f>
        <v>29185.429999999997</v>
      </c>
    </row>
    <row r="908" spans="1:60" ht="48" hidden="1" customHeight="1" outlineLevel="1" x14ac:dyDescent="0.2">
      <c r="A908" s="59" t="s">
        <v>2104</v>
      </c>
      <c r="B908" s="59" t="s">
        <v>44</v>
      </c>
      <c r="C908" s="59" t="s">
        <v>82</v>
      </c>
      <c r="D908" s="66" t="s">
        <v>2105</v>
      </c>
      <c r="E908" s="59" t="s">
        <v>608</v>
      </c>
      <c r="F908" s="60">
        <v>4351220.7</v>
      </c>
      <c r="G908" s="60">
        <v>1971411.06</v>
      </c>
      <c r="H908" s="60">
        <v>2379809.64</v>
      </c>
      <c r="I908" s="59"/>
      <c r="J908" s="60">
        <v>217035.96</v>
      </c>
      <c r="K908" s="59"/>
      <c r="L908" s="59"/>
      <c r="M908" s="60">
        <v>4351220.7</v>
      </c>
      <c r="N908" s="60">
        <v>2188447.02</v>
      </c>
      <c r="O908" s="60">
        <v>2162773.6800000002</v>
      </c>
      <c r="P908" s="55">
        <v>2271291.66</v>
      </c>
      <c r="Q908" s="55">
        <f t="shared" si="373"/>
        <v>49968.416520000006</v>
      </c>
      <c r="R908" s="61">
        <f t="shared" si="354"/>
        <v>18086.329999999998</v>
      </c>
      <c r="S908" s="60">
        <v>18086.330000000002</v>
      </c>
      <c r="T908" s="60">
        <v>18086.330000000002</v>
      </c>
      <c r="U908" s="60">
        <v>18086.330000000002</v>
      </c>
      <c r="V908" s="60">
        <v>18086.330000000002</v>
      </c>
      <c r="W908" s="60">
        <v>18086.330000000002</v>
      </c>
      <c r="X908" s="61">
        <f t="shared" si="355"/>
        <v>108517.98000000001</v>
      </c>
      <c r="Y908" s="60">
        <v>18086.330000000002</v>
      </c>
      <c r="Z908" s="60">
        <v>18086.330000000002</v>
      </c>
      <c r="AA908" s="60">
        <v>18086.330000000002</v>
      </c>
      <c r="AB908" s="60">
        <v>18086.330000000002</v>
      </c>
      <c r="AC908" s="60">
        <v>18086.330000000002</v>
      </c>
      <c r="AD908" s="60">
        <v>18086.330000000002</v>
      </c>
      <c r="AE908" s="61">
        <f t="shared" si="356"/>
        <v>108517.98000000001</v>
      </c>
      <c r="AF908" s="62">
        <f t="shared" si="363"/>
        <v>4351220.7</v>
      </c>
      <c r="AG908" s="62">
        <f t="shared" si="362"/>
        <v>2405482.9800000009</v>
      </c>
      <c r="AH908" s="62">
        <f t="shared" si="360"/>
        <v>1945737.7199999993</v>
      </c>
      <c r="AI908" s="63">
        <v>2054255.6999999997</v>
      </c>
      <c r="AJ908" s="63">
        <f t="shared" si="374"/>
        <v>45193.625399999997</v>
      </c>
      <c r="AK908" s="72">
        <f t="shared" si="378"/>
        <v>45193.625399999997</v>
      </c>
      <c r="AL908" s="60">
        <v>18086.330000000002</v>
      </c>
      <c r="AM908" s="60">
        <v>18086.330000000002</v>
      </c>
      <c r="AN908" s="60">
        <v>18086.330000000002</v>
      </c>
      <c r="AO908" s="60">
        <v>18086.330000000002</v>
      </c>
      <c r="AP908" s="60">
        <v>18086.330000000002</v>
      </c>
      <c r="AQ908" s="60">
        <v>18086.330000000002</v>
      </c>
      <c r="AR908" s="61">
        <f t="shared" si="357"/>
        <v>108517.98000000001</v>
      </c>
      <c r="AS908" s="60">
        <v>18086.330000000002</v>
      </c>
      <c r="AT908" s="60">
        <v>18086.330000000002</v>
      </c>
      <c r="AU908" s="60">
        <v>18086.330000000002</v>
      </c>
      <c r="AV908" s="60">
        <v>18086.330000000002</v>
      </c>
      <c r="AW908" s="60">
        <v>18086.330000000002</v>
      </c>
      <c r="AX908" s="60">
        <v>18086.330000000002</v>
      </c>
      <c r="AY908" s="61">
        <f t="shared" si="358"/>
        <v>108517.98000000001</v>
      </c>
      <c r="AZ908" s="56">
        <f t="shared" si="380"/>
        <v>217035.96000000002</v>
      </c>
      <c r="BA908" s="62">
        <f t="shared" si="367"/>
        <v>4351220.7</v>
      </c>
      <c r="BB908" s="62">
        <f t="shared" si="359"/>
        <v>2622518.9400000018</v>
      </c>
      <c r="BC908" s="62">
        <f t="shared" si="368"/>
        <v>1728701.7599999984</v>
      </c>
      <c r="BD908" s="63">
        <v>1837219.7399999988</v>
      </c>
      <c r="BE908" s="57">
        <f t="shared" si="379"/>
        <v>40418.834279999981</v>
      </c>
      <c r="BF908" s="35" t="str">
        <f>VLOOKUP(A:A,'2023-2027'!A:G,1,+FALSE)</f>
        <v>ТП №86  "Детский сад/ясли на 220 мест с бассейном" в центральной части г. Нарьян-Мара</v>
      </c>
      <c r="BG908" s="7" t="b">
        <f t="shared" si="361"/>
        <v>1</v>
      </c>
      <c r="BH908" s="35">
        <f>VLOOKUP(A:A,'2023-2027'!A:AT,43,+FALSE)</f>
        <v>18177.570000000003</v>
      </c>
    </row>
    <row r="909" spans="1:60" ht="24" hidden="1" customHeight="1" outlineLevel="1" x14ac:dyDescent="0.2">
      <c r="A909" s="59" t="s">
        <v>2106</v>
      </c>
      <c r="B909" s="59" t="s">
        <v>44</v>
      </c>
      <c r="C909" s="59" t="s">
        <v>82</v>
      </c>
      <c r="D909" s="66" t="s">
        <v>2107</v>
      </c>
      <c r="E909" s="59" t="s">
        <v>1275</v>
      </c>
      <c r="F909" s="60">
        <v>614430.39</v>
      </c>
      <c r="G909" s="60">
        <v>536122.56000000006</v>
      </c>
      <c r="H909" s="60">
        <v>78307.83</v>
      </c>
      <c r="I909" s="59"/>
      <c r="J909" s="60">
        <v>40461.599999999999</v>
      </c>
      <c r="K909" s="59"/>
      <c r="L909" s="59"/>
      <c r="M909" s="60">
        <v>614430.39</v>
      </c>
      <c r="N909" s="60">
        <v>576584.16</v>
      </c>
      <c r="O909" s="60">
        <v>37846.230000000003</v>
      </c>
      <c r="P909" s="55">
        <v>58077.03</v>
      </c>
      <c r="Q909" s="55">
        <f t="shared" si="373"/>
        <v>1277.6946600000001</v>
      </c>
      <c r="R909" s="61">
        <f t="shared" si="354"/>
        <v>3371.7999999999997</v>
      </c>
      <c r="S909" s="60">
        <v>3371.8</v>
      </c>
      <c r="T909" s="60">
        <v>3371.8</v>
      </c>
      <c r="U909" s="60">
        <v>3371.8</v>
      </c>
      <c r="V909" s="60">
        <v>3371.8</v>
      </c>
      <c r="W909" s="60">
        <v>3371.8</v>
      </c>
      <c r="X909" s="61">
        <f t="shared" si="355"/>
        <v>20230.8</v>
      </c>
      <c r="Y909" s="60">
        <v>3371.8</v>
      </c>
      <c r="Z909" s="60">
        <v>3371.8</v>
      </c>
      <c r="AA909" s="60">
        <v>3371.8</v>
      </c>
      <c r="AB909" s="60">
        <v>3371.8</v>
      </c>
      <c r="AC909" s="60">
        <v>3371.8</v>
      </c>
      <c r="AD909" s="60">
        <v>756.43</v>
      </c>
      <c r="AE909" s="61">
        <f t="shared" si="356"/>
        <v>17615.43</v>
      </c>
      <c r="AF909" s="62">
        <f t="shared" si="363"/>
        <v>614430.39</v>
      </c>
      <c r="AG909" s="62">
        <f t="shared" si="362"/>
        <v>614430.3900000006</v>
      </c>
      <c r="AH909" s="62">
        <f t="shared" si="360"/>
        <v>0</v>
      </c>
      <c r="AI909" s="63">
        <v>19301.329999999987</v>
      </c>
      <c r="AJ909" s="63">
        <f t="shared" si="374"/>
        <v>424.62925999999976</v>
      </c>
      <c r="AK909" s="72">
        <f t="shared" si="378"/>
        <v>424.62925999999976</v>
      </c>
      <c r="AL909" s="60"/>
      <c r="AM909" s="60"/>
      <c r="AN909" s="60"/>
      <c r="AO909" s="60"/>
      <c r="AP909" s="60"/>
      <c r="AQ909" s="60"/>
      <c r="AR909" s="61">
        <f t="shared" si="357"/>
        <v>0</v>
      </c>
      <c r="AS909" s="60"/>
      <c r="AT909" s="60"/>
      <c r="AU909" s="60"/>
      <c r="AV909" s="60"/>
      <c r="AW909" s="60"/>
      <c r="AX909" s="60"/>
      <c r="AY909" s="61">
        <f t="shared" si="358"/>
        <v>0</v>
      </c>
      <c r="AZ909" s="56">
        <f t="shared" si="380"/>
        <v>0</v>
      </c>
      <c r="BA909" s="62">
        <f t="shared" si="367"/>
        <v>614430.39</v>
      </c>
      <c r="BB909" s="62">
        <f t="shared" si="359"/>
        <v>614430.3900000006</v>
      </c>
      <c r="BC909" s="62">
        <f t="shared" si="368"/>
        <v>0</v>
      </c>
      <c r="BD909" s="63">
        <v>0</v>
      </c>
      <c r="BE909" s="57">
        <f t="shared" si="379"/>
        <v>0</v>
      </c>
      <c r="BF909" s="35" t="str">
        <f>VLOOKUP(A:A,'2023-2027'!A:G,1,+FALSE)</f>
        <v>ТП №87 "Промзона в районе аэропорта" 2008г</v>
      </c>
      <c r="BG909" s="7" t="b">
        <f t="shared" si="361"/>
        <v>1</v>
      </c>
      <c r="BH909" s="35">
        <f>VLOOKUP(A:A,'2023-2027'!A:AT,43,+FALSE)</f>
        <v>3413.5</v>
      </c>
    </row>
    <row r="910" spans="1:60" ht="12" hidden="1" customHeight="1" outlineLevel="1" x14ac:dyDescent="0.2">
      <c r="A910" s="59" t="s">
        <v>2108</v>
      </c>
      <c r="B910" s="59" t="s">
        <v>44</v>
      </c>
      <c r="C910" s="59" t="s">
        <v>82</v>
      </c>
      <c r="D910" s="66" t="s">
        <v>2109</v>
      </c>
      <c r="E910" s="59" t="s">
        <v>275</v>
      </c>
      <c r="F910" s="60">
        <v>1032832</v>
      </c>
      <c r="G910" s="60">
        <v>580171.92000000004</v>
      </c>
      <c r="H910" s="60">
        <v>452660.08</v>
      </c>
      <c r="I910" s="59"/>
      <c r="J910" s="60">
        <v>51191.519999999997</v>
      </c>
      <c r="K910" s="59"/>
      <c r="L910" s="59"/>
      <c r="M910" s="60">
        <v>1032832</v>
      </c>
      <c r="N910" s="60">
        <v>631363.43999999994</v>
      </c>
      <c r="O910" s="60">
        <v>401468.56</v>
      </c>
      <c r="P910" s="55">
        <v>427064.32000000001</v>
      </c>
      <c r="Q910" s="55">
        <f t="shared" si="373"/>
        <v>9395.4150400000017</v>
      </c>
      <c r="R910" s="61">
        <f t="shared" si="354"/>
        <v>4265.96</v>
      </c>
      <c r="S910" s="60">
        <v>4265.96</v>
      </c>
      <c r="T910" s="60">
        <v>4265.96</v>
      </c>
      <c r="U910" s="60">
        <v>4265.96</v>
      </c>
      <c r="V910" s="60">
        <v>4265.96</v>
      </c>
      <c r="W910" s="60">
        <v>4265.96</v>
      </c>
      <c r="X910" s="61">
        <f t="shared" si="355"/>
        <v>25595.759999999998</v>
      </c>
      <c r="Y910" s="60">
        <v>4265.96</v>
      </c>
      <c r="Z910" s="60">
        <v>4265.96</v>
      </c>
      <c r="AA910" s="60">
        <v>4265.96</v>
      </c>
      <c r="AB910" s="60">
        <v>4265.96</v>
      </c>
      <c r="AC910" s="60">
        <v>4265.96</v>
      </c>
      <c r="AD910" s="60">
        <v>4265.96</v>
      </c>
      <c r="AE910" s="61">
        <f t="shared" si="356"/>
        <v>25595.759999999998</v>
      </c>
      <c r="AF910" s="62">
        <f t="shared" si="363"/>
        <v>1032832</v>
      </c>
      <c r="AG910" s="62">
        <f t="shared" si="362"/>
        <v>682554.9599999995</v>
      </c>
      <c r="AH910" s="62">
        <f t="shared" si="360"/>
        <v>350277.0400000005</v>
      </c>
      <c r="AI910" s="63">
        <v>375872.79999999987</v>
      </c>
      <c r="AJ910" s="63">
        <f t="shared" si="374"/>
        <v>8269.2015999999985</v>
      </c>
      <c r="AK910" s="72">
        <f t="shared" si="378"/>
        <v>8269.2015999999985</v>
      </c>
      <c r="AL910" s="60">
        <v>4265.96</v>
      </c>
      <c r="AM910" s="60">
        <v>4265.96</v>
      </c>
      <c r="AN910" s="60">
        <v>4265.96</v>
      </c>
      <c r="AO910" s="60">
        <v>4265.96</v>
      </c>
      <c r="AP910" s="60">
        <v>4265.96</v>
      </c>
      <c r="AQ910" s="60">
        <v>4265.96</v>
      </c>
      <c r="AR910" s="61">
        <f t="shared" si="357"/>
        <v>25595.759999999998</v>
      </c>
      <c r="AS910" s="60">
        <v>4265.96</v>
      </c>
      <c r="AT910" s="60">
        <v>4265.96</v>
      </c>
      <c r="AU910" s="60">
        <v>4265.96</v>
      </c>
      <c r="AV910" s="60">
        <v>4265.96</v>
      </c>
      <c r="AW910" s="60">
        <v>4265.96</v>
      </c>
      <c r="AX910" s="60">
        <v>4265.96</v>
      </c>
      <c r="AY910" s="61">
        <f t="shared" si="358"/>
        <v>25595.759999999998</v>
      </c>
      <c r="AZ910" s="56">
        <f t="shared" si="380"/>
        <v>51191.519999999997</v>
      </c>
      <c r="BA910" s="62">
        <f t="shared" si="367"/>
        <v>1032832</v>
      </c>
      <c r="BB910" s="62">
        <f t="shared" si="359"/>
        <v>733746.47999999905</v>
      </c>
      <c r="BC910" s="62">
        <f t="shared" si="368"/>
        <v>299085.52000000095</v>
      </c>
      <c r="BD910" s="63">
        <v>324681.27999999962</v>
      </c>
      <c r="BE910" s="57">
        <f t="shared" si="379"/>
        <v>7142.9881599999926</v>
      </c>
      <c r="BF910" s="35" t="str">
        <f>VLOOKUP(A:A,'2023-2027'!A:G,1,+FALSE)</f>
        <v>ТП №89 ул Россихина 2010г</v>
      </c>
      <c r="BG910" s="7" t="b">
        <f t="shared" si="361"/>
        <v>1</v>
      </c>
      <c r="BH910" s="35">
        <f>VLOOKUP(A:A,'2023-2027'!A:AT,43,+FALSE)</f>
        <v>4303.47</v>
      </c>
    </row>
    <row r="911" spans="1:60" ht="12" hidden="1" customHeight="1" outlineLevel="1" x14ac:dyDescent="0.2">
      <c r="A911" s="59" t="s">
        <v>2110</v>
      </c>
      <c r="B911" s="59" t="s">
        <v>44</v>
      </c>
      <c r="C911" s="59" t="s">
        <v>82</v>
      </c>
      <c r="D911" s="66" t="s">
        <v>2111</v>
      </c>
      <c r="E911" s="59" t="s">
        <v>2112</v>
      </c>
      <c r="F911" s="60">
        <v>28452</v>
      </c>
      <c r="G911" s="60">
        <v>26967.49</v>
      </c>
      <c r="H911" s="60">
        <v>1484.51</v>
      </c>
      <c r="I911" s="59"/>
      <c r="J911" s="68">
        <v>481.44</v>
      </c>
      <c r="K911" s="59"/>
      <c r="L911" s="59"/>
      <c r="M911" s="60">
        <v>28452</v>
      </c>
      <c r="N911" s="60">
        <v>27448.93</v>
      </c>
      <c r="O911" s="60">
        <v>1003.07</v>
      </c>
      <c r="P911" s="55">
        <v>1243.79</v>
      </c>
      <c r="Q911" s="55">
        <f t="shared" si="373"/>
        <v>27.363380000000003</v>
      </c>
      <c r="R911" s="61">
        <f t="shared" si="354"/>
        <v>40.119999999999997</v>
      </c>
      <c r="S911" s="60">
        <v>40.119999999999997</v>
      </c>
      <c r="T911" s="60">
        <v>40.119999999999997</v>
      </c>
      <c r="U911" s="60">
        <v>40.119999999999997</v>
      </c>
      <c r="V911" s="60">
        <v>40.119999999999997</v>
      </c>
      <c r="W911" s="60">
        <v>40.119999999999997</v>
      </c>
      <c r="X911" s="61">
        <f t="shared" si="355"/>
        <v>240.72</v>
      </c>
      <c r="Y911" s="60">
        <v>40.119999999999997</v>
      </c>
      <c r="Z911" s="60">
        <v>40.119999999999997</v>
      </c>
      <c r="AA911" s="60">
        <v>40.119999999999997</v>
      </c>
      <c r="AB911" s="60">
        <v>40.119999999999997</v>
      </c>
      <c r="AC911" s="60">
        <v>40.119999999999997</v>
      </c>
      <c r="AD911" s="60">
        <v>40.119999999999997</v>
      </c>
      <c r="AE911" s="61">
        <f t="shared" si="356"/>
        <v>240.72</v>
      </c>
      <c r="AF911" s="62">
        <f t="shared" si="363"/>
        <v>28452</v>
      </c>
      <c r="AG911" s="62">
        <f t="shared" si="362"/>
        <v>27930.369999999988</v>
      </c>
      <c r="AH911" s="62">
        <f t="shared" si="360"/>
        <v>521.63000000001193</v>
      </c>
      <c r="AI911" s="63">
        <v>762.35000000000059</v>
      </c>
      <c r="AJ911" s="63">
        <f t="shared" si="374"/>
        <v>16.771700000000013</v>
      </c>
      <c r="AK911" s="72">
        <f t="shared" si="378"/>
        <v>16.771700000000013</v>
      </c>
      <c r="AL911" s="60">
        <v>40.119999999999997</v>
      </c>
      <c r="AM911" s="60">
        <v>40.119999999999997</v>
      </c>
      <c r="AN911" s="60">
        <v>40.119999999999997</v>
      </c>
      <c r="AO911" s="60">
        <v>40.119999999999997</v>
      </c>
      <c r="AP911" s="60">
        <v>40.119999999999997</v>
      </c>
      <c r="AQ911" s="60">
        <v>40.119999999999997</v>
      </c>
      <c r="AR911" s="61">
        <f t="shared" si="357"/>
        <v>240.72</v>
      </c>
      <c r="AS911" s="60">
        <v>40.119999999999997</v>
      </c>
      <c r="AT911" s="60">
        <v>40.119999999999997</v>
      </c>
      <c r="AU911" s="60">
        <v>40.119999999999997</v>
      </c>
      <c r="AV911" s="60">
        <v>40.119999999999997</v>
      </c>
      <c r="AW911" s="60">
        <v>40.119999999999997</v>
      </c>
      <c r="AX911" s="60">
        <v>40.119999999999997</v>
      </c>
      <c r="AY911" s="61">
        <f t="shared" si="358"/>
        <v>240.72</v>
      </c>
      <c r="AZ911" s="56">
        <f t="shared" si="380"/>
        <v>481.44</v>
      </c>
      <c r="BA911" s="62">
        <f t="shared" si="367"/>
        <v>28452</v>
      </c>
      <c r="BB911" s="62">
        <f t="shared" si="359"/>
        <v>28411.809999999976</v>
      </c>
      <c r="BC911" s="62">
        <f t="shared" si="368"/>
        <v>40.190000000024156</v>
      </c>
      <c r="BD911" s="63">
        <v>280.91000000000207</v>
      </c>
      <c r="BE911" s="57">
        <f t="shared" si="379"/>
        <v>6.180020000000046</v>
      </c>
      <c r="BF911" s="35" t="str">
        <f>VLOOKUP(A:A,'2023-2027'!A:G,1,+FALSE)</f>
        <v>ТП №9 ул Октябрьская 17  1966г.</v>
      </c>
      <c r="BG911" s="7" t="b">
        <f t="shared" si="361"/>
        <v>1</v>
      </c>
      <c r="BH911" s="35">
        <f>VLOOKUP(A:A,'2023-2027'!A:AT,43,+FALSE)</f>
        <v>40.19</v>
      </c>
    </row>
    <row r="912" spans="1:60" ht="24" hidden="1" customHeight="1" outlineLevel="1" x14ac:dyDescent="0.2">
      <c r="A912" s="59" t="s">
        <v>2113</v>
      </c>
      <c r="B912" s="59" t="s">
        <v>44</v>
      </c>
      <c r="C912" s="59" t="s">
        <v>82</v>
      </c>
      <c r="D912" s="66" t="s">
        <v>2114</v>
      </c>
      <c r="E912" s="59" t="s">
        <v>1496</v>
      </c>
      <c r="F912" s="60">
        <v>1978919</v>
      </c>
      <c r="G912" s="60">
        <v>911159.7</v>
      </c>
      <c r="H912" s="60">
        <v>1067759.3</v>
      </c>
      <c r="I912" s="59"/>
      <c r="J912" s="60">
        <v>99399.360000000001</v>
      </c>
      <c r="K912" s="59"/>
      <c r="L912" s="59"/>
      <c r="M912" s="60">
        <v>1978919</v>
      </c>
      <c r="N912" s="60">
        <v>1010559.06</v>
      </c>
      <c r="O912" s="60">
        <v>968359.94</v>
      </c>
      <c r="P912" s="55">
        <v>1018059.62</v>
      </c>
      <c r="Q912" s="55">
        <f t="shared" si="373"/>
        <v>22397.311640000004</v>
      </c>
      <c r="R912" s="61">
        <f t="shared" si="354"/>
        <v>8283.2800000000007</v>
      </c>
      <c r="S912" s="60">
        <v>8283.2800000000007</v>
      </c>
      <c r="T912" s="60">
        <v>8283.2800000000007</v>
      </c>
      <c r="U912" s="60">
        <v>8283.2800000000007</v>
      </c>
      <c r="V912" s="60">
        <v>8283.2800000000007</v>
      </c>
      <c r="W912" s="60">
        <v>8283.2800000000007</v>
      </c>
      <c r="X912" s="61">
        <f t="shared" si="355"/>
        <v>49699.68</v>
      </c>
      <c r="Y912" s="60">
        <v>8283.2800000000007</v>
      </c>
      <c r="Z912" s="60">
        <v>8283.2800000000007</v>
      </c>
      <c r="AA912" s="60">
        <v>8283.2800000000007</v>
      </c>
      <c r="AB912" s="60">
        <v>8283.2800000000007</v>
      </c>
      <c r="AC912" s="60">
        <v>8283.2800000000007</v>
      </c>
      <c r="AD912" s="60">
        <v>8283.2800000000007</v>
      </c>
      <c r="AE912" s="61">
        <f t="shared" si="356"/>
        <v>49699.68</v>
      </c>
      <c r="AF912" s="62">
        <f t="shared" si="363"/>
        <v>1978919</v>
      </c>
      <c r="AG912" s="62">
        <f t="shared" si="362"/>
        <v>1109958.4200000004</v>
      </c>
      <c r="AH912" s="62">
        <f t="shared" si="360"/>
        <v>868960.57999999961</v>
      </c>
      <c r="AI912" s="63">
        <v>918660.25999999978</v>
      </c>
      <c r="AJ912" s="63">
        <f t="shared" si="374"/>
        <v>20210.525719999998</v>
      </c>
      <c r="AK912" s="72">
        <f t="shared" si="378"/>
        <v>20210.525719999998</v>
      </c>
      <c r="AL912" s="60">
        <v>8283.2800000000007</v>
      </c>
      <c r="AM912" s="60">
        <v>8283.2800000000007</v>
      </c>
      <c r="AN912" s="60">
        <v>8283.2800000000007</v>
      </c>
      <c r="AO912" s="60">
        <v>8283.2800000000007</v>
      </c>
      <c r="AP912" s="60">
        <v>8283.2800000000007</v>
      </c>
      <c r="AQ912" s="60">
        <v>8283.2800000000007</v>
      </c>
      <c r="AR912" s="61">
        <f t="shared" si="357"/>
        <v>49699.68</v>
      </c>
      <c r="AS912" s="60">
        <v>8283.2800000000007</v>
      </c>
      <c r="AT912" s="60">
        <v>8283.2800000000007</v>
      </c>
      <c r="AU912" s="60">
        <v>8283.2800000000007</v>
      </c>
      <c r="AV912" s="60">
        <v>8283.2800000000007</v>
      </c>
      <c r="AW912" s="60">
        <v>8283.2800000000007</v>
      </c>
      <c r="AX912" s="60">
        <v>8283.2800000000007</v>
      </c>
      <c r="AY912" s="61">
        <f t="shared" si="358"/>
        <v>49699.68</v>
      </c>
      <c r="AZ912" s="56">
        <f t="shared" si="380"/>
        <v>99399.360000000001</v>
      </c>
      <c r="BA912" s="62">
        <f t="shared" si="367"/>
        <v>1978919</v>
      </c>
      <c r="BB912" s="62">
        <f t="shared" si="359"/>
        <v>1209357.7800000007</v>
      </c>
      <c r="BC912" s="62">
        <f t="shared" si="368"/>
        <v>769561.21999999927</v>
      </c>
      <c r="BD912" s="63">
        <v>819260.89999999932</v>
      </c>
      <c r="BE912" s="57">
        <f t="shared" si="379"/>
        <v>18023.739799999988</v>
      </c>
      <c r="BF912" s="35" t="str">
        <f>VLOOKUP(A:A,'2023-2027'!A:G,1,+FALSE)</f>
        <v>ТП №90 м-н Старый аэропорт(КТППК-В-400/6У1)</v>
      </c>
      <c r="BG912" s="7" t="b">
        <f t="shared" si="361"/>
        <v>1</v>
      </c>
      <c r="BH912" s="35">
        <f>VLOOKUP(A:A,'2023-2027'!A:AT,43,+FALSE)</f>
        <v>8314.7900000000027</v>
      </c>
    </row>
    <row r="913" spans="1:60" ht="24" hidden="1" customHeight="1" outlineLevel="1" x14ac:dyDescent="0.2">
      <c r="A913" s="59" t="s">
        <v>2115</v>
      </c>
      <c r="B913" s="59" t="s">
        <v>44</v>
      </c>
      <c r="C913" s="59" t="s">
        <v>82</v>
      </c>
      <c r="D913" s="66" t="s">
        <v>2116</v>
      </c>
      <c r="E913" s="59" t="s">
        <v>1496</v>
      </c>
      <c r="F913" s="60">
        <v>1896964.52</v>
      </c>
      <c r="G913" s="60">
        <v>866004.7</v>
      </c>
      <c r="H913" s="60">
        <v>1030959.82</v>
      </c>
      <c r="I913" s="59"/>
      <c r="J913" s="60">
        <v>94473.24</v>
      </c>
      <c r="K913" s="59"/>
      <c r="L913" s="59"/>
      <c r="M913" s="60">
        <v>1896964.52</v>
      </c>
      <c r="N913" s="60">
        <v>960477.94</v>
      </c>
      <c r="O913" s="60">
        <v>936486.58</v>
      </c>
      <c r="P913" s="55">
        <v>983723.2</v>
      </c>
      <c r="Q913" s="55">
        <f t="shared" si="373"/>
        <v>21641.910400000001</v>
      </c>
      <c r="R913" s="61">
        <f t="shared" si="354"/>
        <v>7872.77</v>
      </c>
      <c r="S913" s="60">
        <v>7872.77</v>
      </c>
      <c r="T913" s="60">
        <v>7872.77</v>
      </c>
      <c r="U913" s="60">
        <v>7872.77</v>
      </c>
      <c r="V913" s="60">
        <v>7872.77</v>
      </c>
      <c r="W913" s="60">
        <v>7872.77</v>
      </c>
      <c r="X913" s="61">
        <f t="shared" si="355"/>
        <v>47236.62000000001</v>
      </c>
      <c r="Y913" s="60">
        <v>7872.77</v>
      </c>
      <c r="Z913" s="60">
        <v>7872.77</v>
      </c>
      <c r="AA913" s="60">
        <v>7872.77</v>
      </c>
      <c r="AB913" s="60">
        <v>7872.77</v>
      </c>
      <c r="AC913" s="60">
        <v>7872.77</v>
      </c>
      <c r="AD913" s="60">
        <v>7872.77</v>
      </c>
      <c r="AE913" s="61">
        <f t="shared" si="356"/>
        <v>47236.62000000001</v>
      </c>
      <c r="AF913" s="62">
        <f t="shared" si="363"/>
        <v>1896964.52</v>
      </c>
      <c r="AG913" s="62">
        <f t="shared" si="362"/>
        <v>1054951.1800000002</v>
      </c>
      <c r="AH913" s="62">
        <f t="shared" si="360"/>
        <v>842013.33999999985</v>
      </c>
      <c r="AI913" s="63">
        <v>889249.96000000066</v>
      </c>
      <c r="AJ913" s="63">
        <f t="shared" si="374"/>
        <v>19563.499120000015</v>
      </c>
      <c r="AK913" s="72">
        <f t="shared" si="378"/>
        <v>19563.499120000015</v>
      </c>
      <c r="AL913" s="60">
        <v>7872.77</v>
      </c>
      <c r="AM913" s="60">
        <v>7872.77</v>
      </c>
      <c r="AN913" s="60">
        <v>7872.77</v>
      </c>
      <c r="AO913" s="60">
        <v>7872.77</v>
      </c>
      <c r="AP913" s="60">
        <v>7872.77</v>
      </c>
      <c r="AQ913" s="60">
        <v>7872.77</v>
      </c>
      <c r="AR913" s="61">
        <f t="shared" si="357"/>
        <v>47236.62000000001</v>
      </c>
      <c r="AS913" s="60">
        <v>7872.77</v>
      </c>
      <c r="AT913" s="60">
        <v>7872.77</v>
      </c>
      <c r="AU913" s="60">
        <v>7872.77</v>
      </c>
      <c r="AV913" s="60">
        <v>7872.77</v>
      </c>
      <c r="AW913" s="60">
        <v>7872.77</v>
      </c>
      <c r="AX913" s="60">
        <v>7872.77</v>
      </c>
      <c r="AY913" s="61">
        <f t="shared" si="358"/>
        <v>47236.62000000001</v>
      </c>
      <c r="AZ913" s="56">
        <f t="shared" si="380"/>
        <v>94473.24000000002</v>
      </c>
      <c r="BA913" s="62">
        <f t="shared" si="367"/>
        <v>1896964.52</v>
      </c>
      <c r="BB913" s="62">
        <f t="shared" si="359"/>
        <v>1149424.4200000004</v>
      </c>
      <c r="BC913" s="62">
        <f t="shared" si="368"/>
        <v>747540.09999999963</v>
      </c>
      <c r="BD913" s="63">
        <v>794776.72000000172</v>
      </c>
      <c r="BE913" s="57">
        <f t="shared" si="379"/>
        <v>17485.08784000004</v>
      </c>
      <c r="BF913" s="35" t="str">
        <f>VLOOKUP(A:A,'2023-2027'!A:G,1,+FALSE)</f>
        <v>ТП №91 п. Мирный (КТП 6/0,4 кВ 1х400 кВа)</v>
      </c>
      <c r="BG913" s="7" t="b">
        <f t="shared" si="361"/>
        <v>1</v>
      </c>
      <c r="BH913" s="35">
        <f>VLOOKUP(A:A,'2023-2027'!A:AT,43,+FALSE)</f>
        <v>7904.0200000000032</v>
      </c>
    </row>
    <row r="914" spans="1:60" ht="24" hidden="1" customHeight="1" outlineLevel="1" x14ac:dyDescent="0.2">
      <c r="A914" s="59" t="s">
        <v>2117</v>
      </c>
      <c r="B914" s="59" t="s">
        <v>44</v>
      </c>
      <c r="C914" s="59" t="s">
        <v>82</v>
      </c>
      <c r="D914" s="66" t="s">
        <v>2118</v>
      </c>
      <c r="E914" s="59" t="s">
        <v>2119</v>
      </c>
      <c r="F914" s="60">
        <v>2329176.9</v>
      </c>
      <c r="G914" s="60">
        <v>1255949.5</v>
      </c>
      <c r="H914" s="60">
        <v>1073227.3999999999</v>
      </c>
      <c r="I914" s="59"/>
      <c r="J914" s="60">
        <v>115933.92</v>
      </c>
      <c r="K914" s="59"/>
      <c r="L914" s="59"/>
      <c r="M914" s="60">
        <v>2329176.9</v>
      </c>
      <c r="N914" s="60">
        <v>1371883.42</v>
      </c>
      <c r="O914" s="60">
        <v>957293.48</v>
      </c>
      <c r="P914" s="55">
        <v>1015260.44</v>
      </c>
      <c r="Q914" s="55">
        <f t="shared" si="373"/>
        <v>22335.72968</v>
      </c>
      <c r="R914" s="61">
        <f t="shared" ref="R914:R977" si="381">J914/12</f>
        <v>9661.16</v>
      </c>
      <c r="S914" s="60">
        <v>9661.16</v>
      </c>
      <c r="T914" s="60">
        <v>9661.16</v>
      </c>
      <c r="U914" s="60">
        <v>9661.16</v>
      </c>
      <c r="V914" s="60">
        <v>9661.16</v>
      </c>
      <c r="W914" s="60">
        <v>9661.16</v>
      </c>
      <c r="X914" s="61">
        <f t="shared" ref="X914:X977" si="382">R914+S914+T914+U914+V914+W914</f>
        <v>57966.960000000006</v>
      </c>
      <c r="Y914" s="60">
        <v>9661.16</v>
      </c>
      <c r="Z914" s="60">
        <v>9661.16</v>
      </c>
      <c r="AA914" s="60">
        <v>9661.16</v>
      </c>
      <c r="AB914" s="60">
        <v>9661.16</v>
      </c>
      <c r="AC914" s="60">
        <v>9661.16</v>
      </c>
      <c r="AD914" s="60">
        <v>9661.16</v>
      </c>
      <c r="AE914" s="61">
        <f t="shared" ref="AE914:AE977" si="383">Y914+Z914+AA914+AB914+AC914+AD914</f>
        <v>57966.960000000006</v>
      </c>
      <c r="AF914" s="62">
        <f t="shared" si="363"/>
        <v>2329176.9</v>
      </c>
      <c r="AG914" s="62">
        <f t="shared" si="362"/>
        <v>1487817.3399999989</v>
      </c>
      <c r="AH914" s="62">
        <f t="shared" si="360"/>
        <v>841359.56000000099</v>
      </c>
      <c r="AI914" s="63">
        <v>899326.52000000037</v>
      </c>
      <c r="AJ914" s="63">
        <f t="shared" si="374"/>
        <v>19785.183440000012</v>
      </c>
      <c r="AK914" s="72">
        <f t="shared" si="378"/>
        <v>19785.183440000012</v>
      </c>
      <c r="AL914" s="60">
        <v>9661.16</v>
      </c>
      <c r="AM914" s="60">
        <v>9661.16</v>
      </c>
      <c r="AN914" s="60">
        <v>9661.16</v>
      </c>
      <c r="AO914" s="60">
        <v>9661.16</v>
      </c>
      <c r="AP914" s="60">
        <v>9661.16</v>
      </c>
      <c r="AQ914" s="60">
        <v>9661.16</v>
      </c>
      <c r="AR914" s="61">
        <f t="shared" ref="AR914:AR977" si="384">AL914+AM914+AN914+AO914+AP914+AQ914</f>
        <v>57966.960000000006</v>
      </c>
      <c r="AS914" s="60">
        <v>9661.16</v>
      </c>
      <c r="AT914" s="60">
        <v>9661.16</v>
      </c>
      <c r="AU914" s="60">
        <v>9661.16</v>
      </c>
      <c r="AV914" s="60">
        <v>9661.16</v>
      </c>
      <c r="AW914" s="60">
        <v>9661.16</v>
      </c>
      <c r="AX914" s="60">
        <v>9661.16</v>
      </c>
      <c r="AY914" s="61">
        <f t="shared" ref="AY914:AY977" si="385">AS914+AT914+AU914+AV914+AW914+AX914</f>
        <v>57966.960000000006</v>
      </c>
      <c r="AZ914" s="56">
        <f t="shared" si="380"/>
        <v>115933.92000000001</v>
      </c>
      <c r="BA914" s="62">
        <f t="shared" si="367"/>
        <v>2329176.9</v>
      </c>
      <c r="BB914" s="62">
        <f t="shared" ref="BB914:BB977" si="386">AG914+AL914+AM914+AN914+AO914+AP914+AQ914+AS914+AT914+AU914+AV914+AW914+AX914</f>
        <v>1603751.2599999979</v>
      </c>
      <c r="BC914" s="62">
        <f t="shared" si="368"/>
        <v>725425.64000000199</v>
      </c>
      <c r="BD914" s="63">
        <v>783392.60000000149</v>
      </c>
      <c r="BE914" s="57">
        <f t="shared" si="379"/>
        <v>17234.637200000034</v>
      </c>
      <c r="BF914" s="35" t="str">
        <f>VLOOKUP(A:A,'2023-2027'!A:G,1,+FALSE)</f>
        <v>ТП №98"Ледовый дворец" ул.Калмыкова 2011г</v>
      </c>
      <c r="BG914" s="7" t="b">
        <f t="shared" si="361"/>
        <v>1</v>
      </c>
      <c r="BH914" s="35">
        <f>VLOOKUP(A:A,'2023-2027'!A:AT,43,+FALSE)</f>
        <v>9704.8999999999978</v>
      </c>
    </row>
    <row r="915" spans="1:60" ht="24" hidden="1" customHeight="1" outlineLevel="1" x14ac:dyDescent="0.2">
      <c r="A915" s="59" t="s">
        <v>2120</v>
      </c>
      <c r="B915" s="59" t="s">
        <v>44</v>
      </c>
      <c r="C915" s="59" t="s">
        <v>82</v>
      </c>
      <c r="D915" s="66" t="s">
        <v>2121</v>
      </c>
      <c r="E915" s="59" t="s">
        <v>1107</v>
      </c>
      <c r="F915" s="60">
        <v>128403.61</v>
      </c>
      <c r="G915" s="60">
        <v>64653.72</v>
      </c>
      <c r="H915" s="60">
        <v>63749.89</v>
      </c>
      <c r="I915" s="59"/>
      <c r="J915" s="60">
        <v>6307.68</v>
      </c>
      <c r="K915" s="59"/>
      <c r="L915" s="59"/>
      <c r="M915" s="60">
        <v>128403.61</v>
      </c>
      <c r="N915" s="60">
        <v>70961.399999999994</v>
      </c>
      <c r="O915" s="60">
        <v>57442.21</v>
      </c>
      <c r="P915" s="55"/>
      <c r="Q915" s="55"/>
      <c r="R915" s="61">
        <f t="shared" si="381"/>
        <v>525.64</v>
      </c>
      <c r="S915" s="60">
        <v>525.64</v>
      </c>
      <c r="T915" s="60">
        <v>525.64</v>
      </c>
      <c r="U915" s="60">
        <v>525.64</v>
      </c>
      <c r="V915" s="60">
        <v>525.64</v>
      </c>
      <c r="W915" s="60">
        <v>525.64</v>
      </c>
      <c r="X915" s="61">
        <f t="shared" si="382"/>
        <v>3153.8399999999997</v>
      </c>
      <c r="Y915" s="60">
        <v>525.64</v>
      </c>
      <c r="Z915" s="60">
        <v>525.64</v>
      </c>
      <c r="AA915" s="60">
        <v>525.64</v>
      </c>
      <c r="AB915" s="60">
        <v>525.64</v>
      </c>
      <c r="AC915" s="60">
        <v>525.64</v>
      </c>
      <c r="AD915" s="60">
        <v>525.64</v>
      </c>
      <c r="AE915" s="61">
        <f t="shared" si="383"/>
        <v>3153.8399999999997</v>
      </c>
      <c r="AF915" s="62">
        <f t="shared" si="363"/>
        <v>128403.61</v>
      </c>
      <c r="AG915" s="62">
        <f t="shared" si="362"/>
        <v>77269.079999999987</v>
      </c>
      <c r="AH915" s="62">
        <f t="shared" ref="AH915:AH978" si="387">AF915-AG915</f>
        <v>51134.530000000013</v>
      </c>
      <c r="AI915" s="63"/>
      <c r="AJ915" s="63"/>
      <c r="AK915" s="62"/>
      <c r="AL915" s="60">
        <v>525.64</v>
      </c>
      <c r="AM915" s="60">
        <v>525.64</v>
      </c>
      <c r="AN915" s="60">
        <v>525.64</v>
      </c>
      <c r="AO915" s="60">
        <v>525.64</v>
      </c>
      <c r="AP915" s="60">
        <v>525.64</v>
      </c>
      <c r="AQ915" s="60">
        <v>525.64</v>
      </c>
      <c r="AR915" s="61">
        <f t="shared" si="384"/>
        <v>3153.8399999999997</v>
      </c>
      <c r="AS915" s="60">
        <v>525.64</v>
      </c>
      <c r="AT915" s="60">
        <v>525.64</v>
      </c>
      <c r="AU915" s="60">
        <v>525.64</v>
      </c>
      <c r="AV915" s="60">
        <v>525.64</v>
      </c>
      <c r="AW915" s="60">
        <v>525.64</v>
      </c>
      <c r="AX915" s="60">
        <v>525.64</v>
      </c>
      <c r="AY915" s="61">
        <f t="shared" si="385"/>
        <v>3153.8399999999997</v>
      </c>
      <c r="AZ915" s="56">
        <f t="shared" si="380"/>
        <v>6307.6799999999994</v>
      </c>
      <c r="BA915" s="62">
        <f t="shared" si="367"/>
        <v>128403.61</v>
      </c>
      <c r="BB915" s="62">
        <f t="shared" si="386"/>
        <v>83576.75999999998</v>
      </c>
      <c r="BC915" s="62">
        <f t="shared" si="368"/>
        <v>44826.85000000002</v>
      </c>
      <c r="BD915" s="63"/>
      <c r="BE915" s="57"/>
      <c r="BF915" s="35" t="str">
        <f>VLOOKUP(A:A,'2023-2027'!A:G,1,+FALSE)</f>
        <v>Трансф-р масляный ТМГ 250/6/0,4У/Ун-0 зав.№1695586</v>
      </c>
      <c r="BG915" s="7" t="b">
        <f t="shared" si="361"/>
        <v>1</v>
      </c>
      <c r="BH915" s="35">
        <f>VLOOKUP(A:A,'2023-2027'!A:AT,43,+FALSE)</f>
        <v>535.0200000000001</v>
      </c>
    </row>
    <row r="916" spans="1:60" ht="24" hidden="1" customHeight="1" outlineLevel="1" x14ac:dyDescent="0.2">
      <c r="A916" s="59" t="s">
        <v>2122</v>
      </c>
      <c r="B916" s="59" t="s">
        <v>44</v>
      </c>
      <c r="C916" s="59" t="s">
        <v>82</v>
      </c>
      <c r="D916" s="66" t="s">
        <v>2123</v>
      </c>
      <c r="E916" s="59" t="s">
        <v>1110</v>
      </c>
      <c r="F916" s="60">
        <v>205002.26</v>
      </c>
      <c r="G916" s="60">
        <v>108576.72</v>
      </c>
      <c r="H916" s="60">
        <v>96425.54</v>
      </c>
      <c r="I916" s="59"/>
      <c r="J916" s="60">
        <v>10100.040000000001</v>
      </c>
      <c r="K916" s="59"/>
      <c r="L916" s="59"/>
      <c r="M916" s="60">
        <v>205002.26</v>
      </c>
      <c r="N916" s="60">
        <v>118676.76</v>
      </c>
      <c r="O916" s="60">
        <v>86325.5</v>
      </c>
      <c r="P916" s="55"/>
      <c r="Q916" s="55"/>
      <c r="R916" s="61">
        <f t="shared" si="381"/>
        <v>841.67000000000007</v>
      </c>
      <c r="S916" s="60">
        <v>841.67</v>
      </c>
      <c r="T916" s="60">
        <v>841.67</v>
      </c>
      <c r="U916" s="60">
        <v>841.67</v>
      </c>
      <c r="V916" s="60">
        <v>841.67</v>
      </c>
      <c r="W916" s="60">
        <v>841.67</v>
      </c>
      <c r="X916" s="61">
        <f t="shared" si="382"/>
        <v>5050.0200000000004</v>
      </c>
      <c r="Y916" s="60">
        <v>841.67</v>
      </c>
      <c r="Z916" s="60">
        <v>841.67</v>
      </c>
      <c r="AA916" s="60">
        <v>841.67</v>
      </c>
      <c r="AB916" s="60">
        <v>841.67</v>
      </c>
      <c r="AC916" s="60">
        <v>841.67</v>
      </c>
      <c r="AD916" s="60">
        <v>841.67</v>
      </c>
      <c r="AE916" s="61">
        <f t="shared" si="383"/>
        <v>5050.0199999999995</v>
      </c>
      <c r="AF916" s="62">
        <f t="shared" si="363"/>
        <v>205002.26</v>
      </c>
      <c r="AG916" s="62">
        <f t="shared" si="362"/>
        <v>128776.79999999997</v>
      </c>
      <c r="AH916" s="62">
        <f t="shared" si="387"/>
        <v>76225.460000000036</v>
      </c>
      <c r="AI916" s="63"/>
      <c r="AJ916" s="63"/>
      <c r="AK916" s="62"/>
      <c r="AL916" s="60">
        <v>841.67</v>
      </c>
      <c r="AM916" s="60">
        <v>841.67</v>
      </c>
      <c r="AN916" s="60">
        <v>841.67</v>
      </c>
      <c r="AO916" s="60">
        <v>841.67</v>
      </c>
      <c r="AP916" s="60">
        <v>841.67</v>
      </c>
      <c r="AQ916" s="60">
        <v>841.67</v>
      </c>
      <c r="AR916" s="61">
        <f t="shared" si="384"/>
        <v>5050.0199999999995</v>
      </c>
      <c r="AS916" s="60">
        <v>841.67</v>
      </c>
      <c r="AT916" s="60">
        <v>841.67</v>
      </c>
      <c r="AU916" s="60">
        <v>841.67</v>
      </c>
      <c r="AV916" s="60">
        <v>841.67</v>
      </c>
      <c r="AW916" s="60">
        <v>841.67</v>
      </c>
      <c r="AX916" s="60">
        <v>841.67</v>
      </c>
      <c r="AY916" s="61">
        <f t="shared" si="385"/>
        <v>5050.0199999999995</v>
      </c>
      <c r="AZ916" s="56">
        <f t="shared" si="380"/>
        <v>10100.039999999999</v>
      </c>
      <c r="BA916" s="62">
        <f t="shared" si="367"/>
        <v>205002.26</v>
      </c>
      <c r="BB916" s="62">
        <f t="shared" si="386"/>
        <v>138876.84000000008</v>
      </c>
      <c r="BC916" s="62">
        <f t="shared" si="368"/>
        <v>66125.419999999925</v>
      </c>
      <c r="BD916" s="63"/>
      <c r="BE916" s="57"/>
      <c r="BF916" s="35" t="str">
        <f>VLOOKUP(A:A,'2023-2027'!A:G,1,+FALSE)</f>
        <v>Трансф-р масляный ТМГ 400/6/0,4У/Ун-0 зав.№1290</v>
      </c>
      <c r="BG916" s="7" t="b">
        <f t="shared" si="361"/>
        <v>1</v>
      </c>
      <c r="BH916" s="35">
        <f>VLOOKUP(A:A,'2023-2027'!A:AT,43,+FALSE)</f>
        <v>854.18000000000018</v>
      </c>
    </row>
    <row r="917" spans="1:60" ht="24" hidden="1" customHeight="1" outlineLevel="1" x14ac:dyDescent="0.2">
      <c r="A917" s="59" t="s">
        <v>2124</v>
      </c>
      <c r="B917" s="59" t="s">
        <v>44</v>
      </c>
      <c r="C917" s="59" t="s">
        <v>82</v>
      </c>
      <c r="D917" s="66" t="s">
        <v>2125</v>
      </c>
      <c r="E917" s="59" t="s">
        <v>1100</v>
      </c>
      <c r="F917" s="60">
        <v>308792.01</v>
      </c>
      <c r="G917" s="60">
        <v>170063.42</v>
      </c>
      <c r="H917" s="60">
        <v>138728.59</v>
      </c>
      <c r="I917" s="59"/>
      <c r="J917" s="60">
        <v>15229.68</v>
      </c>
      <c r="K917" s="59"/>
      <c r="L917" s="59"/>
      <c r="M917" s="60">
        <v>308792.01</v>
      </c>
      <c r="N917" s="60">
        <v>185293.1</v>
      </c>
      <c r="O917" s="60">
        <v>123498.91</v>
      </c>
      <c r="P917" s="55"/>
      <c r="Q917" s="55"/>
      <c r="R917" s="61">
        <f t="shared" si="381"/>
        <v>1269.1400000000001</v>
      </c>
      <c r="S917" s="60">
        <v>1269.1400000000001</v>
      </c>
      <c r="T917" s="60">
        <v>1269.1400000000001</v>
      </c>
      <c r="U917" s="60">
        <v>1269.1400000000001</v>
      </c>
      <c r="V917" s="60">
        <v>1269.1400000000001</v>
      </c>
      <c r="W917" s="60">
        <v>1269.1400000000001</v>
      </c>
      <c r="X917" s="61">
        <f t="shared" si="382"/>
        <v>7614.8400000000011</v>
      </c>
      <c r="Y917" s="60">
        <v>1269.1400000000001</v>
      </c>
      <c r="Z917" s="60">
        <v>1269.1400000000001</v>
      </c>
      <c r="AA917" s="60">
        <v>1269.1400000000001</v>
      </c>
      <c r="AB917" s="60">
        <v>1269.1400000000001</v>
      </c>
      <c r="AC917" s="60">
        <v>1269.1400000000001</v>
      </c>
      <c r="AD917" s="60">
        <v>1269.1400000000001</v>
      </c>
      <c r="AE917" s="61">
        <f t="shared" si="383"/>
        <v>7614.8400000000011</v>
      </c>
      <c r="AF917" s="62">
        <f t="shared" si="363"/>
        <v>308792.01</v>
      </c>
      <c r="AG917" s="62">
        <f t="shared" si="362"/>
        <v>200522.78000000017</v>
      </c>
      <c r="AH917" s="62">
        <f t="shared" si="387"/>
        <v>108269.22999999984</v>
      </c>
      <c r="AI917" s="63"/>
      <c r="AJ917" s="63"/>
      <c r="AK917" s="62"/>
      <c r="AL917" s="60">
        <v>1269.1400000000001</v>
      </c>
      <c r="AM917" s="60">
        <v>1269.1400000000001</v>
      </c>
      <c r="AN917" s="60">
        <v>1269.1400000000001</v>
      </c>
      <c r="AO917" s="60">
        <v>1269.1400000000001</v>
      </c>
      <c r="AP917" s="60">
        <v>1269.1400000000001</v>
      </c>
      <c r="AQ917" s="60">
        <v>1269.1400000000001</v>
      </c>
      <c r="AR917" s="61">
        <f t="shared" si="384"/>
        <v>7614.8400000000011</v>
      </c>
      <c r="AS917" s="60">
        <v>1269.1400000000001</v>
      </c>
      <c r="AT917" s="60">
        <v>1269.1400000000001</v>
      </c>
      <c r="AU917" s="60">
        <v>1269.1400000000001</v>
      </c>
      <c r="AV917" s="60">
        <v>1269.1400000000001</v>
      </c>
      <c r="AW917" s="60">
        <v>1269.1400000000001</v>
      </c>
      <c r="AX917" s="60">
        <v>1269.1400000000001</v>
      </c>
      <c r="AY917" s="61">
        <f t="shared" si="385"/>
        <v>7614.8400000000011</v>
      </c>
      <c r="AZ917" s="56">
        <f t="shared" si="380"/>
        <v>15229.680000000002</v>
      </c>
      <c r="BA917" s="62">
        <f t="shared" si="367"/>
        <v>308792.01</v>
      </c>
      <c r="BB917" s="62">
        <f t="shared" si="386"/>
        <v>215752.46000000034</v>
      </c>
      <c r="BC917" s="62">
        <f t="shared" si="368"/>
        <v>93039.549999999668</v>
      </c>
      <c r="BD917" s="63"/>
      <c r="BE917" s="57"/>
      <c r="BF917" s="35" t="str">
        <f>VLOOKUP(A:A,'2023-2027'!A:G,1,+FALSE)</f>
        <v>Трансф-р масляный ТМГ 630/6/0,4У/Ун-0 зав. №0756</v>
      </c>
      <c r="BG917" s="7" t="b">
        <f t="shared" si="361"/>
        <v>1</v>
      </c>
      <c r="BH917" s="35">
        <f>VLOOKUP(A:A,'2023-2027'!A:AT,43,+FALSE)</f>
        <v>1286.6300000000003</v>
      </c>
    </row>
    <row r="918" spans="1:60" ht="24" hidden="1" customHeight="1" outlineLevel="1" x14ac:dyDescent="0.2">
      <c r="A918" s="59" t="s">
        <v>2126</v>
      </c>
      <c r="B918" s="59" t="s">
        <v>44</v>
      </c>
      <c r="C918" s="59" t="s">
        <v>82</v>
      </c>
      <c r="D918" s="65" t="s">
        <v>2127</v>
      </c>
      <c r="E918" s="59" t="s">
        <v>1354</v>
      </c>
      <c r="F918" s="60">
        <v>18282</v>
      </c>
      <c r="G918" s="60">
        <v>18282</v>
      </c>
      <c r="H918" s="59"/>
      <c r="I918" s="59"/>
      <c r="J918" s="59"/>
      <c r="K918" s="60">
        <v>18282</v>
      </c>
      <c r="L918" s="60">
        <v>18282</v>
      </c>
      <c r="M918" s="59"/>
      <c r="N918" s="59"/>
      <c r="O918" s="59"/>
      <c r="P918" s="67"/>
      <c r="Q918" s="67"/>
      <c r="R918" s="61">
        <f t="shared" si="381"/>
        <v>0</v>
      </c>
      <c r="S918" s="60">
        <v>0</v>
      </c>
      <c r="T918" s="60">
        <v>0</v>
      </c>
      <c r="U918" s="60">
        <v>0</v>
      </c>
      <c r="V918" s="60">
        <v>0</v>
      </c>
      <c r="W918" s="60">
        <v>0</v>
      </c>
      <c r="X918" s="61">
        <f t="shared" si="382"/>
        <v>0</v>
      </c>
      <c r="Y918" s="60">
        <v>0</v>
      </c>
      <c r="Z918" s="60">
        <v>0</v>
      </c>
      <c r="AA918" s="60">
        <v>0</v>
      </c>
      <c r="AB918" s="60">
        <v>0</v>
      </c>
      <c r="AC918" s="60">
        <v>0</v>
      </c>
      <c r="AD918" s="60">
        <v>0</v>
      </c>
      <c r="AE918" s="61">
        <f t="shared" si="383"/>
        <v>0</v>
      </c>
      <c r="AF918" s="62">
        <f t="shared" si="363"/>
        <v>0</v>
      </c>
      <c r="AG918" s="62">
        <f t="shared" si="362"/>
        <v>0</v>
      </c>
      <c r="AH918" s="62">
        <f t="shared" si="387"/>
        <v>0</v>
      </c>
      <c r="AI918" s="63"/>
      <c r="AJ918" s="63"/>
      <c r="AK918" s="62"/>
      <c r="AL918" s="60">
        <v>0</v>
      </c>
      <c r="AM918" s="60">
        <v>0</v>
      </c>
      <c r="AN918" s="60">
        <v>0</v>
      </c>
      <c r="AO918" s="60">
        <v>0</v>
      </c>
      <c r="AP918" s="60">
        <v>0</v>
      </c>
      <c r="AQ918" s="60">
        <v>0</v>
      </c>
      <c r="AR918" s="61">
        <f t="shared" si="384"/>
        <v>0</v>
      </c>
      <c r="AS918" s="60">
        <v>0</v>
      </c>
      <c r="AT918" s="60">
        <v>0</v>
      </c>
      <c r="AU918" s="60">
        <v>0</v>
      </c>
      <c r="AV918" s="60">
        <v>0</v>
      </c>
      <c r="AW918" s="60">
        <v>0</v>
      </c>
      <c r="AX918" s="60">
        <v>0</v>
      </c>
      <c r="AY918" s="61">
        <f t="shared" si="385"/>
        <v>0</v>
      </c>
      <c r="AZ918" s="56">
        <f t="shared" si="380"/>
        <v>0</v>
      </c>
      <c r="BA918" s="62">
        <f t="shared" si="367"/>
        <v>0</v>
      </c>
      <c r="BB918" s="62">
        <f t="shared" si="386"/>
        <v>0</v>
      </c>
      <c r="BC918" s="62">
        <f t="shared" si="368"/>
        <v>0</v>
      </c>
      <c r="BD918" s="63"/>
      <c r="BE918" s="57"/>
      <c r="BF918" s="35" t="e">
        <f>VLOOKUP(A:A,'2023-2027'!A:G,1,+FALSE)</f>
        <v>#N/A</v>
      </c>
      <c r="BG918" s="7" t="e">
        <f t="shared" ref="BG918:BG981" si="388">OR(EXACT(BF918,$A$4:$A$1071))</f>
        <v>#N/A</v>
      </c>
      <c r="BH918" s="35"/>
    </row>
    <row r="919" spans="1:60" ht="12" hidden="1" customHeight="1" outlineLevel="1" x14ac:dyDescent="0.2">
      <c r="A919" s="59" t="s">
        <v>2128</v>
      </c>
      <c r="B919" s="59" t="s">
        <v>44</v>
      </c>
      <c r="C919" s="59" t="s">
        <v>82</v>
      </c>
      <c r="D919" s="65" t="s">
        <v>2129</v>
      </c>
      <c r="E919" s="59" t="s">
        <v>1251</v>
      </c>
      <c r="F919" s="60">
        <v>29903</v>
      </c>
      <c r="G919" s="60">
        <v>29903</v>
      </c>
      <c r="H919" s="59"/>
      <c r="I919" s="59"/>
      <c r="J919" s="59"/>
      <c r="K919" s="60">
        <v>29903</v>
      </c>
      <c r="L919" s="60">
        <v>29903</v>
      </c>
      <c r="M919" s="59"/>
      <c r="N919" s="59"/>
      <c r="O919" s="59"/>
      <c r="P919" s="67"/>
      <c r="Q919" s="67"/>
      <c r="R919" s="61">
        <f t="shared" si="381"/>
        <v>0</v>
      </c>
      <c r="S919" s="60">
        <v>0</v>
      </c>
      <c r="T919" s="60">
        <v>0</v>
      </c>
      <c r="U919" s="60">
        <v>0</v>
      </c>
      <c r="V919" s="60">
        <v>0</v>
      </c>
      <c r="W919" s="60">
        <v>0</v>
      </c>
      <c r="X919" s="61">
        <f t="shared" si="382"/>
        <v>0</v>
      </c>
      <c r="Y919" s="60">
        <v>0</v>
      </c>
      <c r="Z919" s="60">
        <v>0</v>
      </c>
      <c r="AA919" s="60">
        <v>0</v>
      </c>
      <c r="AB919" s="60">
        <v>0</v>
      </c>
      <c r="AC919" s="60">
        <v>0</v>
      </c>
      <c r="AD919" s="60">
        <v>0</v>
      </c>
      <c r="AE919" s="61">
        <f t="shared" si="383"/>
        <v>0</v>
      </c>
      <c r="AF919" s="62">
        <f t="shared" si="363"/>
        <v>0</v>
      </c>
      <c r="AG919" s="62">
        <f t="shared" si="362"/>
        <v>0</v>
      </c>
      <c r="AH919" s="62">
        <f t="shared" si="387"/>
        <v>0</v>
      </c>
      <c r="AI919" s="63"/>
      <c r="AJ919" s="63"/>
      <c r="AK919" s="62"/>
      <c r="AL919" s="60">
        <v>0</v>
      </c>
      <c r="AM919" s="60">
        <v>0</v>
      </c>
      <c r="AN919" s="60">
        <v>0</v>
      </c>
      <c r="AO919" s="60">
        <v>0</v>
      </c>
      <c r="AP919" s="60">
        <v>0</v>
      </c>
      <c r="AQ919" s="60">
        <v>0</v>
      </c>
      <c r="AR919" s="61">
        <f t="shared" si="384"/>
        <v>0</v>
      </c>
      <c r="AS919" s="60">
        <v>0</v>
      </c>
      <c r="AT919" s="60">
        <v>0</v>
      </c>
      <c r="AU919" s="60">
        <v>0</v>
      </c>
      <c r="AV919" s="60">
        <v>0</v>
      </c>
      <c r="AW919" s="60">
        <v>0</v>
      </c>
      <c r="AX919" s="60">
        <v>0</v>
      </c>
      <c r="AY919" s="61">
        <f t="shared" si="385"/>
        <v>0</v>
      </c>
      <c r="AZ919" s="56">
        <f t="shared" si="380"/>
        <v>0</v>
      </c>
      <c r="BA919" s="62">
        <f t="shared" si="367"/>
        <v>0</v>
      </c>
      <c r="BB919" s="62">
        <f t="shared" si="386"/>
        <v>0</v>
      </c>
      <c r="BC919" s="62">
        <f t="shared" si="368"/>
        <v>0</v>
      </c>
      <c r="BD919" s="63"/>
      <c r="BE919" s="57"/>
      <c r="BF919" s="35" t="e">
        <f>VLOOKUP(A:A,'2023-2027'!A:G,1,+FALSE)</f>
        <v>#N/A</v>
      </c>
      <c r="BG919" s="7" t="e">
        <f t="shared" si="388"/>
        <v>#N/A</v>
      </c>
      <c r="BH919" s="35"/>
    </row>
    <row r="920" spans="1:60" ht="24" hidden="1" customHeight="1" outlineLevel="1" x14ac:dyDescent="0.2">
      <c r="A920" s="59" t="s">
        <v>2130</v>
      </c>
      <c r="B920" s="59" t="s">
        <v>44</v>
      </c>
      <c r="C920" s="59" t="s">
        <v>82</v>
      </c>
      <c r="D920" s="66" t="s">
        <v>2131</v>
      </c>
      <c r="E920" s="59" t="s">
        <v>1100</v>
      </c>
      <c r="F920" s="60">
        <v>153626.57999999999</v>
      </c>
      <c r="G920" s="60">
        <v>84519.16</v>
      </c>
      <c r="H920" s="60">
        <v>69107.42</v>
      </c>
      <c r="I920" s="59"/>
      <c r="J920" s="60">
        <v>7568.76</v>
      </c>
      <c r="K920" s="59"/>
      <c r="L920" s="59"/>
      <c r="M920" s="60">
        <v>153626.57999999999</v>
      </c>
      <c r="N920" s="60">
        <v>92087.92</v>
      </c>
      <c r="O920" s="60">
        <v>61538.66</v>
      </c>
      <c r="P920" s="55"/>
      <c r="Q920" s="55"/>
      <c r="R920" s="61">
        <f t="shared" si="381"/>
        <v>630.73</v>
      </c>
      <c r="S920" s="60">
        <v>630.73</v>
      </c>
      <c r="T920" s="60">
        <v>630.73</v>
      </c>
      <c r="U920" s="60">
        <v>630.73</v>
      </c>
      <c r="V920" s="60">
        <v>630.73</v>
      </c>
      <c r="W920" s="60">
        <v>630.73</v>
      </c>
      <c r="X920" s="61">
        <f t="shared" si="382"/>
        <v>3784.38</v>
      </c>
      <c r="Y920" s="60">
        <v>630.73</v>
      </c>
      <c r="Z920" s="60">
        <v>630.73</v>
      </c>
      <c r="AA920" s="60">
        <v>630.73</v>
      </c>
      <c r="AB920" s="60">
        <v>630.73</v>
      </c>
      <c r="AC920" s="60">
        <v>630.73</v>
      </c>
      <c r="AD920" s="60">
        <v>630.73</v>
      </c>
      <c r="AE920" s="61">
        <f t="shared" si="383"/>
        <v>3784.38</v>
      </c>
      <c r="AF920" s="62">
        <f t="shared" si="363"/>
        <v>153626.57999999999</v>
      </c>
      <c r="AG920" s="62">
        <f t="shared" si="362"/>
        <v>99656.679999999949</v>
      </c>
      <c r="AH920" s="62">
        <f t="shared" si="387"/>
        <v>53969.900000000038</v>
      </c>
      <c r="AI920" s="63"/>
      <c r="AJ920" s="63"/>
      <c r="AK920" s="62"/>
      <c r="AL920" s="60">
        <v>630.73</v>
      </c>
      <c r="AM920" s="60">
        <v>630.73</v>
      </c>
      <c r="AN920" s="60">
        <v>630.73</v>
      </c>
      <c r="AO920" s="60">
        <v>630.73</v>
      </c>
      <c r="AP920" s="60">
        <v>630.73</v>
      </c>
      <c r="AQ920" s="60">
        <v>630.73</v>
      </c>
      <c r="AR920" s="61">
        <f t="shared" si="384"/>
        <v>3784.38</v>
      </c>
      <c r="AS920" s="60">
        <v>630.73</v>
      </c>
      <c r="AT920" s="60">
        <v>630.73</v>
      </c>
      <c r="AU920" s="60">
        <v>630.73</v>
      </c>
      <c r="AV920" s="60">
        <v>630.73</v>
      </c>
      <c r="AW920" s="60">
        <v>630.73</v>
      </c>
      <c r="AX920" s="60">
        <v>630.73</v>
      </c>
      <c r="AY920" s="61">
        <f t="shared" si="385"/>
        <v>3784.38</v>
      </c>
      <c r="AZ920" s="56">
        <f t="shared" si="380"/>
        <v>7568.76</v>
      </c>
      <c r="BA920" s="62">
        <f t="shared" si="367"/>
        <v>153626.57999999999</v>
      </c>
      <c r="BB920" s="62">
        <f t="shared" si="386"/>
        <v>107225.4399999999</v>
      </c>
      <c r="BC920" s="62">
        <f t="shared" si="368"/>
        <v>46401.140000000087</v>
      </c>
      <c r="BD920" s="63"/>
      <c r="BE920" s="57"/>
      <c r="BF920" s="35" t="str">
        <f>VLOOKUP(A:A,'2023-2027'!A:G,1,+FALSE)</f>
        <v>Трансформатор масляный ТМГ 250/6/0,4 Y/Yн-0 №0568</v>
      </c>
      <c r="BG920" s="7" t="b">
        <f t="shared" si="388"/>
        <v>1</v>
      </c>
      <c r="BH920" s="35">
        <f>VLOOKUP(A:A,'2023-2027'!A:AT,43,+FALSE)</f>
        <v>640.1099999999999</v>
      </c>
    </row>
    <row r="921" spans="1:60" ht="24" hidden="1" customHeight="1" outlineLevel="1" x14ac:dyDescent="0.2">
      <c r="A921" s="59" t="s">
        <v>2132</v>
      </c>
      <c r="B921" s="59" t="s">
        <v>44</v>
      </c>
      <c r="C921" s="59" t="s">
        <v>82</v>
      </c>
      <c r="D921" s="66" t="s">
        <v>2133</v>
      </c>
      <c r="E921" s="59" t="s">
        <v>1110</v>
      </c>
      <c r="F921" s="60">
        <v>205002.26</v>
      </c>
      <c r="G921" s="60">
        <v>108576.72</v>
      </c>
      <c r="H921" s="60">
        <v>96425.54</v>
      </c>
      <c r="I921" s="59"/>
      <c r="J921" s="60">
        <v>10100.040000000001</v>
      </c>
      <c r="K921" s="59"/>
      <c r="L921" s="59"/>
      <c r="M921" s="60">
        <v>205002.26</v>
      </c>
      <c r="N921" s="60">
        <v>118676.76</v>
      </c>
      <c r="O921" s="60">
        <v>86325.5</v>
      </c>
      <c r="P921" s="55"/>
      <c r="Q921" s="55"/>
      <c r="R921" s="61">
        <f t="shared" si="381"/>
        <v>841.67000000000007</v>
      </c>
      <c r="S921" s="60">
        <v>841.67</v>
      </c>
      <c r="T921" s="60">
        <v>841.67</v>
      </c>
      <c r="U921" s="60">
        <v>841.67</v>
      </c>
      <c r="V921" s="60">
        <v>841.67</v>
      </c>
      <c r="W921" s="60">
        <v>841.67</v>
      </c>
      <c r="X921" s="61">
        <f t="shared" si="382"/>
        <v>5050.0200000000004</v>
      </c>
      <c r="Y921" s="60">
        <v>841.67</v>
      </c>
      <c r="Z921" s="60">
        <v>841.67</v>
      </c>
      <c r="AA921" s="60">
        <v>841.67</v>
      </c>
      <c r="AB921" s="60">
        <v>841.67</v>
      </c>
      <c r="AC921" s="60">
        <v>841.67</v>
      </c>
      <c r="AD921" s="60">
        <v>841.67</v>
      </c>
      <c r="AE921" s="61">
        <f t="shared" si="383"/>
        <v>5050.0199999999995</v>
      </c>
      <c r="AF921" s="62">
        <f t="shared" si="363"/>
        <v>205002.26</v>
      </c>
      <c r="AG921" s="62">
        <f t="shared" si="362"/>
        <v>128776.79999999997</v>
      </c>
      <c r="AH921" s="62">
        <f t="shared" si="387"/>
        <v>76225.460000000036</v>
      </c>
      <c r="AI921" s="63"/>
      <c r="AJ921" s="63"/>
      <c r="AK921" s="62"/>
      <c r="AL921" s="60">
        <v>841.67</v>
      </c>
      <c r="AM921" s="60">
        <v>841.67</v>
      </c>
      <c r="AN921" s="60">
        <v>841.67</v>
      </c>
      <c r="AO921" s="60">
        <v>841.67</v>
      </c>
      <c r="AP921" s="60">
        <v>841.67</v>
      </c>
      <c r="AQ921" s="60">
        <v>841.67</v>
      </c>
      <c r="AR921" s="61">
        <f t="shared" si="384"/>
        <v>5050.0199999999995</v>
      </c>
      <c r="AS921" s="60">
        <v>841.67</v>
      </c>
      <c r="AT921" s="60">
        <v>841.67</v>
      </c>
      <c r="AU921" s="60">
        <v>841.67</v>
      </c>
      <c r="AV921" s="60">
        <v>841.67</v>
      </c>
      <c r="AW921" s="60">
        <v>841.67</v>
      </c>
      <c r="AX921" s="60">
        <v>841.67</v>
      </c>
      <c r="AY921" s="61">
        <f t="shared" si="385"/>
        <v>5050.0199999999995</v>
      </c>
      <c r="AZ921" s="56">
        <f t="shared" si="380"/>
        <v>10100.039999999999</v>
      </c>
      <c r="BA921" s="62">
        <f t="shared" si="367"/>
        <v>205002.26</v>
      </c>
      <c r="BB921" s="62">
        <f t="shared" si="386"/>
        <v>138876.84000000008</v>
      </c>
      <c r="BC921" s="62">
        <f t="shared" si="368"/>
        <v>66125.419999999925</v>
      </c>
      <c r="BD921" s="63"/>
      <c r="BE921" s="57"/>
      <c r="BF921" s="35" t="str">
        <f>VLOOKUP(A:A,'2023-2027'!A:G,1,+FALSE)</f>
        <v>Трансформатор масляный ТМГ 400/6/0,4У/Ун-0 зав.№1478</v>
      </c>
      <c r="BG921" s="7" t="b">
        <f t="shared" si="388"/>
        <v>1</v>
      </c>
      <c r="BH921" s="35">
        <f>VLOOKUP(A:A,'2023-2027'!A:AT,43,+FALSE)</f>
        <v>854.18000000000018</v>
      </c>
    </row>
    <row r="922" spans="1:60" ht="24" hidden="1" customHeight="1" outlineLevel="1" x14ac:dyDescent="0.2">
      <c r="A922" s="59" t="s">
        <v>2134</v>
      </c>
      <c r="B922" s="59" t="s">
        <v>44</v>
      </c>
      <c r="C922" s="59" t="s">
        <v>82</v>
      </c>
      <c r="D922" s="66" t="s">
        <v>2135</v>
      </c>
      <c r="E922" s="59" t="s">
        <v>1557</v>
      </c>
      <c r="F922" s="60">
        <v>232247.67</v>
      </c>
      <c r="G922" s="60">
        <v>189766.39999999999</v>
      </c>
      <c r="H922" s="60">
        <v>42481.27</v>
      </c>
      <c r="I922" s="59"/>
      <c r="J922" s="60">
        <v>15283.08</v>
      </c>
      <c r="K922" s="59"/>
      <c r="L922" s="59"/>
      <c r="M922" s="60">
        <v>232247.67</v>
      </c>
      <c r="N922" s="60">
        <v>205049.48</v>
      </c>
      <c r="O922" s="60">
        <v>27198.19</v>
      </c>
      <c r="P922" s="55"/>
      <c r="Q922" s="55"/>
      <c r="R922" s="61">
        <f t="shared" si="381"/>
        <v>1273.5899999999999</v>
      </c>
      <c r="S922" s="60">
        <v>1273.5899999999999</v>
      </c>
      <c r="T922" s="60">
        <v>1273.5899999999999</v>
      </c>
      <c r="U922" s="60">
        <v>1273.5899999999999</v>
      </c>
      <c r="V922" s="60">
        <v>1273.5899999999999</v>
      </c>
      <c r="W922" s="60">
        <v>1273.5899999999999</v>
      </c>
      <c r="X922" s="61">
        <f t="shared" si="382"/>
        <v>7641.54</v>
      </c>
      <c r="Y922" s="60">
        <v>1273.5899999999999</v>
      </c>
      <c r="Z922" s="60">
        <v>1273.5899999999999</v>
      </c>
      <c r="AA922" s="60">
        <v>1273.5899999999999</v>
      </c>
      <c r="AB922" s="60">
        <v>1273.5899999999999</v>
      </c>
      <c r="AC922" s="60">
        <v>1273.5899999999999</v>
      </c>
      <c r="AD922" s="60">
        <v>1273.5899999999999</v>
      </c>
      <c r="AE922" s="61">
        <f t="shared" si="383"/>
        <v>7641.54</v>
      </c>
      <c r="AF922" s="62">
        <f t="shared" si="363"/>
        <v>232247.67</v>
      </c>
      <c r="AG922" s="62">
        <f t="shared" si="362"/>
        <v>220332.55999999997</v>
      </c>
      <c r="AH922" s="62">
        <f t="shared" si="387"/>
        <v>11915.110000000044</v>
      </c>
      <c r="AI922" s="63"/>
      <c r="AJ922" s="63"/>
      <c r="AK922" s="62"/>
      <c r="AL922" s="60">
        <v>1273.5899999999999</v>
      </c>
      <c r="AM922" s="60">
        <v>1273.5899999999999</v>
      </c>
      <c r="AN922" s="60">
        <v>1273.5899999999999</v>
      </c>
      <c r="AO922" s="60">
        <v>1273.5899999999999</v>
      </c>
      <c r="AP922" s="60">
        <v>1273.5899999999999</v>
      </c>
      <c r="AQ922" s="60">
        <v>1273.5899999999999</v>
      </c>
      <c r="AR922" s="61">
        <f t="shared" si="384"/>
        <v>7641.54</v>
      </c>
      <c r="AS922" s="60">
        <v>1273.5899999999999</v>
      </c>
      <c r="AT922" s="60">
        <v>1273.5899999999999</v>
      </c>
      <c r="AU922" s="60">
        <v>1273.5899999999999</v>
      </c>
      <c r="AV922" s="60">
        <v>452.8</v>
      </c>
      <c r="AW922" s="60"/>
      <c r="AX922" s="60"/>
      <c r="AY922" s="61">
        <f t="shared" si="385"/>
        <v>4273.57</v>
      </c>
      <c r="AZ922" s="56">
        <f t="shared" si="380"/>
        <v>11915.11</v>
      </c>
      <c r="BA922" s="62">
        <f t="shared" si="367"/>
        <v>232247.67</v>
      </c>
      <c r="BB922" s="62">
        <f t="shared" si="386"/>
        <v>232247.66999999993</v>
      </c>
      <c r="BC922" s="62">
        <f t="shared" si="368"/>
        <v>0</v>
      </c>
      <c r="BD922" s="63"/>
      <c r="BE922" s="57"/>
      <c r="BF922" s="35" t="str">
        <f>VLOOKUP(A:A,'2023-2027'!A:G,1,+FALSE)</f>
        <v>Трансформатор МГ400/6 Ленина35б №1 1613837 Бела-сь</v>
      </c>
      <c r="BG922" s="7" t="b">
        <f t="shared" si="388"/>
        <v>1</v>
      </c>
      <c r="BH922" s="35">
        <f>VLOOKUP(A:A,'2023-2027'!A:AT,43,+FALSE)</f>
        <v>1290.26</v>
      </c>
    </row>
    <row r="923" spans="1:60" ht="24" hidden="1" customHeight="1" outlineLevel="1" x14ac:dyDescent="0.2">
      <c r="A923" s="59" t="s">
        <v>2136</v>
      </c>
      <c r="B923" s="59" t="s">
        <v>44</v>
      </c>
      <c r="C923" s="59" t="s">
        <v>82</v>
      </c>
      <c r="D923" s="66" t="s">
        <v>2137</v>
      </c>
      <c r="E923" s="59" t="s">
        <v>1557</v>
      </c>
      <c r="F923" s="60">
        <v>232247.67</v>
      </c>
      <c r="G923" s="60">
        <v>189766.39999999999</v>
      </c>
      <c r="H923" s="60">
        <v>42481.27</v>
      </c>
      <c r="I923" s="59"/>
      <c r="J923" s="60">
        <v>15283.08</v>
      </c>
      <c r="K923" s="59"/>
      <c r="L923" s="59"/>
      <c r="M923" s="60">
        <v>232247.67</v>
      </c>
      <c r="N923" s="60">
        <v>205049.48</v>
      </c>
      <c r="O923" s="60">
        <v>27198.19</v>
      </c>
      <c r="P923" s="55"/>
      <c r="Q923" s="55"/>
      <c r="R923" s="61">
        <f t="shared" si="381"/>
        <v>1273.5899999999999</v>
      </c>
      <c r="S923" s="60">
        <v>1273.5899999999999</v>
      </c>
      <c r="T923" s="60">
        <v>1273.5899999999999</v>
      </c>
      <c r="U923" s="60">
        <v>1273.5899999999999</v>
      </c>
      <c r="V923" s="60">
        <v>1273.5899999999999</v>
      </c>
      <c r="W923" s="60">
        <v>1273.5899999999999</v>
      </c>
      <c r="X923" s="61">
        <f t="shared" si="382"/>
        <v>7641.54</v>
      </c>
      <c r="Y923" s="60">
        <v>1273.5899999999999</v>
      </c>
      <c r="Z923" s="60">
        <v>1273.5899999999999</v>
      </c>
      <c r="AA923" s="60">
        <v>1273.5899999999999</v>
      </c>
      <c r="AB923" s="60">
        <v>1273.5899999999999</v>
      </c>
      <c r="AC923" s="60">
        <v>1273.5899999999999</v>
      </c>
      <c r="AD923" s="60">
        <v>1273.5899999999999</v>
      </c>
      <c r="AE923" s="61">
        <f t="shared" si="383"/>
        <v>7641.54</v>
      </c>
      <c r="AF923" s="62">
        <f t="shared" si="363"/>
        <v>232247.67</v>
      </c>
      <c r="AG923" s="62">
        <f t="shared" ref="AG923:AG986" si="389">N923+R923+S923+T923+U923+V923+W923+Y923+Z923+AA923+AB923+AC923+AD923</f>
        <v>220332.55999999997</v>
      </c>
      <c r="AH923" s="62">
        <f t="shared" si="387"/>
        <v>11915.110000000044</v>
      </c>
      <c r="AI923" s="63"/>
      <c r="AJ923" s="63"/>
      <c r="AK923" s="62"/>
      <c r="AL923" s="60">
        <v>1273.5899999999999</v>
      </c>
      <c r="AM923" s="60">
        <v>1273.5899999999999</v>
      </c>
      <c r="AN923" s="60">
        <v>1273.5899999999999</v>
      </c>
      <c r="AO923" s="60">
        <v>1273.5899999999999</v>
      </c>
      <c r="AP923" s="60">
        <v>1273.5899999999999</v>
      </c>
      <c r="AQ923" s="60">
        <v>1273.5899999999999</v>
      </c>
      <c r="AR923" s="61">
        <f t="shared" si="384"/>
        <v>7641.54</v>
      </c>
      <c r="AS923" s="60">
        <v>1273.5899999999999</v>
      </c>
      <c r="AT923" s="60">
        <v>1273.5899999999999</v>
      </c>
      <c r="AU923" s="60">
        <v>1273.5899999999999</v>
      </c>
      <c r="AV923" s="60">
        <v>452.8</v>
      </c>
      <c r="AW923" s="60"/>
      <c r="AX923" s="60"/>
      <c r="AY923" s="61">
        <f t="shared" si="385"/>
        <v>4273.57</v>
      </c>
      <c r="AZ923" s="56">
        <f t="shared" si="380"/>
        <v>11915.11</v>
      </c>
      <c r="BA923" s="62">
        <f t="shared" si="367"/>
        <v>232247.67</v>
      </c>
      <c r="BB923" s="62">
        <f t="shared" si="386"/>
        <v>232247.66999999993</v>
      </c>
      <c r="BC923" s="62">
        <f t="shared" si="368"/>
        <v>0</v>
      </c>
      <c r="BD923" s="63"/>
      <c r="BE923" s="57"/>
      <c r="BF923" s="35" t="str">
        <f>VLOOKUP(A:A,'2023-2027'!A:G,1,+FALSE)</f>
        <v>Трансформатор МГ400/6 Ленина35б №2 1512482 Бела-сь</v>
      </c>
      <c r="BG923" s="7" t="b">
        <f t="shared" si="388"/>
        <v>1</v>
      </c>
      <c r="BH923" s="35">
        <f>VLOOKUP(A:A,'2023-2027'!A:AT,43,+FALSE)</f>
        <v>1290.26</v>
      </c>
    </row>
    <row r="924" spans="1:60" ht="24" hidden="1" customHeight="1" outlineLevel="1" x14ac:dyDescent="0.2">
      <c r="A924" s="59" t="s">
        <v>2138</v>
      </c>
      <c r="B924" s="59" t="s">
        <v>44</v>
      </c>
      <c r="C924" s="59" t="s">
        <v>82</v>
      </c>
      <c r="D924" s="65" t="s">
        <v>2139</v>
      </c>
      <c r="E924" s="59" t="s">
        <v>1794</v>
      </c>
      <c r="F924" s="60">
        <v>2859</v>
      </c>
      <c r="G924" s="60">
        <v>2859</v>
      </c>
      <c r="H924" s="59"/>
      <c r="I924" s="59"/>
      <c r="J924" s="59"/>
      <c r="K924" s="60">
        <v>2859</v>
      </c>
      <c r="L924" s="60">
        <v>2859</v>
      </c>
      <c r="M924" s="59"/>
      <c r="N924" s="59"/>
      <c r="O924" s="59"/>
      <c r="P924" s="67"/>
      <c r="Q924" s="67"/>
      <c r="R924" s="61">
        <f t="shared" si="381"/>
        <v>0</v>
      </c>
      <c r="S924" s="60">
        <v>0</v>
      </c>
      <c r="T924" s="60">
        <v>0</v>
      </c>
      <c r="U924" s="60">
        <v>0</v>
      </c>
      <c r="V924" s="60">
        <v>0</v>
      </c>
      <c r="W924" s="60">
        <v>0</v>
      </c>
      <c r="X924" s="61">
        <f t="shared" si="382"/>
        <v>0</v>
      </c>
      <c r="Y924" s="60">
        <v>0</v>
      </c>
      <c r="Z924" s="60">
        <v>0</v>
      </c>
      <c r="AA924" s="60">
        <v>0</v>
      </c>
      <c r="AB924" s="60">
        <v>0</v>
      </c>
      <c r="AC924" s="60">
        <v>0</v>
      </c>
      <c r="AD924" s="60">
        <v>0</v>
      </c>
      <c r="AE924" s="61">
        <f t="shared" si="383"/>
        <v>0</v>
      </c>
      <c r="AF924" s="62">
        <f t="shared" si="363"/>
        <v>0</v>
      </c>
      <c r="AG924" s="62">
        <f t="shared" si="389"/>
        <v>0</v>
      </c>
      <c r="AH924" s="62">
        <f t="shared" si="387"/>
        <v>0</v>
      </c>
      <c r="AI924" s="63"/>
      <c r="AJ924" s="63"/>
      <c r="AK924" s="62"/>
      <c r="AL924" s="60">
        <v>0</v>
      </c>
      <c r="AM924" s="60">
        <v>0</v>
      </c>
      <c r="AN924" s="60">
        <v>0</v>
      </c>
      <c r="AO924" s="60">
        <v>0</v>
      </c>
      <c r="AP924" s="60">
        <v>0</v>
      </c>
      <c r="AQ924" s="60">
        <v>0</v>
      </c>
      <c r="AR924" s="61">
        <f t="shared" si="384"/>
        <v>0</v>
      </c>
      <c r="AS924" s="60">
        <v>0</v>
      </c>
      <c r="AT924" s="60">
        <v>0</v>
      </c>
      <c r="AU924" s="60">
        <v>0</v>
      </c>
      <c r="AV924" s="60">
        <v>0</v>
      </c>
      <c r="AW924" s="60">
        <v>0</v>
      </c>
      <c r="AX924" s="60">
        <v>0</v>
      </c>
      <c r="AY924" s="61">
        <f t="shared" si="385"/>
        <v>0</v>
      </c>
      <c r="AZ924" s="56">
        <f t="shared" si="380"/>
        <v>0</v>
      </c>
      <c r="BA924" s="62">
        <f t="shared" si="367"/>
        <v>0</v>
      </c>
      <c r="BB924" s="62">
        <f t="shared" si="386"/>
        <v>0</v>
      </c>
      <c r="BC924" s="62">
        <f t="shared" si="368"/>
        <v>0</v>
      </c>
      <c r="BD924" s="63"/>
      <c r="BE924" s="57"/>
      <c r="BF924" s="35" t="e">
        <f>VLOOKUP(A:A,'2023-2027'!A:G,1,+FALSE)</f>
        <v>#N/A</v>
      </c>
      <c r="BG924" s="7" t="e">
        <f t="shared" si="388"/>
        <v>#N/A</v>
      </c>
      <c r="BH924" s="35"/>
    </row>
    <row r="925" spans="1:60" ht="24" hidden="1" customHeight="1" outlineLevel="1" x14ac:dyDescent="0.2">
      <c r="A925" s="59" t="s">
        <v>2486</v>
      </c>
      <c r="B925" s="59" t="s">
        <v>44</v>
      </c>
      <c r="C925" s="59" t="s">
        <v>82</v>
      </c>
      <c r="D925" s="66" t="s">
        <v>2140</v>
      </c>
      <c r="E925" s="59" t="s">
        <v>1116</v>
      </c>
      <c r="F925" s="60">
        <v>183870.25</v>
      </c>
      <c r="G925" s="60">
        <v>157533.48000000001</v>
      </c>
      <c r="H925" s="60">
        <v>26336.77</v>
      </c>
      <c r="I925" s="59"/>
      <c r="J925" s="60">
        <v>12118.39</v>
      </c>
      <c r="K925" s="59"/>
      <c r="L925" s="59"/>
      <c r="M925" s="60">
        <v>183870.25</v>
      </c>
      <c r="N925" s="60">
        <v>169651.87</v>
      </c>
      <c r="O925" s="60">
        <v>14218.38</v>
      </c>
      <c r="P925" s="55"/>
      <c r="Q925" s="55"/>
      <c r="R925" s="61">
        <f t="shared" si="381"/>
        <v>1009.8658333333333</v>
      </c>
      <c r="S925" s="60">
        <v>1009.865833</v>
      </c>
      <c r="T925" s="60">
        <v>1009.865833</v>
      </c>
      <c r="U925" s="60">
        <v>1009.865833</v>
      </c>
      <c r="V925" s="60">
        <v>1009.865833</v>
      </c>
      <c r="W925" s="60">
        <v>1009.865833</v>
      </c>
      <c r="X925" s="61">
        <f t="shared" si="382"/>
        <v>6059.1949983333325</v>
      </c>
      <c r="Y925" s="60">
        <v>1009.865833</v>
      </c>
      <c r="Z925" s="60">
        <v>1009.865833</v>
      </c>
      <c r="AA925" s="60">
        <v>1009.865833</v>
      </c>
      <c r="AB925" s="60">
        <v>1009.865833</v>
      </c>
      <c r="AC925" s="60">
        <v>1009.865833</v>
      </c>
      <c r="AD925" s="60">
        <v>1009.865833</v>
      </c>
      <c r="AE925" s="61">
        <f t="shared" si="383"/>
        <v>6059.1949979999999</v>
      </c>
      <c r="AF925" s="62">
        <f t="shared" si="363"/>
        <v>183870.25</v>
      </c>
      <c r="AG925" s="62">
        <f t="shared" si="389"/>
        <v>181770.25999633322</v>
      </c>
      <c r="AH925" s="62">
        <f t="shared" si="387"/>
        <v>2099.9900036667823</v>
      </c>
      <c r="AI925" s="63"/>
      <c r="AJ925" s="63"/>
      <c r="AK925" s="62"/>
      <c r="AL925" s="60">
        <v>1009.865833</v>
      </c>
      <c r="AM925" s="60">
        <v>1009.865833</v>
      </c>
      <c r="AN925" s="60">
        <v>80.254999999999995</v>
      </c>
      <c r="AO925" s="60"/>
      <c r="AP925" s="60"/>
      <c r="AQ925" s="60"/>
      <c r="AR925" s="61">
        <f t="shared" si="384"/>
        <v>2099.9866659999998</v>
      </c>
      <c r="AS925" s="60"/>
      <c r="AT925" s="60"/>
      <c r="AU925" s="60"/>
      <c r="AV925" s="60"/>
      <c r="AW925" s="60"/>
      <c r="AX925" s="60"/>
      <c r="AY925" s="61">
        <f t="shared" si="385"/>
        <v>0</v>
      </c>
      <c r="AZ925" s="56">
        <f t="shared" si="380"/>
        <v>2099.9866659999998</v>
      </c>
      <c r="BA925" s="62">
        <f t="shared" si="367"/>
        <v>183870.25</v>
      </c>
      <c r="BB925" s="62">
        <f t="shared" si="386"/>
        <v>183870.2466623332</v>
      </c>
      <c r="BC925" s="62">
        <f t="shared" si="368"/>
        <v>3.3376667997799814E-3</v>
      </c>
      <c r="BD925" s="63"/>
      <c r="BE925" s="57"/>
      <c r="BF925" s="35" t="str">
        <f>VLOOKUP(A:A,'2023-2027'!A:G,1,+FALSE)</f>
        <v>Трансформатор ТМ 250/6 №1 №906091</v>
      </c>
      <c r="BG925" s="7" t="b">
        <f t="shared" si="388"/>
        <v>1</v>
      </c>
      <c r="BH925" s="35">
        <f>VLOOKUP(A:A,'2023-2027'!A:AT,43,+FALSE)</f>
        <v>1021.5</v>
      </c>
    </row>
    <row r="926" spans="1:60" ht="24" hidden="1" customHeight="1" outlineLevel="1" x14ac:dyDescent="0.2">
      <c r="A926" s="59" t="s">
        <v>2487</v>
      </c>
      <c r="B926" s="59" t="s">
        <v>44</v>
      </c>
      <c r="C926" s="59" t="s">
        <v>82</v>
      </c>
      <c r="D926" s="66" t="s">
        <v>2141</v>
      </c>
      <c r="E926" s="59" t="s">
        <v>1116</v>
      </c>
      <c r="F926" s="60">
        <v>183870.25</v>
      </c>
      <c r="G926" s="60">
        <v>157533.48000000001</v>
      </c>
      <c r="H926" s="60">
        <v>26336.77</v>
      </c>
      <c r="I926" s="59"/>
      <c r="J926" s="60">
        <v>12118.39</v>
      </c>
      <c r="K926" s="59"/>
      <c r="L926" s="59"/>
      <c r="M926" s="60">
        <v>183870.25</v>
      </c>
      <c r="N926" s="60">
        <v>169651.87</v>
      </c>
      <c r="O926" s="60">
        <v>14218.38</v>
      </c>
      <c r="P926" s="55"/>
      <c r="Q926" s="55"/>
      <c r="R926" s="61">
        <f t="shared" si="381"/>
        <v>1009.8658333333333</v>
      </c>
      <c r="S926" s="60">
        <v>1009.865833</v>
      </c>
      <c r="T926" s="60">
        <v>1009.865833</v>
      </c>
      <c r="U926" s="60">
        <v>1009.865833</v>
      </c>
      <c r="V926" s="60">
        <v>1009.865833</v>
      </c>
      <c r="W926" s="60">
        <v>1009.865833</v>
      </c>
      <c r="X926" s="61">
        <f t="shared" si="382"/>
        <v>6059.1949983333325</v>
      </c>
      <c r="Y926" s="60">
        <v>1009.865833</v>
      </c>
      <c r="Z926" s="60">
        <v>1009.865833</v>
      </c>
      <c r="AA926" s="60">
        <v>1009.865833</v>
      </c>
      <c r="AB926" s="60">
        <v>1009.865833</v>
      </c>
      <c r="AC926" s="60">
        <v>1009.865833</v>
      </c>
      <c r="AD926" s="60">
        <v>1009.865833</v>
      </c>
      <c r="AE926" s="61">
        <f t="shared" si="383"/>
        <v>6059.1949979999999</v>
      </c>
      <c r="AF926" s="62">
        <f t="shared" si="363"/>
        <v>183870.25</v>
      </c>
      <c r="AG926" s="62">
        <f t="shared" si="389"/>
        <v>181770.25999633322</v>
      </c>
      <c r="AH926" s="62">
        <f t="shared" si="387"/>
        <v>2099.9900036667823</v>
      </c>
      <c r="AI926" s="63"/>
      <c r="AJ926" s="63"/>
      <c r="AK926" s="62"/>
      <c r="AL926" s="60">
        <v>1009.865833</v>
      </c>
      <c r="AM926" s="60">
        <v>1009.865833</v>
      </c>
      <c r="AN926" s="60">
        <v>80.254999999999995</v>
      </c>
      <c r="AO926" s="60"/>
      <c r="AP926" s="60"/>
      <c r="AQ926" s="60"/>
      <c r="AR926" s="61">
        <f t="shared" si="384"/>
        <v>2099.9866659999998</v>
      </c>
      <c r="AS926" s="60"/>
      <c r="AT926" s="60"/>
      <c r="AU926" s="60"/>
      <c r="AV926" s="60"/>
      <c r="AW926" s="60"/>
      <c r="AX926" s="60"/>
      <c r="AY926" s="61">
        <f t="shared" si="385"/>
        <v>0</v>
      </c>
      <c r="AZ926" s="56">
        <f t="shared" si="380"/>
        <v>2099.9866659999998</v>
      </c>
      <c r="BA926" s="62">
        <f t="shared" si="367"/>
        <v>183870.25</v>
      </c>
      <c r="BB926" s="62">
        <f t="shared" si="386"/>
        <v>183870.2466623332</v>
      </c>
      <c r="BC926" s="62">
        <f t="shared" si="368"/>
        <v>3.3376667997799814E-3</v>
      </c>
      <c r="BD926" s="63"/>
      <c r="BE926" s="57"/>
      <c r="BF926" s="35" t="str">
        <f>VLOOKUP(A:A,'2023-2027'!A:G,1,+FALSE)</f>
        <v>Трансформатор ТМ 250/6 №2 №906092</v>
      </c>
      <c r="BG926" s="7" t="b">
        <f t="shared" si="388"/>
        <v>1</v>
      </c>
      <c r="BH926" s="35">
        <f>VLOOKUP(A:A,'2023-2027'!A:AT,43,+FALSE)</f>
        <v>1021.5</v>
      </c>
    </row>
    <row r="927" spans="1:60" ht="24" hidden="1" customHeight="1" outlineLevel="1" x14ac:dyDescent="0.2">
      <c r="A927" s="59" t="s">
        <v>2142</v>
      </c>
      <c r="B927" s="59" t="s">
        <v>44</v>
      </c>
      <c r="C927" s="59" t="s">
        <v>82</v>
      </c>
      <c r="D927" s="66" t="s">
        <v>2143</v>
      </c>
      <c r="E927" s="59" t="s">
        <v>1116</v>
      </c>
      <c r="F927" s="60">
        <v>225395.68</v>
      </c>
      <c r="G927" s="60">
        <v>192742.68</v>
      </c>
      <c r="H927" s="60">
        <v>32653</v>
      </c>
      <c r="I927" s="59"/>
      <c r="J927" s="60">
        <v>14826.48</v>
      </c>
      <c r="K927" s="59"/>
      <c r="L927" s="59"/>
      <c r="M927" s="60">
        <v>225395.68</v>
      </c>
      <c r="N927" s="60">
        <v>207569.16</v>
      </c>
      <c r="O927" s="60">
        <v>17826.52</v>
      </c>
      <c r="P927" s="55"/>
      <c r="Q927" s="55"/>
      <c r="R927" s="61">
        <f t="shared" si="381"/>
        <v>1235.54</v>
      </c>
      <c r="S927" s="60">
        <v>1235.54</v>
      </c>
      <c r="T927" s="60">
        <v>1235.54</v>
      </c>
      <c r="U927" s="60">
        <v>1235.54</v>
      </c>
      <c r="V927" s="60">
        <v>1235.54</v>
      </c>
      <c r="W927" s="60">
        <v>1235.54</v>
      </c>
      <c r="X927" s="61">
        <f t="shared" si="382"/>
        <v>7413.24</v>
      </c>
      <c r="Y927" s="60">
        <v>1235.54</v>
      </c>
      <c r="Z927" s="60">
        <v>1235.54</v>
      </c>
      <c r="AA927" s="60">
        <v>1235.54</v>
      </c>
      <c r="AB927" s="60">
        <v>1235.54</v>
      </c>
      <c r="AC927" s="60">
        <v>1235.54</v>
      </c>
      <c r="AD927" s="60">
        <v>1235.54</v>
      </c>
      <c r="AE927" s="61">
        <f t="shared" si="383"/>
        <v>7413.24</v>
      </c>
      <c r="AF927" s="62">
        <f t="shared" ref="AF927:AF990" si="390">M927</f>
        <v>225395.68</v>
      </c>
      <c r="AG927" s="62">
        <f t="shared" si="389"/>
        <v>222395.6400000001</v>
      </c>
      <c r="AH927" s="62">
        <f t="shared" si="387"/>
        <v>3000.0399999998917</v>
      </c>
      <c r="AI927" s="63"/>
      <c r="AJ927" s="63"/>
      <c r="AK927" s="62"/>
      <c r="AL927" s="60">
        <v>1235.54</v>
      </c>
      <c r="AM927" s="60">
        <v>1235.54</v>
      </c>
      <c r="AN927" s="60">
        <v>528.96</v>
      </c>
      <c r="AO927" s="60"/>
      <c r="AP927" s="60"/>
      <c r="AQ927" s="60"/>
      <c r="AR927" s="61">
        <f t="shared" si="384"/>
        <v>3000.04</v>
      </c>
      <c r="AS927" s="60"/>
      <c r="AT927" s="60"/>
      <c r="AU927" s="60"/>
      <c r="AV927" s="60"/>
      <c r="AW927" s="60"/>
      <c r="AX927" s="60"/>
      <c r="AY927" s="61">
        <f t="shared" si="385"/>
        <v>0</v>
      </c>
      <c r="AZ927" s="56">
        <f t="shared" si="380"/>
        <v>3000.04</v>
      </c>
      <c r="BA927" s="62">
        <f t="shared" si="367"/>
        <v>225395.68</v>
      </c>
      <c r="BB927" s="62">
        <f t="shared" si="386"/>
        <v>225395.68000000011</v>
      </c>
      <c r="BC927" s="62">
        <f t="shared" si="368"/>
        <v>0</v>
      </c>
      <c r="BD927" s="63"/>
      <c r="BE927" s="57"/>
      <c r="BF927" s="35" t="str">
        <f>VLOOKUP(A:A,'2023-2027'!A:G,1,+FALSE)</f>
        <v>Трансформатор ТМ 400/6 №2 №1542662 ТП-46</v>
      </c>
      <c r="BG927" s="7" t="b">
        <f t="shared" si="388"/>
        <v>1</v>
      </c>
      <c r="BH927" s="35">
        <f>VLOOKUP(A:A,'2023-2027'!A:AT,43,+FALSE)</f>
        <v>1252.2000000000003</v>
      </c>
    </row>
    <row r="928" spans="1:60" ht="24" hidden="1" customHeight="1" outlineLevel="1" x14ac:dyDescent="0.2">
      <c r="A928" s="59" t="s">
        <v>2144</v>
      </c>
      <c r="B928" s="59" t="s">
        <v>44</v>
      </c>
      <c r="C928" s="59" t="s">
        <v>82</v>
      </c>
      <c r="D928" s="65" t="s">
        <v>2145</v>
      </c>
      <c r="E928" s="59" t="s">
        <v>2026</v>
      </c>
      <c r="F928" s="60">
        <v>5927</v>
      </c>
      <c r="G928" s="60">
        <v>5927</v>
      </c>
      <c r="H928" s="59"/>
      <c r="I928" s="59"/>
      <c r="J928" s="59"/>
      <c r="K928" s="60">
        <v>5927</v>
      </c>
      <c r="L928" s="60">
        <v>5927</v>
      </c>
      <c r="M928" s="59"/>
      <c r="N928" s="59"/>
      <c r="O928" s="59"/>
      <c r="P928" s="67"/>
      <c r="Q928" s="67"/>
      <c r="R928" s="61">
        <f t="shared" si="381"/>
        <v>0</v>
      </c>
      <c r="S928" s="60">
        <v>0</v>
      </c>
      <c r="T928" s="60">
        <v>0</v>
      </c>
      <c r="U928" s="60">
        <v>0</v>
      </c>
      <c r="V928" s="60">
        <v>0</v>
      </c>
      <c r="W928" s="60">
        <v>0</v>
      </c>
      <c r="X928" s="61">
        <f t="shared" si="382"/>
        <v>0</v>
      </c>
      <c r="Y928" s="60">
        <v>0</v>
      </c>
      <c r="Z928" s="60">
        <v>0</v>
      </c>
      <c r="AA928" s="60">
        <v>0</v>
      </c>
      <c r="AB928" s="60">
        <v>0</v>
      </c>
      <c r="AC928" s="60">
        <v>0</v>
      </c>
      <c r="AD928" s="60">
        <v>0</v>
      </c>
      <c r="AE928" s="61">
        <f t="shared" si="383"/>
        <v>0</v>
      </c>
      <c r="AF928" s="62">
        <f t="shared" si="390"/>
        <v>0</v>
      </c>
      <c r="AG928" s="62">
        <f t="shared" si="389"/>
        <v>0</v>
      </c>
      <c r="AH928" s="62">
        <f t="shared" si="387"/>
        <v>0</v>
      </c>
      <c r="AI928" s="63"/>
      <c r="AJ928" s="63"/>
      <c r="AK928" s="62"/>
      <c r="AL928" s="60">
        <v>0</v>
      </c>
      <c r="AM928" s="60">
        <v>0</v>
      </c>
      <c r="AN928" s="60">
        <v>0</v>
      </c>
      <c r="AO928" s="60">
        <v>0</v>
      </c>
      <c r="AP928" s="60">
        <v>0</v>
      </c>
      <c r="AQ928" s="60">
        <v>0</v>
      </c>
      <c r="AR928" s="61">
        <f t="shared" si="384"/>
        <v>0</v>
      </c>
      <c r="AS928" s="60">
        <v>0</v>
      </c>
      <c r="AT928" s="60">
        <v>0</v>
      </c>
      <c r="AU928" s="60">
        <v>0</v>
      </c>
      <c r="AV928" s="60">
        <v>0</v>
      </c>
      <c r="AW928" s="60">
        <v>0</v>
      </c>
      <c r="AX928" s="60">
        <v>0</v>
      </c>
      <c r="AY928" s="61">
        <f t="shared" si="385"/>
        <v>0</v>
      </c>
      <c r="AZ928" s="56">
        <f t="shared" si="380"/>
        <v>0</v>
      </c>
      <c r="BA928" s="62">
        <f t="shared" si="367"/>
        <v>0</v>
      </c>
      <c r="BB928" s="62">
        <f t="shared" si="386"/>
        <v>0</v>
      </c>
      <c r="BC928" s="62">
        <f t="shared" si="368"/>
        <v>0</v>
      </c>
      <c r="BD928" s="63"/>
      <c r="BE928" s="57"/>
      <c r="BF928" s="35" t="e">
        <f>VLOOKUP(A:A,'2023-2027'!A:G,1,+FALSE)</f>
        <v>#N/A</v>
      </c>
      <c r="BG928" s="7" t="e">
        <f t="shared" si="388"/>
        <v>#N/A</v>
      </c>
      <c r="BH928" s="35"/>
    </row>
    <row r="929" spans="1:60" ht="24" hidden="1" customHeight="1" outlineLevel="1" x14ac:dyDescent="0.2">
      <c r="A929" s="59" t="s">
        <v>2146</v>
      </c>
      <c r="B929" s="59" t="s">
        <v>44</v>
      </c>
      <c r="C929" s="59" t="s">
        <v>82</v>
      </c>
      <c r="D929" s="66" t="s">
        <v>2147</v>
      </c>
      <c r="E929" s="59" t="s">
        <v>1116</v>
      </c>
      <c r="F929" s="60">
        <v>335565.17</v>
      </c>
      <c r="G929" s="60">
        <v>287183.52</v>
      </c>
      <c r="H929" s="60">
        <v>48381.65</v>
      </c>
      <c r="I929" s="59"/>
      <c r="J929" s="60">
        <v>22090.799999999999</v>
      </c>
      <c r="K929" s="59"/>
      <c r="L929" s="59"/>
      <c r="M929" s="60">
        <v>335565.17</v>
      </c>
      <c r="N929" s="60">
        <v>309274.32</v>
      </c>
      <c r="O929" s="60">
        <v>26290.85</v>
      </c>
      <c r="P929" s="55"/>
      <c r="Q929" s="55"/>
      <c r="R929" s="61">
        <f t="shared" si="381"/>
        <v>1840.8999999999999</v>
      </c>
      <c r="S929" s="60">
        <v>1840.9</v>
      </c>
      <c r="T929" s="60">
        <v>1840.9</v>
      </c>
      <c r="U929" s="60">
        <v>1840.9</v>
      </c>
      <c r="V929" s="60">
        <v>1840.9</v>
      </c>
      <c r="W929" s="60">
        <v>1840.9</v>
      </c>
      <c r="X929" s="61">
        <f t="shared" si="382"/>
        <v>11045.4</v>
      </c>
      <c r="Y929" s="60">
        <v>1840.9</v>
      </c>
      <c r="Z929" s="60">
        <v>1840.9</v>
      </c>
      <c r="AA929" s="60">
        <v>1840.9</v>
      </c>
      <c r="AB929" s="60">
        <v>1840.9</v>
      </c>
      <c r="AC929" s="60">
        <v>1840.9</v>
      </c>
      <c r="AD929" s="60">
        <v>1840.9</v>
      </c>
      <c r="AE929" s="61">
        <f t="shared" si="383"/>
        <v>11045.4</v>
      </c>
      <c r="AF929" s="62">
        <f t="shared" si="390"/>
        <v>335565.17</v>
      </c>
      <c r="AG929" s="62">
        <f t="shared" si="389"/>
        <v>331365.12000000029</v>
      </c>
      <c r="AH929" s="62">
        <f t="shared" si="387"/>
        <v>4200.0499999996973</v>
      </c>
      <c r="AI929" s="63"/>
      <c r="AJ929" s="63"/>
      <c r="AK929" s="62"/>
      <c r="AL929" s="60">
        <v>1840.9</v>
      </c>
      <c r="AM929" s="60">
        <v>1840.9</v>
      </c>
      <c r="AN929" s="60">
        <v>518.25</v>
      </c>
      <c r="AO929" s="60"/>
      <c r="AP929" s="60"/>
      <c r="AQ929" s="60"/>
      <c r="AR929" s="61">
        <f t="shared" si="384"/>
        <v>4200.05</v>
      </c>
      <c r="AS929" s="60"/>
      <c r="AT929" s="60"/>
      <c r="AU929" s="60"/>
      <c r="AV929" s="60"/>
      <c r="AW929" s="60"/>
      <c r="AX929" s="60"/>
      <c r="AY929" s="61">
        <f t="shared" si="385"/>
        <v>0</v>
      </c>
      <c r="AZ929" s="56">
        <f t="shared" si="380"/>
        <v>4200.05</v>
      </c>
      <c r="BA929" s="62">
        <f t="shared" si="367"/>
        <v>335565.17</v>
      </c>
      <c r="BB929" s="62">
        <f t="shared" si="386"/>
        <v>335565.17000000033</v>
      </c>
      <c r="BC929" s="62">
        <f t="shared" si="368"/>
        <v>0</v>
      </c>
      <c r="BD929" s="63"/>
      <c r="BE929" s="57"/>
      <c r="BF929" s="35" t="str">
        <f>VLOOKUP(A:A,'2023-2027'!A:G,1,+FALSE)</f>
        <v>Трансформатор ТМ 630/6 (школа №2)</v>
      </c>
      <c r="BG929" s="7" t="b">
        <f t="shared" si="388"/>
        <v>1</v>
      </c>
      <c r="BH929" s="35">
        <f>VLOOKUP(A:A,'2023-2027'!A:AT,43,+FALSE)</f>
        <v>1864.25</v>
      </c>
    </row>
    <row r="930" spans="1:60" ht="24" hidden="1" customHeight="1" outlineLevel="1" x14ac:dyDescent="0.2">
      <c r="A930" s="59" t="s">
        <v>2148</v>
      </c>
      <c r="B930" s="59" t="s">
        <v>44</v>
      </c>
      <c r="C930" s="59" t="s">
        <v>82</v>
      </c>
      <c r="D930" s="65" t="s">
        <v>2149</v>
      </c>
      <c r="E930" s="59" t="s">
        <v>1198</v>
      </c>
      <c r="F930" s="60">
        <v>76650</v>
      </c>
      <c r="G930" s="60">
        <v>60165.87</v>
      </c>
      <c r="H930" s="60">
        <v>16484.13</v>
      </c>
      <c r="I930" s="59"/>
      <c r="J930" s="60">
        <v>3296.85</v>
      </c>
      <c r="K930" s="59"/>
      <c r="L930" s="59"/>
      <c r="M930" s="60">
        <v>76650</v>
      </c>
      <c r="N930" s="60">
        <v>63462.720000000001</v>
      </c>
      <c r="O930" s="60">
        <v>13187.28</v>
      </c>
      <c r="P930" s="55"/>
      <c r="Q930" s="55"/>
      <c r="R930" s="61">
        <f t="shared" si="381"/>
        <v>274.73750000000001</v>
      </c>
      <c r="S930" s="60">
        <v>274.73750000000001</v>
      </c>
      <c r="T930" s="60">
        <v>274.73750000000001</v>
      </c>
      <c r="U930" s="60">
        <v>274.73750000000001</v>
      </c>
      <c r="V930" s="60">
        <v>274.73750000000001</v>
      </c>
      <c r="W930" s="60">
        <v>274.73750000000001</v>
      </c>
      <c r="X930" s="61">
        <f t="shared" si="382"/>
        <v>1648.425</v>
      </c>
      <c r="Y930" s="60">
        <v>274.73750000000001</v>
      </c>
      <c r="Z930" s="60">
        <v>274.73750000000001</v>
      </c>
      <c r="AA930" s="60">
        <v>274.73750000000001</v>
      </c>
      <c r="AB930" s="60">
        <v>274.73750000000001</v>
      </c>
      <c r="AC930" s="60">
        <v>274.73750000000001</v>
      </c>
      <c r="AD930" s="60">
        <v>274.73750000000001</v>
      </c>
      <c r="AE930" s="61">
        <f t="shared" si="383"/>
        <v>1648.425</v>
      </c>
      <c r="AF930" s="62">
        <f t="shared" si="390"/>
        <v>76650</v>
      </c>
      <c r="AG930" s="62">
        <f t="shared" si="389"/>
        <v>66759.570000000036</v>
      </c>
      <c r="AH930" s="62">
        <f t="shared" si="387"/>
        <v>9890.4299999999639</v>
      </c>
      <c r="AI930" s="63"/>
      <c r="AJ930" s="63"/>
      <c r="AK930" s="62"/>
      <c r="AL930" s="60">
        <v>274.73750000000001</v>
      </c>
      <c r="AM930" s="60">
        <v>274.73750000000001</v>
      </c>
      <c r="AN930" s="60">
        <v>274.73750000000001</v>
      </c>
      <c r="AO930" s="60">
        <v>274.73750000000001</v>
      </c>
      <c r="AP930" s="60">
        <v>274.73750000000001</v>
      </c>
      <c r="AQ930" s="60">
        <v>274.73750000000001</v>
      </c>
      <c r="AR930" s="61">
        <f t="shared" si="384"/>
        <v>1648.425</v>
      </c>
      <c r="AS930" s="60">
        <v>274.73750000000001</v>
      </c>
      <c r="AT930" s="60">
        <v>274.73750000000001</v>
      </c>
      <c r="AU930" s="60">
        <v>274.73750000000001</v>
      </c>
      <c r="AV930" s="60">
        <v>274.73750000000001</v>
      </c>
      <c r="AW930" s="60">
        <v>274.73750000000001</v>
      </c>
      <c r="AX930" s="60">
        <v>274.73750000000001</v>
      </c>
      <c r="AY930" s="61">
        <f t="shared" si="385"/>
        <v>1648.425</v>
      </c>
      <c r="AZ930" s="56">
        <f t="shared" si="380"/>
        <v>3296.85</v>
      </c>
      <c r="BA930" s="62">
        <f t="shared" si="367"/>
        <v>76650</v>
      </c>
      <c r="BB930" s="62">
        <f t="shared" si="386"/>
        <v>70056.420000000071</v>
      </c>
      <c r="BC930" s="62">
        <f t="shared" si="368"/>
        <v>6593.579999999929</v>
      </c>
      <c r="BD930" s="63"/>
      <c r="BE930" s="57"/>
      <c r="BF930" s="35" t="e">
        <f>VLOOKUP(A:A,'2023-2027'!A:G,1,+FALSE)</f>
        <v>#N/A</v>
      </c>
      <c r="BG930" s="7" t="e">
        <f t="shared" si="388"/>
        <v>#N/A</v>
      </c>
      <c r="BH930" s="35"/>
    </row>
    <row r="931" spans="1:60" ht="24" hidden="1" customHeight="1" outlineLevel="1" x14ac:dyDescent="0.2">
      <c r="A931" s="59" t="s">
        <v>2150</v>
      </c>
      <c r="B931" s="59" t="s">
        <v>44</v>
      </c>
      <c r="C931" s="59" t="s">
        <v>82</v>
      </c>
      <c r="D931" s="66" t="s">
        <v>2151</v>
      </c>
      <c r="E931" s="59" t="s">
        <v>1272</v>
      </c>
      <c r="F931" s="60">
        <v>133941.4</v>
      </c>
      <c r="G931" s="60">
        <v>95468.32</v>
      </c>
      <c r="H931" s="60">
        <v>38473.08</v>
      </c>
      <c r="I931" s="59"/>
      <c r="J931" s="60">
        <v>6622.08</v>
      </c>
      <c r="K931" s="59"/>
      <c r="L931" s="59"/>
      <c r="M931" s="60">
        <v>133941.4</v>
      </c>
      <c r="N931" s="60">
        <v>102090.4</v>
      </c>
      <c r="O931" s="60">
        <v>31851</v>
      </c>
      <c r="P931" s="55"/>
      <c r="Q931" s="55"/>
      <c r="R931" s="61">
        <f t="shared" si="381"/>
        <v>551.84</v>
      </c>
      <c r="S931" s="60">
        <v>551.84</v>
      </c>
      <c r="T931" s="60">
        <v>551.84</v>
      </c>
      <c r="U931" s="60">
        <v>551.84</v>
      </c>
      <c r="V931" s="60">
        <v>551.84</v>
      </c>
      <c r="W931" s="60">
        <v>551.84</v>
      </c>
      <c r="X931" s="61">
        <f t="shared" si="382"/>
        <v>3311.0400000000004</v>
      </c>
      <c r="Y931" s="60">
        <v>551.84</v>
      </c>
      <c r="Z931" s="60">
        <v>551.84</v>
      </c>
      <c r="AA931" s="60">
        <v>551.84</v>
      </c>
      <c r="AB931" s="60">
        <v>551.84</v>
      </c>
      <c r="AC931" s="60">
        <v>551.84</v>
      </c>
      <c r="AD931" s="60">
        <v>551.84</v>
      </c>
      <c r="AE931" s="61">
        <f t="shared" si="383"/>
        <v>3311.0400000000004</v>
      </c>
      <c r="AF931" s="62">
        <f t="shared" si="390"/>
        <v>133941.4</v>
      </c>
      <c r="AG931" s="62">
        <f t="shared" si="389"/>
        <v>108712.47999999995</v>
      </c>
      <c r="AH931" s="62">
        <f t="shared" si="387"/>
        <v>25228.920000000042</v>
      </c>
      <c r="AI931" s="63"/>
      <c r="AJ931" s="63"/>
      <c r="AK931" s="62"/>
      <c r="AL931" s="60">
        <v>551.84</v>
      </c>
      <c r="AM931" s="60">
        <v>551.84</v>
      </c>
      <c r="AN931" s="60">
        <v>551.84</v>
      </c>
      <c r="AO931" s="60">
        <v>551.84</v>
      </c>
      <c r="AP931" s="60">
        <v>551.84</v>
      </c>
      <c r="AQ931" s="60">
        <v>551.84</v>
      </c>
      <c r="AR931" s="61">
        <f t="shared" si="384"/>
        <v>3311.0400000000004</v>
      </c>
      <c r="AS931" s="60">
        <v>551.84</v>
      </c>
      <c r="AT931" s="60">
        <v>551.84</v>
      </c>
      <c r="AU931" s="60">
        <v>551.84</v>
      </c>
      <c r="AV931" s="60">
        <v>551.84</v>
      </c>
      <c r="AW931" s="60">
        <v>551.84</v>
      </c>
      <c r="AX931" s="60">
        <v>551.84</v>
      </c>
      <c r="AY931" s="61">
        <f t="shared" si="385"/>
        <v>3311.0400000000004</v>
      </c>
      <c r="AZ931" s="56">
        <f t="shared" si="380"/>
        <v>6622.0800000000008</v>
      </c>
      <c r="BA931" s="62">
        <f t="shared" si="367"/>
        <v>133941.4</v>
      </c>
      <c r="BB931" s="62">
        <f t="shared" si="386"/>
        <v>115334.55999999991</v>
      </c>
      <c r="BC931" s="62">
        <f t="shared" si="368"/>
        <v>18606.840000000084</v>
      </c>
      <c r="BD931" s="63"/>
      <c r="BE931" s="57"/>
      <c r="BF931" s="35" t="str">
        <f>VLOOKUP(A:A,'2023-2027'!A:G,1,+FALSE)</f>
        <v>Трансформатор ТМ-160 КВА 6/0,4 №2984 2007г</v>
      </c>
      <c r="BG931" s="7" t="b">
        <f t="shared" si="388"/>
        <v>1</v>
      </c>
      <c r="BH931" s="35">
        <f>VLOOKUP(A:A,'2023-2027'!A:AT,43,+FALSE)</f>
        <v>558.09</v>
      </c>
    </row>
    <row r="932" spans="1:60" ht="24" hidden="1" customHeight="1" outlineLevel="1" x14ac:dyDescent="0.2">
      <c r="A932" s="59" t="s">
        <v>2488</v>
      </c>
      <c r="B932" s="59" t="s">
        <v>44</v>
      </c>
      <c r="C932" s="59" t="s">
        <v>82</v>
      </c>
      <c r="D932" s="66" t="s">
        <v>2152</v>
      </c>
      <c r="E932" s="59" t="s">
        <v>182</v>
      </c>
      <c r="F932" s="60">
        <v>134415.48000000001</v>
      </c>
      <c r="G932" s="60">
        <v>94147.7</v>
      </c>
      <c r="H932" s="60">
        <v>40267.78</v>
      </c>
      <c r="I932" s="59"/>
      <c r="J932" s="60">
        <v>6645.93</v>
      </c>
      <c r="K932" s="59"/>
      <c r="L932" s="59"/>
      <c r="M932" s="60">
        <v>134415.48000000001</v>
      </c>
      <c r="N932" s="60">
        <v>100793.63</v>
      </c>
      <c r="O932" s="60">
        <v>33621.85</v>
      </c>
      <c r="P932" s="55"/>
      <c r="Q932" s="55"/>
      <c r="R932" s="61">
        <f t="shared" si="381"/>
        <v>553.82749999999999</v>
      </c>
      <c r="S932" s="60">
        <v>553.82749999999999</v>
      </c>
      <c r="T932" s="60">
        <v>553.82749999999999</v>
      </c>
      <c r="U932" s="60">
        <v>553.82749999999999</v>
      </c>
      <c r="V932" s="60">
        <v>553.82749999999999</v>
      </c>
      <c r="W932" s="60">
        <v>553.82749999999999</v>
      </c>
      <c r="X932" s="61">
        <f t="shared" si="382"/>
        <v>3322.9649999999997</v>
      </c>
      <c r="Y932" s="60">
        <v>553.82749999999999</v>
      </c>
      <c r="Z932" s="60">
        <v>553.82749999999999</v>
      </c>
      <c r="AA932" s="60">
        <v>553.82749999999999</v>
      </c>
      <c r="AB932" s="60">
        <v>553.82749999999999</v>
      </c>
      <c r="AC932" s="60">
        <v>553.82749999999999</v>
      </c>
      <c r="AD932" s="60">
        <v>553.82749999999999</v>
      </c>
      <c r="AE932" s="61">
        <f t="shared" si="383"/>
        <v>3322.9649999999997</v>
      </c>
      <c r="AF932" s="62">
        <f t="shared" si="390"/>
        <v>134415.48000000001</v>
      </c>
      <c r="AG932" s="62">
        <f t="shared" si="389"/>
        <v>107439.56</v>
      </c>
      <c r="AH932" s="62">
        <f t="shared" si="387"/>
        <v>26975.920000000013</v>
      </c>
      <c r="AI932" s="63"/>
      <c r="AJ932" s="63"/>
      <c r="AK932" s="62"/>
      <c r="AL932" s="60">
        <v>553.82749999999999</v>
      </c>
      <c r="AM932" s="60">
        <v>553.82749999999999</v>
      </c>
      <c r="AN932" s="60">
        <v>553.82749999999999</v>
      </c>
      <c r="AO932" s="60">
        <v>553.82749999999999</v>
      </c>
      <c r="AP932" s="60">
        <v>553.82749999999999</v>
      </c>
      <c r="AQ932" s="60">
        <v>553.82749999999999</v>
      </c>
      <c r="AR932" s="61">
        <f t="shared" si="384"/>
        <v>3322.9649999999997</v>
      </c>
      <c r="AS932" s="60">
        <v>553.82749999999999</v>
      </c>
      <c r="AT932" s="60">
        <v>553.82749999999999</v>
      </c>
      <c r="AU932" s="60">
        <v>553.82749999999999</v>
      </c>
      <c r="AV932" s="60">
        <v>553.82749999999999</v>
      </c>
      <c r="AW932" s="60">
        <v>553.82749999999999</v>
      </c>
      <c r="AX932" s="60">
        <v>553.82749999999999</v>
      </c>
      <c r="AY932" s="61">
        <f t="shared" si="385"/>
        <v>3322.9649999999997</v>
      </c>
      <c r="AZ932" s="56">
        <f t="shared" si="380"/>
        <v>6645.9299999999994</v>
      </c>
      <c r="BA932" s="62">
        <f t="shared" si="367"/>
        <v>134415.48000000001</v>
      </c>
      <c r="BB932" s="62">
        <f t="shared" si="386"/>
        <v>114085.48999999999</v>
      </c>
      <c r="BC932" s="62">
        <f t="shared" si="368"/>
        <v>20329.99000000002</v>
      </c>
      <c r="BD932" s="63"/>
      <c r="BE932" s="57"/>
      <c r="BF932" s="35" t="str">
        <f>VLOOKUP(A:A,'2023-2027'!A:G,1,+FALSE)</f>
        <v>Трансформатор ТМ-160 КВА 6/0,4 №641107</v>
      </c>
      <c r="BG932" s="7" t="b">
        <f t="shared" si="388"/>
        <v>1</v>
      </c>
      <c r="BH932" s="35">
        <f>VLOOKUP(A:A,'2023-2027'!A:AT,43,+FALSE)</f>
        <v>560.05999999999983</v>
      </c>
    </row>
    <row r="933" spans="1:60" ht="12" hidden="1" customHeight="1" outlineLevel="1" x14ac:dyDescent="0.2">
      <c r="A933" s="59" t="s">
        <v>2153</v>
      </c>
      <c r="B933" s="59" t="s">
        <v>44</v>
      </c>
      <c r="C933" s="59" t="s">
        <v>82</v>
      </c>
      <c r="D933" s="66" t="s">
        <v>2154</v>
      </c>
      <c r="E933" s="59" t="s">
        <v>440</v>
      </c>
      <c r="F933" s="60">
        <v>82765.77</v>
      </c>
      <c r="G933" s="60">
        <v>61288.41</v>
      </c>
      <c r="H933" s="60">
        <v>21477.360000000001</v>
      </c>
      <c r="I933" s="59"/>
      <c r="J933" s="60">
        <v>4063.2</v>
      </c>
      <c r="K933" s="59"/>
      <c r="L933" s="59"/>
      <c r="M933" s="60">
        <v>82765.77</v>
      </c>
      <c r="N933" s="60">
        <v>65351.61</v>
      </c>
      <c r="O933" s="60">
        <v>17414.16</v>
      </c>
      <c r="P933" s="55"/>
      <c r="Q933" s="55"/>
      <c r="R933" s="61">
        <f t="shared" si="381"/>
        <v>338.59999999999997</v>
      </c>
      <c r="S933" s="60">
        <v>338.6</v>
      </c>
      <c r="T933" s="60">
        <v>338.6</v>
      </c>
      <c r="U933" s="60">
        <v>338.6</v>
      </c>
      <c r="V933" s="60">
        <v>338.6</v>
      </c>
      <c r="W933" s="60">
        <v>338.6</v>
      </c>
      <c r="X933" s="61">
        <f t="shared" si="382"/>
        <v>2031.6</v>
      </c>
      <c r="Y933" s="60">
        <v>338.6</v>
      </c>
      <c r="Z933" s="60">
        <v>338.6</v>
      </c>
      <c r="AA933" s="60">
        <v>338.6</v>
      </c>
      <c r="AB933" s="60">
        <v>338.6</v>
      </c>
      <c r="AC933" s="60">
        <v>338.6</v>
      </c>
      <c r="AD933" s="60">
        <v>338.6</v>
      </c>
      <c r="AE933" s="61">
        <f t="shared" si="383"/>
        <v>2031.6</v>
      </c>
      <c r="AF933" s="62">
        <f t="shared" si="390"/>
        <v>82765.77</v>
      </c>
      <c r="AG933" s="62">
        <f t="shared" si="389"/>
        <v>69414.81000000007</v>
      </c>
      <c r="AH933" s="62">
        <f t="shared" si="387"/>
        <v>13350.959999999934</v>
      </c>
      <c r="AI933" s="63"/>
      <c r="AJ933" s="63"/>
      <c r="AK933" s="62"/>
      <c r="AL933" s="60">
        <v>338.6</v>
      </c>
      <c r="AM933" s="60">
        <v>338.6</v>
      </c>
      <c r="AN933" s="60">
        <v>338.6</v>
      </c>
      <c r="AO933" s="60">
        <v>338.6</v>
      </c>
      <c r="AP933" s="60">
        <v>338.6</v>
      </c>
      <c r="AQ933" s="60">
        <v>338.6</v>
      </c>
      <c r="AR933" s="61">
        <f t="shared" si="384"/>
        <v>2031.6</v>
      </c>
      <c r="AS933" s="60">
        <v>338.6</v>
      </c>
      <c r="AT933" s="60">
        <v>338.6</v>
      </c>
      <c r="AU933" s="60">
        <v>338.6</v>
      </c>
      <c r="AV933" s="60">
        <v>338.6</v>
      </c>
      <c r="AW933" s="60">
        <v>338.6</v>
      </c>
      <c r="AX933" s="60">
        <v>338.6</v>
      </c>
      <c r="AY933" s="61">
        <f t="shared" si="385"/>
        <v>2031.6</v>
      </c>
      <c r="AZ933" s="56">
        <f t="shared" si="380"/>
        <v>4063.2</v>
      </c>
      <c r="BA933" s="62">
        <f t="shared" si="367"/>
        <v>82765.77</v>
      </c>
      <c r="BB933" s="62">
        <f t="shared" si="386"/>
        <v>73478.01000000014</v>
      </c>
      <c r="BC933" s="62">
        <f t="shared" si="368"/>
        <v>9287.7599999998638</v>
      </c>
      <c r="BD933" s="63"/>
      <c r="BE933" s="57"/>
      <c r="BF933" s="35" t="str">
        <f>VLOOKUP(A:A,'2023-2027'!A:G,1,+FALSE)</f>
        <v>Трансформатор ТМ-160/6/0,4</v>
      </c>
      <c r="BG933" s="7" t="b">
        <f t="shared" si="388"/>
        <v>1</v>
      </c>
      <c r="BH933" s="35">
        <f>VLOOKUP(A:A,'2023-2027'!A:AT,43,+FALSE)</f>
        <v>344.86000000000007</v>
      </c>
    </row>
    <row r="934" spans="1:60" ht="24" hidden="1" customHeight="1" outlineLevel="1" x14ac:dyDescent="0.2">
      <c r="A934" s="59" t="s">
        <v>2155</v>
      </c>
      <c r="B934" s="59" t="s">
        <v>44</v>
      </c>
      <c r="C934" s="59" t="s">
        <v>82</v>
      </c>
      <c r="D934" s="66" t="s">
        <v>2156</v>
      </c>
      <c r="E934" s="59" t="s">
        <v>2157</v>
      </c>
      <c r="F934" s="60">
        <v>41151.67</v>
      </c>
      <c r="G934" s="60">
        <v>36079.949999999997</v>
      </c>
      <c r="H934" s="60">
        <v>5071.72</v>
      </c>
      <c r="I934" s="59"/>
      <c r="J934" s="60">
        <v>1698.12</v>
      </c>
      <c r="K934" s="59"/>
      <c r="L934" s="59"/>
      <c r="M934" s="60">
        <v>41151.67</v>
      </c>
      <c r="N934" s="60">
        <v>37778.07</v>
      </c>
      <c r="O934" s="60">
        <v>3373.6</v>
      </c>
      <c r="P934" s="55"/>
      <c r="Q934" s="55"/>
      <c r="R934" s="61">
        <f t="shared" si="381"/>
        <v>141.51</v>
      </c>
      <c r="S934" s="60">
        <v>141.51</v>
      </c>
      <c r="T934" s="60">
        <v>141.51</v>
      </c>
      <c r="U934" s="60">
        <v>141.51</v>
      </c>
      <c r="V934" s="60">
        <v>141.51</v>
      </c>
      <c r="W934" s="60">
        <v>141.51</v>
      </c>
      <c r="X934" s="61">
        <f t="shared" si="382"/>
        <v>849.06</v>
      </c>
      <c r="Y934" s="60">
        <v>141.51</v>
      </c>
      <c r="Z934" s="60">
        <v>141.51</v>
      </c>
      <c r="AA934" s="60">
        <v>141.51</v>
      </c>
      <c r="AB934" s="60">
        <v>141.51</v>
      </c>
      <c r="AC934" s="60">
        <v>141.51</v>
      </c>
      <c r="AD934" s="60">
        <v>141.51</v>
      </c>
      <c r="AE934" s="61">
        <f t="shared" si="383"/>
        <v>849.06</v>
      </c>
      <c r="AF934" s="62">
        <f t="shared" si="390"/>
        <v>41151.67</v>
      </c>
      <c r="AG934" s="62">
        <f t="shared" si="389"/>
        <v>39476.190000000024</v>
      </c>
      <c r="AH934" s="62">
        <f t="shared" si="387"/>
        <v>1675.4799999999741</v>
      </c>
      <c r="AI934" s="63"/>
      <c r="AJ934" s="63"/>
      <c r="AK934" s="62"/>
      <c r="AL934" s="60">
        <v>141.51</v>
      </c>
      <c r="AM934" s="60">
        <v>141.51</v>
      </c>
      <c r="AN934" s="60">
        <v>141.51</v>
      </c>
      <c r="AO934" s="60">
        <v>141.51</v>
      </c>
      <c r="AP934" s="60">
        <v>141.51</v>
      </c>
      <c r="AQ934" s="60">
        <v>141.51</v>
      </c>
      <c r="AR934" s="61">
        <f t="shared" si="384"/>
        <v>849.06</v>
      </c>
      <c r="AS934" s="60">
        <v>141.51</v>
      </c>
      <c r="AT934" s="60">
        <v>141.51</v>
      </c>
      <c r="AU934" s="60">
        <v>141.51</v>
      </c>
      <c r="AV934" s="60">
        <v>141.51</v>
      </c>
      <c r="AW934" s="60">
        <v>141.51</v>
      </c>
      <c r="AX934" s="60">
        <v>118.87</v>
      </c>
      <c r="AY934" s="61">
        <f t="shared" si="385"/>
        <v>826.42</v>
      </c>
      <c r="AZ934" s="56">
        <f t="shared" si="380"/>
        <v>1675.48</v>
      </c>
      <c r="BA934" s="62">
        <f t="shared" si="367"/>
        <v>41151.67</v>
      </c>
      <c r="BB934" s="62">
        <f t="shared" si="386"/>
        <v>41151.670000000049</v>
      </c>
      <c r="BC934" s="62">
        <f t="shared" si="368"/>
        <v>0</v>
      </c>
      <c r="BD934" s="63"/>
      <c r="BE934" s="57"/>
      <c r="BF934" s="35" t="str">
        <f>VLOOKUP(A:A,'2023-2027'!A:G,1,+FALSE)</f>
        <v>Трансформатор ТМ-250-6-0,4  №399099г 2000г выпуск</v>
      </c>
      <c r="BG934" s="7" t="b">
        <f t="shared" si="388"/>
        <v>1</v>
      </c>
      <c r="BH934" s="35">
        <f>VLOOKUP(A:A,'2023-2027'!A:AT,43,+FALSE)</f>
        <v>0</v>
      </c>
    </row>
    <row r="935" spans="1:60" ht="24" hidden="1" customHeight="1" outlineLevel="1" x14ac:dyDescent="0.2">
      <c r="A935" s="59" t="s">
        <v>2158</v>
      </c>
      <c r="B935" s="59" t="s">
        <v>44</v>
      </c>
      <c r="C935" s="59" t="s">
        <v>82</v>
      </c>
      <c r="D935" s="66" t="s">
        <v>2159</v>
      </c>
      <c r="E935" s="59" t="s">
        <v>2160</v>
      </c>
      <c r="F935" s="60">
        <v>47535.41</v>
      </c>
      <c r="G935" s="60">
        <v>21930.35</v>
      </c>
      <c r="H935" s="60">
        <v>25605.06</v>
      </c>
      <c r="I935" s="59"/>
      <c r="J935" s="60">
        <v>4048.68</v>
      </c>
      <c r="K935" s="59"/>
      <c r="L935" s="59"/>
      <c r="M935" s="60">
        <v>47535.41</v>
      </c>
      <c r="N935" s="60">
        <v>25979.03</v>
      </c>
      <c r="O935" s="60">
        <v>21556.38</v>
      </c>
      <c r="P935" s="55"/>
      <c r="Q935" s="55"/>
      <c r="R935" s="61">
        <f t="shared" si="381"/>
        <v>337.39</v>
      </c>
      <c r="S935" s="60">
        <v>337.39</v>
      </c>
      <c r="T935" s="60">
        <v>337.39</v>
      </c>
      <c r="U935" s="60">
        <v>337.39</v>
      </c>
      <c r="V935" s="60">
        <v>337.39</v>
      </c>
      <c r="W935" s="60">
        <v>337.39</v>
      </c>
      <c r="X935" s="61">
        <f t="shared" si="382"/>
        <v>2024.3399999999997</v>
      </c>
      <c r="Y935" s="60">
        <v>337.39</v>
      </c>
      <c r="Z935" s="60">
        <v>337.39</v>
      </c>
      <c r="AA935" s="60">
        <v>337.39</v>
      </c>
      <c r="AB935" s="60">
        <v>337.39</v>
      </c>
      <c r="AC935" s="60">
        <v>337.39</v>
      </c>
      <c r="AD935" s="60">
        <v>337.39</v>
      </c>
      <c r="AE935" s="61">
        <f t="shared" si="383"/>
        <v>2024.3399999999997</v>
      </c>
      <c r="AF935" s="62">
        <f t="shared" si="390"/>
        <v>47535.41</v>
      </c>
      <c r="AG935" s="62">
        <f t="shared" si="389"/>
        <v>30027.709999999992</v>
      </c>
      <c r="AH935" s="62">
        <f t="shared" si="387"/>
        <v>17507.700000000012</v>
      </c>
      <c r="AI935" s="63"/>
      <c r="AJ935" s="63"/>
      <c r="AK935" s="62"/>
      <c r="AL935" s="60">
        <v>337.39</v>
      </c>
      <c r="AM935" s="60">
        <v>337.39</v>
      </c>
      <c r="AN935" s="60">
        <v>337.39</v>
      </c>
      <c r="AO935" s="60">
        <v>337.39</v>
      </c>
      <c r="AP935" s="60">
        <v>337.39</v>
      </c>
      <c r="AQ935" s="60">
        <v>337.39</v>
      </c>
      <c r="AR935" s="61">
        <f t="shared" si="384"/>
        <v>2024.3399999999997</v>
      </c>
      <c r="AS935" s="60">
        <v>337.39</v>
      </c>
      <c r="AT935" s="60">
        <v>337.39</v>
      </c>
      <c r="AU935" s="60">
        <v>337.39</v>
      </c>
      <c r="AV935" s="60">
        <v>337.39</v>
      </c>
      <c r="AW935" s="60">
        <v>337.39</v>
      </c>
      <c r="AX935" s="60">
        <v>337.39</v>
      </c>
      <c r="AY935" s="61">
        <f t="shared" si="385"/>
        <v>2024.3399999999997</v>
      </c>
      <c r="AZ935" s="56">
        <f t="shared" si="380"/>
        <v>4048.6799999999994</v>
      </c>
      <c r="BA935" s="62">
        <f t="shared" si="367"/>
        <v>47535.41</v>
      </c>
      <c r="BB935" s="62">
        <f t="shared" si="386"/>
        <v>34076.389999999985</v>
      </c>
      <c r="BC935" s="62">
        <f t="shared" si="368"/>
        <v>13459.020000000019</v>
      </c>
      <c r="BD935" s="63"/>
      <c r="BE935" s="57"/>
      <c r="BF935" s="35" t="str">
        <f>VLOOKUP(A:A,'2023-2027'!A:G,1,+FALSE)</f>
        <v>Трансформатор ТМ-400 КВА 6/0,4 №30854 2007г</v>
      </c>
      <c r="BG935" s="7" t="b">
        <f t="shared" si="388"/>
        <v>1</v>
      </c>
      <c r="BH935" s="35">
        <f>VLOOKUP(A:A,'2023-2027'!A:AT,43,+FALSE)</f>
        <v>360.11999999999995</v>
      </c>
    </row>
    <row r="936" spans="1:60" ht="24" hidden="1" customHeight="1" outlineLevel="1" x14ac:dyDescent="0.2">
      <c r="A936" s="59" t="s">
        <v>2161</v>
      </c>
      <c r="B936" s="59" t="s">
        <v>44</v>
      </c>
      <c r="C936" s="59" t="s">
        <v>82</v>
      </c>
      <c r="D936" s="66" t="s">
        <v>2162</v>
      </c>
      <c r="E936" s="59" t="s">
        <v>1272</v>
      </c>
      <c r="F936" s="60">
        <v>182634.78</v>
      </c>
      <c r="G936" s="60">
        <v>129487.03999999999</v>
      </c>
      <c r="H936" s="60">
        <v>53147.74</v>
      </c>
      <c r="I936" s="59"/>
      <c r="J936" s="60">
        <v>8981.64</v>
      </c>
      <c r="K936" s="59"/>
      <c r="L936" s="59"/>
      <c r="M936" s="60">
        <v>182634.78</v>
      </c>
      <c r="N936" s="60">
        <v>138468.68</v>
      </c>
      <c r="O936" s="60">
        <v>44166.1</v>
      </c>
      <c r="P936" s="55"/>
      <c r="Q936" s="55"/>
      <c r="R936" s="61">
        <f t="shared" si="381"/>
        <v>748.46999999999991</v>
      </c>
      <c r="S936" s="60">
        <v>748.47</v>
      </c>
      <c r="T936" s="60">
        <v>748.47</v>
      </c>
      <c r="U936" s="60">
        <v>748.47</v>
      </c>
      <c r="V936" s="60">
        <v>748.47</v>
      </c>
      <c r="W936" s="60">
        <v>748.47</v>
      </c>
      <c r="X936" s="61">
        <f t="shared" si="382"/>
        <v>4490.8200000000006</v>
      </c>
      <c r="Y936" s="60">
        <v>748.47</v>
      </c>
      <c r="Z936" s="60">
        <v>748.47</v>
      </c>
      <c r="AA936" s="60">
        <v>748.47</v>
      </c>
      <c r="AB936" s="60">
        <v>748.47</v>
      </c>
      <c r="AC936" s="60">
        <v>748.47</v>
      </c>
      <c r="AD936" s="60">
        <v>748.47</v>
      </c>
      <c r="AE936" s="61">
        <f t="shared" si="383"/>
        <v>4490.8200000000006</v>
      </c>
      <c r="AF936" s="62">
        <f t="shared" si="390"/>
        <v>182634.78</v>
      </c>
      <c r="AG936" s="62">
        <f t="shared" si="389"/>
        <v>147450.32</v>
      </c>
      <c r="AH936" s="62">
        <f t="shared" si="387"/>
        <v>35184.459999999992</v>
      </c>
      <c r="AI936" s="63"/>
      <c r="AJ936" s="63"/>
      <c r="AK936" s="62"/>
      <c r="AL936" s="60">
        <v>748.47</v>
      </c>
      <c r="AM936" s="60">
        <v>748.47</v>
      </c>
      <c r="AN936" s="60">
        <v>748.47</v>
      </c>
      <c r="AO936" s="60">
        <v>748.47</v>
      </c>
      <c r="AP936" s="60">
        <v>748.47</v>
      </c>
      <c r="AQ936" s="60">
        <v>748.47</v>
      </c>
      <c r="AR936" s="61">
        <f t="shared" si="384"/>
        <v>4490.8200000000006</v>
      </c>
      <c r="AS936" s="60">
        <v>748.47</v>
      </c>
      <c r="AT936" s="60">
        <v>748.47</v>
      </c>
      <c r="AU936" s="60">
        <v>748.47</v>
      </c>
      <c r="AV936" s="60">
        <v>748.47</v>
      </c>
      <c r="AW936" s="60">
        <v>748.47</v>
      </c>
      <c r="AX936" s="60">
        <v>748.47</v>
      </c>
      <c r="AY936" s="61">
        <f t="shared" si="385"/>
        <v>4490.8200000000006</v>
      </c>
      <c r="AZ936" s="56">
        <f t="shared" si="380"/>
        <v>8981.6400000000012</v>
      </c>
      <c r="BA936" s="62">
        <f t="shared" si="367"/>
        <v>182634.78</v>
      </c>
      <c r="BB936" s="62">
        <f t="shared" si="386"/>
        <v>156431.96000000002</v>
      </c>
      <c r="BC936" s="62">
        <f t="shared" si="368"/>
        <v>26202.819999999978</v>
      </c>
      <c r="BD936" s="63"/>
      <c r="BE936" s="57"/>
      <c r="BF936" s="35" t="str">
        <f>VLOOKUP(A:A,'2023-2027'!A:G,1,+FALSE)</f>
        <v>Трансформатор ТМ-400 КВА 6/0,4 №5909 2007г</v>
      </c>
      <c r="BG936" s="7" t="b">
        <f t="shared" si="388"/>
        <v>1</v>
      </c>
      <c r="BH936" s="35">
        <f>VLOOKUP(A:A,'2023-2027'!A:AT,43,+FALSE)</f>
        <v>760.9799999999999</v>
      </c>
    </row>
    <row r="937" spans="1:60" ht="24" hidden="1" customHeight="1" outlineLevel="1" x14ac:dyDescent="0.2">
      <c r="A937" s="59" t="s">
        <v>2489</v>
      </c>
      <c r="B937" s="59" t="s">
        <v>44</v>
      </c>
      <c r="C937" s="59" t="s">
        <v>82</v>
      </c>
      <c r="D937" s="66" t="s">
        <v>2163</v>
      </c>
      <c r="E937" s="59" t="s">
        <v>1272</v>
      </c>
      <c r="F937" s="60">
        <v>182634.77</v>
      </c>
      <c r="G937" s="60">
        <v>129487.03999999999</v>
      </c>
      <c r="H937" s="60">
        <v>53147.73</v>
      </c>
      <c r="I937" s="59"/>
      <c r="J937" s="60">
        <v>8981.64</v>
      </c>
      <c r="K937" s="59"/>
      <c r="L937" s="59"/>
      <c r="M937" s="60">
        <v>182634.77</v>
      </c>
      <c r="N937" s="60">
        <v>138468.68</v>
      </c>
      <c r="O937" s="60">
        <v>44166.09</v>
      </c>
      <c r="P937" s="55"/>
      <c r="Q937" s="55"/>
      <c r="R937" s="61">
        <f t="shared" si="381"/>
        <v>748.46999999999991</v>
      </c>
      <c r="S937" s="60">
        <v>748.47</v>
      </c>
      <c r="T937" s="60">
        <v>748.47</v>
      </c>
      <c r="U937" s="60">
        <v>748.47</v>
      </c>
      <c r="V937" s="60">
        <v>748.47</v>
      </c>
      <c r="W937" s="60">
        <v>748.47</v>
      </c>
      <c r="X937" s="61">
        <f t="shared" si="382"/>
        <v>4490.8200000000006</v>
      </c>
      <c r="Y937" s="60">
        <v>748.47</v>
      </c>
      <c r="Z937" s="60">
        <v>748.47</v>
      </c>
      <c r="AA937" s="60">
        <v>748.47</v>
      </c>
      <c r="AB937" s="60">
        <v>748.47</v>
      </c>
      <c r="AC937" s="60">
        <v>748.47</v>
      </c>
      <c r="AD937" s="60">
        <v>748.47</v>
      </c>
      <c r="AE937" s="61">
        <f t="shared" si="383"/>
        <v>4490.8200000000006</v>
      </c>
      <c r="AF937" s="62">
        <f t="shared" si="390"/>
        <v>182634.77</v>
      </c>
      <c r="AG937" s="62">
        <f t="shared" si="389"/>
        <v>147450.32</v>
      </c>
      <c r="AH937" s="62">
        <f t="shared" si="387"/>
        <v>35184.449999999983</v>
      </c>
      <c r="AI937" s="63"/>
      <c r="AJ937" s="63"/>
      <c r="AK937" s="62"/>
      <c r="AL937" s="60">
        <v>748.47</v>
      </c>
      <c r="AM937" s="60">
        <v>748.47</v>
      </c>
      <c r="AN937" s="60">
        <v>748.47</v>
      </c>
      <c r="AO937" s="60">
        <v>748.47</v>
      </c>
      <c r="AP937" s="60">
        <v>748.47</v>
      </c>
      <c r="AQ937" s="60">
        <v>748.47</v>
      </c>
      <c r="AR937" s="61">
        <f t="shared" si="384"/>
        <v>4490.8200000000006</v>
      </c>
      <c r="AS937" s="60">
        <v>748.47</v>
      </c>
      <c r="AT937" s="60">
        <v>748.47</v>
      </c>
      <c r="AU937" s="60">
        <v>748.47</v>
      </c>
      <c r="AV937" s="60">
        <v>748.47</v>
      </c>
      <c r="AW937" s="60">
        <v>748.47</v>
      </c>
      <c r="AX937" s="60">
        <v>748.47</v>
      </c>
      <c r="AY937" s="61">
        <f t="shared" si="385"/>
        <v>4490.8200000000006</v>
      </c>
      <c r="AZ937" s="56">
        <f t="shared" si="380"/>
        <v>8981.6400000000012</v>
      </c>
      <c r="BA937" s="62">
        <f t="shared" ref="BA937:BA1000" si="391">AF937</f>
        <v>182634.77</v>
      </c>
      <c r="BB937" s="62">
        <f t="shared" si="386"/>
        <v>156431.96000000002</v>
      </c>
      <c r="BC937" s="62">
        <f t="shared" ref="BC937:BC1000" si="392">BA937-BB937</f>
        <v>26202.809999999969</v>
      </c>
      <c r="BD937" s="63"/>
      <c r="BE937" s="57"/>
      <c r="BF937" s="35" t="str">
        <f>VLOOKUP(A:A,'2023-2027'!A:G,1,+FALSE)</f>
        <v>Трансформатор ТМ-400 КВА6/0,4 №3192 2007г</v>
      </c>
      <c r="BG937" s="7" t="b">
        <f t="shared" si="388"/>
        <v>1</v>
      </c>
      <c r="BH937" s="35">
        <f>VLOOKUP(A:A,'2023-2027'!A:AT,43,+FALSE)</f>
        <v>760.9799999999999</v>
      </c>
    </row>
    <row r="938" spans="1:60" ht="24" hidden="1" customHeight="1" outlineLevel="1" x14ac:dyDescent="0.2">
      <c r="A938" s="59" t="s">
        <v>2164</v>
      </c>
      <c r="B938" s="59" t="s">
        <v>44</v>
      </c>
      <c r="C938" s="59" t="s">
        <v>82</v>
      </c>
      <c r="D938" s="66" t="s">
        <v>2165</v>
      </c>
      <c r="E938" s="59" t="s">
        <v>1116</v>
      </c>
      <c r="F938" s="60">
        <v>225395.68</v>
      </c>
      <c r="G938" s="60">
        <v>192742.68</v>
      </c>
      <c r="H938" s="60">
        <v>32653</v>
      </c>
      <c r="I938" s="59"/>
      <c r="J938" s="60">
        <v>14826.48</v>
      </c>
      <c r="K938" s="59"/>
      <c r="L938" s="59"/>
      <c r="M938" s="60">
        <v>225395.68</v>
      </c>
      <c r="N938" s="60">
        <v>207569.16</v>
      </c>
      <c r="O938" s="60">
        <v>17826.52</v>
      </c>
      <c r="P938" s="55"/>
      <c r="Q938" s="55"/>
      <c r="R938" s="61">
        <f t="shared" si="381"/>
        <v>1235.54</v>
      </c>
      <c r="S938" s="60">
        <v>1235.54</v>
      </c>
      <c r="T938" s="60">
        <v>1235.54</v>
      </c>
      <c r="U938" s="60">
        <v>1235.54</v>
      </c>
      <c r="V938" s="60">
        <v>1235.54</v>
      </c>
      <c r="W938" s="60">
        <v>1235.54</v>
      </c>
      <c r="X938" s="61">
        <f t="shared" si="382"/>
        <v>7413.24</v>
      </c>
      <c r="Y938" s="60">
        <v>1235.54</v>
      </c>
      <c r="Z938" s="60">
        <v>1235.54</v>
      </c>
      <c r="AA938" s="60">
        <v>1235.54</v>
      </c>
      <c r="AB938" s="60">
        <v>1235.54</v>
      </c>
      <c r="AC938" s="60">
        <v>1235.54</v>
      </c>
      <c r="AD938" s="60">
        <v>1235.54</v>
      </c>
      <c r="AE938" s="61">
        <f t="shared" si="383"/>
        <v>7413.24</v>
      </c>
      <c r="AF938" s="62">
        <f t="shared" si="390"/>
        <v>225395.68</v>
      </c>
      <c r="AG938" s="62">
        <f t="shared" si="389"/>
        <v>222395.6400000001</v>
      </c>
      <c r="AH938" s="62">
        <f t="shared" si="387"/>
        <v>3000.0399999998917</v>
      </c>
      <c r="AI938" s="63"/>
      <c r="AJ938" s="63"/>
      <c r="AK938" s="62"/>
      <c r="AL938" s="60">
        <v>1235.54</v>
      </c>
      <c r="AM938" s="60">
        <v>1235.54</v>
      </c>
      <c r="AN938" s="60">
        <v>528.96</v>
      </c>
      <c r="AO938" s="60"/>
      <c r="AP938" s="60"/>
      <c r="AQ938" s="60"/>
      <c r="AR938" s="61">
        <f t="shared" si="384"/>
        <v>3000.04</v>
      </c>
      <c r="AS938" s="60"/>
      <c r="AT938" s="60"/>
      <c r="AU938" s="60"/>
      <c r="AV938" s="60"/>
      <c r="AW938" s="60"/>
      <c r="AX938" s="60"/>
      <c r="AY938" s="61">
        <f t="shared" si="385"/>
        <v>0</v>
      </c>
      <c r="AZ938" s="56">
        <f t="shared" si="380"/>
        <v>3000.04</v>
      </c>
      <c r="BA938" s="62">
        <f t="shared" si="391"/>
        <v>225395.68</v>
      </c>
      <c r="BB938" s="62">
        <f t="shared" si="386"/>
        <v>225395.68000000011</v>
      </c>
      <c r="BC938" s="62">
        <f t="shared" si="392"/>
        <v>0</v>
      </c>
      <c r="BD938" s="63"/>
      <c r="BE938" s="57"/>
      <c r="BF938" s="35" t="str">
        <f>VLOOKUP(A:A,'2023-2027'!A:G,1,+FALSE)</f>
        <v>Трансформатор ТМ400/6 №1510715 (ТП №65 с 18.08.09)</v>
      </c>
      <c r="BG938" s="7" t="b">
        <f t="shared" si="388"/>
        <v>1</v>
      </c>
      <c r="BH938" s="35">
        <f>VLOOKUP(A:A,'2023-2027'!A:AT,43,+FALSE)</f>
        <v>1252.2000000000003</v>
      </c>
    </row>
    <row r="939" spans="1:60" ht="24" hidden="1" customHeight="1" outlineLevel="1" x14ac:dyDescent="0.2">
      <c r="A939" s="59" t="s">
        <v>2166</v>
      </c>
      <c r="B939" s="59" t="s">
        <v>44</v>
      </c>
      <c r="C939" s="59" t="s">
        <v>82</v>
      </c>
      <c r="D939" s="66" t="s">
        <v>2167</v>
      </c>
      <c r="E939" s="59" t="s">
        <v>440</v>
      </c>
      <c r="F939" s="60">
        <v>115398.53</v>
      </c>
      <c r="G939" s="60">
        <v>85898.98</v>
      </c>
      <c r="H939" s="60">
        <v>29499.55</v>
      </c>
      <c r="I939" s="59"/>
      <c r="J939" s="60">
        <v>5694.84</v>
      </c>
      <c r="K939" s="59"/>
      <c r="L939" s="59"/>
      <c r="M939" s="60">
        <v>115398.53</v>
      </c>
      <c r="N939" s="60">
        <v>91593.82</v>
      </c>
      <c r="O939" s="60">
        <v>23804.71</v>
      </c>
      <c r="P939" s="55"/>
      <c r="Q939" s="55"/>
      <c r="R939" s="61">
        <f t="shared" si="381"/>
        <v>474.57</v>
      </c>
      <c r="S939" s="60">
        <v>474.57</v>
      </c>
      <c r="T939" s="60">
        <v>474.57</v>
      </c>
      <c r="U939" s="60">
        <v>474.57</v>
      </c>
      <c r="V939" s="60">
        <v>474.57</v>
      </c>
      <c r="W939" s="60">
        <v>474.57</v>
      </c>
      <c r="X939" s="61">
        <f t="shared" si="382"/>
        <v>2847.42</v>
      </c>
      <c r="Y939" s="60">
        <v>474.57</v>
      </c>
      <c r="Z939" s="60">
        <v>474.57</v>
      </c>
      <c r="AA939" s="60">
        <v>474.57</v>
      </c>
      <c r="AB939" s="60">
        <v>474.57</v>
      </c>
      <c r="AC939" s="60">
        <v>474.57</v>
      </c>
      <c r="AD939" s="60">
        <v>474.57</v>
      </c>
      <c r="AE939" s="61">
        <f t="shared" si="383"/>
        <v>2847.42</v>
      </c>
      <c r="AF939" s="62">
        <f t="shared" si="390"/>
        <v>115398.53</v>
      </c>
      <c r="AG939" s="62">
        <f t="shared" si="389"/>
        <v>97288.660000000091</v>
      </c>
      <c r="AH939" s="62">
        <f t="shared" si="387"/>
        <v>18109.869999999908</v>
      </c>
      <c r="AI939" s="63"/>
      <c r="AJ939" s="63"/>
      <c r="AK939" s="62"/>
      <c r="AL939" s="60">
        <v>474.57</v>
      </c>
      <c r="AM939" s="60">
        <v>474.57</v>
      </c>
      <c r="AN939" s="60">
        <v>474.57</v>
      </c>
      <c r="AO939" s="60">
        <v>474.57</v>
      </c>
      <c r="AP939" s="60">
        <v>474.57</v>
      </c>
      <c r="AQ939" s="60">
        <v>474.57</v>
      </c>
      <c r="AR939" s="61">
        <f t="shared" si="384"/>
        <v>2847.42</v>
      </c>
      <c r="AS939" s="60">
        <v>474.57</v>
      </c>
      <c r="AT939" s="60">
        <v>474.57</v>
      </c>
      <c r="AU939" s="60">
        <v>474.57</v>
      </c>
      <c r="AV939" s="60">
        <v>474.57</v>
      </c>
      <c r="AW939" s="60">
        <v>474.57</v>
      </c>
      <c r="AX939" s="60">
        <v>474.57</v>
      </c>
      <c r="AY939" s="61">
        <f t="shared" si="385"/>
        <v>2847.42</v>
      </c>
      <c r="AZ939" s="56">
        <f t="shared" si="380"/>
        <v>5694.84</v>
      </c>
      <c r="BA939" s="62">
        <f t="shared" si="391"/>
        <v>115398.53</v>
      </c>
      <c r="BB939" s="62">
        <f t="shared" si="386"/>
        <v>102983.50000000017</v>
      </c>
      <c r="BC939" s="62">
        <f t="shared" si="392"/>
        <v>12415.029999999824</v>
      </c>
      <c r="BD939" s="63"/>
      <c r="BE939" s="57"/>
      <c r="BF939" s="35" t="str">
        <f>VLOOKUP(A:A,'2023-2027'!A:G,1,+FALSE)</f>
        <v>Трансформатор ТМГ-160/6 1379549</v>
      </c>
      <c r="BG939" s="7" t="b">
        <f t="shared" si="388"/>
        <v>1</v>
      </c>
      <c r="BH939" s="35">
        <f>VLOOKUP(A:A,'2023-2027'!A:AT,43,+FALSE)</f>
        <v>480.83</v>
      </c>
    </row>
    <row r="940" spans="1:60" ht="24" hidden="1" customHeight="1" outlineLevel="1" x14ac:dyDescent="0.2">
      <c r="A940" s="59" t="s">
        <v>2490</v>
      </c>
      <c r="B940" s="59" t="s">
        <v>44</v>
      </c>
      <c r="C940" s="59" t="s">
        <v>82</v>
      </c>
      <c r="D940" s="66" t="s">
        <v>2168</v>
      </c>
      <c r="E940" s="59" t="s">
        <v>440</v>
      </c>
      <c r="F940" s="60">
        <v>115398.54</v>
      </c>
      <c r="G940" s="60">
        <v>85898.98</v>
      </c>
      <c r="H940" s="60">
        <v>29499.56</v>
      </c>
      <c r="I940" s="59"/>
      <c r="J940" s="60">
        <v>5694.84</v>
      </c>
      <c r="K940" s="59"/>
      <c r="L940" s="59"/>
      <c r="M940" s="60">
        <v>115398.54</v>
      </c>
      <c r="N940" s="60">
        <v>91593.82</v>
      </c>
      <c r="O940" s="60">
        <v>23804.720000000001</v>
      </c>
      <c r="P940" s="55"/>
      <c r="Q940" s="55"/>
      <c r="R940" s="61">
        <f t="shared" si="381"/>
        <v>474.57</v>
      </c>
      <c r="S940" s="60">
        <v>474.57</v>
      </c>
      <c r="T940" s="60">
        <v>474.57</v>
      </c>
      <c r="U940" s="60">
        <v>474.57</v>
      </c>
      <c r="V940" s="60">
        <v>474.57</v>
      </c>
      <c r="W940" s="60">
        <v>474.57</v>
      </c>
      <c r="X940" s="61">
        <f t="shared" si="382"/>
        <v>2847.42</v>
      </c>
      <c r="Y940" s="60">
        <v>474.57</v>
      </c>
      <c r="Z940" s="60">
        <v>474.57</v>
      </c>
      <c r="AA940" s="60">
        <v>474.57</v>
      </c>
      <c r="AB940" s="60">
        <v>474.57</v>
      </c>
      <c r="AC940" s="60">
        <v>474.57</v>
      </c>
      <c r="AD940" s="60">
        <v>474.57</v>
      </c>
      <c r="AE940" s="61">
        <f t="shared" si="383"/>
        <v>2847.42</v>
      </c>
      <c r="AF940" s="62">
        <f t="shared" si="390"/>
        <v>115398.54</v>
      </c>
      <c r="AG940" s="62">
        <f t="shared" si="389"/>
        <v>97288.660000000091</v>
      </c>
      <c r="AH940" s="62">
        <f t="shared" si="387"/>
        <v>18109.879999999903</v>
      </c>
      <c r="AI940" s="63"/>
      <c r="AJ940" s="63"/>
      <c r="AK940" s="62"/>
      <c r="AL940" s="60">
        <v>474.57</v>
      </c>
      <c r="AM940" s="60">
        <v>474.57</v>
      </c>
      <c r="AN940" s="60">
        <v>474.57</v>
      </c>
      <c r="AO940" s="60">
        <v>474.57</v>
      </c>
      <c r="AP940" s="60">
        <v>474.57</v>
      </c>
      <c r="AQ940" s="60">
        <v>474.57</v>
      </c>
      <c r="AR940" s="61">
        <f t="shared" si="384"/>
        <v>2847.42</v>
      </c>
      <c r="AS940" s="60">
        <v>474.57</v>
      </c>
      <c r="AT940" s="60">
        <v>474.57</v>
      </c>
      <c r="AU940" s="60">
        <v>474.57</v>
      </c>
      <c r="AV940" s="60">
        <v>474.57</v>
      </c>
      <c r="AW940" s="60">
        <v>474.57</v>
      </c>
      <c r="AX940" s="60">
        <v>474.57</v>
      </c>
      <c r="AY940" s="61">
        <f t="shared" si="385"/>
        <v>2847.42</v>
      </c>
      <c r="AZ940" s="56">
        <f t="shared" si="380"/>
        <v>5694.84</v>
      </c>
      <c r="BA940" s="62">
        <f t="shared" si="391"/>
        <v>115398.54</v>
      </c>
      <c r="BB940" s="62">
        <f t="shared" si="386"/>
        <v>102983.50000000017</v>
      </c>
      <c r="BC940" s="62">
        <f t="shared" si="392"/>
        <v>12415.039999999819</v>
      </c>
      <c r="BD940" s="63"/>
      <c r="BE940" s="57"/>
      <c r="BF940" s="35" t="str">
        <f>VLOOKUP(A:A,'2023-2027'!A:G,1,+FALSE)</f>
        <v>Трансформатор ТМГ-160/6 №1 №146100</v>
      </c>
      <c r="BG940" s="7" t="b">
        <f t="shared" si="388"/>
        <v>1</v>
      </c>
      <c r="BH940" s="35">
        <f>VLOOKUP(A:A,'2023-2027'!A:AT,43,+FALSE)</f>
        <v>480.83</v>
      </c>
    </row>
    <row r="941" spans="1:60" ht="24" hidden="1" customHeight="1" outlineLevel="1" x14ac:dyDescent="0.2">
      <c r="A941" s="59" t="s">
        <v>2169</v>
      </c>
      <c r="B941" s="59" t="s">
        <v>44</v>
      </c>
      <c r="C941" s="59" t="s">
        <v>82</v>
      </c>
      <c r="D941" s="66" t="s">
        <v>2170</v>
      </c>
      <c r="E941" s="59" t="s">
        <v>1601</v>
      </c>
      <c r="F941" s="60">
        <v>49315.5</v>
      </c>
      <c r="G941" s="60">
        <v>42617.04</v>
      </c>
      <c r="H941" s="60">
        <v>6698.46</v>
      </c>
      <c r="I941" s="59"/>
      <c r="J941" s="60">
        <v>2079.36</v>
      </c>
      <c r="K941" s="59"/>
      <c r="L941" s="59"/>
      <c r="M941" s="60">
        <v>49315.5</v>
      </c>
      <c r="N941" s="60">
        <v>44696.4</v>
      </c>
      <c r="O941" s="60">
        <v>4619.1000000000004</v>
      </c>
      <c r="P941" s="55"/>
      <c r="Q941" s="55"/>
      <c r="R941" s="61">
        <f t="shared" si="381"/>
        <v>173.28</v>
      </c>
      <c r="S941" s="60">
        <v>173.28</v>
      </c>
      <c r="T941" s="60">
        <v>173.28</v>
      </c>
      <c r="U941" s="60">
        <v>173.28</v>
      </c>
      <c r="V941" s="60">
        <v>173.28</v>
      </c>
      <c r="W941" s="60">
        <v>173.28</v>
      </c>
      <c r="X941" s="61">
        <f t="shared" si="382"/>
        <v>1039.68</v>
      </c>
      <c r="Y941" s="60">
        <v>173.28</v>
      </c>
      <c r="Z941" s="60">
        <v>173.28</v>
      </c>
      <c r="AA941" s="60">
        <v>173.28</v>
      </c>
      <c r="AB941" s="60">
        <v>173.28</v>
      </c>
      <c r="AC941" s="60">
        <v>173.28</v>
      </c>
      <c r="AD941" s="60">
        <v>173.28</v>
      </c>
      <c r="AE941" s="61">
        <f t="shared" si="383"/>
        <v>1039.68</v>
      </c>
      <c r="AF941" s="62">
        <f t="shared" si="390"/>
        <v>49315.5</v>
      </c>
      <c r="AG941" s="62">
        <f t="shared" si="389"/>
        <v>46775.759999999987</v>
      </c>
      <c r="AH941" s="62">
        <f t="shared" si="387"/>
        <v>2539.7400000000125</v>
      </c>
      <c r="AI941" s="63"/>
      <c r="AJ941" s="63"/>
      <c r="AK941" s="62"/>
      <c r="AL941" s="60">
        <v>173.28</v>
      </c>
      <c r="AM941" s="60">
        <v>173.28</v>
      </c>
      <c r="AN941" s="60">
        <v>173.28</v>
      </c>
      <c r="AO941" s="60">
        <v>173.28</v>
      </c>
      <c r="AP941" s="60">
        <v>173.28</v>
      </c>
      <c r="AQ941" s="60">
        <v>173.28</v>
      </c>
      <c r="AR941" s="61">
        <f t="shared" si="384"/>
        <v>1039.68</v>
      </c>
      <c r="AS941" s="60">
        <v>173.28</v>
      </c>
      <c r="AT941" s="60">
        <v>173.28</v>
      </c>
      <c r="AU941" s="60">
        <v>173.28</v>
      </c>
      <c r="AV941" s="60">
        <v>173.28</v>
      </c>
      <c r="AW941" s="60">
        <v>173.28</v>
      </c>
      <c r="AX941" s="60">
        <v>173.28</v>
      </c>
      <c r="AY941" s="61">
        <f t="shared" si="385"/>
        <v>1039.68</v>
      </c>
      <c r="AZ941" s="56">
        <f t="shared" si="380"/>
        <v>2079.36</v>
      </c>
      <c r="BA941" s="62">
        <f t="shared" si="391"/>
        <v>49315.5</v>
      </c>
      <c r="BB941" s="62">
        <f t="shared" si="386"/>
        <v>48855.119999999974</v>
      </c>
      <c r="BC941" s="62">
        <f t="shared" si="392"/>
        <v>460.38000000002648</v>
      </c>
      <c r="BD941" s="63"/>
      <c r="BE941" s="57"/>
      <c r="BF941" s="35" t="str">
        <f>VLOOKUP(A:A,'2023-2027'!A:G,1,+FALSE)</f>
        <v>Трансформатор ТМГ-160/6-0,4 №145970 2001г выпуска</v>
      </c>
      <c r="BG941" s="7" t="b">
        <f t="shared" si="388"/>
        <v>1</v>
      </c>
      <c r="BH941" s="35">
        <f>VLOOKUP(A:A,'2023-2027'!A:AT,43,+FALSE)</f>
        <v>178.68000000000004</v>
      </c>
    </row>
    <row r="942" spans="1:60" ht="24" hidden="1" customHeight="1" outlineLevel="1" x14ac:dyDescent="0.2">
      <c r="A942" s="59" t="s">
        <v>2171</v>
      </c>
      <c r="B942" s="59" t="s">
        <v>44</v>
      </c>
      <c r="C942" s="59" t="s">
        <v>82</v>
      </c>
      <c r="D942" s="66" t="s">
        <v>2172</v>
      </c>
      <c r="E942" s="59" t="s">
        <v>2173</v>
      </c>
      <c r="F942" s="60">
        <v>167330.70000000001</v>
      </c>
      <c r="G942" s="60">
        <v>24413.919999999998</v>
      </c>
      <c r="H942" s="60">
        <v>142916.78</v>
      </c>
      <c r="I942" s="59"/>
      <c r="J942" s="60">
        <v>5527.68</v>
      </c>
      <c r="K942" s="59"/>
      <c r="L942" s="59"/>
      <c r="M942" s="60">
        <v>167330.70000000001</v>
      </c>
      <c r="N942" s="60">
        <v>29941.599999999999</v>
      </c>
      <c r="O942" s="60">
        <v>137389.1</v>
      </c>
      <c r="P942" s="55"/>
      <c r="Q942" s="55"/>
      <c r="R942" s="61">
        <f t="shared" si="381"/>
        <v>460.64000000000004</v>
      </c>
      <c r="S942" s="60">
        <v>460.64</v>
      </c>
      <c r="T942" s="60">
        <v>460.64</v>
      </c>
      <c r="U942" s="60">
        <v>460.64</v>
      </c>
      <c r="V942" s="60">
        <v>460.64</v>
      </c>
      <c r="W942" s="60">
        <v>460.64</v>
      </c>
      <c r="X942" s="61">
        <f t="shared" si="382"/>
        <v>2763.8399999999997</v>
      </c>
      <c r="Y942" s="60">
        <v>460.64</v>
      </c>
      <c r="Z942" s="60">
        <v>460.64</v>
      </c>
      <c r="AA942" s="60">
        <v>460.64</v>
      </c>
      <c r="AB942" s="60">
        <v>460.64</v>
      </c>
      <c r="AC942" s="60">
        <v>460.64</v>
      </c>
      <c r="AD942" s="60">
        <v>460.64</v>
      </c>
      <c r="AE942" s="61">
        <f t="shared" si="383"/>
        <v>2763.8399999999997</v>
      </c>
      <c r="AF942" s="62">
        <f t="shared" si="390"/>
        <v>167330.70000000001</v>
      </c>
      <c r="AG942" s="62">
        <f t="shared" si="389"/>
        <v>35469.279999999992</v>
      </c>
      <c r="AH942" s="62">
        <f t="shared" si="387"/>
        <v>131861.42000000001</v>
      </c>
      <c r="AI942" s="63"/>
      <c r="AJ942" s="63"/>
      <c r="AK942" s="62"/>
      <c r="AL942" s="60">
        <v>460.64</v>
      </c>
      <c r="AM942" s="60">
        <v>460.64</v>
      </c>
      <c r="AN942" s="60">
        <v>460.64</v>
      </c>
      <c r="AO942" s="60">
        <v>460.64</v>
      </c>
      <c r="AP942" s="60">
        <v>460.64</v>
      </c>
      <c r="AQ942" s="60">
        <v>460.64</v>
      </c>
      <c r="AR942" s="61">
        <f t="shared" si="384"/>
        <v>2763.8399999999997</v>
      </c>
      <c r="AS942" s="60">
        <v>460.64</v>
      </c>
      <c r="AT942" s="60">
        <v>460.64</v>
      </c>
      <c r="AU942" s="60">
        <v>460.64</v>
      </c>
      <c r="AV942" s="60">
        <v>460.64</v>
      </c>
      <c r="AW942" s="60">
        <v>460.64</v>
      </c>
      <c r="AX942" s="60">
        <v>460.64</v>
      </c>
      <c r="AY942" s="61">
        <f t="shared" si="385"/>
        <v>2763.8399999999997</v>
      </c>
      <c r="AZ942" s="56">
        <f t="shared" si="380"/>
        <v>5527.6799999999994</v>
      </c>
      <c r="BA942" s="62">
        <f t="shared" si="391"/>
        <v>167330.70000000001</v>
      </c>
      <c r="BB942" s="62">
        <f t="shared" si="386"/>
        <v>40996.959999999985</v>
      </c>
      <c r="BC942" s="62">
        <f t="shared" si="392"/>
        <v>126333.74000000002</v>
      </c>
      <c r="BD942" s="63"/>
      <c r="BE942" s="57"/>
      <c r="BF942" s="35" t="str">
        <f>VLOOKUP(A:A,'2023-2027'!A:G,1,+FALSE)</f>
        <v>Трансформатор ТМГ-160/6/0,4 зав.№003703Y</v>
      </c>
      <c r="BG942" s="7" t="b">
        <f t="shared" si="388"/>
        <v>1</v>
      </c>
      <c r="BH942" s="35">
        <f>VLOOKUP(A:A,'2023-2027'!A:AT,43,+FALSE)</f>
        <v>464.81000000000012</v>
      </c>
    </row>
    <row r="943" spans="1:60" ht="36" hidden="1" customHeight="1" outlineLevel="1" x14ac:dyDescent="0.2">
      <c r="A943" s="59" t="s">
        <v>2174</v>
      </c>
      <c r="B943" s="59" t="s">
        <v>44</v>
      </c>
      <c r="C943" s="59" t="s">
        <v>82</v>
      </c>
      <c r="D943" s="66" t="s">
        <v>2175</v>
      </c>
      <c r="E943" s="59" t="s">
        <v>1351</v>
      </c>
      <c r="F943" s="60">
        <v>138983.32999999999</v>
      </c>
      <c r="G943" s="60">
        <v>11075.1</v>
      </c>
      <c r="H943" s="60">
        <v>127908.23</v>
      </c>
      <c r="I943" s="59"/>
      <c r="J943" s="60">
        <v>4582.8</v>
      </c>
      <c r="K943" s="59"/>
      <c r="L943" s="59"/>
      <c r="M943" s="60">
        <v>138983.32999999999</v>
      </c>
      <c r="N943" s="60">
        <v>15657.9</v>
      </c>
      <c r="O943" s="60">
        <v>123325.43</v>
      </c>
      <c r="P943" s="55"/>
      <c r="Q943" s="55"/>
      <c r="R943" s="61">
        <f t="shared" si="381"/>
        <v>381.90000000000003</v>
      </c>
      <c r="S943" s="60">
        <v>381.9</v>
      </c>
      <c r="T943" s="60">
        <v>381.9</v>
      </c>
      <c r="U943" s="60">
        <v>381.9</v>
      </c>
      <c r="V943" s="60">
        <v>381.9</v>
      </c>
      <c r="W943" s="60">
        <v>381.9</v>
      </c>
      <c r="X943" s="61">
        <f t="shared" si="382"/>
        <v>2291.4</v>
      </c>
      <c r="Y943" s="60">
        <v>381.9</v>
      </c>
      <c r="Z943" s="60">
        <v>381.9</v>
      </c>
      <c r="AA943" s="60">
        <v>381.9</v>
      </c>
      <c r="AB943" s="60">
        <v>381.9</v>
      </c>
      <c r="AC943" s="60">
        <v>381.9</v>
      </c>
      <c r="AD943" s="60">
        <v>381.9</v>
      </c>
      <c r="AE943" s="61">
        <f t="shared" si="383"/>
        <v>2291.4</v>
      </c>
      <c r="AF943" s="62">
        <f t="shared" si="390"/>
        <v>138983.32999999999</v>
      </c>
      <c r="AG943" s="62">
        <f t="shared" si="389"/>
        <v>20240.700000000015</v>
      </c>
      <c r="AH943" s="62">
        <f t="shared" si="387"/>
        <v>118742.62999999998</v>
      </c>
      <c r="AI943" s="63"/>
      <c r="AJ943" s="63"/>
      <c r="AK943" s="62"/>
      <c r="AL943" s="60">
        <v>381.9</v>
      </c>
      <c r="AM943" s="60">
        <v>381.9</v>
      </c>
      <c r="AN943" s="60">
        <v>381.9</v>
      </c>
      <c r="AO943" s="60">
        <v>381.9</v>
      </c>
      <c r="AP943" s="60">
        <v>381.9</v>
      </c>
      <c r="AQ943" s="60">
        <v>381.9</v>
      </c>
      <c r="AR943" s="61">
        <f t="shared" si="384"/>
        <v>2291.4</v>
      </c>
      <c r="AS943" s="60">
        <v>381.9</v>
      </c>
      <c r="AT943" s="60">
        <v>381.9</v>
      </c>
      <c r="AU943" s="60">
        <v>381.9</v>
      </c>
      <c r="AV943" s="60">
        <v>381.9</v>
      </c>
      <c r="AW943" s="60">
        <v>381.9</v>
      </c>
      <c r="AX943" s="60">
        <v>381.9</v>
      </c>
      <c r="AY943" s="61">
        <f t="shared" si="385"/>
        <v>2291.4</v>
      </c>
      <c r="AZ943" s="56">
        <f t="shared" si="380"/>
        <v>4582.8</v>
      </c>
      <c r="BA943" s="62">
        <f t="shared" si="391"/>
        <v>138983.32999999999</v>
      </c>
      <c r="BB943" s="62">
        <f t="shared" si="386"/>
        <v>24823.500000000033</v>
      </c>
      <c r="BC943" s="62">
        <f t="shared" si="392"/>
        <v>114159.82999999996</v>
      </c>
      <c r="BD943" s="63"/>
      <c r="BE943" s="57"/>
      <c r="BF943" s="35" t="str">
        <f>VLOOKUP(A:A,'2023-2027'!A:G,1,+FALSE)</f>
        <v>Трансформатор ТМГ-160/6/6/0,4 схема и группа соединений Д/Ун-11 зав. 13417</v>
      </c>
      <c r="BG943" s="7" t="b">
        <f t="shared" si="388"/>
        <v>1</v>
      </c>
      <c r="BH943" s="35">
        <f>VLOOKUP(A:A,'2023-2027'!A:AT,43,+FALSE)</f>
        <v>386.06</v>
      </c>
    </row>
    <row r="944" spans="1:60" ht="24" hidden="1" customHeight="1" outlineLevel="1" x14ac:dyDescent="0.2">
      <c r="A944" s="59" t="s">
        <v>2176</v>
      </c>
      <c r="B944" s="59" t="s">
        <v>44</v>
      </c>
      <c r="C944" s="59" t="s">
        <v>82</v>
      </c>
      <c r="D944" s="66" t="s">
        <v>2177</v>
      </c>
      <c r="E944" s="59" t="s">
        <v>440</v>
      </c>
      <c r="F944" s="60">
        <v>157771.53</v>
      </c>
      <c r="G944" s="60">
        <v>117402.03</v>
      </c>
      <c r="H944" s="60">
        <v>40369.5</v>
      </c>
      <c r="I944" s="59"/>
      <c r="J944" s="60">
        <v>7783.66</v>
      </c>
      <c r="K944" s="59"/>
      <c r="L944" s="59"/>
      <c r="M944" s="60">
        <v>157771.53</v>
      </c>
      <c r="N944" s="60">
        <v>125185.69</v>
      </c>
      <c r="O944" s="60">
        <v>32585.84</v>
      </c>
      <c r="P944" s="55"/>
      <c r="Q944" s="55"/>
      <c r="R944" s="61">
        <f t="shared" si="381"/>
        <v>648.63833333333332</v>
      </c>
      <c r="S944" s="60">
        <v>648.6383333</v>
      </c>
      <c r="T944" s="60">
        <v>648.6383333</v>
      </c>
      <c r="U944" s="60">
        <v>648.6383333</v>
      </c>
      <c r="V944" s="60">
        <v>648.6383333</v>
      </c>
      <c r="W944" s="60">
        <v>648.6383333</v>
      </c>
      <c r="X944" s="61">
        <f t="shared" si="382"/>
        <v>3891.8299998333327</v>
      </c>
      <c r="Y944" s="60">
        <v>648.6383333</v>
      </c>
      <c r="Z944" s="60">
        <v>648.6383333</v>
      </c>
      <c r="AA944" s="60">
        <v>648.6383333</v>
      </c>
      <c r="AB944" s="60">
        <v>648.6383333</v>
      </c>
      <c r="AC944" s="60">
        <v>648.6383333</v>
      </c>
      <c r="AD944" s="60">
        <v>648.6383333</v>
      </c>
      <c r="AE944" s="61">
        <f t="shared" si="383"/>
        <v>3891.8299997999998</v>
      </c>
      <c r="AF944" s="62">
        <f t="shared" si="390"/>
        <v>157771.53</v>
      </c>
      <c r="AG944" s="62">
        <f t="shared" si="389"/>
        <v>132969.34999963336</v>
      </c>
      <c r="AH944" s="62">
        <f t="shared" si="387"/>
        <v>24802.180000366643</v>
      </c>
      <c r="AI944" s="63"/>
      <c r="AJ944" s="63"/>
      <c r="AK944" s="62"/>
      <c r="AL944" s="60">
        <v>648.6383333</v>
      </c>
      <c r="AM944" s="60">
        <v>648.6383333</v>
      </c>
      <c r="AN944" s="60">
        <v>648.6383333</v>
      </c>
      <c r="AO944" s="60">
        <v>648.6383333</v>
      </c>
      <c r="AP944" s="60">
        <v>648.6383333</v>
      </c>
      <c r="AQ944" s="60">
        <v>648.6383333</v>
      </c>
      <c r="AR944" s="61">
        <f t="shared" si="384"/>
        <v>3891.8299997999998</v>
      </c>
      <c r="AS944" s="60">
        <v>648.6383333</v>
      </c>
      <c r="AT944" s="60">
        <v>648.6383333</v>
      </c>
      <c r="AU944" s="60">
        <v>648.6383333</v>
      </c>
      <c r="AV944" s="60">
        <v>648.6383333</v>
      </c>
      <c r="AW944" s="60">
        <v>648.6383333</v>
      </c>
      <c r="AX944" s="60">
        <v>648.6383333</v>
      </c>
      <c r="AY944" s="61">
        <f t="shared" si="385"/>
        <v>3891.8299997999998</v>
      </c>
      <c r="AZ944" s="56">
        <f t="shared" si="380"/>
        <v>7783.6599995999995</v>
      </c>
      <c r="BA944" s="62">
        <f t="shared" si="391"/>
        <v>157771.53</v>
      </c>
      <c r="BB944" s="62">
        <f t="shared" si="386"/>
        <v>140753.0099992335</v>
      </c>
      <c r="BC944" s="62">
        <f t="shared" si="392"/>
        <v>17018.520000766497</v>
      </c>
      <c r="BD944" s="63"/>
      <c r="BE944" s="57"/>
      <c r="BF944" s="35" t="str">
        <f>VLOOKUP(A:A,'2023-2027'!A:G,1,+FALSE)</f>
        <v>Трансформатор ТМГ-250/6 №1545100</v>
      </c>
      <c r="BG944" s="7" t="b">
        <f t="shared" si="388"/>
        <v>1</v>
      </c>
      <c r="BH944" s="35">
        <f>VLOOKUP(A:A,'2023-2027'!A:AT,43,+FALSE)</f>
        <v>657.38</v>
      </c>
    </row>
    <row r="945" spans="1:60" ht="24" hidden="1" customHeight="1" outlineLevel="1" x14ac:dyDescent="0.2">
      <c r="A945" s="59" t="s">
        <v>2491</v>
      </c>
      <c r="B945" s="59" t="s">
        <v>44</v>
      </c>
      <c r="C945" s="59" t="s">
        <v>82</v>
      </c>
      <c r="D945" s="66" t="s">
        <v>2178</v>
      </c>
      <c r="E945" s="59" t="s">
        <v>440</v>
      </c>
      <c r="F945" s="60">
        <v>157771.53</v>
      </c>
      <c r="G945" s="60">
        <v>117402.03</v>
      </c>
      <c r="H945" s="60">
        <v>40369.5</v>
      </c>
      <c r="I945" s="59"/>
      <c r="J945" s="60">
        <v>7783.66</v>
      </c>
      <c r="K945" s="59"/>
      <c r="L945" s="59"/>
      <c r="M945" s="60">
        <v>157771.53</v>
      </c>
      <c r="N945" s="60">
        <v>125185.69</v>
      </c>
      <c r="O945" s="60">
        <v>32585.84</v>
      </c>
      <c r="P945" s="55"/>
      <c r="Q945" s="55"/>
      <c r="R945" s="61">
        <f t="shared" si="381"/>
        <v>648.63833333333332</v>
      </c>
      <c r="S945" s="60">
        <v>648.6383333</v>
      </c>
      <c r="T945" s="60">
        <v>648.6383333</v>
      </c>
      <c r="U945" s="60">
        <v>648.6383333</v>
      </c>
      <c r="V945" s="60">
        <v>648.6383333</v>
      </c>
      <c r="W945" s="60">
        <v>648.6383333</v>
      </c>
      <c r="X945" s="61">
        <f t="shared" si="382"/>
        <v>3891.8299998333327</v>
      </c>
      <c r="Y945" s="60">
        <v>648.6383333</v>
      </c>
      <c r="Z945" s="60">
        <v>648.6383333</v>
      </c>
      <c r="AA945" s="60">
        <v>648.6383333</v>
      </c>
      <c r="AB945" s="60">
        <v>648.6383333</v>
      </c>
      <c r="AC945" s="60">
        <v>648.6383333</v>
      </c>
      <c r="AD945" s="60">
        <v>648.6383333</v>
      </c>
      <c r="AE945" s="61">
        <f t="shared" si="383"/>
        <v>3891.8299997999998</v>
      </c>
      <c r="AF945" s="62">
        <f t="shared" si="390"/>
        <v>157771.53</v>
      </c>
      <c r="AG945" s="62">
        <f t="shared" si="389"/>
        <v>132969.34999963336</v>
      </c>
      <c r="AH945" s="62">
        <f t="shared" si="387"/>
        <v>24802.180000366643</v>
      </c>
      <c r="AI945" s="63"/>
      <c r="AJ945" s="63"/>
      <c r="AK945" s="62"/>
      <c r="AL945" s="60">
        <v>648.6383333</v>
      </c>
      <c r="AM945" s="60">
        <v>648.6383333</v>
      </c>
      <c r="AN945" s="60">
        <v>648.6383333</v>
      </c>
      <c r="AO945" s="60">
        <v>648.6383333</v>
      </c>
      <c r="AP945" s="60">
        <v>648.6383333</v>
      </c>
      <c r="AQ945" s="60">
        <v>648.6383333</v>
      </c>
      <c r="AR945" s="61">
        <f t="shared" si="384"/>
        <v>3891.8299997999998</v>
      </c>
      <c r="AS945" s="60">
        <v>648.6383333</v>
      </c>
      <c r="AT945" s="60">
        <v>648.6383333</v>
      </c>
      <c r="AU945" s="60">
        <v>648.6383333</v>
      </c>
      <c r="AV945" s="60">
        <v>648.6383333</v>
      </c>
      <c r="AW945" s="60">
        <v>648.6383333</v>
      </c>
      <c r="AX945" s="60">
        <v>648.6383333</v>
      </c>
      <c r="AY945" s="61">
        <f t="shared" si="385"/>
        <v>3891.8299997999998</v>
      </c>
      <c r="AZ945" s="56">
        <f t="shared" si="380"/>
        <v>7783.6599995999995</v>
      </c>
      <c r="BA945" s="62">
        <f t="shared" si="391"/>
        <v>157771.53</v>
      </c>
      <c r="BB945" s="62">
        <f t="shared" si="386"/>
        <v>140753.0099992335</v>
      </c>
      <c r="BC945" s="62">
        <f t="shared" si="392"/>
        <v>17018.520000766497</v>
      </c>
      <c r="BD945" s="63"/>
      <c r="BE945" s="57"/>
      <c r="BF945" s="35" t="str">
        <f>VLOOKUP(A:A,'2023-2027'!A:G,1,+FALSE)</f>
        <v>Трансформатор ТМГ-250/6 №1№1399294</v>
      </c>
      <c r="BG945" s="7" t="b">
        <f t="shared" si="388"/>
        <v>1</v>
      </c>
      <c r="BH945" s="35">
        <f>VLOOKUP(A:A,'2023-2027'!A:AT,43,+FALSE)</f>
        <v>657.38</v>
      </c>
    </row>
    <row r="946" spans="1:60" ht="24" hidden="1" customHeight="1" outlineLevel="1" x14ac:dyDescent="0.2">
      <c r="A946" s="59" t="s">
        <v>2179</v>
      </c>
      <c r="B946" s="59" t="s">
        <v>44</v>
      </c>
      <c r="C946" s="59" t="s">
        <v>82</v>
      </c>
      <c r="D946" s="66" t="s">
        <v>2180</v>
      </c>
      <c r="E946" s="59" t="s">
        <v>1601</v>
      </c>
      <c r="F946" s="60">
        <v>64583</v>
      </c>
      <c r="G946" s="60">
        <v>55691.94</v>
      </c>
      <c r="H946" s="60">
        <v>8891.06</v>
      </c>
      <c r="I946" s="59"/>
      <c r="J946" s="60">
        <v>2716.44</v>
      </c>
      <c r="K946" s="59"/>
      <c r="L946" s="59"/>
      <c r="M946" s="60">
        <v>64583</v>
      </c>
      <c r="N946" s="60">
        <v>58408.38</v>
      </c>
      <c r="O946" s="60">
        <v>6174.62</v>
      </c>
      <c r="P946" s="55"/>
      <c r="Q946" s="55"/>
      <c r="R946" s="61">
        <f t="shared" si="381"/>
        <v>226.37</v>
      </c>
      <c r="S946" s="60">
        <v>226.37</v>
      </c>
      <c r="T946" s="60">
        <v>226.37</v>
      </c>
      <c r="U946" s="60">
        <v>226.37</v>
      </c>
      <c r="V946" s="60">
        <v>226.37</v>
      </c>
      <c r="W946" s="60">
        <v>226.37</v>
      </c>
      <c r="X946" s="61">
        <f t="shared" si="382"/>
        <v>1358.2199999999998</v>
      </c>
      <c r="Y946" s="60">
        <v>226.37</v>
      </c>
      <c r="Z946" s="60">
        <v>226.37</v>
      </c>
      <c r="AA946" s="60">
        <v>226.37</v>
      </c>
      <c r="AB946" s="60">
        <v>226.37</v>
      </c>
      <c r="AC946" s="60">
        <v>226.37</v>
      </c>
      <c r="AD946" s="60">
        <v>226.37</v>
      </c>
      <c r="AE946" s="61">
        <f t="shared" si="383"/>
        <v>1358.2199999999998</v>
      </c>
      <c r="AF946" s="62">
        <f t="shared" si="390"/>
        <v>64583</v>
      </c>
      <c r="AG946" s="62">
        <f t="shared" si="389"/>
        <v>61124.820000000029</v>
      </c>
      <c r="AH946" s="62">
        <f t="shared" si="387"/>
        <v>3458.1799999999712</v>
      </c>
      <c r="AI946" s="63"/>
      <c r="AJ946" s="63"/>
      <c r="AK946" s="62"/>
      <c r="AL946" s="60">
        <v>226.37</v>
      </c>
      <c r="AM946" s="60">
        <v>226.37</v>
      </c>
      <c r="AN946" s="60">
        <v>226.37</v>
      </c>
      <c r="AO946" s="60">
        <v>226.37</v>
      </c>
      <c r="AP946" s="60">
        <v>226.37</v>
      </c>
      <c r="AQ946" s="60">
        <v>226.37</v>
      </c>
      <c r="AR946" s="61">
        <f t="shared" si="384"/>
        <v>1358.2199999999998</v>
      </c>
      <c r="AS946" s="60">
        <v>226.37</v>
      </c>
      <c r="AT946" s="60">
        <v>226.37</v>
      </c>
      <c r="AU946" s="60">
        <v>226.37</v>
      </c>
      <c r="AV946" s="60">
        <v>226.37</v>
      </c>
      <c r="AW946" s="60">
        <v>226.37</v>
      </c>
      <c r="AX946" s="60">
        <v>226.37</v>
      </c>
      <c r="AY946" s="61">
        <f t="shared" si="385"/>
        <v>1358.2199999999998</v>
      </c>
      <c r="AZ946" s="56">
        <f t="shared" si="380"/>
        <v>2716.4399999999996</v>
      </c>
      <c r="BA946" s="62">
        <f t="shared" si="391"/>
        <v>64583</v>
      </c>
      <c r="BB946" s="62">
        <f t="shared" si="386"/>
        <v>63841.26000000006</v>
      </c>
      <c r="BC946" s="62">
        <f t="shared" si="392"/>
        <v>741.73999999993976</v>
      </c>
      <c r="BD946" s="63"/>
      <c r="BE946" s="57"/>
      <c r="BF946" s="35" t="str">
        <f>VLOOKUP(A:A,'2023-2027'!A:G,1,+FALSE)</f>
        <v>Трансформатор ТМГ-250/6-0,4  № 1451843 2001г выпус</v>
      </c>
      <c r="BG946" s="7" t="b">
        <f t="shared" si="388"/>
        <v>1</v>
      </c>
      <c r="BH946" s="35">
        <f>VLOOKUP(A:A,'2023-2027'!A:AT,43,+FALSE)</f>
        <v>234</v>
      </c>
    </row>
    <row r="947" spans="1:60" ht="24" hidden="1" customHeight="1" outlineLevel="1" x14ac:dyDescent="0.2">
      <c r="A947" s="59" t="s">
        <v>2181</v>
      </c>
      <c r="B947" s="59" t="s">
        <v>44</v>
      </c>
      <c r="C947" s="59" t="s">
        <v>82</v>
      </c>
      <c r="D947" s="65" t="s">
        <v>2182</v>
      </c>
      <c r="E947" s="59" t="s">
        <v>2183</v>
      </c>
      <c r="F947" s="60">
        <v>95321.66</v>
      </c>
      <c r="G947" s="60">
        <v>49410.2</v>
      </c>
      <c r="H947" s="60">
        <v>45911.46</v>
      </c>
      <c r="I947" s="59"/>
      <c r="J947" s="60">
        <v>2920.8</v>
      </c>
      <c r="K947" s="59"/>
      <c r="L947" s="59"/>
      <c r="M947" s="60">
        <v>95321.66</v>
      </c>
      <c r="N947" s="60">
        <v>52331</v>
      </c>
      <c r="O947" s="60">
        <v>42990.66</v>
      </c>
      <c r="P947" s="55"/>
      <c r="Q947" s="55"/>
      <c r="R947" s="61">
        <f t="shared" si="381"/>
        <v>243.4</v>
      </c>
      <c r="S947" s="60">
        <v>243.4</v>
      </c>
      <c r="T947" s="60">
        <v>243.4</v>
      </c>
      <c r="U947" s="60">
        <v>243.4</v>
      </c>
      <c r="V947" s="60">
        <v>243.4</v>
      </c>
      <c r="W947" s="60">
        <v>243.4</v>
      </c>
      <c r="X947" s="61">
        <f t="shared" si="382"/>
        <v>1460.4</v>
      </c>
      <c r="Y947" s="60">
        <v>243.4</v>
      </c>
      <c r="Z947" s="60">
        <v>243.4</v>
      </c>
      <c r="AA947" s="60">
        <v>243.4</v>
      </c>
      <c r="AB947" s="60">
        <v>243.4</v>
      </c>
      <c r="AC947" s="60">
        <v>243.4</v>
      </c>
      <c r="AD947" s="60">
        <v>243.4</v>
      </c>
      <c r="AE947" s="61">
        <f t="shared" si="383"/>
        <v>1460.4</v>
      </c>
      <c r="AF947" s="62">
        <f t="shared" si="390"/>
        <v>95321.66</v>
      </c>
      <c r="AG947" s="62">
        <f t="shared" si="389"/>
        <v>55251.800000000017</v>
      </c>
      <c r="AH947" s="62">
        <f t="shared" si="387"/>
        <v>40069.859999999986</v>
      </c>
      <c r="AI947" s="63"/>
      <c r="AJ947" s="63"/>
      <c r="AK947" s="62"/>
      <c r="AL947" s="60">
        <v>243.4</v>
      </c>
      <c r="AM947" s="60">
        <v>243.4</v>
      </c>
      <c r="AN947" s="60">
        <v>243.4</v>
      </c>
      <c r="AO947" s="60">
        <v>243.4</v>
      </c>
      <c r="AP947" s="60">
        <v>243.4</v>
      </c>
      <c r="AQ947" s="60">
        <v>243.4</v>
      </c>
      <c r="AR947" s="61">
        <f t="shared" si="384"/>
        <v>1460.4</v>
      </c>
      <c r="AS947" s="60">
        <v>243.4</v>
      </c>
      <c r="AT947" s="60">
        <v>243.4</v>
      </c>
      <c r="AU947" s="60">
        <v>243.4</v>
      </c>
      <c r="AV947" s="60">
        <v>243.4</v>
      </c>
      <c r="AW947" s="60">
        <v>243.4</v>
      </c>
      <c r="AX947" s="60">
        <v>243.4</v>
      </c>
      <c r="AY947" s="61">
        <f t="shared" si="385"/>
        <v>1460.4</v>
      </c>
      <c r="AZ947" s="56">
        <f t="shared" si="380"/>
        <v>2920.8</v>
      </c>
      <c r="BA947" s="62">
        <f t="shared" si="391"/>
        <v>95321.66</v>
      </c>
      <c r="BB947" s="62">
        <f t="shared" si="386"/>
        <v>58172.600000000035</v>
      </c>
      <c r="BC947" s="62">
        <f t="shared" si="392"/>
        <v>37149.059999999969</v>
      </c>
      <c r="BD947" s="63"/>
      <c r="BE947" s="57"/>
      <c r="BF947" s="35" t="e">
        <f>VLOOKUP(A:A,'2023-2027'!A:G,1,+FALSE)</f>
        <v>#N/A</v>
      </c>
      <c r="BG947" s="7" t="e">
        <f t="shared" si="388"/>
        <v>#N/A</v>
      </c>
      <c r="BH947" s="35"/>
    </row>
    <row r="948" spans="1:60" ht="24" hidden="1" customHeight="1" outlineLevel="1" x14ac:dyDescent="0.2">
      <c r="A948" s="59" t="s">
        <v>2184</v>
      </c>
      <c r="B948" s="59" t="s">
        <v>44</v>
      </c>
      <c r="C948" s="59" t="s">
        <v>82</v>
      </c>
      <c r="D948" s="66" t="s">
        <v>2185</v>
      </c>
      <c r="E948" s="59" t="s">
        <v>2173</v>
      </c>
      <c r="F948" s="60">
        <v>219795.25</v>
      </c>
      <c r="G948" s="60">
        <v>32049.63</v>
      </c>
      <c r="H948" s="60">
        <v>187745.62</v>
      </c>
      <c r="I948" s="59"/>
      <c r="J948" s="60">
        <v>7256.52</v>
      </c>
      <c r="K948" s="59"/>
      <c r="L948" s="59"/>
      <c r="M948" s="60">
        <v>219795.25</v>
      </c>
      <c r="N948" s="60">
        <v>39306.15</v>
      </c>
      <c r="O948" s="60">
        <v>180489.1</v>
      </c>
      <c r="P948" s="55"/>
      <c r="Q948" s="55"/>
      <c r="R948" s="61">
        <f t="shared" si="381"/>
        <v>604.71</v>
      </c>
      <c r="S948" s="60">
        <v>604.71</v>
      </c>
      <c r="T948" s="60">
        <v>604.71</v>
      </c>
      <c r="U948" s="60">
        <v>604.71</v>
      </c>
      <c r="V948" s="60">
        <v>604.71</v>
      </c>
      <c r="W948" s="60">
        <v>604.71</v>
      </c>
      <c r="X948" s="61">
        <f t="shared" si="382"/>
        <v>3628.26</v>
      </c>
      <c r="Y948" s="60">
        <v>604.71</v>
      </c>
      <c r="Z948" s="60">
        <v>604.71</v>
      </c>
      <c r="AA948" s="60">
        <v>604.71</v>
      </c>
      <c r="AB948" s="60">
        <v>604.71</v>
      </c>
      <c r="AC948" s="60">
        <v>604.71</v>
      </c>
      <c r="AD948" s="60">
        <v>604.71</v>
      </c>
      <c r="AE948" s="61">
        <f t="shared" si="383"/>
        <v>3628.26</v>
      </c>
      <c r="AF948" s="62">
        <f t="shared" si="390"/>
        <v>219795.25</v>
      </c>
      <c r="AG948" s="62">
        <f t="shared" si="389"/>
        <v>46562.669999999991</v>
      </c>
      <c r="AH948" s="62">
        <f t="shared" si="387"/>
        <v>173232.58000000002</v>
      </c>
      <c r="AI948" s="63"/>
      <c r="AJ948" s="63"/>
      <c r="AK948" s="62"/>
      <c r="AL948" s="60">
        <v>604.71</v>
      </c>
      <c r="AM948" s="60">
        <v>604.71</v>
      </c>
      <c r="AN948" s="60">
        <v>604.71</v>
      </c>
      <c r="AO948" s="60">
        <v>604.71</v>
      </c>
      <c r="AP948" s="60">
        <v>604.71</v>
      </c>
      <c r="AQ948" s="60">
        <v>604.71</v>
      </c>
      <c r="AR948" s="61">
        <f t="shared" si="384"/>
        <v>3628.26</v>
      </c>
      <c r="AS948" s="60">
        <v>604.71</v>
      </c>
      <c r="AT948" s="60">
        <v>604.71</v>
      </c>
      <c r="AU948" s="60">
        <v>604.71</v>
      </c>
      <c r="AV948" s="60">
        <v>604.71</v>
      </c>
      <c r="AW948" s="60">
        <v>604.71</v>
      </c>
      <c r="AX948" s="60">
        <v>604.71</v>
      </c>
      <c r="AY948" s="61">
        <f t="shared" si="385"/>
        <v>3628.26</v>
      </c>
      <c r="AZ948" s="56">
        <f t="shared" si="380"/>
        <v>7256.52</v>
      </c>
      <c r="BA948" s="62">
        <f t="shared" si="391"/>
        <v>219795.25</v>
      </c>
      <c r="BB948" s="62">
        <f t="shared" si="386"/>
        <v>53819.189999999981</v>
      </c>
      <c r="BC948" s="62">
        <f t="shared" si="392"/>
        <v>165976.06000000003</v>
      </c>
      <c r="BD948" s="63"/>
      <c r="BE948" s="57"/>
      <c r="BF948" s="35" t="str">
        <f>VLOOKUP(A:A,'2023-2027'!A:G,1,+FALSE)</f>
        <v>Трансформатор ТМГ-250/6/0,4 зав.№003119Y</v>
      </c>
      <c r="BG948" s="7" t="b">
        <f t="shared" si="388"/>
        <v>1</v>
      </c>
      <c r="BH948" s="35">
        <f>VLOOKUP(A:A,'2023-2027'!A:AT,43,+FALSE)</f>
        <v>610.54</v>
      </c>
    </row>
    <row r="949" spans="1:60" ht="36" hidden="1" customHeight="1" outlineLevel="1" x14ac:dyDescent="0.2">
      <c r="A949" s="59" t="s">
        <v>2186</v>
      </c>
      <c r="B949" s="59" t="s">
        <v>44</v>
      </c>
      <c r="C949" s="59" t="s">
        <v>82</v>
      </c>
      <c r="D949" s="66" t="s">
        <v>2187</v>
      </c>
      <c r="E949" s="59" t="s">
        <v>2188</v>
      </c>
      <c r="F949" s="60">
        <v>184000</v>
      </c>
      <c r="G949" s="60">
        <v>15158.4</v>
      </c>
      <c r="H949" s="60">
        <v>168841.60000000001</v>
      </c>
      <c r="I949" s="59"/>
      <c r="J949" s="60">
        <v>9095.0400000000009</v>
      </c>
      <c r="K949" s="59"/>
      <c r="L949" s="59"/>
      <c r="M949" s="60">
        <v>184000</v>
      </c>
      <c r="N949" s="60">
        <v>24253.439999999999</v>
      </c>
      <c r="O949" s="60">
        <v>159746.56</v>
      </c>
      <c r="P949" s="55"/>
      <c r="Q949" s="55"/>
      <c r="R949" s="61">
        <f t="shared" si="381"/>
        <v>757.92000000000007</v>
      </c>
      <c r="S949" s="60">
        <v>757.92</v>
      </c>
      <c r="T949" s="60">
        <v>757.92</v>
      </c>
      <c r="U949" s="60">
        <v>757.92</v>
      </c>
      <c r="V949" s="60">
        <v>757.92</v>
      </c>
      <c r="W949" s="60">
        <v>757.92</v>
      </c>
      <c r="X949" s="61">
        <f t="shared" si="382"/>
        <v>4547.5200000000004</v>
      </c>
      <c r="Y949" s="60">
        <v>757.92</v>
      </c>
      <c r="Z949" s="60">
        <v>757.92</v>
      </c>
      <c r="AA949" s="60">
        <v>757.92</v>
      </c>
      <c r="AB949" s="60">
        <v>757.92</v>
      </c>
      <c r="AC949" s="60">
        <v>757.92</v>
      </c>
      <c r="AD949" s="60">
        <v>757.92</v>
      </c>
      <c r="AE949" s="61">
        <f t="shared" si="383"/>
        <v>4547.5199999999995</v>
      </c>
      <c r="AF949" s="62">
        <f t="shared" si="390"/>
        <v>184000</v>
      </c>
      <c r="AG949" s="62">
        <f t="shared" si="389"/>
        <v>33348.479999999981</v>
      </c>
      <c r="AH949" s="62">
        <f t="shared" si="387"/>
        <v>150651.52000000002</v>
      </c>
      <c r="AI949" s="63"/>
      <c r="AJ949" s="63"/>
      <c r="AK949" s="62"/>
      <c r="AL949" s="60">
        <v>757.92</v>
      </c>
      <c r="AM949" s="60">
        <v>757.92</v>
      </c>
      <c r="AN949" s="60">
        <v>757.92</v>
      </c>
      <c r="AO949" s="60">
        <v>757.92</v>
      </c>
      <c r="AP949" s="60">
        <v>757.92</v>
      </c>
      <c r="AQ949" s="60">
        <v>757.92</v>
      </c>
      <c r="AR949" s="61">
        <f t="shared" si="384"/>
        <v>4547.5199999999995</v>
      </c>
      <c r="AS949" s="60">
        <v>757.92</v>
      </c>
      <c r="AT949" s="60">
        <v>757.92</v>
      </c>
      <c r="AU949" s="60">
        <v>757.92</v>
      </c>
      <c r="AV949" s="60">
        <v>757.92</v>
      </c>
      <c r="AW949" s="60">
        <v>757.92</v>
      </c>
      <c r="AX949" s="60">
        <v>757.92</v>
      </c>
      <c r="AY949" s="61">
        <f t="shared" si="385"/>
        <v>4547.5199999999995</v>
      </c>
      <c r="AZ949" s="56">
        <f t="shared" si="380"/>
        <v>9095.0399999999991</v>
      </c>
      <c r="BA949" s="62">
        <f t="shared" si="391"/>
        <v>184000</v>
      </c>
      <c r="BB949" s="62">
        <f t="shared" si="386"/>
        <v>42443.51999999996</v>
      </c>
      <c r="BC949" s="62">
        <f t="shared" si="392"/>
        <v>141556.48000000004</v>
      </c>
      <c r="BD949" s="63"/>
      <c r="BE949" s="57"/>
      <c r="BF949" s="35" t="str">
        <f>VLOOKUP(A:A,'2023-2027'!A:G,1,+FALSE)</f>
        <v>Трансформатор ТМГ-250/6/0,4 схема и группа соединений Д/Ун-11 Россия завод.№636720</v>
      </c>
      <c r="BG949" s="7" t="b">
        <f t="shared" si="388"/>
        <v>1</v>
      </c>
      <c r="BH949" s="35">
        <f>VLOOKUP(A:A,'2023-2027'!A:AT,43,+FALSE)</f>
        <v>766.67</v>
      </c>
    </row>
    <row r="950" spans="1:60" ht="24" hidden="1" customHeight="1" outlineLevel="1" x14ac:dyDescent="0.2">
      <c r="A950" s="59" t="s">
        <v>2189</v>
      </c>
      <c r="B950" s="59" t="s">
        <v>44</v>
      </c>
      <c r="C950" s="59" t="s">
        <v>82</v>
      </c>
      <c r="D950" s="65" t="s">
        <v>2190</v>
      </c>
      <c r="E950" s="59" t="s">
        <v>2100</v>
      </c>
      <c r="F950" s="60">
        <v>212242.97</v>
      </c>
      <c r="G950" s="60">
        <v>127290.1</v>
      </c>
      <c r="H950" s="60">
        <v>84952.87</v>
      </c>
      <c r="I950" s="59"/>
      <c r="J950" s="60">
        <v>10462.08</v>
      </c>
      <c r="K950" s="59"/>
      <c r="L950" s="59"/>
      <c r="M950" s="60">
        <v>212242.97</v>
      </c>
      <c r="N950" s="60">
        <v>137752.18</v>
      </c>
      <c r="O950" s="60">
        <v>74490.789999999994</v>
      </c>
      <c r="P950" s="55"/>
      <c r="Q950" s="55"/>
      <c r="R950" s="61">
        <f t="shared" si="381"/>
        <v>871.84</v>
      </c>
      <c r="S950" s="60">
        <v>871.84</v>
      </c>
      <c r="T950" s="60">
        <v>871.84</v>
      </c>
      <c r="U950" s="60">
        <v>871.84</v>
      </c>
      <c r="V950" s="60">
        <v>871.84</v>
      </c>
      <c r="W950" s="60">
        <v>871.84</v>
      </c>
      <c r="X950" s="61">
        <f t="shared" si="382"/>
        <v>5231.04</v>
      </c>
      <c r="Y950" s="60">
        <v>871.84</v>
      </c>
      <c r="Z950" s="60">
        <v>871.84</v>
      </c>
      <c r="AA950" s="60">
        <v>871.84</v>
      </c>
      <c r="AB950" s="60">
        <v>871.84</v>
      </c>
      <c r="AC950" s="60">
        <v>871.84</v>
      </c>
      <c r="AD950" s="60">
        <v>871.84</v>
      </c>
      <c r="AE950" s="61">
        <f t="shared" si="383"/>
        <v>5231.04</v>
      </c>
      <c r="AF950" s="62">
        <f t="shared" si="390"/>
        <v>212242.97</v>
      </c>
      <c r="AG950" s="62">
        <f t="shared" si="389"/>
        <v>148214.25999999995</v>
      </c>
      <c r="AH950" s="62">
        <f t="shared" si="387"/>
        <v>64028.71000000005</v>
      </c>
      <c r="AI950" s="63"/>
      <c r="AJ950" s="63"/>
      <c r="AK950" s="62"/>
      <c r="AL950" s="60">
        <v>871.84</v>
      </c>
      <c r="AM950" s="60">
        <v>871.84</v>
      </c>
      <c r="AN950" s="60">
        <v>871.84</v>
      </c>
      <c r="AO950" s="60">
        <v>871.84</v>
      </c>
      <c r="AP950" s="60">
        <v>871.84</v>
      </c>
      <c r="AQ950" s="60">
        <v>871.84</v>
      </c>
      <c r="AR950" s="61">
        <f t="shared" si="384"/>
        <v>5231.04</v>
      </c>
      <c r="AS950" s="60">
        <v>871.84</v>
      </c>
      <c r="AT950" s="60">
        <v>871.84</v>
      </c>
      <c r="AU950" s="60">
        <v>871.84</v>
      </c>
      <c r="AV950" s="60">
        <v>871.84</v>
      </c>
      <c r="AW950" s="60">
        <v>871.84</v>
      </c>
      <c r="AX950" s="60">
        <v>871.84</v>
      </c>
      <c r="AY950" s="61">
        <f t="shared" si="385"/>
        <v>5231.04</v>
      </c>
      <c r="AZ950" s="56">
        <f t="shared" si="380"/>
        <v>10462.08</v>
      </c>
      <c r="BA950" s="62">
        <f t="shared" si="391"/>
        <v>212242.97</v>
      </c>
      <c r="BB950" s="62">
        <f t="shared" si="386"/>
        <v>158676.33999999991</v>
      </c>
      <c r="BC950" s="62">
        <f t="shared" si="392"/>
        <v>53566.630000000092</v>
      </c>
      <c r="BD950" s="63"/>
      <c r="BE950" s="57"/>
      <c r="BF950" s="35" t="str">
        <f>VLOOKUP(A:A,'2023-2027'!A:G,1,+FALSE)</f>
        <v>Трансформатор ТМГ-400 6/0,4кв  №1656822 2009г</v>
      </c>
      <c r="BG950" s="7" t="b">
        <f t="shared" si="388"/>
        <v>1</v>
      </c>
      <c r="BH950" s="35">
        <f>VLOOKUP(A:A,'2023-2027'!A:AT,43,+FALSE)</f>
        <v>884.35000000000025</v>
      </c>
    </row>
    <row r="951" spans="1:60" ht="24" hidden="1" customHeight="1" outlineLevel="1" x14ac:dyDescent="0.2">
      <c r="A951" s="59" t="s">
        <v>2191</v>
      </c>
      <c r="B951" s="59" t="s">
        <v>44</v>
      </c>
      <c r="C951" s="59" t="s">
        <v>82</v>
      </c>
      <c r="D951" s="66" t="s">
        <v>2192</v>
      </c>
      <c r="E951" s="59" t="s">
        <v>2173</v>
      </c>
      <c r="F951" s="60">
        <v>275050.95</v>
      </c>
      <c r="G951" s="60">
        <v>40052.1</v>
      </c>
      <c r="H951" s="60">
        <v>234998.85</v>
      </c>
      <c r="I951" s="59"/>
      <c r="J951" s="60">
        <v>9068.4</v>
      </c>
      <c r="K951" s="59"/>
      <c r="L951" s="59"/>
      <c r="M951" s="60">
        <v>275050.95</v>
      </c>
      <c r="N951" s="60">
        <v>49120.5</v>
      </c>
      <c r="O951" s="60">
        <v>225930.45</v>
      </c>
      <c r="P951" s="55"/>
      <c r="Q951" s="55"/>
      <c r="R951" s="61">
        <f t="shared" si="381"/>
        <v>755.69999999999993</v>
      </c>
      <c r="S951" s="60">
        <v>755.7</v>
      </c>
      <c r="T951" s="60">
        <v>755.7</v>
      </c>
      <c r="U951" s="60">
        <v>755.7</v>
      </c>
      <c r="V951" s="60">
        <v>755.7</v>
      </c>
      <c r="W951" s="60">
        <v>755.7</v>
      </c>
      <c r="X951" s="61">
        <f t="shared" si="382"/>
        <v>4534.2</v>
      </c>
      <c r="Y951" s="60">
        <v>755.7</v>
      </c>
      <c r="Z951" s="60">
        <v>755.7</v>
      </c>
      <c r="AA951" s="60">
        <v>755.7</v>
      </c>
      <c r="AB951" s="60">
        <v>755.7</v>
      </c>
      <c r="AC951" s="60">
        <v>755.7</v>
      </c>
      <c r="AD951" s="60">
        <v>755.7</v>
      </c>
      <c r="AE951" s="61">
        <f t="shared" si="383"/>
        <v>4534.2</v>
      </c>
      <c r="AF951" s="62">
        <f t="shared" si="390"/>
        <v>275050.95</v>
      </c>
      <c r="AG951" s="62">
        <f t="shared" si="389"/>
        <v>58188.899999999965</v>
      </c>
      <c r="AH951" s="62">
        <f t="shared" si="387"/>
        <v>216862.05000000005</v>
      </c>
      <c r="AI951" s="63"/>
      <c r="AJ951" s="63"/>
      <c r="AK951" s="62"/>
      <c r="AL951" s="60">
        <v>755.7</v>
      </c>
      <c r="AM951" s="60">
        <v>755.7</v>
      </c>
      <c r="AN951" s="60">
        <v>755.7</v>
      </c>
      <c r="AO951" s="60">
        <v>755.7</v>
      </c>
      <c r="AP951" s="60">
        <v>755.7</v>
      </c>
      <c r="AQ951" s="60">
        <v>755.7</v>
      </c>
      <c r="AR951" s="61">
        <f t="shared" si="384"/>
        <v>4534.2</v>
      </c>
      <c r="AS951" s="60">
        <v>755.7</v>
      </c>
      <c r="AT951" s="60">
        <v>755.7</v>
      </c>
      <c r="AU951" s="60">
        <v>755.7</v>
      </c>
      <c r="AV951" s="60">
        <v>755.7</v>
      </c>
      <c r="AW951" s="60">
        <v>755.7</v>
      </c>
      <c r="AX951" s="60">
        <v>755.7</v>
      </c>
      <c r="AY951" s="61">
        <f t="shared" si="385"/>
        <v>4534.2</v>
      </c>
      <c r="AZ951" s="56">
        <f t="shared" si="380"/>
        <v>9068.4</v>
      </c>
      <c r="BA951" s="62">
        <f t="shared" si="391"/>
        <v>275050.95</v>
      </c>
      <c r="BB951" s="62">
        <f t="shared" si="386"/>
        <v>67257.29999999993</v>
      </c>
      <c r="BC951" s="62">
        <f t="shared" si="392"/>
        <v>207793.65000000008</v>
      </c>
      <c r="BD951" s="63"/>
      <c r="BE951" s="57"/>
      <c r="BF951" s="35" t="str">
        <f>VLOOKUP(A:A,'2023-2027'!A:G,1,+FALSE)</f>
        <v>Трансформатор ТМГ-400/6/0,4 зав.№003815Y</v>
      </c>
      <c r="BG951" s="7" t="b">
        <f t="shared" si="388"/>
        <v>1</v>
      </c>
      <c r="BH951" s="35">
        <f>VLOOKUP(A:A,'2023-2027'!A:AT,43,+FALSE)</f>
        <v>764.02999999999986</v>
      </c>
    </row>
    <row r="952" spans="1:60" ht="24" hidden="1" customHeight="1" outlineLevel="1" x14ac:dyDescent="0.2">
      <c r="A952" s="59" t="s">
        <v>2193</v>
      </c>
      <c r="B952" s="59" t="s">
        <v>44</v>
      </c>
      <c r="C952" s="59" t="s">
        <v>82</v>
      </c>
      <c r="D952" s="66" t="s">
        <v>2194</v>
      </c>
      <c r="E952" s="59" t="s">
        <v>2173</v>
      </c>
      <c r="F952" s="60">
        <v>275050.95</v>
      </c>
      <c r="G952" s="60">
        <v>40052.1</v>
      </c>
      <c r="H952" s="60">
        <v>234998.85</v>
      </c>
      <c r="I952" s="59"/>
      <c r="J952" s="60">
        <v>9068.4</v>
      </c>
      <c r="K952" s="59"/>
      <c r="L952" s="59"/>
      <c r="M952" s="60">
        <v>275050.95</v>
      </c>
      <c r="N952" s="60">
        <v>49120.5</v>
      </c>
      <c r="O952" s="60">
        <v>225930.45</v>
      </c>
      <c r="P952" s="55"/>
      <c r="Q952" s="55"/>
      <c r="R952" s="61">
        <f t="shared" si="381"/>
        <v>755.69999999999993</v>
      </c>
      <c r="S952" s="60">
        <v>755.7</v>
      </c>
      <c r="T952" s="60">
        <v>755.7</v>
      </c>
      <c r="U952" s="60">
        <v>755.7</v>
      </c>
      <c r="V952" s="60">
        <v>755.7</v>
      </c>
      <c r="W952" s="60">
        <v>755.7</v>
      </c>
      <c r="X952" s="61">
        <f t="shared" si="382"/>
        <v>4534.2</v>
      </c>
      <c r="Y952" s="60">
        <v>755.7</v>
      </c>
      <c r="Z952" s="60">
        <v>755.7</v>
      </c>
      <c r="AA952" s="60">
        <v>755.7</v>
      </c>
      <c r="AB952" s="60">
        <v>755.7</v>
      </c>
      <c r="AC952" s="60">
        <v>755.7</v>
      </c>
      <c r="AD952" s="60">
        <v>755.7</v>
      </c>
      <c r="AE952" s="61">
        <f t="shared" si="383"/>
        <v>4534.2</v>
      </c>
      <c r="AF952" s="62">
        <f t="shared" si="390"/>
        <v>275050.95</v>
      </c>
      <c r="AG952" s="62">
        <f t="shared" si="389"/>
        <v>58188.899999999965</v>
      </c>
      <c r="AH952" s="62">
        <f t="shared" si="387"/>
        <v>216862.05000000005</v>
      </c>
      <c r="AI952" s="63"/>
      <c r="AJ952" s="63"/>
      <c r="AK952" s="62"/>
      <c r="AL952" s="60">
        <v>755.7</v>
      </c>
      <c r="AM952" s="60">
        <v>755.7</v>
      </c>
      <c r="AN952" s="60">
        <v>755.7</v>
      </c>
      <c r="AO952" s="60">
        <v>755.7</v>
      </c>
      <c r="AP952" s="60">
        <v>755.7</v>
      </c>
      <c r="AQ952" s="60">
        <v>755.7</v>
      </c>
      <c r="AR952" s="61">
        <f t="shared" si="384"/>
        <v>4534.2</v>
      </c>
      <c r="AS952" s="60">
        <v>755.7</v>
      </c>
      <c r="AT952" s="60">
        <v>755.7</v>
      </c>
      <c r="AU952" s="60">
        <v>755.7</v>
      </c>
      <c r="AV952" s="60">
        <v>755.7</v>
      </c>
      <c r="AW952" s="60">
        <v>755.7</v>
      </c>
      <c r="AX952" s="60">
        <v>755.7</v>
      </c>
      <c r="AY952" s="61">
        <f t="shared" si="385"/>
        <v>4534.2</v>
      </c>
      <c r="AZ952" s="56">
        <f t="shared" si="380"/>
        <v>9068.4</v>
      </c>
      <c r="BA952" s="62">
        <f t="shared" si="391"/>
        <v>275050.95</v>
      </c>
      <c r="BB952" s="62">
        <f t="shared" si="386"/>
        <v>67257.29999999993</v>
      </c>
      <c r="BC952" s="62">
        <f t="shared" si="392"/>
        <v>207793.65000000008</v>
      </c>
      <c r="BD952" s="63"/>
      <c r="BE952" s="57"/>
      <c r="BF952" s="35" t="str">
        <f>VLOOKUP(A:A,'2023-2027'!A:G,1,+FALSE)</f>
        <v>Трансформатор ТМГ-400/6/0,4 зав.№003816Y</v>
      </c>
      <c r="BG952" s="7" t="b">
        <f t="shared" si="388"/>
        <v>1</v>
      </c>
      <c r="BH952" s="35">
        <f>VLOOKUP(A:A,'2023-2027'!A:AT,43,+FALSE)</f>
        <v>764.02999999999986</v>
      </c>
    </row>
    <row r="953" spans="1:60" ht="24" hidden="1" customHeight="1" outlineLevel="1" x14ac:dyDescent="0.2">
      <c r="A953" s="59" t="s">
        <v>2195</v>
      </c>
      <c r="B953" s="59" t="s">
        <v>44</v>
      </c>
      <c r="C953" s="59" t="s">
        <v>82</v>
      </c>
      <c r="D953" s="66" t="s">
        <v>2196</v>
      </c>
      <c r="E953" s="59" t="s">
        <v>2173</v>
      </c>
      <c r="F953" s="60">
        <v>275050.95</v>
      </c>
      <c r="G953" s="60">
        <v>40052.1</v>
      </c>
      <c r="H953" s="60">
        <v>234998.85</v>
      </c>
      <c r="I953" s="59"/>
      <c r="J953" s="60">
        <v>9068.4</v>
      </c>
      <c r="K953" s="59"/>
      <c r="L953" s="59"/>
      <c r="M953" s="60">
        <v>275050.95</v>
      </c>
      <c r="N953" s="60">
        <v>49120.5</v>
      </c>
      <c r="O953" s="60">
        <v>225930.45</v>
      </c>
      <c r="P953" s="55"/>
      <c r="Q953" s="55"/>
      <c r="R953" s="61">
        <f t="shared" si="381"/>
        <v>755.69999999999993</v>
      </c>
      <c r="S953" s="60">
        <v>755.7</v>
      </c>
      <c r="T953" s="60">
        <v>755.7</v>
      </c>
      <c r="U953" s="60">
        <v>755.7</v>
      </c>
      <c r="V953" s="60">
        <v>755.7</v>
      </c>
      <c r="W953" s="60">
        <v>755.7</v>
      </c>
      <c r="X953" s="61">
        <f t="shared" si="382"/>
        <v>4534.2</v>
      </c>
      <c r="Y953" s="60">
        <v>755.7</v>
      </c>
      <c r="Z953" s="60">
        <v>755.7</v>
      </c>
      <c r="AA953" s="60">
        <v>755.7</v>
      </c>
      <c r="AB953" s="60">
        <v>755.7</v>
      </c>
      <c r="AC953" s="60">
        <v>755.7</v>
      </c>
      <c r="AD953" s="60">
        <v>755.7</v>
      </c>
      <c r="AE953" s="61">
        <f t="shared" si="383"/>
        <v>4534.2</v>
      </c>
      <c r="AF953" s="62">
        <f t="shared" si="390"/>
        <v>275050.95</v>
      </c>
      <c r="AG953" s="62">
        <f t="shared" si="389"/>
        <v>58188.899999999965</v>
      </c>
      <c r="AH953" s="62">
        <f t="shared" si="387"/>
        <v>216862.05000000005</v>
      </c>
      <c r="AI953" s="63"/>
      <c r="AJ953" s="63"/>
      <c r="AK953" s="62"/>
      <c r="AL953" s="60">
        <v>755.7</v>
      </c>
      <c r="AM953" s="60">
        <v>755.7</v>
      </c>
      <c r="AN953" s="60">
        <v>755.7</v>
      </c>
      <c r="AO953" s="60">
        <v>755.7</v>
      </c>
      <c r="AP953" s="60">
        <v>755.7</v>
      </c>
      <c r="AQ953" s="60">
        <v>755.7</v>
      </c>
      <c r="AR953" s="61">
        <f t="shared" si="384"/>
        <v>4534.2</v>
      </c>
      <c r="AS953" s="60">
        <v>755.7</v>
      </c>
      <c r="AT953" s="60">
        <v>755.7</v>
      </c>
      <c r="AU953" s="60">
        <v>755.7</v>
      </c>
      <c r="AV953" s="60">
        <v>755.7</v>
      </c>
      <c r="AW953" s="60">
        <v>755.7</v>
      </c>
      <c r="AX953" s="60">
        <v>755.7</v>
      </c>
      <c r="AY953" s="61">
        <f t="shared" si="385"/>
        <v>4534.2</v>
      </c>
      <c r="AZ953" s="56">
        <f t="shared" si="380"/>
        <v>9068.4</v>
      </c>
      <c r="BA953" s="62">
        <f t="shared" si="391"/>
        <v>275050.95</v>
      </c>
      <c r="BB953" s="62">
        <f t="shared" si="386"/>
        <v>67257.29999999993</v>
      </c>
      <c r="BC953" s="62">
        <f t="shared" si="392"/>
        <v>207793.65000000008</v>
      </c>
      <c r="BD953" s="63"/>
      <c r="BE953" s="57"/>
      <c r="BF953" s="35" t="str">
        <f>VLOOKUP(A:A,'2023-2027'!A:G,1,+FALSE)</f>
        <v>Трансформатор ТМГ-400/6/0,4 зав.№003817Y</v>
      </c>
      <c r="BG953" s="7" t="b">
        <f t="shared" si="388"/>
        <v>1</v>
      </c>
      <c r="BH953" s="35">
        <f>VLOOKUP(A:A,'2023-2027'!A:AT,43,+FALSE)</f>
        <v>764.02999999999986</v>
      </c>
    </row>
    <row r="954" spans="1:60" ht="36" hidden="1" customHeight="1" outlineLevel="1" x14ac:dyDescent="0.2">
      <c r="A954" s="59" t="s">
        <v>2492</v>
      </c>
      <c r="B954" s="59" t="s">
        <v>44</v>
      </c>
      <c r="C954" s="59" t="s">
        <v>82</v>
      </c>
      <c r="D954" s="66" t="s">
        <v>2197</v>
      </c>
      <c r="E954" s="59" t="s">
        <v>1560</v>
      </c>
      <c r="F954" s="60">
        <v>280493.28999999998</v>
      </c>
      <c r="G954" s="60">
        <v>47405.02</v>
      </c>
      <c r="H954" s="60">
        <v>233088.27</v>
      </c>
      <c r="I954" s="59"/>
      <c r="J954" s="60">
        <v>13874.64</v>
      </c>
      <c r="K954" s="59"/>
      <c r="L954" s="59"/>
      <c r="M954" s="60">
        <v>280493.28999999998</v>
      </c>
      <c r="N954" s="60">
        <v>61279.66</v>
      </c>
      <c r="O954" s="60">
        <v>219213.63</v>
      </c>
      <c r="P954" s="55"/>
      <c r="Q954" s="55"/>
      <c r="R954" s="61">
        <f t="shared" si="381"/>
        <v>1156.22</v>
      </c>
      <c r="S954" s="60">
        <v>1156.22</v>
      </c>
      <c r="T954" s="60">
        <v>1156.22</v>
      </c>
      <c r="U954" s="60">
        <v>1156.22</v>
      </c>
      <c r="V954" s="60">
        <v>1156.22</v>
      </c>
      <c r="W954" s="60">
        <v>1156.22</v>
      </c>
      <c r="X954" s="61">
        <f t="shared" si="382"/>
        <v>6937.3200000000006</v>
      </c>
      <c r="Y954" s="60">
        <v>1156.22</v>
      </c>
      <c r="Z954" s="60">
        <v>1156.22</v>
      </c>
      <c r="AA954" s="60">
        <v>1156.22</v>
      </c>
      <c r="AB954" s="60">
        <v>1156.22</v>
      </c>
      <c r="AC954" s="60">
        <v>1156.22</v>
      </c>
      <c r="AD954" s="60">
        <v>1156.22</v>
      </c>
      <c r="AE954" s="61">
        <f t="shared" si="383"/>
        <v>6937.3200000000006</v>
      </c>
      <c r="AF954" s="62">
        <f t="shared" si="390"/>
        <v>280493.28999999998</v>
      </c>
      <c r="AG954" s="62">
        <f t="shared" si="389"/>
        <v>75154.300000000017</v>
      </c>
      <c r="AH954" s="62">
        <f t="shared" si="387"/>
        <v>205338.98999999996</v>
      </c>
      <c r="AI954" s="63"/>
      <c r="AJ954" s="63"/>
      <c r="AK954" s="62"/>
      <c r="AL954" s="60">
        <v>1156.22</v>
      </c>
      <c r="AM954" s="60">
        <v>1156.22</v>
      </c>
      <c r="AN954" s="60">
        <v>1156.22</v>
      </c>
      <c r="AO954" s="60">
        <v>1156.22</v>
      </c>
      <c r="AP954" s="60">
        <v>1156.22</v>
      </c>
      <c r="AQ954" s="60">
        <v>1156.22</v>
      </c>
      <c r="AR954" s="61">
        <f t="shared" si="384"/>
        <v>6937.3200000000006</v>
      </c>
      <c r="AS954" s="60">
        <v>1156.22</v>
      </c>
      <c r="AT954" s="60">
        <v>1156.22</v>
      </c>
      <c r="AU954" s="60">
        <v>1156.22</v>
      </c>
      <c r="AV954" s="60">
        <v>1156.22</v>
      </c>
      <c r="AW954" s="60">
        <v>1156.22</v>
      </c>
      <c r="AX954" s="60">
        <v>1156.22</v>
      </c>
      <c r="AY954" s="61">
        <f t="shared" si="385"/>
        <v>6937.3200000000006</v>
      </c>
      <c r="AZ954" s="56">
        <f t="shared" si="380"/>
        <v>13874.640000000001</v>
      </c>
      <c r="BA954" s="62">
        <f t="shared" si="391"/>
        <v>280493.28999999998</v>
      </c>
      <c r="BB954" s="62">
        <f t="shared" si="386"/>
        <v>89028.940000000031</v>
      </c>
      <c r="BC954" s="62">
        <f t="shared" si="392"/>
        <v>191464.34999999995</v>
      </c>
      <c r="BD954" s="63"/>
      <c r="BE954" s="57"/>
      <c r="BF954" s="35" t="str">
        <f>VLOOKUP(A:A,'2023-2027'!A:G,1,+FALSE)</f>
        <v>Трансформатор ТМГ-400/6/0,4 схема и группа соединений Д/Ун-11, зав.№1804жг214</v>
      </c>
      <c r="BG954" s="7" t="b">
        <f t="shared" si="388"/>
        <v>1</v>
      </c>
      <c r="BH954" s="35">
        <f>VLOOKUP(A:A,'2023-2027'!A:AT,43,+FALSE)</f>
        <v>1168.7199999999998</v>
      </c>
    </row>
    <row r="955" spans="1:60" ht="24" hidden="1" customHeight="1" outlineLevel="1" x14ac:dyDescent="0.2">
      <c r="A955" s="59" t="s">
        <v>2198</v>
      </c>
      <c r="B955" s="59" t="s">
        <v>44</v>
      </c>
      <c r="C955" s="59" t="s">
        <v>82</v>
      </c>
      <c r="D955" s="65" t="s">
        <v>2199</v>
      </c>
      <c r="E955" s="59" t="s">
        <v>203</v>
      </c>
      <c r="F955" s="60">
        <v>64000</v>
      </c>
      <c r="G955" s="60">
        <v>50086.080000000002</v>
      </c>
      <c r="H955" s="60">
        <v>13913.92</v>
      </c>
      <c r="I955" s="59"/>
      <c r="J955" s="60">
        <v>2782.8</v>
      </c>
      <c r="K955" s="59"/>
      <c r="L955" s="59"/>
      <c r="M955" s="60">
        <v>64000</v>
      </c>
      <c r="N955" s="60">
        <v>52868.88</v>
      </c>
      <c r="O955" s="60">
        <v>11131.12</v>
      </c>
      <c r="P955" s="55"/>
      <c r="Q955" s="55"/>
      <c r="R955" s="61">
        <f t="shared" si="381"/>
        <v>231.9</v>
      </c>
      <c r="S955" s="60">
        <v>231.9</v>
      </c>
      <c r="T955" s="60">
        <v>231.9</v>
      </c>
      <c r="U955" s="60">
        <v>231.9</v>
      </c>
      <c r="V955" s="60">
        <v>231.9</v>
      </c>
      <c r="W955" s="60">
        <v>231.9</v>
      </c>
      <c r="X955" s="61">
        <f t="shared" si="382"/>
        <v>1391.4</v>
      </c>
      <c r="Y955" s="60">
        <v>231.9</v>
      </c>
      <c r="Z955" s="60">
        <v>231.9</v>
      </c>
      <c r="AA955" s="60">
        <v>231.9</v>
      </c>
      <c r="AB955" s="60">
        <v>231.9</v>
      </c>
      <c r="AC955" s="60">
        <v>231.9</v>
      </c>
      <c r="AD955" s="60">
        <v>231.9</v>
      </c>
      <c r="AE955" s="61">
        <f t="shared" si="383"/>
        <v>1391.4</v>
      </c>
      <c r="AF955" s="62">
        <f t="shared" si="390"/>
        <v>64000</v>
      </c>
      <c r="AG955" s="62">
        <f t="shared" si="389"/>
        <v>55651.680000000015</v>
      </c>
      <c r="AH955" s="62">
        <f t="shared" si="387"/>
        <v>8348.3199999999852</v>
      </c>
      <c r="AI955" s="63"/>
      <c r="AJ955" s="63"/>
      <c r="AK955" s="62"/>
      <c r="AL955" s="60">
        <v>231.9</v>
      </c>
      <c r="AM955" s="60">
        <v>231.9</v>
      </c>
      <c r="AN955" s="60">
        <v>231.9</v>
      </c>
      <c r="AO955" s="60">
        <v>231.9</v>
      </c>
      <c r="AP955" s="60">
        <v>231.9</v>
      </c>
      <c r="AQ955" s="60">
        <v>231.9</v>
      </c>
      <c r="AR955" s="61">
        <f t="shared" si="384"/>
        <v>1391.4</v>
      </c>
      <c r="AS955" s="60">
        <v>231.9</v>
      </c>
      <c r="AT955" s="60">
        <v>231.9</v>
      </c>
      <c r="AU955" s="60">
        <v>231.9</v>
      </c>
      <c r="AV955" s="60">
        <v>231.9</v>
      </c>
      <c r="AW955" s="60">
        <v>231.9</v>
      </c>
      <c r="AX955" s="60">
        <v>231.9</v>
      </c>
      <c r="AY955" s="61">
        <f t="shared" si="385"/>
        <v>1391.4</v>
      </c>
      <c r="AZ955" s="56">
        <f t="shared" si="380"/>
        <v>2782.8</v>
      </c>
      <c r="BA955" s="62">
        <f t="shared" si="391"/>
        <v>64000</v>
      </c>
      <c r="BB955" s="62">
        <f t="shared" si="386"/>
        <v>58434.480000000032</v>
      </c>
      <c r="BC955" s="62">
        <f t="shared" si="392"/>
        <v>5565.5199999999677</v>
      </c>
      <c r="BD955" s="63"/>
      <c r="BE955" s="57"/>
      <c r="BF955" s="35" t="e">
        <f>VLOOKUP(A:A,'2023-2027'!A:G,1,+FALSE)</f>
        <v>#N/A</v>
      </c>
      <c r="BG955" s="7" t="e">
        <f t="shared" si="388"/>
        <v>#N/A</v>
      </c>
      <c r="BH955" s="35"/>
    </row>
    <row r="956" spans="1:60" ht="24" hidden="1" customHeight="1" outlineLevel="1" x14ac:dyDescent="0.2">
      <c r="A956" s="59" t="s">
        <v>2200</v>
      </c>
      <c r="B956" s="59" t="s">
        <v>44</v>
      </c>
      <c r="C956" s="59" t="s">
        <v>82</v>
      </c>
      <c r="D956" s="66" t="s">
        <v>2201</v>
      </c>
      <c r="E956" s="59" t="s">
        <v>1325</v>
      </c>
      <c r="F956" s="60">
        <v>53333.33</v>
      </c>
      <c r="G956" s="60">
        <v>42594.86</v>
      </c>
      <c r="H956" s="60">
        <v>10738.47</v>
      </c>
      <c r="I956" s="59"/>
      <c r="J956" s="60">
        <v>2147.67</v>
      </c>
      <c r="K956" s="59"/>
      <c r="L956" s="59"/>
      <c r="M956" s="60">
        <v>53333.33</v>
      </c>
      <c r="N956" s="60">
        <v>44742.53</v>
      </c>
      <c r="O956" s="60">
        <v>8590.7999999999993</v>
      </c>
      <c r="P956" s="55"/>
      <c r="Q956" s="55"/>
      <c r="R956" s="61">
        <f t="shared" si="381"/>
        <v>178.9725</v>
      </c>
      <c r="S956" s="60">
        <v>178.9725</v>
      </c>
      <c r="T956" s="60">
        <v>178.9725</v>
      </c>
      <c r="U956" s="60">
        <v>178.9725</v>
      </c>
      <c r="V956" s="60">
        <v>178.9725</v>
      </c>
      <c r="W956" s="60">
        <v>178.9725</v>
      </c>
      <c r="X956" s="61">
        <f t="shared" si="382"/>
        <v>1073.835</v>
      </c>
      <c r="Y956" s="60">
        <v>178.9725</v>
      </c>
      <c r="Z956" s="60">
        <v>178.9725</v>
      </c>
      <c r="AA956" s="60">
        <v>178.9725</v>
      </c>
      <c r="AB956" s="60">
        <v>178.9725</v>
      </c>
      <c r="AC956" s="60">
        <v>178.9725</v>
      </c>
      <c r="AD956" s="60">
        <v>178.9725</v>
      </c>
      <c r="AE956" s="61">
        <f t="shared" si="383"/>
        <v>1073.835</v>
      </c>
      <c r="AF956" s="62">
        <f t="shared" si="390"/>
        <v>53333.33</v>
      </c>
      <c r="AG956" s="62">
        <f t="shared" si="389"/>
        <v>46890.200000000041</v>
      </c>
      <c r="AH956" s="62">
        <f t="shared" si="387"/>
        <v>6443.129999999961</v>
      </c>
      <c r="AI956" s="63"/>
      <c r="AJ956" s="63"/>
      <c r="AK956" s="62"/>
      <c r="AL956" s="60">
        <v>178.9725</v>
      </c>
      <c r="AM956" s="60">
        <v>178.9725</v>
      </c>
      <c r="AN956" s="60">
        <v>178.9725</v>
      </c>
      <c r="AO956" s="60">
        <v>178.9725</v>
      </c>
      <c r="AP956" s="60">
        <v>178.9725</v>
      </c>
      <c r="AQ956" s="60">
        <v>178.9725</v>
      </c>
      <c r="AR956" s="61">
        <f t="shared" si="384"/>
        <v>1073.835</v>
      </c>
      <c r="AS956" s="60">
        <v>178.9725</v>
      </c>
      <c r="AT956" s="60">
        <v>178.9725</v>
      </c>
      <c r="AU956" s="60">
        <v>178.9725</v>
      </c>
      <c r="AV956" s="60">
        <v>178.9725</v>
      </c>
      <c r="AW956" s="60">
        <v>178.9725</v>
      </c>
      <c r="AX956" s="60">
        <v>178.9725</v>
      </c>
      <c r="AY956" s="61">
        <f t="shared" si="385"/>
        <v>1073.835</v>
      </c>
      <c r="AZ956" s="56">
        <f t="shared" si="380"/>
        <v>2147.67</v>
      </c>
      <c r="BA956" s="62">
        <f t="shared" si="391"/>
        <v>53333.33</v>
      </c>
      <c r="BB956" s="62">
        <f t="shared" si="386"/>
        <v>49037.870000000083</v>
      </c>
      <c r="BC956" s="62">
        <f t="shared" si="392"/>
        <v>4295.4599999999191</v>
      </c>
      <c r="BD956" s="63"/>
      <c r="BE956" s="57"/>
      <c r="BF956" s="35" t="str">
        <f>VLOOKUP(A:A,'2023-2027'!A:G,1,+FALSE)</f>
        <v>Трансформатор ТМГ-63/6-0,4 №1461186 2001г.в.</v>
      </c>
      <c r="BG956" s="7" t="b">
        <f t="shared" si="388"/>
        <v>1</v>
      </c>
      <c r="BH956" s="35">
        <f>VLOOKUP(A:A,'2023-2027'!A:AT,43,+FALSE)</f>
        <v>224.09</v>
      </c>
    </row>
    <row r="957" spans="1:60" ht="24" hidden="1" customHeight="1" outlineLevel="1" x14ac:dyDescent="0.2">
      <c r="A957" s="59" t="s">
        <v>2202</v>
      </c>
      <c r="B957" s="59" t="s">
        <v>44</v>
      </c>
      <c r="C957" s="59" t="s">
        <v>82</v>
      </c>
      <c r="D957" s="66" t="s">
        <v>2203</v>
      </c>
      <c r="E957" s="59" t="s">
        <v>2204</v>
      </c>
      <c r="F957" s="60">
        <v>3772577.57</v>
      </c>
      <c r="G957" s="60">
        <v>689368.09</v>
      </c>
      <c r="H957" s="60">
        <v>3083209.48</v>
      </c>
      <c r="I957" s="59"/>
      <c r="J957" s="60">
        <v>223578.84</v>
      </c>
      <c r="K957" s="59"/>
      <c r="L957" s="59"/>
      <c r="M957" s="60">
        <v>3772577.57</v>
      </c>
      <c r="N957" s="60">
        <v>912946.93</v>
      </c>
      <c r="O957" s="60">
        <v>2859630.64</v>
      </c>
      <c r="P957" s="55"/>
      <c r="Q957" s="55"/>
      <c r="R957" s="61">
        <f t="shared" si="381"/>
        <v>18631.57</v>
      </c>
      <c r="S957" s="60">
        <v>18631.57</v>
      </c>
      <c r="T957" s="60">
        <v>18631.57</v>
      </c>
      <c r="U957" s="60">
        <v>18631.57</v>
      </c>
      <c r="V957" s="60">
        <v>18631.57</v>
      </c>
      <c r="W957" s="60">
        <v>18631.57</v>
      </c>
      <c r="X957" s="61">
        <f t="shared" si="382"/>
        <v>111789.42000000001</v>
      </c>
      <c r="Y957" s="60">
        <v>18631.57</v>
      </c>
      <c r="Z957" s="60">
        <v>18631.57</v>
      </c>
      <c r="AA957" s="60">
        <v>18631.57</v>
      </c>
      <c r="AB957" s="60">
        <v>18631.57</v>
      </c>
      <c r="AC957" s="60">
        <v>18631.57</v>
      </c>
      <c r="AD957" s="60">
        <v>18631.57</v>
      </c>
      <c r="AE957" s="61">
        <f t="shared" si="383"/>
        <v>111789.42000000001</v>
      </c>
      <c r="AF957" s="62">
        <f t="shared" si="390"/>
        <v>3772577.57</v>
      </c>
      <c r="AG957" s="62">
        <f t="shared" si="389"/>
        <v>1136525.77</v>
      </c>
      <c r="AH957" s="62">
        <f t="shared" si="387"/>
        <v>2636051.7999999998</v>
      </c>
      <c r="AI957" s="63"/>
      <c r="AJ957" s="63"/>
      <c r="AK957" s="62"/>
      <c r="AL957" s="60">
        <v>18631.57</v>
      </c>
      <c r="AM957" s="60">
        <v>18631.57</v>
      </c>
      <c r="AN957" s="60">
        <v>18631.57</v>
      </c>
      <c r="AO957" s="60">
        <v>18631.57</v>
      </c>
      <c r="AP957" s="60">
        <v>18631.57</v>
      </c>
      <c r="AQ957" s="60">
        <v>18631.57</v>
      </c>
      <c r="AR957" s="61">
        <f t="shared" si="384"/>
        <v>111789.42000000001</v>
      </c>
      <c r="AS957" s="60">
        <v>18631.57</v>
      </c>
      <c r="AT957" s="60">
        <v>18631.57</v>
      </c>
      <c r="AU957" s="60">
        <v>18631.57</v>
      </c>
      <c r="AV957" s="60">
        <v>18631.57</v>
      </c>
      <c r="AW957" s="60">
        <v>18631.57</v>
      </c>
      <c r="AX957" s="60">
        <v>18631.57</v>
      </c>
      <c r="AY957" s="61">
        <f t="shared" si="385"/>
        <v>111789.42000000001</v>
      </c>
      <c r="AZ957" s="56">
        <f t="shared" si="380"/>
        <v>223578.84000000003</v>
      </c>
      <c r="BA957" s="62">
        <f t="shared" si="391"/>
        <v>3772577.57</v>
      </c>
      <c r="BB957" s="62">
        <f t="shared" si="386"/>
        <v>1360104.6100000008</v>
      </c>
      <c r="BC957" s="62">
        <f t="shared" si="392"/>
        <v>2412472.959999999</v>
      </c>
      <c r="BD957" s="63"/>
      <c r="BE957" s="57"/>
      <c r="BF957" s="35" t="str">
        <f>VLOOKUP(A:A,'2023-2027'!A:G,1,+FALSE)</f>
        <v>Трансформатор трёхфазный 35 кВ мощностью 1000 кВ А</v>
      </c>
      <c r="BG957" s="7" t="b">
        <f t="shared" si="388"/>
        <v>1</v>
      </c>
      <c r="BH957" s="35">
        <f>VLOOKUP(A:A,'2023-2027'!A:AT,43,+FALSE)</f>
        <v>18676.13</v>
      </c>
    </row>
    <row r="958" spans="1:60" ht="24" hidden="1" customHeight="1" outlineLevel="1" x14ac:dyDescent="0.2">
      <c r="A958" s="59" t="s">
        <v>2202</v>
      </c>
      <c r="B958" s="59" t="s">
        <v>44</v>
      </c>
      <c r="C958" s="59" t="s">
        <v>82</v>
      </c>
      <c r="D958" s="66" t="s">
        <v>2205</v>
      </c>
      <c r="E958" s="59" t="s">
        <v>2204</v>
      </c>
      <c r="F958" s="60">
        <v>3772577.57</v>
      </c>
      <c r="G958" s="60">
        <v>689368.09</v>
      </c>
      <c r="H958" s="60">
        <v>3083209.48</v>
      </c>
      <c r="I958" s="59"/>
      <c r="J958" s="60">
        <v>223578.84</v>
      </c>
      <c r="K958" s="59"/>
      <c r="L958" s="59"/>
      <c r="M958" s="60">
        <v>3772577.57</v>
      </c>
      <c r="N958" s="60">
        <v>912946.93</v>
      </c>
      <c r="O958" s="60">
        <v>2859630.64</v>
      </c>
      <c r="P958" s="55"/>
      <c r="Q958" s="55"/>
      <c r="R958" s="61">
        <f t="shared" si="381"/>
        <v>18631.57</v>
      </c>
      <c r="S958" s="60">
        <v>18631.57</v>
      </c>
      <c r="T958" s="60">
        <v>18631.57</v>
      </c>
      <c r="U958" s="60">
        <v>18631.57</v>
      </c>
      <c r="V958" s="60">
        <v>18631.57</v>
      </c>
      <c r="W958" s="60">
        <v>18631.57</v>
      </c>
      <c r="X958" s="61">
        <f t="shared" si="382"/>
        <v>111789.42000000001</v>
      </c>
      <c r="Y958" s="60">
        <v>18631.57</v>
      </c>
      <c r="Z958" s="60">
        <v>18631.57</v>
      </c>
      <c r="AA958" s="60">
        <v>18631.57</v>
      </c>
      <c r="AB958" s="60">
        <v>18631.57</v>
      </c>
      <c r="AC958" s="60">
        <v>18631.57</v>
      </c>
      <c r="AD958" s="60">
        <v>18631.57</v>
      </c>
      <c r="AE958" s="61">
        <f t="shared" si="383"/>
        <v>111789.42000000001</v>
      </c>
      <c r="AF958" s="62">
        <f t="shared" si="390"/>
        <v>3772577.57</v>
      </c>
      <c r="AG958" s="62">
        <f t="shared" si="389"/>
        <v>1136525.77</v>
      </c>
      <c r="AH958" s="62">
        <f t="shared" si="387"/>
        <v>2636051.7999999998</v>
      </c>
      <c r="AI958" s="63"/>
      <c r="AJ958" s="63"/>
      <c r="AK958" s="62"/>
      <c r="AL958" s="60">
        <v>18631.57</v>
      </c>
      <c r="AM958" s="60">
        <v>18631.57</v>
      </c>
      <c r="AN958" s="60">
        <v>18631.57</v>
      </c>
      <c r="AO958" s="60">
        <v>18631.57</v>
      </c>
      <c r="AP958" s="60">
        <v>18631.57</v>
      </c>
      <c r="AQ958" s="60">
        <v>18631.57</v>
      </c>
      <c r="AR958" s="61">
        <f t="shared" si="384"/>
        <v>111789.42000000001</v>
      </c>
      <c r="AS958" s="60">
        <v>18631.57</v>
      </c>
      <c r="AT958" s="60">
        <v>18631.57</v>
      </c>
      <c r="AU958" s="60">
        <v>18631.57</v>
      </c>
      <c r="AV958" s="60">
        <v>18631.57</v>
      </c>
      <c r="AW958" s="60">
        <v>18631.57</v>
      </c>
      <c r="AX958" s="60">
        <v>18631.57</v>
      </c>
      <c r="AY958" s="61">
        <f t="shared" si="385"/>
        <v>111789.42000000001</v>
      </c>
      <c r="AZ958" s="56">
        <f t="shared" si="380"/>
        <v>223578.84000000003</v>
      </c>
      <c r="BA958" s="62">
        <f t="shared" si="391"/>
        <v>3772577.57</v>
      </c>
      <c r="BB958" s="62">
        <f t="shared" si="386"/>
        <v>1360104.6100000008</v>
      </c>
      <c r="BC958" s="62">
        <f t="shared" si="392"/>
        <v>2412472.959999999</v>
      </c>
      <c r="BD958" s="63"/>
      <c r="BE958" s="57"/>
      <c r="BF958" s="35" t="str">
        <f>VLOOKUP(A:A,'2023-2027'!A:G,1,+FALSE)</f>
        <v>Трансформатор трёхфазный 35 кВ мощностью 1000 кВ А</v>
      </c>
      <c r="BG958" s="7" t="b">
        <f t="shared" si="388"/>
        <v>1</v>
      </c>
      <c r="BH958" s="35">
        <f>VLOOKUP(A:A,'2023-2027'!A:AT,43,+FALSE)</f>
        <v>18676.13</v>
      </c>
    </row>
    <row r="959" spans="1:60" ht="24" hidden="1" customHeight="1" outlineLevel="1" x14ac:dyDescent="0.2">
      <c r="A959" s="59" t="s">
        <v>2206</v>
      </c>
      <c r="B959" s="59" t="s">
        <v>44</v>
      </c>
      <c r="C959" s="59" t="s">
        <v>82</v>
      </c>
      <c r="D959" s="65" t="s">
        <v>2207</v>
      </c>
      <c r="E959" s="59" t="s">
        <v>203</v>
      </c>
      <c r="F959" s="60">
        <v>81960</v>
      </c>
      <c r="G959" s="60">
        <v>62499.6</v>
      </c>
      <c r="H959" s="60">
        <v>19460.400000000001</v>
      </c>
      <c r="I959" s="59"/>
      <c r="J959" s="60">
        <v>3472.08</v>
      </c>
      <c r="K959" s="59"/>
      <c r="L959" s="59"/>
      <c r="M959" s="60">
        <v>81960</v>
      </c>
      <c r="N959" s="60">
        <v>65971.679999999993</v>
      </c>
      <c r="O959" s="60">
        <v>15988.32</v>
      </c>
      <c r="P959" s="55"/>
      <c r="Q959" s="55"/>
      <c r="R959" s="61">
        <f t="shared" si="381"/>
        <v>289.33999999999997</v>
      </c>
      <c r="S959" s="60">
        <v>289.33999999999997</v>
      </c>
      <c r="T959" s="60">
        <v>289.33999999999997</v>
      </c>
      <c r="U959" s="60">
        <v>289.33999999999997</v>
      </c>
      <c r="V959" s="60">
        <v>289.33999999999997</v>
      </c>
      <c r="W959" s="60">
        <v>289.33999999999997</v>
      </c>
      <c r="X959" s="61">
        <f t="shared" si="382"/>
        <v>1736.0399999999997</v>
      </c>
      <c r="Y959" s="60">
        <v>289.33999999999997</v>
      </c>
      <c r="Z959" s="60">
        <v>289.33999999999997</v>
      </c>
      <c r="AA959" s="60">
        <v>289.33999999999997</v>
      </c>
      <c r="AB959" s="60">
        <v>289.33999999999997</v>
      </c>
      <c r="AC959" s="60">
        <v>289.33999999999997</v>
      </c>
      <c r="AD959" s="60">
        <v>289.33999999999997</v>
      </c>
      <c r="AE959" s="61">
        <f t="shared" si="383"/>
        <v>1736.0399999999997</v>
      </c>
      <c r="AF959" s="62">
        <f t="shared" si="390"/>
        <v>81960</v>
      </c>
      <c r="AG959" s="62">
        <f t="shared" si="389"/>
        <v>69443.759999999951</v>
      </c>
      <c r="AH959" s="62">
        <f t="shared" si="387"/>
        <v>12516.240000000049</v>
      </c>
      <c r="AI959" s="63"/>
      <c r="AJ959" s="63"/>
      <c r="AK959" s="62"/>
      <c r="AL959" s="60">
        <v>289.33999999999997</v>
      </c>
      <c r="AM959" s="60">
        <v>289.33999999999997</v>
      </c>
      <c r="AN959" s="60">
        <v>289.33999999999997</v>
      </c>
      <c r="AO959" s="60">
        <v>289.33999999999997</v>
      </c>
      <c r="AP959" s="60">
        <v>289.33999999999997</v>
      </c>
      <c r="AQ959" s="60">
        <v>289.33999999999997</v>
      </c>
      <c r="AR959" s="61">
        <f t="shared" si="384"/>
        <v>1736.0399999999997</v>
      </c>
      <c r="AS959" s="60">
        <v>289.33999999999997</v>
      </c>
      <c r="AT959" s="60">
        <v>289.33999999999997</v>
      </c>
      <c r="AU959" s="60">
        <v>289.33999999999997</v>
      </c>
      <c r="AV959" s="60">
        <v>289.33999999999997</v>
      </c>
      <c r="AW959" s="60">
        <v>289.33999999999997</v>
      </c>
      <c r="AX959" s="60">
        <v>289.33999999999997</v>
      </c>
      <c r="AY959" s="61">
        <f t="shared" si="385"/>
        <v>1736.0399999999997</v>
      </c>
      <c r="AZ959" s="56">
        <f t="shared" si="380"/>
        <v>3472.0799999999995</v>
      </c>
      <c r="BA959" s="62">
        <f t="shared" si="391"/>
        <v>81960</v>
      </c>
      <c r="BB959" s="62">
        <f t="shared" si="386"/>
        <v>72915.839999999909</v>
      </c>
      <c r="BC959" s="62">
        <f t="shared" si="392"/>
        <v>9044.1600000000908</v>
      </c>
      <c r="BD959" s="63"/>
      <c r="BE959" s="57"/>
      <c r="BF959" s="35" t="e">
        <f>VLOOKUP(A:A,'2023-2027'!A:G,1,+FALSE)</f>
        <v>#N/A</v>
      </c>
      <c r="BG959" s="7" t="e">
        <f t="shared" si="388"/>
        <v>#N/A</v>
      </c>
      <c r="BH959" s="35"/>
    </row>
    <row r="960" spans="1:60" ht="12" hidden="1" customHeight="1" outlineLevel="1" x14ac:dyDescent="0.2">
      <c r="A960" s="59" t="s">
        <v>84</v>
      </c>
      <c r="B960" s="59" t="s">
        <v>44</v>
      </c>
      <c r="C960" s="59" t="s">
        <v>82</v>
      </c>
      <c r="D960" s="66" t="s">
        <v>2208</v>
      </c>
      <c r="E960" s="59" t="s">
        <v>1516</v>
      </c>
      <c r="F960" s="60">
        <v>1135845.03</v>
      </c>
      <c r="G960" s="60">
        <v>75323.039999999994</v>
      </c>
      <c r="H960" s="60">
        <v>1060521.99</v>
      </c>
      <c r="I960" s="59"/>
      <c r="J960" s="60">
        <v>112984.49</v>
      </c>
      <c r="K960" s="59"/>
      <c r="L960" s="59"/>
      <c r="M960" s="60">
        <v>1135845.03</v>
      </c>
      <c r="N960" s="60">
        <v>188307.53</v>
      </c>
      <c r="O960" s="60">
        <v>947537.5</v>
      </c>
      <c r="P960" s="55">
        <v>1004029.75</v>
      </c>
      <c r="Q960" s="55">
        <f t="shared" ref="Q960:Q970" si="393">P960*2.2%</f>
        <v>22088.654500000001</v>
      </c>
      <c r="R960" s="61">
        <f t="shared" si="381"/>
        <v>9415.3741666666665</v>
      </c>
      <c r="S960" s="60">
        <v>9415.3741669999999</v>
      </c>
      <c r="T960" s="60">
        <v>9415.3741669999999</v>
      </c>
      <c r="U960" s="60">
        <v>9415.3741669999999</v>
      </c>
      <c r="V960" s="60">
        <v>9415.3741669999999</v>
      </c>
      <c r="W960" s="60">
        <v>9415.3741669999999</v>
      </c>
      <c r="X960" s="61">
        <f t="shared" si="382"/>
        <v>56492.24500166667</v>
      </c>
      <c r="Y960" s="60">
        <v>9415.3741669999999</v>
      </c>
      <c r="Z960" s="60">
        <v>9415.3741669999999</v>
      </c>
      <c r="AA960" s="60">
        <v>9415.3741669999999</v>
      </c>
      <c r="AB960" s="60">
        <v>9415.3741669999999</v>
      </c>
      <c r="AC960" s="60">
        <v>9415.3741669999999</v>
      </c>
      <c r="AD960" s="60">
        <v>9415.3741669999999</v>
      </c>
      <c r="AE960" s="61">
        <f t="shared" si="383"/>
        <v>56492.245002000003</v>
      </c>
      <c r="AF960" s="62">
        <f t="shared" si="390"/>
        <v>1135845.03</v>
      </c>
      <c r="AG960" s="62">
        <f t="shared" si="389"/>
        <v>301292.02000366669</v>
      </c>
      <c r="AH960" s="62">
        <f t="shared" si="387"/>
        <v>834553.00999633339</v>
      </c>
      <c r="AI960" s="63">
        <v>891045.28000000061</v>
      </c>
      <c r="AJ960" s="63">
        <f t="shared" ref="AJ960:AJ970" si="394">AI960*2.2%</f>
        <v>19602.996160000017</v>
      </c>
      <c r="AK960" s="72">
        <f t="shared" ref="AK960:AK969" si="395">AI960*2.2%</f>
        <v>19602.996160000017</v>
      </c>
      <c r="AL960" s="60">
        <v>9415.3741669999999</v>
      </c>
      <c r="AM960" s="60">
        <v>9415.3741669999999</v>
      </c>
      <c r="AN960" s="60">
        <v>9415.3741669999999</v>
      </c>
      <c r="AO960" s="60">
        <v>9415.3741669999999</v>
      </c>
      <c r="AP960" s="60">
        <v>9415.3741669999999</v>
      </c>
      <c r="AQ960" s="60">
        <v>9415.3741669999999</v>
      </c>
      <c r="AR960" s="61">
        <f t="shared" si="384"/>
        <v>56492.245002000003</v>
      </c>
      <c r="AS960" s="60">
        <v>9415.3741669999999</v>
      </c>
      <c r="AT960" s="60">
        <v>9415.3741669999999</v>
      </c>
      <c r="AU960" s="60">
        <v>9415.3741669999999</v>
      </c>
      <c r="AV960" s="60">
        <v>9415.3741669999999</v>
      </c>
      <c r="AW960" s="60">
        <v>9415.3741669999999</v>
      </c>
      <c r="AX960" s="60">
        <v>9415.3741669999999</v>
      </c>
      <c r="AY960" s="61">
        <f t="shared" si="385"/>
        <v>56492.245002000003</v>
      </c>
      <c r="AZ960" s="56">
        <f t="shared" si="380"/>
        <v>112984.49000400001</v>
      </c>
      <c r="BA960" s="62">
        <f t="shared" si="391"/>
        <v>1135845.03</v>
      </c>
      <c r="BB960" s="62">
        <f t="shared" si="386"/>
        <v>414276.51000766671</v>
      </c>
      <c r="BC960" s="62">
        <f t="shared" si="392"/>
        <v>721568.51999233337</v>
      </c>
      <c r="BD960" s="63">
        <v>778060.84000000218</v>
      </c>
      <c r="BE960" s="57">
        <f t="shared" ref="BE960:BE970" si="396">BD960*2.2%</f>
        <v>17117.338480000049</v>
      </c>
      <c r="BF960" s="35" t="str">
        <f>VLOOKUP(A:A,'2023-2027'!A:G,1,+FALSE)</f>
        <v>Трансформаторная подстанция</v>
      </c>
      <c r="BG960" s="7" t="b">
        <f t="shared" si="388"/>
        <v>1</v>
      </c>
      <c r="BH960" s="35">
        <f>VLOOKUP(A:A,'2023-2027'!A:AT,43,+FALSE)</f>
        <v>9465.3799999999992</v>
      </c>
    </row>
    <row r="961" spans="1:60" ht="24" hidden="1" customHeight="1" outlineLevel="1" x14ac:dyDescent="0.2">
      <c r="A961" s="59" t="s">
        <v>102</v>
      </c>
      <c r="B961" s="59" t="s">
        <v>44</v>
      </c>
      <c r="C961" s="59" t="s">
        <v>82</v>
      </c>
      <c r="D961" s="65" t="s">
        <v>2209</v>
      </c>
      <c r="E961" s="59" t="s">
        <v>1456</v>
      </c>
      <c r="F961" s="59"/>
      <c r="G961" s="59"/>
      <c r="H961" s="59"/>
      <c r="I961" s="60">
        <v>5457462.4800000004</v>
      </c>
      <c r="J961" s="59"/>
      <c r="K961" s="59"/>
      <c r="L961" s="59"/>
      <c r="M961" s="60">
        <v>5457462.4800000004</v>
      </c>
      <c r="N961" s="59"/>
      <c r="O961" s="60">
        <v>5457462.4800000004</v>
      </c>
      <c r="P961" s="55">
        <v>419804.81</v>
      </c>
      <c r="Q961" s="55">
        <f t="shared" si="393"/>
        <v>9235.705820000001</v>
      </c>
      <c r="R961" s="61">
        <f t="shared" si="381"/>
        <v>0</v>
      </c>
      <c r="S961" s="60">
        <v>0</v>
      </c>
      <c r="T961" s="60">
        <v>0</v>
      </c>
      <c r="U961" s="60">
        <v>0</v>
      </c>
      <c r="V961" s="60">
        <v>0</v>
      </c>
      <c r="W961" s="60">
        <v>0</v>
      </c>
      <c r="X961" s="61">
        <f t="shared" si="382"/>
        <v>0</v>
      </c>
      <c r="Y961" s="60">
        <v>0</v>
      </c>
      <c r="Z961" s="60">
        <v>0</v>
      </c>
      <c r="AA961" s="60">
        <v>0</v>
      </c>
      <c r="AB961" s="60">
        <v>0</v>
      </c>
      <c r="AC961" s="60">
        <v>0</v>
      </c>
      <c r="AD961" s="60">
        <v>0</v>
      </c>
      <c r="AE961" s="61">
        <f t="shared" si="383"/>
        <v>0</v>
      </c>
      <c r="AF961" s="62">
        <f t="shared" si="390"/>
        <v>5457462.4800000004</v>
      </c>
      <c r="AG961" s="62">
        <f t="shared" si="389"/>
        <v>0</v>
      </c>
      <c r="AH961" s="62">
        <f t="shared" si="387"/>
        <v>5457462.4800000004</v>
      </c>
      <c r="AI961" s="63">
        <v>5457462.4800000023</v>
      </c>
      <c r="AJ961" s="63">
        <f t="shared" si="394"/>
        <v>120064.17456000006</v>
      </c>
      <c r="AK961" s="72">
        <f t="shared" si="395"/>
        <v>120064.17456000006</v>
      </c>
      <c r="AL961" s="60">
        <v>0</v>
      </c>
      <c r="AM961" s="60">
        <v>0</v>
      </c>
      <c r="AN961" s="60">
        <v>0</v>
      </c>
      <c r="AO961" s="60">
        <v>0</v>
      </c>
      <c r="AP961" s="60">
        <v>0</v>
      </c>
      <c r="AQ961" s="60">
        <v>0</v>
      </c>
      <c r="AR961" s="61">
        <f t="shared" si="384"/>
        <v>0</v>
      </c>
      <c r="AS961" s="60">
        <v>0</v>
      </c>
      <c r="AT961" s="60">
        <v>0</v>
      </c>
      <c r="AU961" s="60">
        <v>0</v>
      </c>
      <c r="AV961" s="60">
        <v>0</v>
      </c>
      <c r="AW961" s="60">
        <v>0</v>
      </c>
      <c r="AX961" s="60">
        <v>0</v>
      </c>
      <c r="AY961" s="61">
        <f t="shared" si="385"/>
        <v>0</v>
      </c>
      <c r="AZ961" s="56">
        <f t="shared" si="380"/>
        <v>0</v>
      </c>
      <c r="BA961" s="62">
        <f t="shared" si="391"/>
        <v>5457462.4800000004</v>
      </c>
      <c r="BB961" s="62">
        <f t="shared" si="386"/>
        <v>0</v>
      </c>
      <c r="BC961" s="62">
        <f t="shared" si="392"/>
        <v>5457462.4800000004</v>
      </c>
      <c r="BD961" s="63">
        <v>5457462.4800000023</v>
      </c>
      <c r="BE961" s="57">
        <f t="shared" si="396"/>
        <v>120064.17456000006</v>
      </c>
      <c r="BF961" s="35" t="str">
        <f>VLOOKUP(A:A,'2023-2027'!A:G,1,+FALSE)</f>
        <v>Трансформаторная подстанция ТП-56/1 с питающими кабельными линиями 6 кв в г. Нарьян-Маре</v>
      </c>
      <c r="BG961" s="7" t="b">
        <f t="shared" si="388"/>
        <v>1</v>
      </c>
      <c r="BH961" s="35">
        <f>VLOOKUP(A:A,'2023-2027'!A:AT,43,+FALSE)</f>
        <v>18191.5416</v>
      </c>
    </row>
    <row r="962" spans="1:60" ht="24" hidden="1" customHeight="1" outlineLevel="1" x14ac:dyDescent="0.2">
      <c r="A962" s="59" t="s">
        <v>2210</v>
      </c>
      <c r="B962" s="59" t="s">
        <v>44</v>
      </c>
      <c r="C962" s="59" t="s">
        <v>82</v>
      </c>
      <c r="D962" s="66" t="s">
        <v>2211</v>
      </c>
      <c r="E962" s="59" t="s">
        <v>2212</v>
      </c>
      <c r="F962" s="60">
        <v>2066041.02</v>
      </c>
      <c r="G962" s="60">
        <v>164683.20000000001</v>
      </c>
      <c r="H962" s="60">
        <v>1901357.82</v>
      </c>
      <c r="I962" s="59"/>
      <c r="J962" s="60">
        <v>82341.600000000006</v>
      </c>
      <c r="K962" s="59"/>
      <c r="L962" s="59"/>
      <c r="M962" s="60">
        <v>2066041.02</v>
      </c>
      <c r="N962" s="60">
        <v>247024.8</v>
      </c>
      <c r="O962" s="60">
        <v>1819016.22</v>
      </c>
      <c r="P962" s="55">
        <v>1860187.02</v>
      </c>
      <c r="Q962" s="55">
        <f t="shared" si="393"/>
        <v>40924.114440000005</v>
      </c>
      <c r="R962" s="61">
        <f t="shared" si="381"/>
        <v>6861.8</v>
      </c>
      <c r="S962" s="60">
        <v>6861.8</v>
      </c>
      <c r="T962" s="60">
        <v>6861.8</v>
      </c>
      <c r="U962" s="60">
        <v>6861.8</v>
      </c>
      <c r="V962" s="60">
        <v>6861.8</v>
      </c>
      <c r="W962" s="60">
        <v>6861.8</v>
      </c>
      <c r="X962" s="61">
        <f t="shared" si="382"/>
        <v>41170.800000000003</v>
      </c>
      <c r="Y962" s="60">
        <v>6861.8</v>
      </c>
      <c r="Z962" s="60">
        <v>6861.8</v>
      </c>
      <c r="AA962" s="60">
        <v>6861.8</v>
      </c>
      <c r="AB962" s="60">
        <v>6861.8</v>
      </c>
      <c r="AC962" s="60">
        <v>6861.8</v>
      </c>
      <c r="AD962" s="60">
        <v>6861.8</v>
      </c>
      <c r="AE962" s="61">
        <f t="shared" si="383"/>
        <v>41170.800000000003</v>
      </c>
      <c r="AF962" s="62">
        <f t="shared" si="390"/>
        <v>2066041.02</v>
      </c>
      <c r="AG962" s="62">
        <f t="shared" si="389"/>
        <v>329366.39999999985</v>
      </c>
      <c r="AH962" s="62">
        <f t="shared" si="387"/>
        <v>1736674.62</v>
      </c>
      <c r="AI962" s="63">
        <v>1777845.4199999997</v>
      </c>
      <c r="AJ962" s="63">
        <f t="shared" si="394"/>
        <v>39112.599239999996</v>
      </c>
      <c r="AK962" s="72">
        <f t="shared" si="395"/>
        <v>39112.599239999996</v>
      </c>
      <c r="AL962" s="60">
        <v>6861.8</v>
      </c>
      <c r="AM962" s="60">
        <v>6861.8</v>
      </c>
      <c r="AN962" s="60">
        <v>6861.8</v>
      </c>
      <c r="AO962" s="60">
        <v>6861.8</v>
      </c>
      <c r="AP962" s="60">
        <v>6861.8</v>
      </c>
      <c r="AQ962" s="60">
        <v>6861.8</v>
      </c>
      <c r="AR962" s="61">
        <f t="shared" si="384"/>
        <v>41170.800000000003</v>
      </c>
      <c r="AS962" s="60">
        <v>6861.8</v>
      </c>
      <c r="AT962" s="60">
        <v>6861.8</v>
      </c>
      <c r="AU962" s="60">
        <v>6861.8</v>
      </c>
      <c r="AV962" s="60">
        <v>6861.8</v>
      </c>
      <c r="AW962" s="60">
        <v>6861.8</v>
      </c>
      <c r="AX962" s="60">
        <v>6861.8</v>
      </c>
      <c r="AY962" s="61">
        <f t="shared" si="385"/>
        <v>41170.800000000003</v>
      </c>
      <c r="AZ962" s="56">
        <f t="shared" si="380"/>
        <v>82341.600000000006</v>
      </c>
      <c r="BA962" s="62">
        <f t="shared" si="391"/>
        <v>2066041.02</v>
      </c>
      <c r="BB962" s="62">
        <f t="shared" si="386"/>
        <v>411707.99999999971</v>
      </c>
      <c r="BC962" s="62">
        <f t="shared" si="392"/>
        <v>1654333.0200000003</v>
      </c>
      <c r="BD962" s="63">
        <v>1695503.8199999991</v>
      </c>
      <c r="BE962" s="57">
        <f t="shared" si="396"/>
        <v>37301.084039999987</v>
      </c>
      <c r="BF962" s="35" t="str">
        <f>VLOOKUP(A:A,'2023-2027'!A:G,1,+FALSE)</f>
        <v>Трансформаторная подстанция №33</v>
      </c>
      <c r="BG962" s="7" t="b">
        <f t="shared" si="388"/>
        <v>1</v>
      </c>
      <c r="BH962" s="35">
        <f>VLOOKUP(A:A,'2023-2027'!A:AT,43,+FALSE)</f>
        <v>6886.800000000002</v>
      </c>
    </row>
    <row r="963" spans="1:60" ht="24" hidden="1" customHeight="1" outlineLevel="1" x14ac:dyDescent="0.2">
      <c r="A963" s="59" t="s">
        <v>2213</v>
      </c>
      <c r="B963" s="59" t="s">
        <v>44</v>
      </c>
      <c r="C963" s="59" t="s">
        <v>82</v>
      </c>
      <c r="D963" s="66" t="s">
        <v>2214</v>
      </c>
      <c r="E963" s="59" t="s">
        <v>1516</v>
      </c>
      <c r="F963" s="60">
        <v>38000</v>
      </c>
      <c r="G963" s="60">
        <v>2033.36</v>
      </c>
      <c r="H963" s="60">
        <v>35966.639999999999</v>
      </c>
      <c r="I963" s="59"/>
      <c r="J963" s="60">
        <v>3050.04</v>
      </c>
      <c r="K963" s="59"/>
      <c r="L963" s="59"/>
      <c r="M963" s="60">
        <v>38000</v>
      </c>
      <c r="N963" s="60">
        <v>5083.3999999999996</v>
      </c>
      <c r="O963" s="60">
        <v>32916.6</v>
      </c>
      <c r="P963" s="55">
        <v>34441.620000000003</v>
      </c>
      <c r="Q963" s="55">
        <f t="shared" si="393"/>
        <v>757.71564000000012</v>
      </c>
      <c r="R963" s="61">
        <f t="shared" si="381"/>
        <v>254.17</v>
      </c>
      <c r="S963" s="60">
        <v>254.17</v>
      </c>
      <c r="T963" s="60">
        <v>254.17</v>
      </c>
      <c r="U963" s="60">
        <v>254.17</v>
      </c>
      <c r="V963" s="60">
        <v>254.17</v>
      </c>
      <c r="W963" s="60">
        <v>254.17</v>
      </c>
      <c r="X963" s="61">
        <f t="shared" si="382"/>
        <v>1525.02</v>
      </c>
      <c r="Y963" s="60">
        <v>254.17</v>
      </c>
      <c r="Z963" s="60">
        <v>254.17</v>
      </c>
      <c r="AA963" s="60">
        <v>254.17</v>
      </c>
      <c r="AB963" s="60">
        <v>254.17</v>
      </c>
      <c r="AC963" s="60">
        <v>254.17</v>
      </c>
      <c r="AD963" s="60">
        <v>254.17</v>
      </c>
      <c r="AE963" s="61">
        <f t="shared" si="383"/>
        <v>1525.02</v>
      </c>
      <c r="AF963" s="62">
        <f t="shared" si="390"/>
        <v>38000</v>
      </c>
      <c r="AG963" s="62">
        <f t="shared" si="389"/>
        <v>8133.4400000000005</v>
      </c>
      <c r="AH963" s="62">
        <f t="shared" si="387"/>
        <v>29866.559999999998</v>
      </c>
      <c r="AI963" s="63">
        <v>31391.580000000009</v>
      </c>
      <c r="AJ963" s="63">
        <f t="shared" si="394"/>
        <v>690.61476000000027</v>
      </c>
      <c r="AK963" s="72">
        <f t="shared" si="395"/>
        <v>690.61476000000027</v>
      </c>
      <c r="AL963" s="60">
        <v>254.17</v>
      </c>
      <c r="AM963" s="60">
        <v>254.17</v>
      </c>
      <c r="AN963" s="60">
        <v>254.17</v>
      </c>
      <c r="AO963" s="60">
        <v>254.17</v>
      </c>
      <c r="AP963" s="60">
        <v>254.17</v>
      </c>
      <c r="AQ963" s="60">
        <v>254.17</v>
      </c>
      <c r="AR963" s="61">
        <f t="shared" si="384"/>
        <v>1525.02</v>
      </c>
      <c r="AS963" s="60">
        <v>254.17</v>
      </c>
      <c r="AT963" s="60">
        <v>254.17</v>
      </c>
      <c r="AU963" s="60">
        <v>254.17</v>
      </c>
      <c r="AV963" s="60">
        <v>254.17</v>
      </c>
      <c r="AW963" s="60">
        <v>254.17</v>
      </c>
      <c r="AX963" s="60">
        <v>254.17</v>
      </c>
      <c r="AY963" s="61">
        <f t="shared" si="385"/>
        <v>1525.02</v>
      </c>
      <c r="AZ963" s="56">
        <f t="shared" si="380"/>
        <v>3050.04</v>
      </c>
      <c r="BA963" s="62">
        <f t="shared" si="391"/>
        <v>38000</v>
      </c>
      <c r="BB963" s="62">
        <f t="shared" si="386"/>
        <v>11183.480000000001</v>
      </c>
      <c r="BC963" s="62">
        <f t="shared" si="392"/>
        <v>26816.519999999997</v>
      </c>
      <c r="BD963" s="63">
        <v>28341.540000000034</v>
      </c>
      <c r="BE963" s="57">
        <f t="shared" si="396"/>
        <v>623.51388000000077</v>
      </c>
      <c r="BF963" s="35" t="str">
        <f>VLOOKUP(A:A,'2023-2027'!A:G,1,+FALSE)</f>
        <v>Трансформаторная подстанция КТП-250 (РУ-0,4 кВ)</v>
      </c>
      <c r="BG963" s="7" t="b">
        <f t="shared" si="388"/>
        <v>1</v>
      </c>
      <c r="BH963" s="35">
        <f>VLOOKUP(A:A,'2023-2027'!A:AT,43,+FALSE)</f>
        <v>316.67</v>
      </c>
    </row>
    <row r="964" spans="1:60" ht="36" hidden="1" customHeight="1" outlineLevel="1" x14ac:dyDescent="0.2">
      <c r="A964" s="59" t="s">
        <v>2215</v>
      </c>
      <c r="B964" s="59" t="s">
        <v>44</v>
      </c>
      <c r="C964" s="59" t="s">
        <v>82</v>
      </c>
      <c r="D964" s="66" t="s">
        <v>2216</v>
      </c>
      <c r="E964" s="59" t="s">
        <v>2217</v>
      </c>
      <c r="F964" s="60">
        <v>40813</v>
      </c>
      <c r="G964" s="60">
        <v>1388.05</v>
      </c>
      <c r="H964" s="60">
        <v>39424.949999999997</v>
      </c>
      <c r="I964" s="59"/>
      <c r="J964" s="60">
        <v>3331.32</v>
      </c>
      <c r="K964" s="59"/>
      <c r="L964" s="59"/>
      <c r="M964" s="60">
        <v>40813</v>
      </c>
      <c r="N964" s="60">
        <v>4719.37</v>
      </c>
      <c r="O964" s="60">
        <v>36093.629999999997</v>
      </c>
      <c r="P964" s="55">
        <v>37759.29</v>
      </c>
      <c r="Q964" s="55">
        <f t="shared" si="393"/>
        <v>830.70438000000013</v>
      </c>
      <c r="R964" s="61">
        <f t="shared" si="381"/>
        <v>277.61</v>
      </c>
      <c r="S964" s="60">
        <v>277.61</v>
      </c>
      <c r="T964" s="60">
        <v>277.61</v>
      </c>
      <c r="U964" s="60">
        <v>277.61</v>
      </c>
      <c r="V964" s="60">
        <v>277.61</v>
      </c>
      <c r="W964" s="60">
        <v>277.61</v>
      </c>
      <c r="X964" s="61">
        <f t="shared" si="382"/>
        <v>1665.6600000000003</v>
      </c>
      <c r="Y964" s="60">
        <v>277.61</v>
      </c>
      <c r="Z964" s="60">
        <v>277.61</v>
      </c>
      <c r="AA964" s="60">
        <v>277.61</v>
      </c>
      <c r="AB964" s="60">
        <v>277.61</v>
      </c>
      <c r="AC964" s="60">
        <v>277.61</v>
      </c>
      <c r="AD964" s="60">
        <v>277.61</v>
      </c>
      <c r="AE964" s="61">
        <f t="shared" si="383"/>
        <v>1665.6600000000003</v>
      </c>
      <c r="AF964" s="62">
        <f t="shared" si="390"/>
        <v>40813</v>
      </c>
      <c r="AG964" s="62">
        <f t="shared" si="389"/>
        <v>8050.689999999996</v>
      </c>
      <c r="AH964" s="62">
        <f t="shared" si="387"/>
        <v>32762.310000000005</v>
      </c>
      <c r="AI964" s="63">
        <v>34427.969999999994</v>
      </c>
      <c r="AJ964" s="63">
        <f t="shared" si="394"/>
        <v>757.4153399999999</v>
      </c>
      <c r="AK964" s="72">
        <f t="shared" si="395"/>
        <v>757.4153399999999</v>
      </c>
      <c r="AL964" s="60">
        <v>277.61</v>
      </c>
      <c r="AM964" s="60">
        <v>277.61</v>
      </c>
      <c r="AN964" s="60">
        <v>277.61</v>
      </c>
      <c r="AO964" s="60">
        <v>277.61</v>
      </c>
      <c r="AP964" s="60">
        <v>277.61</v>
      </c>
      <c r="AQ964" s="60">
        <v>277.61</v>
      </c>
      <c r="AR964" s="61">
        <f t="shared" si="384"/>
        <v>1665.6600000000003</v>
      </c>
      <c r="AS964" s="60">
        <v>277.61</v>
      </c>
      <c r="AT964" s="60">
        <v>277.61</v>
      </c>
      <c r="AU964" s="60">
        <v>277.61</v>
      </c>
      <c r="AV964" s="60">
        <v>277.61</v>
      </c>
      <c r="AW964" s="60">
        <v>277.61</v>
      </c>
      <c r="AX964" s="60">
        <v>277.61</v>
      </c>
      <c r="AY964" s="61">
        <f t="shared" si="385"/>
        <v>1665.6600000000003</v>
      </c>
      <c r="AZ964" s="56">
        <f t="shared" si="380"/>
        <v>3331.3200000000006</v>
      </c>
      <c r="BA964" s="62">
        <f t="shared" si="391"/>
        <v>40813</v>
      </c>
      <c r="BB964" s="62">
        <f t="shared" si="386"/>
        <v>11382.010000000002</v>
      </c>
      <c r="BC964" s="62">
        <f t="shared" si="392"/>
        <v>29430.989999999998</v>
      </c>
      <c r="BD964" s="63">
        <v>31096.649999999987</v>
      </c>
      <c r="BE964" s="57">
        <f t="shared" si="396"/>
        <v>684.12629999999979</v>
      </c>
      <c r="BF964" s="35" t="str">
        <f>VLOOKUP(A:A,'2023-2027'!A:G,1,+FALSE)</f>
        <v>Трансформаторная подстанция КТП-250 кВ центральная в с.Тельвиска</v>
      </c>
      <c r="BG964" s="7" t="b">
        <f t="shared" si="388"/>
        <v>1</v>
      </c>
      <c r="BH964" s="35">
        <f>VLOOKUP(A:A,'2023-2027'!A:AT,43,+FALSE)</f>
        <v>340.11</v>
      </c>
    </row>
    <row r="965" spans="1:60" ht="24" hidden="1" customHeight="1" outlineLevel="1" x14ac:dyDescent="0.2">
      <c r="A965" s="59" t="s">
        <v>2218</v>
      </c>
      <c r="B965" s="59" t="s">
        <v>44</v>
      </c>
      <c r="C965" s="59" t="s">
        <v>82</v>
      </c>
      <c r="D965" s="66" t="s">
        <v>2219</v>
      </c>
      <c r="E965" s="59" t="s">
        <v>2100</v>
      </c>
      <c r="F965" s="60">
        <v>392922.66</v>
      </c>
      <c r="G965" s="60">
        <v>312621.03999999998</v>
      </c>
      <c r="H965" s="60">
        <v>80301.62</v>
      </c>
      <c r="I965" s="59"/>
      <c r="J965" s="60">
        <v>25694.67</v>
      </c>
      <c r="K965" s="59"/>
      <c r="L965" s="59"/>
      <c r="M965" s="60">
        <v>392922.66</v>
      </c>
      <c r="N965" s="60">
        <v>338315.71</v>
      </c>
      <c r="O965" s="60">
        <v>54606.95</v>
      </c>
      <c r="P965" s="55">
        <v>67454.289999999994</v>
      </c>
      <c r="Q965" s="55">
        <f t="shared" si="393"/>
        <v>1483.9943800000001</v>
      </c>
      <c r="R965" s="61">
        <f t="shared" si="381"/>
        <v>2141.2224999999999</v>
      </c>
      <c r="S965" s="60">
        <v>2141.2224999999999</v>
      </c>
      <c r="T965" s="60">
        <v>2141.2224999999999</v>
      </c>
      <c r="U965" s="60">
        <v>2141.2224999999999</v>
      </c>
      <c r="V965" s="60">
        <v>2141.2224999999999</v>
      </c>
      <c r="W965" s="60">
        <v>2141.2224999999999</v>
      </c>
      <c r="X965" s="61">
        <f t="shared" si="382"/>
        <v>12847.334999999999</v>
      </c>
      <c r="Y965" s="60">
        <v>2141.2224999999999</v>
      </c>
      <c r="Z965" s="60">
        <v>2141.2224999999999</v>
      </c>
      <c r="AA965" s="60">
        <v>2141.2224999999999</v>
      </c>
      <c r="AB965" s="60">
        <v>2141.2224999999999</v>
      </c>
      <c r="AC965" s="60">
        <v>2141.2224999999999</v>
      </c>
      <c r="AD965" s="60">
        <v>2141.2224999999999</v>
      </c>
      <c r="AE965" s="61">
        <f t="shared" si="383"/>
        <v>12847.334999999999</v>
      </c>
      <c r="AF965" s="62">
        <f t="shared" si="390"/>
        <v>392922.66</v>
      </c>
      <c r="AG965" s="62">
        <f t="shared" si="389"/>
        <v>364010.37999999971</v>
      </c>
      <c r="AH965" s="62">
        <f t="shared" si="387"/>
        <v>28912.280000000261</v>
      </c>
      <c r="AI965" s="63">
        <v>41759.62999999999</v>
      </c>
      <c r="AJ965" s="63">
        <f t="shared" si="394"/>
        <v>918.71185999999989</v>
      </c>
      <c r="AK965" s="72">
        <f t="shared" si="395"/>
        <v>918.71185999999989</v>
      </c>
      <c r="AL965" s="60">
        <v>2141.2224999999999</v>
      </c>
      <c r="AM965" s="60">
        <v>2141.2224999999999</v>
      </c>
      <c r="AN965" s="60">
        <v>2141.2224999999999</v>
      </c>
      <c r="AO965" s="60">
        <v>2141.2224999999999</v>
      </c>
      <c r="AP965" s="60">
        <v>2141.2224999999999</v>
      </c>
      <c r="AQ965" s="60">
        <v>2141.2224999999999</v>
      </c>
      <c r="AR965" s="61">
        <f t="shared" si="384"/>
        <v>12847.334999999999</v>
      </c>
      <c r="AS965" s="60">
        <v>2141.2224999999999</v>
      </c>
      <c r="AT965" s="60">
        <v>2141.2224999999999</v>
      </c>
      <c r="AU965" s="60">
        <v>2141.2224999999999</v>
      </c>
      <c r="AV965" s="60">
        <v>2141.2224999999999</v>
      </c>
      <c r="AW965" s="60">
        <v>2141.2224999999999</v>
      </c>
      <c r="AX965" s="60">
        <v>2141.2224999999999</v>
      </c>
      <c r="AY965" s="61">
        <f t="shared" si="385"/>
        <v>12847.334999999999</v>
      </c>
      <c r="AZ965" s="56">
        <f t="shared" si="380"/>
        <v>25694.67</v>
      </c>
      <c r="BA965" s="62">
        <f t="shared" si="391"/>
        <v>392922.66</v>
      </c>
      <c r="BB965" s="62">
        <f t="shared" si="386"/>
        <v>389705.04999999941</v>
      </c>
      <c r="BC965" s="62">
        <f t="shared" si="392"/>
        <v>3217.6100000005681</v>
      </c>
      <c r="BD965" s="63">
        <v>16064.989999999978</v>
      </c>
      <c r="BE965" s="57">
        <f t="shared" si="396"/>
        <v>353.42977999999954</v>
      </c>
      <c r="BF965" s="35" t="str">
        <f>VLOOKUP(A:A,'2023-2027'!A:G,1,+FALSE)</f>
        <v>Трансформаторная подстанция КТП/П К-К 400/6/0,4</v>
      </c>
      <c r="BG965" s="7" t="b">
        <f t="shared" si="388"/>
        <v>1</v>
      </c>
      <c r="BH965" s="35">
        <f>VLOOKUP(A:A,'2023-2027'!A:AT,43,+FALSE)</f>
        <v>2182.9000000000005</v>
      </c>
    </row>
    <row r="966" spans="1:60" ht="24" hidden="1" customHeight="1" outlineLevel="1" x14ac:dyDescent="0.2">
      <c r="A966" s="59" t="s">
        <v>2220</v>
      </c>
      <c r="B966" s="59" t="s">
        <v>44</v>
      </c>
      <c r="C966" s="59" t="s">
        <v>82</v>
      </c>
      <c r="D966" s="66" t="s">
        <v>2221</v>
      </c>
      <c r="E966" s="59" t="s">
        <v>1442</v>
      </c>
      <c r="F966" s="60">
        <v>384471.91</v>
      </c>
      <c r="G966" s="60">
        <v>94243.199999999997</v>
      </c>
      <c r="H966" s="60">
        <v>290228.71000000002</v>
      </c>
      <c r="I966" s="59"/>
      <c r="J966" s="60">
        <v>18848.59</v>
      </c>
      <c r="K966" s="59"/>
      <c r="L966" s="59"/>
      <c r="M966" s="60">
        <v>384471.91</v>
      </c>
      <c r="N966" s="60">
        <v>113091.79</v>
      </c>
      <c r="O966" s="60">
        <v>271380.12</v>
      </c>
      <c r="P966" s="55">
        <v>280804.40999999997</v>
      </c>
      <c r="Q966" s="55">
        <f t="shared" si="393"/>
        <v>6177.6970199999996</v>
      </c>
      <c r="R966" s="61">
        <f t="shared" si="381"/>
        <v>1570.7158333333334</v>
      </c>
      <c r="S966" s="60">
        <v>1570.715833</v>
      </c>
      <c r="T966" s="60">
        <v>1570.715833</v>
      </c>
      <c r="U966" s="60">
        <v>1570.715833</v>
      </c>
      <c r="V966" s="60">
        <v>1570.715833</v>
      </c>
      <c r="W966" s="60">
        <v>1570.715833</v>
      </c>
      <c r="X966" s="61">
        <f t="shared" si="382"/>
        <v>9424.2949983333328</v>
      </c>
      <c r="Y966" s="60">
        <v>1570.715833</v>
      </c>
      <c r="Z966" s="60">
        <v>1570.715833</v>
      </c>
      <c r="AA966" s="60">
        <v>1570.715833</v>
      </c>
      <c r="AB966" s="60">
        <v>1570.715833</v>
      </c>
      <c r="AC966" s="60">
        <v>1570.715833</v>
      </c>
      <c r="AD966" s="60">
        <v>1570.715833</v>
      </c>
      <c r="AE966" s="61">
        <f t="shared" si="383"/>
        <v>9424.2949979999994</v>
      </c>
      <c r="AF966" s="62">
        <f t="shared" si="390"/>
        <v>384471.91</v>
      </c>
      <c r="AG966" s="62">
        <f t="shared" si="389"/>
        <v>131940.37999633327</v>
      </c>
      <c r="AH966" s="62">
        <f t="shared" si="387"/>
        <v>252531.5300036667</v>
      </c>
      <c r="AI966" s="63">
        <v>261955.79999999984</v>
      </c>
      <c r="AJ966" s="63">
        <f t="shared" si="394"/>
        <v>5763.0275999999967</v>
      </c>
      <c r="AK966" s="72">
        <f t="shared" si="395"/>
        <v>5763.0275999999967</v>
      </c>
      <c r="AL966" s="60">
        <v>1570.715833</v>
      </c>
      <c r="AM966" s="60">
        <v>1570.715833</v>
      </c>
      <c r="AN966" s="60">
        <v>1570.715833</v>
      </c>
      <c r="AO966" s="60">
        <v>1570.715833</v>
      </c>
      <c r="AP966" s="60">
        <v>1570.715833</v>
      </c>
      <c r="AQ966" s="60">
        <v>1570.715833</v>
      </c>
      <c r="AR966" s="61">
        <f t="shared" si="384"/>
        <v>9424.2949979999994</v>
      </c>
      <c r="AS966" s="60">
        <v>1570.715833</v>
      </c>
      <c r="AT966" s="60">
        <v>1570.715833</v>
      </c>
      <c r="AU966" s="60">
        <v>1570.715833</v>
      </c>
      <c r="AV966" s="60">
        <v>1570.715833</v>
      </c>
      <c r="AW966" s="60">
        <v>1570.715833</v>
      </c>
      <c r="AX966" s="60">
        <v>1570.715833</v>
      </c>
      <c r="AY966" s="61">
        <f t="shared" si="385"/>
        <v>9424.2949979999994</v>
      </c>
      <c r="AZ966" s="56">
        <f t="shared" si="380"/>
        <v>18848.589995999999</v>
      </c>
      <c r="BA966" s="62">
        <f t="shared" si="391"/>
        <v>384471.91</v>
      </c>
      <c r="BB966" s="62">
        <f t="shared" si="386"/>
        <v>150788.96999233321</v>
      </c>
      <c r="BC966" s="62">
        <f t="shared" si="392"/>
        <v>233682.94000766677</v>
      </c>
      <c r="BD966" s="63">
        <v>243107.15999999948</v>
      </c>
      <c r="BE966" s="57">
        <f t="shared" si="396"/>
        <v>5348.3575199999887</v>
      </c>
      <c r="BF966" s="35" t="str">
        <f>VLOOKUP(A:A,'2023-2027'!A:G,1,+FALSE)</f>
        <v>Трансформаторная подстанция ТП №100/1 "Малый Качгорт"</v>
      </c>
      <c r="BG966" s="7" t="b">
        <f t="shared" si="388"/>
        <v>1</v>
      </c>
      <c r="BH966" s="35">
        <f>VLOOKUP(A:A,'2023-2027'!A:AT,43,+FALSE)</f>
        <v>1601.97</v>
      </c>
    </row>
    <row r="967" spans="1:60" ht="24" hidden="1" customHeight="1" outlineLevel="1" x14ac:dyDescent="0.2">
      <c r="A967" s="59" t="s">
        <v>2222</v>
      </c>
      <c r="B967" s="59" t="s">
        <v>44</v>
      </c>
      <c r="C967" s="59" t="s">
        <v>82</v>
      </c>
      <c r="D967" s="66" t="s">
        <v>2223</v>
      </c>
      <c r="E967" s="59" t="s">
        <v>1681</v>
      </c>
      <c r="F967" s="60">
        <v>6269664.8799999999</v>
      </c>
      <c r="G967" s="60">
        <v>1588583.35</v>
      </c>
      <c r="H967" s="60">
        <v>4681081.53</v>
      </c>
      <c r="I967" s="59"/>
      <c r="J967" s="60">
        <v>312508.25</v>
      </c>
      <c r="K967" s="59"/>
      <c r="L967" s="59"/>
      <c r="M967" s="60">
        <v>6269664.8799999999</v>
      </c>
      <c r="N967" s="60">
        <v>1901091.6</v>
      </c>
      <c r="O967" s="60">
        <v>4368573.28</v>
      </c>
      <c r="P967" s="55">
        <v>4524827.41</v>
      </c>
      <c r="Q967" s="55">
        <f t="shared" si="393"/>
        <v>99546.203020000015</v>
      </c>
      <c r="R967" s="61">
        <f t="shared" si="381"/>
        <v>26042.354166666668</v>
      </c>
      <c r="S967" s="60">
        <v>26042.354169999999</v>
      </c>
      <c r="T967" s="60">
        <v>26042.354169999999</v>
      </c>
      <c r="U967" s="60">
        <v>26042.354169999999</v>
      </c>
      <c r="V967" s="60">
        <v>26042.354169999999</v>
      </c>
      <c r="W967" s="60">
        <v>26042.354169999999</v>
      </c>
      <c r="X967" s="61">
        <f t="shared" si="382"/>
        <v>156254.12501666669</v>
      </c>
      <c r="Y967" s="60">
        <v>26042.354169999999</v>
      </c>
      <c r="Z967" s="60">
        <v>26042.354169999999</v>
      </c>
      <c r="AA967" s="60">
        <v>26042.354169999999</v>
      </c>
      <c r="AB967" s="60">
        <v>26042.354169999999</v>
      </c>
      <c r="AC967" s="60">
        <v>26042.354169999999</v>
      </c>
      <c r="AD967" s="60">
        <v>26042.354169999999</v>
      </c>
      <c r="AE967" s="61">
        <f t="shared" si="383"/>
        <v>156254.12502000001</v>
      </c>
      <c r="AF967" s="62">
        <f t="shared" si="390"/>
        <v>6269664.8799999999</v>
      </c>
      <c r="AG967" s="62">
        <f t="shared" si="389"/>
        <v>2213599.8500366672</v>
      </c>
      <c r="AH967" s="62">
        <f t="shared" si="387"/>
        <v>4056065.0299633327</v>
      </c>
      <c r="AI967" s="63">
        <v>4212319.179999996</v>
      </c>
      <c r="AJ967" s="63">
        <f t="shared" si="394"/>
        <v>92671.021959999925</v>
      </c>
      <c r="AK967" s="72">
        <f t="shared" si="395"/>
        <v>92671.021959999925</v>
      </c>
      <c r="AL967" s="60">
        <v>26042.354169999999</v>
      </c>
      <c r="AM967" s="60">
        <v>26042.354169999999</v>
      </c>
      <c r="AN967" s="60">
        <v>26042.354169999999</v>
      </c>
      <c r="AO967" s="60">
        <v>26042.354169999999</v>
      </c>
      <c r="AP967" s="60">
        <v>26042.354169999999</v>
      </c>
      <c r="AQ967" s="60">
        <v>26042.354169999999</v>
      </c>
      <c r="AR967" s="61">
        <f t="shared" si="384"/>
        <v>156254.12502000001</v>
      </c>
      <c r="AS967" s="60">
        <v>26042.354169999999</v>
      </c>
      <c r="AT967" s="60">
        <v>26042.354169999999</v>
      </c>
      <c r="AU967" s="60">
        <v>26042.354169999999</v>
      </c>
      <c r="AV967" s="60">
        <v>26042.354169999999</v>
      </c>
      <c r="AW967" s="60">
        <v>26042.354169999999</v>
      </c>
      <c r="AX967" s="60">
        <v>26042.354169999999</v>
      </c>
      <c r="AY967" s="61">
        <f t="shared" si="385"/>
        <v>156254.12502000001</v>
      </c>
      <c r="AZ967" s="56">
        <f t="shared" si="380"/>
        <v>312508.25004000001</v>
      </c>
      <c r="BA967" s="62">
        <f t="shared" si="391"/>
        <v>6269664.8799999999</v>
      </c>
      <c r="BB967" s="62">
        <f t="shared" si="386"/>
        <v>2526108.1000766694</v>
      </c>
      <c r="BC967" s="62">
        <f t="shared" si="392"/>
        <v>3743556.7799233305</v>
      </c>
      <c r="BD967" s="63">
        <v>3899810.9799999902</v>
      </c>
      <c r="BE967" s="57">
        <f t="shared" si="396"/>
        <v>85795.841559999797</v>
      </c>
      <c r="BF967" s="35" t="str">
        <f>VLOOKUP(A:A,'2023-2027'!A:G,1,+FALSE)</f>
        <v>Трансформаторная подстанция ТП №113 "Молодежный центр"</v>
      </c>
      <c r="BG967" s="7" t="b">
        <f t="shared" si="388"/>
        <v>1</v>
      </c>
      <c r="BH967" s="35">
        <f>VLOOKUP(A:A,'2023-2027'!A:AT,43,+FALSE)</f>
        <v>26123.600000000002</v>
      </c>
    </row>
    <row r="968" spans="1:60" ht="24" hidden="1" customHeight="1" outlineLevel="1" x14ac:dyDescent="0.2">
      <c r="A968" s="59" t="s">
        <v>2224</v>
      </c>
      <c r="B968" s="59" t="s">
        <v>44</v>
      </c>
      <c r="C968" s="59" t="s">
        <v>82</v>
      </c>
      <c r="D968" s="66" t="s">
        <v>2225</v>
      </c>
      <c r="E968" s="59" t="s">
        <v>2160</v>
      </c>
      <c r="F968" s="60">
        <v>6932161.2999999998</v>
      </c>
      <c r="G968" s="60">
        <v>1872179.4</v>
      </c>
      <c r="H968" s="60">
        <v>5059981.9000000004</v>
      </c>
      <c r="I968" s="59"/>
      <c r="J968" s="60">
        <v>345633</v>
      </c>
      <c r="K968" s="59"/>
      <c r="L968" s="59"/>
      <c r="M968" s="60">
        <v>6932161.2999999998</v>
      </c>
      <c r="N968" s="60">
        <v>2217812.4</v>
      </c>
      <c r="O968" s="60">
        <v>4714348.9000000004</v>
      </c>
      <c r="P968" s="55">
        <v>4887165.4000000004</v>
      </c>
      <c r="Q968" s="55">
        <f t="shared" si="393"/>
        <v>107517.63880000002</v>
      </c>
      <c r="R968" s="61">
        <f t="shared" si="381"/>
        <v>28802.75</v>
      </c>
      <c r="S968" s="60">
        <v>28802.75</v>
      </c>
      <c r="T968" s="60">
        <v>28802.75</v>
      </c>
      <c r="U968" s="60">
        <v>28802.75</v>
      </c>
      <c r="V968" s="60">
        <v>28802.75</v>
      </c>
      <c r="W968" s="60">
        <v>28802.75</v>
      </c>
      <c r="X968" s="61">
        <f t="shared" si="382"/>
        <v>172816.5</v>
      </c>
      <c r="Y968" s="60">
        <v>28802.75</v>
      </c>
      <c r="Z968" s="60">
        <v>28802.75</v>
      </c>
      <c r="AA968" s="60">
        <v>28802.75</v>
      </c>
      <c r="AB968" s="60">
        <v>28802.75</v>
      </c>
      <c r="AC968" s="60">
        <v>28802.75</v>
      </c>
      <c r="AD968" s="60">
        <v>28802.75</v>
      </c>
      <c r="AE968" s="61">
        <f t="shared" si="383"/>
        <v>172816.5</v>
      </c>
      <c r="AF968" s="62">
        <f t="shared" si="390"/>
        <v>6932161.2999999998</v>
      </c>
      <c r="AG968" s="62">
        <f t="shared" si="389"/>
        <v>2563445.4</v>
      </c>
      <c r="AH968" s="62">
        <f t="shared" si="387"/>
        <v>4368715.9000000004</v>
      </c>
      <c r="AI968" s="63">
        <v>4541532.3999999994</v>
      </c>
      <c r="AJ968" s="63">
        <f t="shared" si="394"/>
        <v>99913.712799999994</v>
      </c>
      <c r="AK968" s="72">
        <f t="shared" si="395"/>
        <v>99913.712799999994</v>
      </c>
      <c r="AL968" s="60">
        <v>28802.75</v>
      </c>
      <c r="AM968" s="60">
        <v>28802.75</v>
      </c>
      <c r="AN968" s="60">
        <v>28802.75</v>
      </c>
      <c r="AO968" s="60">
        <v>28802.75</v>
      </c>
      <c r="AP968" s="60">
        <v>28802.75</v>
      </c>
      <c r="AQ968" s="60">
        <v>28802.75</v>
      </c>
      <c r="AR968" s="61">
        <f t="shared" si="384"/>
        <v>172816.5</v>
      </c>
      <c r="AS968" s="60">
        <v>28802.75</v>
      </c>
      <c r="AT968" s="60">
        <v>28802.75</v>
      </c>
      <c r="AU968" s="60">
        <v>28802.75</v>
      </c>
      <c r="AV968" s="60">
        <v>28802.75</v>
      </c>
      <c r="AW968" s="60">
        <v>28802.75</v>
      </c>
      <c r="AX968" s="60">
        <v>28802.75</v>
      </c>
      <c r="AY968" s="61">
        <f t="shared" si="385"/>
        <v>172816.5</v>
      </c>
      <c r="AZ968" s="56">
        <f t="shared" si="380"/>
        <v>345633</v>
      </c>
      <c r="BA968" s="62">
        <f t="shared" si="391"/>
        <v>6932161.2999999998</v>
      </c>
      <c r="BB968" s="62">
        <f t="shared" si="386"/>
        <v>2909078.4</v>
      </c>
      <c r="BC968" s="62">
        <f t="shared" si="392"/>
        <v>4023082.9</v>
      </c>
      <c r="BD968" s="63">
        <v>4195899.3999999994</v>
      </c>
      <c r="BE968" s="57">
        <f t="shared" si="396"/>
        <v>92309.786800000002</v>
      </c>
      <c r="BF968" s="35" t="str">
        <f>VLOOKUP(A:A,'2023-2027'!A:G,1,+FALSE)</f>
        <v>Трансформаторная подстанция ТП-55 "Старый аэропорт"</v>
      </c>
      <c r="BG968" s="7" t="b">
        <f t="shared" si="388"/>
        <v>1</v>
      </c>
      <c r="BH968" s="35">
        <f>VLOOKUP(A:A,'2023-2027'!A:AT,43,+FALSE)</f>
        <v>28884.010000000006</v>
      </c>
    </row>
    <row r="969" spans="1:60" ht="24" hidden="1" customHeight="1" outlineLevel="1" x14ac:dyDescent="0.2">
      <c r="A969" s="59" t="s">
        <v>2493</v>
      </c>
      <c r="B969" s="59" t="s">
        <v>44</v>
      </c>
      <c r="C969" s="59" t="s">
        <v>82</v>
      </c>
      <c r="D969" s="66" t="s">
        <v>2226</v>
      </c>
      <c r="E969" s="59" t="s">
        <v>2227</v>
      </c>
      <c r="F969" s="60">
        <v>2318891.4900000002</v>
      </c>
      <c r="G969" s="60">
        <v>377612.48</v>
      </c>
      <c r="H969" s="60">
        <v>1941279.01</v>
      </c>
      <c r="I969" s="59"/>
      <c r="J969" s="60">
        <v>80916.960000000006</v>
      </c>
      <c r="K969" s="59"/>
      <c r="L969" s="59"/>
      <c r="M969" s="60">
        <v>2318891.4900000002</v>
      </c>
      <c r="N969" s="60">
        <v>458529.44</v>
      </c>
      <c r="O969" s="60">
        <v>1860362.05</v>
      </c>
      <c r="P969" s="55">
        <v>1900820.53</v>
      </c>
      <c r="Q969" s="55">
        <f t="shared" si="393"/>
        <v>41818.051660000005</v>
      </c>
      <c r="R969" s="61">
        <f t="shared" si="381"/>
        <v>6743.0800000000008</v>
      </c>
      <c r="S969" s="60">
        <v>6743.08</v>
      </c>
      <c r="T969" s="60">
        <v>6743.08</v>
      </c>
      <c r="U969" s="60">
        <v>6743.08</v>
      </c>
      <c r="V969" s="60">
        <v>6743.08</v>
      </c>
      <c r="W969" s="60">
        <v>6743.08</v>
      </c>
      <c r="X969" s="61">
        <f t="shared" si="382"/>
        <v>40458.480000000003</v>
      </c>
      <c r="Y969" s="60">
        <v>6743.08</v>
      </c>
      <c r="Z969" s="60">
        <v>6743.08</v>
      </c>
      <c r="AA969" s="60">
        <v>6743.08</v>
      </c>
      <c r="AB969" s="60">
        <v>6743.08</v>
      </c>
      <c r="AC969" s="60">
        <v>6743.08</v>
      </c>
      <c r="AD969" s="60">
        <v>6743.08</v>
      </c>
      <c r="AE969" s="61">
        <f t="shared" si="383"/>
        <v>40458.480000000003</v>
      </c>
      <c r="AF969" s="62">
        <f t="shared" si="390"/>
        <v>2318891.4900000002</v>
      </c>
      <c r="AG969" s="62">
        <f t="shared" si="389"/>
        <v>539446.4</v>
      </c>
      <c r="AH969" s="62">
        <f t="shared" si="387"/>
        <v>1779445.0900000003</v>
      </c>
      <c r="AI969" s="63">
        <v>1819903.5699999998</v>
      </c>
      <c r="AJ969" s="63">
        <f t="shared" si="394"/>
        <v>40037.878539999998</v>
      </c>
      <c r="AK969" s="72">
        <f t="shared" si="395"/>
        <v>40037.878539999998</v>
      </c>
      <c r="AL969" s="60">
        <v>6743.08</v>
      </c>
      <c r="AM969" s="60">
        <v>6743.08</v>
      </c>
      <c r="AN969" s="60">
        <v>6743.08</v>
      </c>
      <c r="AO969" s="60">
        <v>6743.08</v>
      </c>
      <c r="AP969" s="60">
        <v>6743.08</v>
      </c>
      <c r="AQ969" s="60">
        <v>6743.08</v>
      </c>
      <c r="AR969" s="61">
        <f t="shared" si="384"/>
        <v>40458.480000000003</v>
      </c>
      <c r="AS969" s="60">
        <v>6743.08</v>
      </c>
      <c r="AT969" s="60">
        <v>6743.08</v>
      </c>
      <c r="AU969" s="60">
        <v>6743.08</v>
      </c>
      <c r="AV969" s="60">
        <v>6743.08</v>
      </c>
      <c r="AW969" s="60">
        <v>6743.08</v>
      </c>
      <c r="AX969" s="60">
        <v>6743.08</v>
      </c>
      <c r="AY969" s="61">
        <f t="shared" si="385"/>
        <v>40458.480000000003</v>
      </c>
      <c r="AZ969" s="56">
        <f t="shared" si="380"/>
        <v>80916.960000000006</v>
      </c>
      <c r="BA969" s="62">
        <f t="shared" si="391"/>
        <v>2318891.4900000002</v>
      </c>
      <c r="BB969" s="62">
        <f t="shared" si="386"/>
        <v>620363.35999999952</v>
      </c>
      <c r="BC969" s="62">
        <f t="shared" si="392"/>
        <v>1698528.1300000008</v>
      </c>
      <c r="BD969" s="63">
        <v>1738986.6099999989</v>
      </c>
      <c r="BE969" s="57">
        <f t="shared" si="396"/>
        <v>38257.705419999984</v>
      </c>
      <c r="BF969" s="35" t="str">
        <f>VLOOKUP(A:A,'2023-2027'!A:G,1,+FALSE)</f>
        <v>Трансформаторная подстанция напряжением 6/0,4 Кв мощностью 400кВА, типа 2КТПК (п) 400/6/0,4 (к/к-13У1)</v>
      </c>
      <c r="BG969" s="7" t="b">
        <f t="shared" si="388"/>
        <v>1</v>
      </c>
      <c r="BH969" s="35">
        <f>VLOOKUP(A:A,'2023-2027'!A:AT,43,+FALSE)</f>
        <v>6800.2700000000032</v>
      </c>
    </row>
    <row r="970" spans="1:60" ht="48" hidden="1" customHeight="1" outlineLevel="1" x14ac:dyDescent="0.2">
      <c r="A970" s="59" t="s">
        <v>2228</v>
      </c>
      <c r="B970" s="59" t="s">
        <v>44</v>
      </c>
      <c r="C970" s="59" t="s">
        <v>82</v>
      </c>
      <c r="D970" s="66" t="s">
        <v>2229</v>
      </c>
      <c r="E970" s="59" t="s">
        <v>2204</v>
      </c>
      <c r="F970" s="60">
        <v>42621.63</v>
      </c>
      <c r="G970" s="60">
        <v>8712.76</v>
      </c>
      <c r="H970" s="60">
        <v>33908.870000000003</v>
      </c>
      <c r="I970" s="59"/>
      <c r="J970" s="60">
        <v>2825.76</v>
      </c>
      <c r="K970" s="59"/>
      <c r="L970" s="59"/>
      <c r="M970" s="60">
        <v>42621.63</v>
      </c>
      <c r="N970" s="60">
        <v>11538.52</v>
      </c>
      <c r="O970" s="60">
        <v>31083.11</v>
      </c>
      <c r="P970" s="55">
        <v>32495.99</v>
      </c>
      <c r="Q970" s="55">
        <f t="shared" si="393"/>
        <v>714.91178000000014</v>
      </c>
      <c r="R970" s="61">
        <f t="shared" si="381"/>
        <v>235.48000000000002</v>
      </c>
      <c r="S970" s="60">
        <v>235.48</v>
      </c>
      <c r="T970" s="60">
        <v>235.48</v>
      </c>
      <c r="U970" s="60">
        <v>235.48</v>
      </c>
      <c r="V970" s="60">
        <v>235.48</v>
      </c>
      <c r="W970" s="60">
        <v>235.48</v>
      </c>
      <c r="X970" s="61">
        <f t="shared" si="382"/>
        <v>1412.88</v>
      </c>
      <c r="Y970" s="60">
        <v>235.48</v>
      </c>
      <c r="Z970" s="60">
        <v>235.48</v>
      </c>
      <c r="AA970" s="60">
        <v>235.48</v>
      </c>
      <c r="AB970" s="60">
        <v>235.48</v>
      </c>
      <c r="AC970" s="60">
        <v>235.48</v>
      </c>
      <c r="AD970" s="60">
        <v>235.48</v>
      </c>
      <c r="AE970" s="61">
        <f t="shared" si="383"/>
        <v>1412.8799999999999</v>
      </c>
      <c r="AF970" s="62">
        <f t="shared" si="390"/>
        <v>42621.63</v>
      </c>
      <c r="AG970" s="62">
        <f t="shared" si="389"/>
        <v>14364.279999999995</v>
      </c>
      <c r="AH970" s="62">
        <f t="shared" si="387"/>
        <v>28257.350000000002</v>
      </c>
      <c r="AI970" s="63">
        <v>29670.229999999981</v>
      </c>
      <c r="AJ970" s="63">
        <f t="shared" si="394"/>
        <v>652.74505999999963</v>
      </c>
      <c r="AK970" s="62"/>
      <c r="AL970" s="60">
        <v>235.48</v>
      </c>
      <c r="AM970" s="60">
        <v>235.48</v>
      </c>
      <c r="AN970" s="60">
        <v>235.48</v>
      </c>
      <c r="AO970" s="60">
        <v>235.48</v>
      </c>
      <c r="AP970" s="60">
        <v>235.48</v>
      </c>
      <c r="AQ970" s="60">
        <v>235.48</v>
      </c>
      <c r="AR970" s="61">
        <f t="shared" si="384"/>
        <v>1412.8799999999999</v>
      </c>
      <c r="AS970" s="60">
        <v>235.48</v>
      </c>
      <c r="AT970" s="60">
        <v>235.48</v>
      </c>
      <c r="AU970" s="60">
        <v>235.48</v>
      </c>
      <c r="AV970" s="60">
        <v>235.48</v>
      </c>
      <c r="AW970" s="60">
        <v>235.48</v>
      </c>
      <c r="AX970" s="60">
        <v>235.48</v>
      </c>
      <c r="AY970" s="61">
        <f t="shared" si="385"/>
        <v>1412.8799999999999</v>
      </c>
      <c r="AZ970" s="56">
        <f t="shared" ref="AZ970:AZ1033" si="397">AR970+AY970</f>
        <v>2825.7599999999998</v>
      </c>
      <c r="BA970" s="62">
        <f t="shared" si="391"/>
        <v>42621.63</v>
      </c>
      <c r="BB970" s="62">
        <f t="shared" si="386"/>
        <v>17190.03999999999</v>
      </c>
      <c r="BC970" s="62">
        <f t="shared" si="392"/>
        <v>25431.590000000007</v>
      </c>
      <c r="BD970" s="63">
        <v>26844.469999999939</v>
      </c>
      <c r="BE970" s="57">
        <f t="shared" si="396"/>
        <v>590.57833999999878</v>
      </c>
      <c r="BF970" s="35" t="str">
        <f>VLOOKUP(A:A,'2023-2027'!A:G,1,+FALSE)</f>
        <v>Трансформаторная подстанция, адрес: Ненецкий АО, Нарьян-Мар г, Юбилейная ул, дом №11</v>
      </c>
      <c r="BG970" s="7" t="b">
        <f t="shared" si="388"/>
        <v>1</v>
      </c>
      <c r="BH970" s="35">
        <f>VLOOKUP(A:A,'2023-2027'!A:AT,43,+FALSE)</f>
        <v>235.48</v>
      </c>
    </row>
    <row r="971" spans="1:60" ht="24" hidden="1" customHeight="1" outlineLevel="1" x14ac:dyDescent="0.2">
      <c r="A971" s="59" t="s">
        <v>2494</v>
      </c>
      <c r="B971" s="59" t="s">
        <v>44</v>
      </c>
      <c r="C971" s="59" t="s">
        <v>82</v>
      </c>
      <c r="D971" s="66" t="s">
        <v>2230</v>
      </c>
      <c r="E971" s="59" t="s">
        <v>1272</v>
      </c>
      <c r="F971" s="60">
        <v>133941.79</v>
      </c>
      <c r="G971" s="60">
        <v>95468.32</v>
      </c>
      <c r="H971" s="60">
        <v>38473.47</v>
      </c>
      <c r="I971" s="59"/>
      <c r="J971" s="60">
        <v>6622.08</v>
      </c>
      <c r="K971" s="59"/>
      <c r="L971" s="59"/>
      <c r="M971" s="60">
        <v>133941.79</v>
      </c>
      <c r="N971" s="60">
        <v>102090.4</v>
      </c>
      <c r="O971" s="60">
        <v>31851.39</v>
      </c>
      <c r="P971" s="55"/>
      <c r="Q971" s="55"/>
      <c r="R971" s="61">
        <f t="shared" si="381"/>
        <v>551.84</v>
      </c>
      <c r="S971" s="60">
        <v>551.84</v>
      </c>
      <c r="T971" s="60">
        <v>551.84</v>
      </c>
      <c r="U971" s="60">
        <v>551.84</v>
      </c>
      <c r="V971" s="60">
        <v>551.84</v>
      </c>
      <c r="W971" s="60">
        <v>551.84</v>
      </c>
      <c r="X971" s="61">
        <f t="shared" si="382"/>
        <v>3311.0400000000004</v>
      </c>
      <c r="Y971" s="60">
        <v>551.84</v>
      </c>
      <c r="Z971" s="60">
        <v>551.84</v>
      </c>
      <c r="AA971" s="60">
        <v>551.84</v>
      </c>
      <c r="AB971" s="60">
        <v>551.84</v>
      </c>
      <c r="AC971" s="60">
        <v>551.84</v>
      </c>
      <c r="AD971" s="60">
        <v>551.84</v>
      </c>
      <c r="AE971" s="61">
        <f t="shared" si="383"/>
        <v>3311.0400000000004</v>
      </c>
      <c r="AF971" s="62">
        <f t="shared" si="390"/>
        <v>133941.79</v>
      </c>
      <c r="AG971" s="62">
        <f t="shared" si="389"/>
        <v>108712.47999999995</v>
      </c>
      <c r="AH971" s="62">
        <f t="shared" si="387"/>
        <v>25229.310000000056</v>
      </c>
      <c r="AI971" s="63"/>
      <c r="AJ971" s="63"/>
      <c r="AK971" s="62"/>
      <c r="AL971" s="60">
        <v>551.84</v>
      </c>
      <c r="AM971" s="60">
        <v>551.84</v>
      </c>
      <c r="AN971" s="60">
        <v>551.84</v>
      </c>
      <c r="AO971" s="60">
        <v>551.84</v>
      </c>
      <c r="AP971" s="60">
        <v>551.84</v>
      </c>
      <c r="AQ971" s="60">
        <v>551.84</v>
      </c>
      <c r="AR971" s="61">
        <f t="shared" si="384"/>
        <v>3311.0400000000004</v>
      </c>
      <c r="AS971" s="60">
        <v>551.84</v>
      </c>
      <c r="AT971" s="60">
        <v>551.84</v>
      </c>
      <c r="AU971" s="60">
        <v>551.84</v>
      </c>
      <c r="AV971" s="60">
        <v>551.84</v>
      </c>
      <c r="AW971" s="60">
        <v>551.84</v>
      </c>
      <c r="AX971" s="60">
        <v>551.84</v>
      </c>
      <c r="AY971" s="61">
        <f t="shared" si="385"/>
        <v>3311.0400000000004</v>
      </c>
      <c r="AZ971" s="56">
        <f t="shared" si="397"/>
        <v>6622.0800000000008</v>
      </c>
      <c r="BA971" s="62">
        <f t="shared" si="391"/>
        <v>133941.79</v>
      </c>
      <c r="BB971" s="62">
        <f t="shared" si="386"/>
        <v>115334.55999999991</v>
      </c>
      <c r="BC971" s="62">
        <f t="shared" si="392"/>
        <v>18607.230000000098</v>
      </c>
      <c r="BD971" s="63"/>
      <c r="BE971" s="57"/>
      <c r="BF971" s="35" t="str">
        <f>VLOOKUP(A:A,'2023-2027'!A:G,1,+FALSE)</f>
        <v>ТрансформаторТМ-160 КВА 6/0,4 №16733 2007г</v>
      </c>
      <c r="BG971" s="7" t="b">
        <f t="shared" si="388"/>
        <v>1</v>
      </c>
      <c r="BH971" s="35">
        <f>VLOOKUP(A:A,'2023-2027'!A:AT,43,+FALSE)</f>
        <v>558.09</v>
      </c>
    </row>
    <row r="972" spans="1:60" ht="24" hidden="1" customHeight="1" outlineLevel="1" x14ac:dyDescent="0.2">
      <c r="A972" s="59" t="s">
        <v>2495</v>
      </c>
      <c r="B972" s="59" t="s">
        <v>44</v>
      </c>
      <c r="C972" s="59" t="s">
        <v>82</v>
      </c>
      <c r="D972" s="66" t="s">
        <v>2231</v>
      </c>
      <c r="E972" s="59" t="s">
        <v>1272</v>
      </c>
      <c r="F972" s="60">
        <v>182634.77</v>
      </c>
      <c r="G972" s="60">
        <v>129487.03999999999</v>
      </c>
      <c r="H972" s="60">
        <v>53147.73</v>
      </c>
      <c r="I972" s="59"/>
      <c r="J972" s="60">
        <v>8981.64</v>
      </c>
      <c r="K972" s="59"/>
      <c r="L972" s="59"/>
      <c r="M972" s="60">
        <v>182634.77</v>
      </c>
      <c r="N972" s="60">
        <v>138468.68</v>
      </c>
      <c r="O972" s="60">
        <v>44166.09</v>
      </c>
      <c r="P972" s="55"/>
      <c r="Q972" s="55"/>
      <c r="R972" s="61">
        <f t="shared" si="381"/>
        <v>748.46999999999991</v>
      </c>
      <c r="S972" s="60">
        <v>748.47</v>
      </c>
      <c r="T972" s="60">
        <v>748.47</v>
      </c>
      <c r="U972" s="60">
        <v>748.47</v>
      </c>
      <c r="V972" s="60">
        <v>748.47</v>
      </c>
      <c r="W972" s="60">
        <v>748.47</v>
      </c>
      <c r="X972" s="61">
        <f t="shared" si="382"/>
        <v>4490.8200000000006</v>
      </c>
      <c r="Y972" s="60">
        <v>748.47</v>
      </c>
      <c r="Z972" s="60">
        <v>748.47</v>
      </c>
      <c r="AA972" s="60">
        <v>748.47</v>
      </c>
      <c r="AB972" s="60">
        <v>748.47</v>
      </c>
      <c r="AC972" s="60">
        <v>748.47</v>
      </c>
      <c r="AD972" s="60">
        <v>748.47</v>
      </c>
      <c r="AE972" s="61">
        <f t="shared" si="383"/>
        <v>4490.8200000000006</v>
      </c>
      <c r="AF972" s="62">
        <f t="shared" si="390"/>
        <v>182634.77</v>
      </c>
      <c r="AG972" s="62">
        <f t="shared" si="389"/>
        <v>147450.32</v>
      </c>
      <c r="AH972" s="62">
        <f t="shared" si="387"/>
        <v>35184.449999999983</v>
      </c>
      <c r="AI972" s="63"/>
      <c r="AJ972" s="63"/>
      <c r="AK972" s="62"/>
      <c r="AL972" s="60">
        <v>748.47</v>
      </c>
      <c r="AM972" s="60">
        <v>748.47</v>
      </c>
      <c r="AN972" s="60">
        <v>748.47</v>
      </c>
      <c r="AO972" s="60">
        <v>748.47</v>
      </c>
      <c r="AP972" s="60">
        <v>748.47</v>
      </c>
      <c r="AQ972" s="60">
        <v>748.47</v>
      </c>
      <c r="AR972" s="61">
        <f t="shared" si="384"/>
        <v>4490.8200000000006</v>
      </c>
      <c r="AS972" s="60">
        <v>748.47</v>
      </c>
      <c r="AT972" s="60">
        <v>748.47</v>
      </c>
      <c r="AU972" s="60">
        <v>748.47</v>
      </c>
      <c r="AV972" s="60">
        <v>748.47</v>
      </c>
      <c r="AW972" s="60">
        <v>748.47</v>
      </c>
      <c r="AX972" s="60">
        <v>748.47</v>
      </c>
      <c r="AY972" s="61">
        <f t="shared" si="385"/>
        <v>4490.8200000000006</v>
      </c>
      <c r="AZ972" s="56">
        <f t="shared" si="397"/>
        <v>8981.6400000000012</v>
      </c>
      <c r="BA972" s="62">
        <f t="shared" si="391"/>
        <v>182634.77</v>
      </c>
      <c r="BB972" s="62">
        <f t="shared" si="386"/>
        <v>156431.96000000002</v>
      </c>
      <c r="BC972" s="62">
        <f t="shared" si="392"/>
        <v>26202.809999999969</v>
      </c>
      <c r="BD972" s="63"/>
      <c r="BE972" s="57"/>
      <c r="BF972" s="35" t="str">
        <f>VLOOKUP(A:A,'2023-2027'!A:G,1,+FALSE)</f>
        <v>ТрансформаторТМ-400 КВА 6/,04 №8386 2007г</v>
      </c>
      <c r="BG972" s="7" t="b">
        <f t="shared" si="388"/>
        <v>1</v>
      </c>
      <c r="BH972" s="35">
        <f>VLOOKUP(A:A,'2023-2027'!A:AT,43,+FALSE)</f>
        <v>760.9799999999999</v>
      </c>
    </row>
    <row r="973" spans="1:60" ht="24" hidden="1" customHeight="1" outlineLevel="1" x14ac:dyDescent="0.2">
      <c r="A973" s="59" t="s">
        <v>2232</v>
      </c>
      <c r="B973" s="59" t="s">
        <v>44</v>
      </c>
      <c r="C973" s="59" t="s">
        <v>82</v>
      </c>
      <c r="D973" s="65" t="s">
        <v>2233</v>
      </c>
      <c r="E973" s="59" t="s">
        <v>2234</v>
      </c>
      <c r="F973" s="60">
        <v>53025.42</v>
      </c>
      <c r="G973" s="60">
        <v>33743.85</v>
      </c>
      <c r="H973" s="60">
        <v>19281.57</v>
      </c>
      <c r="I973" s="59"/>
      <c r="J973" s="60">
        <v>3856.32</v>
      </c>
      <c r="K973" s="59"/>
      <c r="L973" s="59"/>
      <c r="M973" s="60">
        <v>53025.42</v>
      </c>
      <c r="N973" s="60">
        <v>37600.17</v>
      </c>
      <c r="O973" s="60">
        <v>15425.25</v>
      </c>
      <c r="P973" s="55"/>
      <c r="Q973" s="55"/>
      <c r="R973" s="61">
        <f t="shared" si="381"/>
        <v>321.36</v>
      </c>
      <c r="S973" s="60">
        <v>321.36</v>
      </c>
      <c r="T973" s="60">
        <v>321.36</v>
      </c>
      <c r="U973" s="60">
        <v>321.36</v>
      </c>
      <c r="V973" s="60">
        <v>321.36</v>
      </c>
      <c r="W973" s="60">
        <v>321.36</v>
      </c>
      <c r="X973" s="61">
        <f t="shared" si="382"/>
        <v>1928.1600000000003</v>
      </c>
      <c r="Y973" s="60">
        <v>321.36</v>
      </c>
      <c r="Z973" s="60">
        <v>321.36</v>
      </c>
      <c r="AA973" s="60">
        <v>321.36</v>
      </c>
      <c r="AB973" s="60">
        <v>321.36</v>
      </c>
      <c r="AC973" s="60">
        <v>321.36</v>
      </c>
      <c r="AD973" s="60">
        <v>321.36</v>
      </c>
      <c r="AE973" s="61">
        <f t="shared" si="383"/>
        <v>1928.1600000000003</v>
      </c>
      <c r="AF973" s="62">
        <f t="shared" si="390"/>
        <v>53025.42</v>
      </c>
      <c r="AG973" s="62">
        <f t="shared" si="389"/>
        <v>41456.490000000005</v>
      </c>
      <c r="AH973" s="62">
        <f t="shared" si="387"/>
        <v>11568.929999999993</v>
      </c>
      <c r="AI973" s="63"/>
      <c r="AJ973" s="63"/>
      <c r="AK973" s="62"/>
      <c r="AL973" s="60">
        <v>321.36</v>
      </c>
      <c r="AM973" s="60">
        <v>321.36</v>
      </c>
      <c r="AN973" s="60">
        <v>321.36</v>
      </c>
      <c r="AO973" s="60">
        <v>321.36</v>
      </c>
      <c r="AP973" s="60">
        <v>321.36</v>
      </c>
      <c r="AQ973" s="60">
        <v>321.36</v>
      </c>
      <c r="AR973" s="61">
        <f t="shared" si="384"/>
        <v>1928.1600000000003</v>
      </c>
      <c r="AS973" s="60">
        <v>321.36</v>
      </c>
      <c r="AT973" s="60">
        <v>321.36</v>
      </c>
      <c r="AU973" s="60">
        <v>321.36</v>
      </c>
      <c r="AV973" s="60">
        <v>321.36</v>
      </c>
      <c r="AW973" s="60">
        <v>321.36</v>
      </c>
      <c r="AX973" s="60">
        <v>321.36</v>
      </c>
      <c r="AY973" s="61">
        <f t="shared" si="385"/>
        <v>1928.1600000000003</v>
      </c>
      <c r="AZ973" s="56">
        <f t="shared" si="397"/>
        <v>3856.3200000000006</v>
      </c>
      <c r="BA973" s="62">
        <f t="shared" si="391"/>
        <v>53025.42</v>
      </c>
      <c r="BB973" s="62">
        <f t="shared" si="386"/>
        <v>45312.810000000012</v>
      </c>
      <c r="BC973" s="62">
        <f t="shared" si="392"/>
        <v>7712.609999999986</v>
      </c>
      <c r="BD973" s="63"/>
      <c r="BE973" s="57"/>
      <c r="BF973" s="35" t="e">
        <f>VLOOKUP(A:A,'2023-2027'!A:G,1,+FALSE)</f>
        <v>#N/A</v>
      </c>
      <c r="BG973" s="7" t="e">
        <f t="shared" si="388"/>
        <v>#N/A</v>
      </c>
      <c r="BH973" s="35"/>
    </row>
    <row r="974" spans="1:60" ht="24" hidden="1" customHeight="1" outlineLevel="1" x14ac:dyDescent="0.2">
      <c r="A974" s="59" t="s">
        <v>2235</v>
      </c>
      <c r="B974" s="59" t="s">
        <v>44</v>
      </c>
      <c r="C974" s="59" t="s">
        <v>82</v>
      </c>
      <c r="D974" s="65" t="s">
        <v>2236</v>
      </c>
      <c r="E974" s="59" t="s">
        <v>2237</v>
      </c>
      <c r="F974" s="60">
        <v>3250</v>
      </c>
      <c r="G974" s="60">
        <v>3250</v>
      </c>
      <c r="H974" s="59"/>
      <c r="I974" s="59"/>
      <c r="J974" s="59"/>
      <c r="K974" s="60">
        <v>3250</v>
      </c>
      <c r="L974" s="60">
        <v>3250</v>
      </c>
      <c r="M974" s="59"/>
      <c r="N974" s="59"/>
      <c r="O974" s="59"/>
      <c r="P974" s="67"/>
      <c r="Q974" s="67"/>
      <c r="R974" s="61">
        <f t="shared" si="381"/>
        <v>0</v>
      </c>
      <c r="S974" s="60">
        <v>0</v>
      </c>
      <c r="T974" s="60">
        <v>0</v>
      </c>
      <c r="U974" s="60">
        <v>0</v>
      </c>
      <c r="V974" s="60">
        <v>0</v>
      </c>
      <c r="W974" s="60">
        <v>0</v>
      </c>
      <c r="X974" s="61">
        <f t="shared" si="382"/>
        <v>0</v>
      </c>
      <c r="Y974" s="60">
        <v>0</v>
      </c>
      <c r="Z974" s="60">
        <v>0</v>
      </c>
      <c r="AA974" s="60">
        <v>0</v>
      </c>
      <c r="AB974" s="60">
        <v>0</v>
      </c>
      <c r="AC974" s="60">
        <v>0</v>
      </c>
      <c r="AD974" s="60">
        <v>0</v>
      </c>
      <c r="AE974" s="61">
        <f t="shared" si="383"/>
        <v>0</v>
      </c>
      <c r="AF974" s="62">
        <f t="shared" si="390"/>
        <v>0</v>
      </c>
      <c r="AG974" s="62">
        <f t="shared" si="389"/>
        <v>0</v>
      </c>
      <c r="AH974" s="62">
        <f t="shared" si="387"/>
        <v>0</v>
      </c>
      <c r="AI974" s="63"/>
      <c r="AJ974" s="63"/>
      <c r="AK974" s="62"/>
      <c r="AL974" s="60">
        <v>0</v>
      </c>
      <c r="AM974" s="60">
        <v>0</v>
      </c>
      <c r="AN974" s="60">
        <v>0</v>
      </c>
      <c r="AO974" s="60">
        <v>0</v>
      </c>
      <c r="AP974" s="60">
        <v>0</v>
      </c>
      <c r="AQ974" s="60">
        <v>0</v>
      </c>
      <c r="AR974" s="61">
        <f t="shared" si="384"/>
        <v>0</v>
      </c>
      <c r="AS974" s="60">
        <v>0</v>
      </c>
      <c r="AT974" s="60">
        <v>0</v>
      </c>
      <c r="AU974" s="60">
        <v>0</v>
      </c>
      <c r="AV974" s="60">
        <v>0</v>
      </c>
      <c r="AW974" s="60">
        <v>0</v>
      </c>
      <c r="AX974" s="60">
        <v>0</v>
      </c>
      <c r="AY974" s="61">
        <f t="shared" si="385"/>
        <v>0</v>
      </c>
      <c r="AZ974" s="56">
        <f t="shared" si="397"/>
        <v>0</v>
      </c>
      <c r="BA974" s="62">
        <f t="shared" si="391"/>
        <v>0</v>
      </c>
      <c r="BB974" s="62">
        <f t="shared" si="386"/>
        <v>0</v>
      </c>
      <c r="BC974" s="62">
        <f t="shared" si="392"/>
        <v>0</v>
      </c>
      <c r="BD974" s="63"/>
      <c r="BE974" s="57"/>
      <c r="BF974" s="35" t="e">
        <f>VLOOKUP(A:A,'2023-2027'!A:G,1,+FALSE)</f>
        <v>#N/A</v>
      </c>
      <c r="BG974" s="7" t="e">
        <f t="shared" si="388"/>
        <v>#N/A</v>
      </c>
      <c r="BH974" s="35"/>
    </row>
    <row r="975" spans="1:60" ht="36" hidden="1" customHeight="1" outlineLevel="1" x14ac:dyDescent="0.2">
      <c r="A975" s="59" t="s">
        <v>2238</v>
      </c>
      <c r="B975" s="59" t="s">
        <v>44</v>
      </c>
      <c r="C975" s="59" t="s">
        <v>82</v>
      </c>
      <c r="D975" s="66" t="s">
        <v>2239</v>
      </c>
      <c r="E975" s="59" t="s">
        <v>1351</v>
      </c>
      <c r="F975" s="60">
        <v>50891.67</v>
      </c>
      <c r="G975" s="60">
        <v>24597.51</v>
      </c>
      <c r="H975" s="60">
        <v>26294.16</v>
      </c>
      <c r="I975" s="59"/>
      <c r="J975" s="60">
        <v>10178.4</v>
      </c>
      <c r="K975" s="59"/>
      <c r="L975" s="59"/>
      <c r="M975" s="60">
        <v>50891.67</v>
      </c>
      <c r="N975" s="60">
        <v>34775.910000000003</v>
      </c>
      <c r="O975" s="60">
        <v>16115.76</v>
      </c>
      <c r="P975" s="55"/>
      <c r="Q975" s="55"/>
      <c r="R975" s="61">
        <f t="shared" si="381"/>
        <v>848.19999999999993</v>
      </c>
      <c r="S975" s="60">
        <v>848.2</v>
      </c>
      <c r="T975" s="60">
        <v>848.2</v>
      </c>
      <c r="U975" s="60">
        <v>848.2</v>
      </c>
      <c r="V975" s="60">
        <v>848.2</v>
      </c>
      <c r="W975" s="60">
        <v>848.2</v>
      </c>
      <c r="X975" s="61">
        <f t="shared" si="382"/>
        <v>5089.2</v>
      </c>
      <c r="Y975" s="60">
        <v>848.2</v>
      </c>
      <c r="Z975" s="60">
        <v>848.2</v>
      </c>
      <c r="AA975" s="60">
        <v>848.2</v>
      </c>
      <c r="AB975" s="60">
        <v>848.2</v>
      </c>
      <c r="AC975" s="60">
        <v>848.2</v>
      </c>
      <c r="AD975" s="60">
        <v>848.2</v>
      </c>
      <c r="AE975" s="61">
        <f t="shared" si="383"/>
        <v>5089.2</v>
      </c>
      <c r="AF975" s="62">
        <f t="shared" si="390"/>
        <v>50891.67</v>
      </c>
      <c r="AG975" s="62">
        <f t="shared" si="389"/>
        <v>44954.309999999969</v>
      </c>
      <c r="AH975" s="62">
        <f t="shared" si="387"/>
        <v>5937.3600000000297</v>
      </c>
      <c r="AI975" s="63"/>
      <c r="AJ975" s="63"/>
      <c r="AK975" s="62"/>
      <c r="AL975" s="60">
        <v>848.2</v>
      </c>
      <c r="AM975" s="60">
        <v>848.2</v>
      </c>
      <c r="AN975" s="60">
        <v>848.2</v>
      </c>
      <c r="AO975" s="60">
        <v>848.2</v>
      </c>
      <c r="AP975" s="60">
        <v>848.2</v>
      </c>
      <c r="AQ975" s="60">
        <v>848.2</v>
      </c>
      <c r="AR975" s="61">
        <f t="shared" si="384"/>
        <v>5089.2</v>
      </c>
      <c r="AS975" s="60">
        <v>848.16</v>
      </c>
      <c r="AT975" s="60"/>
      <c r="AU975" s="60"/>
      <c r="AV975" s="60"/>
      <c r="AW975" s="60"/>
      <c r="AX975" s="60"/>
      <c r="AY975" s="61">
        <f t="shared" si="385"/>
        <v>848.16</v>
      </c>
      <c r="AZ975" s="56">
        <f t="shared" si="397"/>
        <v>5937.36</v>
      </c>
      <c r="BA975" s="62">
        <f t="shared" si="391"/>
        <v>50891.67</v>
      </c>
      <c r="BB975" s="62">
        <f t="shared" si="386"/>
        <v>50891.669999999955</v>
      </c>
      <c r="BC975" s="62">
        <f t="shared" si="392"/>
        <v>0</v>
      </c>
      <c r="BD975" s="63"/>
      <c r="BE975" s="57"/>
      <c r="BF975" s="35" t="str">
        <f>VLOOKUP(A:A,'2023-2027'!A:G,1,+FALSE)</f>
        <v>Трехфазная группа трансформаторов напряжения 3х3НОЛП-6 зав.1323217</v>
      </c>
      <c r="BG975" s="7" t="b">
        <f t="shared" si="388"/>
        <v>1</v>
      </c>
      <c r="BH975" s="35">
        <f>VLOOKUP(A:A,'2023-2027'!A:AT,43,+FALSE)</f>
        <v>848.1900000000004</v>
      </c>
    </row>
    <row r="976" spans="1:60" ht="36" hidden="1" customHeight="1" outlineLevel="1" x14ac:dyDescent="0.2">
      <c r="A976" s="59" t="s">
        <v>2240</v>
      </c>
      <c r="B976" s="59" t="s">
        <v>44</v>
      </c>
      <c r="C976" s="59" t="s">
        <v>82</v>
      </c>
      <c r="D976" s="66" t="s">
        <v>2241</v>
      </c>
      <c r="E976" s="59" t="s">
        <v>1351</v>
      </c>
      <c r="F976" s="60">
        <v>50891.67</v>
      </c>
      <c r="G976" s="60">
        <v>24597.51</v>
      </c>
      <c r="H976" s="60">
        <v>26294.16</v>
      </c>
      <c r="I976" s="59"/>
      <c r="J976" s="60">
        <v>10178.4</v>
      </c>
      <c r="K976" s="59"/>
      <c r="L976" s="59"/>
      <c r="M976" s="60">
        <v>50891.67</v>
      </c>
      <c r="N976" s="60">
        <v>34775.910000000003</v>
      </c>
      <c r="O976" s="60">
        <v>16115.76</v>
      </c>
      <c r="P976" s="55"/>
      <c r="Q976" s="55"/>
      <c r="R976" s="61">
        <f t="shared" si="381"/>
        <v>848.19999999999993</v>
      </c>
      <c r="S976" s="60">
        <v>848.2</v>
      </c>
      <c r="T976" s="60">
        <v>848.2</v>
      </c>
      <c r="U976" s="60">
        <v>848.2</v>
      </c>
      <c r="V976" s="60">
        <v>848.2</v>
      </c>
      <c r="W976" s="60">
        <v>848.2</v>
      </c>
      <c r="X976" s="61">
        <f t="shared" si="382"/>
        <v>5089.2</v>
      </c>
      <c r="Y976" s="60">
        <v>848.2</v>
      </c>
      <c r="Z976" s="60">
        <v>848.2</v>
      </c>
      <c r="AA976" s="60">
        <v>848.2</v>
      </c>
      <c r="AB976" s="60">
        <v>848.2</v>
      </c>
      <c r="AC976" s="60">
        <v>848.2</v>
      </c>
      <c r="AD976" s="60">
        <v>848.2</v>
      </c>
      <c r="AE976" s="61">
        <f t="shared" si="383"/>
        <v>5089.2</v>
      </c>
      <c r="AF976" s="62">
        <f t="shared" si="390"/>
        <v>50891.67</v>
      </c>
      <c r="AG976" s="62">
        <f t="shared" si="389"/>
        <v>44954.309999999969</v>
      </c>
      <c r="AH976" s="62">
        <f t="shared" si="387"/>
        <v>5937.3600000000297</v>
      </c>
      <c r="AI976" s="63"/>
      <c r="AJ976" s="63"/>
      <c r="AK976" s="62"/>
      <c r="AL976" s="60">
        <v>848.2</v>
      </c>
      <c r="AM976" s="60">
        <v>848.2</v>
      </c>
      <c r="AN976" s="60">
        <v>848.2</v>
      </c>
      <c r="AO976" s="60">
        <v>848.2</v>
      </c>
      <c r="AP976" s="60">
        <v>848.2</v>
      </c>
      <c r="AQ976" s="60">
        <v>848.2</v>
      </c>
      <c r="AR976" s="61">
        <f t="shared" si="384"/>
        <v>5089.2</v>
      </c>
      <c r="AS976" s="60">
        <v>848.16</v>
      </c>
      <c r="AT976" s="60"/>
      <c r="AU976" s="60"/>
      <c r="AV976" s="60"/>
      <c r="AW976" s="60"/>
      <c r="AX976" s="60"/>
      <c r="AY976" s="61">
        <f t="shared" si="385"/>
        <v>848.16</v>
      </c>
      <c r="AZ976" s="56">
        <f t="shared" si="397"/>
        <v>5937.36</v>
      </c>
      <c r="BA976" s="62">
        <f t="shared" si="391"/>
        <v>50891.67</v>
      </c>
      <c r="BB976" s="62">
        <f t="shared" si="386"/>
        <v>50891.669999999955</v>
      </c>
      <c r="BC976" s="62">
        <f t="shared" si="392"/>
        <v>0</v>
      </c>
      <c r="BD976" s="63"/>
      <c r="BE976" s="57"/>
      <c r="BF976" s="35" t="str">
        <f>VLOOKUP(A:A,'2023-2027'!A:G,1,+FALSE)</f>
        <v>Трехфазная группа трансформаторов напряжения 3х3НОЛП-6 зав.1323218</v>
      </c>
      <c r="BG976" s="7" t="b">
        <f t="shared" si="388"/>
        <v>1</v>
      </c>
      <c r="BH976" s="35">
        <f>VLOOKUP(A:A,'2023-2027'!A:AT,43,+FALSE)</f>
        <v>848.1900000000004</v>
      </c>
    </row>
    <row r="977" spans="1:60" ht="36" hidden="1" customHeight="1" outlineLevel="1" x14ac:dyDescent="0.2">
      <c r="A977" s="59" t="s">
        <v>2242</v>
      </c>
      <c r="B977" s="59" t="s">
        <v>44</v>
      </c>
      <c r="C977" s="59" t="s">
        <v>82</v>
      </c>
      <c r="D977" s="66" t="s">
        <v>2243</v>
      </c>
      <c r="E977" s="59" t="s">
        <v>1351</v>
      </c>
      <c r="F977" s="60">
        <v>50891.66</v>
      </c>
      <c r="G977" s="60">
        <v>24597.51</v>
      </c>
      <c r="H977" s="60">
        <v>26294.15</v>
      </c>
      <c r="I977" s="59"/>
      <c r="J977" s="60">
        <v>10178.4</v>
      </c>
      <c r="K977" s="59"/>
      <c r="L977" s="59"/>
      <c r="M977" s="60">
        <v>50891.66</v>
      </c>
      <c r="N977" s="60">
        <v>34775.910000000003</v>
      </c>
      <c r="O977" s="60">
        <v>16115.75</v>
      </c>
      <c r="P977" s="55"/>
      <c r="Q977" s="55"/>
      <c r="R977" s="61">
        <f t="shared" si="381"/>
        <v>848.19999999999993</v>
      </c>
      <c r="S977" s="60">
        <v>848.2</v>
      </c>
      <c r="T977" s="60">
        <v>848.2</v>
      </c>
      <c r="U977" s="60">
        <v>848.2</v>
      </c>
      <c r="V977" s="60">
        <v>848.2</v>
      </c>
      <c r="W977" s="60">
        <v>848.2</v>
      </c>
      <c r="X977" s="61">
        <f t="shared" si="382"/>
        <v>5089.2</v>
      </c>
      <c r="Y977" s="60">
        <v>848.2</v>
      </c>
      <c r="Z977" s="60">
        <v>848.2</v>
      </c>
      <c r="AA977" s="60">
        <v>848.2</v>
      </c>
      <c r="AB977" s="60">
        <v>848.2</v>
      </c>
      <c r="AC977" s="60">
        <v>848.2</v>
      </c>
      <c r="AD977" s="60">
        <v>848.2</v>
      </c>
      <c r="AE977" s="61">
        <f t="shared" si="383"/>
        <v>5089.2</v>
      </c>
      <c r="AF977" s="62">
        <f t="shared" si="390"/>
        <v>50891.66</v>
      </c>
      <c r="AG977" s="62">
        <f t="shared" si="389"/>
        <v>44954.309999999969</v>
      </c>
      <c r="AH977" s="62">
        <f t="shared" si="387"/>
        <v>5937.3500000000349</v>
      </c>
      <c r="AI977" s="63"/>
      <c r="AJ977" s="63"/>
      <c r="AK977" s="62"/>
      <c r="AL977" s="60">
        <v>848.2</v>
      </c>
      <c r="AM977" s="60">
        <v>848.2</v>
      </c>
      <c r="AN977" s="60">
        <v>848.2</v>
      </c>
      <c r="AO977" s="60">
        <v>848.2</v>
      </c>
      <c r="AP977" s="60">
        <v>848.2</v>
      </c>
      <c r="AQ977" s="60">
        <v>848.2</v>
      </c>
      <c r="AR977" s="61">
        <f t="shared" si="384"/>
        <v>5089.2</v>
      </c>
      <c r="AS977" s="60">
        <v>848.15445550000004</v>
      </c>
      <c r="AT977" s="60"/>
      <c r="AU977" s="60"/>
      <c r="AV977" s="60"/>
      <c r="AW977" s="60"/>
      <c r="AX977" s="60"/>
      <c r="AY977" s="61">
        <f t="shared" si="385"/>
        <v>848.15445550000004</v>
      </c>
      <c r="AZ977" s="56">
        <f t="shared" si="397"/>
        <v>5937.3544554999999</v>
      </c>
      <c r="BA977" s="62">
        <f t="shared" si="391"/>
        <v>50891.66</v>
      </c>
      <c r="BB977" s="62">
        <f t="shared" si="386"/>
        <v>50891.664455499951</v>
      </c>
      <c r="BC977" s="62"/>
      <c r="BD977" s="63"/>
      <c r="BE977" s="57"/>
      <c r="BF977" s="35" t="str">
        <f>VLOOKUP(A:A,'2023-2027'!A:G,1,+FALSE)</f>
        <v>Трехфазная группа трансформаторов напряжения 3х3НОЛП-6 зав.1323219</v>
      </c>
      <c r="BG977" s="7" t="b">
        <f t="shared" si="388"/>
        <v>1</v>
      </c>
      <c r="BH977" s="35">
        <f>VLOOKUP(A:A,'2023-2027'!A:AT,43,+FALSE)</f>
        <v>848.1900000000004</v>
      </c>
    </row>
    <row r="978" spans="1:60" ht="12" hidden="1" customHeight="1" outlineLevel="1" x14ac:dyDescent="0.2">
      <c r="A978" s="59" t="s">
        <v>2244</v>
      </c>
      <c r="B978" s="59" t="s">
        <v>44</v>
      </c>
      <c r="C978" s="59" t="s">
        <v>82</v>
      </c>
      <c r="D978" s="65" t="s">
        <v>2245</v>
      </c>
      <c r="E978" s="59" t="s">
        <v>1601</v>
      </c>
      <c r="F978" s="68">
        <v>720</v>
      </c>
      <c r="G978" s="68">
        <v>720</v>
      </c>
      <c r="H978" s="59"/>
      <c r="I978" s="59"/>
      <c r="J978" s="59"/>
      <c r="K978" s="68">
        <v>720</v>
      </c>
      <c r="L978" s="68">
        <v>720</v>
      </c>
      <c r="M978" s="59"/>
      <c r="N978" s="59"/>
      <c r="O978" s="59"/>
      <c r="P978" s="67"/>
      <c r="Q978" s="67"/>
      <c r="R978" s="61">
        <f t="shared" ref="R978:R1041" si="398">J978/12</f>
        <v>0</v>
      </c>
      <c r="S978" s="60">
        <v>0</v>
      </c>
      <c r="T978" s="60">
        <v>0</v>
      </c>
      <c r="U978" s="60">
        <v>0</v>
      </c>
      <c r="V978" s="60">
        <v>0</v>
      </c>
      <c r="W978" s="60">
        <v>0</v>
      </c>
      <c r="X978" s="61">
        <f t="shared" ref="X978:X1041" si="399">R978+S978+T978+U978+V978+W978</f>
        <v>0</v>
      </c>
      <c r="Y978" s="60">
        <v>0</v>
      </c>
      <c r="Z978" s="60">
        <v>0</v>
      </c>
      <c r="AA978" s="60">
        <v>0</v>
      </c>
      <c r="AB978" s="60">
        <v>0</v>
      </c>
      <c r="AC978" s="60">
        <v>0</v>
      </c>
      <c r="AD978" s="60">
        <v>0</v>
      </c>
      <c r="AE978" s="61">
        <f t="shared" ref="AE978:AE1041" si="400">Y978+Z978+AA978+AB978+AC978+AD978</f>
        <v>0</v>
      </c>
      <c r="AF978" s="62">
        <f t="shared" si="390"/>
        <v>0</v>
      </c>
      <c r="AG978" s="62">
        <f t="shared" si="389"/>
        <v>0</v>
      </c>
      <c r="AH978" s="62">
        <f t="shared" si="387"/>
        <v>0</v>
      </c>
      <c r="AI978" s="63"/>
      <c r="AJ978" s="63"/>
      <c r="AK978" s="62"/>
      <c r="AL978" s="60">
        <v>0</v>
      </c>
      <c r="AM978" s="60">
        <v>0</v>
      </c>
      <c r="AN978" s="60">
        <v>0</v>
      </c>
      <c r="AO978" s="60">
        <v>0</v>
      </c>
      <c r="AP978" s="60">
        <v>0</v>
      </c>
      <c r="AQ978" s="60">
        <v>0</v>
      </c>
      <c r="AR978" s="61">
        <f t="shared" ref="AR978:AR1041" si="401">AL978+AM978+AN978+AO978+AP978+AQ978</f>
        <v>0</v>
      </c>
      <c r="AS978" s="60">
        <v>0</v>
      </c>
      <c r="AT978" s="60">
        <v>0</v>
      </c>
      <c r="AU978" s="60">
        <v>0</v>
      </c>
      <c r="AV978" s="60">
        <v>0</v>
      </c>
      <c r="AW978" s="60">
        <v>0</v>
      </c>
      <c r="AX978" s="60">
        <v>0</v>
      </c>
      <c r="AY978" s="61">
        <f t="shared" ref="AY978:AY1041" si="402">AS978+AT978+AU978+AV978+AW978+AX978</f>
        <v>0</v>
      </c>
      <c r="AZ978" s="56">
        <f t="shared" si="397"/>
        <v>0</v>
      </c>
      <c r="BA978" s="62">
        <f t="shared" si="391"/>
        <v>0</v>
      </c>
      <c r="BB978" s="62">
        <f t="shared" ref="BB978:BB983" si="403">AG978+AL978+AM978+AN978+AO978+AP978+AQ978+AS978+AT978+AU978+AV978+AW978+AX978</f>
        <v>0</v>
      </c>
      <c r="BC978" s="62">
        <f t="shared" si="392"/>
        <v>0</v>
      </c>
      <c r="BD978" s="63"/>
      <c r="BE978" s="57"/>
      <c r="BF978" s="35" t="e">
        <f>VLOOKUP(A:A,'2023-2027'!A:G,1,+FALSE)</f>
        <v>#N/A</v>
      </c>
      <c r="BG978" s="7" t="e">
        <f t="shared" si="388"/>
        <v>#N/A</v>
      </c>
      <c r="BH978" s="35"/>
    </row>
    <row r="979" spans="1:60" ht="12" hidden="1" customHeight="1" outlineLevel="1" x14ac:dyDescent="0.2">
      <c r="A979" s="59" t="s">
        <v>2244</v>
      </c>
      <c r="B979" s="59" t="s">
        <v>44</v>
      </c>
      <c r="C979" s="59" t="s">
        <v>82</v>
      </c>
      <c r="D979" s="65" t="s">
        <v>2246</v>
      </c>
      <c r="E979" s="59" t="s">
        <v>1601</v>
      </c>
      <c r="F979" s="68">
        <v>720</v>
      </c>
      <c r="G979" s="68">
        <v>720</v>
      </c>
      <c r="H979" s="59"/>
      <c r="I979" s="59"/>
      <c r="J979" s="59"/>
      <c r="K979" s="68">
        <v>720</v>
      </c>
      <c r="L979" s="68">
        <v>720</v>
      </c>
      <c r="M979" s="59"/>
      <c r="N979" s="59"/>
      <c r="O979" s="59"/>
      <c r="P979" s="67"/>
      <c r="Q979" s="67"/>
      <c r="R979" s="61">
        <f t="shared" si="398"/>
        <v>0</v>
      </c>
      <c r="S979" s="60">
        <v>0</v>
      </c>
      <c r="T979" s="60">
        <v>0</v>
      </c>
      <c r="U979" s="60">
        <v>0</v>
      </c>
      <c r="V979" s="60">
        <v>0</v>
      </c>
      <c r="W979" s="60">
        <v>0</v>
      </c>
      <c r="X979" s="61">
        <f t="shared" si="399"/>
        <v>0</v>
      </c>
      <c r="Y979" s="60">
        <v>0</v>
      </c>
      <c r="Z979" s="60">
        <v>0</v>
      </c>
      <c r="AA979" s="60">
        <v>0</v>
      </c>
      <c r="AB979" s="60">
        <v>0</v>
      </c>
      <c r="AC979" s="60">
        <v>0</v>
      </c>
      <c r="AD979" s="60">
        <v>0</v>
      </c>
      <c r="AE979" s="61">
        <f t="shared" si="400"/>
        <v>0</v>
      </c>
      <c r="AF979" s="62">
        <f t="shared" si="390"/>
        <v>0</v>
      </c>
      <c r="AG979" s="62">
        <f t="shared" si="389"/>
        <v>0</v>
      </c>
      <c r="AH979" s="62">
        <f t="shared" ref="AH979:AH1042" si="404">AF979-AG979</f>
        <v>0</v>
      </c>
      <c r="AI979" s="63"/>
      <c r="AJ979" s="63"/>
      <c r="AK979" s="62"/>
      <c r="AL979" s="60">
        <v>0</v>
      </c>
      <c r="AM979" s="60">
        <v>0</v>
      </c>
      <c r="AN979" s="60">
        <v>0</v>
      </c>
      <c r="AO979" s="60">
        <v>0</v>
      </c>
      <c r="AP979" s="60">
        <v>0</v>
      </c>
      <c r="AQ979" s="60">
        <v>0</v>
      </c>
      <c r="AR979" s="61">
        <f t="shared" si="401"/>
        <v>0</v>
      </c>
      <c r="AS979" s="60">
        <v>0</v>
      </c>
      <c r="AT979" s="60">
        <v>0</v>
      </c>
      <c r="AU979" s="60">
        <v>0</v>
      </c>
      <c r="AV979" s="60">
        <v>0</v>
      </c>
      <c r="AW979" s="60">
        <v>0</v>
      </c>
      <c r="AX979" s="60">
        <v>0</v>
      </c>
      <c r="AY979" s="61">
        <f t="shared" si="402"/>
        <v>0</v>
      </c>
      <c r="AZ979" s="56">
        <f t="shared" si="397"/>
        <v>0</v>
      </c>
      <c r="BA979" s="62">
        <f t="shared" si="391"/>
        <v>0</v>
      </c>
      <c r="BB979" s="62">
        <f t="shared" si="403"/>
        <v>0</v>
      </c>
      <c r="BC979" s="62">
        <f t="shared" si="392"/>
        <v>0</v>
      </c>
      <c r="BD979" s="63"/>
      <c r="BE979" s="57"/>
      <c r="BF979" s="35" t="e">
        <f>VLOOKUP(A:A,'2023-2027'!A:G,1,+FALSE)</f>
        <v>#N/A</v>
      </c>
      <c r="BG979" s="7" t="e">
        <f t="shared" si="388"/>
        <v>#N/A</v>
      </c>
      <c r="BH979" s="35"/>
    </row>
    <row r="980" spans="1:60" ht="24" hidden="1" customHeight="1" outlineLevel="1" x14ac:dyDescent="0.2">
      <c r="A980" s="59" t="s">
        <v>2247</v>
      </c>
      <c r="B980" s="59" t="s">
        <v>44</v>
      </c>
      <c r="C980" s="59" t="s">
        <v>82</v>
      </c>
      <c r="D980" s="66" t="s">
        <v>2248</v>
      </c>
      <c r="E980" s="59" t="s">
        <v>2249</v>
      </c>
      <c r="F980" s="60">
        <v>3588625.91</v>
      </c>
      <c r="G980" s="60">
        <v>154841.19</v>
      </c>
      <c r="H980" s="60">
        <v>3433784.72</v>
      </c>
      <c r="I980" s="59"/>
      <c r="J980" s="60">
        <v>88480.68</v>
      </c>
      <c r="K980" s="59"/>
      <c r="L980" s="59"/>
      <c r="M980" s="60">
        <v>3588625.91</v>
      </c>
      <c r="N980" s="60">
        <v>243321.87</v>
      </c>
      <c r="O980" s="60">
        <v>3345304.04</v>
      </c>
      <c r="P980" s="55">
        <v>3389544.38</v>
      </c>
      <c r="Q980" s="55">
        <f t="shared" ref="Q980" si="405">P980*2.2%</f>
        <v>74569.976360000001</v>
      </c>
      <c r="R980" s="61">
        <f t="shared" si="398"/>
        <v>7373.3899999999994</v>
      </c>
      <c r="S980" s="60">
        <v>7373.39</v>
      </c>
      <c r="T980" s="60">
        <v>7373.39</v>
      </c>
      <c r="U980" s="60">
        <v>7373.39</v>
      </c>
      <c r="V980" s="60">
        <v>7373.39</v>
      </c>
      <c r="W980" s="60">
        <v>7373.39</v>
      </c>
      <c r="X980" s="61">
        <f t="shared" si="399"/>
        <v>44240.34</v>
      </c>
      <c r="Y980" s="60">
        <v>7373.39</v>
      </c>
      <c r="Z980" s="60">
        <v>7373.39</v>
      </c>
      <c r="AA980" s="60">
        <v>7373.39</v>
      </c>
      <c r="AB980" s="60">
        <v>7373.39</v>
      </c>
      <c r="AC980" s="60">
        <v>7373.39</v>
      </c>
      <c r="AD980" s="60">
        <v>7373.39</v>
      </c>
      <c r="AE980" s="61">
        <f t="shared" si="400"/>
        <v>44240.340000000004</v>
      </c>
      <c r="AF980" s="62">
        <f t="shared" si="390"/>
        <v>3588625.91</v>
      </c>
      <c r="AG980" s="62">
        <f t="shared" si="389"/>
        <v>331802.55000000016</v>
      </c>
      <c r="AH980" s="62">
        <f t="shared" si="404"/>
        <v>3256823.36</v>
      </c>
      <c r="AI980" s="63">
        <v>3301063.6999999988</v>
      </c>
      <c r="AJ980" s="63">
        <f t="shared" ref="AJ980" si="406">AI980*2.2%</f>
        <v>72623.401399999973</v>
      </c>
      <c r="AK980" s="62"/>
      <c r="AL980" s="60">
        <v>7373.39</v>
      </c>
      <c r="AM980" s="60">
        <v>7373.39</v>
      </c>
      <c r="AN980" s="60">
        <v>7373.39</v>
      </c>
      <c r="AO980" s="60">
        <v>7373.39</v>
      </c>
      <c r="AP980" s="60">
        <v>7373.39</v>
      </c>
      <c r="AQ980" s="60">
        <v>7373.39</v>
      </c>
      <c r="AR980" s="61">
        <f t="shared" si="401"/>
        <v>44240.340000000004</v>
      </c>
      <c r="AS980" s="60">
        <v>7373.39</v>
      </c>
      <c r="AT980" s="60">
        <v>7373.39</v>
      </c>
      <c r="AU980" s="60">
        <v>7373.39</v>
      </c>
      <c r="AV980" s="60">
        <v>7373.39</v>
      </c>
      <c r="AW980" s="60">
        <v>7373.39</v>
      </c>
      <c r="AX980" s="60">
        <v>7373.39</v>
      </c>
      <c r="AY980" s="61">
        <f t="shared" si="402"/>
        <v>44240.340000000004</v>
      </c>
      <c r="AZ980" s="56">
        <f t="shared" si="397"/>
        <v>88480.680000000008</v>
      </c>
      <c r="BA980" s="62">
        <f t="shared" si="391"/>
        <v>3588625.91</v>
      </c>
      <c r="BB980" s="62">
        <f t="shared" si="403"/>
        <v>420283.23000000033</v>
      </c>
      <c r="BC980" s="62">
        <f t="shared" si="392"/>
        <v>3168342.6799999997</v>
      </c>
      <c r="BD980" s="63">
        <v>3212583.0199999982</v>
      </c>
      <c r="BE980" s="57">
        <f t="shared" ref="BE980" si="407">BD980*2.2%</f>
        <v>70676.826439999961</v>
      </c>
      <c r="BF980" s="35" t="str">
        <f>VLOOKUP(A:A,'2023-2027'!A:G,1,+FALSE)</f>
        <v>Участок ВЛ-0,4 кВ от ТП-66 фидер Песчаная</v>
      </c>
      <c r="BG980" s="7" t="b">
        <f t="shared" si="388"/>
        <v>1</v>
      </c>
      <c r="BH980" s="35">
        <f>VLOOKUP(A:A,'2023-2027'!A:AT,43,+FALSE)</f>
        <v>7476.300000000002</v>
      </c>
    </row>
    <row r="981" spans="1:60" ht="12" hidden="1" customHeight="1" outlineLevel="1" x14ac:dyDescent="0.2">
      <c r="A981" s="59" t="s">
        <v>2496</v>
      </c>
      <c r="B981" s="59" t="s">
        <v>44</v>
      </c>
      <c r="C981" s="59" t="s">
        <v>82</v>
      </c>
      <c r="D981" s="66" t="s">
        <v>2250</v>
      </c>
      <c r="E981" s="59" t="s">
        <v>2251</v>
      </c>
      <c r="F981" s="60">
        <v>106181.36</v>
      </c>
      <c r="G981" s="60">
        <v>36278.44</v>
      </c>
      <c r="H981" s="60">
        <v>69902.92</v>
      </c>
      <c r="I981" s="59"/>
      <c r="J981" s="60">
        <v>10618.2</v>
      </c>
      <c r="K981" s="59"/>
      <c r="L981" s="59"/>
      <c r="M981" s="60">
        <v>106181.36</v>
      </c>
      <c r="N981" s="60">
        <v>46896.639999999999</v>
      </c>
      <c r="O981" s="60">
        <v>59284.72</v>
      </c>
      <c r="P981" s="55"/>
      <c r="Q981" s="55"/>
      <c r="R981" s="61">
        <f t="shared" si="398"/>
        <v>884.85</v>
      </c>
      <c r="S981" s="60">
        <v>884.85</v>
      </c>
      <c r="T981" s="60">
        <v>884.85</v>
      </c>
      <c r="U981" s="60">
        <v>884.85</v>
      </c>
      <c r="V981" s="60">
        <v>884.85</v>
      </c>
      <c r="W981" s="60">
        <v>884.85</v>
      </c>
      <c r="X981" s="61">
        <f t="shared" si="399"/>
        <v>5309.1</v>
      </c>
      <c r="Y981" s="60">
        <v>884.85</v>
      </c>
      <c r="Z981" s="60">
        <v>884.85</v>
      </c>
      <c r="AA981" s="60">
        <v>884.85</v>
      </c>
      <c r="AB981" s="60">
        <v>884.85</v>
      </c>
      <c r="AC981" s="60">
        <v>884.85</v>
      </c>
      <c r="AD981" s="60">
        <v>884.85</v>
      </c>
      <c r="AE981" s="61">
        <f t="shared" si="400"/>
        <v>5309.1</v>
      </c>
      <c r="AF981" s="62">
        <f t="shared" si="390"/>
        <v>106181.36</v>
      </c>
      <c r="AG981" s="62">
        <f t="shared" si="389"/>
        <v>57514.839999999982</v>
      </c>
      <c r="AH981" s="62">
        <f t="shared" si="404"/>
        <v>48666.520000000019</v>
      </c>
      <c r="AI981" s="63"/>
      <c r="AJ981" s="63"/>
      <c r="AK981" s="62"/>
      <c r="AL981" s="60">
        <v>884.85</v>
      </c>
      <c r="AM981" s="60">
        <v>884.85</v>
      </c>
      <c r="AN981" s="60">
        <v>884.85</v>
      </c>
      <c r="AO981" s="60">
        <v>884.85</v>
      </c>
      <c r="AP981" s="60">
        <v>884.85</v>
      </c>
      <c r="AQ981" s="60">
        <v>884.85</v>
      </c>
      <c r="AR981" s="61">
        <f t="shared" si="401"/>
        <v>5309.1</v>
      </c>
      <c r="AS981" s="60">
        <v>884.85</v>
      </c>
      <c r="AT981" s="60">
        <v>884.85</v>
      </c>
      <c r="AU981" s="60">
        <v>884.85</v>
      </c>
      <c r="AV981" s="60">
        <v>884.85</v>
      </c>
      <c r="AW981" s="60">
        <v>884.85</v>
      </c>
      <c r="AX981" s="60">
        <v>884.85</v>
      </c>
      <c r="AY981" s="61">
        <f t="shared" si="402"/>
        <v>5309.1</v>
      </c>
      <c r="AZ981" s="56">
        <f t="shared" si="397"/>
        <v>10618.2</v>
      </c>
      <c r="BA981" s="62">
        <f t="shared" si="391"/>
        <v>106181.36</v>
      </c>
      <c r="BB981" s="62">
        <f t="shared" si="403"/>
        <v>68133.039999999979</v>
      </c>
      <c r="BC981" s="62">
        <f t="shared" si="392"/>
        <v>38048.320000000022</v>
      </c>
      <c r="BD981" s="63"/>
      <c r="BE981" s="57"/>
      <c r="BF981" s="35" t="str">
        <f>VLOOKUP(A:A,'2023-2027'!A:G,1,+FALSE)</f>
        <v>Шиногиб гидравлический ШГР2-10AL</v>
      </c>
      <c r="BG981" s="7" t="b">
        <f t="shared" si="388"/>
        <v>1</v>
      </c>
      <c r="BH981" s="35">
        <f>VLOOKUP(A:A,'2023-2027'!A:AT,43,+FALSE)</f>
        <v>884.85</v>
      </c>
    </row>
    <row r="982" spans="1:60" ht="12" hidden="1" customHeight="1" outlineLevel="1" x14ac:dyDescent="0.2">
      <c r="A982" s="59" t="s">
        <v>2497</v>
      </c>
      <c r="B982" s="59" t="s">
        <v>44</v>
      </c>
      <c r="C982" s="59" t="s">
        <v>82</v>
      </c>
      <c r="D982" s="66" t="s">
        <v>2252</v>
      </c>
      <c r="E982" s="59" t="s">
        <v>2251</v>
      </c>
      <c r="F982" s="60">
        <v>51677.97</v>
      </c>
      <c r="G982" s="60">
        <v>17656.650000000001</v>
      </c>
      <c r="H982" s="60">
        <v>34021.32</v>
      </c>
      <c r="I982" s="59"/>
      <c r="J982" s="60">
        <v>5167.8</v>
      </c>
      <c r="K982" s="59"/>
      <c r="L982" s="59"/>
      <c r="M982" s="60">
        <v>51677.97</v>
      </c>
      <c r="N982" s="60">
        <v>22824.45</v>
      </c>
      <c r="O982" s="60">
        <v>28853.52</v>
      </c>
      <c r="P982" s="55"/>
      <c r="Q982" s="55"/>
      <c r="R982" s="61">
        <f t="shared" si="398"/>
        <v>430.65000000000003</v>
      </c>
      <c r="S982" s="60">
        <v>430.65</v>
      </c>
      <c r="T982" s="60">
        <v>430.65</v>
      </c>
      <c r="U982" s="60">
        <v>430.65</v>
      </c>
      <c r="V982" s="60">
        <v>430.65</v>
      </c>
      <c r="W982" s="60">
        <v>430.65</v>
      </c>
      <c r="X982" s="61">
        <f t="shared" si="399"/>
        <v>2583.9</v>
      </c>
      <c r="Y982" s="60">
        <v>430.65</v>
      </c>
      <c r="Z982" s="60">
        <v>430.65</v>
      </c>
      <c r="AA982" s="60">
        <v>430.65</v>
      </c>
      <c r="AB982" s="60">
        <v>430.65</v>
      </c>
      <c r="AC982" s="60">
        <v>430.65</v>
      </c>
      <c r="AD982" s="60">
        <v>430.65</v>
      </c>
      <c r="AE982" s="61">
        <f t="shared" si="400"/>
        <v>2583.9</v>
      </c>
      <c r="AF982" s="62">
        <f t="shared" si="390"/>
        <v>51677.97</v>
      </c>
      <c r="AG982" s="62">
        <f t="shared" si="389"/>
        <v>27992.250000000018</v>
      </c>
      <c r="AH982" s="62">
        <f t="shared" si="404"/>
        <v>23685.719999999983</v>
      </c>
      <c r="AI982" s="63"/>
      <c r="AJ982" s="63"/>
      <c r="AK982" s="62"/>
      <c r="AL982" s="60">
        <v>430.65</v>
      </c>
      <c r="AM982" s="60">
        <v>430.65</v>
      </c>
      <c r="AN982" s="60">
        <v>430.65</v>
      </c>
      <c r="AO982" s="60">
        <v>430.65</v>
      </c>
      <c r="AP982" s="60">
        <v>430.65</v>
      </c>
      <c r="AQ982" s="60">
        <v>430.65</v>
      </c>
      <c r="AR982" s="61">
        <f t="shared" si="401"/>
        <v>2583.9</v>
      </c>
      <c r="AS982" s="60">
        <v>430.65</v>
      </c>
      <c r="AT982" s="60">
        <v>430.65</v>
      </c>
      <c r="AU982" s="60">
        <v>430.65</v>
      </c>
      <c r="AV982" s="60">
        <v>430.65</v>
      </c>
      <c r="AW982" s="60">
        <v>430.65</v>
      </c>
      <c r="AX982" s="60">
        <v>430.65</v>
      </c>
      <c r="AY982" s="61">
        <f t="shared" si="402"/>
        <v>2583.9</v>
      </c>
      <c r="AZ982" s="56">
        <f t="shared" si="397"/>
        <v>5167.8</v>
      </c>
      <c r="BA982" s="62">
        <f t="shared" si="391"/>
        <v>51677.97</v>
      </c>
      <c r="BB982" s="62">
        <f t="shared" si="403"/>
        <v>33160.050000000032</v>
      </c>
      <c r="BC982" s="62">
        <f t="shared" si="392"/>
        <v>18517.919999999969</v>
      </c>
      <c r="BD982" s="63"/>
      <c r="BE982" s="57"/>
      <c r="BF982" s="35" t="str">
        <f>VLOOKUP(A:A,'2023-2027'!A:G,1,+FALSE)</f>
        <v>Шинодыр гидравлический ШД-60AL</v>
      </c>
      <c r="BG982" s="7" t="b">
        <f t="shared" ref="BG982:BG1045" si="408">OR(EXACT(BF982,$A$4:$A$1071))</f>
        <v>1</v>
      </c>
      <c r="BH982" s="35">
        <f>VLOOKUP(A:A,'2023-2027'!A:AT,43,+FALSE)</f>
        <v>430.64999999999992</v>
      </c>
    </row>
    <row r="983" spans="1:60" ht="12" hidden="1" customHeight="1" outlineLevel="1" x14ac:dyDescent="0.2">
      <c r="A983" s="59" t="s">
        <v>2253</v>
      </c>
      <c r="B983" s="59" t="s">
        <v>44</v>
      </c>
      <c r="C983" s="59" t="s">
        <v>82</v>
      </c>
      <c r="D983" s="66" t="s">
        <v>2254</v>
      </c>
      <c r="E983" s="59" t="s">
        <v>2157</v>
      </c>
      <c r="F983" s="60">
        <v>22847.47</v>
      </c>
      <c r="G983" s="60">
        <v>21108.9</v>
      </c>
      <c r="H983" s="60">
        <v>1738.57</v>
      </c>
      <c r="I983" s="59"/>
      <c r="J983" s="68">
        <v>993.48</v>
      </c>
      <c r="K983" s="59"/>
      <c r="L983" s="59"/>
      <c r="M983" s="60">
        <v>22847.47</v>
      </c>
      <c r="N983" s="60">
        <v>22102.38</v>
      </c>
      <c r="O983" s="68">
        <v>745.09</v>
      </c>
      <c r="P983" s="82"/>
      <c r="Q983" s="82"/>
      <c r="R983" s="61">
        <f t="shared" si="398"/>
        <v>82.79</v>
      </c>
      <c r="S983" s="60">
        <v>82.79</v>
      </c>
      <c r="T983" s="60">
        <v>82.79</v>
      </c>
      <c r="U983" s="60">
        <v>82.79</v>
      </c>
      <c r="V983" s="60">
        <v>82.79</v>
      </c>
      <c r="W983" s="60">
        <v>82.79</v>
      </c>
      <c r="X983" s="61">
        <f t="shared" si="399"/>
        <v>496.74000000000007</v>
      </c>
      <c r="Y983" s="60">
        <v>82.79</v>
      </c>
      <c r="Z983" s="60">
        <v>82.79</v>
      </c>
      <c r="AA983" s="60">
        <v>82.77</v>
      </c>
      <c r="AB983" s="60"/>
      <c r="AC983" s="60"/>
      <c r="AD983" s="60"/>
      <c r="AE983" s="61">
        <f t="shared" si="400"/>
        <v>248.35000000000002</v>
      </c>
      <c r="AF983" s="62">
        <f t="shared" si="390"/>
        <v>22847.47</v>
      </c>
      <c r="AG983" s="62">
        <f t="shared" si="389"/>
        <v>22847.470000000008</v>
      </c>
      <c r="AH983" s="62">
        <f t="shared" si="404"/>
        <v>0</v>
      </c>
      <c r="AI983" s="63"/>
      <c r="AJ983" s="63"/>
      <c r="AK983" s="62"/>
      <c r="AL983" s="60"/>
      <c r="AM983" s="60"/>
      <c r="AN983" s="60"/>
      <c r="AO983" s="60"/>
      <c r="AP983" s="60"/>
      <c r="AQ983" s="60"/>
      <c r="AR983" s="61">
        <f t="shared" si="401"/>
        <v>0</v>
      </c>
      <c r="AS983" s="60"/>
      <c r="AT983" s="60"/>
      <c r="AU983" s="60"/>
      <c r="AV983" s="60"/>
      <c r="AW983" s="60"/>
      <c r="AX983" s="60"/>
      <c r="AY983" s="61">
        <f t="shared" si="402"/>
        <v>0</v>
      </c>
      <c r="AZ983" s="56">
        <f t="shared" si="397"/>
        <v>0</v>
      </c>
      <c r="BA983" s="62">
        <f t="shared" si="391"/>
        <v>22847.47</v>
      </c>
      <c r="BB983" s="62">
        <f t="shared" si="403"/>
        <v>22847.470000000008</v>
      </c>
      <c r="BC983" s="62">
        <f t="shared" si="392"/>
        <v>0</v>
      </c>
      <c r="BD983" s="63"/>
      <c r="BE983" s="57"/>
      <c r="BF983" s="35" t="str">
        <f>VLOOKUP(A:A,'2023-2027'!A:G,1,+FALSE)</f>
        <v>Щит ЩО-70-02  2шт 2000г.</v>
      </c>
      <c r="BG983" s="7" t="b">
        <f t="shared" si="408"/>
        <v>1</v>
      </c>
      <c r="BH983" s="35">
        <f>VLOOKUP(A:A,'2023-2027'!A:AT,43,+FALSE)</f>
        <v>82.779999999999987</v>
      </c>
    </row>
    <row r="984" spans="1:60" ht="24" hidden="1" customHeight="1" outlineLevel="1" x14ac:dyDescent="0.2">
      <c r="A984" s="59" t="s">
        <v>2255</v>
      </c>
      <c r="B984" s="59" t="s">
        <v>44</v>
      </c>
      <c r="C984" s="59" t="s">
        <v>82</v>
      </c>
      <c r="D984" s="66" t="s">
        <v>2256</v>
      </c>
      <c r="E984" s="59" t="s">
        <v>1116</v>
      </c>
      <c r="F984" s="60">
        <v>25570</v>
      </c>
      <c r="G984" s="60">
        <v>22161.360000000001</v>
      </c>
      <c r="H984" s="60">
        <v>3408.64</v>
      </c>
      <c r="I984" s="59"/>
      <c r="J984" s="60">
        <v>1704.34</v>
      </c>
      <c r="K984" s="59"/>
      <c r="L984" s="59"/>
      <c r="M984" s="60">
        <v>25570</v>
      </c>
      <c r="N984" s="60">
        <v>23865.7</v>
      </c>
      <c r="O984" s="60">
        <v>1704.3</v>
      </c>
      <c r="P984" s="55"/>
      <c r="Q984" s="55"/>
      <c r="R984" s="61">
        <f t="shared" si="398"/>
        <v>142.02833333333334</v>
      </c>
      <c r="S984" s="60">
        <v>142.02833330000001</v>
      </c>
      <c r="T984" s="60">
        <v>142.02833330000001</v>
      </c>
      <c r="U984" s="60">
        <v>142.02833330000001</v>
      </c>
      <c r="V984" s="60">
        <v>142.02833330000001</v>
      </c>
      <c r="W984" s="60">
        <v>142.02833330000001</v>
      </c>
      <c r="X984" s="61">
        <f t="shared" si="399"/>
        <v>852.16999983333335</v>
      </c>
      <c r="Y984" s="60">
        <v>142.02833330000001</v>
      </c>
      <c r="Z984" s="60">
        <v>142.02833330000001</v>
      </c>
      <c r="AA984" s="60">
        <v>142.02833330000001</v>
      </c>
      <c r="AB984" s="60">
        <v>142.02833330000001</v>
      </c>
      <c r="AC984" s="60">
        <v>142.035</v>
      </c>
      <c r="AD984" s="60">
        <v>141.97999999999999</v>
      </c>
      <c r="AE984" s="61">
        <f t="shared" si="400"/>
        <v>852.12833320000004</v>
      </c>
      <c r="AF984" s="62">
        <f t="shared" si="390"/>
        <v>25570</v>
      </c>
      <c r="AG984" s="62">
        <f t="shared" si="389"/>
        <v>25569.998333033338</v>
      </c>
      <c r="AH984" s="62">
        <f t="shared" si="404"/>
        <v>1.6669666620146018E-3</v>
      </c>
      <c r="AI984" s="63"/>
      <c r="AJ984" s="63"/>
      <c r="AK984" s="62"/>
      <c r="AL984" s="60"/>
      <c r="AM984" s="60"/>
      <c r="AN984" s="60"/>
      <c r="AO984" s="60"/>
      <c r="AP984" s="60"/>
      <c r="AQ984" s="60"/>
      <c r="AR984" s="61">
        <f t="shared" si="401"/>
        <v>0</v>
      </c>
      <c r="AS984" s="60"/>
      <c r="AT984" s="60"/>
      <c r="AU984" s="60"/>
      <c r="AV984" s="60"/>
      <c r="AW984" s="60"/>
      <c r="AX984" s="60"/>
      <c r="AY984" s="61">
        <f t="shared" si="402"/>
        <v>0</v>
      </c>
      <c r="AZ984" s="56">
        <f t="shared" si="397"/>
        <v>0</v>
      </c>
      <c r="BA984" s="62">
        <f t="shared" si="391"/>
        <v>25570</v>
      </c>
      <c r="BB984" s="62">
        <f>AG984+AL984+AM984+AN984+AO984+AP984+AQ984+AS984+AT984+AU984+AV984+AW984+AX984</f>
        <v>25569.998333033338</v>
      </c>
      <c r="BC984" s="62">
        <f t="shared" si="392"/>
        <v>1.6669666620146018E-3</v>
      </c>
      <c r="BD984" s="63"/>
      <c r="BE984" s="57"/>
      <c r="BF984" s="35" t="str">
        <f>VLOOKUP(A:A,'2023-2027'!A:G,1,+FALSE)</f>
        <v>ЩО 70-3-02 УЗ №1 ТП в районе школы №2</v>
      </c>
      <c r="BG984" s="7" t="b">
        <f t="shared" si="408"/>
        <v>1</v>
      </c>
      <c r="BH984" s="35">
        <f>VLOOKUP(A:A,'2023-2027'!A:AT,43,+FALSE)</f>
        <v>142.05999999999997</v>
      </c>
    </row>
    <row r="985" spans="1:60" ht="24" hidden="1" customHeight="1" outlineLevel="1" x14ac:dyDescent="0.2">
      <c r="A985" s="59" t="s">
        <v>2257</v>
      </c>
      <c r="B985" s="59" t="s">
        <v>44</v>
      </c>
      <c r="C985" s="59" t="s">
        <v>82</v>
      </c>
      <c r="D985" s="66" t="s">
        <v>2258</v>
      </c>
      <c r="E985" s="59" t="s">
        <v>2259</v>
      </c>
      <c r="F985" s="60">
        <v>19890</v>
      </c>
      <c r="G985" s="60">
        <v>17348.5</v>
      </c>
      <c r="H985" s="60">
        <v>2541.5</v>
      </c>
      <c r="I985" s="59"/>
      <c r="J985" s="60">
        <v>1326</v>
      </c>
      <c r="K985" s="60">
        <v>19890</v>
      </c>
      <c r="L985" s="60">
        <v>18674.5</v>
      </c>
      <c r="M985" s="59"/>
      <c r="N985" s="59"/>
      <c r="O985" s="59"/>
      <c r="P985" s="67"/>
      <c r="Q985" s="67"/>
      <c r="R985" s="61"/>
      <c r="S985" s="60"/>
      <c r="T985" s="60"/>
      <c r="U985" s="60"/>
      <c r="V985" s="60"/>
      <c r="W985" s="60"/>
      <c r="X985" s="61">
        <f t="shared" si="399"/>
        <v>0</v>
      </c>
      <c r="Y985" s="60"/>
      <c r="Z985" s="60"/>
      <c r="AA985" s="60"/>
      <c r="AB985" s="60"/>
      <c r="AC985" s="60"/>
      <c r="AD985" s="60"/>
      <c r="AE985" s="61">
        <f t="shared" si="400"/>
        <v>0</v>
      </c>
      <c r="AF985" s="62">
        <f t="shared" si="390"/>
        <v>0</v>
      </c>
      <c r="AG985" s="62">
        <f t="shared" si="389"/>
        <v>0</v>
      </c>
      <c r="AH985" s="62">
        <f t="shared" si="404"/>
        <v>0</v>
      </c>
      <c r="AI985" s="63"/>
      <c r="AJ985" s="63"/>
      <c r="AK985" s="62"/>
      <c r="AL985" s="60"/>
      <c r="AM985" s="60"/>
      <c r="AN985" s="60"/>
      <c r="AO985" s="60"/>
      <c r="AP985" s="60"/>
      <c r="AQ985" s="60"/>
      <c r="AR985" s="61">
        <f t="shared" si="401"/>
        <v>0</v>
      </c>
      <c r="AS985" s="60"/>
      <c r="AT985" s="60"/>
      <c r="AU985" s="60"/>
      <c r="AV985" s="60"/>
      <c r="AW985" s="60"/>
      <c r="AX985" s="60"/>
      <c r="AY985" s="61">
        <f t="shared" si="402"/>
        <v>0</v>
      </c>
      <c r="AZ985" s="56">
        <f t="shared" si="397"/>
        <v>0</v>
      </c>
      <c r="BA985" s="62">
        <f t="shared" si="391"/>
        <v>0</v>
      </c>
      <c r="BB985" s="62">
        <f t="shared" ref="BB985:BB1048" si="409">AG985+AL985+AM985+AN985+AO985+AP985+AQ985+AS985+AT985+AU985+AV985+AW985+AX985</f>
        <v>0</v>
      </c>
      <c r="BC985" s="62">
        <f t="shared" si="392"/>
        <v>0</v>
      </c>
      <c r="BD985" s="63"/>
      <c r="BE985" s="57"/>
      <c r="BF985" s="35" t="str">
        <f>VLOOKUP(A:A,'2023-2027'!A:G,1,+FALSE)</f>
        <v>ЩО-70-3-16УЗ №1 ЛЭП-0,4кВ ТП-43 Водозабор</v>
      </c>
      <c r="BG985" s="7" t="b">
        <f t="shared" si="408"/>
        <v>1</v>
      </c>
      <c r="BH985" s="35">
        <f>VLOOKUP(A:A,'2023-2027'!A:AT,43,+FALSE)</f>
        <v>0</v>
      </c>
    </row>
    <row r="986" spans="1:60" ht="24" hidden="1" customHeight="1" outlineLevel="1" x14ac:dyDescent="0.2">
      <c r="A986" s="59" t="s">
        <v>2260</v>
      </c>
      <c r="B986" s="59" t="s">
        <v>44</v>
      </c>
      <c r="C986" s="59" t="s">
        <v>82</v>
      </c>
      <c r="D986" s="65" t="s">
        <v>2261</v>
      </c>
      <c r="E986" s="59" t="s">
        <v>2259</v>
      </c>
      <c r="F986" s="60">
        <v>19890</v>
      </c>
      <c r="G986" s="60">
        <v>17348.5</v>
      </c>
      <c r="H986" s="60">
        <v>2541.5</v>
      </c>
      <c r="I986" s="59"/>
      <c r="J986" s="60">
        <v>1326</v>
      </c>
      <c r="K986" s="60">
        <v>19890</v>
      </c>
      <c r="L986" s="60">
        <v>18674.5</v>
      </c>
      <c r="M986" s="59"/>
      <c r="N986" s="59"/>
      <c r="O986" s="59"/>
      <c r="P986" s="67"/>
      <c r="Q986" s="67"/>
      <c r="R986" s="61"/>
      <c r="S986" s="60"/>
      <c r="T986" s="60"/>
      <c r="U986" s="60"/>
      <c r="V986" s="60"/>
      <c r="W986" s="60"/>
      <c r="X986" s="61">
        <f t="shared" si="399"/>
        <v>0</v>
      </c>
      <c r="Y986" s="60"/>
      <c r="Z986" s="60"/>
      <c r="AA986" s="60"/>
      <c r="AB986" s="60"/>
      <c r="AC986" s="60"/>
      <c r="AD986" s="60"/>
      <c r="AE986" s="61">
        <f t="shared" si="400"/>
        <v>0</v>
      </c>
      <c r="AF986" s="62">
        <f t="shared" si="390"/>
        <v>0</v>
      </c>
      <c r="AG986" s="62">
        <f t="shared" si="389"/>
        <v>0</v>
      </c>
      <c r="AH986" s="62">
        <f t="shared" si="404"/>
        <v>0</v>
      </c>
      <c r="AI986" s="63"/>
      <c r="AJ986" s="63"/>
      <c r="AK986" s="62"/>
      <c r="AL986" s="60"/>
      <c r="AM986" s="60"/>
      <c r="AN986" s="60"/>
      <c r="AO986" s="60"/>
      <c r="AP986" s="60"/>
      <c r="AQ986" s="60"/>
      <c r="AR986" s="61">
        <f t="shared" si="401"/>
        <v>0</v>
      </c>
      <c r="AS986" s="60"/>
      <c r="AT986" s="60"/>
      <c r="AU986" s="60"/>
      <c r="AV986" s="60"/>
      <c r="AW986" s="60"/>
      <c r="AX986" s="60"/>
      <c r="AY986" s="61">
        <f t="shared" si="402"/>
        <v>0</v>
      </c>
      <c r="AZ986" s="56">
        <f t="shared" si="397"/>
        <v>0</v>
      </c>
      <c r="BA986" s="62">
        <f t="shared" si="391"/>
        <v>0</v>
      </c>
      <c r="BB986" s="62">
        <f t="shared" si="409"/>
        <v>0</v>
      </c>
      <c r="BC986" s="62">
        <f t="shared" si="392"/>
        <v>0</v>
      </c>
      <c r="BD986" s="63"/>
      <c r="BE986" s="57"/>
      <c r="BF986" s="35" t="str">
        <f>VLOOKUP(A:A,'2023-2027'!A:G,1,+FALSE)</f>
        <v>ЩО-70-3-16УЗ №2 ТП-43 Водозабор</v>
      </c>
      <c r="BG986" s="7" t="b">
        <f t="shared" si="408"/>
        <v>1</v>
      </c>
      <c r="BH986" s="35">
        <f>VLOOKUP(A:A,'2023-2027'!A:AT,43,+FALSE)</f>
        <v>0</v>
      </c>
    </row>
    <row r="987" spans="1:60" ht="24" hidden="1" customHeight="1" outlineLevel="1" x14ac:dyDescent="0.2">
      <c r="A987" s="59" t="s">
        <v>2262</v>
      </c>
      <c r="B987" s="59" t="s">
        <v>44</v>
      </c>
      <c r="C987" s="59" t="s">
        <v>82</v>
      </c>
      <c r="D987" s="66" t="s">
        <v>2263</v>
      </c>
      <c r="E987" s="59" t="s">
        <v>1622</v>
      </c>
      <c r="F987" s="60">
        <v>33157</v>
      </c>
      <c r="G987" s="60">
        <v>28624.68</v>
      </c>
      <c r="H987" s="60">
        <v>4532.32</v>
      </c>
      <c r="I987" s="59"/>
      <c r="J987" s="60">
        <v>1326.52</v>
      </c>
      <c r="K987" s="59"/>
      <c r="L987" s="59"/>
      <c r="M987" s="60">
        <v>33157</v>
      </c>
      <c r="N987" s="60">
        <v>29951.200000000001</v>
      </c>
      <c r="O987" s="60">
        <v>3205.8</v>
      </c>
      <c r="P987" s="55">
        <v>3869.07</v>
      </c>
      <c r="Q987" s="55">
        <f t="shared" ref="Q987:Q1004" si="410">P987*2.2%</f>
        <v>85.119540000000015</v>
      </c>
      <c r="R987" s="61">
        <f t="shared" si="398"/>
        <v>110.54333333333334</v>
      </c>
      <c r="S987" s="60">
        <v>110.5433333</v>
      </c>
      <c r="T987" s="60">
        <v>110.5433333</v>
      </c>
      <c r="U987" s="60">
        <v>110.5433333</v>
      </c>
      <c r="V987" s="60">
        <v>110.5433333</v>
      </c>
      <c r="W987" s="60">
        <v>110.5433333</v>
      </c>
      <c r="X987" s="61">
        <f t="shared" si="399"/>
        <v>663.25999983333327</v>
      </c>
      <c r="Y987" s="60">
        <v>110.5433333</v>
      </c>
      <c r="Z987" s="60">
        <v>110.5433333</v>
      </c>
      <c r="AA987" s="60">
        <v>110.5433333</v>
      </c>
      <c r="AB987" s="60">
        <v>110.5433333</v>
      </c>
      <c r="AC987" s="60">
        <v>110.5433333</v>
      </c>
      <c r="AD987" s="60">
        <v>110.5433333</v>
      </c>
      <c r="AE987" s="61">
        <f t="shared" si="400"/>
        <v>663.25999979999995</v>
      </c>
      <c r="AF987" s="62">
        <f t="shared" si="390"/>
        <v>33157</v>
      </c>
      <c r="AG987" s="62">
        <f t="shared" ref="AG987:AG1005" si="411">N987+R987+S987+T987+U987+V987+W987+Y987+Z987+AA987+AB987+AC987+AD987</f>
        <v>31277.719999633337</v>
      </c>
      <c r="AH987" s="62">
        <f t="shared" si="404"/>
        <v>1879.2800003666634</v>
      </c>
      <c r="AI987" s="63">
        <v>2542.5600000000004</v>
      </c>
      <c r="AJ987" s="63">
        <f t="shared" ref="AJ987:AJ1004" si="412">AI987*2.2%</f>
        <v>55.936320000000016</v>
      </c>
      <c r="AK987" s="72">
        <f t="shared" ref="AK987:AK1004" si="413">AI987*2.2%</f>
        <v>55.936320000000016</v>
      </c>
      <c r="AL987" s="60">
        <v>110.5433333</v>
      </c>
      <c r="AM987" s="60">
        <v>110.5433333</v>
      </c>
      <c r="AN987" s="60">
        <v>110.5433333</v>
      </c>
      <c r="AO987" s="60">
        <v>110.5433333</v>
      </c>
      <c r="AP987" s="60">
        <v>110.5433333</v>
      </c>
      <c r="AQ987" s="60">
        <v>110.5433333</v>
      </c>
      <c r="AR987" s="61">
        <f t="shared" si="401"/>
        <v>663.25999979999995</v>
      </c>
      <c r="AS987" s="60">
        <v>110.5433333</v>
      </c>
      <c r="AT987" s="60">
        <v>110.5433333</v>
      </c>
      <c r="AU987" s="60">
        <v>110.5433333</v>
      </c>
      <c r="AV987" s="60">
        <v>110.5433333</v>
      </c>
      <c r="AW987" s="60">
        <v>110.5433333</v>
      </c>
      <c r="AX987" s="60">
        <v>110.5433333</v>
      </c>
      <c r="AY987" s="61">
        <f t="shared" si="402"/>
        <v>663.25999979999995</v>
      </c>
      <c r="AZ987" s="56">
        <f t="shared" si="397"/>
        <v>1326.5199995999999</v>
      </c>
      <c r="BA987" s="62">
        <f t="shared" si="391"/>
        <v>33157</v>
      </c>
      <c r="BB987" s="62">
        <f t="shared" si="409"/>
        <v>32604.239999233338</v>
      </c>
      <c r="BC987" s="62">
        <f t="shared" si="392"/>
        <v>552.76000076666242</v>
      </c>
      <c r="BD987" s="63">
        <v>1216.0800000000006</v>
      </c>
      <c r="BE987" s="57">
        <f t="shared" ref="BE987:BE1004" si="414">BD987*2.2%</f>
        <v>26.753760000000018</v>
      </c>
      <c r="BF987" s="35" t="str">
        <f>VLOOKUP(A:A,'2023-2027'!A:G,1,+FALSE)</f>
        <v>Э/освещение и силовое э/обор ТП-67 шк№5  2000г.</v>
      </c>
      <c r="BG987" s="7" t="b">
        <f t="shared" si="408"/>
        <v>1</v>
      </c>
      <c r="BH987" s="35">
        <f>VLOOKUP(A:A,'2023-2027'!A:AT,43,+FALSE)</f>
        <v>110.5433333</v>
      </c>
    </row>
    <row r="988" spans="1:60" ht="24" hidden="1" customHeight="1" outlineLevel="1" x14ac:dyDescent="0.2">
      <c r="A988" s="59" t="s">
        <v>2264</v>
      </c>
      <c r="B988" s="59" t="s">
        <v>44</v>
      </c>
      <c r="C988" s="59" t="s">
        <v>82</v>
      </c>
      <c r="D988" s="65" t="s">
        <v>2265</v>
      </c>
      <c r="E988" s="59" t="s">
        <v>1266</v>
      </c>
      <c r="F988" s="60">
        <v>165073</v>
      </c>
      <c r="G988" s="60">
        <v>137963.43</v>
      </c>
      <c r="H988" s="60">
        <v>27109.57</v>
      </c>
      <c r="I988" s="59"/>
      <c r="J988" s="60">
        <v>2061.96</v>
      </c>
      <c r="K988" s="59"/>
      <c r="L988" s="59"/>
      <c r="M988" s="60">
        <v>165073</v>
      </c>
      <c r="N988" s="60">
        <v>140025.39000000001</v>
      </c>
      <c r="O988" s="60">
        <v>25047.61</v>
      </c>
      <c r="P988" s="55">
        <v>26078.59</v>
      </c>
      <c r="Q988" s="55">
        <f t="shared" si="410"/>
        <v>573.72898000000009</v>
      </c>
      <c r="R988" s="61">
        <f t="shared" si="398"/>
        <v>171.83</v>
      </c>
      <c r="S988" s="60">
        <v>171.83</v>
      </c>
      <c r="T988" s="60">
        <v>171.83</v>
      </c>
      <c r="U988" s="60">
        <v>171.83</v>
      </c>
      <c r="V988" s="60">
        <v>171.83</v>
      </c>
      <c r="W988" s="60">
        <v>171.83</v>
      </c>
      <c r="X988" s="61">
        <f t="shared" si="399"/>
        <v>1030.98</v>
      </c>
      <c r="Y988" s="60">
        <v>171.83</v>
      </c>
      <c r="Z988" s="60">
        <v>171.83</v>
      </c>
      <c r="AA988" s="60">
        <v>171.83</v>
      </c>
      <c r="AB988" s="60">
        <v>171.83</v>
      </c>
      <c r="AC988" s="60">
        <v>171.83</v>
      </c>
      <c r="AD988" s="60">
        <v>171.83</v>
      </c>
      <c r="AE988" s="61">
        <f t="shared" si="400"/>
        <v>1030.98</v>
      </c>
      <c r="AF988" s="62">
        <f t="shared" si="390"/>
        <v>165073</v>
      </c>
      <c r="AG988" s="62">
        <f t="shared" si="411"/>
        <v>142087.34999999986</v>
      </c>
      <c r="AH988" s="62">
        <f t="shared" si="404"/>
        <v>22985.65000000014</v>
      </c>
      <c r="AI988" s="63">
        <v>24016.630000000008</v>
      </c>
      <c r="AJ988" s="63">
        <f t="shared" si="412"/>
        <v>528.36586000000023</v>
      </c>
      <c r="AK988" s="72">
        <f t="shared" si="413"/>
        <v>528.36586000000023</v>
      </c>
      <c r="AL988" s="60">
        <v>171.83</v>
      </c>
      <c r="AM988" s="60">
        <v>171.83</v>
      </c>
      <c r="AN988" s="60">
        <v>171.83</v>
      </c>
      <c r="AO988" s="60">
        <v>171.83</v>
      </c>
      <c r="AP988" s="60">
        <v>171.83</v>
      </c>
      <c r="AQ988" s="60">
        <v>171.83</v>
      </c>
      <c r="AR988" s="61">
        <f t="shared" si="401"/>
        <v>1030.98</v>
      </c>
      <c r="AS988" s="60">
        <v>171.83</v>
      </c>
      <c r="AT988" s="60">
        <v>171.83</v>
      </c>
      <c r="AU988" s="60">
        <v>171.83</v>
      </c>
      <c r="AV988" s="60">
        <v>171.83</v>
      </c>
      <c r="AW988" s="60">
        <v>171.83</v>
      </c>
      <c r="AX988" s="60">
        <v>171.83</v>
      </c>
      <c r="AY988" s="61">
        <f t="shared" si="402"/>
        <v>1030.98</v>
      </c>
      <c r="AZ988" s="56">
        <f t="shared" si="397"/>
        <v>2061.96</v>
      </c>
      <c r="BA988" s="62">
        <f t="shared" si="391"/>
        <v>165073</v>
      </c>
      <c r="BB988" s="62">
        <f t="shared" si="409"/>
        <v>144149.30999999971</v>
      </c>
      <c r="BC988" s="62">
        <f t="shared" si="392"/>
        <v>20923.690000000293</v>
      </c>
      <c r="BD988" s="63">
        <v>21954.670000000038</v>
      </c>
      <c r="BE988" s="57">
        <f t="shared" si="414"/>
        <v>483.00274000000087</v>
      </c>
      <c r="BF988" s="35" t="e">
        <f>VLOOKUP(A:A,'2023-2027'!A:G,1,+FALSE)</f>
        <v>#N/A</v>
      </c>
      <c r="BG988" s="7" t="e">
        <f t="shared" si="408"/>
        <v>#N/A</v>
      </c>
      <c r="BH988" s="35"/>
    </row>
    <row r="989" spans="1:60" ht="24" hidden="1" customHeight="1" outlineLevel="1" x14ac:dyDescent="0.2">
      <c r="A989" s="59" t="s">
        <v>2266</v>
      </c>
      <c r="B989" s="59" t="s">
        <v>44</v>
      </c>
      <c r="C989" s="59" t="s">
        <v>82</v>
      </c>
      <c r="D989" s="66" t="s">
        <v>2267</v>
      </c>
      <c r="E989" s="59" t="s">
        <v>2268</v>
      </c>
      <c r="F989" s="60">
        <v>917034.04</v>
      </c>
      <c r="G989" s="60">
        <v>495217.58</v>
      </c>
      <c r="H989" s="60">
        <v>421816.46</v>
      </c>
      <c r="I989" s="59"/>
      <c r="J989" s="60">
        <v>20778.36</v>
      </c>
      <c r="K989" s="59"/>
      <c r="L989" s="59"/>
      <c r="M989" s="60">
        <v>917034.04</v>
      </c>
      <c r="N989" s="60">
        <v>515995.94</v>
      </c>
      <c r="O989" s="60">
        <v>401038.1</v>
      </c>
      <c r="P989" s="55">
        <v>411427.28</v>
      </c>
      <c r="Q989" s="55">
        <f t="shared" si="410"/>
        <v>9051.4001600000011</v>
      </c>
      <c r="R989" s="61">
        <f t="shared" si="398"/>
        <v>1731.53</v>
      </c>
      <c r="S989" s="60">
        <v>1731.53</v>
      </c>
      <c r="T989" s="60">
        <v>1731.53</v>
      </c>
      <c r="U989" s="60">
        <v>1731.53</v>
      </c>
      <c r="V989" s="60">
        <v>1731.53</v>
      </c>
      <c r="W989" s="60">
        <v>1731.53</v>
      </c>
      <c r="X989" s="61">
        <f t="shared" si="399"/>
        <v>10389.18</v>
      </c>
      <c r="Y989" s="60">
        <v>1731.53</v>
      </c>
      <c r="Z989" s="60">
        <v>1731.53</v>
      </c>
      <c r="AA989" s="60">
        <v>1731.53</v>
      </c>
      <c r="AB989" s="60">
        <v>1731.53</v>
      </c>
      <c r="AC989" s="60">
        <v>1731.53</v>
      </c>
      <c r="AD989" s="60">
        <v>1731.53</v>
      </c>
      <c r="AE989" s="61">
        <f t="shared" si="400"/>
        <v>10389.18</v>
      </c>
      <c r="AF989" s="62">
        <f t="shared" si="390"/>
        <v>917034.04</v>
      </c>
      <c r="AG989" s="62">
        <f t="shared" si="411"/>
        <v>536774.30000000028</v>
      </c>
      <c r="AH989" s="62">
        <f t="shared" si="404"/>
        <v>380259.73999999976</v>
      </c>
      <c r="AI989" s="63">
        <v>390648.91999999981</v>
      </c>
      <c r="AJ989" s="63">
        <f t="shared" si="412"/>
        <v>8594.2762399999974</v>
      </c>
      <c r="AK989" s="72">
        <f t="shared" si="413"/>
        <v>8594.2762399999974</v>
      </c>
      <c r="AL989" s="60">
        <v>1731.53</v>
      </c>
      <c r="AM989" s="60">
        <v>1731.53</v>
      </c>
      <c r="AN989" s="60">
        <v>1731.53</v>
      </c>
      <c r="AO989" s="60">
        <v>1731.53</v>
      </c>
      <c r="AP989" s="60">
        <v>1731.53</v>
      </c>
      <c r="AQ989" s="60">
        <v>1731.53</v>
      </c>
      <c r="AR989" s="61">
        <f t="shared" si="401"/>
        <v>10389.18</v>
      </c>
      <c r="AS989" s="60">
        <v>1731.53</v>
      </c>
      <c r="AT989" s="60">
        <v>1731.53</v>
      </c>
      <c r="AU989" s="60">
        <v>1731.53</v>
      </c>
      <c r="AV989" s="60">
        <v>1731.53</v>
      </c>
      <c r="AW989" s="60">
        <v>1731.53</v>
      </c>
      <c r="AX989" s="60">
        <v>1731.53</v>
      </c>
      <c r="AY989" s="61">
        <f t="shared" si="402"/>
        <v>10389.18</v>
      </c>
      <c r="AZ989" s="56">
        <f t="shared" si="397"/>
        <v>20778.36</v>
      </c>
      <c r="BA989" s="62">
        <f t="shared" si="391"/>
        <v>917034.04</v>
      </c>
      <c r="BB989" s="62">
        <f t="shared" si="409"/>
        <v>557552.66000000061</v>
      </c>
      <c r="BC989" s="62">
        <f t="shared" si="392"/>
        <v>359481.37999999942</v>
      </c>
      <c r="BD989" s="63">
        <v>369870.55999999947</v>
      </c>
      <c r="BE989" s="57">
        <f t="shared" si="414"/>
        <v>8137.1523199999892</v>
      </c>
      <c r="BF989" s="35" t="str">
        <f>VLOOKUP(A:A,'2023-2027'!A:G,1,+FALSE)</f>
        <v>Эл линии н/в 0,4кв Явт, Авиат, Смидов  1998г.</v>
      </c>
      <c r="BG989" s="7" t="b">
        <f t="shared" si="408"/>
        <v>1</v>
      </c>
      <c r="BH989" s="35">
        <f>VLOOKUP(A:A,'2023-2027'!A:AT,43,+FALSE)</f>
        <v>3129.41</v>
      </c>
    </row>
    <row r="990" spans="1:60" ht="24" hidden="1" customHeight="1" outlineLevel="1" x14ac:dyDescent="0.2">
      <c r="A990" s="59" t="s">
        <v>2269</v>
      </c>
      <c r="B990" s="59" t="s">
        <v>44</v>
      </c>
      <c r="C990" s="59" t="s">
        <v>82</v>
      </c>
      <c r="D990" s="65" t="s">
        <v>2270</v>
      </c>
      <c r="E990" s="59" t="s">
        <v>399</v>
      </c>
      <c r="F990" s="60">
        <v>25907</v>
      </c>
      <c r="G990" s="60">
        <v>19814.810000000001</v>
      </c>
      <c r="H990" s="60">
        <v>6092.19</v>
      </c>
      <c r="I990" s="59"/>
      <c r="J990" s="68">
        <v>509.21</v>
      </c>
      <c r="K990" s="59"/>
      <c r="L990" s="59"/>
      <c r="M990" s="60">
        <v>25907</v>
      </c>
      <c r="N990" s="60">
        <v>20324.02</v>
      </c>
      <c r="O990" s="60">
        <v>5582.98</v>
      </c>
      <c r="P990" s="55">
        <v>5837.59</v>
      </c>
      <c r="Q990" s="55">
        <f t="shared" si="410"/>
        <v>128.42698000000001</v>
      </c>
      <c r="R990" s="61">
        <f t="shared" si="398"/>
        <v>42.434166666666663</v>
      </c>
      <c r="S990" s="60">
        <v>42.434166670000003</v>
      </c>
      <c r="T990" s="60">
        <v>42.434166670000003</v>
      </c>
      <c r="U990" s="60">
        <v>42.434166670000003</v>
      </c>
      <c r="V990" s="60">
        <v>42.434166670000003</v>
      </c>
      <c r="W990" s="60">
        <v>42.434166670000003</v>
      </c>
      <c r="X990" s="61">
        <f t="shared" si="399"/>
        <v>254.60500001666665</v>
      </c>
      <c r="Y990" s="60">
        <v>42.434166670000003</v>
      </c>
      <c r="Z990" s="60">
        <v>42.434166670000003</v>
      </c>
      <c r="AA990" s="60">
        <v>42.434166670000003</v>
      </c>
      <c r="AB990" s="60">
        <v>42.434166670000003</v>
      </c>
      <c r="AC990" s="60">
        <v>42.434166670000003</v>
      </c>
      <c r="AD990" s="60">
        <v>42.434166670000003</v>
      </c>
      <c r="AE990" s="61">
        <f t="shared" si="400"/>
        <v>254.60500002000001</v>
      </c>
      <c r="AF990" s="62">
        <f t="shared" si="390"/>
        <v>25907</v>
      </c>
      <c r="AG990" s="62">
        <f t="shared" si="411"/>
        <v>20833.230000036649</v>
      </c>
      <c r="AH990" s="62">
        <f t="shared" si="404"/>
        <v>5073.7699999633514</v>
      </c>
      <c r="AI990" s="63">
        <v>5328.4000000000033</v>
      </c>
      <c r="AJ990" s="63">
        <f t="shared" si="412"/>
        <v>117.22480000000009</v>
      </c>
      <c r="AK990" s="72">
        <f t="shared" si="413"/>
        <v>117.22480000000009</v>
      </c>
      <c r="AL990" s="60">
        <v>42.434166670000003</v>
      </c>
      <c r="AM990" s="60">
        <v>42.434166670000003</v>
      </c>
      <c r="AN990" s="60">
        <v>42.434166670000003</v>
      </c>
      <c r="AO990" s="60">
        <v>42.434166670000003</v>
      </c>
      <c r="AP990" s="60">
        <v>42.434166670000003</v>
      </c>
      <c r="AQ990" s="60">
        <v>42.434166670000003</v>
      </c>
      <c r="AR990" s="61">
        <f t="shared" si="401"/>
        <v>254.60500002000001</v>
      </c>
      <c r="AS990" s="60">
        <v>42.434166670000003</v>
      </c>
      <c r="AT990" s="60">
        <v>42.434166670000003</v>
      </c>
      <c r="AU990" s="60">
        <v>42.434166670000003</v>
      </c>
      <c r="AV990" s="60">
        <v>42.434166670000003</v>
      </c>
      <c r="AW990" s="60">
        <v>42.434166670000003</v>
      </c>
      <c r="AX990" s="60">
        <v>42.434166670000003</v>
      </c>
      <c r="AY990" s="61">
        <f t="shared" si="402"/>
        <v>254.60500002000001</v>
      </c>
      <c r="AZ990" s="56">
        <f t="shared" si="397"/>
        <v>509.21000004000001</v>
      </c>
      <c r="BA990" s="62">
        <f t="shared" si="391"/>
        <v>25907</v>
      </c>
      <c r="BB990" s="62">
        <f t="shared" si="409"/>
        <v>21342.440000076629</v>
      </c>
      <c r="BC990" s="62">
        <f t="shared" si="392"/>
        <v>4564.5599999233709</v>
      </c>
      <c r="BD990" s="63">
        <v>4819.2400000000098</v>
      </c>
      <c r="BE990" s="57">
        <f t="shared" si="414"/>
        <v>106.02328000000023</v>
      </c>
      <c r="BF990" s="35" t="e">
        <f>VLOOKUP(A:A,'2023-2027'!A:G,1,+FALSE)</f>
        <v>#N/A</v>
      </c>
      <c r="BG990" s="7" t="e">
        <f t="shared" si="408"/>
        <v>#N/A</v>
      </c>
      <c r="BH990" s="35"/>
    </row>
    <row r="991" spans="1:60" ht="24" hidden="1" customHeight="1" outlineLevel="1" x14ac:dyDescent="0.2">
      <c r="A991" s="59" t="s">
        <v>2271</v>
      </c>
      <c r="B991" s="59" t="s">
        <v>44</v>
      </c>
      <c r="C991" s="59" t="s">
        <v>82</v>
      </c>
      <c r="D991" s="66" t="s">
        <v>2272</v>
      </c>
      <c r="E991" s="59" t="s">
        <v>2273</v>
      </c>
      <c r="F991" s="60">
        <v>2614006.4</v>
      </c>
      <c r="G991" s="60">
        <v>2130307.7999999998</v>
      </c>
      <c r="H991" s="60">
        <v>483698.6</v>
      </c>
      <c r="I991" s="59"/>
      <c r="J991" s="60">
        <v>49638.48</v>
      </c>
      <c r="K991" s="59"/>
      <c r="L991" s="59"/>
      <c r="M991" s="60">
        <v>2614006.4</v>
      </c>
      <c r="N991" s="60">
        <v>2179946.2799999998</v>
      </c>
      <c r="O991" s="60">
        <v>434060.12</v>
      </c>
      <c r="P991" s="55">
        <v>458879.36</v>
      </c>
      <c r="Q991" s="55">
        <f t="shared" si="410"/>
        <v>10095.345920000002</v>
      </c>
      <c r="R991" s="61">
        <f t="shared" si="398"/>
        <v>4136.54</v>
      </c>
      <c r="S991" s="60">
        <v>4136.54</v>
      </c>
      <c r="T991" s="60">
        <v>4136.54</v>
      </c>
      <c r="U991" s="60">
        <v>4136.54</v>
      </c>
      <c r="V991" s="60">
        <v>4136.54</v>
      </c>
      <c r="W991" s="60">
        <v>4136.54</v>
      </c>
      <c r="X991" s="61">
        <f t="shared" si="399"/>
        <v>24819.24</v>
      </c>
      <c r="Y991" s="60">
        <v>4136.54</v>
      </c>
      <c r="Z991" s="60">
        <v>4136.54</v>
      </c>
      <c r="AA991" s="60">
        <v>4136.54</v>
      </c>
      <c r="AB991" s="60">
        <v>4136.54</v>
      </c>
      <c r="AC991" s="60">
        <v>4136.54</v>
      </c>
      <c r="AD991" s="60">
        <v>4136.54</v>
      </c>
      <c r="AE991" s="61">
        <f t="shared" si="400"/>
        <v>24819.24</v>
      </c>
      <c r="AF991" s="62">
        <f t="shared" ref="AF991:AF1005" si="415">M991</f>
        <v>2614006.4</v>
      </c>
      <c r="AG991" s="62">
        <f t="shared" si="411"/>
        <v>2229584.7600000002</v>
      </c>
      <c r="AH991" s="62">
        <f t="shared" si="404"/>
        <v>384421.63999999966</v>
      </c>
      <c r="AI991" s="63">
        <v>409240.88000000018</v>
      </c>
      <c r="AJ991" s="63">
        <f t="shared" si="412"/>
        <v>9003.2993600000045</v>
      </c>
      <c r="AK991" s="72">
        <f t="shared" si="413"/>
        <v>9003.2993600000045</v>
      </c>
      <c r="AL991" s="60">
        <v>4136.54</v>
      </c>
      <c r="AM991" s="60">
        <v>4136.54</v>
      </c>
      <c r="AN991" s="60">
        <v>4136.54</v>
      </c>
      <c r="AO991" s="60">
        <v>4136.54</v>
      </c>
      <c r="AP991" s="60">
        <v>4136.54</v>
      </c>
      <c r="AQ991" s="60">
        <v>4136.54</v>
      </c>
      <c r="AR991" s="61">
        <f t="shared" si="401"/>
        <v>24819.24</v>
      </c>
      <c r="AS991" s="60">
        <v>4136.54</v>
      </c>
      <c r="AT991" s="60">
        <v>4136.54</v>
      </c>
      <c r="AU991" s="60">
        <v>4136.54</v>
      </c>
      <c r="AV991" s="60">
        <v>4136.54</v>
      </c>
      <c r="AW991" s="60">
        <v>4136.54</v>
      </c>
      <c r="AX991" s="60">
        <v>4136.54</v>
      </c>
      <c r="AY991" s="61">
        <f t="shared" si="402"/>
        <v>24819.24</v>
      </c>
      <c r="AZ991" s="56">
        <f t="shared" si="397"/>
        <v>49638.48</v>
      </c>
      <c r="BA991" s="62">
        <f t="shared" si="391"/>
        <v>2614006.4</v>
      </c>
      <c r="BB991" s="62">
        <f t="shared" si="409"/>
        <v>2279223.2400000007</v>
      </c>
      <c r="BC991" s="62">
        <f t="shared" si="392"/>
        <v>334783.15999999922</v>
      </c>
      <c r="BD991" s="63">
        <v>359602.40000000031</v>
      </c>
      <c r="BE991" s="57">
        <f t="shared" si="414"/>
        <v>7911.2528000000075</v>
      </c>
      <c r="BF991" s="35" t="str">
        <f>VLOOKUP(A:A,'2023-2027'!A:G,1,+FALSE)</f>
        <v>Эл линия в/в 6 кв нефтебаза  5996м 1979г</v>
      </c>
      <c r="BG991" s="7" t="b">
        <f t="shared" si="408"/>
        <v>1</v>
      </c>
      <c r="BH991" s="35">
        <f>VLOOKUP(A:A,'2023-2027'!A:AT,43,+FALSE)</f>
        <v>15310</v>
      </c>
    </row>
    <row r="992" spans="1:60" ht="24" hidden="1" customHeight="1" outlineLevel="1" x14ac:dyDescent="0.2">
      <c r="A992" s="59" t="s">
        <v>2274</v>
      </c>
      <c r="B992" s="59" t="s">
        <v>44</v>
      </c>
      <c r="C992" s="59" t="s">
        <v>82</v>
      </c>
      <c r="D992" s="65" t="s">
        <v>2275</v>
      </c>
      <c r="E992" s="59" t="s">
        <v>243</v>
      </c>
      <c r="F992" s="60">
        <v>197436</v>
      </c>
      <c r="G992" s="60">
        <v>105313.11</v>
      </c>
      <c r="H992" s="60">
        <v>92122.89</v>
      </c>
      <c r="I992" s="59"/>
      <c r="J992" s="60">
        <v>2512.3200000000002</v>
      </c>
      <c r="K992" s="59"/>
      <c r="L992" s="59"/>
      <c r="M992" s="60">
        <v>197436</v>
      </c>
      <c r="N992" s="60">
        <v>107825.43</v>
      </c>
      <c r="O992" s="60">
        <v>89610.57</v>
      </c>
      <c r="P992" s="55">
        <v>90866.73</v>
      </c>
      <c r="Q992" s="55">
        <f t="shared" si="410"/>
        <v>1999.0680600000001</v>
      </c>
      <c r="R992" s="61">
        <f t="shared" si="398"/>
        <v>209.36</v>
      </c>
      <c r="S992" s="60">
        <v>209.36</v>
      </c>
      <c r="T992" s="60">
        <v>209.36</v>
      </c>
      <c r="U992" s="60">
        <v>209.36</v>
      </c>
      <c r="V992" s="60">
        <v>209.36</v>
      </c>
      <c r="W992" s="60">
        <v>209.36</v>
      </c>
      <c r="X992" s="61">
        <f t="shared" si="399"/>
        <v>1256.1600000000003</v>
      </c>
      <c r="Y992" s="60">
        <v>209.36</v>
      </c>
      <c r="Z992" s="60">
        <v>209.36</v>
      </c>
      <c r="AA992" s="60">
        <v>209.36</v>
      </c>
      <c r="AB992" s="60">
        <v>209.36</v>
      </c>
      <c r="AC992" s="60">
        <v>209.36</v>
      </c>
      <c r="AD992" s="60">
        <v>209.36</v>
      </c>
      <c r="AE992" s="61">
        <f t="shared" si="400"/>
        <v>1256.1600000000003</v>
      </c>
      <c r="AF992" s="62">
        <f t="shared" si="415"/>
        <v>197436</v>
      </c>
      <c r="AG992" s="62">
        <f t="shared" si="411"/>
        <v>110337.75</v>
      </c>
      <c r="AH992" s="62">
        <f t="shared" si="404"/>
        <v>87098.25</v>
      </c>
      <c r="AI992" s="63">
        <v>88354.41</v>
      </c>
      <c r="AJ992" s="63">
        <f t="shared" si="412"/>
        <v>1943.7970200000002</v>
      </c>
      <c r="AK992" s="72">
        <f t="shared" si="413"/>
        <v>1943.7970200000002</v>
      </c>
      <c r="AL992" s="60">
        <v>209.36</v>
      </c>
      <c r="AM992" s="60">
        <v>209.36</v>
      </c>
      <c r="AN992" s="60">
        <v>209.36</v>
      </c>
      <c r="AO992" s="60">
        <v>209.36</v>
      </c>
      <c r="AP992" s="60">
        <v>209.36</v>
      </c>
      <c r="AQ992" s="60">
        <v>209.36</v>
      </c>
      <c r="AR992" s="61">
        <f t="shared" si="401"/>
        <v>1256.1600000000003</v>
      </c>
      <c r="AS992" s="60">
        <v>209.36</v>
      </c>
      <c r="AT992" s="60">
        <v>209.36</v>
      </c>
      <c r="AU992" s="60">
        <v>209.36</v>
      </c>
      <c r="AV992" s="60">
        <v>209.36</v>
      </c>
      <c r="AW992" s="60">
        <v>209.36</v>
      </c>
      <c r="AX992" s="60">
        <v>209.36</v>
      </c>
      <c r="AY992" s="61">
        <f t="shared" si="402"/>
        <v>1256.1600000000003</v>
      </c>
      <c r="AZ992" s="56">
        <f t="shared" si="397"/>
        <v>2512.3200000000006</v>
      </c>
      <c r="BA992" s="62">
        <f t="shared" si="391"/>
        <v>197436</v>
      </c>
      <c r="BB992" s="62">
        <f t="shared" si="409"/>
        <v>112850.07</v>
      </c>
      <c r="BC992" s="62">
        <f t="shared" si="392"/>
        <v>84585.93</v>
      </c>
      <c r="BD992" s="63">
        <v>85842.090000000011</v>
      </c>
      <c r="BE992" s="57">
        <f t="shared" si="414"/>
        <v>1888.5259800000003</v>
      </c>
      <c r="BF992" s="35" t="e">
        <f>VLOOKUP(A:A,'2023-2027'!A:G,1,+FALSE)</f>
        <v>#N/A</v>
      </c>
      <c r="BG992" s="7" t="e">
        <f t="shared" si="408"/>
        <v>#N/A</v>
      </c>
      <c r="BH992" s="35"/>
    </row>
    <row r="993" spans="1:60" ht="12" hidden="1" customHeight="1" outlineLevel="1" x14ac:dyDescent="0.2">
      <c r="A993" s="59" t="s">
        <v>2276</v>
      </c>
      <c r="B993" s="59" t="s">
        <v>44</v>
      </c>
      <c r="C993" s="59" t="s">
        <v>82</v>
      </c>
      <c r="D993" s="65" t="s">
        <v>2277</v>
      </c>
      <c r="E993" s="59" t="s">
        <v>732</v>
      </c>
      <c r="F993" s="60">
        <v>5495</v>
      </c>
      <c r="G993" s="60">
        <v>4671.72</v>
      </c>
      <c r="H993" s="68">
        <v>823.28</v>
      </c>
      <c r="I993" s="59"/>
      <c r="J993" s="68">
        <v>82.32</v>
      </c>
      <c r="K993" s="59"/>
      <c r="L993" s="59"/>
      <c r="M993" s="60">
        <v>5495</v>
      </c>
      <c r="N993" s="60">
        <v>4754.04</v>
      </c>
      <c r="O993" s="68">
        <v>740.96</v>
      </c>
      <c r="P993" s="82">
        <v>782.12</v>
      </c>
      <c r="Q993" s="55">
        <f t="shared" si="410"/>
        <v>17.20664</v>
      </c>
      <c r="R993" s="61">
        <f t="shared" si="398"/>
        <v>6.8599999999999994</v>
      </c>
      <c r="S993" s="60">
        <v>6.86</v>
      </c>
      <c r="T993" s="60">
        <v>6.86</v>
      </c>
      <c r="U993" s="60">
        <v>6.86</v>
      </c>
      <c r="V993" s="60">
        <v>6.86</v>
      </c>
      <c r="W993" s="60">
        <v>6.86</v>
      </c>
      <c r="X993" s="61">
        <f t="shared" si="399"/>
        <v>41.16</v>
      </c>
      <c r="Y993" s="60">
        <v>6.86</v>
      </c>
      <c r="Z993" s="60">
        <v>6.86</v>
      </c>
      <c r="AA993" s="60">
        <v>6.86</v>
      </c>
      <c r="AB993" s="60">
        <v>6.86</v>
      </c>
      <c r="AC993" s="60">
        <v>6.86</v>
      </c>
      <c r="AD993" s="60">
        <v>6.86</v>
      </c>
      <c r="AE993" s="61">
        <f t="shared" si="400"/>
        <v>41.160000000000004</v>
      </c>
      <c r="AF993" s="62">
        <f t="shared" si="415"/>
        <v>5495</v>
      </c>
      <c r="AG993" s="62">
        <f t="shared" si="411"/>
        <v>4836.359999999996</v>
      </c>
      <c r="AH993" s="62">
        <f t="shared" si="404"/>
        <v>658.64000000000397</v>
      </c>
      <c r="AI993" s="63">
        <v>699.8</v>
      </c>
      <c r="AJ993" s="63">
        <f t="shared" si="412"/>
        <v>15.3956</v>
      </c>
      <c r="AK993" s="72">
        <f t="shared" si="413"/>
        <v>15.3956</v>
      </c>
      <c r="AL993" s="60">
        <v>6.86</v>
      </c>
      <c r="AM993" s="60">
        <v>6.86</v>
      </c>
      <c r="AN993" s="60">
        <v>6.86</v>
      </c>
      <c r="AO993" s="60">
        <v>6.86</v>
      </c>
      <c r="AP993" s="60">
        <v>6.86</v>
      </c>
      <c r="AQ993" s="60">
        <v>6.86</v>
      </c>
      <c r="AR993" s="61">
        <f t="shared" si="401"/>
        <v>41.160000000000004</v>
      </c>
      <c r="AS993" s="60">
        <v>6.86</v>
      </c>
      <c r="AT993" s="60">
        <v>6.86</v>
      </c>
      <c r="AU993" s="60">
        <v>6.86</v>
      </c>
      <c r="AV993" s="60">
        <v>6.86</v>
      </c>
      <c r="AW993" s="60">
        <v>6.86</v>
      </c>
      <c r="AX993" s="60">
        <v>6.86</v>
      </c>
      <c r="AY993" s="61">
        <f t="shared" si="402"/>
        <v>41.160000000000004</v>
      </c>
      <c r="AZ993" s="56">
        <f t="shared" si="397"/>
        <v>82.320000000000007</v>
      </c>
      <c r="BA993" s="62">
        <f t="shared" si="391"/>
        <v>5495</v>
      </c>
      <c r="BB993" s="62">
        <f t="shared" si="409"/>
        <v>4918.6799999999921</v>
      </c>
      <c r="BC993" s="62">
        <f t="shared" si="392"/>
        <v>576.32000000000789</v>
      </c>
      <c r="BD993" s="63">
        <v>617.47999999999968</v>
      </c>
      <c r="BE993" s="57">
        <f t="shared" si="414"/>
        <v>13.584559999999994</v>
      </c>
      <c r="BF993" s="35" t="e">
        <f>VLOOKUP(A:A,'2023-2027'!A:G,1,+FALSE)</f>
        <v>#N/A</v>
      </c>
      <c r="BG993" s="7" t="e">
        <f t="shared" si="408"/>
        <v>#N/A</v>
      </c>
      <c r="BH993" s="35"/>
    </row>
    <row r="994" spans="1:60" ht="24" hidden="1" customHeight="1" outlineLevel="1" x14ac:dyDescent="0.2">
      <c r="A994" s="59" t="s">
        <v>2278</v>
      </c>
      <c r="B994" s="59" t="s">
        <v>44</v>
      </c>
      <c r="C994" s="59" t="s">
        <v>82</v>
      </c>
      <c r="D994" s="65" t="s">
        <v>2279</v>
      </c>
      <c r="E994" s="59" t="s">
        <v>1354</v>
      </c>
      <c r="F994" s="60">
        <v>129495.3</v>
      </c>
      <c r="G994" s="60">
        <v>76068.3</v>
      </c>
      <c r="H994" s="60">
        <v>53427</v>
      </c>
      <c r="I994" s="59"/>
      <c r="J994" s="60">
        <v>2242.6799999999998</v>
      </c>
      <c r="K994" s="59"/>
      <c r="L994" s="59"/>
      <c r="M994" s="60">
        <v>129495.3</v>
      </c>
      <c r="N994" s="60">
        <v>78310.98</v>
      </c>
      <c r="O994" s="60">
        <v>51184.32</v>
      </c>
      <c r="P994" s="55">
        <v>52305.66</v>
      </c>
      <c r="Q994" s="55">
        <f t="shared" si="410"/>
        <v>1150.7245200000002</v>
      </c>
      <c r="R994" s="61">
        <f t="shared" si="398"/>
        <v>186.89</v>
      </c>
      <c r="S994" s="60">
        <v>186.89</v>
      </c>
      <c r="T994" s="60">
        <v>186.89</v>
      </c>
      <c r="U994" s="60">
        <v>186.89</v>
      </c>
      <c r="V994" s="60">
        <v>186.89</v>
      </c>
      <c r="W994" s="60">
        <v>186.89</v>
      </c>
      <c r="X994" s="61">
        <f t="shared" si="399"/>
        <v>1121.3399999999999</v>
      </c>
      <c r="Y994" s="60">
        <v>186.89</v>
      </c>
      <c r="Z994" s="60">
        <v>186.89</v>
      </c>
      <c r="AA994" s="60">
        <v>186.89</v>
      </c>
      <c r="AB994" s="60">
        <v>186.89</v>
      </c>
      <c r="AC994" s="60">
        <v>186.89</v>
      </c>
      <c r="AD994" s="60">
        <v>186.89</v>
      </c>
      <c r="AE994" s="61">
        <f t="shared" si="400"/>
        <v>1121.3399999999999</v>
      </c>
      <c r="AF994" s="62">
        <f t="shared" si="415"/>
        <v>129495.3</v>
      </c>
      <c r="AG994" s="62">
        <f t="shared" si="411"/>
        <v>80553.659999999989</v>
      </c>
      <c r="AH994" s="62">
        <f t="shared" si="404"/>
        <v>48941.640000000014</v>
      </c>
      <c r="AI994" s="63">
        <v>50062.98000000001</v>
      </c>
      <c r="AJ994" s="63">
        <f t="shared" si="412"/>
        <v>1101.3855600000004</v>
      </c>
      <c r="AK994" s="72">
        <f t="shared" si="413"/>
        <v>1101.3855600000004</v>
      </c>
      <c r="AL994" s="60">
        <v>186.89</v>
      </c>
      <c r="AM994" s="60">
        <v>186.89</v>
      </c>
      <c r="AN994" s="60">
        <v>186.89</v>
      </c>
      <c r="AO994" s="60">
        <v>186.89</v>
      </c>
      <c r="AP994" s="60">
        <v>186.89</v>
      </c>
      <c r="AQ994" s="60">
        <v>186.89</v>
      </c>
      <c r="AR994" s="61">
        <f t="shared" si="401"/>
        <v>1121.3399999999999</v>
      </c>
      <c r="AS994" s="60">
        <v>186.89</v>
      </c>
      <c r="AT994" s="60">
        <v>186.89</v>
      </c>
      <c r="AU994" s="60">
        <v>186.89</v>
      </c>
      <c r="AV994" s="60">
        <v>186.89</v>
      </c>
      <c r="AW994" s="60">
        <v>186.89</v>
      </c>
      <c r="AX994" s="60">
        <v>186.89</v>
      </c>
      <c r="AY994" s="61">
        <f t="shared" si="402"/>
        <v>1121.3399999999999</v>
      </c>
      <c r="AZ994" s="56">
        <f t="shared" si="397"/>
        <v>2242.6799999999998</v>
      </c>
      <c r="BA994" s="62">
        <f t="shared" si="391"/>
        <v>129495.3</v>
      </c>
      <c r="BB994" s="62">
        <f t="shared" si="409"/>
        <v>82796.339999999982</v>
      </c>
      <c r="BC994" s="62">
        <f t="shared" si="392"/>
        <v>46698.960000000021</v>
      </c>
      <c r="BD994" s="63">
        <v>47820.3</v>
      </c>
      <c r="BE994" s="57">
        <f t="shared" si="414"/>
        <v>1052.0466000000001</v>
      </c>
      <c r="BF994" s="35" t="e">
        <f>VLOOKUP(A:A,'2023-2027'!A:G,1,+FALSE)</f>
        <v>#N/A</v>
      </c>
      <c r="BG994" s="7" t="e">
        <f t="shared" si="408"/>
        <v>#N/A</v>
      </c>
      <c r="BH994" s="35"/>
    </row>
    <row r="995" spans="1:60" ht="36" hidden="1" customHeight="1" outlineLevel="1" x14ac:dyDescent="0.2">
      <c r="A995" s="59" t="s">
        <v>2280</v>
      </c>
      <c r="B995" s="59" t="s">
        <v>44</v>
      </c>
      <c r="C995" s="59" t="s">
        <v>82</v>
      </c>
      <c r="D995" s="65" t="s">
        <v>2281</v>
      </c>
      <c r="E995" s="59" t="s">
        <v>732</v>
      </c>
      <c r="F995" s="60">
        <v>195054.2</v>
      </c>
      <c r="G995" s="60">
        <v>138177.73000000001</v>
      </c>
      <c r="H995" s="60">
        <v>56876.47</v>
      </c>
      <c r="I995" s="59"/>
      <c r="J995" s="60">
        <v>2427.6</v>
      </c>
      <c r="K995" s="59"/>
      <c r="L995" s="59"/>
      <c r="M995" s="60">
        <v>195054.2</v>
      </c>
      <c r="N995" s="60">
        <v>140605.32999999999</v>
      </c>
      <c r="O995" s="60">
        <v>54448.87</v>
      </c>
      <c r="P995" s="55">
        <v>55662.67</v>
      </c>
      <c r="Q995" s="55">
        <f t="shared" si="410"/>
        <v>1224.5787400000002</v>
      </c>
      <c r="R995" s="61">
        <f t="shared" si="398"/>
        <v>202.29999999999998</v>
      </c>
      <c r="S995" s="60">
        <v>202.3</v>
      </c>
      <c r="T995" s="60">
        <v>202.3</v>
      </c>
      <c r="U995" s="60">
        <v>202.3</v>
      </c>
      <c r="V995" s="60">
        <v>202.3</v>
      </c>
      <c r="W995" s="60">
        <v>202.3</v>
      </c>
      <c r="X995" s="61">
        <f t="shared" si="399"/>
        <v>1213.8</v>
      </c>
      <c r="Y995" s="60">
        <v>202.3</v>
      </c>
      <c r="Z995" s="60">
        <v>202.3</v>
      </c>
      <c r="AA995" s="60">
        <v>202.3</v>
      </c>
      <c r="AB995" s="60">
        <v>202.3</v>
      </c>
      <c r="AC995" s="60">
        <v>202.3</v>
      </c>
      <c r="AD995" s="60">
        <v>202.3</v>
      </c>
      <c r="AE995" s="61">
        <f t="shared" si="400"/>
        <v>1213.8</v>
      </c>
      <c r="AF995" s="62">
        <f t="shared" si="415"/>
        <v>195054.2</v>
      </c>
      <c r="AG995" s="62">
        <f t="shared" si="411"/>
        <v>143032.92999999985</v>
      </c>
      <c r="AH995" s="62">
        <f t="shared" si="404"/>
        <v>52021.270000000164</v>
      </c>
      <c r="AI995" s="63">
        <v>53235.069999999985</v>
      </c>
      <c r="AJ995" s="63">
        <f t="shared" si="412"/>
        <v>1171.1715399999998</v>
      </c>
      <c r="AK995" s="72">
        <f t="shared" si="413"/>
        <v>1171.1715399999998</v>
      </c>
      <c r="AL995" s="60">
        <v>202.3</v>
      </c>
      <c r="AM995" s="60">
        <v>202.3</v>
      </c>
      <c r="AN995" s="60">
        <v>202.3</v>
      </c>
      <c r="AO995" s="60">
        <v>202.3</v>
      </c>
      <c r="AP995" s="60">
        <v>202.3</v>
      </c>
      <c r="AQ995" s="60">
        <v>202.3</v>
      </c>
      <c r="AR995" s="61">
        <f t="shared" si="401"/>
        <v>1213.8</v>
      </c>
      <c r="AS995" s="60">
        <v>202.3</v>
      </c>
      <c r="AT995" s="60">
        <v>202.3</v>
      </c>
      <c r="AU995" s="60">
        <v>202.3</v>
      </c>
      <c r="AV995" s="60">
        <v>202.3</v>
      </c>
      <c r="AW995" s="60">
        <v>202.3</v>
      </c>
      <c r="AX995" s="60">
        <v>202.3</v>
      </c>
      <c r="AY995" s="61">
        <f t="shared" si="402"/>
        <v>1213.8</v>
      </c>
      <c r="AZ995" s="56">
        <f t="shared" si="397"/>
        <v>2427.6</v>
      </c>
      <c r="BA995" s="62">
        <f t="shared" si="391"/>
        <v>195054.2</v>
      </c>
      <c r="BB995" s="62">
        <f t="shared" si="409"/>
        <v>145460.52999999971</v>
      </c>
      <c r="BC995" s="62">
        <f t="shared" si="392"/>
        <v>49593.670000000304</v>
      </c>
      <c r="BD995" s="63">
        <v>50807.469999999958</v>
      </c>
      <c r="BE995" s="57">
        <f t="shared" si="414"/>
        <v>1117.7643399999993</v>
      </c>
      <c r="BF995" s="35" t="e">
        <f>VLOOKUP(A:A,'2023-2027'!A:G,1,+FALSE)</f>
        <v>#N/A</v>
      </c>
      <c r="BG995" s="7" t="e">
        <f t="shared" si="408"/>
        <v>#N/A</v>
      </c>
      <c r="BH995" s="35"/>
    </row>
    <row r="996" spans="1:60" ht="24" hidden="1" customHeight="1" outlineLevel="1" x14ac:dyDescent="0.2">
      <c r="A996" s="59" t="s">
        <v>2282</v>
      </c>
      <c r="B996" s="59" t="s">
        <v>44</v>
      </c>
      <c r="C996" s="59" t="s">
        <v>82</v>
      </c>
      <c r="D996" s="65" t="s">
        <v>2283</v>
      </c>
      <c r="E996" s="59" t="s">
        <v>1172</v>
      </c>
      <c r="F996" s="60">
        <v>368890.55</v>
      </c>
      <c r="G996" s="60">
        <v>260113.15</v>
      </c>
      <c r="H996" s="60">
        <v>108777.4</v>
      </c>
      <c r="I996" s="59"/>
      <c r="J996" s="60">
        <v>4651.8</v>
      </c>
      <c r="K996" s="59"/>
      <c r="L996" s="59"/>
      <c r="M996" s="60">
        <v>368890.55</v>
      </c>
      <c r="N996" s="60">
        <v>264764.95</v>
      </c>
      <c r="O996" s="60">
        <v>104125.6</v>
      </c>
      <c r="P996" s="55">
        <v>106451.5</v>
      </c>
      <c r="Q996" s="55">
        <f t="shared" si="410"/>
        <v>2341.9330000000004</v>
      </c>
      <c r="R996" s="61">
        <f t="shared" si="398"/>
        <v>387.65000000000003</v>
      </c>
      <c r="S996" s="60">
        <v>387.65</v>
      </c>
      <c r="T996" s="60">
        <v>387.65</v>
      </c>
      <c r="U996" s="60">
        <v>387.65</v>
      </c>
      <c r="V996" s="60">
        <v>387.65</v>
      </c>
      <c r="W996" s="60">
        <v>387.65</v>
      </c>
      <c r="X996" s="61">
        <f t="shared" si="399"/>
        <v>2325.9</v>
      </c>
      <c r="Y996" s="60">
        <v>387.65</v>
      </c>
      <c r="Z996" s="60">
        <v>387.65</v>
      </c>
      <c r="AA996" s="60">
        <v>387.65</v>
      </c>
      <c r="AB996" s="60">
        <v>387.65</v>
      </c>
      <c r="AC996" s="60">
        <v>387.65</v>
      </c>
      <c r="AD996" s="60">
        <v>387.65</v>
      </c>
      <c r="AE996" s="61">
        <f t="shared" si="400"/>
        <v>2325.9</v>
      </c>
      <c r="AF996" s="62">
        <f t="shared" si="415"/>
        <v>368890.55</v>
      </c>
      <c r="AG996" s="62">
        <f t="shared" si="411"/>
        <v>269416.75000000029</v>
      </c>
      <c r="AH996" s="62">
        <f t="shared" si="404"/>
        <v>99473.799999999697</v>
      </c>
      <c r="AI996" s="63">
        <v>101799.70000000003</v>
      </c>
      <c r="AJ996" s="63">
        <f t="shared" si="412"/>
        <v>2239.5934000000007</v>
      </c>
      <c r="AK996" s="72">
        <f t="shared" si="413"/>
        <v>2239.5934000000007</v>
      </c>
      <c r="AL996" s="60">
        <v>387.65</v>
      </c>
      <c r="AM996" s="60">
        <v>387.65</v>
      </c>
      <c r="AN996" s="60">
        <v>387.65</v>
      </c>
      <c r="AO996" s="60">
        <v>387.65</v>
      </c>
      <c r="AP996" s="60">
        <v>387.65</v>
      </c>
      <c r="AQ996" s="60">
        <v>387.65</v>
      </c>
      <c r="AR996" s="61">
        <f t="shared" si="401"/>
        <v>2325.9</v>
      </c>
      <c r="AS996" s="60">
        <v>387.65</v>
      </c>
      <c r="AT996" s="60">
        <v>387.65</v>
      </c>
      <c r="AU996" s="60">
        <v>387.65</v>
      </c>
      <c r="AV996" s="60">
        <v>387.65</v>
      </c>
      <c r="AW996" s="60">
        <v>387.65</v>
      </c>
      <c r="AX996" s="60">
        <v>387.65</v>
      </c>
      <c r="AY996" s="61">
        <f t="shared" si="402"/>
        <v>2325.9</v>
      </c>
      <c r="AZ996" s="56">
        <f t="shared" si="397"/>
        <v>4651.8</v>
      </c>
      <c r="BA996" s="62">
        <f t="shared" si="391"/>
        <v>368890.55</v>
      </c>
      <c r="BB996" s="62">
        <f t="shared" si="409"/>
        <v>274068.55000000057</v>
      </c>
      <c r="BC996" s="62">
        <f t="shared" si="392"/>
        <v>94821.999999999418</v>
      </c>
      <c r="BD996" s="63">
        <v>97147.900000000111</v>
      </c>
      <c r="BE996" s="57">
        <f t="shared" si="414"/>
        <v>2137.2538000000027</v>
      </c>
      <c r="BF996" s="35" t="e">
        <f>VLOOKUP(A:A,'2023-2027'!A:G,1,+FALSE)</f>
        <v>#N/A</v>
      </c>
      <c r="BG996" s="7" t="e">
        <f t="shared" si="408"/>
        <v>#N/A</v>
      </c>
      <c r="BH996" s="35"/>
    </row>
    <row r="997" spans="1:60" ht="24" hidden="1" customHeight="1" outlineLevel="1" x14ac:dyDescent="0.2">
      <c r="A997" s="59" t="s">
        <v>2284</v>
      </c>
      <c r="B997" s="59" t="s">
        <v>44</v>
      </c>
      <c r="C997" s="59" t="s">
        <v>82</v>
      </c>
      <c r="D997" s="65" t="s">
        <v>2285</v>
      </c>
      <c r="E997" s="59" t="s">
        <v>1513</v>
      </c>
      <c r="F997" s="60">
        <v>13649.96</v>
      </c>
      <c r="G997" s="60">
        <v>1414.46</v>
      </c>
      <c r="H997" s="60">
        <v>12235.5</v>
      </c>
      <c r="I997" s="59"/>
      <c r="J997" s="68">
        <v>47.1</v>
      </c>
      <c r="K997" s="59"/>
      <c r="L997" s="59"/>
      <c r="M997" s="60">
        <v>13649.96</v>
      </c>
      <c r="N997" s="60">
        <v>1461.56</v>
      </c>
      <c r="O997" s="60">
        <v>12188.4</v>
      </c>
      <c r="P997" s="55">
        <v>12211.95</v>
      </c>
      <c r="Q997" s="55">
        <f t="shared" si="410"/>
        <v>268.66290000000004</v>
      </c>
      <c r="R997" s="61">
        <f t="shared" si="398"/>
        <v>3.9250000000000003</v>
      </c>
      <c r="S997" s="60">
        <v>3.9249999999999998</v>
      </c>
      <c r="T997" s="60">
        <v>3.9249999999999998</v>
      </c>
      <c r="U997" s="60">
        <v>3.9249999999999998</v>
      </c>
      <c r="V997" s="60">
        <v>3.9249999999999998</v>
      </c>
      <c r="W997" s="60">
        <v>3.9249999999999998</v>
      </c>
      <c r="X997" s="61">
        <f t="shared" si="399"/>
        <v>23.55</v>
      </c>
      <c r="Y997" s="60">
        <v>3.9249999999999998</v>
      </c>
      <c r="Z997" s="60">
        <v>3.9249999999999998</v>
      </c>
      <c r="AA997" s="60">
        <v>3.9249999999999998</v>
      </c>
      <c r="AB997" s="60">
        <v>3.9249999999999998</v>
      </c>
      <c r="AC997" s="60">
        <v>3.9249999999999998</v>
      </c>
      <c r="AD997" s="60">
        <v>3.9249999999999998</v>
      </c>
      <c r="AE997" s="61">
        <f t="shared" si="400"/>
        <v>23.55</v>
      </c>
      <c r="AF997" s="62">
        <f t="shared" si="415"/>
        <v>13649.96</v>
      </c>
      <c r="AG997" s="62">
        <f t="shared" si="411"/>
        <v>1508.6599999999994</v>
      </c>
      <c r="AH997" s="62">
        <f t="shared" si="404"/>
        <v>12141.3</v>
      </c>
      <c r="AI997" s="63">
        <v>12164.819999999996</v>
      </c>
      <c r="AJ997" s="63">
        <f t="shared" si="412"/>
        <v>267.62603999999993</v>
      </c>
      <c r="AK997" s="72">
        <f t="shared" si="413"/>
        <v>267.62603999999993</v>
      </c>
      <c r="AL997" s="60">
        <v>3.9249999999999998</v>
      </c>
      <c r="AM997" s="60">
        <v>3.9249999999999998</v>
      </c>
      <c r="AN997" s="60">
        <v>3.9249999999999998</v>
      </c>
      <c r="AO997" s="60">
        <v>3.9249999999999998</v>
      </c>
      <c r="AP997" s="60">
        <v>3.9249999999999998</v>
      </c>
      <c r="AQ997" s="60">
        <v>3.9249999999999998</v>
      </c>
      <c r="AR997" s="61">
        <f t="shared" si="401"/>
        <v>23.55</v>
      </c>
      <c r="AS997" s="60">
        <v>3.9249999999999998</v>
      </c>
      <c r="AT997" s="60">
        <v>3.9249999999999998</v>
      </c>
      <c r="AU997" s="60">
        <v>3.9249999999999998</v>
      </c>
      <c r="AV997" s="60">
        <v>3.9249999999999998</v>
      </c>
      <c r="AW997" s="60">
        <v>3.9249999999999998</v>
      </c>
      <c r="AX997" s="60">
        <v>3.9249999999999998</v>
      </c>
      <c r="AY997" s="61">
        <f t="shared" si="402"/>
        <v>23.55</v>
      </c>
      <c r="AZ997" s="56">
        <f t="shared" si="397"/>
        <v>47.1</v>
      </c>
      <c r="BA997" s="62">
        <f t="shared" si="391"/>
        <v>13649.96</v>
      </c>
      <c r="BB997" s="62">
        <f t="shared" si="409"/>
        <v>1555.7599999999989</v>
      </c>
      <c r="BC997" s="62">
        <f t="shared" si="392"/>
        <v>12094.2</v>
      </c>
      <c r="BD997" s="63">
        <v>12117.659999999993</v>
      </c>
      <c r="BE997" s="57">
        <f t="shared" si="414"/>
        <v>266.58851999999985</v>
      </c>
      <c r="BF997" s="35" t="e">
        <f>VLOOKUP(A:A,'2023-2027'!A:G,1,+FALSE)</f>
        <v>#N/A</v>
      </c>
      <c r="BG997" s="7" t="e">
        <f t="shared" si="408"/>
        <v>#N/A</v>
      </c>
      <c r="BH997" s="35"/>
    </row>
    <row r="998" spans="1:60" ht="24" hidden="1" customHeight="1" outlineLevel="1" x14ac:dyDescent="0.2">
      <c r="A998" s="59" t="s">
        <v>2286</v>
      </c>
      <c r="B998" s="59" t="s">
        <v>44</v>
      </c>
      <c r="C998" s="59" t="s">
        <v>82</v>
      </c>
      <c r="D998" s="65" t="s">
        <v>2287</v>
      </c>
      <c r="E998" s="59" t="s">
        <v>399</v>
      </c>
      <c r="F998" s="60">
        <v>510889.55</v>
      </c>
      <c r="G998" s="60">
        <v>335959.8</v>
      </c>
      <c r="H998" s="60">
        <v>174929.75</v>
      </c>
      <c r="I998" s="59"/>
      <c r="J998" s="60">
        <v>8632.93</v>
      </c>
      <c r="K998" s="59"/>
      <c r="L998" s="59"/>
      <c r="M998" s="60">
        <v>510889.55</v>
      </c>
      <c r="N998" s="60">
        <v>344592.73</v>
      </c>
      <c r="O998" s="60">
        <v>166296.82</v>
      </c>
      <c r="P998" s="55">
        <v>170613.29</v>
      </c>
      <c r="Q998" s="55">
        <f t="shared" si="410"/>
        <v>3753.4923800000006</v>
      </c>
      <c r="R998" s="61">
        <f t="shared" si="398"/>
        <v>719.41083333333336</v>
      </c>
      <c r="S998" s="60">
        <v>719.41083330000004</v>
      </c>
      <c r="T998" s="60">
        <v>719.41083330000004</v>
      </c>
      <c r="U998" s="60">
        <v>719.41083330000004</v>
      </c>
      <c r="V998" s="60">
        <v>719.41083330000004</v>
      </c>
      <c r="W998" s="60">
        <v>719.41083330000004</v>
      </c>
      <c r="X998" s="61">
        <f t="shared" si="399"/>
        <v>4316.4649998333334</v>
      </c>
      <c r="Y998" s="60">
        <v>719.41083330000004</v>
      </c>
      <c r="Z998" s="60">
        <v>719.41083330000004</v>
      </c>
      <c r="AA998" s="60">
        <v>719.41083330000004</v>
      </c>
      <c r="AB998" s="60">
        <v>719.41083330000004</v>
      </c>
      <c r="AC998" s="60">
        <v>719.41083330000004</v>
      </c>
      <c r="AD998" s="60">
        <v>719.41083330000004</v>
      </c>
      <c r="AE998" s="61">
        <f t="shared" si="400"/>
        <v>4316.4649998000004</v>
      </c>
      <c r="AF998" s="62">
        <f t="shared" si="415"/>
        <v>510889.55</v>
      </c>
      <c r="AG998" s="62">
        <f t="shared" si="411"/>
        <v>353225.65999963303</v>
      </c>
      <c r="AH998" s="62">
        <f t="shared" si="404"/>
        <v>157663.89000036696</v>
      </c>
      <c r="AI998" s="63">
        <v>161980.35999999999</v>
      </c>
      <c r="AJ998" s="63">
        <f t="shared" si="412"/>
        <v>3563.56792</v>
      </c>
      <c r="AK998" s="72">
        <f t="shared" si="413"/>
        <v>3563.56792</v>
      </c>
      <c r="AL998" s="60">
        <v>719.41083330000004</v>
      </c>
      <c r="AM998" s="60">
        <v>719.41083330000004</v>
      </c>
      <c r="AN998" s="60">
        <v>719.41083330000004</v>
      </c>
      <c r="AO998" s="60">
        <v>719.41083330000004</v>
      </c>
      <c r="AP998" s="60">
        <v>719.41083330000004</v>
      </c>
      <c r="AQ998" s="60">
        <v>719.41083330000004</v>
      </c>
      <c r="AR998" s="61">
        <f t="shared" si="401"/>
        <v>4316.4649998000004</v>
      </c>
      <c r="AS998" s="60">
        <v>719.41083330000004</v>
      </c>
      <c r="AT998" s="60">
        <v>719.41083330000004</v>
      </c>
      <c r="AU998" s="60">
        <v>719.41083330000004</v>
      </c>
      <c r="AV998" s="60">
        <v>719.41083330000004</v>
      </c>
      <c r="AW998" s="60">
        <v>719.41083330000004</v>
      </c>
      <c r="AX998" s="60">
        <v>719.41083330000004</v>
      </c>
      <c r="AY998" s="61">
        <f t="shared" si="402"/>
        <v>4316.4649998000004</v>
      </c>
      <c r="AZ998" s="56">
        <f t="shared" si="397"/>
        <v>8632.9299996000009</v>
      </c>
      <c r="BA998" s="62">
        <f t="shared" si="391"/>
        <v>510889.55</v>
      </c>
      <c r="BB998" s="62">
        <f t="shared" si="409"/>
        <v>361858.58999923273</v>
      </c>
      <c r="BC998" s="62">
        <f t="shared" si="392"/>
        <v>149030.96000076726</v>
      </c>
      <c r="BD998" s="63">
        <v>153347.43999999992</v>
      </c>
      <c r="BE998" s="57">
        <f t="shared" si="414"/>
        <v>3373.6436799999983</v>
      </c>
      <c r="BF998" s="35" t="e">
        <f>VLOOKUP(A:A,'2023-2027'!A:G,1,+FALSE)</f>
        <v>#N/A</v>
      </c>
      <c r="BG998" s="7" t="e">
        <f t="shared" si="408"/>
        <v>#N/A</v>
      </c>
      <c r="BH998" s="35"/>
    </row>
    <row r="999" spans="1:60" ht="24" hidden="1" customHeight="1" outlineLevel="1" x14ac:dyDescent="0.2">
      <c r="A999" s="59" t="s">
        <v>2288</v>
      </c>
      <c r="B999" s="59" t="s">
        <v>44</v>
      </c>
      <c r="C999" s="59" t="s">
        <v>82</v>
      </c>
      <c r="D999" s="66" t="s">
        <v>2289</v>
      </c>
      <c r="E999" s="59" t="s">
        <v>1354</v>
      </c>
      <c r="F999" s="60">
        <v>664789.04</v>
      </c>
      <c r="G999" s="60">
        <v>568920.88</v>
      </c>
      <c r="H999" s="60">
        <v>95868.160000000003</v>
      </c>
      <c r="I999" s="59"/>
      <c r="J999" s="60">
        <v>16773.599999999999</v>
      </c>
      <c r="K999" s="59"/>
      <c r="L999" s="59"/>
      <c r="M999" s="60">
        <v>664789.04</v>
      </c>
      <c r="N999" s="60">
        <v>585694.48</v>
      </c>
      <c r="O999" s="60">
        <v>79094.559999999998</v>
      </c>
      <c r="P999" s="55">
        <v>87481.36</v>
      </c>
      <c r="Q999" s="55">
        <f t="shared" si="410"/>
        <v>1924.5899200000001</v>
      </c>
      <c r="R999" s="61">
        <f t="shared" si="398"/>
        <v>1397.8</v>
      </c>
      <c r="S999" s="60">
        <v>1397.8</v>
      </c>
      <c r="T999" s="60">
        <v>1397.8</v>
      </c>
      <c r="U999" s="60">
        <v>1397.8</v>
      </c>
      <c r="V999" s="60">
        <v>1397.8</v>
      </c>
      <c r="W999" s="60">
        <v>1397.8</v>
      </c>
      <c r="X999" s="61">
        <f t="shared" si="399"/>
        <v>8386.7999999999993</v>
      </c>
      <c r="Y999" s="60">
        <v>1397.8</v>
      </c>
      <c r="Z999" s="60">
        <v>1397.8</v>
      </c>
      <c r="AA999" s="60">
        <v>1397.8</v>
      </c>
      <c r="AB999" s="60">
        <v>1397.8</v>
      </c>
      <c r="AC999" s="60">
        <v>1397.8</v>
      </c>
      <c r="AD999" s="60">
        <v>1397.8</v>
      </c>
      <c r="AE999" s="61">
        <f t="shared" si="400"/>
        <v>8386.7999999999993</v>
      </c>
      <c r="AF999" s="62">
        <f t="shared" si="415"/>
        <v>664789.04</v>
      </c>
      <c r="AG999" s="62">
        <f t="shared" si="411"/>
        <v>602468.08000000054</v>
      </c>
      <c r="AH999" s="62">
        <f t="shared" si="404"/>
        <v>62320.959999999497</v>
      </c>
      <c r="AI999" s="63">
        <v>70707.759999999995</v>
      </c>
      <c r="AJ999" s="63">
        <f t="shared" si="412"/>
        <v>1555.5707199999999</v>
      </c>
      <c r="AK999" s="72">
        <f t="shared" si="413"/>
        <v>1555.5707199999999</v>
      </c>
      <c r="AL999" s="60">
        <v>1397.8</v>
      </c>
      <c r="AM999" s="60">
        <v>1397.8</v>
      </c>
      <c r="AN999" s="60">
        <v>1397.8</v>
      </c>
      <c r="AO999" s="60">
        <v>1397.8</v>
      </c>
      <c r="AP999" s="60">
        <v>1397.8</v>
      </c>
      <c r="AQ999" s="60">
        <v>1397.8</v>
      </c>
      <c r="AR999" s="61">
        <f t="shared" si="401"/>
        <v>8386.7999999999993</v>
      </c>
      <c r="AS999" s="60">
        <v>1397.8</v>
      </c>
      <c r="AT999" s="60">
        <v>1397.8</v>
      </c>
      <c r="AU999" s="60">
        <v>1397.8</v>
      </c>
      <c r="AV999" s="60">
        <v>1397.8</v>
      </c>
      <c r="AW999" s="60">
        <v>1397.8</v>
      </c>
      <c r="AX999" s="60">
        <v>1397.8</v>
      </c>
      <c r="AY999" s="61">
        <f t="shared" si="402"/>
        <v>8386.7999999999993</v>
      </c>
      <c r="AZ999" s="56">
        <f t="shared" si="397"/>
        <v>16773.599999999999</v>
      </c>
      <c r="BA999" s="62">
        <f t="shared" si="391"/>
        <v>664789.04</v>
      </c>
      <c r="BB999" s="62">
        <f t="shared" si="409"/>
        <v>619241.6800000011</v>
      </c>
      <c r="BC999" s="62">
        <f t="shared" si="392"/>
        <v>45547.359999998938</v>
      </c>
      <c r="BD999" s="63">
        <v>53934.159999999953</v>
      </c>
      <c r="BE999" s="57">
        <f t="shared" si="414"/>
        <v>1186.5515199999991</v>
      </c>
      <c r="BF999" s="35" t="str">
        <f>VLOOKUP(A:A,'2023-2027'!A:G,1,+FALSE)</f>
        <v>Эл линия ул 60 лет СССР 1988г.  190м</v>
      </c>
      <c r="BG999" s="7" t="b">
        <f t="shared" si="408"/>
        <v>1</v>
      </c>
      <c r="BH999" s="35">
        <f>VLOOKUP(A:A,'2023-2027'!A:AT,43,+FALSE)</f>
        <v>7569.0599999999986</v>
      </c>
    </row>
    <row r="1000" spans="1:60" ht="24" hidden="1" customHeight="1" outlineLevel="1" x14ac:dyDescent="0.2">
      <c r="A1000" s="59" t="s">
        <v>2290</v>
      </c>
      <c r="B1000" s="59" t="s">
        <v>44</v>
      </c>
      <c r="C1000" s="59" t="s">
        <v>82</v>
      </c>
      <c r="D1000" s="65" t="s">
        <v>2291</v>
      </c>
      <c r="E1000" s="59" t="s">
        <v>1354</v>
      </c>
      <c r="F1000" s="60">
        <v>4219</v>
      </c>
      <c r="G1000" s="60">
        <v>2926.33</v>
      </c>
      <c r="H1000" s="60">
        <v>1292.67</v>
      </c>
      <c r="I1000" s="59"/>
      <c r="J1000" s="68">
        <v>86.16</v>
      </c>
      <c r="K1000" s="59"/>
      <c r="L1000" s="59"/>
      <c r="M1000" s="60">
        <v>4219</v>
      </c>
      <c r="N1000" s="60">
        <v>3012.49</v>
      </c>
      <c r="O1000" s="60">
        <v>1206.51</v>
      </c>
      <c r="P1000" s="55">
        <v>1249.5899999999999</v>
      </c>
      <c r="Q1000" s="55">
        <f t="shared" si="410"/>
        <v>27.49098</v>
      </c>
      <c r="R1000" s="61">
        <f t="shared" si="398"/>
        <v>7.18</v>
      </c>
      <c r="S1000" s="60">
        <v>7.18</v>
      </c>
      <c r="T1000" s="60">
        <v>7.18</v>
      </c>
      <c r="U1000" s="60">
        <v>7.18</v>
      </c>
      <c r="V1000" s="60">
        <v>7.18</v>
      </c>
      <c r="W1000" s="60">
        <v>7.18</v>
      </c>
      <c r="X1000" s="61">
        <f t="shared" si="399"/>
        <v>43.08</v>
      </c>
      <c r="Y1000" s="60">
        <v>7.18</v>
      </c>
      <c r="Z1000" s="60">
        <v>7.18</v>
      </c>
      <c r="AA1000" s="60">
        <v>7.18</v>
      </c>
      <c r="AB1000" s="60">
        <v>7.18</v>
      </c>
      <c r="AC1000" s="60">
        <v>7.18</v>
      </c>
      <c r="AD1000" s="60">
        <v>7.18</v>
      </c>
      <c r="AE1000" s="61">
        <f t="shared" si="400"/>
        <v>43.08</v>
      </c>
      <c r="AF1000" s="62">
        <f t="shared" si="415"/>
        <v>4219</v>
      </c>
      <c r="AG1000" s="62">
        <f t="shared" si="411"/>
        <v>3098.6499999999978</v>
      </c>
      <c r="AH1000" s="62">
        <f t="shared" si="404"/>
        <v>1120.3500000000022</v>
      </c>
      <c r="AI1000" s="63">
        <v>1163.4299999999996</v>
      </c>
      <c r="AJ1000" s="63">
        <f t="shared" si="412"/>
        <v>25.595459999999996</v>
      </c>
      <c r="AK1000" s="72">
        <f t="shared" si="413"/>
        <v>25.595459999999996</v>
      </c>
      <c r="AL1000" s="60">
        <v>7.18</v>
      </c>
      <c r="AM1000" s="60">
        <v>7.18</v>
      </c>
      <c r="AN1000" s="60">
        <v>7.18</v>
      </c>
      <c r="AO1000" s="60">
        <v>7.18</v>
      </c>
      <c r="AP1000" s="60">
        <v>7.18</v>
      </c>
      <c r="AQ1000" s="60">
        <v>7.18</v>
      </c>
      <c r="AR1000" s="61">
        <f t="shared" si="401"/>
        <v>43.08</v>
      </c>
      <c r="AS1000" s="60">
        <v>7.18</v>
      </c>
      <c r="AT1000" s="60">
        <v>7.18</v>
      </c>
      <c r="AU1000" s="60">
        <v>7.18</v>
      </c>
      <c r="AV1000" s="60">
        <v>7.18</v>
      </c>
      <c r="AW1000" s="60">
        <v>7.18</v>
      </c>
      <c r="AX1000" s="60">
        <v>7.18</v>
      </c>
      <c r="AY1000" s="61">
        <f t="shared" si="402"/>
        <v>43.08</v>
      </c>
      <c r="AZ1000" s="56">
        <f t="shared" si="397"/>
        <v>86.16</v>
      </c>
      <c r="BA1000" s="62">
        <f t="shared" si="391"/>
        <v>4219</v>
      </c>
      <c r="BB1000" s="62">
        <f t="shared" si="409"/>
        <v>3184.8099999999959</v>
      </c>
      <c r="BC1000" s="62">
        <f t="shared" si="392"/>
        <v>1034.1900000000041</v>
      </c>
      <c r="BD1000" s="63">
        <v>1077.2699999999988</v>
      </c>
      <c r="BE1000" s="57">
        <f t="shared" si="414"/>
        <v>23.699939999999977</v>
      </c>
      <c r="BF1000" s="35" t="e">
        <f>VLOOKUP(A:A,'2023-2027'!A:G,1,+FALSE)</f>
        <v>#N/A</v>
      </c>
      <c r="BG1000" s="7" t="e">
        <f t="shared" si="408"/>
        <v>#N/A</v>
      </c>
      <c r="BH1000" s="35"/>
    </row>
    <row r="1001" spans="1:60" ht="12" hidden="1" customHeight="1" outlineLevel="1" x14ac:dyDescent="0.2">
      <c r="A1001" s="59" t="s">
        <v>2292</v>
      </c>
      <c r="B1001" s="59" t="s">
        <v>44</v>
      </c>
      <c r="C1001" s="59" t="s">
        <v>82</v>
      </c>
      <c r="D1001" s="66" t="s">
        <v>2293</v>
      </c>
      <c r="E1001" s="59" t="s">
        <v>1354</v>
      </c>
      <c r="F1001" s="60">
        <v>349815.3</v>
      </c>
      <c r="G1001" s="60">
        <v>209682.33</v>
      </c>
      <c r="H1001" s="60">
        <v>140132.97</v>
      </c>
      <c r="I1001" s="59"/>
      <c r="J1001" s="60">
        <v>6182.28</v>
      </c>
      <c r="K1001" s="59"/>
      <c r="L1001" s="59"/>
      <c r="M1001" s="60">
        <v>349815.3</v>
      </c>
      <c r="N1001" s="60">
        <v>215864.61</v>
      </c>
      <c r="O1001" s="60">
        <v>133950.69</v>
      </c>
      <c r="P1001" s="55">
        <v>137041.82999999999</v>
      </c>
      <c r="Q1001" s="55">
        <f t="shared" si="410"/>
        <v>3014.9202599999999</v>
      </c>
      <c r="R1001" s="61">
        <f t="shared" si="398"/>
        <v>515.18999999999994</v>
      </c>
      <c r="S1001" s="60">
        <v>515.19000000000005</v>
      </c>
      <c r="T1001" s="60">
        <v>515.19000000000005</v>
      </c>
      <c r="U1001" s="60">
        <v>515.19000000000005</v>
      </c>
      <c r="V1001" s="60">
        <v>515.19000000000005</v>
      </c>
      <c r="W1001" s="60">
        <v>515.19000000000005</v>
      </c>
      <c r="X1001" s="61">
        <f t="shared" si="399"/>
        <v>3091.1400000000003</v>
      </c>
      <c r="Y1001" s="60">
        <v>515.19000000000005</v>
      </c>
      <c r="Z1001" s="60">
        <v>515.19000000000005</v>
      </c>
      <c r="AA1001" s="60">
        <v>515.19000000000005</v>
      </c>
      <c r="AB1001" s="60">
        <v>515.19000000000005</v>
      </c>
      <c r="AC1001" s="60">
        <v>515.19000000000005</v>
      </c>
      <c r="AD1001" s="60">
        <v>515.19000000000005</v>
      </c>
      <c r="AE1001" s="61">
        <f t="shared" si="400"/>
        <v>3091.1400000000003</v>
      </c>
      <c r="AF1001" s="62">
        <f t="shared" si="415"/>
        <v>349815.3</v>
      </c>
      <c r="AG1001" s="62">
        <f t="shared" si="411"/>
        <v>222046.89</v>
      </c>
      <c r="AH1001" s="62">
        <f t="shared" si="404"/>
        <v>127768.40999999997</v>
      </c>
      <c r="AI1001" s="63">
        <v>130859.55000000002</v>
      </c>
      <c r="AJ1001" s="63">
        <f t="shared" si="412"/>
        <v>2878.9101000000005</v>
      </c>
      <c r="AK1001" s="72">
        <f t="shared" si="413"/>
        <v>2878.9101000000005</v>
      </c>
      <c r="AL1001" s="60">
        <v>515.19000000000005</v>
      </c>
      <c r="AM1001" s="60">
        <v>515.19000000000005</v>
      </c>
      <c r="AN1001" s="60">
        <v>515.19000000000005</v>
      </c>
      <c r="AO1001" s="60">
        <v>515.19000000000005</v>
      </c>
      <c r="AP1001" s="60">
        <v>515.19000000000005</v>
      </c>
      <c r="AQ1001" s="60">
        <v>515.19000000000005</v>
      </c>
      <c r="AR1001" s="61">
        <f t="shared" si="401"/>
        <v>3091.1400000000003</v>
      </c>
      <c r="AS1001" s="60">
        <v>515.19000000000005</v>
      </c>
      <c r="AT1001" s="60">
        <v>515.19000000000005</v>
      </c>
      <c r="AU1001" s="60">
        <v>515.19000000000005</v>
      </c>
      <c r="AV1001" s="60">
        <v>515.19000000000005</v>
      </c>
      <c r="AW1001" s="60">
        <v>515.19000000000005</v>
      </c>
      <c r="AX1001" s="60">
        <v>515.19000000000005</v>
      </c>
      <c r="AY1001" s="61">
        <f t="shared" si="402"/>
        <v>3091.1400000000003</v>
      </c>
      <c r="AZ1001" s="56">
        <f t="shared" si="397"/>
        <v>6182.2800000000007</v>
      </c>
      <c r="BA1001" s="62">
        <f t="shared" ref="BA1001:BA1064" si="416">AF1001</f>
        <v>349815.3</v>
      </c>
      <c r="BB1001" s="62">
        <f t="shared" si="409"/>
        <v>228229.17000000004</v>
      </c>
      <c r="BC1001" s="62">
        <f t="shared" ref="BC1001:BC1064" si="417">BA1001-BB1001</f>
        <v>121586.12999999995</v>
      </c>
      <c r="BD1001" s="63">
        <v>124677.26999999999</v>
      </c>
      <c r="BE1001" s="57">
        <f t="shared" si="414"/>
        <v>2742.8999400000002</v>
      </c>
      <c r="BF1001" s="35" t="str">
        <f>VLOOKUP(A:A,'2023-2027'!A:G,1,+FALSE)</f>
        <v>Эл линия ул Смидовича 1988г.</v>
      </c>
      <c r="BG1001" s="7" t="b">
        <f t="shared" si="408"/>
        <v>1</v>
      </c>
      <c r="BH1001" s="35">
        <f>VLOOKUP(A:A,'2023-2027'!A:AT,43,+FALSE)</f>
        <v>832.17</v>
      </c>
    </row>
    <row r="1002" spans="1:60" ht="36" hidden="1" customHeight="1" outlineLevel="1" x14ac:dyDescent="0.2">
      <c r="A1002" s="59" t="s">
        <v>2294</v>
      </c>
      <c r="B1002" s="59" t="s">
        <v>44</v>
      </c>
      <c r="C1002" s="59" t="s">
        <v>82</v>
      </c>
      <c r="D1002" s="65" t="s">
        <v>2295</v>
      </c>
      <c r="E1002" s="59" t="s">
        <v>1489</v>
      </c>
      <c r="F1002" s="60">
        <v>203779.26</v>
      </c>
      <c r="G1002" s="60">
        <v>106504.11</v>
      </c>
      <c r="H1002" s="60">
        <v>97275.15</v>
      </c>
      <c r="I1002" s="59"/>
      <c r="J1002" s="60">
        <v>6487.56</v>
      </c>
      <c r="K1002" s="59"/>
      <c r="L1002" s="59"/>
      <c r="M1002" s="60">
        <v>203779.26</v>
      </c>
      <c r="N1002" s="60">
        <v>112991.67</v>
      </c>
      <c r="O1002" s="60">
        <v>90787.59</v>
      </c>
      <c r="P1002" s="55">
        <v>94031.37</v>
      </c>
      <c r="Q1002" s="55">
        <f t="shared" si="410"/>
        <v>2068.6901400000002</v>
      </c>
      <c r="R1002" s="61">
        <f t="shared" si="398"/>
        <v>540.63</v>
      </c>
      <c r="S1002" s="60">
        <v>540.63</v>
      </c>
      <c r="T1002" s="60">
        <v>540.63</v>
      </c>
      <c r="U1002" s="60">
        <v>540.63</v>
      </c>
      <c r="V1002" s="60">
        <v>540.63</v>
      </c>
      <c r="W1002" s="60">
        <v>540.63</v>
      </c>
      <c r="X1002" s="61">
        <f t="shared" si="399"/>
        <v>3243.78</v>
      </c>
      <c r="Y1002" s="60">
        <v>540.63</v>
      </c>
      <c r="Z1002" s="60">
        <v>540.63</v>
      </c>
      <c r="AA1002" s="60">
        <v>540.63</v>
      </c>
      <c r="AB1002" s="60">
        <v>540.63</v>
      </c>
      <c r="AC1002" s="60">
        <v>540.63</v>
      </c>
      <c r="AD1002" s="60">
        <v>540.63</v>
      </c>
      <c r="AE1002" s="61">
        <f t="shared" si="400"/>
        <v>3243.78</v>
      </c>
      <c r="AF1002" s="62">
        <f t="shared" si="415"/>
        <v>203779.26</v>
      </c>
      <c r="AG1002" s="62">
        <f t="shared" si="411"/>
        <v>119479.23000000005</v>
      </c>
      <c r="AH1002" s="62">
        <f t="shared" si="404"/>
        <v>84300.029999999955</v>
      </c>
      <c r="AI1002" s="63">
        <v>87543.810000000041</v>
      </c>
      <c r="AJ1002" s="63">
        <f t="shared" si="412"/>
        <v>1925.9638200000011</v>
      </c>
      <c r="AK1002" s="72">
        <f t="shared" si="413"/>
        <v>1925.9638200000011</v>
      </c>
      <c r="AL1002" s="60">
        <v>540.63</v>
      </c>
      <c r="AM1002" s="60">
        <v>540.63</v>
      </c>
      <c r="AN1002" s="60">
        <v>540.63</v>
      </c>
      <c r="AO1002" s="60">
        <v>540.63</v>
      </c>
      <c r="AP1002" s="60">
        <v>540.63</v>
      </c>
      <c r="AQ1002" s="60">
        <v>540.63</v>
      </c>
      <c r="AR1002" s="61">
        <f t="shared" si="401"/>
        <v>3243.78</v>
      </c>
      <c r="AS1002" s="60">
        <v>540.63</v>
      </c>
      <c r="AT1002" s="60">
        <v>540.63</v>
      </c>
      <c r="AU1002" s="60">
        <v>540.63</v>
      </c>
      <c r="AV1002" s="60">
        <v>540.63</v>
      </c>
      <c r="AW1002" s="60">
        <v>540.63</v>
      </c>
      <c r="AX1002" s="60">
        <v>540.63</v>
      </c>
      <c r="AY1002" s="61">
        <f t="shared" si="402"/>
        <v>3243.78</v>
      </c>
      <c r="AZ1002" s="56">
        <f t="shared" si="397"/>
        <v>6487.56</v>
      </c>
      <c r="BA1002" s="62">
        <f t="shared" si="416"/>
        <v>203779.26</v>
      </c>
      <c r="BB1002" s="62">
        <f t="shared" si="409"/>
        <v>125966.79000000011</v>
      </c>
      <c r="BC1002" s="62">
        <f t="shared" si="417"/>
        <v>77812.469999999899</v>
      </c>
      <c r="BD1002" s="63">
        <v>81056.250000000175</v>
      </c>
      <c r="BE1002" s="57">
        <f t="shared" si="414"/>
        <v>1783.237500000004</v>
      </c>
      <c r="BF1002" s="35" t="e">
        <f>VLOOKUP(A:A,'2023-2027'!A:G,1,+FALSE)</f>
        <v>#N/A</v>
      </c>
      <c r="BG1002" s="7" t="e">
        <f t="shared" si="408"/>
        <v>#N/A</v>
      </c>
      <c r="BH1002" s="35"/>
    </row>
    <row r="1003" spans="1:60" ht="48" hidden="1" customHeight="1" outlineLevel="1" x14ac:dyDescent="0.2">
      <c r="A1003" s="59" t="s">
        <v>2498</v>
      </c>
      <c r="B1003" s="59" t="s">
        <v>44</v>
      </c>
      <c r="C1003" s="59" t="s">
        <v>82</v>
      </c>
      <c r="D1003" s="66" t="s">
        <v>2296</v>
      </c>
      <c r="E1003" s="59" t="s">
        <v>2297</v>
      </c>
      <c r="F1003" s="60">
        <v>3348756.37</v>
      </c>
      <c r="G1003" s="60">
        <v>323745.8</v>
      </c>
      <c r="H1003" s="60">
        <v>3025010.57</v>
      </c>
      <c r="I1003" s="59"/>
      <c r="J1003" s="60">
        <v>110998.56</v>
      </c>
      <c r="K1003" s="59"/>
      <c r="L1003" s="59"/>
      <c r="M1003" s="60">
        <v>3348756.37</v>
      </c>
      <c r="N1003" s="60">
        <v>434744.36</v>
      </c>
      <c r="O1003" s="60">
        <v>2914012.01</v>
      </c>
      <c r="P1003" s="55">
        <v>2969511.29</v>
      </c>
      <c r="Q1003" s="55">
        <f t="shared" si="410"/>
        <v>65329.248380000005</v>
      </c>
      <c r="R1003" s="61">
        <f t="shared" si="398"/>
        <v>9249.8799999999992</v>
      </c>
      <c r="S1003" s="60">
        <v>9249.8799999999992</v>
      </c>
      <c r="T1003" s="60">
        <v>9249.8799999999992</v>
      </c>
      <c r="U1003" s="60">
        <v>9249.8799999999992</v>
      </c>
      <c r="V1003" s="60">
        <v>9249.8799999999992</v>
      </c>
      <c r="W1003" s="60">
        <v>9249.8799999999992</v>
      </c>
      <c r="X1003" s="61">
        <f t="shared" si="399"/>
        <v>55499.279999999992</v>
      </c>
      <c r="Y1003" s="60">
        <v>9249.8799999999992</v>
      </c>
      <c r="Z1003" s="60">
        <v>9249.8799999999992</v>
      </c>
      <c r="AA1003" s="60">
        <v>9249.8799999999992</v>
      </c>
      <c r="AB1003" s="60">
        <v>9249.8799999999992</v>
      </c>
      <c r="AC1003" s="60">
        <v>9249.8799999999992</v>
      </c>
      <c r="AD1003" s="60">
        <v>9249.8799999999992</v>
      </c>
      <c r="AE1003" s="61">
        <f t="shared" si="400"/>
        <v>55499.279999999992</v>
      </c>
      <c r="AF1003" s="62">
        <f t="shared" si="415"/>
        <v>3348756.37</v>
      </c>
      <c r="AG1003" s="62">
        <f t="shared" si="411"/>
        <v>545742.92000000004</v>
      </c>
      <c r="AH1003" s="62">
        <f t="shared" si="404"/>
        <v>2803013.45</v>
      </c>
      <c r="AI1003" s="63">
        <v>2858512.7300000009</v>
      </c>
      <c r="AJ1003" s="63">
        <f t="shared" si="412"/>
        <v>62887.280060000026</v>
      </c>
      <c r="AK1003" s="72">
        <f t="shared" si="413"/>
        <v>62887.280060000026</v>
      </c>
      <c r="AL1003" s="60">
        <v>9249.8799999999992</v>
      </c>
      <c r="AM1003" s="60">
        <v>9249.8799999999992</v>
      </c>
      <c r="AN1003" s="60">
        <v>9249.8799999999992</v>
      </c>
      <c r="AO1003" s="60">
        <v>9249.8799999999992</v>
      </c>
      <c r="AP1003" s="60">
        <v>9249.8799999999992</v>
      </c>
      <c r="AQ1003" s="60">
        <v>9249.8799999999992</v>
      </c>
      <c r="AR1003" s="61">
        <f t="shared" si="401"/>
        <v>55499.279999999992</v>
      </c>
      <c r="AS1003" s="60">
        <v>9249.8799999999992</v>
      </c>
      <c r="AT1003" s="60">
        <v>9249.8799999999992</v>
      </c>
      <c r="AU1003" s="60">
        <v>9249.8799999999992</v>
      </c>
      <c r="AV1003" s="60">
        <v>9249.8799999999992</v>
      </c>
      <c r="AW1003" s="60">
        <v>9249.8799999999992</v>
      </c>
      <c r="AX1003" s="60">
        <v>9249.8799999999992</v>
      </c>
      <c r="AY1003" s="61">
        <f t="shared" si="402"/>
        <v>55499.279999999992</v>
      </c>
      <c r="AZ1003" s="56">
        <f t="shared" si="397"/>
        <v>110998.55999999998</v>
      </c>
      <c r="BA1003" s="62">
        <f t="shared" si="416"/>
        <v>3348756.37</v>
      </c>
      <c r="BB1003" s="62">
        <f t="shared" si="409"/>
        <v>656741.4800000001</v>
      </c>
      <c r="BC1003" s="62">
        <f t="shared" si="417"/>
        <v>2692014.89</v>
      </c>
      <c r="BD1003" s="63">
        <v>2747514.1700000018</v>
      </c>
      <c r="BE1003" s="57">
        <f t="shared" si="414"/>
        <v>60445.311740000048</v>
      </c>
      <c r="BF1003" s="35" t="str">
        <f>VLOOKUP(A:A,'2023-2027'!A:G,1,+FALSE)</f>
        <v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v>
      </c>
      <c r="BG1003" s="7" t="b">
        <f t="shared" si="408"/>
        <v>1</v>
      </c>
      <c r="BH1003" s="35">
        <f>VLOOKUP(A:A,'2023-2027'!A:AT,43,+FALSE)</f>
        <v>9302.1000000000022</v>
      </c>
    </row>
    <row r="1004" spans="1:60" ht="24" hidden="1" customHeight="1" outlineLevel="1" x14ac:dyDescent="0.2">
      <c r="A1004" s="59" t="s">
        <v>2298</v>
      </c>
      <c r="B1004" s="59" t="s">
        <v>44</v>
      </c>
      <c r="C1004" s="59" t="s">
        <v>82</v>
      </c>
      <c r="D1004" s="66" t="s">
        <v>2299</v>
      </c>
      <c r="E1004" s="59" t="s">
        <v>513</v>
      </c>
      <c r="F1004" s="60">
        <v>426874.44</v>
      </c>
      <c r="G1004" s="60">
        <v>168377.92</v>
      </c>
      <c r="H1004" s="60">
        <v>258496.52</v>
      </c>
      <c r="I1004" s="59"/>
      <c r="J1004" s="60">
        <v>28458.36</v>
      </c>
      <c r="K1004" s="59"/>
      <c r="L1004" s="59"/>
      <c r="M1004" s="60">
        <v>426874.44</v>
      </c>
      <c r="N1004" s="60">
        <v>196836.28</v>
      </c>
      <c r="O1004" s="60">
        <v>230038.16</v>
      </c>
      <c r="P1004" s="55">
        <v>244267.34</v>
      </c>
      <c r="Q1004" s="55">
        <f t="shared" si="410"/>
        <v>5373.88148</v>
      </c>
      <c r="R1004" s="61">
        <f t="shared" si="398"/>
        <v>2371.5300000000002</v>
      </c>
      <c r="S1004" s="60">
        <v>2371.5300000000002</v>
      </c>
      <c r="T1004" s="60">
        <v>2371.5300000000002</v>
      </c>
      <c r="U1004" s="60">
        <v>2371.5300000000002</v>
      </c>
      <c r="V1004" s="60">
        <v>2371.5300000000002</v>
      </c>
      <c r="W1004" s="60">
        <v>2371.5300000000002</v>
      </c>
      <c r="X1004" s="61">
        <f t="shared" si="399"/>
        <v>14229.180000000002</v>
      </c>
      <c r="Y1004" s="60">
        <v>2371.5300000000002</v>
      </c>
      <c r="Z1004" s="60">
        <v>2371.5300000000002</v>
      </c>
      <c r="AA1004" s="60">
        <v>2371.5300000000002</v>
      </c>
      <c r="AB1004" s="60">
        <v>2371.5300000000002</v>
      </c>
      <c r="AC1004" s="60">
        <v>2371.5300000000002</v>
      </c>
      <c r="AD1004" s="60">
        <v>2371.5300000000002</v>
      </c>
      <c r="AE1004" s="61">
        <f t="shared" si="400"/>
        <v>14229.180000000002</v>
      </c>
      <c r="AF1004" s="62">
        <f t="shared" si="415"/>
        <v>426874.44</v>
      </c>
      <c r="AG1004" s="62">
        <f t="shared" si="411"/>
        <v>225294.63999999998</v>
      </c>
      <c r="AH1004" s="62">
        <f t="shared" si="404"/>
        <v>201579.80000000002</v>
      </c>
      <c r="AI1004" s="63">
        <v>215808.97999999998</v>
      </c>
      <c r="AJ1004" s="63">
        <f t="shared" si="412"/>
        <v>4747.79756</v>
      </c>
      <c r="AK1004" s="72">
        <f t="shared" si="413"/>
        <v>4747.79756</v>
      </c>
      <c r="AL1004" s="60">
        <v>2371.5300000000002</v>
      </c>
      <c r="AM1004" s="60">
        <v>2371.5300000000002</v>
      </c>
      <c r="AN1004" s="60">
        <v>2371.5300000000002</v>
      </c>
      <c r="AO1004" s="60">
        <v>2371.5300000000002</v>
      </c>
      <c r="AP1004" s="60">
        <v>2371.5300000000002</v>
      </c>
      <c r="AQ1004" s="60">
        <v>2371.5300000000002</v>
      </c>
      <c r="AR1004" s="61">
        <f t="shared" si="401"/>
        <v>14229.180000000002</v>
      </c>
      <c r="AS1004" s="60">
        <v>2371.5300000000002</v>
      </c>
      <c r="AT1004" s="60">
        <v>2371.5300000000002</v>
      </c>
      <c r="AU1004" s="60">
        <v>2371.5300000000002</v>
      </c>
      <c r="AV1004" s="60">
        <v>2371.5300000000002</v>
      </c>
      <c r="AW1004" s="60">
        <v>2371.5300000000002</v>
      </c>
      <c r="AX1004" s="60">
        <v>2371.5300000000002</v>
      </c>
      <c r="AY1004" s="61">
        <f t="shared" si="402"/>
        <v>14229.180000000002</v>
      </c>
      <c r="AZ1004" s="56">
        <f t="shared" si="397"/>
        <v>28458.360000000004</v>
      </c>
      <c r="BA1004" s="62">
        <f t="shared" si="416"/>
        <v>426874.44</v>
      </c>
      <c r="BB1004" s="62">
        <f t="shared" si="409"/>
        <v>253752.99999999997</v>
      </c>
      <c r="BC1004" s="62">
        <f t="shared" si="417"/>
        <v>173121.44000000003</v>
      </c>
      <c r="BD1004" s="63">
        <v>187350.62000000005</v>
      </c>
      <c r="BE1004" s="57">
        <f t="shared" si="414"/>
        <v>4121.7136400000018</v>
      </c>
      <c r="BF1004" s="35" t="str">
        <f>VLOOKUP(A:A,'2023-2027'!A:G,1,+FALSE)</f>
        <v>Электроснабжение. Наружные сети (ул. Авиаторов)</v>
      </c>
      <c r="BG1004" s="7" t="b">
        <f t="shared" si="408"/>
        <v>1</v>
      </c>
      <c r="BH1004" s="35">
        <f>VLOOKUP(A:A,'2023-2027'!A:AT,43,+FALSE)</f>
        <v>2371.5300000000002</v>
      </c>
    </row>
    <row r="1005" spans="1:60" ht="12" hidden="1" customHeight="1" outlineLevel="1" x14ac:dyDescent="0.2">
      <c r="A1005" s="59" t="s">
        <v>1086</v>
      </c>
      <c r="B1005" s="59" t="s">
        <v>44</v>
      </c>
      <c r="C1005" s="59" t="s">
        <v>82</v>
      </c>
      <c r="D1005" s="66" t="s">
        <v>2300</v>
      </c>
      <c r="E1005" s="59" t="s">
        <v>2301</v>
      </c>
      <c r="F1005" s="60">
        <v>261646</v>
      </c>
      <c r="G1005" s="60">
        <v>39246.839999999997</v>
      </c>
      <c r="H1005" s="60">
        <v>222399.16</v>
      </c>
      <c r="I1005" s="59"/>
      <c r="J1005" s="60">
        <v>26164.560000000001</v>
      </c>
      <c r="K1005" s="59"/>
      <c r="L1005" s="59"/>
      <c r="M1005" s="60">
        <v>261646</v>
      </c>
      <c r="N1005" s="60">
        <v>65411.4</v>
      </c>
      <c r="O1005" s="60">
        <v>196234.6</v>
      </c>
      <c r="P1005" s="55"/>
      <c r="Q1005" s="55"/>
      <c r="R1005" s="61">
        <f t="shared" si="398"/>
        <v>2180.38</v>
      </c>
      <c r="S1005" s="60">
        <v>2180.38</v>
      </c>
      <c r="T1005" s="60">
        <v>2180.38</v>
      </c>
      <c r="U1005" s="60">
        <v>2180.38</v>
      </c>
      <c r="V1005" s="60">
        <v>2180.38</v>
      </c>
      <c r="W1005" s="60">
        <v>2180.38</v>
      </c>
      <c r="X1005" s="61">
        <f t="shared" si="399"/>
        <v>13082.280000000002</v>
      </c>
      <c r="Y1005" s="60">
        <v>2180.38</v>
      </c>
      <c r="Z1005" s="60">
        <v>2180.38</v>
      </c>
      <c r="AA1005" s="60">
        <v>2180.38</v>
      </c>
      <c r="AB1005" s="60">
        <v>2180.38</v>
      </c>
      <c r="AC1005" s="60">
        <v>2180.38</v>
      </c>
      <c r="AD1005" s="60">
        <v>2180.38</v>
      </c>
      <c r="AE1005" s="61">
        <f t="shared" si="400"/>
        <v>13082.280000000002</v>
      </c>
      <c r="AF1005" s="62">
        <f t="shared" si="415"/>
        <v>261646</v>
      </c>
      <c r="AG1005" s="62">
        <f t="shared" si="411"/>
        <v>91575.96000000005</v>
      </c>
      <c r="AH1005" s="62">
        <f t="shared" si="404"/>
        <v>170070.03999999995</v>
      </c>
      <c r="AI1005" s="63"/>
      <c r="AJ1005" s="63"/>
      <c r="AK1005" s="62"/>
      <c r="AL1005" s="60">
        <v>2180.38</v>
      </c>
      <c r="AM1005" s="60">
        <v>2180.38</v>
      </c>
      <c r="AN1005" s="60">
        <v>2180.38</v>
      </c>
      <c r="AO1005" s="60">
        <v>2180.38</v>
      </c>
      <c r="AP1005" s="60">
        <v>2180.38</v>
      </c>
      <c r="AQ1005" s="60">
        <v>2180.38</v>
      </c>
      <c r="AR1005" s="61">
        <f t="shared" si="401"/>
        <v>13082.280000000002</v>
      </c>
      <c r="AS1005" s="60">
        <v>2180.38</v>
      </c>
      <c r="AT1005" s="60">
        <v>2180.38</v>
      </c>
      <c r="AU1005" s="60">
        <v>2180.38</v>
      </c>
      <c r="AV1005" s="60">
        <v>2180.38</v>
      </c>
      <c r="AW1005" s="60">
        <v>2180.38</v>
      </c>
      <c r="AX1005" s="60">
        <v>2180.38</v>
      </c>
      <c r="AY1005" s="61">
        <f t="shared" si="402"/>
        <v>13082.280000000002</v>
      </c>
      <c r="AZ1005" s="56">
        <f t="shared" si="397"/>
        <v>26164.560000000005</v>
      </c>
      <c r="BA1005" s="62">
        <f t="shared" si="416"/>
        <v>261646</v>
      </c>
      <c r="BB1005" s="62">
        <f t="shared" si="409"/>
        <v>117740.52000000011</v>
      </c>
      <c r="BC1005" s="62">
        <f t="shared" si="417"/>
        <v>143905.47999999989</v>
      </c>
      <c r="BD1005" s="63"/>
      <c r="BE1005" s="57"/>
      <c r="BF1005" s="35" t="str">
        <f>VLOOKUP(A:A,'2023-2027'!A:G,1,+FALSE)</f>
        <v>Энерготестер ПКЭ-А-А 1 К05</v>
      </c>
      <c r="BG1005" s="7" t="b">
        <f t="shared" si="408"/>
        <v>1</v>
      </c>
      <c r="BH1005" s="35">
        <f>VLOOKUP(A:A,'2023-2027'!A:AT,43,+FALSE)</f>
        <v>2180.3800000000006</v>
      </c>
    </row>
    <row r="1006" spans="1:60" s="58" customFormat="1" ht="13.15" hidden="1" customHeight="1" x14ac:dyDescent="0.2">
      <c r="A1006" s="323" t="s">
        <v>69</v>
      </c>
      <c r="B1006" s="323"/>
      <c r="C1006" s="323"/>
      <c r="D1006" s="323"/>
      <c r="E1006" s="323"/>
      <c r="F1006" s="53">
        <v>194171764.66</v>
      </c>
      <c r="G1006" s="53">
        <v>113118908.97</v>
      </c>
      <c r="H1006" s="53">
        <v>81052855.689999998</v>
      </c>
      <c r="I1006" s="53">
        <v>807492.44</v>
      </c>
      <c r="J1006" s="53">
        <v>13066382.09</v>
      </c>
      <c r="K1006" s="53">
        <v>183130.98</v>
      </c>
      <c r="L1006" s="53">
        <v>183130.98</v>
      </c>
      <c r="M1006" s="53">
        <v>194796126.12</v>
      </c>
      <c r="N1006" s="53">
        <v>126002160.08</v>
      </c>
      <c r="O1006" s="53">
        <v>68793966.040000007</v>
      </c>
      <c r="P1006" s="64">
        <v>71286671.129999995</v>
      </c>
      <c r="Q1006" s="64">
        <f>Q1016+Q1017+Q1020+Q1037+Q1038+Q1051+Q1063</f>
        <v>1568306.3579244001</v>
      </c>
      <c r="R1006" s="56">
        <f>R1007+R1008+R1009+R1010+R1011+R1012+R1013+R1014+R1015+R1016+R1017+R1018+R1019+R1020+R1021+R1022+R1023+R1024+R1025+R1026+R1027+R1028+R1029+R1030+R1031+R1032+R1033+R1034+R1035+R1036+R1037+R1038+R1039+R1040+R1041+R1042+R1043+R1044+R1045+R1046+R1047+R1048+R1049+R1050+R1051+R1052+R1053+R1054+R1055+R1056+R1057+R1058+R1059+R1060+R1061+R1062+R1063+R1064+R1065+R1066+R1067+R1068+R1069+R1070+R1071</f>
        <v>1088865.1741666666</v>
      </c>
      <c r="S1006" s="56">
        <f t="shared" ref="S1006:BE1006" si="418">S1007+S1008+S1009+S1010+S1011+S1012+S1013+S1014+S1015+S1016+S1017+S1018+S1019+S1020+S1021+S1022+S1023+S1024+S1025+S1026+S1027+S1028+S1029+S1030+S1031+S1032+S1033+S1034+S1035+S1036+S1037+S1038+S1039+S1040+S1041+S1042+S1043+S1044+S1045+S1046+S1047+S1048+S1049+S1050+S1051+S1052+S1053+S1054+S1055+S1056+S1057+S1058+S1059+S1060+S1061+S1062+S1063+S1064+S1065+S1066+S1067+S1068+S1069+S1070+S1071</f>
        <v>1088865.1738342999</v>
      </c>
      <c r="T1006" s="56">
        <f t="shared" si="418"/>
        <v>1087322.0796673</v>
      </c>
      <c r="U1006" s="56">
        <f t="shared" si="418"/>
        <v>1087322.0880003001</v>
      </c>
      <c r="V1006" s="56">
        <f t="shared" si="418"/>
        <v>1078336.7980003001</v>
      </c>
      <c r="W1006" s="56">
        <f t="shared" si="418"/>
        <v>1078336.7980003001</v>
      </c>
      <c r="X1006" s="56">
        <f t="shared" si="418"/>
        <v>6509048.1116691697</v>
      </c>
      <c r="Y1006" s="56">
        <f t="shared" si="418"/>
        <v>1077508.3980002999</v>
      </c>
      <c r="Z1006" s="56">
        <f t="shared" si="418"/>
        <v>1077508.3980002999</v>
      </c>
      <c r="AA1006" s="56">
        <f t="shared" si="418"/>
        <v>1077508.3980002999</v>
      </c>
      <c r="AB1006" s="56">
        <f t="shared" si="418"/>
        <v>1077048.0180003</v>
      </c>
      <c r="AC1006" s="56">
        <f t="shared" si="418"/>
        <v>1077047.9980003</v>
      </c>
      <c r="AD1006" s="56">
        <f t="shared" si="418"/>
        <v>1077047.9980003</v>
      </c>
      <c r="AE1006" s="56">
        <f t="shared" si="418"/>
        <v>6463669.2080018027</v>
      </c>
      <c r="AF1006" s="56">
        <f t="shared" si="418"/>
        <v>194796126.12</v>
      </c>
      <c r="AG1006" s="56">
        <f t="shared" si="418"/>
        <v>138974877.39967108</v>
      </c>
      <c r="AH1006" s="56">
        <f t="shared" si="418"/>
        <v>55821248.720328964</v>
      </c>
      <c r="AI1006" s="57">
        <v>59267276.170000017</v>
      </c>
      <c r="AJ1006" s="57">
        <f t="shared" si="418"/>
        <v>1303880.0757400002</v>
      </c>
      <c r="AK1006" s="56"/>
      <c r="AL1006" s="56">
        <f t="shared" si="418"/>
        <v>1050022.4350002999</v>
      </c>
      <c r="AM1006" s="56">
        <f t="shared" si="418"/>
        <v>1050022.4350002999</v>
      </c>
      <c r="AN1006" s="56">
        <f t="shared" si="418"/>
        <v>1050022.4350002999</v>
      </c>
      <c r="AO1006" s="56">
        <f t="shared" si="418"/>
        <v>1050022.4450003</v>
      </c>
      <c r="AP1006" s="56">
        <f t="shared" si="418"/>
        <v>1050022.4450003</v>
      </c>
      <c r="AQ1006" s="56">
        <f t="shared" si="418"/>
        <v>1050022.4450003</v>
      </c>
      <c r="AR1006" s="56">
        <f t="shared" si="418"/>
        <v>6300134.6400018018</v>
      </c>
      <c r="AS1006" s="56">
        <f t="shared" si="418"/>
        <v>1048711.4850003</v>
      </c>
      <c r="AT1006" s="56">
        <f t="shared" si="418"/>
        <v>1048711.4450003</v>
      </c>
      <c r="AU1006" s="56">
        <f t="shared" si="418"/>
        <v>1046817.2950002998</v>
      </c>
      <c r="AV1006" s="56">
        <f t="shared" si="418"/>
        <v>1046817.2950002998</v>
      </c>
      <c r="AW1006" s="56">
        <f t="shared" si="418"/>
        <v>1046817.2950002998</v>
      </c>
      <c r="AX1006" s="56">
        <f t="shared" si="418"/>
        <v>1046817.3050002998</v>
      </c>
      <c r="AY1006" s="56">
        <f t="shared" si="418"/>
        <v>6284692.1200018022</v>
      </c>
      <c r="AZ1006" s="56">
        <f t="shared" si="397"/>
        <v>12584826.760003604</v>
      </c>
      <c r="BA1006" s="56">
        <f t="shared" si="418"/>
        <v>194796126.12</v>
      </c>
      <c r="BB1006" s="56">
        <f t="shared" si="418"/>
        <v>151559704.15967461</v>
      </c>
      <c r="BC1006" s="56">
        <f t="shared" si="418"/>
        <v>43236421.960325383</v>
      </c>
      <c r="BD1006" s="57">
        <v>46952392.930000007</v>
      </c>
      <c r="BE1006" s="57">
        <f t="shared" si="418"/>
        <v>1031779.65478</v>
      </c>
      <c r="BF1006" s="35" t="e">
        <f>VLOOKUP(A:A,'2023-2027'!A:G,1,+FALSE)</f>
        <v>#N/A</v>
      </c>
      <c r="BG1006" s="7" t="e">
        <f t="shared" si="408"/>
        <v>#N/A</v>
      </c>
      <c r="BH1006" s="35"/>
    </row>
    <row r="1007" spans="1:60" ht="48" hidden="1" customHeight="1" outlineLevel="1" x14ac:dyDescent="0.2">
      <c r="A1007" s="59" t="s">
        <v>2302</v>
      </c>
      <c r="B1007" s="59" t="s">
        <v>69</v>
      </c>
      <c r="C1007" s="59" t="s">
        <v>81</v>
      </c>
      <c r="D1007" s="66" t="s">
        <v>2303</v>
      </c>
      <c r="E1007" s="59" t="s">
        <v>2304</v>
      </c>
      <c r="F1007" s="60">
        <v>82366.67</v>
      </c>
      <c r="G1007" s="60">
        <v>5883.36</v>
      </c>
      <c r="H1007" s="60">
        <v>76483.31</v>
      </c>
      <c r="I1007" s="59"/>
      <c r="J1007" s="60">
        <v>11766.68</v>
      </c>
      <c r="K1007" s="59"/>
      <c r="L1007" s="59"/>
      <c r="M1007" s="60">
        <v>82366.67</v>
      </c>
      <c r="N1007" s="60">
        <v>17650.04</v>
      </c>
      <c r="O1007" s="60">
        <v>64716.63</v>
      </c>
      <c r="P1007" s="55"/>
      <c r="Q1007" s="55"/>
      <c r="R1007" s="61">
        <f t="shared" si="398"/>
        <v>980.55666666666673</v>
      </c>
      <c r="S1007" s="60">
        <v>980.55666670000005</v>
      </c>
      <c r="T1007" s="60">
        <v>980.55666670000005</v>
      </c>
      <c r="U1007" s="60">
        <v>980.55666670000005</v>
      </c>
      <c r="V1007" s="60">
        <v>980.55666670000005</v>
      </c>
      <c r="W1007" s="60">
        <v>980.55666670000005</v>
      </c>
      <c r="X1007" s="61">
        <f t="shared" si="399"/>
        <v>5883.3400001666678</v>
      </c>
      <c r="Y1007" s="60">
        <v>980.55666670000005</v>
      </c>
      <c r="Z1007" s="60">
        <v>980.55666670000005</v>
      </c>
      <c r="AA1007" s="60">
        <v>980.55666670000005</v>
      </c>
      <c r="AB1007" s="60">
        <v>980.55666670000005</v>
      </c>
      <c r="AC1007" s="60">
        <v>980.55666670000005</v>
      </c>
      <c r="AD1007" s="60">
        <v>980.55666670000005</v>
      </c>
      <c r="AE1007" s="61">
        <f t="shared" si="400"/>
        <v>5883.3400002000008</v>
      </c>
      <c r="AF1007" s="62">
        <f t="shared" ref="AF1007:AF1070" si="419">M1007</f>
        <v>82366.67</v>
      </c>
      <c r="AG1007" s="62">
        <f t="shared" ref="AG1007:AG1070" si="420">N1007+R1007+S1007+T1007+U1007+V1007+W1007+Y1007+Z1007+AA1007+AB1007+AC1007+AD1007</f>
        <v>29416.720000366651</v>
      </c>
      <c r="AH1007" s="62">
        <f t="shared" si="404"/>
        <v>52949.949999633347</v>
      </c>
      <c r="AI1007" s="63"/>
      <c r="AJ1007" s="63"/>
      <c r="AK1007" s="62"/>
      <c r="AL1007" s="60">
        <v>980.55666670000005</v>
      </c>
      <c r="AM1007" s="60">
        <v>980.55666670000005</v>
      </c>
      <c r="AN1007" s="60">
        <v>980.55666670000005</v>
      </c>
      <c r="AO1007" s="60">
        <v>980.55666670000005</v>
      </c>
      <c r="AP1007" s="60">
        <v>980.55666670000005</v>
      </c>
      <c r="AQ1007" s="60">
        <v>980.55666670000005</v>
      </c>
      <c r="AR1007" s="61">
        <f t="shared" si="401"/>
        <v>5883.3400002000008</v>
      </c>
      <c r="AS1007" s="60">
        <v>980.55666670000005</v>
      </c>
      <c r="AT1007" s="60">
        <v>980.55666670000005</v>
      </c>
      <c r="AU1007" s="60">
        <v>980.55666670000005</v>
      </c>
      <c r="AV1007" s="60">
        <v>980.55666670000005</v>
      </c>
      <c r="AW1007" s="60">
        <v>980.55666670000005</v>
      </c>
      <c r="AX1007" s="60">
        <v>980.55666670000005</v>
      </c>
      <c r="AY1007" s="61">
        <f t="shared" si="402"/>
        <v>5883.3400002000008</v>
      </c>
      <c r="AZ1007" s="56">
        <f t="shared" si="397"/>
        <v>11766.680000400002</v>
      </c>
      <c r="BA1007" s="62">
        <f t="shared" si="416"/>
        <v>82366.67</v>
      </c>
      <c r="BB1007" s="62">
        <f t="shared" si="409"/>
        <v>41183.400000766662</v>
      </c>
      <c r="BC1007" s="62">
        <f t="shared" si="417"/>
        <v>41183.269999233336</v>
      </c>
      <c r="BD1007" s="63"/>
      <c r="BE1007" s="57"/>
      <c r="BF1007" s="35" t="str">
        <f>VLOOKUP(A:A,'2023-2027'!A:G,1,+FALSE)</f>
        <v>TIP-HOL-MT-7 - Универсальный монитор-тестер AHD/CVI/TVI/CVBS/SDI и IP-видеосистем</v>
      </c>
      <c r="BG1007" s="7" t="b">
        <f t="shared" si="408"/>
        <v>1</v>
      </c>
      <c r="BH1007" s="35">
        <f>VLOOKUP(A:A,'2023-2027'!A:AT,43,+FALSE)</f>
        <v>980.55999999999983</v>
      </c>
    </row>
    <row r="1008" spans="1:60" ht="24" hidden="1" customHeight="1" outlineLevel="1" x14ac:dyDescent="0.2">
      <c r="A1008" s="59" t="s">
        <v>2305</v>
      </c>
      <c r="B1008" s="59" t="s">
        <v>69</v>
      </c>
      <c r="C1008" s="59" t="s">
        <v>81</v>
      </c>
      <c r="D1008" s="66" t="s">
        <v>2306</v>
      </c>
      <c r="E1008" s="59" t="s">
        <v>2307</v>
      </c>
      <c r="F1008" s="60">
        <v>142372.88</v>
      </c>
      <c r="G1008" s="60">
        <v>62881.32</v>
      </c>
      <c r="H1008" s="60">
        <v>79491.56</v>
      </c>
      <c r="I1008" s="59"/>
      <c r="J1008" s="60">
        <v>14237.28</v>
      </c>
      <c r="K1008" s="59"/>
      <c r="L1008" s="59"/>
      <c r="M1008" s="60">
        <v>142372.88</v>
      </c>
      <c r="N1008" s="60">
        <v>77118.600000000006</v>
      </c>
      <c r="O1008" s="60">
        <v>65254.28</v>
      </c>
      <c r="P1008" s="55"/>
      <c r="Q1008" s="55"/>
      <c r="R1008" s="61">
        <f t="shared" si="398"/>
        <v>1186.44</v>
      </c>
      <c r="S1008" s="60">
        <v>1186.44</v>
      </c>
      <c r="T1008" s="60">
        <v>1186.44</v>
      </c>
      <c r="U1008" s="60">
        <v>1186.44</v>
      </c>
      <c r="V1008" s="60">
        <v>1186.44</v>
      </c>
      <c r="W1008" s="60">
        <v>1186.44</v>
      </c>
      <c r="X1008" s="61">
        <f t="shared" si="399"/>
        <v>7118.6400000000012</v>
      </c>
      <c r="Y1008" s="60">
        <v>1186.44</v>
      </c>
      <c r="Z1008" s="60">
        <v>1186.44</v>
      </c>
      <c r="AA1008" s="60">
        <v>1186.44</v>
      </c>
      <c r="AB1008" s="60">
        <v>1186.44</v>
      </c>
      <c r="AC1008" s="60">
        <v>1186.44</v>
      </c>
      <c r="AD1008" s="60">
        <v>1186.44</v>
      </c>
      <c r="AE1008" s="61">
        <f t="shared" si="400"/>
        <v>7118.6400000000012</v>
      </c>
      <c r="AF1008" s="62">
        <f t="shared" si="419"/>
        <v>142372.88</v>
      </c>
      <c r="AG1008" s="62">
        <f t="shared" si="420"/>
        <v>91355.880000000034</v>
      </c>
      <c r="AH1008" s="62">
        <f t="shared" si="404"/>
        <v>51016.999999999971</v>
      </c>
      <c r="AI1008" s="63"/>
      <c r="AJ1008" s="63"/>
      <c r="AK1008" s="62"/>
      <c r="AL1008" s="60">
        <v>1186.44</v>
      </c>
      <c r="AM1008" s="60">
        <v>1186.44</v>
      </c>
      <c r="AN1008" s="60">
        <v>1186.44</v>
      </c>
      <c r="AO1008" s="60">
        <v>1186.44</v>
      </c>
      <c r="AP1008" s="60">
        <v>1186.44</v>
      </c>
      <c r="AQ1008" s="60">
        <v>1186.44</v>
      </c>
      <c r="AR1008" s="61">
        <f t="shared" si="401"/>
        <v>7118.6400000000012</v>
      </c>
      <c r="AS1008" s="60">
        <v>1186.44</v>
      </c>
      <c r="AT1008" s="60">
        <v>1186.44</v>
      </c>
      <c r="AU1008" s="60">
        <v>1186.44</v>
      </c>
      <c r="AV1008" s="60">
        <v>1186.44</v>
      </c>
      <c r="AW1008" s="60">
        <v>1186.44</v>
      </c>
      <c r="AX1008" s="60">
        <v>1186.44</v>
      </c>
      <c r="AY1008" s="61">
        <f t="shared" si="402"/>
        <v>7118.6400000000012</v>
      </c>
      <c r="AZ1008" s="56">
        <f t="shared" si="397"/>
        <v>14237.280000000002</v>
      </c>
      <c r="BA1008" s="62">
        <f t="shared" si="416"/>
        <v>142372.88</v>
      </c>
      <c r="BB1008" s="62">
        <f t="shared" si="409"/>
        <v>105593.16000000006</v>
      </c>
      <c r="BC1008" s="62">
        <f t="shared" si="417"/>
        <v>36779.719999999943</v>
      </c>
      <c r="BD1008" s="63"/>
      <c r="BE1008" s="57"/>
      <c r="BF1008" s="35" t="str">
        <f>VLOOKUP(A:A,'2023-2027'!A:G,1,+FALSE)</f>
        <v>Аппарат для испытания масла "ВОЛНА-АИМ90В"</v>
      </c>
      <c r="BG1008" s="7" t="b">
        <f t="shared" si="408"/>
        <v>1</v>
      </c>
      <c r="BH1008" s="35">
        <f>VLOOKUP(A:A,'2023-2027'!A:AT,43,+FALSE)</f>
        <v>1186.4400000000003</v>
      </c>
    </row>
    <row r="1009" spans="1:60" ht="24" hidden="1" customHeight="1" outlineLevel="1" x14ac:dyDescent="0.2">
      <c r="A1009" s="59" t="s">
        <v>2308</v>
      </c>
      <c r="B1009" s="59" t="s">
        <v>69</v>
      </c>
      <c r="C1009" s="59" t="s">
        <v>81</v>
      </c>
      <c r="D1009" s="65" t="s">
        <v>2309</v>
      </c>
      <c r="E1009" s="59" t="s">
        <v>2310</v>
      </c>
      <c r="F1009" s="60">
        <v>1172</v>
      </c>
      <c r="G1009" s="60">
        <v>1172</v>
      </c>
      <c r="H1009" s="59"/>
      <c r="I1009" s="59"/>
      <c r="J1009" s="59"/>
      <c r="K1009" s="60">
        <v>1172</v>
      </c>
      <c r="L1009" s="60">
        <v>1172</v>
      </c>
      <c r="M1009" s="59"/>
      <c r="N1009" s="59"/>
      <c r="O1009" s="59"/>
      <c r="P1009" s="67"/>
      <c r="Q1009" s="67"/>
      <c r="R1009" s="61">
        <f t="shared" si="398"/>
        <v>0</v>
      </c>
      <c r="S1009" s="60">
        <v>0</v>
      </c>
      <c r="T1009" s="60">
        <v>0</v>
      </c>
      <c r="U1009" s="60">
        <v>0</v>
      </c>
      <c r="V1009" s="60">
        <v>0</v>
      </c>
      <c r="W1009" s="60">
        <v>0</v>
      </c>
      <c r="X1009" s="61">
        <f t="shared" si="399"/>
        <v>0</v>
      </c>
      <c r="Y1009" s="60">
        <v>0</v>
      </c>
      <c r="Z1009" s="60">
        <v>0</v>
      </c>
      <c r="AA1009" s="60">
        <v>0</v>
      </c>
      <c r="AB1009" s="60">
        <v>0</v>
      </c>
      <c r="AC1009" s="60">
        <v>0</v>
      </c>
      <c r="AD1009" s="60">
        <v>0</v>
      </c>
      <c r="AE1009" s="61">
        <f t="shared" si="400"/>
        <v>0</v>
      </c>
      <c r="AF1009" s="62">
        <f t="shared" si="419"/>
        <v>0</v>
      </c>
      <c r="AG1009" s="62">
        <f t="shared" si="420"/>
        <v>0</v>
      </c>
      <c r="AH1009" s="62">
        <f t="shared" si="404"/>
        <v>0</v>
      </c>
      <c r="AI1009" s="63"/>
      <c r="AJ1009" s="63"/>
      <c r="AK1009" s="62"/>
      <c r="AL1009" s="60">
        <v>0</v>
      </c>
      <c r="AM1009" s="60">
        <v>0</v>
      </c>
      <c r="AN1009" s="60">
        <v>0</v>
      </c>
      <c r="AO1009" s="60">
        <v>0</v>
      </c>
      <c r="AP1009" s="60">
        <v>0</v>
      </c>
      <c r="AQ1009" s="60">
        <v>0</v>
      </c>
      <c r="AR1009" s="61">
        <f t="shared" si="401"/>
        <v>0</v>
      </c>
      <c r="AS1009" s="60">
        <v>0</v>
      </c>
      <c r="AT1009" s="60">
        <v>0</v>
      </c>
      <c r="AU1009" s="60">
        <v>0</v>
      </c>
      <c r="AV1009" s="60">
        <v>0</v>
      </c>
      <c r="AW1009" s="60">
        <v>0</v>
      </c>
      <c r="AX1009" s="60">
        <v>0</v>
      </c>
      <c r="AY1009" s="61">
        <f t="shared" si="402"/>
        <v>0</v>
      </c>
      <c r="AZ1009" s="56">
        <f t="shared" si="397"/>
        <v>0</v>
      </c>
      <c r="BA1009" s="62">
        <f t="shared" si="416"/>
        <v>0</v>
      </c>
      <c r="BB1009" s="62">
        <f t="shared" si="409"/>
        <v>0</v>
      </c>
      <c r="BC1009" s="62">
        <f t="shared" si="417"/>
        <v>0</v>
      </c>
      <c r="BD1009" s="63"/>
      <c r="BE1009" s="57"/>
      <c r="BF1009" s="35" t="e">
        <f>VLOOKUP(A:A,'2023-2027'!A:G,1,+FALSE)</f>
        <v>#N/A</v>
      </c>
      <c r="BG1009" s="7" t="e">
        <f t="shared" si="408"/>
        <v>#N/A</v>
      </c>
      <c r="BH1009" s="35"/>
    </row>
    <row r="1010" spans="1:60" ht="24" hidden="1" customHeight="1" outlineLevel="1" x14ac:dyDescent="0.2">
      <c r="A1010" s="59" t="s">
        <v>2311</v>
      </c>
      <c r="B1010" s="59" t="s">
        <v>69</v>
      </c>
      <c r="C1010" s="59" t="s">
        <v>81</v>
      </c>
      <c r="D1010" s="65" t="s">
        <v>2312</v>
      </c>
      <c r="E1010" s="59" t="s">
        <v>269</v>
      </c>
      <c r="F1010" s="60">
        <v>152542.37</v>
      </c>
      <c r="G1010" s="60">
        <v>76665.89</v>
      </c>
      <c r="H1010" s="60">
        <v>75876.479999999996</v>
      </c>
      <c r="I1010" s="59"/>
      <c r="J1010" s="60">
        <v>9484.56</v>
      </c>
      <c r="K1010" s="59"/>
      <c r="L1010" s="59"/>
      <c r="M1010" s="60">
        <v>152542.37</v>
      </c>
      <c r="N1010" s="60">
        <v>86150.45</v>
      </c>
      <c r="O1010" s="60">
        <v>66391.92</v>
      </c>
      <c r="P1010" s="55"/>
      <c r="Q1010" s="55"/>
      <c r="R1010" s="61">
        <f t="shared" si="398"/>
        <v>790.38</v>
      </c>
      <c r="S1010" s="60">
        <v>790.38</v>
      </c>
      <c r="T1010" s="60">
        <v>790.38</v>
      </c>
      <c r="U1010" s="60">
        <v>790.38</v>
      </c>
      <c r="V1010" s="60">
        <v>790.38</v>
      </c>
      <c r="W1010" s="60">
        <v>790.38</v>
      </c>
      <c r="X1010" s="61">
        <f t="shared" si="399"/>
        <v>4742.28</v>
      </c>
      <c r="Y1010" s="60">
        <v>790.38</v>
      </c>
      <c r="Z1010" s="60">
        <v>790.38</v>
      </c>
      <c r="AA1010" s="60">
        <v>790.38</v>
      </c>
      <c r="AB1010" s="60">
        <v>790.38</v>
      </c>
      <c r="AC1010" s="60">
        <v>790.38</v>
      </c>
      <c r="AD1010" s="60">
        <v>790.38</v>
      </c>
      <c r="AE1010" s="61">
        <f t="shared" si="400"/>
        <v>4742.28</v>
      </c>
      <c r="AF1010" s="62">
        <f t="shared" si="419"/>
        <v>152542.37</v>
      </c>
      <c r="AG1010" s="62">
        <f t="shared" si="420"/>
        <v>95635.010000000053</v>
      </c>
      <c r="AH1010" s="62">
        <f t="shared" si="404"/>
        <v>56907.359999999942</v>
      </c>
      <c r="AI1010" s="63"/>
      <c r="AJ1010" s="63"/>
      <c r="AK1010" s="62"/>
      <c r="AL1010" s="60">
        <v>790.38</v>
      </c>
      <c r="AM1010" s="60">
        <v>790.38</v>
      </c>
      <c r="AN1010" s="60">
        <v>790.38</v>
      </c>
      <c r="AO1010" s="60">
        <v>790.38</v>
      </c>
      <c r="AP1010" s="60">
        <v>790.38</v>
      </c>
      <c r="AQ1010" s="60">
        <v>790.38</v>
      </c>
      <c r="AR1010" s="61">
        <f t="shared" si="401"/>
        <v>4742.28</v>
      </c>
      <c r="AS1010" s="60">
        <v>790.38</v>
      </c>
      <c r="AT1010" s="60">
        <v>790.38</v>
      </c>
      <c r="AU1010" s="60">
        <v>790.38</v>
      </c>
      <c r="AV1010" s="60">
        <v>790.38</v>
      </c>
      <c r="AW1010" s="60">
        <v>790.38</v>
      </c>
      <c r="AX1010" s="60">
        <v>790.38</v>
      </c>
      <c r="AY1010" s="61">
        <f t="shared" si="402"/>
        <v>4742.28</v>
      </c>
      <c r="AZ1010" s="56">
        <f t="shared" si="397"/>
        <v>9484.56</v>
      </c>
      <c r="BA1010" s="62">
        <f t="shared" si="416"/>
        <v>152542.37</v>
      </c>
      <c r="BB1010" s="62">
        <f t="shared" si="409"/>
        <v>105119.57000000011</v>
      </c>
      <c r="BC1010" s="62">
        <f t="shared" si="417"/>
        <v>47422.799999999886</v>
      </c>
      <c r="BD1010" s="63"/>
      <c r="BE1010" s="57"/>
      <c r="BF1010" s="35" t="e">
        <f>VLOOKUP(A:A,'2023-2027'!A:G,1,+FALSE)</f>
        <v>#N/A</v>
      </c>
      <c r="BG1010" s="7" t="e">
        <f t="shared" si="408"/>
        <v>#N/A</v>
      </c>
      <c r="BH1010" s="35"/>
    </row>
    <row r="1011" spans="1:60" ht="12" hidden="1" customHeight="1" outlineLevel="1" x14ac:dyDescent="0.2">
      <c r="A1011" s="59" t="s">
        <v>2313</v>
      </c>
      <c r="B1011" s="59" t="s">
        <v>69</v>
      </c>
      <c r="C1011" s="59" t="s">
        <v>81</v>
      </c>
      <c r="D1011" s="65" t="s">
        <v>2314</v>
      </c>
      <c r="E1011" s="59" t="s">
        <v>2315</v>
      </c>
      <c r="F1011" s="60">
        <v>52453.39</v>
      </c>
      <c r="G1011" s="60">
        <v>27400.799999999999</v>
      </c>
      <c r="H1011" s="60">
        <v>25052.59</v>
      </c>
      <c r="I1011" s="59"/>
      <c r="J1011" s="60">
        <v>3131.53</v>
      </c>
      <c r="K1011" s="59"/>
      <c r="L1011" s="59"/>
      <c r="M1011" s="60">
        <v>52453.39</v>
      </c>
      <c r="N1011" s="60">
        <v>30532.33</v>
      </c>
      <c r="O1011" s="60">
        <v>21921.06</v>
      </c>
      <c r="P1011" s="55"/>
      <c r="Q1011" s="55"/>
      <c r="R1011" s="61">
        <f t="shared" si="398"/>
        <v>260.96083333333337</v>
      </c>
      <c r="S1011" s="60">
        <v>260.96083329999999</v>
      </c>
      <c r="T1011" s="60">
        <v>260.96083329999999</v>
      </c>
      <c r="U1011" s="60">
        <v>260.96083329999999</v>
      </c>
      <c r="V1011" s="60">
        <v>260.96083329999999</v>
      </c>
      <c r="W1011" s="60">
        <v>260.96083329999999</v>
      </c>
      <c r="X1011" s="61">
        <f t="shared" si="399"/>
        <v>1565.7649998333336</v>
      </c>
      <c r="Y1011" s="60">
        <v>260.96083329999999</v>
      </c>
      <c r="Z1011" s="60">
        <v>260.96083329999999</v>
      </c>
      <c r="AA1011" s="60">
        <v>260.96083329999999</v>
      </c>
      <c r="AB1011" s="60">
        <v>260.96083329999999</v>
      </c>
      <c r="AC1011" s="60">
        <v>260.96083329999999</v>
      </c>
      <c r="AD1011" s="60">
        <v>260.96083329999999</v>
      </c>
      <c r="AE1011" s="61">
        <f t="shared" si="400"/>
        <v>1565.7649998000002</v>
      </c>
      <c r="AF1011" s="62">
        <f t="shared" si="419"/>
        <v>52453.39</v>
      </c>
      <c r="AG1011" s="62">
        <f t="shared" si="420"/>
        <v>33663.859999633336</v>
      </c>
      <c r="AH1011" s="62">
        <f t="shared" si="404"/>
        <v>18789.530000366663</v>
      </c>
      <c r="AI1011" s="63"/>
      <c r="AJ1011" s="63"/>
      <c r="AK1011" s="62"/>
      <c r="AL1011" s="60">
        <v>260.96083329999999</v>
      </c>
      <c r="AM1011" s="60">
        <v>260.96083329999999</v>
      </c>
      <c r="AN1011" s="60">
        <v>260.96083329999999</v>
      </c>
      <c r="AO1011" s="60">
        <v>260.96083329999999</v>
      </c>
      <c r="AP1011" s="60">
        <v>260.96083329999999</v>
      </c>
      <c r="AQ1011" s="60">
        <v>260.96083329999999</v>
      </c>
      <c r="AR1011" s="61">
        <f t="shared" si="401"/>
        <v>1565.7649998000002</v>
      </c>
      <c r="AS1011" s="60">
        <v>260.96083329999999</v>
      </c>
      <c r="AT1011" s="60">
        <v>260.96083329999999</v>
      </c>
      <c r="AU1011" s="60">
        <v>260.96083329999999</v>
      </c>
      <c r="AV1011" s="60">
        <v>260.96083329999999</v>
      </c>
      <c r="AW1011" s="60">
        <v>260.96083329999999</v>
      </c>
      <c r="AX1011" s="60">
        <v>260.96083329999999</v>
      </c>
      <c r="AY1011" s="61">
        <f t="shared" si="402"/>
        <v>1565.7649998000002</v>
      </c>
      <c r="AZ1011" s="56">
        <f t="shared" si="397"/>
        <v>3131.5299996000003</v>
      </c>
      <c r="BA1011" s="62">
        <f t="shared" si="416"/>
        <v>52453.39</v>
      </c>
      <c r="BB1011" s="62">
        <f t="shared" si="409"/>
        <v>36795.389999233332</v>
      </c>
      <c r="BC1011" s="62">
        <f t="shared" si="417"/>
        <v>15658.000000766668</v>
      </c>
      <c r="BD1011" s="63"/>
      <c r="BE1011" s="57"/>
      <c r="BF1011" s="35" t="e">
        <f>VLOOKUP(A:A,'2023-2027'!A:G,1,+FALSE)</f>
        <v>#N/A</v>
      </c>
      <c r="BG1011" s="7" t="e">
        <f t="shared" si="408"/>
        <v>#N/A</v>
      </c>
      <c r="BH1011" s="35"/>
    </row>
    <row r="1012" spans="1:60" ht="36" hidden="1" customHeight="1" outlineLevel="1" x14ac:dyDescent="0.2">
      <c r="A1012" s="59" t="s">
        <v>2316</v>
      </c>
      <c r="B1012" s="59" t="s">
        <v>69</v>
      </c>
      <c r="C1012" s="59" t="s">
        <v>81</v>
      </c>
      <c r="D1012" s="66" t="s">
        <v>2317</v>
      </c>
      <c r="E1012" s="59" t="s">
        <v>2318</v>
      </c>
      <c r="F1012" s="60">
        <v>63431.72</v>
      </c>
      <c r="G1012" s="60">
        <v>46516.800000000003</v>
      </c>
      <c r="H1012" s="60">
        <v>16914.919999999998</v>
      </c>
      <c r="I1012" s="59"/>
      <c r="J1012" s="60">
        <v>12686.18</v>
      </c>
      <c r="K1012" s="59"/>
      <c r="L1012" s="59"/>
      <c r="M1012" s="60">
        <v>63431.72</v>
      </c>
      <c r="N1012" s="60">
        <v>59202.98</v>
      </c>
      <c r="O1012" s="60">
        <v>4228.74</v>
      </c>
      <c r="P1012" s="55"/>
      <c r="Q1012" s="55"/>
      <c r="R1012" s="61">
        <f t="shared" si="398"/>
        <v>1057.1816666666666</v>
      </c>
      <c r="S1012" s="60">
        <v>1057.1816670000001</v>
      </c>
      <c r="T1012" s="60">
        <v>1057.1816670000001</v>
      </c>
      <c r="U1012" s="60">
        <v>1057.19</v>
      </c>
      <c r="V1012" s="60"/>
      <c r="W1012" s="60"/>
      <c r="X1012" s="61">
        <f t="shared" si="399"/>
        <v>4228.7350006666675</v>
      </c>
      <c r="Y1012" s="60"/>
      <c r="Z1012" s="60"/>
      <c r="AA1012" s="60"/>
      <c r="AB1012" s="60"/>
      <c r="AC1012" s="60"/>
      <c r="AD1012" s="60"/>
      <c r="AE1012" s="61">
        <f t="shared" si="400"/>
        <v>0</v>
      </c>
      <c r="AF1012" s="62">
        <f t="shared" si="419"/>
        <v>63431.72</v>
      </c>
      <c r="AG1012" s="62">
        <f t="shared" si="420"/>
        <v>63431.715000666663</v>
      </c>
      <c r="AH1012" s="62">
        <f t="shared" si="404"/>
        <v>4.9993333377642557E-3</v>
      </c>
      <c r="AI1012" s="63"/>
      <c r="AJ1012" s="63"/>
      <c r="AK1012" s="62"/>
      <c r="AL1012" s="60"/>
      <c r="AM1012" s="60"/>
      <c r="AN1012" s="60"/>
      <c r="AO1012" s="60"/>
      <c r="AP1012" s="60"/>
      <c r="AQ1012" s="60"/>
      <c r="AR1012" s="61">
        <f t="shared" si="401"/>
        <v>0</v>
      </c>
      <c r="AS1012" s="60"/>
      <c r="AT1012" s="60"/>
      <c r="AU1012" s="60"/>
      <c r="AV1012" s="60"/>
      <c r="AW1012" s="60"/>
      <c r="AX1012" s="60"/>
      <c r="AY1012" s="61">
        <f t="shared" si="402"/>
        <v>0</v>
      </c>
      <c r="AZ1012" s="56">
        <f t="shared" si="397"/>
        <v>0</v>
      </c>
      <c r="BA1012" s="62">
        <f t="shared" si="416"/>
        <v>63431.72</v>
      </c>
      <c r="BB1012" s="62">
        <f t="shared" si="409"/>
        <v>63431.715000666663</v>
      </c>
      <c r="BC1012" s="62">
        <f t="shared" si="417"/>
        <v>4.9993333377642557E-3</v>
      </c>
      <c r="BD1012" s="63"/>
      <c r="BE1012" s="57"/>
      <c r="BF1012" s="35" t="str">
        <f>VLOOKUP(A:A,'2023-2027'!A:G,1,+FALSE)</f>
        <v>Вольтамперфазометр РЕТОМЕТР-М2 (НПП "ДИНАМИКА")</v>
      </c>
      <c r="BG1012" s="7" t="b">
        <f t="shared" si="408"/>
        <v>1</v>
      </c>
      <c r="BH1012" s="35">
        <f>VLOOKUP(A:A,'2023-2027'!A:AT,43,+FALSE)</f>
        <v>0</v>
      </c>
    </row>
    <row r="1013" spans="1:60" ht="48" hidden="1" customHeight="1" outlineLevel="1" x14ac:dyDescent="0.2">
      <c r="A1013" s="59" t="s">
        <v>2443</v>
      </c>
      <c r="B1013" s="59" t="s">
        <v>69</v>
      </c>
      <c r="C1013" s="59" t="s">
        <v>81</v>
      </c>
      <c r="D1013" s="66" t="s">
        <v>2319</v>
      </c>
      <c r="E1013" s="59" t="s">
        <v>2320</v>
      </c>
      <c r="F1013" s="60">
        <v>564250</v>
      </c>
      <c r="G1013" s="60">
        <v>120910.68</v>
      </c>
      <c r="H1013" s="60">
        <v>443339.32</v>
      </c>
      <c r="I1013" s="59"/>
      <c r="J1013" s="60">
        <v>80607.12</v>
      </c>
      <c r="K1013" s="59"/>
      <c r="L1013" s="59"/>
      <c r="M1013" s="60">
        <v>564250</v>
      </c>
      <c r="N1013" s="60">
        <v>201517.8</v>
      </c>
      <c r="O1013" s="60">
        <v>362732.2</v>
      </c>
      <c r="P1013" s="55"/>
      <c r="Q1013" s="55"/>
      <c r="R1013" s="61">
        <f t="shared" si="398"/>
        <v>6717.2599999999993</v>
      </c>
      <c r="S1013" s="60">
        <v>6717.26</v>
      </c>
      <c r="T1013" s="60">
        <v>6717.26</v>
      </c>
      <c r="U1013" s="60">
        <v>6717.26</v>
      </c>
      <c r="V1013" s="60">
        <v>6717.26</v>
      </c>
      <c r="W1013" s="60">
        <v>6717.26</v>
      </c>
      <c r="X1013" s="61">
        <f t="shared" si="399"/>
        <v>40303.560000000005</v>
      </c>
      <c r="Y1013" s="60">
        <v>6717.26</v>
      </c>
      <c r="Z1013" s="60">
        <v>6717.26</v>
      </c>
      <c r="AA1013" s="60">
        <v>6717.26</v>
      </c>
      <c r="AB1013" s="60">
        <v>6717.26</v>
      </c>
      <c r="AC1013" s="60">
        <v>6717.26</v>
      </c>
      <c r="AD1013" s="60">
        <v>6717.26</v>
      </c>
      <c r="AE1013" s="61">
        <f t="shared" si="400"/>
        <v>40303.560000000005</v>
      </c>
      <c r="AF1013" s="62">
        <f t="shared" si="419"/>
        <v>564250</v>
      </c>
      <c r="AG1013" s="62">
        <f t="shared" si="420"/>
        <v>282124.9200000001</v>
      </c>
      <c r="AH1013" s="62">
        <f t="shared" si="404"/>
        <v>282125.0799999999</v>
      </c>
      <c r="AI1013" s="63"/>
      <c r="AJ1013" s="63"/>
      <c r="AK1013" s="62"/>
      <c r="AL1013" s="60">
        <v>6717.26</v>
      </c>
      <c r="AM1013" s="60">
        <v>6717.26</v>
      </c>
      <c r="AN1013" s="60">
        <v>6717.26</v>
      </c>
      <c r="AO1013" s="60">
        <v>6717.26</v>
      </c>
      <c r="AP1013" s="60">
        <v>6717.26</v>
      </c>
      <c r="AQ1013" s="60">
        <v>6717.26</v>
      </c>
      <c r="AR1013" s="61">
        <f t="shared" si="401"/>
        <v>40303.560000000005</v>
      </c>
      <c r="AS1013" s="60">
        <v>6717.26</v>
      </c>
      <c r="AT1013" s="60">
        <v>6717.26</v>
      </c>
      <c r="AU1013" s="60">
        <v>6717.26</v>
      </c>
      <c r="AV1013" s="60">
        <v>6717.26</v>
      </c>
      <c r="AW1013" s="60">
        <v>6717.26</v>
      </c>
      <c r="AX1013" s="60">
        <v>6717.26</v>
      </c>
      <c r="AY1013" s="61">
        <f t="shared" si="402"/>
        <v>40303.560000000005</v>
      </c>
      <c r="AZ1013" s="56">
        <f t="shared" si="397"/>
        <v>80607.12000000001</v>
      </c>
      <c r="BA1013" s="62">
        <f t="shared" si="416"/>
        <v>564250</v>
      </c>
      <c r="BB1013" s="62">
        <f t="shared" si="409"/>
        <v>362732.04000000021</v>
      </c>
      <c r="BC1013" s="62">
        <f t="shared" si="417"/>
        <v>201517.95999999979</v>
      </c>
      <c r="BD1013" s="63"/>
      <c r="BE1013" s="57"/>
      <c r="BF1013" s="35" t="str">
        <f>VLOOKUP(A:A,'2023-2027'!A:G,1,+FALSE)</f>
        <v>Высоковольтная установка для испытания кабелей из сшитого полиэтилена (СПЭ) повышенным напряжением сверхнизкой частоты (СНЧ/VLF) АИСТ СНЧ 36</v>
      </c>
      <c r="BG1013" s="7" t="b">
        <f t="shared" si="408"/>
        <v>1</v>
      </c>
      <c r="BH1013" s="35">
        <f>VLOOKUP(A:A,'2023-2027'!A:AT,43,+FALSE)</f>
        <v>6717.2599999999993</v>
      </c>
    </row>
    <row r="1014" spans="1:60" ht="24" hidden="1" customHeight="1" outlineLevel="1" x14ac:dyDescent="0.2">
      <c r="A1014" s="59" t="s">
        <v>2321</v>
      </c>
      <c r="B1014" s="59" t="s">
        <v>69</v>
      </c>
      <c r="C1014" s="59" t="s">
        <v>81</v>
      </c>
      <c r="D1014" s="66" t="s">
        <v>2322</v>
      </c>
      <c r="E1014" s="59" t="s">
        <v>2323</v>
      </c>
      <c r="F1014" s="60">
        <v>48921.57</v>
      </c>
      <c r="G1014" s="60">
        <v>22830.080000000002</v>
      </c>
      <c r="H1014" s="60">
        <v>26091.49</v>
      </c>
      <c r="I1014" s="59"/>
      <c r="J1014" s="60">
        <v>9784.32</v>
      </c>
      <c r="K1014" s="59"/>
      <c r="L1014" s="59"/>
      <c r="M1014" s="60">
        <v>48921.57</v>
      </c>
      <c r="N1014" s="60">
        <v>32614.400000000001</v>
      </c>
      <c r="O1014" s="60">
        <v>16307.17</v>
      </c>
      <c r="P1014" s="55"/>
      <c r="Q1014" s="55"/>
      <c r="R1014" s="61">
        <f t="shared" si="398"/>
        <v>815.36</v>
      </c>
      <c r="S1014" s="60">
        <v>815.36</v>
      </c>
      <c r="T1014" s="60">
        <v>815.36</v>
      </c>
      <c r="U1014" s="60">
        <v>815.36</v>
      </c>
      <c r="V1014" s="60">
        <v>815.36</v>
      </c>
      <c r="W1014" s="60">
        <v>815.36</v>
      </c>
      <c r="X1014" s="61">
        <f t="shared" si="399"/>
        <v>4892.16</v>
      </c>
      <c r="Y1014" s="60">
        <v>815.36</v>
      </c>
      <c r="Z1014" s="60">
        <v>815.36</v>
      </c>
      <c r="AA1014" s="60">
        <v>815.36</v>
      </c>
      <c r="AB1014" s="60">
        <v>815.36</v>
      </c>
      <c r="AC1014" s="60">
        <v>815.36</v>
      </c>
      <c r="AD1014" s="60">
        <v>815.36</v>
      </c>
      <c r="AE1014" s="61">
        <f t="shared" si="400"/>
        <v>4892.16</v>
      </c>
      <c r="AF1014" s="62">
        <f t="shared" si="419"/>
        <v>48921.57</v>
      </c>
      <c r="AG1014" s="62">
        <f t="shared" si="420"/>
        <v>42398.720000000008</v>
      </c>
      <c r="AH1014" s="62">
        <f t="shared" si="404"/>
        <v>6522.8499999999913</v>
      </c>
      <c r="AI1014" s="63"/>
      <c r="AJ1014" s="63"/>
      <c r="AK1014" s="62"/>
      <c r="AL1014" s="60">
        <v>815.36</v>
      </c>
      <c r="AM1014" s="60">
        <v>815.36</v>
      </c>
      <c r="AN1014" s="60">
        <v>815.36</v>
      </c>
      <c r="AO1014" s="60">
        <v>815.36</v>
      </c>
      <c r="AP1014" s="60">
        <v>815.36</v>
      </c>
      <c r="AQ1014" s="60">
        <v>815.36</v>
      </c>
      <c r="AR1014" s="61">
        <f t="shared" si="401"/>
        <v>4892.16</v>
      </c>
      <c r="AS1014" s="60">
        <v>815.36</v>
      </c>
      <c r="AT1014" s="60">
        <v>815.33</v>
      </c>
      <c r="AU1014" s="60"/>
      <c r="AV1014" s="60"/>
      <c r="AW1014" s="60"/>
      <c r="AX1014" s="60"/>
      <c r="AY1014" s="61">
        <f t="shared" si="402"/>
        <v>1630.69</v>
      </c>
      <c r="AZ1014" s="56">
        <f t="shared" si="397"/>
        <v>6522.85</v>
      </c>
      <c r="BA1014" s="62">
        <f t="shared" si="416"/>
        <v>48921.57</v>
      </c>
      <c r="BB1014" s="62">
        <f t="shared" si="409"/>
        <v>48921.570000000014</v>
      </c>
      <c r="BC1014" s="62">
        <f t="shared" si="417"/>
        <v>0</v>
      </c>
      <c r="BD1014" s="63"/>
      <c r="BE1014" s="57"/>
      <c r="BF1014" s="35" t="str">
        <f>VLOOKUP(A:A,'2023-2027'!A:G,1,+FALSE)</f>
        <v>Измеритель сопротивления заземления Metrel MI3123</v>
      </c>
      <c r="BG1014" s="7" t="b">
        <f t="shared" si="408"/>
        <v>1</v>
      </c>
      <c r="BH1014" s="35">
        <f>VLOOKUP(A:A,'2023-2027'!A:AT,43,+FALSE)</f>
        <v>815.36</v>
      </c>
    </row>
    <row r="1015" spans="1:60" ht="24" hidden="1" customHeight="1" outlineLevel="1" x14ac:dyDescent="0.2">
      <c r="A1015" s="59" t="s">
        <v>2324</v>
      </c>
      <c r="B1015" s="59" t="s">
        <v>69</v>
      </c>
      <c r="C1015" s="59" t="s">
        <v>81</v>
      </c>
      <c r="D1015" s="66" t="s">
        <v>2325</v>
      </c>
      <c r="E1015" s="59" t="s">
        <v>2318</v>
      </c>
      <c r="F1015" s="60">
        <v>475686.44</v>
      </c>
      <c r="G1015" s="60">
        <v>348836.84</v>
      </c>
      <c r="H1015" s="60">
        <v>126849.60000000001</v>
      </c>
      <c r="I1015" s="59"/>
      <c r="J1015" s="60">
        <v>95137.2</v>
      </c>
      <c r="K1015" s="59"/>
      <c r="L1015" s="59"/>
      <c r="M1015" s="60">
        <v>475686.44</v>
      </c>
      <c r="N1015" s="60">
        <v>443974.04</v>
      </c>
      <c r="O1015" s="60">
        <v>31712.400000000001</v>
      </c>
      <c r="P1015" s="55"/>
      <c r="Q1015" s="55"/>
      <c r="R1015" s="61">
        <f t="shared" si="398"/>
        <v>7928.0999999999995</v>
      </c>
      <c r="S1015" s="60">
        <v>7928.1</v>
      </c>
      <c r="T1015" s="60">
        <v>7928.1</v>
      </c>
      <c r="U1015" s="60">
        <v>7928.1</v>
      </c>
      <c r="V1015" s="60"/>
      <c r="W1015" s="60"/>
      <c r="X1015" s="61">
        <f t="shared" si="399"/>
        <v>31712.400000000001</v>
      </c>
      <c r="Y1015" s="60"/>
      <c r="Z1015" s="60"/>
      <c r="AA1015" s="60"/>
      <c r="AB1015" s="60"/>
      <c r="AC1015" s="60"/>
      <c r="AD1015" s="60"/>
      <c r="AE1015" s="61">
        <f t="shared" si="400"/>
        <v>0</v>
      </c>
      <c r="AF1015" s="62">
        <f t="shared" si="419"/>
        <v>475686.44</v>
      </c>
      <c r="AG1015" s="62">
        <f t="shared" si="420"/>
        <v>475686.43999999989</v>
      </c>
      <c r="AH1015" s="62">
        <f t="shared" si="404"/>
        <v>0</v>
      </c>
      <c r="AI1015" s="63"/>
      <c r="AJ1015" s="63"/>
      <c r="AK1015" s="62"/>
      <c r="AL1015" s="60"/>
      <c r="AM1015" s="60"/>
      <c r="AN1015" s="60"/>
      <c r="AO1015" s="60"/>
      <c r="AP1015" s="60"/>
      <c r="AQ1015" s="60"/>
      <c r="AR1015" s="61">
        <f t="shared" si="401"/>
        <v>0</v>
      </c>
      <c r="AS1015" s="60"/>
      <c r="AT1015" s="60"/>
      <c r="AU1015" s="60"/>
      <c r="AV1015" s="60"/>
      <c r="AW1015" s="60"/>
      <c r="AX1015" s="60"/>
      <c r="AY1015" s="61">
        <f t="shared" si="402"/>
        <v>0</v>
      </c>
      <c r="AZ1015" s="56">
        <f t="shared" si="397"/>
        <v>0</v>
      </c>
      <c r="BA1015" s="62">
        <f t="shared" si="416"/>
        <v>475686.44</v>
      </c>
      <c r="BB1015" s="62">
        <f t="shared" si="409"/>
        <v>475686.43999999989</v>
      </c>
      <c r="BC1015" s="62">
        <f t="shared" si="417"/>
        <v>0</v>
      </c>
      <c r="BD1015" s="63"/>
      <c r="BE1015" s="57"/>
      <c r="BF1015" s="35" t="str">
        <f>VLOOKUP(A:A,'2023-2027'!A:G,1,+FALSE)</f>
        <v>Испытательное устройство РЕТОМ-21 НПП "Динамика"</v>
      </c>
      <c r="BG1015" s="7" t="b">
        <f t="shared" si="408"/>
        <v>1</v>
      </c>
      <c r="BH1015" s="35">
        <f>VLOOKUP(A:A,'2023-2027'!A:AT,43,+FALSE)</f>
        <v>7928.11</v>
      </c>
    </row>
    <row r="1016" spans="1:60" ht="24" hidden="1" customHeight="1" outlineLevel="1" x14ac:dyDescent="0.2">
      <c r="A1016" s="59" t="s">
        <v>2326</v>
      </c>
      <c r="B1016" s="59" t="s">
        <v>69</v>
      </c>
      <c r="C1016" s="59" t="s">
        <v>81</v>
      </c>
      <c r="D1016" s="66" t="s">
        <v>2327</v>
      </c>
      <c r="E1016" s="59" t="s">
        <v>1266</v>
      </c>
      <c r="F1016" s="60">
        <v>483624.2</v>
      </c>
      <c r="G1016" s="60">
        <v>360916.38</v>
      </c>
      <c r="H1016" s="60">
        <v>122707.82</v>
      </c>
      <c r="I1016" s="59"/>
      <c r="J1016" s="60">
        <v>5393.76</v>
      </c>
      <c r="K1016" s="59"/>
      <c r="L1016" s="59"/>
      <c r="M1016" s="60">
        <v>483624.2</v>
      </c>
      <c r="N1016" s="60">
        <v>366310.14</v>
      </c>
      <c r="O1016" s="60">
        <v>117314.06</v>
      </c>
      <c r="P1016" s="55">
        <v>120010.94</v>
      </c>
      <c r="Q1016" s="55">
        <f t="shared" ref="Q1016:Q1017" si="421">P1016*2.2%</f>
        <v>2640.2406800000003</v>
      </c>
      <c r="R1016" s="61">
        <f t="shared" si="398"/>
        <v>449.48</v>
      </c>
      <c r="S1016" s="60">
        <v>449.48</v>
      </c>
      <c r="T1016" s="60">
        <v>449.48</v>
      </c>
      <c r="U1016" s="60">
        <v>449.48</v>
      </c>
      <c r="V1016" s="60">
        <v>449.48</v>
      </c>
      <c r="W1016" s="60">
        <v>449.48</v>
      </c>
      <c r="X1016" s="61">
        <f t="shared" si="399"/>
        <v>2696.88</v>
      </c>
      <c r="Y1016" s="60">
        <v>449.48</v>
      </c>
      <c r="Z1016" s="60">
        <v>449.48</v>
      </c>
      <c r="AA1016" s="60">
        <v>449.48</v>
      </c>
      <c r="AB1016" s="60">
        <v>449.48</v>
      </c>
      <c r="AC1016" s="60">
        <v>449.48</v>
      </c>
      <c r="AD1016" s="60">
        <v>449.48</v>
      </c>
      <c r="AE1016" s="61">
        <f t="shared" si="400"/>
        <v>2696.88</v>
      </c>
      <c r="AF1016" s="62">
        <f t="shared" si="419"/>
        <v>483624.2</v>
      </c>
      <c r="AG1016" s="62">
        <f t="shared" si="420"/>
        <v>371703.89999999979</v>
      </c>
      <c r="AH1016" s="62">
        <f t="shared" si="404"/>
        <v>111920.30000000022</v>
      </c>
      <c r="AI1016" s="63">
        <v>114617.17999999995</v>
      </c>
      <c r="AJ1016" s="63">
        <f t="shared" ref="AJ1016:AJ1017" si="422">AI1016*2.2%</f>
        <v>2521.5779599999992</v>
      </c>
      <c r="AK1016" s="62"/>
      <c r="AL1016" s="60">
        <v>449.48</v>
      </c>
      <c r="AM1016" s="60">
        <v>449.48</v>
      </c>
      <c r="AN1016" s="60">
        <v>449.48</v>
      </c>
      <c r="AO1016" s="60">
        <v>449.48</v>
      </c>
      <c r="AP1016" s="60">
        <v>449.48</v>
      </c>
      <c r="AQ1016" s="60">
        <v>449.48</v>
      </c>
      <c r="AR1016" s="61">
        <f t="shared" si="401"/>
        <v>2696.88</v>
      </c>
      <c r="AS1016" s="60">
        <v>449.48</v>
      </c>
      <c r="AT1016" s="60">
        <v>449.48</v>
      </c>
      <c r="AU1016" s="60">
        <v>449.48</v>
      </c>
      <c r="AV1016" s="60">
        <v>449.48</v>
      </c>
      <c r="AW1016" s="60">
        <v>449.48</v>
      </c>
      <c r="AX1016" s="60">
        <v>449.48</v>
      </c>
      <c r="AY1016" s="61">
        <f t="shared" si="402"/>
        <v>2696.88</v>
      </c>
      <c r="AZ1016" s="56">
        <f t="shared" si="397"/>
        <v>5393.76</v>
      </c>
      <c r="BA1016" s="62">
        <f t="shared" si="416"/>
        <v>483624.2</v>
      </c>
      <c r="BB1016" s="62">
        <f t="shared" si="409"/>
        <v>377097.65999999957</v>
      </c>
      <c r="BC1016" s="62">
        <f t="shared" si="417"/>
        <v>106526.54000000044</v>
      </c>
      <c r="BD1016" s="63">
        <v>109223.41999999982</v>
      </c>
      <c r="BE1016" s="57">
        <f t="shared" ref="BE1016:BE1017" si="423">BD1016*2.2%</f>
        <v>2402.9152399999962</v>
      </c>
      <c r="BF1016" s="35" t="str">
        <f>VLOOKUP(A:A,'2023-2027'!A:G,1,+FALSE)</f>
        <v>Кабель н/в от главного здания  400м 1955г.</v>
      </c>
      <c r="BG1016" s="7" t="b">
        <f t="shared" si="408"/>
        <v>1</v>
      </c>
      <c r="BH1016" s="35">
        <f>VLOOKUP(A:A,'2023-2027'!A:AT,43,+FALSE)</f>
        <v>1310.68</v>
      </c>
    </row>
    <row r="1017" spans="1:60" ht="12" hidden="1" customHeight="1" outlineLevel="1" x14ac:dyDescent="0.2">
      <c r="A1017" s="59" t="s">
        <v>2328</v>
      </c>
      <c r="B1017" s="59" t="s">
        <v>69</v>
      </c>
      <c r="C1017" s="59" t="s">
        <v>81</v>
      </c>
      <c r="D1017" s="66" t="s">
        <v>2329</v>
      </c>
      <c r="E1017" s="59" t="s">
        <v>288</v>
      </c>
      <c r="F1017" s="60">
        <v>659676</v>
      </c>
      <c r="G1017" s="60">
        <v>479364.56</v>
      </c>
      <c r="H1017" s="60">
        <v>180311.44</v>
      </c>
      <c r="I1017" s="59"/>
      <c r="J1017" s="60">
        <v>26387.040000000001</v>
      </c>
      <c r="K1017" s="59"/>
      <c r="L1017" s="59"/>
      <c r="M1017" s="60">
        <v>659676</v>
      </c>
      <c r="N1017" s="60">
        <v>505751.6</v>
      </c>
      <c r="O1017" s="60">
        <v>153924.4</v>
      </c>
      <c r="P1017" s="55">
        <v>167117.92000000001</v>
      </c>
      <c r="Q1017" s="55">
        <f t="shared" si="421"/>
        <v>3676.5942400000008</v>
      </c>
      <c r="R1017" s="61">
        <f t="shared" si="398"/>
        <v>2198.92</v>
      </c>
      <c r="S1017" s="60">
        <v>2198.92</v>
      </c>
      <c r="T1017" s="60">
        <v>2198.92</v>
      </c>
      <c r="U1017" s="60">
        <v>2198.92</v>
      </c>
      <c r="V1017" s="60">
        <v>2198.92</v>
      </c>
      <c r="W1017" s="60">
        <v>2198.92</v>
      </c>
      <c r="X1017" s="61">
        <f t="shared" si="399"/>
        <v>13193.52</v>
      </c>
      <c r="Y1017" s="60">
        <v>2198.92</v>
      </c>
      <c r="Z1017" s="60">
        <v>2198.92</v>
      </c>
      <c r="AA1017" s="60">
        <v>2198.92</v>
      </c>
      <c r="AB1017" s="60">
        <v>2198.92</v>
      </c>
      <c r="AC1017" s="60">
        <v>2198.92</v>
      </c>
      <c r="AD1017" s="60">
        <v>2198.92</v>
      </c>
      <c r="AE1017" s="61">
        <f t="shared" si="400"/>
        <v>13193.52</v>
      </c>
      <c r="AF1017" s="62">
        <f t="shared" si="419"/>
        <v>659676</v>
      </c>
      <c r="AG1017" s="62">
        <f t="shared" si="420"/>
        <v>532138.64</v>
      </c>
      <c r="AH1017" s="62">
        <f t="shared" si="404"/>
        <v>127537.35999999999</v>
      </c>
      <c r="AI1017" s="63">
        <v>140730.87999999992</v>
      </c>
      <c r="AJ1017" s="63">
        <f t="shared" si="422"/>
        <v>3096.0793599999984</v>
      </c>
      <c r="AK1017" s="62"/>
      <c r="AL1017" s="60">
        <v>2198.92</v>
      </c>
      <c r="AM1017" s="60">
        <v>2198.92</v>
      </c>
      <c r="AN1017" s="60">
        <v>2198.92</v>
      </c>
      <c r="AO1017" s="60">
        <v>2198.92</v>
      </c>
      <c r="AP1017" s="60">
        <v>2198.92</v>
      </c>
      <c r="AQ1017" s="60">
        <v>2198.92</v>
      </c>
      <c r="AR1017" s="61">
        <f t="shared" si="401"/>
        <v>13193.52</v>
      </c>
      <c r="AS1017" s="60">
        <v>2198.92</v>
      </c>
      <c r="AT1017" s="60">
        <v>2198.92</v>
      </c>
      <c r="AU1017" s="60">
        <v>2198.92</v>
      </c>
      <c r="AV1017" s="60">
        <v>2198.92</v>
      </c>
      <c r="AW1017" s="60">
        <v>2198.92</v>
      </c>
      <c r="AX1017" s="60">
        <v>2198.92</v>
      </c>
      <c r="AY1017" s="61">
        <f t="shared" si="402"/>
        <v>13193.52</v>
      </c>
      <c r="AZ1017" s="56">
        <f t="shared" si="397"/>
        <v>26387.040000000001</v>
      </c>
      <c r="BA1017" s="62">
        <f t="shared" si="416"/>
        <v>659676</v>
      </c>
      <c r="BB1017" s="62">
        <f t="shared" si="409"/>
        <v>558525.68000000052</v>
      </c>
      <c r="BC1017" s="62">
        <f t="shared" si="417"/>
        <v>101150.31999999948</v>
      </c>
      <c r="BD1017" s="63">
        <v>114343.83999999976</v>
      </c>
      <c r="BE1017" s="57">
        <f t="shared" si="423"/>
        <v>2515.564479999995</v>
      </c>
      <c r="BF1017" s="35" t="str">
        <f>VLOOKUP(A:A,'2023-2027'!A:G,1,+FALSE)</f>
        <v>Кабельные линии 6 кв 2003г.</v>
      </c>
      <c r="BG1017" s="7" t="b">
        <f t="shared" si="408"/>
        <v>1</v>
      </c>
      <c r="BH1017" s="35">
        <f>VLOOKUP(A:A,'2023-2027'!A:AT,43,+FALSE)</f>
        <v>2198.9199999999996</v>
      </c>
    </row>
    <row r="1018" spans="1:60" ht="12" hidden="1" customHeight="1" outlineLevel="1" x14ac:dyDescent="0.2">
      <c r="A1018" s="59" t="s">
        <v>2330</v>
      </c>
      <c r="B1018" s="59" t="s">
        <v>69</v>
      </c>
      <c r="C1018" s="59" t="s">
        <v>81</v>
      </c>
      <c r="D1018" s="65" t="s">
        <v>2331</v>
      </c>
      <c r="E1018" s="59" t="s">
        <v>1723</v>
      </c>
      <c r="F1018" s="60">
        <v>133898.31</v>
      </c>
      <c r="G1018" s="60">
        <v>103920.96000000001</v>
      </c>
      <c r="H1018" s="60">
        <v>29977.35</v>
      </c>
      <c r="I1018" s="59"/>
      <c r="J1018" s="60">
        <v>5995.44</v>
      </c>
      <c r="K1018" s="59"/>
      <c r="L1018" s="59"/>
      <c r="M1018" s="60">
        <v>133898.31</v>
      </c>
      <c r="N1018" s="60">
        <v>109916.4</v>
      </c>
      <c r="O1018" s="60">
        <v>23981.91</v>
      </c>
      <c r="P1018" s="55"/>
      <c r="Q1018" s="55"/>
      <c r="R1018" s="61">
        <f t="shared" si="398"/>
        <v>499.61999999999995</v>
      </c>
      <c r="S1018" s="60">
        <v>499.62</v>
      </c>
      <c r="T1018" s="60">
        <v>499.62</v>
      </c>
      <c r="U1018" s="60">
        <v>499.62</v>
      </c>
      <c r="V1018" s="60">
        <v>499.62</v>
      </c>
      <c r="W1018" s="60">
        <v>499.62</v>
      </c>
      <c r="X1018" s="61">
        <f t="shared" si="399"/>
        <v>2997.72</v>
      </c>
      <c r="Y1018" s="60">
        <v>499.62</v>
      </c>
      <c r="Z1018" s="60">
        <v>499.62</v>
      </c>
      <c r="AA1018" s="60">
        <v>499.62</v>
      </c>
      <c r="AB1018" s="60">
        <v>499.62</v>
      </c>
      <c r="AC1018" s="60">
        <v>499.62</v>
      </c>
      <c r="AD1018" s="60">
        <v>499.62</v>
      </c>
      <c r="AE1018" s="61">
        <f t="shared" si="400"/>
        <v>2997.72</v>
      </c>
      <c r="AF1018" s="62">
        <f t="shared" si="419"/>
        <v>133898.31</v>
      </c>
      <c r="AG1018" s="62">
        <f t="shared" si="420"/>
        <v>115911.83999999994</v>
      </c>
      <c r="AH1018" s="62">
        <f t="shared" si="404"/>
        <v>17986.470000000059</v>
      </c>
      <c r="AI1018" s="63"/>
      <c r="AJ1018" s="63"/>
      <c r="AK1018" s="62"/>
      <c r="AL1018" s="60">
        <v>499.62</v>
      </c>
      <c r="AM1018" s="60">
        <v>499.62</v>
      </c>
      <c r="AN1018" s="60">
        <v>499.62</v>
      </c>
      <c r="AO1018" s="60">
        <v>499.62</v>
      </c>
      <c r="AP1018" s="60">
        <v>499.62</v>
      </c>
      <c r="AQ1018" s="60">
        <v>499.62</v>
      </c>
      <c r="AR1018" s="61">
        <f t="shared" si="401"/>
        <v>2997.72</v>
      </c>
      <c r="AS1018" s="60">
        <v>499.62</v>
      </c>
      <c r="AT1018" s="60">
        <v>499.62</v>
      </c>
      <c r="AU1018" s="60">
        <v>499.62</v>
      </c>
      <c r="AV1018" s="60">
        <v>499.62</v>
      </c>
      <c r="AW1018" s="60">
        <v>499.62</v>
      </c>
      <c r="AX1018" s="60">
        <v>499.62</v>
      </c>
      <c r="AY1018" s="61">
        <f t="shared" si="402"/>
        <v>2997.72</v>
      </c>
      <c r="AZ1018" s="56">
        <f t="shared" si="397"/>
        <v>5995.44</v>
      </c>
      <c r="BA1018" s="62">
        <f t="shared" si="416"/>
        <v>133898.31</v>
      </c>
      <c r="BB1018" s="62">
        <f t="shared" si="409"/>
        <v>121907.27999999988</v>
      </c>
      <c r="BC1018" s="62">
        <f t="shared" si="417"/>
        <v>11991.030000000115</v>
      </c>
      <c r="BD1018" s="63"/>
      <c r="BE1018" s="57"/>
      <c r="BF1018" s="35" t="e">
        <f>VLOOKUP(A:A,'2023-2027'!A:G,1,+FALSE)</f>
        <v>#N/A</v>
      </c>
      <c r="BG1018" s="7" t="e">
        <f t="shared" si="408"/>
        <v>#N/A</v>
      </c>
      <c r="BH1018" s="35"/>
    </row>
    <row r="1019" spans="1:60" ht="12" hidden="1" customHeight="1" outlineLevel="1" x14ac:dyDescent="0.2">
      <c r="A1019" s="59" t="s">
        <v>2332</v>
      </c>
      <c r="B1019" s="59" t="s">
        <v>69</v>
      </c>
      <c r="C1019" s="59" t="s">
        <v>81</v>
      </c>
      <c r="D1019" s="65" t="s">
        <v>2333</v>
      </c>
      <c r="E1019" s="59" t="s">
        <v>1723</v>
      </c>
      <c r="F1019" s="60">
        <v>186128.81</v>
      </c>
      <c r="G1019" s="60">
        <v>144458.07999999999</v>
      </c>
      <c r="H1019" s="60">
        <v>41670.730000000003</v>
      </c>
      <c r="I1019" s="59"/>
      <c r="J1019" s="60">
        <v>8334.1200000000008</v>
      </c>
      <c r="K1019" s="59"/>
      <c r="L1019" s="59"/>
      <c r="M1019" s="60">
        <v>186128.81</v>
      </c>
      <c r="N1019" s="60">
        <v>152792.20000000001</v>
      </c>
      <c r="O1019" s="60">
        <v>33336.61</v>
      </c>
      <c r="P1019" s="55"/>
      <c r="Q1019" s="55"/>
      <c r="R1019" s="61">
        <f t="shared" si="398"/>
        <v>694.5100000000001</v>
      </c>
      <c r="S1019" s="60">
        <v>694.51</v>
      </c>
      <c r="T1019" s="60">
        <v>694.51</v>
      </c>
      <c r="U1019" s="60">
        <v>694.51</v>
      </c>
      <c r="V1019" s="60">
        <v>694.51</v>
      </c>
      <c r="W1019" s="60">
        <v>694.51</v>
      </c>
      <c r="X1019" s="61">
        <f t="shared" si="399"/>
        <v>4167.0600000000004</v>
      </c>
      <c r="Y1019" s="60">
        <v>694.51</v>
      </c>
      <c r="Z1019" s="60">
        <v>694.51</v>
      </c>
      <c r="AA1019" s="60">
        <v>694.51</v>
      </c>
      <c r="AB1019" s="60">
        <v>694.51</v>
      </c>
      <c r="AC1019" s="60">
        <v>694.51</v>
      </c>
      <c r="AD1019" s="60">
        <v>694.51</v>
      </c>
      <c r="AE1019" s="61">
        <f t="shared" si="400"/>
        <v>4167.0600000000004</v>
      </c>
      <c r="AF1019" s="62">
        <f t="shared" si="419"/>
        <v>186128.81</v>
      </c>
      <c r="AG1019" s="62">
        <f t="shared" si="420"/>
        <v>161126.32000000012</v>
      </c>
      <c r="AH1019" s="62">
        <f t="shared" si="404"/>
        <v>25002.489999999874</v>
      </c>
      <c r="AI1019" s="63"/>
      <c r="AJ1019" s="63"/>
      <c r="AK1019" s="62"/>
      <c r="AL1019" s="60">
        <v>694.51</v>
      </c>
      <c r="AM1019" s="60">
        <v>694.51</v>
      </c>
      <c r="AN1019" s="60">
        <v>694.51</v>
      </c>
      <c r="AO1019" s="60">
        <v>694.51</v>
      </c>
      <c r="AP1019" s="60">
        <v>694.51</v>
      </c>
      <c r="AQ1019" s="60">
        <v>694.51</v>
      </c>
      <c r="AR1019" s="61">
        <f t="shared" si="401"/>
        <v>4167.0600000000004</v>
      </c>
      <c r="AS1019" s="60">
        <v>694.51</v>
      </c>
      <c r="AT1019" s="60">
        <v>694.51</v>
      </c>
      <c r="AU1019" s="60">
        <v>694.51</v>
      </c>
      <c r="AV1019" s="60">
        <v>694.51</v>
      </c>
      <c r="AW1019" s="60">
        <v>694.51</v>
      </c>
      <c r="AX1019" s="60">
        <v>694.51</v>
      </c>
      <c r="AY1019" s="61">
        <f t="shared" si="402"/>
        <v>4167.0600000000004</v>
      </c>
      <c r="AZ1019" s="56">
        <f t="shared" si="397"/>
        <v>8334.1200000000008</v>
      </c>
      <c r="BA1019" s="62">
        <f t="shared" si="416"/>
        <v>186128.81</v>
      </c>
      <c r="BB1019" s="62">
        <f t="shared" si="409"/>
        <v>169460.44000000024</v>
      </c>
      <c r="BC1019" s="62">
        <f t="shared" si="417"/>
        <v>16668.369999999763</v>
      </c>
      <c r="BD1019" s="63"/>
      <c r="BE1019" s="57"/>
      <c r="BF1019" s="35" t="e">
        <f>VLOOKUP(A:A,'2023-2027'!A:G,1,+FALSE)</f>
        <v>#N/A</v>
      </c>
      <c r="BG1019" s="7" t="e">
        <f t="shared" si="408"/>
        <v>#N/A</v>
      </c>
      <c r="BH1019" s="35"/>
    </row>
    <row r="1020" spans="1:60" ht="24" hidden="1" customHeight="1" outlineLevel="1" x14ac:dyDescent="0.2">
      <c r="A1020" s="59" t="s">
        <v>2334</v>
      </c>
      <c r="B1020" s="59" t="s">
        <v>69</v>
      </c>
      <c r="C1020" s="59" t="s">
        <v>81</v>
      </c>
      <c r="D1020" s="66" t="s">
        <v>2335</v>
      </c>
      <c r="E1020" s="59" t="s">
        <v>1638</v>
      </c>
      <c r="F1020" s="60">
        <v>45504.01</v>
      </c>
      <c r="G1020" s="60">
        <v>12741.12</v>
      </c>
      <c r="H1020" s="60">
        <v>32762.89</v>
      </c>
      <c r="I1020" s="59"/>
      <c r="J1020" s="60">
        <v>1820.16</v>
      </c>
      <c r="K1020" s="59"/>
      <c r="L1020" s="59"/>
      <c r="M1020" s="60">
        <v>45504.01</v>
      </c>
      <c r="N1020" s="60">
        <v>14561.28</v>
      </c>
      <c r="O1020" s="60">
        <v>30942.73</v>
      </c>
      <c r="P1020" s="55">
        <v>31852.81</v>
      </c>
      <c r="Q1020" s="55">
        <f t="shared" ref="Q1020" si="424">P1020*2.2%</f>
        <v>700.76182000000006</v>
      </c>
      <c r="R1020" s="61">
        <f t="shared" si="398"/>
        <v>151.68</v>
      </c>
      <c r="S1020" s="60">
        <v>151.68</v>
      </c>
      <c r="T1020" s="60">
        <v>151.68</v>
      </c>
      <c r="U1020" s="60">
        <v>151.68</v>
      </c>
      <c r="V1020" s="60">
        <v>151.68</v>
      </c>
      <c r="W1020" s="60">
        <v>151.68</v>
      </c>
      <c r="X1020" s="61">
        <f t="shared" si="399"/>
        <v>910.08000000000015</v>
      </c>
      <c r="Y1020" s="60">
        <v>151.68</v>
      </c>
      <c r="Z1020" s="60">
        <v>151.68</v>
      </c>
      <c r="AA1020" s="60">
        <v>151.68</v>
      </c>
      <c r="AB1020" s="60">
        <v>151.68</v>
      </c>
      <c r="AC1020" s="60">
        <v>151.68</v>
      </c>
      <c r="AD1020" s="60">
        <v>151.68</v>
      </c>
      <c r="AE1020" s="61">
        <f t="shared" si="400"/>
        <v>910.08000000000015</v>
      </c>
      <c r="AF1020" s="62">
        <f t="shared" si="419"/>
        <v>45504.01</v>
      </c>
      <c r="AG1020" s="62">
        <f t="shared" si="420"/>
        <v>16381.440000000004</v>
      </c>
      <c r="AH1020" s="62">
        <f t="shared" si="404"/>
        <v>29122.57</v>
      </c>
      <c r="AI1020" s="63">
        <v>30032.649999999998</v>
      </c>
      <c r="AJ1020" s="63">
        <f t="shared" ref="AJ1020" si="425">AI1020*2.2%</f>
        <v>660.7183</v>
      </c>
      <c r="AK1020" s="62"/>
      <c r="AL1020" s="60">
        <v>151.68</v>
      </c>
      <c r="AM1020" s="60">
        <v>151.68</v>
      </c>
      <c r="AN1020" s="60">
        <v>151.68</v>
      </c>
      <c r="AO1020" s="60">
        <v>151.68</v>
      </c>
      <c r="AP1020" s="60">
        <v>151.68</v>
      </c>
      <c r="AQ1020" s="60">
        <v>151.68</v>
      </c>
      <c r="AR1020" s="61">
        <f t="shared" si="401"/>
        <v>910.08000000000015</v>
      </c>
      <c r="AS1020" s="60">
        <v>151.68</v>
      </c>
      <c r="AT1020" s="60">
        <v>151.68</v>
      </c>
      <c r="AU1020" s="60">
        <v>151.68</v>
      </c>
      <c r="AV1020" s="60">
        <v>151.68</v>
      </c>
      <c r="AW1020" s="60">
        <v>151.68</v>
      </c>
      <c r="AX1020" s="60">
        <v>151.68</v>
      </c>
      <c r="AY1020" s="61">
        <f t="shared" si="402"/>
        <v>910.08000000000015</v>
      </c>
      <c r="AZ1020" s="56">
        <f t="shared" si="397"/>
        <v>1820.1600000000003</v>
      </c>
      <c r="BA1020" s="62">
        <f t="shared" si="416"/>
        <v>45504.01</v>
      </c>
      <c r="BB1020" s="62">
        <f t="shared" si="409"/>
        <v>18201.600000000006</v>
      </c>
      <c r="BC1020" s="62">
        <f t="shared" si="417"/>
        <v>27302.409999999996</v>
      </c>
      <c r="BD1020" s="63">
        <v>28212.489999999994</v>
      </c>
      <c r="BE1020" s="57">
        <f t="shared" ref="BE1020" si="426">BD1020*2.2%</f>
        <v>620.67477999999994</v>
      </c>
      <c r="BF1020" s="35" t="str">
        <f>VLOOKUP(A:A,'2023-2027'!A:G,1,+FALSE)</f>
        <v>КЛ 0,4 кВ "РШ-8-РЩ"Гараж. Новый бокс"</v>
      </c>
      <c r="BG1020" s="7" t="b">
        <f t="shared" si="408"/>
        <v>1</v>
      </c>
      <c r="BH1020" s="35">
        <f>VLOOKUP(A:A,'2023-2027'!A:AT,43,+FALSE)</f>
        <v>151.68000000000004</v>
      </c>
    </row>
    <row r="1021" spans="1:60" ht="36" hidden="1" customHeight="1" outlineLevel="1" x14ac:dyDescent="0.2">
      <c r="A1021" s="59" t="s">
        <v>2336</v>
      </c>
      <c r="B1021" s="59" t="s">
        <v>69</v>
      </c>
      <c r="C1021" s="59" t="s">
        <v>81</v>
      </c>
      <c r="D1021" s="66" t="s">
        <v>2337</v>
      </c>
      <c r="E1021" s="59" t="s">
        <v>2338</v>
      </c>
      <c r="F1021" s="60">
        <v>188333.33</v>
      </c>
      <c r="G1021" s="60">
        <v>40357.08</v>
      </c>
      <c r="H1021" s="60">
        <v>147976.25</v>
      </c>
      <c r="I1021" s="59"/>
      <c r="J1021" s="60">
        <v>26904.74</v>
      </c>
      <c r="K1021" s="59"/>
      <c r="L1021" s="59"/>
      <c r="M1021" s="60">
        <v>188333.33</v>
      </c>
      <c r="N1021" s="60">
        <v>67261.820000000007</v>
      </c>
      <c r="O1021" s="60">
        <v>121071.51</v>
      </c>
      <c r="P1021" s="55"/>
      <c r="Q1021" s="55"/>
      <c r="R1021" s="61">
        <f t="shared" si="398"/>
        <v>2242.061666666667</v>
      </c>
      <c r="S1021" s="60">
        <v>2242.0616669999999</v>
      </c>
      <c r="T1021" s="60">
        <v>2242.0616669999999</v>
      </c>
      <c r="U1021" s="60">
        <v>2242.0616669999999</v>
      </c>
      <c r="V1021" s="60">
        <v>2242.0616669999999</v>
      </c>
      <c r="W1021" s="60">
        <v>2242.0616669999999</v>
      </c>
      <c r="X1021" s="61">
        <f t="shared" si="399"/>
        <v>13452.370001666666</v>
      </c>
      <c r="Y1021" s="60">
        <v>2242.0616669999999</v>
      </c>
      <c r="Z1021" s="60">
        <v>2242.0616669999999</v>
      </c>
      <c r="AA1021" s="60">
        <v>2242.0616669999999</v>
      </c>
      <c r="AB1021" s="60">
        <v>2242.0616669999999</v>
      </c>
      <c r="AC1021" s="60">
        <v>2242.0616669999999</v>
      </c>
      <c r="AD1021" s="60">
        <v>2242.0616669999999</v>
      </c>
      <c r="AE1021" s="61">
        <f t="shared" si="400"/>
        <v>13452.370002</v>
      </c>
      <c r="AF1021" s="62">
        <f t="shared" si="419"/>
        <v>188333.33</v>
      </c>
      <c r="AG1021" s="62">
        <f t="shared" si="420"/>
        <v>94166.560003666687</v>
      </c>
      <c r="AH1021" s="62">
        <f t="shared" si="404"/>
        <v>94166.7699963333</v>
      </c>
      <c r="AI1021" s="63"/>
      <c r="AJ1021" s="63"/>
      <c r="AK1021" s="62"/>
      <c r="AL1021" s="60">
        <v>2242.0616669999999</v>
      </c>
      <c r="AM1021" s="60">
        <v>2242.0616669999999</v>
      </c>
      <c r="AN1021" s="60">
        <v>2242.0616669999999</v>
      </c>
      <c r="AO1021" s="60">
        <v>2242.0616669999999</v>
      </c>
      <c r="AP1021" s="60">
        <v>2242.0616669999999</v>
      </c>
      <c r="AQ1021" s="60">
        <v>2242.0616669999999</v>
      </c>
      <c r="AR1021" s="61">
        <f t="shared" si="401"/>
        <v>13452.370002</v>
      </c>
      <c r="AS1021" s="60">
        <v>2242.0616669999999</v>
      </c>
      <c r="AT1021" s="60">
        <v>2242.0616669999999</v>
      </c>
      <c r="AU1021" s="60">
        <v>2242.0616669999999</v>
      </c>
      <c r="AV1021" s="60">
        <v>2242.0616669999999</v>
      </c>
      <c r="AW1021" s="60">
        <v>2242.0616669999999</v>
      </c>
      <c r="AX1021" s="60">
        <v>2242.0616669999999</v>
      </c>
      <c r="AY1021" s="61">
        <f t="shared" si="402"/>
        <v>13452.370002</v>
      </c>
      <c r="AZ1021" s="56">
        <f t="shared" si="397"/>
        <v>26904.740003999999</v>
      </c>
      <c r="BA1021" s="62">
        <f t="shared" si="416"/>
        <v>188333.33</v>
      </c>
      <c r="BB1021" s="62">
        <f t="shared" si="409"/>
        <v>121071.30000766671</v>
      </c>
      <c r="BC1021" s="62">
        <f t="shared" si="417"/>
        <v>67262.029992333279</v>
      </c>
      <c r="BD1021" s="63"/>
      <c r="BE1021" s="57"/>
      <c r="BF1021" s="35" t="str">
        <f>VLOOKUP(A:A,'2023-2027'!A:G,1,+FALSE)</f>
        <v>Комплекс измерительно-поисковый КИП-2Т</v>
      </c>
      <c r="BG1021" s="7" t="b">
        <f t="shared" si="408"/>
        <v>1</v>
      </c>
      <c r="BH1021" s="35">
        <f>VLOOKUP(A:A,'2023-2027'!A:AT,43,+FALSE)</f>
        <v>2242.0600000000004</v>
      </c>
    </row>
    <row r="1022" spans="1:60" ht="12" hidden="1" customHeight="1" outlineLevel="1" x14ac:dyDescent="0.2">
      <c r="A1022" s="59" t="s">
        <v>2339</v>
      </c>
      <c r="B1022" s="59" t="s">
        <v>69</v>
      </c>
      <c r="C1022" s="59" t="s">
        <v>81</v>
      </c>
      <c r="D1022" s="66" t="s">
        <v>2340</v>
      </c>
      <c r="E1022" s="59" t="s">
        <v>2341</v>
      </c>
      <c r="F1022" s="60">
        <v>68750</v>
      </c>
      <c r="G1022" s="60">
        <v>48628.36</v>
      </c>
      <c r="H1022" s="60">
        <v>20121.64</v>
      </c>
      <c r="I1022" s="59"/>
      <c r="J1022" s="60">
        <v>5030.3999999999996</v>
      </c>
      <c r="K1022" s="59"/>
      <c r="L1022" s="59"/>
      <c r="M1022" s="60">
        <v>68750</v>
      </c>
      <c r="N1022" s="60">
        <v>53658.76</v>
      </c>
      <c r="O1022" s="60">
        <v>15091.24</v>
      </c>
      <c r="P1022" s="55"/>
      <c r="Q1022" s="55"/>
      <c r="R1022" s="61">
        <f t="shared" si="398"/>
        <v>419.2</v>
      </c>
      <c r="S1022" s="60">
        <v>419.2</v>
      </c>
      <c r="T1022" s="60">
        <v>419.2</v>
      </c>
      <c r="U1022" s="60">
        <v>419.2</v>
      </c>
      <c r="V1022" s="60">
        <v>419.2</v>
      </c>
      <c r="W1022" s="60">
        <v>419.2</v>
      </c>
      <c r="X1022" s="61">
        <f t="shared" si="399"/>
        <v>2515.1999999999998</v>
      </c>
      <c r="Y1022" s="60">
        <v>419.2</v>
      </c>
      <c r="Z1022" s="60">
        <v>419.2</v>
      </c>
      <c r="AA1022" s="60">
        <v>419.2</v>
      </c>
      <c r="AB1022" s="60">
        <v>419.2</v>
      </c>
      <c r="AC1022" s="60">
        <v>419.2</v>
      </c>
      <c r="AD1022" s="60">
        <v>419.2</v>
      </c>
      <c r="AE1022" s="61">
        <f t="shared" si="400"/>
        <v>2515.1999999999998</v>
      </c>
      <c r="AF1022" s="62">
        <f t="shared" si="419"/>
        <v>68750</v>
      </c>
      <c r="AG1022" s="62">
        <f t="shared" si="420"/>
        <v>58689.159999999967</v>
      </c>
      <c r="AH1022" s="62">
        <f t="shared" si="404"/>
        <v>10060.840000000033</v>
      </c>
      <c r="AI1022" s="63"/>
      <c r="AJ1022" s="63"/>
      <c r="AK1022" s="62"/>
      <c r="AL1022" s="60">
        <v>419.2</v>
      </c>
      <c r="AM1022" s="60">
        <v>419.2</v>
      </c>
      <c r="AN1022" s="60">
        <v>419.2</v>
      </c>
      <c r="AO1022" s="60">
        <v>419.2</v>
      </c>
      <c r="AP1022" s="60">
        <v>419.2</v>
      </c>
      <c r="AQ1022" s="60">
        <v>419.2</v>
      </c>
      <c r="AR1022" s="61">
        <f t="shared" si="401"/>
        <v>2515.1999999999998</v>
      </c>
      <c r="AS1022" s="60">
        <v>419.2</v>
      </c>
      <c r="AT1022" s="60">
        <v>419.2</v>
      </c>
      <c r="AU1022" s="60">
        <v>419.2</v>
      </c>
      <c r="AV1022" s="60">
        <v>419.2</v>
      </c>
      <c r="AW1022" s="60">
        <v>419.2</v>
      </c>
      <c r="AX1022" s="60">
        <v>419.2</v>
      </c>
      <c r="AY1022" s="61">
        <f t="shared" si="402"/>
        <v>2515.1999999999998</v>
      </c>
      <c r="AZ1022" s="56">
        <f t="shared" si="397"/>
        <v>5030.3999999999996</v>
      </c>
      <c r="BA1022" s="62">
        <f t="shared" si="416"/>
        <v>68750</v>
      </c>
      <c r="BB1022" s="62">
        <f t="shared" si="409"/>
        <v>63719.559999999932</v>
      </c>
      <c r="BC1022" s="62">
        <f t="shared" si="417"/>
        <v>5030.4400000000678</v>
      </c>
      <c r="BD1022" s="63"/>
      <c r="BE1022" s="57"/>
      <c r="BF1022" s="35" t="str">
        <f>VLOOKUP(A:A,'2023-2027'!A:G,1,+FALSE)</f>
        <v>Комплект офисной мебели</v>
      </c>
      <c r="BG1022" s="7" t="b">
        <f t="shared" si="408"/>
        <v>1</v>
      </c>
      <c r="BH1022" s="35">
        <f>VLOOKUP(A:A,'2023-2027'!A:AT,43,+FALSE)</f>
        <v>0</v>
      </c>
    </row>
    <row r="1023" spans="1:60" ht="24" hidden="1" customHeight="1" outlineLevel="1" x14ac:dyDescent="0.2">
      <c r="A1023" s="59" t="s">
        <v>2342</v>
      </c>
      <c r="B1023" s="59" t="s">
        <v>69</v>
      </c>
      <c r="C1023" s="59" t="s">
        <v>81</v>
      </c>
      <c r="D1023" s="65" t="s">
        <v>2343</v>
      </c>
      <c r="E1023" s="59" t="s">
        <v>308</v>
      </c>
      <c r="F1023" s="60">
        <v>79661.02</v>
      </c>
      <c r="G1023" s="60">
        <v>40841.370000000003</v>
      </c>
      <c r="H1023" s="60">
        <v>38819.65</v>
      </c>
      <c r="I1023" s="59"/>
      <c r="J1023" s="60">
        <v>4852.4399999999996</v>
      </c>
      <c r="K1023" s="59"/>
      <c r="L1023" s="59"/>
      <c r="M1023" s="60">
        <v>79661.02</v>
      </c>
      <c r="N1023" s="60">
        <v>45693.81</v>
      </c>
      <c r="O1023" s="60">
        <v>33967.21</v>
      </c>
      <c r="P1023" s="55"/>
      <c r="Q1023" s="55"/>
      <c r="R1023" s="61">
        <f t="shared" si="398"/>
        <v>404.36999999999995</v>
      </c>
      <c r="S1023" s="60">
        <v>404.37</v>
      </c>
      <c r="T1023" s="60">
        <v>404.37</v>
      </c>
      <c r="U1023" s="60">
        <v>404.37</v>
      </c>
      <c r="V1023" s="60">
        <v>404.37</v>
      </c>
      <c r="W1023" s="60">
        <v>404.37</v>
      </c>
      <c r="X1023" s="61">
        <f t="shared" si="399"/>
        <v>2426.2199999999998</v>
      </c>
      <c r="Y1023" s="60">
        <v>404.37</v>
      </c>
      <c r="Z1023" s="60">
        <v>404.37</v>
      </c>
      <c r="AA1023" s="60">
        <v>404.37</v>
      </c>
      <c r="AB1023" s="60">
        <v>404.37</v>
      </c>
      <c r="AC1023" s="60">
        <v>404.37</v>
      </c>
      <c r="AD1023" s="60">
        <v>404.37</v>
      </c>
      <c r="AE1023" s="61">
        <f t="shared" si="400"/>
        <v>2426.2199999999998</v>
      </c>
      <c r="AF1023" s="62">
        <f t="shared" si="419"/>
        <v>79661.02</v>
      </c>
      <c r="AG1023" s="62">
        <f t="shared" si="420"/>
        <v>50546.250000000029</v>
      </c>
      <c r="AH1023" s="62">
        <f t="shared" si="404"/>
        <v>29114.769999999975</v>
      </c>
      <c r="AI1023" s="63"/>
      <c r="AJ1023" s="63"/>
      <c r="AK1023" s="62"/>
      <c r="AL1023" s="60">
        <v>404.37</v>
      </c>
      <c r="AM1023" s="60">
        <v>404.37</v>
      </c>
      <c r="AN1023" s="60">
        <v>404.37</v>
      </c>
      <c r="AO1023" s="60">
        <v>404.37</v>
      </c>
      <c r="AP1023" s="60">
        <v>404.37</v>
      </c>
      <c r="AQ1023" s="60">
        <v>404.37</v>
      </c>
      <c r="AR1023" s="61">
        <f t="shared" si="401"/>
        <v>2426.2199999999998</v>
      </c>
      <c r="AS1023" s="60">
        <v>404.37</v>
      </c>
      <c r="AT1023" s="60">
        <v>404.37</v>
      </c>
      <c r="AU1023" s="60">
        <v>404.37</v>
      </c>
      <c r="AV1023" s="60">
        <v>404.37</v>
      </c>
      <c r="AW1023" s="60">
        <v>404.37</v>
      </c>
      <c r="AX1023" s="60">
        <v>404.37</v>
      </c>
      <c r="AY1023" s="61">
        <f t="shared" si="402"/>
        <v>2426.2199999999998</v>
      </c>
      <c r="AZ1023" s="56">
        <f t="shared" si="397"/>
        <v>4852.4399999999996</v>
      </c>
      <c r="BA1023" s="62">
        <f t="shared" si="416"/>
        <v>79661.02</v>
      </c>
      <c r="BB1023" s="62">
        <f t="shared" si="409"/>
        <v>55398.690000000061</v>
      </c>
      <c r="BC1023" s="62">
        <f t="shared" si="417"/>
        <v>24262.329999999944</v>
      </c>
      <c r="BD1023" s="63"/>
      <c r="BE1023" s="57"/>
      <c r="BF1023" s="35" t="e">
        <f>VLOOKUP(A:A,'2023-2027'!A:G,1,+FALSE)</f>
        <v>#N/A</v>
      </c>
      <c r="BG1023" s="7" t="e">
        <f t="shared" si="408"/>
        <v>#N/A</v>
      </c>
      <c r="BH1023" s="35"/>
    </row>
    <row r="1024" spans="1:60" ht="12" hidden="1" customHeight="1" outlineLevel="1" x14ac:dyDescent="0.2">
      <c r="A1024" s="59" t="s">
        <v>2344</v>
      </c>
      <c r="B1024" s="59" t="s">
        <v>69</v>
      </c>
      <c r="C1024" s="59" t="s">
        <v>81</v>
      </c>
      <c r="D1024" s="66" t="s">
        <v>2345</v>
      </c>
      <c r="E1024" s="59" t="s">
        <v>2346</v>
      </c>
      <c r="F1024" s="60">
        <v>88203</v>
      </c>
      <c r="G1024" s="60">
        <v>49002</v>
      </c>
      <c r="H1024" s="60">
        <v>39201</v>
      </c>
      <c r="I1024" s="59"/>
      <c r="J1024" s="60">
        <v>5880.12</v>
      </c>
      <c r="K1024" s="59"/>
      <c r="L1024" s="59"/>
      <c r="M1024" s="60">
        <v>88203</v>
      </c>
      <c r="N1024" s="60">
        <v>54882.12</v>
      </c>
      <c r="O1024" s="60">
        <v>33320.879999999997</v>
      </c>
      <c r="P1024" s="55"/>
      <c r="Q1024" s="55"/>
      <c r="R1024" s="61">
        <f t="shared" si="398"/>
        <v>490.01</v>
      </c>
      <c r="S1024" s="60">
        <v>490.01</v>
      </c>
      <c r="T1024" s="60">
        <v>490.01</v>
      </c>
      <c r="U1024" s="60">
        <v>490.01</v>
      </c>
      <c r="V1024" s="60">
        <v>490.01</v>
      </c>
      <c r="W1024" s="60">
        <v>490.01</v>
      </c>
      <c r="X1024" s="61">
        <f t="shared" si="399"/>
        <v>2940.0600000000004</v>
      </c>
      <c r="Y1024" s="60">
        <v>490.01</v>
      </c>
      <c r="Z1024" s="60">
        <v>490.01</v>
      </c>
      <c r="AA1024" s="60">
        <v>490.01</v>
      </c>
      <c r="AB1024" s="60">
        <v>490.01</v>
      </c>
      <c r="AC1024" s="60">
        <v>490.01</v>
      </c>
      <c r="AD1024" s="60">
        <v>490.01</v>
      </c>
      <c r="AE1024" s="61">
        <f t="shared" si="400"/>
        <v>2940.0600000000004</v>
      </c>
      <c r="AF1024" s="62">
        <f t="shared" si="419"/>
        <v>88203</v>
      </c>
      <c r="AG1024" s="62">
        <f t="shared" si="420"/>
        <v>60762.240000000027</v>
      </c>
      <c r="AH1024" s="62">
        <f t="shared" si="404"/>
        <v>27440.759999999973</v>
      </c>
      <c r="AI1024" s="63"/>
      <c r="AJ1024" s="63"/>
      <c r="AK1024" s="62"/>
      <c r="AL1024" s="60">
        <v>490.01</v>
      </c>
      <c r="AM1024" s="60">
        <v>490.01</v>
      </c>
      <c r="AN1024" s="60">
        <v>490.01</v>
      </c>
      <c r="AO1024" s="60">
        <v>490.01</v>
      </c>
      <c r="AP1024" s="60">
        <v>490.01</v>
      </c>
      <c r="AQ1024" s="60">
        <v>490.01</v>
      </c>
      <c r="AR1024" s="61">
        <f t="shared" si="401"/>
        <v>2940.0600000000004</v>
      </c>
      <c r="AS1024" s="60">
        <v>490.01</v>
      </c>
      <c r="AT1024" s="60">
        <v>490.01</v>
      </c>
      <c r="AU1024" s="60">
        <v>490.01</v>
      </c>
      <c r="AV1024" s="60">
        <v>490.01</v>
      </c>
      <c r="AW1024" s="60">
        <v>490.01</v>
      </c>
      <c r="AX1024" s="60">
        <v>490.01</v>
      </c>
      <c r="AY1024" s="61">
        <f t="shared" si="402"/>
        <v>2940.0600000000004</v>
      </c>
      <c r="AZ1024" s="56">
        <f t="shared" si="397"/>
        <v>5880.1200000000008</v>
      </c>
      <c r="BA1024" s="62">
        <f t="shared" si="416"/>
        <v>88203</v>
      </c>
      <c r="BB1024" s="62">
        <f t="shared" si="409"/>
        <v>66642.36000000003</v>
      </c>
      <c r="BC1024" s="62">
        <f t="shared" si="417"/>
        <v>21560.63999999997</v>
      </c>
      <c r="BD1024" s="63"/>
      <c r="BE1024" s="57"/>
      <c r="BF1024" s="35" t="str">
        <f>VLOOKUP(A:A,'2023-2027'!A:G,1,+FALSE)</f>
        <v>Контейнер 20т DC FSCU7393953</v>
      </c>
      <c r="BG1024" s="7" t="b">
        <f t="shared" si="408"/>
        <v>1</v>
      </c>
      <c r="BH1024" s="35">
        <f>VLOOKUP(A:A,'2023-2027'!A:AT,43,+FALSE)</f>
        <v>490.01</v>
      </c>
    </row>
    <row r="1025" spans="1:60" ht="24" hidden="1" customHeight="1" outlineLevel="1" x14ac:dyDescent="0.2">
      <c r="A1025" s="59" t="s">
        <v>2347</v>
      </c>
      <c r="B1025" s="59" t="s">
        <v>69</v>
      </c>
      <c r="C1025" s="59" t="s">
        <v>81</v>
      </c>
      <c r="D1025" s="65" t="s">
        <v>2348</v>
      </c>
      <c r="E1025" s="59" t="s">
        <v>1392</v>
      </c>
      <c r="F1025" s="60">
        <v>7838</v>
      </c>
      <c r="G1025" s="60">
        <v>7838</v>
      </c>
      <c r="H1025" s="59"/>
      <c r="I1025" s="59"/>
      <c r="J1025" s="59"/>
      <c r="K1025" s="60">
        <v>7838</v>
      </c>
      <c r="L1025" s="60">
        <v>7838</v>
      </c>
      <c r="M1025" s="59"/>
      <c r="N1025" s="59"/>
      <c r="O1025" s="59"/>
      <c r="P1025" s="67"/>
      <c r="Q1025" s="67"/>
      <c r="R1025" s="61">
        <f t="shared" si="398"/>
        <v>0</v>
      </c>
      <c r="S1025" s="60">
        <v>0</v>
      </c>
      <c r="T1025" s="60">
        <v>0</v>
      </c>
      <c r="U1025" s="60">
        <v>0</v>
      </c>
      <c r="V1025" s="60">
        <v>0</v>
      </c>
      <c r="W1025" s="60">
        <v>0</v>
      </c>
      <c r="X1025" s="61">
        <f t="shared" si="399"/>
        <v>0</v>
      </c>
      <c r="Y1025" s="60">
        <v>0</v>
      </c>
      <c r="Z1025" s="60">
        <v>0</v>
      </c>
      <c r="AA1025" s="60">
        <v>0</v>
      </c>
      <c r="AB1025" s="60">
        <v>0</v>
      </c>
      <c r="AC1025" s="60">
        <v>0</v>
      </c>
      <c r="AD1025" s="60">
        <v>0</v>
      </c>
      <c r="AE1025" s="61">
        <f t="shared" si="400"/>
        <v>0</v>
      </c>
      <c r="AF1025" s="62">
        <f t="shared" si="419"/>
        <v>0</v>
      </c>
      <c r="AG1025" s="62">
        <f t="shared" si="420"/>
        <v>0</v>
      </c>
      <c r="AH1025" s="62">
        <f t="shared" si="404"/>
        <v>0</v>
      </c>
      <c r="AI1025" s="63"/>
      <c r="AJ1025" s="63"/>
      <c r="AK1025" s="62"/>
      <c r="AL1025" s="60">
        <v>0</v>
      </c>
      <c r="AM1025" s="60">
        <v>0</v>
      </c>
      <c r="AN1025" s="60">
        <v>0</v>
      </c>
      <c r="AO1025" s="60">
        <v>0</v>
      </c>
      <c r="AP1025" s="60">
        <v>0</v>
      </c>
      <c r="AQ1025" s="60">
        <v>0</v>
      </c>
      <c r="AR1025" s="61">
        <f t="shared" si="401"/>
        <v>0</v>
      </c>
      <c r="AS1025" s="60">
        <v>0</v>
      </c>
      <c r="AT1025" s="60">
        <v>0</v>
      </c>
      <c r="AU1025" s="60">
        <v>0</v>
      </c>
      <c r="AV1025" s="60">
        <v>0</v>
      </c>
      <c r="AW1025" s="60">
        <v>0</v>
      </c>
      <c r="AX1025" s="60">
        <v>0</v>
      </c>
      <c r="AY1025" s="61">
        <f t="shared" si="402"/>
        <v>0</v>
      </c>
      <c r="AZ1025" s="56">
        <f t="shared" si="397"/>
        <v>0</v>
      </c>
      <c r="BA1025" s="62">
        <f t="shared" si="416"/>
        <v>0</v>
      </c>
      <c r="BB1025" s="62">
        <f t="shared" si="409"/>
        <v>0</v>
      </c>
      <c r="BC1025" s="62">
        <f t="shared" si="417"/>
        <v>0</v>
      </c>
      <c r="BD1025" s="63"/>
      <c r="BE1025" s="57"/>
      <c r="BF1025" s="35" t="e">
        <f>VLOOKUP(A:A,'2023-2027'!A:G,1,+FALSE)</f>
        <v>#N/A</v>
      </c>
      <c r="BG1025" s="7" t="e">
        <f t="shared" si="408"/>
        <v>#N/A</v>
      </c>
      <c r="BH1025" s="35"/>
    </row>
    <row r="1026" spans="1:60" ht="12" hidden="1" customHeight="1" outlineLevel="1" x14ac:dyDescent="0.2">
      <c r="A1026" s="59" t="s">
        <v>2349</v>
      </c>
      <c r="B1026" s="59" t="s">
        <v>69</v>
      </c>
      <c r="C1026" s="59" t="s">
        <v>81</v>
      </c>
      <c r="D1026" s="66" t="s">
        <v>2350</v>
      </c>
      <c r="E1026" s="59" t="s">
        <v>2323</v>
      </c>
      <c r="F1026" s="60">
        <v>64730.39</v>
      </c>
      <c r="G1026" s="60">
        <v>30207.52</v>
      </c>
      <c r="H1026" s="60">
        <v>34522.870000000003</v>
      </c>
      <c r="I1026" s="59"/>
      <c r="J1026" s="60">
        <v>12946.08</v>
      </c>
      <c r="K1026" s="59"/>
      <c r="L1026" s="59"/>
      <c r="M1026" s="60">
        <v>64730.39</v>
      </c>
      <c r="N1026" s="60">
        <v>43153.599999999999</v>
      </c>
      <c r="O1026" s="60">
        <v>21576.79</v>
      </c>
      <c r="P1026" s="55"/>
      <c r="Q1026" s="55"/>
      <c r="R1026" s="61">
        <f t="shared" si="398"/>
        <v>1078.8399999999999</v>
      </c>
      <c r="S1026" s="60">
        <v>1078.8399999999999</v>
      </c>
      <c r="T1026" s="60">
        <v>1078.8399999999999</v>
      </c>
      <c r="U1026" s="60">
        <v>1078.8399999999999</v>
      </c>
      <c r="V1026" s="60">
        <v>1078.8399999999999</v>
      </c>
      <c r="W1026" s="60">
        <v>1078.8399999999999</v>
      </c>
      <c r="X1026" s="61">
        <f t="shared" si="399"/>
        <v>6473.04</v>
      </c>
      <c r="Y1026" s="60">
        <v>1078.8399999999999</v>
      </c>
      <c r="Z1026" s="60">
        <v>1078.8399999999999</v>
      </c>
      <c r="AA1026" s="60">
        <v>1078.8399999999999</v>
      </c>
      <c r="AB1026" s="60">
        <v>1078.8399999999999</v>
      </c>
      <c r="AC1026" s="60">
        <v>1078.8399999999999</v>
      </c>
      <c r="AD1026" s="60">
        <v>1078.8399999999999</v>
      </c>
      <c r="AE1026" s="61">
        <f t="shared" si="400"/>
        <v>6473.04</v>
      </c>
      <c r="AF1026" s="62">
        <f t="shared" si="419"/>
        <v>64730.39</v>
      </c>
      <c r="AG1026" s="62">
        <f t="shared" si="420"/>
        <v>56099.679999999957</v>
      </c>
      <c r="AH1026" s="62">
        <f t="shared" si="404"/>
        <v>8630.7100000000428</v>
      </c>
      <c r="AI1026" s="63"/>
      <c r="AJ1026" s="63"/>
      <c r="AK1026" s="62"/>
      <c r="AL1026" s="60">
        <v>1078.8399999999999</v>
      </c>
      <c r="AM1026" s="60">
        <v>1078.8399999999999</v>
      </c>
      <c r="AN1026" s="60">
        <v>1078.8399999999999</v>
      </c>
      <c r="AO1026" s="60">
        <v>1078.8399999999999</v>
      </c>
      <c r="AP1026" s="60">
        <v>1078.8399999999999</v>
      </c>
      <c r="AQ1026" s="60">
        <v>1078.8399999999999</v>
      </c>
      <c r="AR1026" s="61">
        <f t="shared" si="401"/>
        <v>6473.04</v>
      </c>
      <c r="AS1026" s="60">
        <v>1078.8399999999999</v>
      </c>
      <c r="AT1026" s="60">
        <v>1078.83</v>
      </c>
      <c r="AU1026" s="60"/>
      <c r="AV1026" s="60"/>
      <c r="AW1026" s="60"/>
      <c r="AX1026" s="60"/>
      <c r="AY1026" s="61">
        <f t="shared" si="402"/>
        <v>2157.67</v>
      </c>
      <c r="AZ1026" s="56">
        <f t="shared" si="397"/>
        <v>8630.7099999999991</v>
      </c>
      <c r="BA1026" s="62">
        <f t="shared" si="416"/>
        <v>64730.39</v>
      </c>
      <c r="BB1026" s="62">
        <f t="shared" si="409"/>
        <v>64730.389999999934</v>
      </c>
      <c r="BC1026" s="62">
        <f t="shared" si="417"/>
        <v>6.5483618527650833E-11</v>
      </c>
      <c r="BD1026" s="63"/>
      <c r="BE1026" s="57"/>
      <c r="BF1026" s="35" t="str">
        <f>VLOOKUP(A:A,'2023-2027'!A:G,1,+FALSE)</f>
        <v>Микроомметр Metrel MI3242</v>
      </c>
      <c r="BG1026" s="7" t="b">
        <f t="shared" si="408"/>
        <v>1</v>
      </c>
      <c r="BH1026" s="35">
        <f>VLOOKUP(A:A,'2023-2027'!A:AT,43,+FALSE)</f>
        <v>1078.8399999999999</v>
      </c>
    </row>
    <row r="1027" spans="1:60" ht="12" hidden="1" customHeight="1" outlineLevel="1" x14ac:dyDescent="0.2">
      <c r="A1027" s="59" t="s">
        <v>2351</v>
      </c>
      <c r="B1027" s="59" t="s">
        <v>69</v>
      </c>
      <c r="C1027" s="59" t="s">
        <v>81</v>
      </c>
      <c r="D1027" s="66" t="s">
        <v>2352</v>
      </c>
      <c r="E1027" s="59" t="s">
        <v>2304</v>
      </c>
      <c r="F1027" s="60">
        <v>161666.67000000001</v>
      </c>
      <c r="G1027" s="60">
        <v>8083.32</v>
      </c>
      <c r="H1027" s="60">
        <v>153583.35</v>
      </c>
      <c r="I1027" s="59"/>
      <c r="J1027" s="60">
        <v>16166.64</v>
      </c>
      <c r="K1027" s="59"/>
      <c r="L1027" s="59"/>
      <c r="M1027" s="60">
        <v>161666.67000000001</v>
      </c>
      <c r="N1027" s="60">
        <v>24249.96</v>
      </c>
      <c r="O1027" s="60">
        <v>137416.71</v>
      </c>
      <c r="P1027" s="55"/>
      <c r="Q1027" s="55"/>
      <c r="R1027" s="61">
        <f t="shared" si="398"/>
        <v>1347.22</v>
      </c>
      <c r="S1027" s="60">
        <v>1347.22</v>
      </c>
      <c r="T1027" s="60">
        <v>1347.22</v>
      </c>
      <c r="U1027" s="60">
        <v>1347.22</v>
      </c>
      <c r="V1027" s="60">
        <v>1347.22</v>
      </c>
      <c r="W1027" s="60">
        <v>1347.22</v>
      </c>
      <c r="X1027" s="61">
        <f t="shared" si="399"/>
        <v>8083.3200000000006</v>
      </c>
      <c r="Y1027" s="60">
        <v>1347.22</v>
      </c>
      <c r="Z1027" s="60">
        <v>1347.22</v>
      </c>
      <c r="AA1027" s="60">
        <v>1347.22</v>
      </c>
      <c r="AB1027" s="60">
        <v>1347.22</v>
      </c>
      <c r="AC1027" s="60">
        <v>1347.22</v>
      </c>
      <c r="AD1027" s="60">
        <v>1347.22</v>
      </c>
      <c r="AE1027" s="61">
        <f t="shared" si="400"/>
        <v>8083.3200000000006</v>
      </c>
      <c r="AF1027" s="62">
        <f t="shared" si="419"/>
        <v>161666.67000000001</v>
      </c>
      <c r="AG1027" s="62">
        <f t="shared" si="420"/>
        <v>40416.600000000013</v>
      </c>
      <c r="AH1027" s="62">
        <f t="shared" si="404"/>
        <v>121250.07</v>
      </c>
      <c r="AI1027" s="63"/>
      <c r="AJ1027" s="63"/>
      <c r="AK1027" s="62"/>
      <c r="AL1027" s="60">
        <v>1347.22</v>
      </c>
      <c r="AM1027" s="60">
        <v>1347.22</v>
      </c>
      <c r="AN1027" s="60">
        <v>1347.22</v>
      </c>
      <c r="AO1027" s="60">
        <v>1347.22</v>
      </c>
      <c r="AP1027" s="60">
        <v>1347.22</v>
      </c>
      <c r="AQ1027" s="60">
        <v>1347.22</v>
      </c>
      <c r="AR1027" s="61">
        <f t="shared" si="401"/>
        <v>8083.3200000000006</v>
      </c>
      <c r="AS1027" s="60">
        <v>1347.22</v>
      </c>
      <c r="AT1027" s="60">
        <v>1347.22</v>
      </c>
      <c r="AU1027" s="60">
        <v>1347.22</v>
      </c>
      <c r="AV1027" s="60">
        <v>1347.22</v>
      </c>
      <c r="AW1027" s="60">
        <v>1347.22</v>
      </c>
      <c r="AX1027" s="60">
        <v>1347.22</v>
      </c>
      <c r="AY1027" s="61">
        <f t="shared" si="402"/>
        <v>8083.3200000000006</v>
      </c>
      <c r="AZ1027" s="56">
        <f t="shared" si="397"/>
        <v>16166.640000000001</v>
      </c>
      <c r="BA1027" s="62">
        <f t="shared" si="416"/>
        <v>161666.67000000001</v>
      </c>
      <c r="BB1027" s="62">
        <f t="shared" si="409"/>
        <v>56583.240000000027</v>
      </c>
      <c r="BC1027" s="62">
        <f t="shared" si="417"/>
        <v>105083.43</v>
      </c>
      <c r="BD1027" s="63"/>
      <c r="BE1027" s="57"/>
      <c r="BF1027" s="35" t="str">
        <f>VLOOKUP(A:A,'2023-2027'!A:G,1,+FALSE)</f>
        <v>Мини козловой кран г/п 1000 кг</v>
      </c>
      <c r="BG1027" s="7" t="b">
        <f t="shared" si="408"/>
        <v>1</v>
      </c>
      <c r="BH1027" s="35">
        <f>VLOOKUP(A:A,'2023-2027'!A:AT,43,+FALSE)</f>
        <v>1347.22</v>
      </c>
    </row>
    <row r="1028" spans="1:60" ht="12" hidden="1" customHeight="1" outlineLevel="1" x14ac:dyDescent="0.2">
      <c r="A1028" s="59" t="s">
        <v>2353</v>
      </c>
      <c r="B1028" s="59" t="s">
        <v>69</v>
      </c>
      <c r="C1028" s="59" t="s">
        <v>81</v>
      </c>
      <c r="D1028" s="66" t="s">
        <v>2354</v>
      </c>
      <c r="E1028" s="59" t="s">
        <v>2304</v>
      </c>
      <c r="F1028" s="60">
        <v>227500</v>
      </c>
      <c r="G1028" s="60">
        <v>11374.98</v>
      </c>
      <c r="H1028" s="60">
        <v>216125.02</v>
      </c>
      <c r="I1028" s="59"/>
      <c r="J1028" s="60">
        <v>22749.96</v>
      </c>
      <c r="K1028" s="59"/>
      <c r="L1028" s="59"/>
      <c r="M1028" s="60">
        <v>227500</v>
      </c>
      <c r="N1028" s="60">
        <v>34124.94</v>
      </c>
      <c r="O1028" s="60">
        <v>193375.06</v>
      </c>
      <c r="P1028" s="55"/>
      <c r="Q1028" s="55"/>
      <c r="R1028" s="61">
        <f t="shared" si="398"/>
        <v>1895.83</v>
      </c>
      <c r="S1028" s="60">
        <v>1895.83</v>
      </c>
      <c r="T1028" s="60">
        <v>1895.83</v>
      </c>
      <c r="U1028" s="60">
        <v>1895.83</v>
      </c>
      <c r="V1028" s="60">
        <v>1895.83</v>
      </c>
      <c r="W1028" s="60">
        <v>1895.83</v>
      </c>
      <c r="X1028" s="61">
        <f t="shared" si="399"/>
        <v>11374.98</v>
      </c>
      <c r="Y1028" s="60">
        <v>1895.83</v>
      </c>
      <c r="Z1028" s="60">
        <v>1895.83</v>
      </c>
      <c r="AA1028" s="60">
        <v>1895.83</v>
      </c>
      <c r="AB1028" s="60">
        <v>1895.83</v>
      </c>
      <c r="AC1028" s="60">
        <v>1895.83</v>
      </c>
      <c r="AD1028" s="60">
        <v>1895.83</v>
      </c>
      <c r="AE1028" s="61">
        <f t="shared" si="400"/>
        <v>11374.98</v>
      </c>
      <c r="AF1028" s="62">
        <f t="shared" si="419"/>
        <v>227500</v>
      </c>
      <c r="AG1028" s="62">
        <f t="shared" si="420"/>
        <v>56874.900000000023</v>
      </c>
      <c r="AH1028" s="62">
        <f t="shared" si="404"/>
        <v>170625.09999999998</v>
      </c>
      <c r="AI1028" s="63"/>
      <c r="AJ1028" s="63"/>
      <c r="AK1028" s="62"/>
      <c r="AL1028" s="60">
        <v>1895.83</v>
      </c>
      <c r="AM1028" s="60">
        <v>1895.83</v>
      </c>
      <c r="AN1028" s="60">
        <v>1895.83</v>
      </c>
      <c r="AO1028" s="60">
        <v>1895.83</v>
      </c>
      <c r="AP1028" s="60">
        <v>1895.83</v>
      </c>
      <c r="AQ1028" s="60">
        <v>1895.83</v>
      </c>
      <c r="AR1028" s="61">
        <f t="shared" si="401"/>
        <v>11374.98</v>
      </c>
      <c r="AS1028" s="60">
        <v>1895.83</v>
      </c>
      <c r="AT1028" s="60">
        <v>1895.83</v>
      </c>
      <c r="AU1028" s="60">
        <v>1895.83</v>
      </c>
      <c r="AV1028" s="60">
        <v>1895.83</v>
      </c>
      <c r="AW1028" s="60">
        <v>1895.83</v>
      </c>
      <c r="AX1028" s="60">
        <v>1895.83</v>
      </c>
      <c r="AY1028" s="61">
        <f t="shared" si="402"/>
        <v>11374.98</v>
      </c>
      <c r="AZ1028" s="56">
        <f t="shared" si="397"/>
        <v>22749.96</v>
      </c>
      <c r="BA1028" s="62">
        <f t="shared" si="416"/>
        <v>227500</v>
      </c>
      <c r="BB1028" s="62">
        <f t="shared" si="409"/>
        <v>79624.860000000044</v>
      </c>
      <c r="BC1028" s="62">
        <f t="shared" si="417"/>
        <v>147875.13999999996</v>
      </c>
      <c r="BD1028" s="63"/>
      <c r="BE1028" s="57"/>
      <c r="BF1028" s="35" t="str">
        <f>VLOOKUP(A:A,'2023-2027'!A:G,1,+FALSE)</f>
        <v>Мини козловой кран г/п 5000 кг</v>
      </c>
      <c r="BG1028" s="7" t="b">
        <f t="shared" si="408"/>
        <v>1</v>
      </c>
      <c r="BH1028" s="35">
        <f>VLOOKUP(A:A,'2023-2027'!A:AT,43,+FALSE)</f>
        <v>1895.8300000000006</v>
      </c>
    </row>
    <row r="1029" spans="1:60" ht="12" hidden="1" customHeight="1" outlineLevel="1" x14ac:dyDescent="0.2">
      <c r="A1029" s="59" t="s">
        <v>2353</v>
      </c>
      <c r="B1029" s="59" t="s">
        <v>69</v>
      </c>
      <c r="C1029" s="59" t="s">
        <v>81</v>
      </c>
      <c r="D1029" s="66" t="s">
        <v>2355</v>
      </c>
      <c r="E1029" s="59" t="s">
        <v>2304</v>
      </c>
      <c r="F1029" s="60">
        <v>227500</v>
      </c>
      <c r="G1029" s="60">
        <v>11374.98</v>
      </c>
      <c r="H1029" s="60">
        <v>216125.02</v>
      </c>
      <c r="I1029" s="59"/>
      <c r="J1029" s="60">
        <v>22749.96</v>
      </c>
      <c r="K1029" s="59"/>
      <c r="L1029" s="59"/>
      <c r="M1029" s="60">
        <v>227500</v>
      </c>
      <c r="N1029" s="60">
        <v>34124.94</v>
      </c>
      <c r="O1029" s="60">
        <v>193375.06</v>
      </c>
      <c r="P1029" s="55"/>
      <c r="Q1029" s="55"/>
      <c r="R1029" s="61">
        <f t="shared" si="398"/>
        <v>1895.83</v>
      </c>
      <c r="S1029" s="60">
        <v>1895.83</v>
      </c>
      <c r="T1029" s="60">
        <v>1895.83</v>
      </c>
      <c r="U1029" s="60">
        <v>1895.83</v>
      </c>
      <c r="V1029" s="60">
        <v>1895.83</v>
      </c>
      <c r="W1029" s="60">
        <v>1895.83</v>
      </c>
      <c r="X1029" s="61">
        <f t="shared" si="399"/>
        <v>11374.98</v>
      </c>
      <c r="Y1029" s="60">
        <v>1895.83</v>
      </c>
      <c r="Z1029" s="60">
        <v>1895.83</v>
      </c>
      <c r="AA1029" s="60">
        <v>1895.83</v>
      </c>
      <c r="AB1029" s="60">
        <v>1895.83</v>
      </c>
      <c r="AC1029" s="60">
        <v>1895.83</v>
      </c>
      <c r="AD1029" s="60">
        <v>1895.83</v>
      </c>
      <c r="AE1029" s="61">
        <f t="shared" si="400"/>
        <v>11374.98</v>
      </c>
      <c r="AF1029" s="62">
        <f t="shared" si="419"/>
        <v>227500</v>
      </c>
      <c r="AG1029" s="62">
        <f t="shared" si="420"/>
        <v>56874.900000000023</v>
      </c>
      <c r="AH1029" s="62">
        <f t="shared" si="404"/>
        <v>170625.09999999998</v>
      </c>
      <c r="AI1029" s="63"/>
      <c r="AJ1029" s="63"/>
      <c r="AK1029" s="62"/>
      <c r="AL1029" s="60">
        <v>1895.83</v>
      </c>
      <c r="AM1029" s="60">
        <v>1895.83</v>
      </c>
      <c r="AN1029" s="60">
        <v>1895.83</v>
      </c>
      <c r="AO1029" s="60">
        <v>1895.83</v>
      </c>
      <c r="AP1029" s="60">
        <v>1895.83</v>
      </c>
      <c r="AQ1029" s="60">
        <v>1895.83</v>
      </c>
      <c r="AR1029" s="61">
        <f t="shared" si="401"/>
        <v>11374.98</v>
      </c>
      <c r="AS1029" s="60">
        <v>1895.83</v>
      </c>
      <c r="AT1029" s="60">
        <v>1895.83</v>
      </c>
      <c r="AU1029" s="60">
        <v>1895.83</v>
      </c>
      <c r="AV1029" s="60">
        <v>1895.83</v>
      </c>
      <c r="AW1029" s="60">
        <v>1895.83</v>
      </c>
      <c r="AX1029" s="60">
        <v>1895.83</v>
      </c>
      <c r="AY1029" s="61">
        <f t="shared" si="402"/>
        <v>11374.98</v>
      </c>
      <c r="AZ1029" s="56">
        <f t="shared" si="397"/>
        <v>22749.96</v>
      </c>
      <c r="BA1029" s="62">
        <f t="shared" si="416"/>
        <v>227500</v>
      </c>
      <c r="BB1029" s="62">
        <f t="shared" si="409"/>
        <v>79624.860000000044</v>
      </c>
      <c r="BC1029" s="62">
        <f t="shared" si="417"/>
        <v>147875.13999999996</v>
      </c>
      <c r="BD1029" s="63"/>
      <c r="BE1029" s="57"/>
      <c r="BF1029" s="35" t="str">
        <f>VLOOKUP(A:A,'2023-2027'!A:G,1,+FALSE)</f>
        <v>Мини козловой кран г/п 5000 кг</v>
      </c>
      <c r="BG1029" s="7" t="b">
        <f t="shared" si="408"/>
        <v>1</v>
      </c>
      <c r="BH1029" s="35">
        <f>VLOOKUP(A:A,'2023-2027'!A:AT,43,+FALSE)</f>
        <v>1895.8300000000006</v>
      </c>
    </row>
    <row r="1030" spans="1:60" ht="24" hidden="1" customHeight="1" outlineLevel="1" x14ac:dyDescent="0.2">
      <c r="A1030" s="59" t="s">
        <v>2356</v>
      </c>
      <c r="B1030" s="59" t="s">
        <v>69</v>
      </c>
      <c r="C1030" s="59" t="s">
        <v>81</v>
      </c>
      <c r="D1030" s="65" t="s">
        <v>2357</v>
      </c>
      <c r="E1030" s="59" t="s">
        <v>766</v>
      </c>
      <c r="F1030" s="60">
        <v>92784</v>
      </c>
      <c r="G1030" s="60">
        <v>69778.8</v>
      </c>
      <c r="H1030" s="60">
        <v>23005.200000000001</v>
      </c>
      <c r="I1030" s="59"/>
      <c r="J1030" s="60">
        <v>4601.04</v>
      </c>
      <c r="K1030" s="59"/>
      <c r="L1030" s="59"/>
      <c r="M1030" s="60">
        <v>92784</v>
      </c>
      <c r="N1030" s="60">
        <v>74379.839999999997</v>
      </c>
      <c r="O1030" s="60">
        <v>18404.16</v>
      </c>
      <c r="P1030" s="55"/>
      <c r="Q1030" s="55"/>
      <c r="R1030" s="61">
        <f t="shared" si="398"/>
        <v>383.42</v>
      </c>
      <c r="S1030" s="60">
        <v>383.42</v>
      </c>
      <c r="T1030" s="60">
        <v>383.42</v>
      </c>
      <c r="U1030" s="60">
        <v>383.42</v>
      </c>
      <c r="V1030" s="60">
        <v>383.42</v>
      </c>
      <c r="W1030" s="60">
        <v>383.42</v>
      </c>
      <c r="X1030" s="61">
        <f t="shared" si="399"/>
        <v>2300.52</v>
      </c>
      <c r="Y1030" s="60">
        <v>383.42</v>
      </c>
      <c r="Z1030" s="60">
        <v>383.42</v>
      </c>
      <c r="AA1030" s="60">
        <v>383.42</v>
      </c>
      <c r="AB1030" s="60">
        <v>383.42</v>
      </c>
      <c r="AC1030" s="60">
        <v>383.42</v>
      </c>
      <c r="AD1030" s="60">
        <v>383.42</v>
      </c>
      <c r="AE1030" s="61">
        <f t="shared" si="400"/>
        <v>2300.52</v>
      </c>
      <c r="AF1030" s="62">
        <f t="shared" si="419"/>
        <v>92784</v>
      </c>
      <c r="AG1030" s="62">
        <f t="shared" si="420"/>
        <v>78980.879999999976</v>
      </c>
      <c r="AH1030" s="62">
        <f t="shared" si="404"/>
        <v>13803.120000000024</v>
      </c>
      <c r="AI1030" s="63"/>
      <c r="AJ1030" s="63"/>
      <c r="AK1030" s="62"/>
      <c r="AL1030" s="60">
        <v>383.42</v>
      </c>
      <c r="AM1030" s="60">
        <v>383.42</v>
      </c>
      <c r="AN1030" s="60">
        <v>383.42</v>
      </c>
      <c r="AO1030" s="60">
        <v>383.42</v>
      </c>
      <c r="AP1030" s="60">
        <v>383.42</v>
      </c>
      <c r="AQ1030" s="60">
        <v>383.42</v>
      </c>
      <c r="AR1030" s="61">
        <f t="shared" si="401"/>
        <v>2300.52</v>
      </c>
      <c r="AS1030" s="60">
        <v>383.42</v>
      </c>
      <c r="AT1030" s="60">
        <v>383.42</v>
      </c>
      <c r="AU1030" s="60">
        <v>383.42</v>
      </c>
      <c r="AV1030" s="60">
        <v>383.42</v>
      </c>
      <c r="AW1030" s="60">
        <v>383.42</v>
      </c>
      <c r="AX1030" s="60">
        <v>383.42</v>
      </c>
      <c r="AY1030" s="61">
        <f t="shared" si="402"/>
        <v>2300.52</v>
      </c>
      <c r="AZ1030" s="56">
        <f t="shared" si="397"/>
        <v>4601.04</v>
      </c>
      <c r="BA1030" s="62">
        <f t="shared" si="416"/>
        <v>92784</v>
      </c>
      <c r="BB1030" s="62">
        <f t="shared" si="409"/>
        <v>83581.919999999955</v>
      </c>
      <c r="BC1030" s="62">
        <f t="shared" si="417"/>
        <v>9202.0800000000454</v>
      </c>
      <c r="BD1030" s="63"/>
      <c r="BE1030" s="57"/>
      <c r="BF1030" s="35" t="e">
        <f>VLOOKUP(A:A,'2023-2027'!A:G,1,+FALSE)</f>
        <v>#N/A</v>
      </c>
      <c r="BG1030" s="7" t="e">
        <f t="shared" si="408"/>
        <v>#N/A</v>
      </c>
      <c r="BH1030" s="35"/>
    </row>
    <row r="1031" spans="1:60" ht="12" hidden="1" customHeight="1" outlineLevel="1" x14ac:dyDescent="0.2">
      <c r="A1031" s="59" t="s">
        <v>2358</v>
      </c>
      <c r="B1031" s="59" t="s">
        <v>69</v>
      </c>
      <c r="C1031" s="59" t="s">
        <v>81</v>
      </c>
      <c r="D1031" s="65" t="s">
        <v>2359</v>
      </c>
      <c r="E1031" s="59" t="s">
        <v>1557</v>
      </c>
      <c r="F1031" s="60">
        <v>26237.29</v>
      </c>
      <c r="G1031" s="60">
        <v>26237.29</v>
      </c>
      <c r="H1031" s="59"/>
      <c r="I1031" s="59"/>
      <c r="J1031" s="59"/>
      <c r="K1031" s="60">
        <v>26237.29</v>
      </c>
      <c r="L1031" s="60">
        <v>26237.29</v>
      </c>
      <c r="M1031" s="59"/>
      <c r="N1031" s="59"/>
      <c r="O1031" s="59"/>
      <c r="P1031" s="67"/>
      <c r="Q1031" s="67"/>
      <c r="R1031" s="61">
        <f t="shared" si="398"/>
        <v>0</v>
      </c>
      <c r="S1031" s="60">
        <v>0</v>
      </c>
      <c r="T1031" s="60">
        <v>0</v>
      </c>
      <c r="U1031" s="60">
        <v>0</v>
      </c>
      <c r="V1031" s="60">
        <v>0</v>
      </c>
      <c r="W1031" s="60">
        <v>0</v>
      </c>
      <c r="X1031" s="61">
        <f t="shared" si="399"/>
        <v>0</v>
      </c>
      <c r="Y1031" s="60">
        <v>0</v>
      </c>
      <c r="Z1031" s="60">
        <v>0</v>
      </c>
      <c r="AA1031" s="60">
        <v>0</v>
      </c>
      <c r="AB1031" s="60">
        <v>0</v>
      </c>
      <c r="AC1031" s="60">
        <v>0</v>
      </c>
      <c r="AD1031" s="60">
        <v>0</v>
      </c>
      <c r="AE1031" s="61">
        <f t="shared" si="400"/>
        <v>0</v>
      </c>
      <c r="AF1031" s="62">
        <f t="shared" si="419"/>
        <v>0</v>
      </c>
      <c r="AG1031" s="62">
        <f t="shared" si="420"/>
        <v>0</v>
      </c>
      <c r="AH1031" s="62">
        <f t="shared" si="404"/>
        <v>0</v>
      </c>
      <c r="AI1031" s="63"/>
      <c r="AJ1031" s="63"/>
      <c r="AK1031" s="62"/>
      <c r="AL1031" s="60">
        <v>0</v>
      </c>
      <c r="AM1031" s="60">
        <v>0</v>
      </c>
      <c r="AN1031" s="60">
        <v>0</v>
      </c>
      <c r="AO1031" s="60">
        <v>0</v>
      </c>
      <c r="AP1031" s="60">
        <v>0</v>
      </c>
      <c r="AQ1031" s="60">
        <v>0</v>
      </c>
      <c r="AR1031" s="61">
        <f t="shared" si="401"/>
        <v>0</v>
      </c>
      <c r="AS1031" s="60">
        <v>0</v>
      </c>
      <c r="AT1031" s="60">
        <v>0</v>
      </c>
      <c r="AU1031" s="60">
        <v>0</v>
      </c>
      <c r="AV1031" s="60">
        <v>0</v>
      </c>
      <c r="AW1031" s="60">
        <v>0</v>
      </c>
      <c r="AX1031" s="60">
        <v>0</v>
      </c>
      <c r="AY1031" s="61">
        <f t="shared" si="402"/>
        <v>0</v>
      </c>
      <c r="AZ1031" s="56">
        <f t="shared" si="397"/>
        <v>0</v>
      </c>
      <c r="BA1031" s="62">
        <f t="shared" si="416"/>
        <v>0</v>
      </c>
      <c r="BB1031" s="62">
        <f t="shared" si="409"/>
        <v>0</v>
      </c>
      <c r="BC1031" s="62">
        <f t="shared" si="417"/>
        <v>0</v>
      </c>
      <c r="BD1031" s="63"/>
      <c r="BE1031" s="57"/>
      <c r="BF1031" s="35" t="e">
        <f>VLOOKUP(A:A,'2023-2027'!A:G,1,+FALSE)</f>
        <v>#N/A</v>
      </c>
      <c r="BG1031" s="7" t="e">
        <f t="shared" si="408"/>
        <v>#N/A</v>
      </c>
      <c r="BH1031" s="35"/>
    </row>
    <row r="1032" spans="1:60" ht="24" hidden="1" customHeight="1" outlineLevel="1" x14ac:dyDescent="0.2">
      <c r="A1032" s="59" t="s">
        <v>97</v>
      </c>
      <c r="B1032" s="59" t="s">
        <v>69</v>
      </c>
      <c r="C1032" s="59" t="s">
        <v>81</v>
      </c>
      <c r="D1032" s="66" t="s">
        <v>2360</v>
      </c>
      <c r="E1032" s="59" t="s">
        <v>2361</v>
      </c>
      <c r="F1032" s="59"/>
      <c r="G1032" s="59"/>
      <c r="H1032" s="59"/>
      <c r="I1032" s="60">
        <v>179000</v>
      </c>
      <c r="J1032" s="59"/>
      <c r="K1032" s="59"/>
      <c r="L1032" s="59"/>
      <c r="M1032" s="60">
        <v>179000</v>
      </c>
      <c r="N1032" s="59"/>
      <c r="O1032" s="60">
        <v>179000</v>
      </c>
      <c r="P1032" s="55"/>
      <c r="Q1032" s="55"/>
      <c r="R1032" s="61">
        <f t="shared" si="398"/>
        <v>0</v>
      </c>
      <c r="S1032" s="60">
        <v>0</v>
      </c>
      <c r="T1032" s="60">
        <v>0</v>
      </c>
      <c r="U1032" s="60">
        <v>0</v>
      </c>
      <c r="V1032" s="60">
        <v>0</v>
      </c>
      <c r="W1032" s="60">
        <v>0</v>
      </c>
      <c r="X1032" s="61">
        <f t="shared" si="399"/>
        <v>0</v>
      </c>
      <c r="Y1032" s="60">
        <v>0</v>
      </c>
      <c r="Z1032" s="60">
        <v>0</v>
      </c>
      <c r="AA1032" s="60">
        <v>0</v>
      </c>
      <c r="AB1032" s="60">
        <v>0</v>
      </c>
      <c r="AC1032" s="60">
        <v>0</v>
      </c>
      <c r="AD1032" s="60">
        <v>0</v>
      </c>
      <c r="AE1032" s="61">
        <f t="shared" si="400"/>
        <v>0</v>
      </c>
      <c r="AF1032" s="62">
        <f t="shared" si="419"/>
        <v>179000</v>
      </c>
      <c r="AG1032" s="62">
        <f t="shared" si="420"/>
        <v>0</v>
      </c>
      <c r="AH1032" s="62">
        <f t="shared" si="404"/>
        <v>179000</v>
      </c>
      <c r="AI1032" s="63"/>
      <c r="AJ1032" s="63"/>
      <c r="AK1032" s="62"/>
      <c r="AL1032" s="60">
        <v>0</v>
      </c>
      <c r="AM1032" s="60">
        <v>0</v>
      </c>
      <c r="AN1032" s="60">
        <v>0</v>
      </c>
      <c r="AO1032" s="60">
        <v>0</v>
      </c>
      <c r="AP1032" s="60">
        <v>0</v>
      </c>
      <c r="AQ1032" s="60">
        <v>0</v>
      </c>
      <c r="AR1032" s="61">
        <f t="shared" si="401"/>
        <v>0</v>
      </c>
      <c r="AS1032" s="60">
        <v>0</v>
      </c>
      <c r="AT1032" s="60">
        <v>0</v>
      </c>
      <c r="AU1032" s="60">
        <v>0</v>
      </c>
      <c r="AV1032" s="60">
        <v>0</v>
      </c>
      <c r="AW1032" s="60">
        <v>0</v>
      </c>
      <c r="AX1032" s="60">
        <v>0</v>
      </c>
      <c r="AY1032" s="61">
        <f t="shared" si="402"/>
        <v>0</v>
      </c>
      <c r="AZ1032" s="56">
        <f t="shared" si="397"/>
        <v>0</v>
      </c>
      <c r="BA1032" s="62">
        <f t="shared" si="416"/>
        <v>179000</v>
      </c>
      <c r="BB1032" s="62">
        <f t="shared" si="409"/>
        <v>0</v>
      </c>
      <c r="BC1032" s="62">
        <f t="shared" si="417"/>
        <v>179000</v>
      </c>
      <c r="BD1032" s="63"/>
      <c r="BE1032" s="57"/>
      <c r="BF1032" s="35" t="str">
        <f>VLOOKUP(A:A,'2023-2027'!A:G,1,+FALSE)</f>
        <v>Омметр "Виток" с комбинированным питанием</v>
      </c>
      <c r="BG1032" s="7" t="b">
        <f t="shared" si="408"/>
        <v>1</v>
      </c>
      <c r="BH1032" s="35">
        <f>VLOOKUP(A:A,'2023-2027'!A:AT,43,+FALSE)</f>
        <v>2130.9523809523807</v>
      </c>
    </row>
    <row r="1033" spans="1:60" ht="36" hidden="1" customHeight="1" outlineLevel="1" x14ac:dyDescent="0.2">
      <c r="A1033" s="59" t="s">
        <v>70</v>
      </c>
      <c r="B1033" s="59" t="s">
        <v>69</v>
      </c>
      <c r="C1033" s="59" t="s">
        <v>81</v>
      </c>
      <c r="D1033" s="66" t="s">
        <v>71</v>
      </c>
      <c r="E1033" s="59" t="s">
        <v>72</v>
      </c>
      <c r="F1033" s="59"/>
      <c r="G1033" s="59"/>
      <c r="H1033" s="59"/>
      <c r="I1033" s="60">
        <v>61000</v>
      </c>
      <c r="J1033" s="60">
        <v>9150.0300000000007</v>
      </c>
      <c r="K1033" s="59"/>
      <c r="L1033" s="59"/>
      <c r="M1033" s="60">
        <v>61000</v>
      </c>
      <c r="N1033" s="60">
        <v>9150.0300000000007</v>
      </c>
      <c r="O1033" s="60">
        <v>51849.97</v>
      </c>
      <c r="P1033" s="55"/>
      <c r="Q1033" s="55"/>
      <c r="R1033" s="61">
        <f t="shared" si="398"/>
        <v>762.50250000000005</v>
      </c>
      <c r="S1033" s="60">
        <v>762.50250000000005</v>
      </c>
      <c r="T1033" s="60">
        <v>762.50250000000005</v>
      </c>
      <c r="U1033" s="60">
        <v>762.50250000000005</v>
      </c>
      <c r="V1033" s="60">
        <v>762.50250000000005</v>
      </c>
      <c r="W1033" s="60">
        <v>762.50250000000005</v>
      </c>
      <c r="X1033" s="61">
        <f t="shared" si="399"/>
        <v>4575.0150000000003</v>
      </c>
      <c r="Y1033" s="60">
        <v>762.50250000000005</v>
      </c>
      <c r="Z1033" s="60">
        <v>762.50250000000005</v>
      </c>
      <c r="AA1033" s="60">
        <v>762.50250000000005</v>
      </c>
      <c r="AB1033" s="60">
        <v>762.50250000000005</v>
      </c>
      <c r="AC1033" s="60">
        <v>762.50250000000005</v>
      </c>
      <c r="AD1033" s="60">
        <v>762.50250000000005</v>
      </c>
      <c r="AE1033" s="61">
        <f t="shared" si="400"/>
        <v>4575.0150000000003</v>
      </c>
      <c r="AF1033" s="62">
        <f t="shared" si="419"/>
        <v>61000</v>
      </c>
      <c r="AG1033" s="62">
        <f t="shared" si="420"/>
        <v>18300.060000000001</v>
      </c>
      <c r="AH1033" s="62">
        <f t="shared" si="404"/>
        <v>42699.94</v>
      </c>
      <c r="AI1033" s="63"/>
      <c r="AJ1033" s="63"/>
      <c r="AK1033" s="62"/>
      <c r="AL1033" s="60">
        <v>762.50250000000005</v>
      </c>
      <c r="AM1033" s="60">
        <v>762.50250000000005</v>
      </c>
      <c r="AN1033" s="60">
        <v>762.50250000000005</v>
      </c>
      <c r="AO1033" s="60">
        <v>762.50250000000005</v>
      </c>
      <c r="AP1033" s="60">
        <v>762.50250000000005</v>
      </c>
      <c r="AQ1033" s="60">
        <v>762.50250000000005</v>
      </c>
      <c r="AR1033" s="61">
        <f t="shared" si="401"/>
        <v>4575.0150000000003</v>
      </c>
      <c r="AS1033" s="60">
        <v>762.50250000000005</v>
      </c>
      <c r="AT1033" s="60">
        <v>762.50250000000005</v>
      </c>
      <c r="AU1033" s="60">
        <v>762.50250000000005</v>
      </c>
      <c r="AV1033" s="60">
        <v>762.50250000000005</v>
      </c>
      <c r="AW1033" s="60">
        <v>762.50250000000005</v>
      </c>
      <c r="AX1033" s="60">
        <v>762.50250000000005</v>
      </c>
      <c r="AY1033" s="61">
        <f t="shared" si="402"/>
        <v>4575.0150000000003</v>
      </c>
      <c r="AZ1033" s="56">
        <f t="shared" si="397"/>
        <v>9150.0300000000007</v>
      </c>
      <c r="BA1033" s="62">
        <f t="shared" si="416"/>
        <v>61000</v>
      </c>
      <c r="BB1033" s="62">
        <f t="shared" si="409"/>
        <v>27450.089999999986</v>
      </c>
      <c r="BC1033" s="62">
        <f t="shared" si="417"/>
        <v>33549.910000000018</v>
      </c>
      <c r="BD1033" s="63"/>
      <c r="BE1033" s="57"/>
      <c r="BF1033" s="35" t="str">
        <f>VLOOKUP(A:A,'2023-2027'!A:G,1,+FALSE)</f>
        <v>Осциллограф цифровой портативный UTD1102C 2 канала *100МГц/Uni Trend</v>
      </c>
      <c r="BG1033" s="7" t="b">
        <f t="shared" si="408"/>
        <v>1</v>
      </c>
      <c r="BH1033" s="35">
        <f>VLOOKUP(A:A,'2023-2027'!A:AT,43,+FALSE)</f>
        <v>1016.6700000000001</v>
      </c>
    </row>
    <row r="1034" spans="1:60" ht="12" hidden="1" customHeight="1" outlineLevel="1" x14ac:dyDescent="0.2">
      <c r="A1034" s="59" t="s">
        <v>2362</v>
      </c>
      <c r="B1034" s="59" t="s">
        <v>69</v>
      </c>
      <c r="C1034" s="59" t="s">
        <v>81</v>
      </c>
      <c r="D1034" s="65" t="s">
        <v>2363</v>
      </c>
      <c r="E1034" s="59" t="s">
        <v>2364</v>
      </c>
      <c r="F1034" s="60">
        <v>39587.5</v>
      </c>
      <c r="G1034" s="60">
        <v>39587.5</v>
      </c>
      <c r="H1034" s="59"/>
      <c r="I1034" s="59"/>
      <c r="J1034" s="59"/>
      <c r="K1034" s="60">
        <v>39587.5</v>
      </c>
      <c r="L1034" s="60">
        <v>39587.5</v>
      </c>
      <c r="M1034" s="59"/>
      <c r="N1034" s="59"/>
      <c r="O1034" s="59"/>
      <c r="P1034" s="67"/>
      <c r="Q1034" s="67"/>
      <c r="R1034" s="61">
        <f t="shared" si="398"/>
        <v>0</v>
      </c>
      <c r="S1034" s="60">
        <v>0</v>
      </c>
      <c r="T1034" s="60">
        <v>0</v>
      </c>
      <c r="U1034" s="60">
        <v>0</v>
      </c>
      <c r="V1034" s="60">
        <v>0</v>
      </c>
      <c r="W1034" s="60">
        <v>0</v>
      </c>
      <c r="X1034" s="61">
        <f t="shared" si="399"/>
        <v>0</v>
      </c>
      <c r="Y1034" s="60">
        <v>0</v>
      </c>
      <c r="Z1034" s="60">
        <v>0</v>
      </c>
      <c r="AA1034" s="60">
        <v>0</v>
      </c>
      <c r="AB1034" s="60">
        <v>0</v>
      </c>
      <c r="AC1034" s="60">
        <v>0</v>
      </c>
      <c r="AD1034" s="60">
        <v>0</v>
      </c>
      <c r="AE1034" s="61">
        <f t="shared" si="400"/>
        <v>0</v>
      </c>
      <c r="AF1034" s="62">
        <f t="shared" si="419"/>
        <v>0</v>
      </c>
      <c r="AG1034" s="62">
        <f t="shared" si="420"/>
        <v>0</v>
      </c>
      <c r="AH1034" s="62">
        <f t="shared" si="404"/>
        <v>0</v>
      </c>
      <c r="AI1034" s="63"/>
      <c r="AJ1034" s="63"/>
      <c r="AK1034" s="62"/>
      <c r="AL1034" s="60">
        <v>0</v>
      </c>
      <c r="AM1034" s="60">
        <v>0</v>
      </c>
      <c r="AN1034" s="60">
        <v>0</v>
      </c>
      <c r="AO1034" s="60">
        <v>0</v>
      </c>
      <c r="AP1034" s="60">
        <v>0</v>
      </c>
      <c r="AQ1034" s="60">
        <v>0</v>
      </c>
      <c r="AR1034" s="61">
        <f t="shared" si="401"/>
        <v>0</v>
      </c>
      <c r="AS1034" s="60">
        <v>0</v>
      </c>
      <c r="AT1034" s="60">
        <v>0</v>
      </c>
      <c r="AU1034" s="60">
        <v>0</v>
      </c>
      <c r="AV1034" s="60">
        <v>0</v>
      </c>
      <c r="AW1034" s="60">
        <v>0</v>
      </c>
      <c r="AX1034" s="60">
        <v>0</v>
      </c>
      <c r="AY1034" s="61">
        <f t="shared" si="402"/>
        <v>0</v>
      </c>
      <c r="AZ1034" s="56">
        <f t="shared" ref="AZ1034:AZ1072" si="427">AR1034+AY1034</f>
        <v>0</v>
      </c>
      <c r="BA1034" s="62">
        <f t="shared" si="416"/>
        <v>0</v>
      </c>
      <c r="BB1034" s="62">
        <f t="shared" si="409"/>
        <v>0</v>
      </c>
      <c r="BC1034" s="62">
        <f t="shared" si="417"/>
        <v>0</v>
      </c>
      <c r="BD1034" s="63"/>
      <c r="BE1034" s="57"/>
      <c r="BF1034" s="35" t="e">
        <f>VLOOKUP(A:A,'2023-2027'!A:G,1,+FALSE)</f>
        <v>#N/A</v>
      </c>
      <c r="BG1034" s="7" t="e">
        <f t="shared" si="408"/>
        <v>#N/A</v>
      </c>
      <c r="BH1034" s="35"/>
    </row>
    <row r="1035" spans="1:60" ht="12" hidden="1" customHeight="1" outlineLevel="1" x14ac:dyDescent="0.2">
      <c r="A1035" s="59" t="s">
        <v>2365</v>
      </c>
      <c r="B1035" s="59" t="s">
        <v>69</v>
      </c>
      <c r="C1035" s="59" t="s">
        <v>81</v>
      </c>
      <c r="D1035" s="65" t="s">
        <v>2366</v>
      </c>
      <c r="E1035" s="59" t="s">
        <v>766</v>
      </c>
      <c r="F1035" s="60">
        <v>78152</v>
      </c>
      <c r="G1035" s="60">
        <v>58775.08</v>
      </c>
      <c r="H1035" s="60">
        <v>19376.919999999998</v>
      </c>
      <c r="I1035" s="59"/>
      <c r="J1035" s="60">
        <v>3875.4</v>
      </c>
      <c r="K1035" s="59"/>
      <c r="L1035" s="59"/>
      <c r="M1035" s="60">
        <v>78152</v>
      </c>
      <c r="N1035" s="60">
        <v>62650.48</v>
      </c>
      <c r="O1035" s="60">
        <v>15501.52</v>
      </c>
      <c r="P1035" s="55"/>
      <c r="Q1035" s="55"/>
      <c r="R1035" s="61">
        <f t="shared" si="398"/>
        <v>322.95</v>
      </c>
      <c r="S1035" s="60">
        <v>322.95</v>
      </c>
      <c r="T1035" s="60">
        <v>322.95</v>
      </c>
      <c r="U1035" s="60">
        <v>322.95</v>
      </c>
      <c r="V1035" s="60">
        <v>322.95</v>
      </c>
      <c r="W1035" s="60">
        <v>322.95</v>
      </c>
      <c r="X1035" s="61">
        <f t="shared" si="399"/>
        <v>1937.7</v>
      </c>
      <c r="Y1035" s="60">
        <v>322.95</v>
      </c>
      <c r="Z1035" s="60">
        <v>322.95</v>
      </c>
      <c r="AA1035" s="60">
        <v>322.95</v>
      </c>
      <c r="AB1035" s="60">
        <v>322.95</v>
      </c>
      <c r="AC1035" s="60">
        <v>322.95</v>
      </c>
      <c r="AD1035" s="60">
        <v>322.95</v>
      </c>
      <c r="AE1035" s="61">
        <f t="shared" si="400"/>
        <v>1937.7</v>
      </c>
      <c r="AF1035" s="62">
        <f t="shared" si="419"/>
        <v>78152</v>
      </c>
      <c r="AG1035" s="62">
        <f t="shared" si="420"/>
        <v>66525.879999999976</v>
      </c>
      <c r="AH1035" s="62">
        <f t="shared" si="404"/>
        <v>11626.120000000024</v>
      </c>
      <c r="AI1035" s="63"/>
      <c r="AJ1035" s="63"/>
      <c r="AK1035" s="62"/>
      <c r="AL1035" s="60">
        <v>322.95</v>
      </c>
      <c r="AM1035" s="60">
        <v>322.95</v>
      </c>
      <c r="AN1035" s="60">
        <v>322.95</v>
      </c>
      <c r="AO1035" s="60">
        <v>322.95</v>
      </c>
      <c r="AP1035" s="60">
        <v>322.95</v>
      </c>
      <c r="AQ1035" s="60">
        <v>322.95</v>
      </c>
      <c r="AR1035" s="61">
        <f t="shared" si="401"/>
        <v>1937.7</v>
      </c>
      <c r="AS1035" s="60">
        <v>322.95</v>
      </c>
      <c r="AT1035" s="60">
        <v>322.95</v>
      </c>
      <c r="AU1035" s="60">
        <v>322.95</v>
      </c>
      <c r="AV1035" s="60">
        <v>322.95</v>
      </c>
      <c r="AW1035" s="60">
        <v>322.95</v>
      </c>
      <c r="AX1035" s="60">
        <v>322.95</v>
      </c>
      <c r="AY1035" s="61">
        <f t="shared" si="402"/>
        <v>1937.7</v>
      </c>
      <c r="AZ1035" s="56">
        <f t="shared" si="427"/>
        <v>3875.4</v>
      </c>
      <c r="BA1035" s="62">
        <f t="shared" si="416"/>
        <v>78152</v>
      </c>
      <c r="BB1035" s="62">
        <f t="shared" si="409"/>
        <v>70401.279999999941</v>
      </c>
      <c r="BC1035" s="62">
        <f t="shared" si="417"/>
        <v>7750.7200000000594</v>
      </c>
      <c r="BD1035" s="63"/>
      <c r="BE1035" s="57"/>
      <c r="BF1035" s="35" t="e">
        <f>VLOOKUP(A:A,'2023-2027'!A:G,1,+FALSE)</f>
        <v>#N/A</v>
      </c>
      <c r="BG1035" s="7" t="e">
        <f t="shared" si="408"/>
        <v>#N/A</v>
      </c>
      <c r="BH1035" s="35"/>
    </row>
    <row r="1036" spans="1:60" ht="12" hidden="1" customHeight="1" outlineLevel="1" x14ac:dyDescent="0.2">
      <c r="A1036" s="59" t="s">
        <v>2367</v>
      </c>
      <c r="B1036" s="59" t="s">
        <v>69</v>
      </c>
      <c r="C1036" s="59" t="s">
        <v>81</v>
      </c>
      <c r="D1036" s="65" t="s">
        <v>2368</v>
      </c>
      <c r="E1036" s="59" t="s">
        <v>611</v>
      </c>
      <c r="F1036" s="60">
        <v>34702.54</v>
      </c>
      <c r="G1036" s="60">
        <v>34702.54</v>
      </c>
      <c r="H1036" s="59"/>
      <c r="I1036" s="59"/>
      <c r="J1036" s="59"/>
      <c r="K1036" s="60">
        <v>34702.54</v>
      </c>
      <c r="L1036" s="60">
        <v>34702.54</v>
      </c>
      <c r="M1036" s="59"/>
      <c r="N1036" s="59"/>
      <c r="O1036" s="59"/>
      <c r="P1036" s="67"/>
      <c r="Q1036" s="67"/>
      <c r="R1036" s="61">
        <f t="shared" si="398"/>
        <v>0</v>
      </c>
      <c r="S1036" s="60">
        <v>0</v>
      </c>
      <c r="T1036" s="60">
        <v>0</v>
      </c>
      <c r="U1036" s="60">
        <v>0</v>
      </c>
      <c r="V1036" s="60">
        <v>0</v>
      </c>
      <c r="W1036" s="60">
        <v>0</v>
      </c>
      <c r="X1036" s="61">
        <f t="shared" si="399"/>
        <v>0</v>
      </c>
      <c r="Y1036" s="60">
        <v>0</v>
      </c>
      <c r="Z1036" s="60">
        <v>0</v>
      </c>
      <c r="AA1036" s="60">
        <v>0</v>
      </c>
      <c r="AB1036" s="60">
        <v>0</v>
      </c>
      <c r="AC1036" s="60">
        <v>0</v>
      </c>
      <c r="AD1036" s="60">
        <v>0</v>
      </c>
      <c r="AE1036" s="61">
        <f t="shared" si="400"/>
        <v>0</v>
      </c>
      <c r="AF1036" s="62">
        <f t="shared" si="419"/>
        <v>0</v>
      </c>
      <c r="AG1036" s="62">
        <f t="shared" si="420"/>
        <v>0</v>
      </c>
      <c r="AH1036" s="62">
        <f t="shared" si="404"/>
        <v>0</v>
      </c>
      <c r="AI1036" s="63"/>
      <c r="AJ1036" s="63"/>
      <c r="AK1036" s="62"/>
      <c r="AL1036" s="60">
        <v>0</v>
      </c>
      <c r="AM1036" s="60">
        <v>0</v>
      </c>
      <c r="AN1036" s="60">
        <v>0</v>
      </c>
      <c r="AO1036" s="60">
        <v>0</v>
      </c>
      <c r="AP1036" s="60">
        <v>0</v>
      </c>
      <c r="AQ1036" s="60">
        <v>0</v>
      </c>
      <c r="AR1036" s="61">
        <f t="shared" si="401"/>
        <v>0</v>
      </c>
      <c r="AS1036" s="60">
        <v>0</v>
      </c>
      <c r="AT1036" s="60">
        <v>0</v>
      </c>
      <c r="AU1036" s="60">
        <v>0</v>
      </c>
      <c r="AV1036" s="60">
        <v>0</v>
      </c>
      <c r="AW1036" s="60">
        <v>0</v>
      </c>
      <c r="AX1036" s="60">
        <v>0</v>
      </c>
      <c r="AY1036" s="61">
        <f t="shared" si="402"/>
        <v>0</v>
      </c>
      <c r="AZ1036" s="56">
        <f t="shared" si="427"/>
        <v>0</v>
      </c>
      <c r="BA1036" s="62">
        <f t="shared" si="416"/>
        <v>0</v>
      </c>
      <c r="BB1036" s="62">
        <f t="shared" si="409"/>
        <v>0</v>
      </c>
      <c r="BC1036" s="62">
        <f t="shared" si="417"/>
        <v>0</v>
      </c>
      <c r="BD1036" s="63"/>
      <c r="BE1036" s="57"/>
      <c r="BF1036" s="35" t="e">
        <f>VLOOKUP(A:A,'2023-2027'!A:G,1,+FALSE)</f>
        <v>#N/A</v>
      </c>
      <c r="BG1036" s="7" t="e">
        <f t="shared" si="408"/>
        <v>#N/A</v>
      </c>
      <c r="BH1036" s="35"/>
    </row>
    <row r="1037" spans="1:60" ht="24" hidden="1" customHeight="1" outlineLevel="1" x14ac:dyDescent="0.2">
      <c r="A1037" s="59" t="s">
        <v>2369</v>
      </c>
      <c r="B1037" s="59" t="s">
        <v>69</v>
      </c>
      <c r="C1037" s="59" t="s">
        <v>81</v>
      </c>
      <c r="D1037" s="66" t="s">
        <v>2370</v>
      </c>
      <c r="E1037" s="59" t="s">
        <v>2371</v>
      </c>
      <c r="F1037" s="60">
        <v>126170</v>
      </c>
      <c r="G1037" s="60">
        <v>77015.05</v>
      </c>
      <c r="H1037" s="60">
        <v>49154.95</v>
      </c>
      <c r="I1037" s="59"/>
      <c r="J1037" s="60">
        <v>3154.32</v>
      </c>
      <c r="K1037" s="59"/>
      <c r="L1037" s="59"/>
      <c r="M1037" s="60">
        <v>126170</v>
      </c>
      <c r="N1037" s="60">
        <v>80169.37</v>
      </c>
      <c r="O1037" s="60">
        <v>46000.63</v>
      </c>
      <c r="P1037" s="55">
        <v>47577.79</v>
      </c>
      <c r="Q1037" s="55">
        <v>1046.3044444</v>
      </c>
      <c r="R1037" s="61">
        <f t="shared" si="398"/>
        <v>262.86</v>
      </c>
      <c r="S1037" s="60">
        <v>262.86</v>
      </c>
      <c r="T1037" s="60">
        <v>262.86</v>
      </c>
      <c r="U1037" s="60">
        <v>262.86</v>
      </c>
      <c r="V1037" s="60">
        <v>262.86</v>
      </c>
      <c r="W1037" s="60">
        <v>262.86</v>
      </c>
      <c r="X1037" s="61">
        <f t="shared" si="399"/>
        <v>1577.1600000000003</v>
      </c>
      <c r="Y1037" s="60">
        <v>262.86</v>
      </c>
      <c r="Z1037" s="60">
        <v>262.86</v>
      </c>
      <c r="AA1037" s="60">
        <v>262.86</v>
      </c>
      <c r="AB1037" s="60">
        <v>262.86</v>
      </c>
      <c r="AC1037" s="60">
        <v>262.86</v>
      </c>
      <c r="AD1037" s="60">
        <v>262.86</v>
      </c>
      <c r="AE1037" s="61">
        <f t="shared" si="400"/>
        <v>1577.1600000000003</v>
      </c>
      <c r="AF1037" s="62">
        <f t="shared" si="419"/>
        <v>126170</v>
      </c>
      <c r="AG1037" s="62">
        <f t="shared" si="420"/>
        <v>83323.69</v>
      </c>
      <c r="AH1037" s="62">
        <f t="shared" si="404"/>
        <v>42846.31</v>
      </c>
      <c r="AI1037" s="63">
        <v>44423.469999999987</v>
      </c>
      <c r="AJ1037" s="63">
        <f t="shared" ref="AJ1037:AJ1038" si="428">AI1037*2.2%</f>
        <v>977.31633999999985</v>
      </c>
      <c r="AK1037" s="72">
        <f t="shared" ref="AK1037:AK1038" si="429">AI1037*2.2%</f>
        <v>977.31633999999985</v>
      </c>
      <c r="AL1037" s="60">
        <v>262.86</v>
      </c>
      <c r="AM1037" s="60">
        <v>262.86</v>
      </c>
      <c r="AN1037" s="60">
        <v>262.86</v>
      </c>
      <c r="AO1037" s="60">
        <v>262.86</v>
      </c>
      <c r="AP1037" s="60">
        <v>262.86</v>
      </c>
      <c r="AQ1037" s="60">
        <v>262.86</v>
      </c>
      <c r="AR1037" s="61">
        <f t="shared" si="401"/>
        <v>1577.1600000000003</v>
      </c>
      <c r="AS1037" s="60">
        <v>262.86</v>
      </c>
      <c r="AT1037" s="60">
        <v>262.86</v>
      </c>
      <c r="AU1037" s="60">
        <v>262.86</v>
      </c>
      <c r="AV1037" s="60">
        <v>262.86</v>
      </c>
      <c r="AW1037" s="60">
        <v>262.86</v>
      </c>
      <c r="AX1037" s="60">
        <v>262.86</v>
      </c>
      <c r="AY1037" s="61">
        <f t="shared" si="402"/>
        <v>1577.1600000000003</v>
      </c>
      <c r="AZ1037" s="56">
        <f t="shared" si="427"/>
        <v>3154.3200000000006</v>
      </c>
      <c r="BA1037" s="62">
        <f t="shared" si="416"/>
        <v>126170</v>
      </c>
      <c r="BB1037" s="62">
        <f t="shared" si="409"/>
        <v>86478.010000000009</v>
      </c>
      <c r="BC1037" s="62">
        <f t="shared" si="417"/>
        <v>39691.989999999991</v>
      </c>
      <c r="BD1037" s="63">
        <v>41269.149999999987</v>
      </c>
      <c r="BE1037" s="57">
        <f t="shared" ref="BE1037:BE1038" si="430">BD1037*2.2%</f>
        <v>907.92129999999975</v>
      </c>
      <c r="BF1037" s="35" t="str">
        <f>VLOOKUP(A:A,'2023-2027'!A:G,1,+FALSE)</f>
        <v>Пристройка к маслосепараторной 1997г</v>
      </c>
      <c r="BG1037" s="7" t="b">
        <f t="shared" si="408"/>
        <v>1</v>
      </c>
      <c r="BH1037" s="35">
        <f>VLOOKUP(A:A,'2023-2027'!A:AT,43,+FALSE)</f>
        <v>262.86</v>
      </c>
    </row>
    <row r="1038" spans="1:60" ht="12" hidden="1" customHeight="1" outlineLevel="1" x14ac:dyDescent="0.2">
      <c r="A1038" s="59" t="s">
        <v>2372</v>
      </c>
      <c r="B1038" s="59" t="s">
        <v>69</v>
      </c>
      <c r="C1038" s="59" t="s">
        <v>81</v>
      </c>
      <c r="D1038" s="66" t="s">
        <v>2373</v>
      </c>
      <c r="E1038" s="59" t="s">
        <v>1549</v>
      </c>
      <c r="F1038" s="60">
        <v>590228.09</v>
      </c>
      <c r="G1038" s="60">
        <v>336430.53</v>
      </c>
      <c r="H1038" s="60">
        <v>253797.56</v>
      </c>
      <c r="I1038" s="59"/>
      <c r="J1038" s="60">
        <v>23609.040000000001</v>
      </c>
      <c r="K1038" s="59"/>
      <c r="L1038" s="59"/>
      <c r="M1038" s="60">
        <v>590228.09</v>
      </c>
      <c r="N1038" s="60">
        <v>360039.57</v>
      </c>
      <c r="O1038" s="60">
        <v>230188.52</v>
      </c>
      <c r="P1038" s="55">
        <v>241993.04</v>
      </c>
      <c r="Q1038" s="55">
        <f t="shared" ref="Q1038" si="431">P1038*2.2%</f>
        <v>5323.846880000001</v>
      </c>
      <c r="R1038" s="61">
        <f t="shared" si="398"/>
        <v>1967.42</v>
      </c>
      <c r="S1038" s="60">
        <v>1967.42</v>
      </c>
      <c r="T1038" s="60">
        <v>1967.42</v>
      </c>
      <c r="U1038" s="60">
        <v>1967.42</v>
      </c>
      <c r="V1038" s="60">
        <v>1967.42</v>
      </c>
      <c r="W1038" s="60">
        <v>1967.42</v>
      </c>
      <c r="X1038" s="61">
        <f t="shared" si="399"/>
        <v>11804.52</v>
      </c>
      <c r="Y1038" s="60">
        <v>1967.42</v>
      </c>
      <c r="Z1038" s="60">
        <v>1967.42</v>
      </c>
      <c r="AA1038" s="60">
        <v>1967.42</v>
      </c>
      <c r="AB1038" s="60">
        <v>1967.42</v>
      </c>
      <c r="AC1038" s="60">
        <v>1967.42</v>
      </c>
      <c r="AD1038" s="60">
        <v>1967.42</v>
      </c>
      <c r="AE1038" s="61">
        <f t="shared" si="400"/>
        <v>11804.52</v>
      </c>
      <c r="AF1038" s="62">
        <f t="shared" si="419"/>
        <v>590228.09</v>
      </c>
      <c r="AG1038" s="62">
        <f t="shared" si="420"/>
        <v>383648.60999999981</v>
      </c>
      <c r="AH1038" s="62">
        <f t="shared" si="404"/>
        <v>206579.48000000016</v>
      </c>
      <c r="AI1038" s="63">
        <v>218384.00000000012</v>
      </c>
      <c r="AJ1038" s="63">
        <f t="shared" si="428"/>
        <v>4804.448000000003</v>
      </c>
      <c r="AK1038" s="72">
        <f t="shared" si="429"/>
        <v>4804.448000000003</v>
      </c>
      <c r="AL1038" s="60">
        <v>1967.42</v>
      </c>
      <c r="AM1038" s="60">
        <v>1967.42</v>
      </c>
      <c r="AN1038" s="60">
        <v>1967.42</v>
      </c>
      <c r="AO1038" s="60">
        <v>1967.42</v>
      </c>
      <c r="AP1038" s="60">
        <v>1967.42</v>
      </c>
      <c r="AQ1038" s="60">
        <v>1967.42</v>
      </c>
      <c r="AR1038" s="61">
        <f t="shared" si="401"/>
        <v>11804.52</v>
      </c>
      <c r="AS1038" s="60">
        <v>1967.42</v>
      </c>
      <c r="AT1038" s="60">
        <v>1967.42</v>
      </c>
      <c r="AU1038" s="60">
        <v>1967.42</v>
      </c>
      <c r="AV1038" s="60">
        <v>1967.42</v>
      </c>
      <c r="AW1038" s="60">
        <v>1967.42</v>
      </c>
      <c r="AX1038" s="60">
        <v>1967.42</v>
      </c>
      <c r="AY1038" s="61">
        <f t="shared" si="402"/>
        <v>11804.52</v>
      </c>
      <c r="AZ1038" s="56">
        <f t="shared" si="427"/>
        <v>23609.040000000001</v>
      </c>
      <c r="BA1038" s="62">
        <f t="shared" si="416"/>
        <v>590228.09</v>
      </c>
      <c r="BB1038" s="62">
        <f t="shared" si="409"/>
        <v>407257.64999999962</v>
      </c>
      <c r="BC1038" s="62">
        <f t="shared" si="417"/>
        <v>182970.44000000035</v>
      </c>
      <c r="BD1038" s="63">
        <v>194774.96000000028</v>
      </c>
      <c r="BE1038" s="57">
        <f t="shared" si="430"/>
        <v>4285.049120000007</v>
      </c>
      <c r="BF1038" s="35" t="str">
        <f>VLOOKUP(A:A,'2023-2027'!A:G,1,+FALSE)</f>
        <v>Пристройка к РУ-6кВТ</v>
      </c>
      <c r="BG1038" s="7" t="b">
        <f t="shared" si="408"/>
        <v>1</v>
      </c>
      <c r="BH1038" s="35">
        <f>VLOOKUP(A:A,'2023-2027'!A:AT,43,+FALSE)</f>
        <v>1967.42</v>
      </c>
    </row>
    <row r="1039" spans="1:60" ht="24" hidden="1" customHeight="1" outlineLevel="1" x14ac:dyDescent="0.2">
      <c r="A1039" s="59" t="s">
        <v>2374</v>
      </c>
      <c r="B1039" s="59" t="s">
        <v>69</v>
      </c>
      <c r="C1039" s="59" t="s">
        <v>81</v>
      </c>
      <c r="D1039" s="65" t="s">
        <v>2375</v>
      </c>
      <c r="E1039" s="59" t="s">
        <v>269</v>
      </c>
      <c r="F1039" s="60">
        <v>793220.33</v>
      </c>
      <c r="G1039" s="60">
        <v>398665.15</v>
      </c>
      <c r="H1039" s="60">
        <v>394555.18</v>
      </c>
      <c r="I1039" s="59"/>
      <c r="J1039" s="60">
        <v>49319.4</v>
      </c>
      <c r="K1039" s="59"/>
      <c r="L1039" s="59"/>
      <c r="M1039" s="60">
        <v>793220.33</v>
      </c>
      <c r="N1039" s="60">
        <v>447984.55</v>
      </c>
      <c r="O1039" s="60">
        <v>345235.78</v>
      </c>
      <c r="P1039" s="55"/>
      <c r="Q1039" s="55"/>
      <c r="R1039" s="61">
        <f t="shared" si="398"/>
        <v>4109.95</v>
      </c>
      <c r="S1039" s="60">
        <v>4109.95</v>
      </c>
      <c r="T1039" s="60">
        <v>4109.95</v>
      </c>
      <c r="U1039" s="60">
        <v>4109.95</v>
      </c>
      <c r="V1039" s="60">
        <v>4109.95</v>
      </c>
      <c r="W1039" s="60">
        <v>4109.95</v>
      </c>
      <c r="X1039" s="61">
        <f t="shared" si="399"/>
        <v>24659.7</v>
      </c>
      <c r="Y1039" s="60">
        <v>4109.95</v>
      </c>
      <c r="Z1039" s="60">
        <v>4109.95</v>
      </c>
      <c r="AA1039" s="60">
        <v>4109.95</v>
      </c>
      <c r="AB1039" s="60">
        <v>4109.95</v>
      </c>
      <c r="AC1039" s="60">
        <v>4109.95</v>
      </c>
      <c r="AD1039" s="60">
        <v>4109.95</v>
      </c>
      <c r="AE1039" s="61">
        <f t="shared" si="400"/>
        <v>24659.7</v>
      </c>
      <c r="AF1039" s="62">
        <f t="shared" si="419"/>
        <v>793220.33</v>
      </c>
      <c r="AG1039" s="62">
        <f t="shared" si="420"/>
        <v>497303.95000000013</v>
      </c>
      <c r="AH1039" s="62">
        <f t="shared" si="404"/>
        <v>295916.37999999983</v>
      </c>
      <c r="AI1039" s="63"/>
      <c r="AJ1039" s="63"/>
      <c r="AK1039" s="62"/>
      <c r="AL1039" s="60">
        <v>4109.95</v>
      </c>
      <c r="AM1039" s="60">
        <v>4109.95</v>
      </c>
      <c r="AN1039" s="60">
        <v>4109.95</v>
      </c>
      <c r="AO1039" s="60">
        <v>4109.95</v>
      </c>
      <c r="AP1039" s="60">
        <v>4109.95</v>
      </c>
      <c r="AQ1039" s="60">
        <v>4109.95</v>
      </c>
      <c r="AR1039" s="61">
        <f t="shared" si="401"/>
        <v>24659.7</v>
      </c>
      <c r="AS1039" s="60">
        <v>4109.95</v>
      </c>
      <c r="AT1039" s="60">
        <v>4109.95</v>
      </c>
      <c r="AU1039" s="60">
        <v>4109.95</v>
      </c>
      <c r="AV1039" s="60">
        <v>4109.95</v>
      </c>
      <c r="AW1039" s="60">
        <v>4109.95</v>
      </c>
      <c r="AX1039" s="60">
        <v>4109.95</v>
      </c>
      <c r="AY1039" s="61">
        <f t="shared" si="402"/>
        <v>24659.7</v>
      </c>
      <c r="AZ1039" s="56">
        <f t="shared" si="427"/>
        <v>49319.4</v>
      </c>
      <c r="BA1039" s="62">
        <f t="shared" si="416"/>
        <v>793220.33</v>
      </c>
      <c r="BB1039" s="62">
        <f t="shared" si="409"/>
        <v>546623.35</v>
      </c>
      <c r="BC1039" s="62">
        <f t="shared" si="417"/>
        <v>246596.97999999998</v>
      </c>
      <c r="BD1039" s="63"/>
      <c r="BE1039" s="57"/>
      <c r="BF1039" s="35" t="e">
        <f>VLOOKUP(A:A,'2023-2027'!A:G,1,+FALSE)</f>
        <v>#N/A</v>
      </c>
      <c r="BG1039" s="7" t="e">
        <f t="shared" si="408"/>
        <v>#N/A</v>
      </c>
      <c r="BH1039" s="35"/>
    </row>
    <row r="1040" spans="1:60" ht="48" hidden="1" customHeight="1" outlineLevel="1" x14ac:dyDescent="0.2">
      <c r="A1040" s="59" t="s">
        <v>65</v>
      </c>
      <c r="B1040" s="59" t="s">
        <v>69</v>
      </c>
      <c r="C1040" s="59" t="s">
        <v>81</v>
      </c>
      <c r="D1040" s="66" t="s">
        <v>66</v>
      </c>
      <c r="E1040" s="59" t="s">
        <v>68</v>
      </c>
      <c r="F1040" s="59"/>
      <c r="G1040" s="59"/>
      <c r="H1040" s="59"/>
      <c r="I1040" s="60">
        <v>46500</v>
      </c>
      <c r="J1040" s="60">
        <v>7750</v>
      </c>
      <c r="K1040" s="59"/>
      <c r="L1040" s="59"/>
      <c r="M1040" s="60">
        <v>46500</v>
      </c>
      <c r="N1040" s="60">
        <v>7750</v>
      </c>
      <c r="O1040" s="60">
        <v>38750</v>
      </c>
      <c r="P1040" s="55"/>
      <c r="Q1040" s="55"/>
      <c r="R1040" s="61">
        <f t="shared" si="398"/>
        <v>645.83333333333337</v>
      </c>
      <c r="S1040" s="60">
        <v>645.83333330000005</v>
      </c>
      <c r="T1040" s="60">
        <v>645.83333330000005</v>
      </c>
      <c r="U1040" s="60">
        <v>645.83333330000005</v>
      </c>
      <c r="V1040" s="60">
        <v>645.83333330000005</v>
      </c>
      <c r="W1040" s="60">
        <v>645.83333330000005</v>
      </c>
      <c r="X1040" s="61">
        <f t="shared" si="399"/>
        <v>3874.9999998333337</v>
      </c>
      <c r="Y1040" s="60">
        <v>645.83333330000005</v>
      </c>
      <c r="Z1040" s="60">
        <v>645.83333330000005</v>
      </c>
      <c r="AA1040" s="60">
        <v>645.83333330000005</v>
      </c>
      <c r="AB1040" s="60">
        <v>645.83333330000005</v>
      </c>
      <c r="AC1040" s="60">
        <v>645.83333330000005</v>
      </c>
      <c r="AD1040" s="60">
        <v>645.83333330000005</v>
      </c>
      <c r="AE1040" s="61">
        <f t="shared" si="400"/>
        <v>3874.9999998000003</v>
      </c>
      <c r="AF1040" s="62">
        <f t="shared" si="419"/>
        <v>46500</v>
      </c>
      <c r="AG1040" s="62">
        <f t="shared" si="420"/>
        <v>15499.999999633343</v>
      </c>
      <c r="AH1040" s="62">
        <f t="shared" si="404"/>
        <v>31000.000000366657</v>
      </c>
      <c r="AI1040" s="63"/>
      <c r="AJ1040" s="63"/>
      <c r="AK1040" s="62"/>
      <c r="AL1040" s="60">
        <v>645.83333330000005</v>
      </c>
      <c r="AM1040" s="60">
        <v>645.83333330000005</v>
      </c>
      <c r="AN1040" s="60">
        <v>645.83333330000005</v>
      </c>
      <c r="AO1040" s="60">
        <v>645.83333330000005</v>
      </c>
      <c r="AP1040" s="60">
        <v>645.83333330000005</v>
      </c>
      <c r="AQ1040" s="60">
        <v>645.83333330000005</v>
      </c>
      <c r="AR1040" s="61">
        <f t="shared" si="401"/>
        <v>3874.9999998000003</v>
      </c>
      <c r="AS1040" s="60">
        <v>645.83333330000005</v>
      </c>
      <c r="AT1040" s="60">
        <v>645.83333330000005</v>
      </c>
      <c r="AU1040" s="60">
        <v>645.83333330000005</v>
      </c>
      <c r="AV1040" s="60">
        <v>645.83333330000005</v>
      </c>
      <c r="AW1040" s="60">
        <v>645.83333330000005</v>
      </c>
      <c r="AX1040" s="60">
        <v>645.83333330000005</v>
      </c>
      <c r="AY1040" s="61">
        <f t="shared" si="402"/>
        <v>3874.9999998000003</v>
      </c>
      <c r="AZ1040" s="56">
        <f t="shared" si="427"/>
        <v>7749.9999996000006</v>
      </c>
      <c r="BA1040" s="62">
        <f t="shared" si="416"/>
        <v>46500</v>
      </c>
      <c r="BB1040" s="62">
        <f t="shared" si="409"/>
        <v>23249.999999233354</v>
      </c>
      <c r="BC1040" s="62">
        <f t="shared" si="417"/>
        <v>23250.000000766646</v>
      </c>
      <c r="BD1040" s="63"/>
      <c r="BE1040" s="57"/>
      <c r="BF1040" s="35" t="str">
        <f>VLOOKUP(A:A,'2023-2027'!A:G,1,+FALSE)</f>
        <v xml:space="preserve">Разрядное устройство аккумуляторных батарей 12В 20А «CONBAT», BSL-12/20 с поверкой </v>
      </c>
      <c r="BG1040" s="7" t="b">
        <f t="shared" si="408"/>
        <v>1</v>
      </c>
      <c r="BH1040" s="35">
        <f>VLOOKUP(A:A,'2023-2027'!A:AT,43,+FALSE)</f>
        <v>775</v>
      </c>
    </row>
    <row r="1041" spans="1:60" ht="24" hidden="1" customHeight="1" outlineLevel="1" x14ac:dyDescent="0.2">
      <c r="A1041" s="59" t="s">
        <v>2446</v>
      </c>
      <c r="B1041" s="59" t="s">
        <v>69</v>
      </c>
      <c r="C1041" s="59" t="s">
        <v>81</v>
      </c>
      <c r="D1041" s="66" t="s">
        <v>2376</v>
      </c>
      <c r="E1041" s="59" t="s">
        <v>359</v>
      </c>
      <c r="F1041" s="60">
        <v>145652.98000000001</v>
      </c>
      <c r="G1041" s="60">
        <v>77681.279999999999</v>
      </c>
      <c r="H1041" s="60">
        <v>67971.7</v>
      </c>
      <c r="I1041" s="59"/>
      <c r="J1041" s="60">
        <v>9710.2800000000007</v>
      </c>
      <c r="K1041" s="59"/>
      <c r="L1041" s="59"/>
      <c r="M1041" s="60">
        <v>145652.98000000001</v>
      </c>
      <c r="N1041" s="60">
        <v>87391.56</v>
      </c>
      <c r="O1041" s="60">
        <v>58261.42</v>
      </c>
      <c r="P1041" s="55"/>
      <c r="Q1041" s="55"/>
      <c r="R1041" s="61">
        <f t="shared" si="398"/>
        <v>809.19</v>
      </c>
      <c r="S1041" s="60">
        <v>809.19</v>
      </c>
      <c r="T1041" s="60">
        <v>809.19</v>
      </c>
      <c r="U1041" s="60">
        <v>809.19</v>
      </c>
      <c r="V1041" s="60">
        <v>809.19</v>
      </c>
      <c r="W1041" s="60">
        <v>809.19</v>
      </c>
      <c r="X1041" s="61">
        <f t="shared" si="399"/>
        <v>4855.1400000000003</v>
      </c>
      <c r="Y1041" s="60">
        <v>809.19</v>
      </c>
      <c r="Z1041" s="60">
        <v>809.19</v>
      </c>
      <c r="AA1041" s="60">
        <v>809.19</v>
      </c>
      <c r="AB1041" s="60">
        <v>809.19</v>
      </c>
      <c r="AC1041" s="60">
        <v>809.19</v>
      </c>
      <c r="AD1041" s="60">
        <v>809.19</v>
      </c>
      <c r="AE1041" s="61">
        <f t="shared" si="400"/>
        <v>4855.1400000000003</v>
      </c>
      <c r="AF1041" s="62">
        <f t="shared" si="419"/>
        <v>145652.98000000001</v>
      </c>
      <c r="AG1041" s="62">
        <f t="shared" si="420"/>
        <v>97101.840000000026</v>
      </c>
      <c r="AH1041" s="62">
        <f t="shared" si="404"/>
        <v>48551.139999999985</v>
      </c>
      <c r="AI1041" s="63"/>
      <c r="AJ1041" s="63"/>
      <c r="AK1041" s="62"/>
      <c r="AL1041" s="60">
        <v>809.19</v>
      </c>
      <c r="AM1041" s="60">
        <v>809.19</v>
      </c>
      <c r="AN1041" s="60">
        <v>809.19</v>
      </c>
      <c r="AO1041" s="60">
        <v>809.19</v>
      </c>
      <c r="AP1041" s="60">
        <v>809.19</v>
      </c>
      <c r="AQ1041" s="60">
        <v>809.19</v>
      </c>
      <c r="AR1041" s="61">
        <f t="shared" si="401"/>
        <v>4855.1400000000003</v>
      </c>
      <c r="AS1041" s="60">
        <v>809.19</v>
      </c>
      <c r="AT1041" s="60">
        <v>809.19</v>
      </c>
      <c r="AU1041" s="60">
        <v>809.19</v>
      </c>
      <c r="AV1041" s="60">
        <v>809.19</v>
      </c>
      <c r="AW1041" s="60">
        <v>809.19</v>
      </c>
      <c r="AX1041" s="60">
        <v>809.19</v>
      </c>
      <c r="AY1041" s="61">
        <f t="shared" si="402"/>
        <v>4855.1400000000003</v>
      </c>
      <c r="AZ1041" s="56">
        <f t="shared" si="427"/>
        <v>9710.2800000000007</v>
      </c>
      <c r="BA1041" s="62">
        <f t="shared" si="416"/>
        <v>145652.98000000001</v>
      </c>
      <c r="BB1041" s="62">
        <f t="shared" si="409"/>
        <v>106812.12000000005</v>
      </c>
      <c r="BC1041" s="62">
        <f t="shared" si="417"/>
        <v>38840.859999999957</v>
      </c>
      <c r="BD1041" s="63"/>
      <c r="BE1041" s="57"/>
      <c r="BF1041" s="35" t="str">
        <f>VLOOKUP(A:A,'2023-2027'!A:G,1,+FALSE)</f>
        <v>Распределительный шкаф (Токоприемники ДГ №4)</v>
      </c>
      <c r="BG1041" s="7" t="b">
        <f t="shared" si="408"/>
        <v>1</v>
      </c>
      <c r="BH1041" s="35">
        <f>VLOOKUP(A:A,'2023-2027'!A:AT,43,+FALSE)</f>
        <v>809.19</v>
      </c>
    </row>
    <row r="1042" spans="1:60" ht="12" hidden="1" customHeight="1" outlineLevel="1" x14ac:dyDescent="0.2">
      <c r="A1042" s="59" t="s">
        <v>2445</v>
      </c>
      <c r="B1042" s="59" t="s">
        <v>69</v>
      </c>
      <c r="C1042" s="59" t="s">
        <v>81</v>
      </c>
      <c r="D1042" s="66" t="s">
        <v>2377</v>
      </c>
      <c r="E1042" s="59" t="s">
        <v>359</v>
      </c>
      <c r="F1042" s="60">
        <v>145652.98000000001</v>
      </c>
      <c r="G1042" s="60">
        <v>77681.279999999999</v>
      </c>
      <c r="H1042" s="60">
        <v>67971.7</v>
      </c>
      <c r="I1042" s="59"/>
      <c r="J1042" s="60">
        <v>9710.2800000000007</v>
      </c>
      <c r="K1042" s="59"/>
      <c r="L1042" s="59"/>
      <c r="M1042" s="60">
        <v>145652.98000000001</v>
      </c>
      <c r="N1042" s="60">
        <v>87391.56</v>
      </c>
      <c r="O1042" s="60">
        <v>58261.42</v>
      </c>
      <c r="P1042" s="55"/>
      <c r="Q1042" s="55"/>
      <c r="R1042" s="61">
        <f t="shared" ref="R1042:R1071" si="432">J1042/12</f>
        <v>809.19</v>
      </c>
      <c r="S1042" s="60">
        <v>809.19</v>
      </c>
      <c r="T1042" s="60">
        <v>809.19</v>
      </c>
      <c r="U1042" s="60">
        <v>809.19</v>
      </c>
      <c r="V1042" s="60">
        <v>809.19</v>
      </c>
      <c r="W1042" s="60">
        <v>809.19</v>
      </c>
      <c r="X1042" s="61">
        <f t="shared" ref="X1042:X1071" si="433">R1042+S1042+T1042+U1042+V1042+W1042</f>
        <v>4855.1400000000003</v>
      </c>
      <c r="Y1042" s="60">
        <v>809.19</v>
      </c>
      <c r="Z1042" s="60">
        <v>809.19</v>
      </c>
      <c r="AA1042" s="60">
        <v>809.19</v>
      </c>
      <c r="AB1042" s="60">
        <v>809.19</v>
      </c>
      <c r="AC1042" s="60">
        <v>809.19</v>
      </c>
      <c r="AD1042" s="60">
        <v>809.19</v>
      </c>
      <c r="AE1042" s="61">
        <f t="shared" ref="AE1042:AE1071" si="434">Y1042+Z1042+AA1042+AB1042+AC1042+AD1042</f>
        <v>4855.1400000000003</v>
      </c>
      <c r="AF1042" s="62">
        <f t="shared" si="419"/>
        <v>145652.98000000001</v>
      </c>
      <c r="AG1042" s="62">
        <f t="shared" si="420"/>
        <v>97101.840000000026</v>
      </c>
      <c r="AH1042" s="62">
        <f t="shared" si="404"/>
        <v>48551.139999999985</v>
      </c>
      <c r="AI1042" s="63"/>
      <c r="AJ1042" s="63"/>
      <c r="AK1042" s="62"/>
      <c r="AL1042" s="60">
        <v>809.19</v>
      </c>
      <c r="AM1042" s="60">
        <v>809.19</v>
      </c>
      <c r="AN1042" s="60">
        <v>809.19</v>
      </c>
      <c r="AO1042" s="60">
        <v>809.19</v>
      </c>
      <c r="AP1042" s="60">
        <v>809.19</v>
      </c>
      <c r="AQ1042" s="60">
        <v>809.19</v>
      </c>
      <c r="AR1042" s="61">
        <f t="shared" ref="AR1042:AR1071" si="435">AL1042+AM1042+AN1042+AO1042+AP1042+AQ1042</f>
        <v>4855.1400000000003</v>
      </c>
      <c r="AS1042" s="60">
        <v>809.19</v>
      </c>
      <c r="AT1042" s="60">
        <v>809.19</v>
      </c>
      <c r="AU1042" s="60">
        <v>809.19</v>
      </c>
      <c r="AV1042" s="60">
        <v>809.19</v>
      </c>
      <c r="AW1042" s="60">
        <v>809.19</v>
      </c>
      <c r="AX1042" s="60">
        <v>809.19</v>
      </c>
      <c r="AY1042" s="61">
        <f t="shared" ref="AY1042:AY1071" si="436">AS1042+AT1042+AU1042+AV1042+AW1042+AX1042</f>
        <v>4855.1400000000003</v>
      </c>
      <c r="AZ1042" s="56">
        <f t="shared" si="427"/>
        <v>9710.2800000000007</v>
      </c>
      <c r="BA1042" s="62">
        <f t="shared" si="416"/>
        <v>145652.98000000001</v>
      </c>
      <c r="BB1042" s="62">
        <f t="shared" si="409"/>
        <v>106812.12000000005</v>
      </c>
      <c r="BC1042" s="62">
        <f t="shared" si="417"/>
        <v>38840.859999999957</v>
      </c>
      <c r="BD1042" s="63"/>
      <c r="BE1042" s="57"/>
      <c r="BF1042" s="35" t="str">
        <f>VLOOKUP(A:A,'2023-2027'!A:G,1,+FALSE)</f>
        <v>Распределительный .шкаф РШ-1 (ДГ №1)</v>
      </c>
      <c r="BG1042" s="7" t="b">
        <f t="shared" si="408"/>
        <v>1</v>
      </c>
      <c r="BH1042" s="35">
        <f>VLOOKUP(A:A,'2023-2027'!A:AT,43,+FALSE)</f>
        <v>809.19</v>
      </c>
    </row>
    <row r="1043" spans="1:60" ht="12" hidden="1" customHeight="1" outlineLevel="1" x14ac:dyDescent="0.2">
      <c r="A1043" s="59" t="s">
        <v>2447</v>
      </c>
      <c r="B1043" s="59" t="s">
        <v>69</v>
      </c>
      <c r="C1043" s="59" t="s">
        <v>81</v>
      </c>
      <c r="D1043" s="66" t="s">
        <v>2378</v>
      </c>
      <c r="E1043" s="59" t="s">
        <v>2379</v>
      </c>
      <c r="F1043" s="60">
        <v>190397.71</v>
      </c>
      <c r="G1043" s="60">
        <v>81448.289999999994</v>
      </c>
      <c r="H1043" s="60">
        <v>108949.42</v>
      </c>
      <c r="I1043" s="59"/>
      <c r="J1043" s="60">
        <v>12693.12</v>
      </c>
      <c r="K1043" s="59"/>
      <c r="L1043" s="59"/>
      <c r="M1043" s="60">
        <v>190397.71</v>
      </c>
      <c r="N1043" s="60">
        <v>94141.41</v>
      </c>
      <c r="O1043" s="60">
        <v>96256.3</v>
      </c>
      <c r="P1043" s="55"/>
      <c r="Q1043" s="55"/>
      <c r="R1043" s="61">
        <f t="shared" si="432"/>
        <v>1057.76</v>
      </c>
      <c r="S1043" s="60">
        <v>1057.76</v>
      </c>
      <c r="T1043" s="60">
        <v>1057.76</v>
      </c>
      <c r="U1043" s="60">
        <v>1057.76</v>
      </c>
      <c r="V1043" s="60">
        <v>1057.76</v>
      </c>
      <c r="W1043" s="60">
        <v>1057.76</v>
      </c>
      <c r="X1043" s="61">
        <f t="shared" si="433"/>
        <v>6346.56</v>
      </c>
      <c r="Y1043" s="60">
        <v>1057.76</v>
      </c>
      <c r="Z1043" s="60">
        <v>1057.76</v>
      </c>
      <c r="AA1043" s="60">
        <v>1057.76</v>
      </c>
      <c r="AB1043" s="60">
        <v>1057.76</v>
      </c>
      <c r="AC1043" s="60">
        <v>1057.76</v>
      </c>
      <c r="AD1043" s="60">
        <v>1057.76</v>
      </c>
      <c r="AE1043" s="61">
        <f t="shared" si="434"/>
        <v>6346.56</v>
      </c>
      <c r="AF1043" s="62">
        <f t="shared" si="419"/>
        <v>190397.71</v>
      </c>
      <c r="AG1043" s="62">
        <f t="shared" si="420"/>
        <v>106834.52999999994</v>
      </c>
      <c r="AH1043" s="62">
        <f t="shared" ref="AH1043:AH1071" si="437">AF1043-AG1043</f>
        <v>83563.180000000051</v>
      </c>
      <c r="AI1043" s="63"/>
      <c r="AJ1043" s="63"/>
      <c r="AK1043" s="62"/>
      <c r="AL1043" s="60">
        <v>1057.76</v>
      </c>
      <c r="AM1043" s="60">
        <v>1057.76</v>
      </c>
      <c r="AN1043" s="60">
        <v>1057.76</v>
      </c>
      <c r="AO1043" s="60">
        <v>1057.76</v>
      </c>
      <c r="AP1043" s="60">
        <v>1057.76</v>
      </c>
      <c r="AQ1043" s="60">
        <v>1057.76</v>
      </c>
      <c r="AR1043" s="61">
        <f t="shared" si="435"/>
        <v>6346.56</v>
      </c>
      <c r="AS1043" s="60">
        <v>1057.76</v>
      </c>
      <c r="AT1043" s="60">
        <v>1057.76</v>
      </c>
      <c r="AU1043" s="60">
        <v>1057.76</v>
      </c>
      <c r="AV1043" s="60">
        <v>1057.76</v>
      </c>
      <c r="AW1043" s="60">
        <v>1057.76</v>
      </c>
      <c r="AX1043" s="60">
        <v>1057.76</v>
      </c>
      <c r="AY1043" s="61">
        <f t="shared" si="436"/>
        <v>6346.56</v>
      </c>
      <c r="AZ1043" s="56">
        <f t="shared" si="427"/>
        <v>12693.12</v>
      </c>
      <c r="BA1043" s="62">
        <f t="shared" si="416"/>
        <v>190397.71</v>
      </c>
      <c r="BB1043" s="62">
        <f t="shared" si="409"/>
        <v>119527.64999999988</v>
      </c>
      <c r="BC1043" s="62">
        <f t="shared" si="417"/>
        <v>70870.060000000114</v>
      </c>
      <c r="BD1043" s="63"/>
      <c r="BE1043" s="57"/>
      <c r="BF1043" s="35" t="str">
        <f>VLOOKUP(A:A,'2023-2027'!A:G,1,+FALSE)</f>
        <v>Распределительный шкаф РШ-10 (Береговая водонасосная станция)</v>
      </c>
      <c r="BG1043" s="7" t="b">
        <f t="shared" si="408"/>
        <v>1</v>
      </c>
      <c r="BH1043" s="35">
        <f>VLOOKUP(A:A,'2023-2027'!A:AT,43,+FALSE)</f>
        <v>1057.76</v>
      </c>
    </row>
    <row r="1044" spans="1:60" ht="24" hidden="1" customHeight="1" outlineLevel="1" x14ac:dyDescent="0.2">
      <c r="A1044" s="59" t="s">
        <v>2448</v>
      </c>
      <c r="B1044" s="59" t="s">
        <v>69</v>
      </c>
      <c r="C1044" s="59" t="s">
        <v>81</v>
      </c>
      <c r="D1044" s="66" t="s">
        <v>2380</v>
      </c>
      <c r="E1044" s="59" t="s">
        <v>359</v>
      </c>
      <c r="F1044" s="60">
        <v>145653.01999999999</v>
      </c>
      <c r="G1044" s="60">
        <v>77681.279999999999</v>
      </c>
      <c r="H1044" s="60">
        <v>67971.740000000005</v>
      </c>
      <c r="I1044" s="59"/>
      <c r="J1044" s="60">
        <v>9710.2800000000007</v>
      </c>
      <c r="K1044" s="59"/>
      <c r="L1044" s="59"/>
      <c r="M1044" s="60">
        <v>145653.01999999999</v>
      </c>
      <c r="N1044" s="60">
        <v>87391.56</v>
      </c>
      <c r="O1044" s="60">
        <v>58261.46</v>
      </c>
      <c r="P1044" s="55"/>
      <c r="Q1044" s="55"/>
      <c r="R1044" s="61">
        <f t="shared" si="432"/>
        <v>809.19</v>
      </c>
      <c r="S1044" s="60">
        <v>809.19</v>
      </c>
      <c r="T1044" s="60">
        <v>809.19</v>
      </c>
      <c r="U1044" s="60">
        <v>809.19</v>
      </c>
      <c r="V1044" s="60">
        <v>809.19</v>
      </c>
      <c r="W1044" s="60">
        <v>809.19</v>
      </c>
      <c r="X1044" s="61">
        <f t="shared" si="433"/>
        <v>4855.1400000000003</v>
      </c>
      <c r="Y1044" s="60">
        <v>809.19</v>
      </c>
      <c r="Z1044" s="60">
        <v>809.19</v>
      </c>
      <c r="AA1044" s="60">
        <v>809.19</v>
      </c>
      <c r="AB1044" s="60">
        <v>809.19</v>
      </c>
      <c r="AC1044" s="60">
        <v>809.19</v>
      </c>
      <c r="AD1044" s="60">
        <v>809.19</v>
      </c>
      <c r="AE1044" s="61">
        <f t="shared" si="434"/>
        <v>4855.1400000000003</v>
      </c>
      <c r="AF1044" s="62">
        <f t="shared" si="419"/>
        <v>145653.01999999999</v>
      </c>
      <c r="AG1044" s="62">
        <f t="shared" si="420"/>
        <v>97101.840000000026</v>
      </c>
      <c r="AH1044" s="62">
        <f t="shared" si="437"/>
        <v>48551.179999999964</v>
      </c>
      <c r="AI1044" s="63"/>
      <c r="AJ1044" s="63"/>
      <c r="AK1044" s="62"/>
      <c r="AL1044" s="60">
        <v>809.19</v>
      </c>
      <c r="AM1044" s="60">
        <v>809.19</v>
      </c>
      <c r="AN1044" s="60">
        <v>809.19</v>
      </c>
      <c r="AO1044" s="60">
        <v>809.19</v>
      </c>
      <c r="AP1044" s="60">
        <v>809.19</v>
      </c>
      <c r="AQ1044" s="60">
        <v>809.19</v>
      </c>
      <c r="AR1044" s="61">
        <f t="shared" si="435"/>
        <v>4855.1400000000003</v>
      </c>
      <c r="AS1044" s="60">
        <v>809.19</v>
      </c>
      <c r="AT1044" s="60">
        <v>809.19</v>
      </c>
      <c r="AU1044" s="60">
        <v>809.19</v>
      </c>
      <c r="AV1044" s="60">
        <v>809.19</v>
      </c>
      <c r="AW1044" s="60">
        <v>809.19</v>
      </c>
      <c r="AX1044" s="60">
        <v>809.19</v>
      </c>
      <c r="AY1044" s="61">
        <f t="shared" si="436"/>
        <v>4855.1400000000003</v>
      </c>
      <c r="AZ1044" s="56">
        <f t="shared" si="427"/>
        <v>9710.2800000000007</v>
      </c>
      <c r="BA1044" s="62">
        <f t="shared" si="416"/>
        <v>145653.01999999999</v>
      </c>
      <c r="BB1044" s="62">
        <f t="shared" si="409"/>
        <v>106812.12000000005</v>
      </c>
      <c r="BC1044" s="62">
        <f t="shared" si="417"/>
        <v>38840.899999999936</v>
      </c>
      <c r="BD1044" s="63"/>
      <c r="BE1044" s="57"/>
      <c r="BF1044" s="35" t="str">
        <f>VLOOKUP(A:A,'2023-2027'!A:G,1,+FALSE)</f>
        <v>Распределительный шкаф РШ-11 ( Водонасосная (новая)</v>
      </c>
      <c r="BG1044" s="7" t="b">
        <f t="shared" si="408"/>
        <v>1</v>
      </c>
      <c r="BH1044" s="35">
        <f>VLOOKUP(A:A,'2023-2027'!A:AT,43,+FALSE)</f>
        <v>809.19</v>
      </c>
    </row>
    <row r="1045" spans="1:60" ht="12" hidden="1" customHeight="1" outlineLevel="1" x14ac:dyDescent="0.2">
      <c r="A1045" s="59" t="s">
        <v>2449</v>
      </c>
      <c r="B1045" s="59" t="s">
        <v>69</v>
      </c>
      <c r="C1045" s="59" t="s">
        <v>81</v>
      </c>
      <c r="D1045" s="66" t="s">
        <v>2381</v>
      </c>
      <c r="E1045" s="59" t="s">
        <v>359</v>
      </c>
      <c r="F1045" s="60">
        <v>145652.98000000001</v>
      </c>
      <c r="G1045" s="60">
        <v>77681.279999999999</v>
      </c>
      <c r="H1045" s="60">
        <v>67971.7</v>
      </c>
      <c r="I1045" s="59"/>
      <c r="J1045" s="60">
        <v>9710.2800000000007</v>
      </c>
      <c r="K1045" s="59"/>
      <c r="L1045" s="59"/>
      <c r="M1045" s="60">
        <v>145652.98000000001</v>
      </c>
      <c r="N1045" s="60">
        <v>87391.56</v>
      </c>
      <c r="O1045" s="60">
        <v>58261.42</v>
      </c>
      <c r="P1045" s="55"/>
      <c r="Q1045" s="55"/>
      <c r="R1045" s="61">
        <f t="shared" si="432"/>
        <v>809.19</v>
      </c>
      <c r="S1045" s="60">
        <v>809.19</v>
      </c>
      <c r="T1045" s="60">
        <v>809.19</v>
      </c>
      <c r="U1045" s="60">
        <v>809.19</v>
      </c>
      <c r="V1045" s="60">
        <v>809.19</v>
      </c>
      <c r="W1045" s="60">
        <v>809.19</v>
      </c>
      <c r="X1045" s="61">
        <f t="shared" si="433"/>
        <v>4855.1400000000003</v>
      </c>
      <c r="Y1045" s="60">
        <v>809.19</v>
      </c>
      <c r="Z1045" s="60">
        <v>809.19</v>
      </c>
      <c r="AA1045" s="60">
        <v>809.19</v>
      </c>
      <c r="AB1045" s="60">
        <v>809.19</v>
      </c>
      <c r="AC1045" s="60">
        <v>809.19</v>
      </c>
      <c r="AD1045" s="60">
        <v>809.19</v>
      </c>
      <c r="AE1045" s="61">
        <f t="shared" si="434"/>
        <v>4855.1400000000003</v>
      </c>
      <c r="AF1045" s="62">
        <f t="shared" si="419"/>
        <v>145652.98000000001</v>
      </c>
      <c r="AG1045" s="62">
        <f t="shared" si="420"/>
        <v>97101.840000000026</v>
      </c>
      <c r="AH1045" s="62">
        <f t="shared" si="437"/>
        <v>48551.139999999985</v>
      </c>
      <c r="AI1045" s="63"/>
      <c r="AJ1045" s="63"/>
      <c r="AK1045" s="62"/>
      <c r="AL1045" s="60">
        <v>809.19</v>
      </c>
      <c r="AM1045" s="60">
        <v>809.19</v>
      </c>
      <c r="AN1045" s="60">
        <v>809.19</v>
      </c>
      <c r="AO1045" s="60">
        <v>809.19</v>
      </c>
      <c r="AP1045" s="60">
        <v>809.19</v>
      </c>
      <c r="AQ1045" s="60">
        <v>809.19</v>
      </c>
      <c r="AR1045" s="61">
        <f t="shared" si="435"/>
        <v>4855.1400000000003</v>
      </c>
      <c r="AS1045" s="60">
        <v>809.19</v>
      </c>
      <c r="AT1045" s="60">
        <v>809.19</v>
      </c>
      <c r="AU1045" s="60">
        <v>809.19</v>
      </c>
      <c r="AV1045" s="60">
        <v>809.19</v>
      </c>
      <c r="AW1045" s="60">
        <v>809.19</v>
      </c>
      <c r="AX1045" s="60">
        <v>809.19</v>
      </c>
      <c r="AY1045" s="61">
        <f t="shared" si="436"/>
        <v>4855.1400000000003</v>
      </c>
      <c r="AZ1045" s="56">
        <f t="shared" si="427"/>
        <v>9710.2800000000007</v>
      </c>
      <c r="BA1045" s="62">
        <f t="shared" si="416"/>
        <v>145652.98000000001</v>
      </c>
      <c r="BB1045" s="62">
        <f t="shared" si="409"/>
        <v>106812.12000000005</v>
      </c>
      <c r="BC1045" s="62">
        <f t="shared" si="417"/>
        <v>38840.859999999957</v>
      </c>
      <c r="BD1045" s="63"/>
      <c r="BE1045" s="57"/>
      <c r="BF1045" s="35" t="str">
        <f>VLOOKUP(A:A,'2023-2027'!A:G,1,+FALSE)</f>
        <v>Распределительный шкаф РШ-2 ( ЭЦ)</v>
      </c>
      <c r="BG1045" s="7" t="b">
        <f t="shared" si="408"/>
        <v>1</v>
      </c>
      <c r="BH1045" s="35">
        <f>VLOOKUP(A:A,'2023-2027'!A:AT,43,+FALSE)</f>
        <v>809.19</v>
      </c>
    </row>
    <row r="1046" spans="1:60" ht="12" hidden="1" customHeight="1" outlineLevel="1" x14ac:dyDescent="0.2">
      <c r="A1046" s="59" t="s">
        <v>2450</v>
      </c>
      <c r="B1046" s="59" t="s">
        <v>69</v>
      </c>
      <c r="C1046" s="59" t="s">
        <v>81</v>
      </c>
      <c r="D1046" s="66" t="s">
        <v>2382</v>
      </c>
      <c r="E1046" s="59" t="s">
        <v>359</v>
      </c>
      <c r="F1046" s="60">
        <v>145652.98000000001</v>
      </c>
      <c r="G1046" s="60">
        <v>77681.279999999999</v>
      </c>
      <c r="H1046" s="60">
        <v>67971.7</v>
      </c>
      <c r="I1046" s="59"/>
      <c r="J1046" s="60">
        <v>9710.2800000000007</v>
      </c>
      <c r="K1046" s="59"/>
      <c r="L1046" s="59"/>
      <c r="M1046" s="60">
        <v>145652.98000000001</v>
      </c>
      <c r="N1046" s="60">
        <v>87391.56</v>
      </c>
      <c r="O1046" s="60">
        <v>58261.42</v>
      </c>
      <c r="P1046" s="55"/>
      <c r="Q1046" s="55"/>
      <c r="R1046" s="61">
        <f t="shared" si="432"/>
        <v>809.19</v>
      </c>
      <c r="S1046" s="60">
        <v>809.19</v>
      </c>
      <c r="T1046" s="60">
        <v>809.19</v>
      </c>
      <c r="U1046" s="60">
        <v>809.19</v>
      </c>
      <c r="V1046" s="60">
        <v>809.19</v>
      </c>
      <c r="W1046" s="60">
        <v>809.19</v>
      </c>
      <c r="X1046" s="61">
        <f t="shared" si="433"/>
        <v>4855.1400000000003</v>
      </c>
      <c r="Y1046" s="60">
        <v>809.19</v>
      </c>
      <c r="Z1046" s="60">
        <v>809.19</v>
      </c>
      <c r="AA1046" s="60">
        <v>809.19</v>
      </c>
      <c r="AB1046" s="60">
        <v>809.19</v>
      </c>
      <c r="AC1046" s="60">
        <v>809.19</v>
      </c>
      <c r="AD1046" s="60">
        <v>809.19</v>
      </c>
      <c r="AE1046" s="61">
        <f t="shared" si="434"/>
        <v>4855.1400000000003</v>
      </c>
      <c r="AF1046" s="62">
        <f t="shared" si="419"/>
        <v>145652.98000000001</v>
      </c>
      <c r="AG1046" s="62">
        <f t="shared" si="420"/>
        <v>97101.840000000026</v>
      </c>
      <c r="AH1046" s="62">
        <f t="shared" si="437"/>
        <v>48551.139999999985</v>
      </c>
      <c r="AI1046" s="63"/>
      <c r="AJ1046" s="63"/>
      <c r="AK1046" s="62"/>
      <c r="AL1046" s="60">
        <v>809.19</v>
      </c>
      <c r="AM1046" s="60">
        <v>809.19</v>
      </c>
      <c r="AN1046" s="60">
        <v>809.19</v>
      </c>
      <c r="AO1046" s="60">
        <v>809.19</v>
      </c>
      <c r="AP1046" s="60">
        <v>809.19</v>
      </c>
      <c r="AQ1046" s="60">
        <v>809.19</v>
      </c>
      <c r="AR1046" s="61">
        <f t="shared" si="435"/>
        <v>4855.1400000000003</v>
      </c>
      <c r="AS1046" s="60">
        <v>809.19</v>
      </c>
      <c r="AT1046" s="60">
        <v>809.19</v>
      </c>
      <c r="AU1046" s="60">
        <v>809.19</v>
      </c>
      <c r="AV1046" s="60">
        <v>809.19</v>
      </c>
      <c r="AW1046" s="60">
        <v>809.19</v>
      </c>
      <c r="AX1046" s="60">
        <v>809.19</v>
      </c>
      <c r="AY1046" s="61">
        <f t="shared" si="436"/>
        <v>4855.1400000000003</v>
      </c>
      <c r="AZ1046" s="56">
        <f t="shared" si="427"/>
        <v>9710.2800000000007</v>
      </c>
      <c r="BA1046" s="62">
        <f t="shared" si="416"/>
        <v>145652.98000000001</v>
      </c>
      <c r="BB1046" s="62">
        <f t="shared" si="409"/>
        <v>106812.12000000005</v>
      </c>
      <c r="BC1046" s="62">
        <f t="shared" si="417"/>
        <v>38840.859999999957</v>
      </c>
      <c r="BD1046" s="63"/>
      <c r="BE1046" s="57"/>
      <c r="BF1046" s="35" t="str">
        <f>VLOOKUP(A:A,'2023-2027'!A:G,1,+FALSE)</f>
        <v>Распределительный шкаф РШ-3 ( ДГ № 3)</v>
      </c>
      <c r="BG1046" s="7" t="b">
        <f t="shared" ref="BG1046:BG1070" si="438">OR(EXACT(BF1046,$A$4:$A$1071))</f>
        <v>1</v>
      </c>
      <c r="BH1046" s="35">
        <f>VLOOKUP(A:A,'2023-2027'!A:AT,43,+FALSE)</f>
        <v>809.19</v>
      </c>
    </row>
    <row r="1047" spans="1:60" ht="12" hidden="1" customHeight="1" outlineLevel="1" x14ac:dyDescent="0.2">
      <c r="A1047" s="59" t="s">
        <v>2451</v>
      </c>
      <c r="B1047" s="59" t="s">
        <v>69</v>
      </c>
      <c r="C1047" s="59" t="s">
        <v>81</v>
      </c>
      <c r="D1047" s="66" t="s">
        <v>2383</v>
      </c>
      <c r="E1047" s="59" t="s">
        <v>359</v>
      </c>
      <c r="F1047" s="60">
        <v>145652.98000000001</v>
      </c>
      <c r="G1047" s="60">
        <v>77681.279999999999</v>
      </c>
      <c r="H1047" s="60">
        <v>67971.7</v>
      </c>
      <c r="I1047" s="59"/>
      <c r="J1047" s="60">
        <v>9710.2800000000007</v>
      </c>
      <c r="K1047" s="59"/>
      <c r="L1047" s="59"/>
      <c r="M1047" s="60">
        <v>145652.98000000001</v>
      </c>
      <c r="N1047" s="60">
        <v>87391.56</v>
      </c>
      <c r="O1047" s="60">
        <v>58261.42</v>
      </c>
      <c r="P1047" s="55"/>
      <c r="Q1047" s="55"/>
      <c r="R1047" s="61">
        <f t="shared" si="432"/>
        <v>809.19</v>
      </c>
      <c r="S1047" s="60">
        <v>809.19</v>
      </c>
      <c r="T1047" s="60">
        <v>809.19</v>
      </c>
      <c r="U1047" s="60">
        <v>809.19</v>
      </c>
      <c r="V1047" s="60">
        <v>809.19</v>
      </c>
      <c r="W1047" s="60">
        <v>809.19</v>
      </c>
      <c r="X1047" s="61">
        <f t="shared" si="433"/>
        <v>4855.1400000000003</v>
      </c>
      <c r="Y1047" s="60">
        <v>809.19</v>
      </c>
      <c r="Z1047" s="60">
        <v>809.19</v>
      </c>
      <c r="AA1047" s="60">
        <v>809.19</v>
      </c>
      <c r="AB1047" s="60">
        <v>809.19</v>
      </c>
      <c r="AC1047" s="60">
        <v>809.19</v>
      </c>
      <c r="AD1047" s="60">
        <v>809.19</v>
      </c>
      <c r="AE1047" s="61">
        <f t="shared" si="434"/>
        <v>4855.1400000000003</v>
      </c>
      <c r="AF1047" s="62">
        <f t="shared" si="419"/>
        <v>145652.98000000001</v>
      </c>
      <c r="AG1047" s="62">
        <f t="shared" si="420"/>
        <v>97101.840000000026</v>
      </c>
      <c r="AH1047" s="62">
        <f t="shared" si="437"/>
        <v>48551.139999999985</v>
      </c>
      <c r="AI1047" s="63"/>
      <c r="AJ1047" s="63"/>
      <c r="AK1047" s="62"/>
      <c r="AL1047" s="60">
        <v>809.19</v>
      </c>
      <c r="AM1047" s="60">
        <v>809.19</v>
      </c>
      <c r="AN1047" s="60">
        <v>809.19</v>
      </c>
      <c r="AO1047" s="60">
        <v>809.19</v>
      </c>
      <c r="AP1047" s="60">
        <v>809.19</v>
      </c>
      <c r="AQ1047" s="60">
        <v>809.19</v>
      </c>
      <c r="AR1047" s="61">
        <f t="shared" si="435"/>
        <v>4855.1400000000003</v>
      </c>
      <c r="AS1047" s="60">
        <v>809.19</v>
      </c>
      <c r="AT1047" s="60">
        <v>809.19</v>
      </c>
      <c r="AU1047" s="60">
        <v>809.19</v>
      </c>
      <c r="AV1047" s="60">
        <v>809.19</v>
      </c>
      <c r="AW1047" s="60">
        <v>809.19</v>
      </c>
      <c r="AX1047" s="60">
        <v>809.19</v>
      </c>
      <c r="AY1047" s="61">
        <f t="shared" si="436"/>
        <v>4855.1400000000003</v>
      </c>
      <c r="AZ1047" s="56">
        <f t="shared" si="427"/>
        <v>9710.2800000000007</v>
      </c>
      <c r="BA1047" s="62">
        <f t="shared" si="416"/>
        <v>145652.98000000001</v>
      </c>
      <c r="BB1047" s="62">
        <f t="shared" si="409"/>
        <v>106812.12000000005</v>
      </c>
      <c r="BC1047" s="62">
        <f t="shared" si="417"/>
        <v>38840.859999999957</v>
      </c>
      <c r="BD1047" s="63"/>
      <c r="BE1047" s="57"/>
      <c r="BF1047" s="35" t="str">
        <f>VLOOKUP(A:A,'2023-2027'!A:G,1,+FALSE)</f>
        <v>Распределительный шкаф РШ-4 ( Слесарка)</v>
      </c>
      <c r="BG1047" s="7" t="b">
        <f t="shared" si="438"/>
        <v>1</v>
      </c>
      <c r="BH1047" s="35">
        <f>VLOOKUP(A:A,'2023-2027'!A:AT,43,+FALSE)</f>
        <v>809.19</v>
      </c>
    </row>
    <row r="1048" spans="1:60" ht="12" hidden="1" customHeight="1" outlineLevel="1" x14ac:dyDescent="0.2">
      <c r="A1048" s="59" t="s">
        <v>2452</v>
      </c>
      <c r="B1048" s="59" t="s">
        <v>69</v>
      </c>
      <c r="C1048" s="59" t="s">
        <v>81</v>
      </c>
      <c r="D1048" s="66" t="s">
        <v>2384</v>
      </c>
      <c r="E1048" s="59" t="s">
        <v>359</v>
      </c>
      <c r="F1048" s="60">
        <v>145652.98000000001</v>
      </c>
      <c r="G1048" s="60">
        <v>77681.279999999999</v>
      </c>
      <c r="H1048" s="60">
        <v>67971.7</v>
      </c>
      <c r="I1048" s="59"/>
      <c r="J1048" s="60">
        <v>9710.2800000000007</v>
      </c>
      <c r="K1048" s="59"/>
      <c r="L1048" s="59"/>
      <c r="M1048" s="60">
        <v>145652.98000000001</v>
      </c>
      <c r="N1048" s="60">
        <v>87391.56</v>
      </c>
      <c r="O1048" s="60">
        <v>58261.42</v>
      </c>
      <c r="P1048" s="55"/>
      <c r="Q1048" s="55"/>
      <c r="R1048" s="61">
        <f t="shared" si="432"/>
        <v>809.19</v>
      </c>
      <c r="S1048" s="60">
        <v>809.19</v>
      </c>
      <c r="T1048" s="60">
        <v>809.19</v>
      </c>
      <c r="U1048" s="60">
        <v>809.19</v>
      </c>
      <c r="V1048" s="60">
        <v>809.19</v>
      </c>
      <c r="W1048" s="60">
        <v>809.19</v>
      </c>
      <c r="X1048" s="61">
        <f t="shared" si="433"/>
        <v>4855.1400000000003</v>
      </c>
      <c r="Y1048" s="60">
        <v>809.19</v>
      </c>
      <c r="Z1048" s="60">
        <v>809.19</v>
      </c>
      <c r="AA1048" s="60">
        <v>809.19</v>
      </c>
      <c r="AB1048" s="60">
        <v>809.19</v>
      </c>
      <c r="AC1048" s="60">
        <v>809.19</v>
      </c>
      <c r="AD1048" s="60">
        <v>809.19</v>
      </c>
      <c r="AE1048" s="61">
        <f t="shared" si="434"/>
        <v>4855.1400000000003</v>
      </c>
      <c r="AF1048" s="62">
        <f t="shared" si="419"/>
        <v>145652.98000000001</v>
      </c>
      <c r="AG1048" s="62">
        <f t="shared" si="420"/>
        <v>97101.840000000026</v>
      </c>
      <c r="AH1048" s="62">
        <f t="shared" si="437"/>
        <v>48551.139999999985</v>
      </c>
      <c r="AI1048" s="63"/>
      <c r="AJ1048" s="63"/>
      <c r="AK1048" s="62"/>
      <c r="AL1048" s="60">
        <v>809.19</v>
      </c>
      <c r="AM1048" s="60">
        <v>809.19</v>
      </c>
      <c r="AN1048" s="60">
        <v>809.19</v>
      </c>
      <c r="AO1048" s="60">
        <v>809.19</v>
      </c>
      <c r="AP1048" s="60">
        <v>809.19</v>
      </c>
      <c r="AQ1048" s="60">
        <v>809.19</v>
      </c>
      <c r="AR1048" s="61">
        <f t="shared" si="435"/>
        <v>4855.1400000000003</v>
      </c>
      <c r="AS1048" s="60">
        <v>809.19</v>
      </c>
      <c r="AT1048" s="60">
        <v>809.19</v>
      </c>
      <c r="AU1048" s="60">
        <v>809.19</v>
      </c>
      <c r="AV1048" s="60">
        <v>809.19</v>
      </c>
      <c r="AW1048" s="60">
        <v>809.19</v>
      </c>
      <c r="AX1048" s="60">
        <v>809.19</v>
      </c>
      <c r="AY1048" s="61">
        <f t="shared" si="436"/>
        <v>4855.1400000000003</v>
      </c>
      <c r="AZ1048" s="56">
        <f t="shared" si="427"/>
        <v>9710.2800000000007</v>
      </c>
      <c r="BA1048" s="62">
        <f t="shared" si="416"/>
        <v>145652.98000000001</v>
      </c>
      <c r="BB1048" s="62">
        <f t="shared" si="409"/>
        <v>106812.12000000005</v>
      </c>
      <c r="BC1048" s="62">
        <f t="shared" si="417"/>
        <v>38840.859999999957</v>
      </c>
      <c r="BD1048" s="63"/>
      <c r="BE1048" s="57"/>
      <c r="BF1048" s="35" t="str">
        <f>VLOOKUP(A:A,'2023-2027'!A:G,1,+FALSE)</f>
        <v>Распределительный шкаф РШ-5 ( ДГ №3)</v>
      </c>
      <c r="BG1048" s="7" t="b">
        <f t="shared" si="438"/>
        <v>1</v>
      </c>
      <c r="BH1048" s="35">
        <f>VLOOKUP(A:A,'2023-2027'!A:AT,43,+FALSE)</f>
        <v>809.18000000000018</v>
      </c>
    </row>
    <row r="1049" spans="1:60" ht="24" hidden="1" customHeight="1" outlineLevel="1" x14ac:dyDescent="0.2">
      <c r="A1049" s="59" t="s">
        <v>2453</v>
      </c>
      <c r="B1049" s="59" t="s">
        <v>69</v>
      </c>
      <c r="C1049" s="59" t="s">
        <v>81</v>
      </c>
      <c r="D1049" s="66" t="s">
        <v>2385</v>
      </c>
      <c r="E1049" s="59" t="s">
        <v>2386</v>
      </c>
      <c r="F1049" s="60">
        <v>217362.39</v>
      </c>
      <c r="G1049" s="60">
        <v>109888.87</v>
      </c>
      <c r="H1049" s="60">
        <v>107473.52</v>
      </c>
      <c r="I1049" s="59"/>
      <c r="J1049" s="60">
        <v>14490.84</v>
      </c>
      <c r="K1049" s="59"/>
      <c r="L1049" s="59"/>
      <c r="M1049" s="60">
        <v>217362.39</v>
      </c>
      <c r="N1049" s="60">
        <v>124379.71</v>
      </c>
      <c r="O1049" s="60">
        <v>92982.68</v>
      </c>
      <c r="P1049" s="55"/>
      <c r="Q1049" s="55"/>
      <c r="R1049" s="61">
        <f t="shared" si="432"/>
        <v>1207.57</v>
      </c>
      <c r="S1049" s="60">
        <v>1207.57</v>
      </c>
      <c r="T1049" s="60">
        <v>1207.57</v>
      </c>
      <c r="U1049" s="60">
        <v>1207.57</v>
      </c>
      <c r="V1049" s="60">
        <v>1207.57</v>
      </c>
      <c r="W1049" s="60">
        <v>1207.57</v>
      </c>
      <c r="X1049" s="61">
        <f t="shared" si="433"/>
        <v>7245.4199999999992</v>
      </c>
      <c r="Y1049" s="60">
        <v>1207.57</v>
      </c>
      <c r="Z1049" s="60">
        <v>1207.57</v>
      </c>
      <c r="AA1049" s="60">
        <v>1207.57</v>
      </c>
      <c r="AB1049" s="60">
        <v>1207.57</v>
      </c>
      <c r="AC1049" s="60">
        <v>1207.57</v>
      </c>
      <c r="AD1049" s="60">
        <v>1207.57</v>
      </c>
      <c r="AE1049" s="61">
        <f t="shared" si="434"/>
        <v>7245.4199999999992</v>
      </c>
      <c r="AF1049" s="62">
        <f t="shared" si="419"/>
        <v>217362.39</v>
      </c>
      <c r="AG1049" s="62">
        <f t="shared" si="420"/>
        <v>138870.55000000008</v>
      </c>
      <c r="AH1049" s="62">
        <f t="shared" si="437"/>
        <v>78491.839999999938</v>
      </c>
      <c r="AI1049" s="63"/>
      <c r="AJ1049" s="63"/>
      <c r="AK1049" s="62"/>
      <c r="AL1049" s="60">
        <v>1207.57</v>
      </c>
      <c r="AM1049" s="60">
        <v>1207.57</v>
      </c>
      <c r="AN1049" s="60">
        <v>1207.57</v>
      </c>
      <c r="AO1049" s="60">
        <v>1207.57</v>
      </c>
      <c r="AP1049" s="60">
        <v>1207.57</v>
      </c>
      <c r="AQ1049" s="60">
        <v>1207.57</v>
      </c>
      <c r="AR1049" s="61">
        <f t="shared" si="435"/>
        <v>7245.4199999999992</v>
      </c>
      <c r="AS1049" s="60">
        <v>1207.57</v>
      </c>
      <c r="AT1049" s="60">
        <v>1207.57</v>
      </c>
      <c r="AU1049" s="60">
        <v>1207.57</v>
      </c>
      <c r="AV1049" s="60">
        <v>1207.57</v>
      </c>
      <c r="AW1049" s="60">
        <v>1207.57</v>
      </c>
      <c r="AX1049" s="60">
        <v>1207.57</v>
      </c>
      <c r="AY1049" s="61">
        <f t="shared" si="436"/>
        <v>7245.4199999999992</v>
      </c>
      <c r="AZ1049" s="56">
        <f t="shared" si="427"/>
        <v>14490.839999999998</v>
      </c>
      <c r="BA1049" s="62">
        <f t="shared" si="416"/>
        <v>217362.39</v>
      </c>
      <c r="BB1049" s="62">
        <f t="shared" ref="BB1049:BB1054" si="439">AG1049+AL1049+AM1049+AN1049+AO1049+AP1049+AQ1049+AS1049+AT1049+AU1049+AV1049+AW1049+AX1049</f>
        <v>153361.39000000016</v>
      </c>
      <c r="BC1049" s="62">
        <f t="shared" si="417"/>
        <v>64000.999999999854</v>
      </c>
      <c r="BD1049" s="63"/>
      <c r="BE1049" s="57"/>
      <c r="BF1049" s="35" t="str">
        <f>VLOOKUP(A:A,'2023-2027'!A:G,1,+FALSE)</f>
        <v>Распределительный шкаф РШ-8 (Маслосепараторная (старая))</v>
      </c>
      <c r="BG1049" s="7" t="b">
        <f t="shared" si="438"/>
        <v>1</v>
      </c>
      <c r="BH1049" s="35">
        <f>VLOOKUP(A:A,'2023-2027'!A:AT,43,+FALSE)</f>
        <v>1207.57</v>
      </c>
    </row>
    <row r="1050" spans="1:60" ht="12" hidden="1" customHeight="1" outlineLevel="1" x14ac:dyDescent="0.2">
      <c r="A1050" s="59" t="s">
        <v>2454</v>
      </c>
      <c r="B1050" s="59" t="s">
        <v>69</v>
      </c>
      <c r="C1050" s="59" t="s">
        <v>81</v>
      </c>
      <c r="D1050" s="66" t="s">
        <v>2387</v>
      </c>
      <c r="E1050" s="59" t="s">
        <v>232</v>
      </c>
      <c r="F1050" s="60">
        <v>135158.97</v>
      </c>
      <c r="G1050" s="60">
        <v>58568.639999999999</v>
      </c>
      <c r="H1050" s="60">
        <v>76590.33</v>
      </c>
      <c r="I1050" s="59"/>
      <c r="J1050" s="60">
        <v>9010.68</v>
      </c>
      <c r="K1050" s="59"/>
      <c r="L1050" s="59"/>
      <c r="M1050" s="60">
        <v>135158.97</v>
      </c>
      <c r="N1050" s="60">
        <v>67579.320000000007</v>
      </c>
      <c r="O1050" s="60">
        <v>67579.649999999994</v>
      </c>
      <c r="P1050" s="55"/>
      <c r="Q1050" s="55"/>
      <c r="R1050" s="61">
        <f t="shared" si="432"/>
        <v>750.89</v>
      </c>
      <c r="S1050" s="60">
        <v>750.89</v>
      </c>
      <c r="T1050" s="60">
        <v>750.89</v>
      </c>
      <c r="U1050" s="60">
        <v>750.89</v>
      </c>
      <c r="V1050" s="60">
        <v>750.89</v>
      </c>
      <c r="W1050" s="60">
        <v>750.89</v>
      </c>
      <c r="X1050" s="61">
        <f t="shared" si="433"/>
        <v>4505.34</v>
      </c>
      <c r="Y1050" s="60">
        <v>750.89</v>
      </c>
      <c r="Z1050" s="60">
        <v>750.89</v>
      </c>
      <c r="AA1050" s="60">
        <v>750.89</v>
      </c>
      <c r="AB1050" s="60">
        <v>750.89</v>
      </c>
      <c r="AC1050" s="60">
        <v>750.89</v>
      </c>
      <c r="AD1050" s="60">
        <v>750.89</v>
      </c>
      <c r="AE1050" s="61">
        <f t="shared" si="434"/>
        <v>4505.34</v>
      </c>
      <c r="AF1050" s="62">
        <f t="shared" si="419"/>
        <v>135158.97</v>
      </c>
      <c r="AG1050" s="62">
        <f t="shared" si="420"/>
        <v>76590</v>
      </c>
      <c r="AH1050" s="62">
        <f t="shared" si="437"/>
        <v>58568.97</v>
      </c>
      <c r="AI1050" s="63"/>
      <c r="AJ1050" s="63"/>
      <c r="AK1050" s="62"/>
      <c r="AL1050" s="60">
        <v>750.89</v>
      </c>
      <c r="AM1050" s="60">
        <v>750.89</v>
      </c>
      <c r="AN1050" s="60">
        <v>750.89</v>
      </c>
      <c r="AO1050" s="60">
        <v>750.89</v>
      </c>
      <c r="AP1050" s="60">
        <v>750.89</v>
      </c>
      <c r="AQ1050" s="60">
        <v>750.89</v>
      </c>
      <c r="AR1050" s="61">
        <f t="shared" si="435"/>
        <v>4505.34</v>
      </c>
      <c r="AS1050" s="60">
        <v>750.89</v>
      </c>
      <c r="AT1050" s="60">
        <v>750.89</v>
      </c>
      <c r="AU1050" s="60">
        <v>750.89</v>
      </c>
      <c r="AV1050" s="60">
        <v>750.89</v>
      </c>
      <c r="AW1050" s="60">
        <v>750.89</v>
      </c>
      <c r="AX1050" s="60">
        <v>750.89</v>
      </c>
      <c r="AY1050" s="61">
        <f t="shared" si="436"/>
        <v>4505.34</v>
      </c>
      <c r="AZ1050" s="56">
        <f t="shared" si="427"/>
        <v>9010.68</v>
      </c>
      <c r="BA1050" s="62">
        <f t="shared" si="416"/>
        <v>135158.97</v>
      </c>
      <c r="BB1050" s="62">
        <f t="shared" si="439"/>
        <v>85600.68</v>
      </c>
      <c r="BC1050" s="62">
        <f t="shared" si="417"/>
        <v>49558.290000000008</v>
      </c>
      <c r="BD1050" s="63"/>
      <c r="BE1050" s="57"/>
      <c r="BF1050" s="35" t="str">
        <f>VLOOKUP(A:A,'2023-2027'!A:G,1,+FALSE)</f>
        <v>Распределительный шкаф РШ-9</v>
      </c>
      <c r="BG1050" s="7" t="b">
        <f t="shared" si="438"/>
        <v>1</v>
      </c>
      <c r="BH1050" s="35">
        <f>VLOOKUP(A:A,'2023-2027'!A:AT,43,+FALSE)</f>
        <v>750.89</v>
      </c>
    </row>
    <row r="1051" spans="1:60" ht="24" hidden="1" customHeight="1" outlineLevel="1" x14ac:dyDescent="0.2">
      <c r="A1051" s="59" t="s">
        <v>2388</v>
      </c>
      <c r="B1051" s="59" t="s">
        <v>69</v>
      </c>
      <c r="C1051" s="59" t="s">
        <v>81</v>
      </c>
      <c r="D1051" s="65" t="s">
        <v>2389</v>
      </c>
      <c r="E1051" s="59" t="s">
        <v>1266</v>
      </c>
      <c r="F1051" s="60">
        <v>415060</v>
      </c>
      <c r="G1051" s="60">
        <v>361101.07</v>
      </c>
      <c r="H1051" s="60">
        <v>53958.93</v>
      </c>
      <c r="I1051" s="59"/>
      <c r="J1051" s="60">
        <v>5395.92</v>
      </c>
      <c r="K1051" s="59"/>
      <c r="L1051" s="59"/>
      <c r="M1051" s="60">
        <v>415060</v>
      </c>
      <c r="N1051" s="60">
        <v>366496.99</v>
      </c>
      <c r="O1051" s="60">
        <v>48563.01</v>
      </c>
      <c r="P1051" s="55">
        <v>51260.97</v>
      </c>
      <c r="Q1051" s="55">
        <f t="shared" ref="Q1051" si="440">P1051*2.2%</f>
        <v>1127.74134</v>
      </c>
      <c r="R1051" s="61">
        <f t="shared" si="432"/>
        <v>449.66</v>
      </c>
      <c r="S1051" s="60">
        <v>449.66</v>
      </c>
      <c r="T1051" s="60">
        <v>449.66</v>
      </c>
      <c r="U1051" s="60">
        <v>449.66</v>
      </c>
      <c r="V1051" s="60">
        <v>449.66</v>
      </c>
      <c r="W1051" s="60">
        <v>449.66</v>
      </c>
      <c r="X1051" s="61">
        <f t="shared" si="433"/>
        <v>2697.96</v>
      </c>
      <c r="Y1051" s="60">
        <v>449.66</v>
      </c>
      <c r="Z1051" s="60">
        <v>449.66</v>
      </c>
      <c r="AA1051" s="60">
        <v>449.66</v>
      </c>
      <c r="AB1051" s="60">
        <v>449.66</v>
      </c>
      <c r="AC1051" s="60">
        <v>449.66</v>
      </c>
      <c r="AD1051" s="60">
        <v>449.66</v>
      </c>
      <c r="AE1051" s="61">
        <f t="shared" si="434"/>
        <v>2697.96</v>
      </c>
      <c r="AF1051" s="62">
        <f t="shared" si="419"/>
        <v>415060</v>
      </c>
      <c r="AG1051" s="62">
        <f t="shared" si="420"/>
        <v>371892.90999999968</v>
      </c>
      <c r="AH1051" s="62">
        <f t="shared" si="437"/>
        <v>43167.090000000317</v>
      </c>
      <c r="AI1051" s="63">
        <v>45865.049999999981</v>
      </c>
      <c r="AJ1051" s="63">
        <f t="shared" ref="AJ1051" si="441">AI1051*2.2%</f>
        <v>1009.0310999999997</v>
      </c>
      <c r="AK1051" s="62"/>
      <c r="AL1051" s="60">
        <v>449.66</v>
      </c>
      <c r="AM1051" s="60">
        <v>449.66</v>
      </c>
      <c r="AN1051" s="60">
        <v>449.66</v>
      </c>
      <c r="AO1051" s="60">
        <v>449.66</v>
      </c>
      <c r="AP1051" s="60">
        <v>449.66</v>
      </c>
      <c r="AQ1051" s="60">
        <v>449.66</v>
      </c>
      <c r="AR1051" s="61">
        <f t="shared" si="435"/>
        <v>2697.96</v>
      </c>
      <c r="AS1051" s="60">
        <v>449.66</v>
      </c>
      <c r="AT1051" s="60">
        <v>449.66</v>
      </c>
      <c r="AU1051" s="60">
        <v>449.66</v>
      </c>
      <c r="AV1051" s="60">
        <v>449.66</v>
      </c>
      <c r="AW1051" s="60">
        <v>449.66</v>
      </c>
      <c r="AX1051" s="60">
        <v>449.66</v>
      </c>
      <c r="AY1051" s="61">
        <f t="shared" si="436"/>
        <v>2697.96</v>
      </c>
      <c r="AZ1051" s="56">
        <f t="shared" si="427"/>
        <v>5395.92</v>
      </c>
      <c r="BA1051" s="62">
        <f t="shared" si="416"/>
        <v>415060</v>
      </c>
      <c r="BB1051" s="62">
        <f t="shared" si="439"/>
        <v>377288.82999999938</v>
      </c>
      <c r="BC1051" s="62">
        <f t="shared" si="417"/>
        <v>37771.170000000624</v>
      </c>
      <c r="BD1051" s="63">
        <v>40469.129999999932</v>
      </c>
      <c r="BE1051" s="57">
        <f t="shared" ref="BE1051" si="442">BD1051*2.2%</f>
        <v>890.32085999999856</v>
      </c>
      <c r="BF1051" s="35" t="e">
        <f>VLOOKUP(A:A,'2023-2027'!A:G,1,+FALSE)</f>
        <v>#N/A</v>
      </c>
      <c r="BG1051" s="7" t="e">
        <f t="shared" si="438"/>
        <v>#N/A</v>
      </c>
      <c r="BH1051" s="35"/>
    </row>
    <row r="1052" spans="1:60" ht="36" hidden="1" customHeight="1" outlineLevel="1" x14ac:dyDescent="0.2">
      <c r="A1052" s="59" t="s">
        <v>2390</v>
      </c>
      <c r="B1052" s="59" t="s">
        <v>69</v>
      </c>
      <c r="C1052" s="59" t="s">
        <v>81</v>
      </c>
      <c r="D1052" s="66" t="s">
        <v>2391</v>
      </c>
      <c r="E1052" s="59" t="s">
        <v>421</v>
      </c>
      <c r="F1052" s="60">
        <v>88799.57</v>
      </c>
      <c r="G1052" s="60">
        <v>55500</v>
      </c>
      <c r="H1052" s="60">
        <v>33299.57</v>
      </c>
      <c r="I1052" s="59"/>
      <c r="J1052" s="60">
        <v>8879.8799999999992</v>
      </c>
      <c r="K1052" s="59"/>
      <c r="L1052" s="59"/>
      <c r="M1052" s="60">
        <v>88799.57</v>
      </c>
      <c r="N1052" s="60">
        <v>64379.88</v>
      </c>
      <c r="O1052" s="60">
        <v>24419.69</v>
      </c>
      <c r="P1052" s="55"/>
      <c r="Q1052" s="55"/>
      <c r="R1052" s="61">
        <f t="shared" si="432"/>
        <v>739.9899999999999</v>
      </c>
      <c r="S1052" s="60">
        <v>739.99</v>
      </c>
      <c r="T1052" s="60">
        <v>739.99</v>
      </c>
      <c r="U1052" s="60">
        <v>739.99</v>
      </c>
      <c r="V1052" s="60">
        <v>739.99</v>
      </c>
      <c r="W1052" s="60">
        <v>739.99</v>
      </c>
      <c r="X1052" s="61">
        <f t="shared" si="433"/>
        <v>4439.9399999999996</v>
      </c>
      <c r="Y1052" s="60">
        <v>739.99</v>
      </c>
      <c r="Z1052" s="60">
        <v>739.99</v>
      </c>
      <c r="AA1052" s="60">
        <v>739.99</v>
      </c>
      <c r="AB1052" s="60">
        <v>739.99</v>
      </c>
      <c r="AC1052" s="60">
        <v>739.99</v>
      </c>
      <c r="AD1052" s="60">
        <v>739.99</v>
      </c>
      <c r="AE1052" s="61">
        <f t="shared" si="434"/>
        <v>4439.9399999999996</v>
      </c>
      <c r="AF1052" s="62">
        <f t="shared" si="419"/>
        <v>88799.57</v>
      </c>
      <c r="AG1052" s="62">
        <f t="shared" si="420"/>
        <v>73259.760000000053</v>
      </c>
      <c r="AH1052" s="62">
        <f t="shared" si="437"/>
        <v>15539.809999999954</v>
      </c>
      <c r="AI1052" s="63"/>
      <c r="AJ1052" s="63"/>
      <c r="AK1052" s="62"/>
      <c r="AL1052" s="60">
        <v>739.99</v>
      </c>
      <c r="AM1052" s="60">
        <v>739.99</v>
      </c>
      <c r="AN1052" s="60">
        <v>739.99</v>
      </c>
      <c r="AO1052" s="60">
        <v>739.99</v>
      </c>
      <c r="AP1052" s="60">
        <v>739.99</v>
      </c>
      <c r="AQ1052" s="60">
        <v>739.99</v>
      </c>
      <c r="AR1052" s="61">
        <f t="shared" si="435"/>
        <v>4439.9399999999996</v>
      </c>
      <c r="AS1052" s="60">
        <v>739.99</v>
      </c>
      <c r="AT1052" s="60">
        <v>739.99</v>
      </c>
      <c r="AU1052" s="60">
        <v>739.99</v>
      </c>
      <c r="AV1052" s="60">
        <v>739.99</v>
      </c>
      <c r="AW1052" s="60">
        <v>739.99</v>
      </c>
      <c r="AX1052" s="60">
        <v>739.99</v>
      </c>
      <c r="AY1052" s="61">
        <f t="shared" si="436"/>
        <v>4439.9399999999996</v>
      </c>
      <c r="AZ1052" s="56">
        <f t="shared" si="427"/>
        <v>8879.8799999999992</v>
      </c>
      <c r="BA1052" s="62">
        <f t="shared" si="416"/>
        <v>88799.57</v>
      </c>
      <c r="BB1052" s="62">
        <f t="shared" si="439"/>
        <v>82139.640000000116</v>
      </c>
      <c r="BC1052" s="62">
        <f t="shared" si="417"/>
        <v>6659.9299999998912</v>
      </c>
      <c r="BD1052" s="63"/>
      <c r="BE1052" s="57"/>
      <c r="BF1052" s="35" t="str">
        <f>VLOOKUP(A:A,'2023-2027'!A:G,1,+FALSE)</f>
        <v>Рефлектометр импульсный РИ-307 с программным обеспечением IRView 5,0</v>
      </c>
      <c r="BG1052" s="7" t="b">
        <f t="shared" si="438"/>
        <v>1</v>
      </c>
      <c r="BH1052" s="35">
        <f>VLOOKUP(A:A,'2023-2027'!A:AT,43,+FALSE)</f>
        <v>739.99</v>
      </c>
    </row>
    <row r="1053" spans="1:60" ht="24" hidden="1" customHeight="1" outlineLevel="1" x14ac:dyDescent="0.2">
      <c r="A1053" s="59" t="s">
        <v>2392</v>
      </c>
      <c r="B1053" s="59" t="s">
        <v>69</v>
      </c>
      <c r="C1053" s="59" t="s">
        <v>81</v>
      </c>
      <c r="D1053" s="65" t="s">
        <v>2393</v>
      </c>
      <c r="E1053" s="59" t="s">
        <v>666</v>
      </c>
      <c r="F1053" s="60">
        <v>116264.66</v>
      </c>
      <c r="G1053" s="60">
        <v>90040.54</v>
      </c>
      <c r="H1053" s="60">
        <v>26224.12</v>
      </c>
      <c r="I1053" s="59"/>
      <c r="J1053" s="60">
        <v>5244.84</v>
      </c>
      <c r="K1053" s="59"/>
      <c r="L1053" s="59"/>
      <c r="M1053" s="60">
        <v>116264.66</v>
      </c>
      <c r="N1053" s="60">
        <v>95285.38</v>
      </c>
      <c r="O1053" s="60">
        <v>20979.279999999999</v>
      </c>
      <c r="P1053" s="55"/>
      <c r="Q1053" s="55"/>
      <c r="R1053" s="61">
        <f t="shared" si="432"/>
        <v>437.07</v>
      </c>
      <c r="S1053" s="60">
        <v>437.07</v>
      </c>
      <c r="T1053" s="60">
        <v>437.07</v>
      </c>
      <c r="U1053" s="60">
        <v>437.07</v>
      </c>
      <c r="V1053" s="60">
        <v>437.07</v>
      </c>
      <c r="W1053" s="60">
        <v>437.07</v>
      </c>
      <c r="X1053" s="61">
        <f t="shared" si="433"/>
        <v>2622.42</v>
      </c>
      <c r="Y1053" s="60">
        <v>437.07</v>
      </c>
      <c r="Z1053" s="60">
        <v>437.07</v>
      </c>
      <c r="AA1053" s="60">
        <v>437.07</v>
      </c>
      <c r="AB1053" s="60">
        <v>437.07</v>
      </c>
      <c r="AC1053" s="60">
        <v>437.07</v>
      </c>
      <c r="AD1053" s="60">
        <v>437.07</v>
      </c>
      <c r="AE1053" s="61">
        <f t="shared" si="434"/>
        <v>2622.42</v>
      </c>
      <c r="AF1053" s="62">
        <f t="shared" si="419"/>
        <v>116264.66</v>
      </c>
      <c r="AG1053" s="62">
        <f t="shared" si="420"/>
        <v>100530.22000000009</v>
      </c>
      <c r="AH1053" s="62">
        <f t="shared" si="437"/>
        <v>15734.439999999915</v>
      </c>
      <c r="AI1053" s="63"/>
      <c r="AJ1053" s="63"/>
      <c r="AK1053" s="62"/>
      <c r="AL1053" s="60">
        <v>437.07</v>
      </c>
      <c r="AM1053" s="60">
        <v>437.07</v>
      </c>
      <c r="AN1053" s="60">
        <v>437.07</v>
      </c>
      <c r="AO1053" s="60">
        <v>437.07</v>
      </c>
      <c r="AP1053" s="60">
        <v>437.07</v>
      </c>
      <c r="AQ1053" s="60">
        <v>437.07</v>
      </c>
      <c r="AR1053" s="61">
        <f t="shared" si="435"/>
        <v>2622.42</v>
      </c>
      <c r="AS1053" s="60">
        <v>437.07</v>
      </c>
      <c r="AT1053" s="60">
        <v>437.07</v>
      </c>
      <c r="AU1053" s="60">
        <v>437.07</v>
      </c>
      <c r="AV1053" s="60">
        <v>437.07</v>
      </c>
      <c r="AW1053" s="60">
        <v>437.07</v>
      </c>
      <c r="AX1053" s="60">
        <v>437.07</v>
      </c>
      <c r="AY1053" s="61">
        <f t="shared" si="436"/>
        <v>2622.42</v>
      </c>
      <c r="AZ1053" s="56">
        <f t="shared" si="427"/>
        <v>5244.84</v>
      </c>
      <c r="BA1053" s="62">
        <f t="shared" si="416"/>
        <v>116264.66</v>
      </c>
      <c r="BB1053" s="62">
        <f t="shared" si="439"/>
        <v>105775.06000000017</v>
      </c>
      <c r="BC1053" s="62">
        <f t="shared" si="417"/>
        <v>10489.599999999831</v>
      </c>
      <c r="BD1053" s="63"/>
      <c r="BE1053" s="57"/>
      <c r="BF1053" s="35" t="e">
        <f>VLOOKUP(A:A,'2023-2027'!A:G,1,+FALSE)</f>
        <v>#N/A</v>
      </c>
      <c r="BG1053" s="7" t="e">
        <f t="shared" si="438"/>
        <v>#N/A</v>
      </c>
      <c r="BH1053" s="35"/>
    </row>
    <row r="1054" spans="1:60" ht="24" hidden="1" customHeight="1" outlineLevel="1" x14ac:dyDescent="0.2">
      <c r="A1054" s="59" t="s">
        <v>2394</v>
      </c>
      <c r="B1054" s="59" t="s">
        <v>69</v>
      </c>
      <c r="C1054" s="59" t="s">
        <v>81</v>
      </c>
      <c r="D1054" s="66" t="s">
        <v>2395</v>
      </c>
      <c r="E1054" s="59" t="s">
        <v>2307</v>
      </c>
      <c r="F1054" s="60">
        <v>338050.85</v>
      </c>
      <c r="G1054" s="60">
        <v>149305.76999999999</v>
      </c>
      <c r="H1054" s="60">
        <v>188745.08</v>
      </c>
      <c r="I1054" s="59"/>
      <c r="J1054" s="60">
        <v>33805.08</v>
      </c>
      <c r="K1054" s="59"/>
      <c r="L1054" s="59"/>
      <c r="M1054" s="60">
        <v>338050.85</v>
      </c>
      <c r="N1054" s="60">
        <v>183110.85</v>
      </c>
      <c r="O1054" s="60">
        <v>154940</v>
      </c>
      <c r="P1054" s="55"/>
      <c r="Q1054" s="55"/>
      <c r="R1054" s="61">
        <f t="shared" si="432"/>
        <v>2817.09</v>
      </c>
      <c r="S1054" s="60">
        <v>2817.09</v>
      </c>
      <c r="T1054" s="60">
        <v>2817.09</v>
      </c>
      <c r="U1054" s="60">
        <v>2817.09</v>
      </c>
      <c r="V1054" s="60">
        <v>2817.09</v>
      </c>
      <c r="W1054" s="60">
        <v>2817.09</v>
      </c>
      <c r="X1054" s="61">
        <f t="shared" si="433"/>
        <v>16902.54</v>
      </c>
      <c r="Y1054" s="60">
        <v>2817.09</v>
      </c>
      <c r="Z1054" s="60">
        <v>2817.09</v>
      </c>
      <c r="AA1054" s="60">
        <v>2817.09</v>
      </c>
      <c r="AB1054" s="60">
        <v>2817.09</v>
      </c>
      <c r="AC1054" s="60">
        <v>2817.09</v>
      </c>
      <c r="AD1054" s="60">
        <v>2817.09</v>
      </c>
      <c r="AE1054" s="61">
        <f t="shared" si="434"/>
        <v>16902.54</v>
      </c>
      <c r="AF1054" s="62">
        <f t="shared" si="419"/>
        <v>338050.85</v>
      </c>
      <c r="AG1054" s="62">
        <f t="shared" si="420"/>
        <v>216915.92999999996</v>
      </c>
      <c r="AH1054" s="62">
        <f t="shared" si="437"/>
        <v>121134.92000000001</v>
      </c>
      <c r="AI1054" s="63"/>
      <c r="AJ1054" s="63"/>
      <c r="AK1054" s="62"/>
      <c r="AL1054" s="60">
        <v>2817.09</v>
      </c>
      <c r="AM1054" s="60">
        <v>2817.09</v>
      </c>
      <c r="AN1054" s="60">
        <v>2817.09</v>
      </c>
      <c r="AO1054" s="60">
        <v>2817.09</v>
      </c>
      <c r="AP1054" s="60">
        <v>2817.09</v>
      </c>
      <c r="AQ1054" s="60">
        <v>2817.09</v>
      </c>
      <c r="AR1054" s="61">
        <f t="shared" si="435"/>
        <v>16902.54</v>
      </c>
      <c r="AS1054" s="60">
        <v>2817.09</v>
      </c>
      <c r="AT1054" s="60">
        <v>2817.09</v>
      </c>
      <c r="AU1054" s="60">
        <v>2817.09</v>
      </c>
      <c r="AV1054" s="60">
        <v>2817.09</v>
      </c>
      <c r="AW1054" s="60">
        <v>2817.09</v>
      </c>
      <c r="AX1054" s="60">
        <v>2817.09</v>
      </c>
      <c r="AY1054" s="61">
        <f t="shared" si="436"/>
        <v>16902.54</v>
      </c>
      <c r="AZ1054" s="56">
        <f t="shared" si="427"/>
        <v>33805.08</v>
      </c>
      <c r="BA1054" s="62">
        <f t="shared" si="416"/>
        <v>338050.85</v>
      </c>
      <c r="BB1054" s="62">
        <f t="shared" si="439"/>
        <v>250721.00999999992</v>
      </c>
      <c r="BC1054" s="62">
        <f t="shared" si="417"/>
        <v>87329.840000000055</v>
      </c>
      <c r="BD1054" s="63"/>
      <c r="BE1054" s="57"/>
      <c r="BF1054" s="35" t="str">
        <f>VLOOKUP(A:A,'2023-2027'!A:G,1,+FALSE)</f>
        <v>Система для высоковольтных испытаний "ВОЛНА-СВИ53В"</v>
      </c>
      <c r="BG1054" s="7" t="b">
        <f t="shared" si="438"/>
        <v>1</v>
      </c>
      <c r="BH1054" s="35">
        <f>VLOOKUP(A:A,'2023-2027'!A:AT,43,+FALSE)</f>
        <v>2817.09</v>
      </c>
    </row>
    <row r="1055" spans="1:60" ht="36" hidden="1" customHeight="1" outlineLevel="1" x14ac:dyDescent="0.2">
      <c r="A1055" s="59" t="s">
        <v>2396</v>
      </c>
      <c r="B1055" s="59" t="s">
        <v>69</v>
      </c>
      <c r="C1055" s="59" t="s">
        <v>81</v>
      </c>
      <c r="D1055" s="66" t="s">
        <v>2397</v>
      </c>
      <c r="E1055" s="59" t="s">
        <v>2398</v>
      </c>
      <c r="F1055" s="60">
        <v>130271.88</v>
      </c>
      <c r="G1055" s="60">
        <v>44509.599999999999</v>
      </c>
      <c r="H1055" s="60">
        <v>85762.28</v>
      </c>
      <c r="I1055" s="59"/>
      <c r="J1055" s="60">
        <v>13027.2</v>
      </c>
      <c r="K1055" s="59"/>
      <c r="L1055" s="59"/>
      <c r="M1055" s="60">
        <v>130271.88</v>
      </c>
      <c r="N1055" s="60">
        <v>57536.800000000003</v>
      </c>
      <c r="O1055" s="60">
        <v>72735.08</v>
      </c>
      <c r="P1055" s="55"/>
      <c r="Q1055" s="55"/>
      <c r="R1055" s="61">
        <f t="shared" si="432"/>
        <v>1085.6000000000001</v>
      </c>
      <c r="S1055" s="60">
        <v>1085.5999999999999</v>
      </c>
      <c r="T1055" s="60">
        <v>1085.5999999999999</v>
      </c>
      <c r="U1055" s="60">
        <v>1085.5999999999999</v>
      </c>
      <c r="V1055" s="60">
        <v>1085.5999999999999</v>
      </c>
      <c r="W1055" s="60">
        <v>1085.5999999999999</v>
      </c>
      <c r="X1055" s="61">
        <f t="shared" si="433"/>
        <v>6513.6</v>
      </c>
      <c r="Y1055" s="60">
        <v>1085.5999999999999</v>
      </c>
      <c r="Z1055" s="60">
        <v>1085.5999999999999</v>
      </c>
      <c r="AA1055" s="60">
        <v>1085.5999999999999</v>
      </c>
      <c r="AB1055" s="60">
        <v>1085.5999999999999</v>
      </c>
      <c r="AC1055" s="60">
        <v>1085.5999999999999</v>
      </c>
      <c r="AD1055" s="60">
        <v>1085.5999999999999</v>
      </c>
      <c r="AE1055" s="61">
        <f t="shared" si="434"/>
        <v>6513.6</v>
      </c>
      <c r="AF1055" s="62">
        <f t="shared" si="419"/>
        <v>130271.88</v>
      </c>
      <c r="AG1055" s="62">
        <f>N1055+R1055+S1055+T1055+U1055+V1055+W1055+Y1055+Z1055+AA1055+AB1055+AC1055+AD1055</f>
        <v>70564.000000000015</v>
      </c>
      <c r="AH1055" s="62">
        <f t="shared" si="437"/>
        <v>59707.87999999999</v>
      </c>
      <c r="AI1055" s="63"/>
      <c r="AJ1055" s="63"/>
      <c r="AK1055" s="62"/>
      <c r="AL1055" s="60">
        <v>1085.5999999999999</v>
      </c>
      <c r="AM1055" s="60">
        <v>1085.5999999999999</v>
      </c>
      <c r="AN1055" s="60">
        <v>1085.5999999999999</v>
      </c>
      <c r="AO1055" s="60">
        <v>1085.5999999999999</v>
      </c>
      <c r="AP1055" s="60">
        <v>1085.5999999999999</v>
      </c>
      <c r="AQ1055" s="60">
        <v>1085.5999999999999</v>
      </c>
      <c r="AR1055" s="61">
        <f t="shared" si="435"/>
        <v>6513.6</v>
      </c>
      <c r="AS1055" s="60">
        <v>1085.5999999999999</v>
      </c>
      <c r="AT1055" s="60">
        <v>1085.5999999999999</v>
      </c>
      <c r="AU1055" s="60">
        <v>1085.5999999999999</v>
      </c>
      <c r="AV1055" s="60">
        <v>1085.5999999999999</v>
      </c>
      <c r="AW1055" s="60">
        <v>1085.5999999999999</v>
      </c>
      <c r="AX1055" s="60">
        <v>1085.5999999999999</v>
      </c>
      <c r="AY1055" s="61">
        <f t="shared" si="436"/>
        <v>6513.6</v>
      </c>
      <c r="AZ1055" s="56">
        <f t="shared" si="427"/>
        <v>13027.2</v>
      </c>
      <c r="BA1055" s="62">
        <f t="shared" si="416"/>
        <v>130271.88</v>
      </c>
      <c r="BB1055" s="62">
        <f>AG1055+AL1055+AM1055+AN1055+AO1055+AP1055+AQ1055+AS1055+AT1055+AU1055+AV1055+AW1055+AX1055</f>
        <v>83591.200000000084</v>
      </c>
      <c r="BC1055" s="62">
        <f t="shared" si="417"/>
        <v>46680.67999999992</v>
      </c>
      <c r="BD1055" s="63"/>
      <c r="BE1055" s="57"/>
      <c r="BF1055" s="35" t="str">
        <f>VLOOKUP(A:A,'2023-2027'!A:G,1,+FALSE)</f>
        <v>Система оперативно-диспетчерской связи Каскад-14 (Р) мод. Б-1</v>
      </c>
      <c r="BG1055" s="7" t="b">
        <f t="shared" si="438"/>
        <v>1</v>
      </c>
      <c r="BH1055" s="35">
        <f>VLOOKUP(A:A,'2023-2027'!A:AT,43,+FALSE)</f>
        <v>1085.6000000000001</v>
      </c>
    </row>
    <row r="1056" spans="1:60" ht="24" hidden="1" customHeight="1" outlineLevel="1" x14ac:dyDescent="0.2">
      <c r="A1056" s="59" t="s">
        <v>2399</v>
      </c>
      <c r="B1056" s="59" t="s">
        <v>69</v>
      </c>
      <c r="C1056" s="59" t="s">
        <v>81</v>
      </c>
      <c r="D1056" s="66" t="s">
        <v>2400</v>
      </c>
      <c r="E1056" s="59" t="s">
        <v>2401</v>
      </c>
      <c r="F1056" s="60">
        <v>92585.46</v>
      </c>
      <c r="G1056" s="60">
        <v>70982.14</v>
      </c>
      <c r="H1056" s="60">
        <v>21603.32</v>
      </c>
      <c r="I1056" s="59"/>
      <c r="J1056" s="60">
        <v>18517.13</v>
      </c>
      <c r="K1056" s="59"/>
      <c r="L1056" s="59"/>
      <c r="M1056" s="60">
        <v>92585.46</v>
      </c>
      <c r="N1056" s="60">
        <v>89499.27</v>
      </c>
      <c r="O1056" s="60">
        <v>3086.19</v>
      </c>
      <c r="P1056" s="55"/>
      <c r="Q1056" s="55"/>
      <c r="R1056" s="61">
        <f t="shared" si="432"/>
        <v>1543.0941666666668</v>
      </c>
      <c r="S1056" s="60">
        <v>1543.094167</v>
      </c>
      <c r="T1056" s="60"/>
      <c r="U1056" s="60"/>
      <c r="V1056" s="60"/>
      <c r="W1056" s="60"/>
      <c r="X1056" s="61">
        <f t="shared" si="433"/>
        <v>3086.1883336666669</v>
      </c>
      <c r="Y1056" s="60"/>
      <c r="Z1056" s="60"/>
      <c r="AA1056" s="60"/>
      <c r="AB1056" s="60"/>
      <c r="AC1056" s="60"/>
      <c r="AD1056" s="60"/>
      <c r="AE1056" s="61">
        <f t="shared" si="434"/>
        <v>0</v>
      </c>
      <c r="AF1056" s="62">
        <f t="shared" si="419"/>
        <v>92585.46</v>
      </c>
      <c r="AG1056" s="62">
        <f t="shared" si="420"/>
        <v>92585.458333666669</v>
      </c>
      <c r="AH1056" s="62">
        <f t="shared" si="437"/>
        <v>1.6663333371980116E-3</v>
      </c>
      <c r="AI1056" s="63"/>
      <c r="AJ1056" s="63"/>
      <c r="AK1056" s="62"/>
      <c r="AL1056" s="60"/>
      <c r="AM1056" s="60"/>
      <c r="AN1056" s="60"/>
      <c r="AO1056" s="60"/>
      <c r="AP1056" s="60"/>
      <c r="AQ1056" s="60"/>
      <c r="AR1056" s="61">
        <f t="shared" si="435"/>
        <v>0</v>
      </c>
      <c r="AS1056" s="60"/>
      <c r="AT1056" s="60"/>
      <c r="AU1056" s="60"/>
      <c r="AV1056" s="60"/>
      <c r="AW1056" s="60"/>
      <c r="AX1056" s="60"/>
      <c r="AY1056" s="61">
        <f t="shared" si="436"/>
        <v>0</v>
      </c>
      <c r="AZ1056" s="56">
        <f t="shared" si="427"/>
        <v>0</v>
      </c>
      <c r="BA1056" s="62">
        <f t="shared" si="416"/>
        <v>92585.46</v>
      </c>
      <c r="BB1056" s="62">
        <f t="shared" ref="BB1056:BB1071" si="443">AG1056+AL1056+AM1056+AN1056+AO1056+AP1056+AQ1056+AS1056+AT1056+AU1056+AV1056+AW1056+AX1056</f>
        <v>92585.458333666669</v>
      </c>
      <c r="BC1056" s="62">
        <f t="shared" si="417"/>
        <v>1.6663333371980116E-3</v>
      </c>
      <c r="BD1056" s="63"/>
      <c r="BE1056" s="57"/>
      <c r="BF1056" s="35" t="str">
        <f>VLOOKUP(A:A,'2023-2027'!A:G,1,+FALSE)</f>
        <v>Система оперативной радиосвязи</v>
      </c>
      <c r="BG1056" s="7" t="b">
        <f t="shared" si="438"/>
        <v>1</v>
      </c>
      <c r="BH1056" s="35">
        <f>VLOOKUP(A:A,'2023-2027'!A:AT,43,+FALSE)</f>
        <v>0</v>
      </c>
    </row>
    <row r="1057" spans="1:60" ht="48" hidden="1" customHeight="1" outlineLevel="1" x14ac:dyDescent="0.2">
      <c r="A1057" s="59" t="s">
        <v>2456</v>
      </c>
      <c r="B1057" s="59" t="s">
        <v>69</v>
      </c>
      <c r="C1057" s="59" t="s">
        <v>81</v>
      </c>
      <c r="D1057" s="66" t="s">
        <v>2402</v>
      </c>
      <c r="E1057" s="59" t="s">
        <v>234</v>
      </c>
      <c r="F1057" s="60">
        <v>41824.660000000003</v>
      </c>
      <c r="G1057" s="60">
        <v>9991.48</v>
      </c>
      <c r="H1057" s="60">
        <v>31833.18</v>
      </c>
      <c r="I1057" s="59"/>
      <c r="J1057" s="60">
        <v>2788.32</v>
      </c>
      <c r="K1057" s="59"/>
      <c r="L1057" s="59"/>
      <c r="M1057" s="60">
        <v>41824.660000000003</v>
      </c>
      <c r="N1057" s="60">
        <v>12779.8</v>
      </c>
      <c r="O1057" s="60">
        <v>29044.86</v>
      </c>
      <c r="P1057" s="55"/>
      <c r="Q1057" s="55"/>
      <c r="R1057" s="61">
        <f t="shared" si="432"/>
        <v>232.36</v>
      </c>
      <c r="S1057" s="60">
        <v>232.36</v>
      </c>
      <c r="T1057" s="60">
        <v>232.36</v>
      </c>
      <c r="U1057" s="60">
        <v>232.36</v>
      </c>
      <c r="V1057" s="60">
        <v>232.36</v>
      </c>
      <c r="W1057" s="60">
        <v>232.36</v>
      </c>
      <c r="X1057" s="61">
        <f t="shared" si="433"/>
        <v>1394.1600000000003</v>
      </c>
      <c r="Y1057" s="60">
        <v>232.36</v>
      </c>
      <c r="Z1057" s="60">
        <v>232.36</v>
      </c>
      <c r="AA1057" s="60">
        <v>232.36</v>
      </c>
      <c r="AB1057" s="60">
        <v>232.36</v>
      </c>
      <c r="AC1057" s="60">
        <v>232.36</v>
      </c>
      <c r="AD1057" s="60">
        <v>232.36</v>
      </c>
      <c r="AE1057" s="61">
        <f t="shared" si="434"/>
        <v>1394.1600000000003</v>
      </c>
      <c r="AF1057" s="62">
        <f t="shared" si="419"/>
        <v>41824.660000000003</v>
      </c>
      <c r="AG1057" s="62">
        <f t="shared" si="420"/>
        <v>15568.120000000006</v>
      </c>
      <c r="AH1057" s="62">
        <f t="shared" si="437"/>
        <v>26256.539999999997</v>
      </c>
      <c r="AI1057" s="63"/>
      <c r="AJ1057" s="63"/>
      <c r="AK1057" s="62"/>
      <c r="AL1057" s="60">
        <v>232.36</v>
      </c>
      <c r="AM1057" s="60">
        <v>232.36</v>
      </c>
      <c r="AN1057" s="60">
        <v>232.36</v>
      </c>
      <c r="AO1057" s="60">
        <v>232.36</v>
      </c>
      <c r="AP1057" s="60">
        <v>232.36</v>
      </c>
      <c r="AQ1057" s="60">
        <v>232.36</v>
      </c>
      <c r="AR1057" s="61">
        <f t="shared" si="435"/>
        <v>1394.1600000000003</v>
      </c>
      <c r="AS1057" s="60">
        <v>232.36</v>
      </c>
      <c r="AT1057" s="60">
        <v>232.36</v>
      </c>
      <c r="AU1057" s="60">
        <v>232.36</v>
      </c>
      <c r="AV1057" s="60">
        <v>232.36</v>
      </c>
      <c r="AW1057" s="60">
        <v>232.36</v>
      </c>
      <c r="AX1057" s="60">
        <v>232.36</v>
      </c>
      <c r="AY1057" s="61">
        <f t="shared" si="436"/>
        <v>1394.1600000000003</v>
      </c>
      <c r="AZ1057" s="56">
        <f t="shared" si="427"/>
        <v>2788.3200000000006</v>
      </c>
      <c r="BA1057" s="62">
        <f t="shared" si="416"/>
        <v>41824.660000000003</v>
      </c>
      <c r="BB1057" s="62">
        <f t="shared" si="443"/>
        <v>18356.440000000013</v>
      </c>
      <c r="BC1057" s="62">
        <f t="shared" si="417"/>
        <v>23468.21999999999</v>
      </c>
      <c r="BD1057" s="63"/>
      <c r="BE1057" s="57"/>
      <c r="BF1057" s="35" t="str">
        <f>VLOOKUP(A:A,'2023-2027'!A:G,1,+FALSE)</f>
        <v>Система охранно-пожарной сигнализации в производственных помещениях ЭЦ ГУП НАО "Нарьян-Марская электростанция"</v>
      </c>
      <c r="BG1057" s="7" t="b">
        <f t="shared" si="438"/>
        <v>1</v>
      </c>
      <c r="BH1057" s="35">
        <f>VLOOKUP(A:A,'2023-2027'!A:AT,43,+FALSE)</f>
        <v>232.3600000000001</v>
      </c>
    </row>
    <row r="1058" spans="1:60" ht="48" hidden="1" customHeight="1" outlineLevel="1" x14ac:dyDescent="0.2">
      <c r="A1058" s="59" t="s">
        <v>2457</v>
      </c>
      <c r="B1058" s="59" t="s">
        <v>69</v>
      </c>
      <c r="C1058" s="59" t="s">
        <v>81</v>
      </c>
      <c r="D1058" s="66" t="s">
        <v>2403</v>
      </c>
      <c r="E1058" s="59" t="s">
        <v>2404</v>
      </c>
      <c r="F1058" s="60">
        <v>49704</v>
      </c>
      <c r="G1058" s="60">
        <v>34792.800000000003</v>
      </c>
      <c r="H1058" s="60">
        <v>14911.2</v>
      </c>
      <c r="I1058" s="59"/>
      <c r="J1058" s="60">
        <v>9940.7999999999993</v>
      </c>
      <c r="K1058" s="59"/>
      <c r="L1058" s="59"/>
      <c r="M1058" s="60">
        <v>49704</v>
      </c>
      <c r="N1058" s="60">
        <v>44733.599999999999</v>
      </c>
      <c r="O1058" s="60">
        <v>4970.3999999999996</v>
      </c>
      <c r="P1058" s="55"/>
      <c r="Q1058" s="55"/>
      <c r="R1058" s="61">
        <f t="shared" si="432"/>
        <v>828.4</v>
      </c>
      <c r="S1058" s="60">
        <v>828.4</v>
      </c>
      <c r="T1058" s="60">
        <v>828.4</v>
      </c>
      <c r="U1058" s="60">
        <v>828.4</v>
      </c>
      <c r="V1058" s="60">
        <v>828.4</v>
      </c>
      <c r="W1058" s="60">
        <v>828.4</v>
      </c>
      <c r="X1058" s="61">
        <f t="shared" si="433"/>
        <v>4970.3999999999996</v>
      </c>
      <c r="Y1058" s="60"/>
      <c r="Z1058" s="60"/>
      <c r="AA1058" s="60"/>
      <c r="AB1058" s="60"/>
      <c r="AC1058" s="60"/>
      <c r="AD1058" s="60"/>
      <c r="AE1058" s="61">
        <f t="shared" si="434"/>
        <v>0</v>
      </c>
      <c r="AF1058" s="62">
        <f t="shared" si="419"/>
        <v>49704</v>
      </c>
      <c r="AG1058" s="62">
        <f t="shared" si="420"/>
        <v>49704.000000000007</v>
      </c>
      <c r="AH1058" s="62">
        <f t="shared" si="437"/>
        <v>0</v>
      </c>
      <c r="AI1058" s="63"/>
      <c r="AJ1058" s="63"/>
      <c r="AK1058" s="62"/>
      <c r="AL1058" s="60"/>
      <c r="AM1058" s="60"/>
      <c r="AN1058" s="60"/>
      <c r="AO1058" s="60"/>
      <c r="AP1058" s="60"/>
      <c r="AQ1058" s="60"/>
      <c r="AR1058" s="61">
        <f t="shared" si="435"/>
        <v>0</v>
      </c>
      <c r="AS1058" s="60"/>
      <c r="AT1058" s="60"/>
      <c r="AU1058" s="60"/>
      <c r="AV1058" s="60"/>
      <c r="AW1058" s="60"/>
      <c r="AX1058" s="60"/>
      <c r="AY1058" s="61">
        <f t="shared" si="436"/>
        <v>0</v>
      </c>
      <c r="AZ1058" s="56">
        <f t="shared" si="427"/>
        <v>0</v>
      </c>
      <c r="BA1058" s="62">
        <f t="shared" si="416"/>
        <v>49704</v>
      </c>
      <c r="BB1058" s="62">
        <f t="shared" si="443"/>
        <v>49704.000000000007</v>
      </c>
      <c r="BC1058" s="62">
        <f t="shared" si="417"/>
        <v>0</v>
      </c>
      <c r="BD1058" s="63"/>
      <c r="BE1058" s="57"/>
      <c r="BF1058" s="35" t="str">
        <f>VLOOKUP(A:A,'2023-2027'!A:G,1,+FALSE)</f>
        <v>Стенд из белого пластика ПВХ 6мм. Размер -2050x2400 мм</v>
      </c>
      <c r="BG1058" s="7" t="b">
        <f t="shared" si="438"/>
        <v>1</v>
      </c>
      <c r="BH1058" s="35">
        <f>VLOOKUP(A:A,'2023-2027'!A:AT,43,+FALSE)</f>
        <v>828.39999999999975</v>
      </c>
    </row>
    <row r="1059" spans="1:60" ht="12" hidden="1" customHeight="1" outlineLevel="1" x14ac:dyDescent="0.2">
      <c r="A1059" s="59" t="s">
        <v>2405</v>
      </c>
      <c r="B1059" s="59" t="s">
        <v>69</v>
      </c>
      <c r="C1059" s="59" t="s">
        <v>81</v>
      </c>
      <c r="D1059" s="65" t="s">
        <v>2406</v>
      </c>
      <c r="E1059" s="59" t="s">
        <v>243</v>
      </c>
      <c r="F1059" s="68">
        <v>291.64999999999998</v>
      </c>
      <c r="G1059" s="68">
        <v>291.64999999999998</v>
      </c>
      <c r="H1059" s="59"/>
      <c r="I1059" s="59"/>
      <c r="J1059" s="59"/>
      <c r="K1059" s="68">
        <v>291.64999999999998</v>
      </c>
      <c r="L1059" s="68">
        <v>291.64999999999998</v>
      </c>
      <c r="M1059" s="59"/>
      <c r="N1059" s="59"/>
      <c r="O1059" s="59"/>
      <c r="P1059" s="67"/>
      <c r="Q1059" s="67"/>
      <c r="R1059" s="61">
        <f t="shared" si="432"/>
        <v>0</v>
      </c>
      <c r="S1059" s="60">
        <v>0</v>
      </c>
      <c r="T1059" s="60">
        <v>0</v>
      </c>
      <c r="U1059" s="60">
        <v>0</v>
      </c>
      <c r="V1059" s="60">
        <v>0</v>
      </c>
      <c r="W1059" s="60">
        <v>0</v>
      </c>
      <c r="X1059" s="61">
        <f t="shared" si="433"/>
        <v>0</v>
      </c>
      <c r="Y1059" s="60">
        <v>0</v>
      </c>
      <c r="Z1059" s="60">
        <v>0</v>
      </c>
      <c r="AA1059" s="60">
        <v>0</v>
      </c>
      <c r="AB1059" s="60">
        <v>0</v>
      </c>
      <c r="AC1059" s="60">
        <v>0</v>
      </c>
      <c r="AD1059" s="60">
        <v>0</v>
      </c>
      <c r="AE1059" s="61">
        <f t="shared" si="434"/>
        <v>0</v>
      </c>
      <c r="AF1059" s="62">
        <f t="shared" si="419"/>
        <v>0</v>
      </c>
      <c r="AG1059" s="62">
        <f t="shared" si="420"/>
        <v>0</v>
      </c>
      <c r="AH1059" s="62">
        <f t="shared" si="437"/>
        <v>0</v>
      </c>
      <c r="AI1059" s="63"/>
      <c r="AJ1059" s="63"/>
      <c r="AK1059" s="62"/>
      <c r="AL1059" s="60">
        <v>0</v>
      </c>
      <c r="AM1059" s="60">
        <v>0</v>
      </c>
      <c r="AN1059" s="60">
        <v>0</v>
      </c>
      <c r="AO1059" s="60">
        <v>0</v>
      </c>
      <c r="AP1059" s="60">
        <v>0</v>
      </c>
      <c r="AQ1059" s="60">
        <v>0</v>
      </c>
      <c r="AR1059" s="61">
        <f t="shared" si="435"/>
        <v>0</v>
      </c>
      <c r="AS1059" s="60">
        <v>0</v>
      </c>
      <c r="AT1059" s="60">
        <v>0</v>
      </c>
      <c r="AU1059" s="60">
        <v>0</v>
      </c>
      <c r="AV1059" s="60">
        <v>0</v>
      </c>
      <c r="AW1059" s="60">
        <v>0</v>
      </c>
      <c r="AX1059" s="60">
        <v>0</v>
      </c>
      <c r="AY1059" s="61">
        <f t="shared" si="436"/>
        <v>0</v>
      </c>
      <c r="AZ1059" s="56">
        <f t="shared" si="427"/>
        <v>0</v>
      </c>
      <c r="BA1059" s="62">
        <f t="shared" si="416"/>
        <v>0</v>
      </c>
      <c r="BB1059" s="62">
        <f t="shared" si="443"/>
        <v>0</v>
      </c>
      <c r="BC1059" s="62">
        <f t="shared" si="417"/>
        <v>0</v>
      </c>
      <c r="BD1059" s="63"/>
      <c r="BE1059" s="57"/>
      <c r="BF1059" s="35" t="e">
        <f>VLOOKUP(A:A,'2023-2027'!A:G,1,+FALSE)</f>
        <v>#N/A</v>
      </c>
      <c r="BG1059" s="7" t="e">
        <f t="shared" si="438"/>
        <v>#N/A</v>
      </c>
      <c r="BH1059" s="35"/>
    </row>
    <row r="1060" spans="1:60" ht="24" hidden="1" customHeight="1" outlineLevel="1" x14ac:dyDescent="0.2">
      <c r="A1060" s="59" t="s">
        <v>2407</v>
      </c>
      <c r="B1060" s="59" t="s">
        <v>69</v>
      </c>
      <c r="C1060" s="59" t="s">
        <v>81</v>
      </c>
      <c r="D1060" s="65" t="s">
        <v>2408</v>
      </c>
      <c r="E1060" s="59" t="s">
        <v>2409</v>
      </c>
      <c r="F1060" s="60">
        <v>33050</v>
      </c>
      <c r="G1060" s="60">
        <v>33050</v>
      </c>
      <c r="H1060" s="59"/>
      <c r="I1060" s="59"/>
      <c r="J1060" s="59"/>
      <c r="K1060" s="60">
        <v>33050</v>
      </c>
      <c r="L1060" s="60">
        <v>33050</v>
      </c>
      <c r="M1060" s="59"/>
      <c r="N1060" s="59"/>
      <c r="O1060" s="59"/>
      <c r="P1060" s="67"/>
      <c r="Q1060" s="67"/>
      <c r="R1060" s="61">
        <f t="shared" si="432"/>
        <v>0</v>
      </c>
      <c r="S1060" s="60">
        <v>0</v>
      </c>
      <c r="T1060" s="60">
        <v>0</v>
      </c>
      <c r="U1060" s="60">
        <v>0</v>
      </c>
      <c r="V1060" s="60">
        <v>0</v>
      </c>
      <c r="W1060" s="60">
        <v>0</v>
      </c>
      <c r="X1060" s="61">
        <f t="shared" si="433"/>
        <v>0</v>
      </c>
      <c r="Y1060" s="60">
        <v>0</v>
      </c>
      <c r="Z1060" s="60">
        <v>0</v>
      </c>
      <c r="AA1060" s="60">
        <v>0</v>
      </c>
      <c r="AB1060" s="60">
        <v>0</v>
      </c>
      <c r="AC1060" s="60">
        <v>0</v>
      </c>
      <c r="AD1060" s="60">
        <v>0</v>
      </c>
      <c r="AE1060" s="61">
        <f t="shared" si="434"/>
        <v>0</v>
      </c>
      <c r="AF1060" s="62">
        <f t="shared" si="419"/>
        <v>0</v>
      </c>
      <c r="AG1060" s="62">
        <f t="shared" si="420"/>
        <v>0</v>
      </c>
      <c r="AH1060" s="62">
        <f t="shared" si="437"/>
        <v>0</v>
      </c>
      <c r="AI1060" s="63"/>
      <c r="AJ1060" s="63"/>
      <c r="AK1060" s="62"/>
      <c r="AL1060" s="60">
        <v>0</v>
      </c>
      <c r="AM1060" s="60">
        <v>0</v>
      </c>
      <c r="AN1060" s="60">
        <v>0</v>
      </c>
      <c r="AO1060" s="60">
        <v>0</v>
      </c>
      <c r="AP1060" s="60">
        <v>0</v>
      </c>
      <c r="AQ1060" s="60">
        <v>0</v>
      </c>
      <c r="AR1060" s="61">
        <f t="shared" si="435"/>
        <v>0</v>
      </c>
      <c r="AS1060" s="60">
        <v>0</v>
      </c>
      <c r="AT1060" s="60">
        <v>0</v>
      </c>
      <c r="AU1060" s="60">
        <v>0</v>
      </c>
      <c r="AV1060" s="60">
        <v>0</v>
      </c>
      <c r="AW1060" s="60">
        <v>0</v>
      </c>
      <c r="AX1060" s="60">
        <v>0</v>
      </c>
      <c r="AY1060" s="61">
        <f t="shared" si="436"/>
        <v>0</v>
      </c>
      <c r="AZ1060" s="56">
        <f t="shared" si="427"/>
        <v>0</v>
      </c>
      <c r="BA1060" s="62">
        <f t="shared" si="416"/>
        <v>0</v>
      </c>
      <c r="BB1060" s="62">
        <f t="shared" si="443"/>
        <v>0</v>
      </c>
      <c r="BC1060" s="62">
        <f t="shared" si="417"/>
        <v>0</v>
      </c>
      <c r="BD1060" s="63"/>
      <c r="BE1060" s="57"/>
      <c r="BF1060" s="35" t="e">
        <f>VLOOKUP(A:A,'2023-2027'!A:G,1,+FALSE)</f>
        <v>#N/A</v>
      </c>
      <c r="BG1060" s="7" t="e">
        <f t="shared" si="438"/>
        <v>#N/A</v>
      </c>
      <c r="BH1060" s="35"/>
    </row>
    <row r="1061" spans="1:60" ht="24" hidden="1" customHeight="1" outlineLevel="1" x14ac:dyDescent="0.2">
      <c r="A1061" s="59" t="s">
        <v>2410</v>
      </c>
      <c r="B1061" s="59" t="s">
        <v>69</v>
      </c>
      <c r="C1061" s="59" t="s">
        <v>81</v>
      </c>
      <c r="D1061" s="65" t="s">
        <v>2411</v>
      </c>
      <c r="E1061" s="59" t="s">
        <v>766</v>
      </c>
      <c r="F1061" s="60">
        <v>35230</v>
      </c>
      <c r="G1061" s="60">
        <v>35230</v>
      </c>
      <c r="H1061" s="59"/>
      <c r="I1061" s="59"/>
      <c r="J1061" s="59"/>
      <c r="K1061" s="60">
        <v>35230</v>
      </c>
      <c r="L1061" s="60">
        <v>35230</v>
      </c>
      <c r="M1061" s="59"/>
      <c r="N1061" s="59"/>
      <c r="O1061" s="59"/>
      <c r="P1061" s="67"/>
      <c r="Q1061" s="67"/>
      <c r="R1061" s="61">
        <f t="shared" si="432"/>
        <v>0</v>
      </c>
      <c r="S1061" s="60">
        <v>0</v>
      </c>
      <c r="T1061" s="60">
        <v>0</v>
      </c>
      <c r="U1061" s="60">
        <v>0</v>
      </c>
      <c r="V1061" s="60">
        <v>0</v>
      </c>
      <c r="W1061" s="60">
        <v>0</v>
      </c>
      <c r="X1061" s="61">
        <f t="shared" si="433"/>
        <v>0</v>
      </c>
      <c r="Y1061" s="60">
        <v>0</v>
      </c>
      <c r="Z1061" s="60">
        <v>0</v>
      </c>
      <c r="AA1061" s="60">
        <v>0</v>
      </c>
      <c r="AB1061" s="60">
        <v>0</v>
      </c>
      <c r="AC1061" s="60">
        <v>0</v>
      </c>
      <c r="AD1061" s="60">
        <v>0</v>
      </c>
      <c r="AE1061" s="61">
        <f t="shared" si="434"/>
        <v>0</v>
      </c>
      <c r="AF1061" s="62">
        <f t="shared" si="419"/>
        <v>0</v>
      </c>
      <c r="AG1061" s="62">
        <f t="shared" si="420"/>
        <v>0</v>
      </c>
      <c r="AH1061" s="62">
        <f t="shared" si="437"/>
        <v>0</v>
      </c>
      <c r="AI1061" s="63"/>
      <c r="AJ1061" s="63"/>
      <c r="AK1061" s="62"/>
      <c r="AL1061" s="60">
        <v>0</v>
      </c>
      <c r="AM1061" s="60">
        <v>0</v>
      </c>
      <c r="AN1061" s="60">
        <v>0</v>
      </c>
      <c r="AO1061" s="60">
        <v>0</v>
      </c>
      <c r="AP1061" s="60">
        <v>0</v>
      </c>
      <c r="AQ1061" s="60">
        <v>0</v>
      </c>
      <c r="AR1061" s="61">
        <f t="shared" si="435"/>
        <v>0</v>
      </c>
      <c r="AS1061" s="60">
        <v>0</v>
      </c>
      <c r="AT1061" s="60">
        <v>0</v>
      </c>
      <c r="AU1061" s="60">
        <v>0</v>
      </c>
      <c r="AV1061" s="60">
        <v>0</v>
      </c>
      <c r="AW1061" s="60">
        <v>0</v>
      </c>
      <c r="AX1061" s="60">
        <v>0</v>
      </c>
      <c r="AY1061" s="61">
        <f t="shared" si="436"/>
        <v>0</v>
      </c>
      <c r="AZ1061" s="56">
        <f t="shared" si="427"/>
        <v>0</v>
      </c>
      <c r="BA1061" s="62">
        <f t="shared" si="416"/>
        <v>0</v>
      </c>
      <c r="BB1061" s="62">
        <f t="shared" si="443"/>
        <v>0</v>
      </c>
      <c r="BC1061" s="62">
        <f t="shared" si="417"/>
        <v>0</v>
      </c>
      <c r="BD1061" s="63"/>
      <c r="BE1061" s="57"/>
      <c r="BF1061" s="35" t="e">
        <f>VLOOKUP(A:A,'2023-2027'!A:G,1,+FALSE)</f>
        <v>#N/A</v>
      </c>
      <c r="BG1061" s="7" t="e">
        <f t="shared" si="438"/>
        <v>#N/A</v>
      </c>
      <c r="BH1061" s="35"/>
    </row>
    <row r="1062" spans="1:60" ht="36" hidden="1" customHeight="1" outlineLevel="1" x14ac:dyDescent="0.2">
      <c r="A1062" s="59" t="s">
        <v>2412</v>
      </c>
      <c r="B1062" s="59" t="s">
        <v>69</v>
      </c>
      <c r="C1062" s="59" t="s">
        <v>81</v>
      </c>
      <c r="D1062" s="66" t="s">
        <v>2413</v>
      </c>
      <c r="E1062" s="59" t="s">
        <v>1113</v>
      </c>
      <c r="F1062" s="60">
        <v>55250</v>
      </c>
      <c r="G1062" s="60">
        <v>45581.58</v>
      </c>
      <c r="H1062" s="60">
        <v>9668.42</v>
      </c>
      <c r="I1062" s="59"/>
      <c r="J1062" s="60">
        <v>5524.8</v>
      </c>
      <c r="K1062" s="59"/>
      <c r="L1062" s="59"/>
      <c r="M1062" s="60">
        <v>55250</v>
      </c>
      <c r="N1062" s="60">
        <v>51106.38</v>
      </c>
      <c r="O1062" s="60">
        <v>4143.62</v>
      </c>
      <c r="P1062" s="55"/>
      <c r="Q1062" s="55"/>
      <c r="R1062" s="61">
        <f t="shared" si="432"/>
        <v>460.40000000000003</v>
      </c>
      <c r="S1062" s="60">
        <v>460.4</v>
      </c>
      <c r="T1062" s="60">
        <v>460.4</v>
      </c>
      <c r="U1062" s="60">
        <v>460.4</v>
      </c>
      <c r="V1062" s="60">
        <v>460.4</v>
      </c>
      <c r="W1062" s="60">
        <v>460.4</v>
      </c>
      <c r="X1062" s="61">
        <f t="shared" si="433"/>
        <v>2762.4</v>
      </c>
      <c r="Y1062" s="60">
        <v>460.4</v>
      </c>
      <c r="Z1062" s="60">
        <v>460.4</v>
      </c>
      <c r="AA1062" s="60">
        <v>460.4</v>
      </c>
      <c r="AB1062" s="60">
        <v>0.02</v>
      </c>
      <c r="AC1062" s="60"/>
      <c r="AD1062" s="60"/>
      <c r="AE1062" s="61">
        <f t="shared" si="434"/>
        <v>1381.2199999999998</v>
      </c>
      <c r="AF1062" s="62">
        <f t="shared" si="419"/>
        <v>55250</v>
      </c>
      <c r="AG1062" s="62">
        <f t="shared" si="420"/>
        <v>55250.000000000007</v>
      </c>
      <c r="AH1062" s="62">
        <f t="shared" si="437"/>
        <v>0</v>
      </c>
      <c r="AI1062" s="63"/>
      <c r="AJ1062" s="63"/>
      <c r="AK1062" s="62"/>
      <c r="AL1062" s="60"/>
      <c r="AM1062" s="60"/>
      <c r="AN1062" s="60"/>
      <c r="AO1062" s="60"/>
      <c r="AP1062" s="60"/>
      <c r="AQ1062" s="60"/>
      <c r="AR1062" s="61">
        <f t="shared" si="435"/>
        <v>0</v>
      </c>
      <c r="AS1062" s="60"/>
      <c r="AT1062" s="60"/>
      <c r="AU1062" s="60"/>
      <c r="AV1062" s="60"/>
      <c r="AW1062" s="60"/>
      <c r="AX1062" s="60"/>
      <c r="AY1062" s="61">
        <f t="shared" si="436"/>
        <v>0</v>
      </c>
      <c r="AZ1062" s="56">
        <f t="shared" si="427"/>
        <v>0</v>
      </c>
      <c r="BA1062" s="62">
        <f t="shared" si="416"/>
        <v>55250</v>
      </c>
      <c r="BB1062" s="62">
        <f t="shared" si="443"/>
        <v>55250.000000000007</v>
      </c>
      <c r="BC1062" s="62">
        <f t="shared" si="417"/>
        <v>0</v>
      </c>
      <c r="BD1062" s="63"/>
      <c r="BE1062" s="57"/>
      <c r="BF1062" s="35" t="str">
        <f>VLOOKUP(A:A,'2023-2027'!A:G,1,+FALSE)</f>
        <v>Трансформатор напряжения НАЛИ-СЭЩ-6-16-0.5/0.5/3Р-75/75/75 У2</v>
      </c>
      <c r="BG1062" s="7" t="b">
        <f t="shared" si="438"/>
        <v>1</v>
      </c>
      <c r="BH1062" s="35">
        <f>VLOOKUP(A:A,'2023-2027'!A:AT,43,+FALSE)</f>
        <v>0</v>
      </c>
    </row>
    <row r="1063" spans="1:60" ht="48" hidden="1" customHeight="1" outlineLevel="1" x14ac:dyDescent="0.2">
      <c r="A1063" s="59" t="s">
        <v>2414</v>
      </c>
      <c r="B1063" s="59" t="s">
        <v>69</v>
      </c>
      <c r="C1063" s="59" t="s">
        <v>81</v>
      </c>
      <c r="D1063" s="66" t="s">
        <v>2415</v>
      </c>
      <c r="E1063" s="59" t="s">
        <v>2416</v>
      </c>
      <c r="F1063" s="60">
        <v>183736846.34</v>
      </c>
      <c r="G1063" s="60">
        <v>107179827.3</v>
      </c>
      <c r="H1063" s="60">
        <v>76557019.040000007</v>
      </c>
      <c r="I1063" s="60">
        <v>520992.44</v>
      </c>
      <c r="J1063" s="60">
        <v>12280227.039999999</v>
      </c>
      <c r="K1063" s="59"/>
      <c r="L1063" s="59"/>
      <c r="M1063" s="60">
        <v>184257838.78</v>
      </c>
      <c r="N1063" s="60">
        <v>119460054.34</v>
      </c>
      <c r="O1063" s="60">
        <v>64797784.439999998</v>
      </c>
      <c r="P1063" s="55">
        <v>70626857.659999996</v>
      </c>
      <c r="Q1063" s="55">
        <f t="shared" ref="Q1063" si="444">P1063*2.2%</f>
        <v>1553790.86852</v>
      </c>
      <c r="R1063" s="61">
        <f t="shared" si="432"/>
        <v>1023352.2533333333</v>
      </c>
      <c r="S1063" s="60">
        <v>1023352.253</v>
      </c>
      <c r="T1063" s="60">
        <v>1023352.253</v>
      </c>
      <c r="U1063" s="60">
        <v>1023352.253</v>
      </c>
      <c r="V1063" s="60">
        <v>1023352.253</v>
      </c>
      <c r="W1063" s="60">
        <v>1023352.253</v>
      </c>
      <c r="X1063" s="61">
        <f t="shared" si="433"/>
        <v>6140113.5183333345</v>
      </c>
      <c r="Y1063" s="60">
        <v>1023352.253</v>
      </c>
      <c r="Z1063" s="60">
        <v>1023352.253</v>
      </c>
      <c r="AA1063" s="60">
        <v>1023352.253</v>
      </c>
      <c r="AB1063" s="60">
        <v>1023352.253</v>
      </c>
      <c r="AC1063" s="60">
        <v>1023352.253</v>
      </c>
      <c r="AD1063" s="60">
        <v>1023352.253</v>
      </c>
      <c r="AE1063" s="61">
        <f t="shared" si="434"/>
        <v>6140113.5180000011</v>
      </c>
      <c r="AF1063" s="62">
        <f t="shared" si="419"/>
        <v>184257838.78</v>
      </c>
      <c r="AG1063" s="62">
        <f t="shared" si="420"/>
        <v>131740281.3763334</v>
      </c>
      <c r="AH1063" s="62">
        <f t="shared" si="437"/>
        <v>52517557.403666601</v>
      </c>
      <c r="AI1063" s="63">
        <v>58673222.939999998</v>
      </c>
      <c r="AJ1063" s="63">
        <f t="shared" ref="AJ1063" si="445">AI1063*2.2%</f>
        <v>1290810.9046800002</v>
      </c>
      <c r="AK1063" s="62"/>
      <c r="AL1063" s="60">
        <v>996326.69</v>
      </c>
      <c r="AM1063" s="60">
        <v>996326.69</v>
      </c>
      <c r="AN1063" s="60">
        <v>996326.69</v>
      </c>
      <c r="AO1063" s="60">
        <v>996326.7</v>
      </c>
      <c r="AP1063" s="60">
        <v>996326.7</v>
      </c>
      <c r="AQ1063" s="60">
        <v>996326.7</v>
      </c>
      <c r="AR1063" s="99">
        <f>AL1063+AM1063+AN1063+AO1063+AP1063+AQ1063</f>
        <v>5977960.1699999999</v>
      </c>
      <c r="AS1063" s="60">
        <v>995015.74</v>
      </c>
      <c r="AT1063" s="60">
        <v>995015.74</v>
      </c>
      <c r="AU1063" s="60">
        <v>995015.75</v>
      </c>
      <c r="AV1063" s="60">
        <v>995015.75</v>
      </c>
      <c r="AW1063" s="60">
        <v>995015.75</v>
      </c>
      <c r="AX1063" s="60">
        <v>995015.75</v>
      </c>
      <c r="AY1063" s="61">
        <f t="shared" si="436"/>
        <v>5970094.4800000004</v>
      </c>
      <c r="AZ1063" s="56">
        <f>AR1063+AY1063</f>
        <v>11948054.65</v>
      </c>
      <c r="BA1063" s="62">
        <f t="shared" si="416"/>
        <v>184257838.78</v>
      </c>
      <c r="BB1063" s="62">
        <f t="shared" si="443"/>
        <v>143688336.02633339</v>
      </c>
      <c r="BC1063" s="62">
        <f t="shared" si="417"/>
        <v>40569502.75366661</v>
      </c>
      <c r="BD1063" s="63">
        <v>46424099.940000005</v>
      </c>
      <c r="BE1063" s="57">
        <v>1020157.209</v>
      </c>
      <c r="BF1063" s="35" t="str">
        <f>VLOOKUP(A:A,'2023-2027'!A:G,1,+FALSE)</f>
        <v>Третья очередь реконструкции Нарьян-Марской электростанции с разработкой ПСД в г. Нарьян-Маре</v>
      </c>
      <c r="BG1063" s="7" t="b">
        <f t="shared" si="438"/>
        <v>1</v>
      </c>
      <c r="BH1063" s="35">
        <f>VLOOKUP(A:A,'2023-2027'!A:AT,43,+FALSE)</f>
        <v>1028965.733056834</v>
      </c>
    </row>
    <row r="1064" spans="1:60" ht="24" hidden="1" customHeight="1" outlineLevel="1" x14ac:dyDescent="0.2">
      <c r="A1064" s="59" t="s">
        <v>2417</v>
      </c>
      <c r="B1064" s="59" t="s">
        <v>69</v>
      </c>
      <c r="C1064" s="59" t="s">
        <v>81</v>
      </c>
      <c r="D1064" s="65" t="s">
        <v>2418</v>
      </c>
      <c r="E1064" s="59" t="s">
        <v>766</v>
      </c>
      <c r="F1064" s="60">
        <v>151694</v>
      </c>
      <c r="G1064" s="60">
        <v>114083.06</v>
      </c>
      <c r="H1064" s="60">
        <v>37610.94</v>
      </c>
      <c r="I1064" s="59"/>
      <c r="J1064" s="60">
        <v>7522.2</v>
      </c>
      <c r="K1064" s="59"/>
      <c r="L1064" s="59"/>
      <c r="M1064" s="60">
        <v>151694</v>
      </c>
      <c r="N1064" s="60">
        <v>121605.26</v>
      </c>
      <c r="O1064" s="60">
        <v>30088.74</v>
      </c>
      <c r="P1064" s="55"/>
      <c r="Q1064" s="55"/>
      <c r="R1064" s="61">
        <f t="shared" si="432"/>
        <v>626.85</v>
      </c>
      <c r="S1064" s="60">
        <v>626.85</v>
      </c>
      <c r="T1064" s="60">
        <v>626.85</v>
      </c>
      <c r="U1064" s="60">
        <v>626.85</v>
      </c>
      <c r="V1064" s="60">
        <v>626.85</v>
      </c>
      <c r="W1064" s="60">
        <v>626.85</v>
      </c>
      <c r="X1064" s="61">
        <f t="shared" si="433"/>
        <v>3761.1</v>
      </c>
      <c r="Y1064" s="60">
        <v>626.85</v>
      </c>
      <c r="Z1064" s="60">
        <v>626.85</v>
      </c>
      <c r="AA1064" s="60">
        <v>626.85</v>
      </c>
      <c r="AB1064" s="60">
        <v>626.85</v>
      </c>
      <c r="AC1064" s="60">
        <v>626.85</v>
      </c>
      <c r="AD1064" s="60">
        <v>626.85</v>
      </c>
      <c r="AE1064" s="61">
        <f t="shared" si="434"/>
        <v>3761.1</v>
      </c>
      <c r="AF1064" s="62">
        <f t="shared" si="419"/>
        <v>151694</v>
      </c>
      <c r="AG1064" s="62">
        <f t="shared" si="420"/>
        <v>129127.46000000006</v>
      </c>
      <c r="AH1064" s="62">
        <f t="shared" si="437"/>
        <v>22566.539999999935</v>
      </c>
      <c r="AI1064" s="63"/>
      <c r="AJ1064" s="63"/>
      <c r="AK1064" s="62"/>
      <c r="AL1064" s="60">
        <v>626.85</v>
      </c>
      <c r="AM1064" s="60">
        <v>626.85</v>
      </c>
      <c r="AN1064" s="60">
        <v>626.85</v>
      </c>
      <c r="AO1064" s="60">
        <v>626.85</v>
      </c>
      <c r="AP1064" s="60">
        <v>626.85</v>
      </c>
      <c r="AQ1064" s="60">
        <v>626.85</v>
      </c>
      <c r="AR1064" s="61">
        <f t="shared" si="435"/>
        <v>3761.1</v>
      </c>
      <c r="AS1064" s="60">
        <v>626.85</v>
      </c>
      <c r="AT1064" s="60">
        <v>626.85</v>
      </c>
      <c r="AU1064" s="60">
        <v>626.85</v>
      </c>
      <c r="AV1064" s="60">
        <v>626.85</v>
      </c>
      <c r="AW1064" s="60">
        <v>626.85</v>
      </c>
      <c r="AX1064" s="60">
        <v>626.85</v>
      </c>
      <c r="AY1064" s="61">
        <f t="shared" si="436"/>
        <v>3761.1</v>
      </c>
      <c r="AZ1064" s="56">
        <f t="shared" si="427"/>
        <v>7522.2</v>
      </c>
      <c r="BA1064" s="62">
        <f t="shared" si="416"/>
        <v>151694</v>
      </c>
      <c r="BB1064" s="62">
        <f t="shared" si="443"/>
        <v>136649.66000000012</v>
      </c>
      <c r="BC1064" s="62">
        <f t="shared" si="417"/>
        <v>15044.33999999988</v>
      </c>
      <c r="BD1064" s="63"/>
      <c r="BE1064" s="57"/>
      <c r="BF1064" s="35" t="e">
        <f>VLOOKUP(A:A,'2023-2027'!A:G,1,+FALSE)</f>
        <v>#N/A</v>
      </c>
      <c r="BG1064" s="7" t="e">
        <f t="shared" si="438"/>
        <v>#N/A</v>
      </c>
      <c r="BH1064" s="35"/>
    </row>
    <row r="1065" spans="1:60" ht="24" hidden="1" customHeight="1" outlineLevel="1" x14ac:dyDescent="0.2">
      <c r="A1065" s="59" t="s">
        <v>2419</v>
      </c>
      <c r="B1065" s="59" t="s">
        <v>69</v>
      </c>
      <c r="C1065" s="59" t="s">
        <v>81</v>
      </c>
      <c r="D1065" s="65" t="s">
        <v>2420</v>
      </c>
      <c r="E1065" s="59" t="s">
        <v>693</v>
      </c>
      <c r="F1065" s="60">
        <v>40501.5</v>
      </c>
      <c r="G1065" s="60">
        <v>15362.6</v>
      </c>
      <c r="H1065" s="60">
        <v>25138.9</v>
      </c>
      <c r="I1065" s="59"/>
      <c r="J1065" s="60">
        <v>4189.8</v>
      </c>
      <c r="K1065" s="59"/>
      <c r="L1065" s="59"/>
      <c r="M1065" s="60">
        <v>40501.5</v>
      </c>
      <c r="N1065" s="60">
        <v>19552.400000000001</v>
      </c>
      <c r="O1065" s="60">
        <v>20949.099999999999</v>
      </c>
      <c r="P1065" s="55"/>
      <c r="Q1065" s="55"/>
      <c r="R1065" s="61">
        <f t="shared" si="432"/>
        <v>349.15000000000003</v>
      </c>
      <c r="S1065" s="60">
        <v>349.15</v>
      </c>
      <c r="T1065" s="60">
        <v>349.15</v>
      </c>
      <c r="U1065" s="60">
        <v>349.15</v>
      </c>
      <c r="V1065" s="60">
        <v>349.15</v>
      </c>
      <c r="W1065" s="60">
        <v>349.15</v>
      </c>
      <c r="X1065" s="61">
        <f t="shared" si="433"/>
        <v>2094.9</v>
      </c>
      <c r="Y1065" s="60">
        <v>349.15</v>
      </c>
      <c r="Z1065" s="60">
        <v>349.15</v>
      </c>
      <c r="AA1065" s="60">
        <v>349.15</v>
      </c>
      <c r="AB1065" s="60">
        <v>349.15</v>
      </c>
      <c r="AC1065" s="60">
        <v>349.15</v>
      </c>
      <c r="AD1065" s="60">
        <v>349.15</v>
      </c>
      <c r="AE1065" s="61">
        <f t="shared" si="434"/>
        <v>2094.9</v>
      </c>
      <c r="AF1065" s="62">
        <f t="shared" si="419"/>
        <v>40501.5</v>
      </c>
      <c r="AG1065" s="62">
        <f t="shared" si="420"/>
        <v>23742.200000000019</v>
      </c>
      <c r="AH1065" s="62">
        <f t="shared" si="437"/>
        <v>16759.299999999981</v>
      </c>
      <c r="AI1065" s="63"/>
      <c r="AJ1065" s="63"/>
      <c r="AK1065" s="62"/>
      <c r="AL1065" s="60">
        <v>349.15</v>
      </c>
      <c r="AM1065" s="60">
        <v>349.15</v>
      </c>
      <c r="AN1065" s="60">
        <v>349.15</v>
      </c>
      <c r="AO1065" s="60">
        <v>349.15</v>
      </c>
      <c r="AP1065" s="60">
        <v>349.15</v>
      </c>
      <c r="AQ1065" s="60">
        <v>349.15</v>
      </c>
      <c r="AR1065" s="61">
        <f t="shared" si="435"/>
        <v>2094.9</v>
      </c>
      <c r="AS1065" s="60">
        <v>349.15</v>
      </c>
      <c r="AT1065" s="60">
        <v>349.15</v>
      </c>
      <c r="AU1065" s="60">
        <v>349.15</v>
      </c>
      <c r="AV1065" s="60">
        <v>349.15</v>
      </c>
      <c r="AW1065" s="60">
        <v>349.15</v>
      </c>
      <c r="AX1065" s="60">
        <v>349.15</v>
      </c>
      <c r="AY1065" s="61">
        <f t="shared" si="436"/>
        <v>2094.9</v>
      </c>
      <c r="AZ1065" s="56">
        <f t="shared" si="427"/>
        <v>4189.8</v>
      </c>
      <c r="BA1065" s="62">
        <f t="shared" ref="BA1065:BA1071" si="446">AF1065</f>
        <v>40501.5</v>
      </c>
      <c r="BB1065" s="62">
        <f t="shared" si="443"/>
        <v>27932.000000000036</v>
      </c>
      <c r="BC1065" s="62">
        <f t="shared" ref="BC1065:BC1071" si="447">BA1065-BB1065</f>
        <v>12569.499999999964</v>
      </c>
      <c r="BD1065" s="63"/>
      <c r="BE1065" s="57"/>
      <c r="BF1065" s="35" t="e">
        <f>VLOOKUP(A:A,'2023-2027'!A:G,1,+FALSE)</f>
        <v>#N/A</v>
      </c>
      <c r="BG1065" s="7" t="e">
        <f t="shared" si="438"/>
        <v>#N/A</v>
      </c>
      <c r="BH1065" s="35"/>
    </row>
    <row r="1066" spans="1:60" ht="12" hidden="1" customHeight="1" outlineLevel="1" x14ac:dyDescent="0.2">
      <c r="A1066" s="59" t="s">
        <v>2421</v>
      </c>
      <c r="B1066" s="59" t="s">
        <v>69</v>
      </c>
      <c r="C1066" s="59" t="s">
        <v>81</v>
      </c>
      <c r="D1066" s="65" t="s">
        <v>2422</v>
      </c>
      <c r="E1066" s="59" t="s">
        <v>1172</v>
      </c>
      <c r="F1066" s="60">
        <v>113829.89</v>
      </c>
      <c r="G1066" s="60">
        <v>108031</v>
      </c>
      <c r="H1066" s="60">
        <v>5798.89</v>
      </c>
      <c r="I1066" s="59"/>
      <c r="J1066" s="60">
        <v>1932.96</v>
      </c>
      <c r="K1066" s="59"/>
      <c r="L1066" s="59"/>
      <c r="M1066" s="60">
        <v>113829.89</v>
      </c>
      <c r="N1066" s="60">
        <v>109963.96</v>
      </c>
      <c r="O1066" s="60">
        <v>3865.93</v>
      </c>
      <c r="P1066" s="55"/>
      <c r="Q1066" s="55"/>
      <c r="R1066" s="61">
        <f t="shared" si="432"/>
        <v>161.08000000000001</v>
      </c>
      <c r="S1066" s="60">
        <v>161.08000000000001</v>
      </c>
      <c r="T1066" s="60">
        <v>161.08000000000001</v>
      </c>
      <c r="U1066" s="60">
        <v>161.08000000000001</v>
      </c>
      <c r="V1066" s="60">
        <v>161.08000000000001</v>
      </c>
      <c r="W1066" s="60">
        <v>161.08000000000001</v>
      </c>
      <c r="X1066" s="61">
        <f t="shared" si="433"/>
        <v>966.48000000000013</v>
      </c>
      <c r="Y1066" s="60">
        <v>161.08000000000001</v>
      </c>
      <c r="Z1066" s="60">
        <v>161.08000000000001</v>
      </c>
      <c r="AA1066" s="60">
        <v>161.08000000000001</v>
      </c>
      <c r="AB1066" s="60">
        <v>161.08000000000001</v>
      </c>
      <c r="AC1066" s="60">
        <v>161.08000000000001</v>
      </c>
      <c r="AD1066" s="60">
        <v>161.08000000000001</v>
      </c>
      <c r="AE1066" s="61">
        <f t="shared" si="434"/>
        <v>966.48000000000013</v>
      </c>
      <c r="AF1066" s="62">
        <f t="shared" si="419"/>
        <v>113829.89</v>
      </c>
      <c r="AG1066" s="62">
        <f t="shared" si="420"/>
        <v>111896.92000000003</v>
      </c>
      <c r="AH1066" s="62">
        <f t="shared" si="437"/>
        <v>1932.9699999999721</v>
      </c>
      <c r="AI1066" s="63"/>
      <c r="AJ1066" s="63"/>
      <c r="AK1066" s="62"/>
      <c r="AL1066" s="60">
        <v>161.08000000000001</v>
      </c>
      <c r="AM1066" s="60">
        <v>161.08000000000001</v>
      </c>
      <c r="AN1066" s="60">
        <v>161.08000000000001</v>
      </c>
      <c r="AO1066" s="60">
        <v>161.08000000000001</v>
      </c>
      <c r="AP1066" s="60">
        <v>161.08000000000001</v>
      </c>
      <c r="AQ1066" s="60">
        <v>161.08000000000001</v>
      </c>
      <c r="AR1066" s="61">
        <f t="shared" si="435"/>
        <v>966.48000000000013</v>
      </c>
      <c r="AS1066" s="60">
        <v>161.08000000000001</v>
      </c>
      <c r="AT1066" s="60">
        <v>161.08000000000001</v>
      </c>
      <c r="AU1066" s="60">
        <v>161.08000000000001</v>
      </c>
      <c r="AV1066" s="60">
        <v>161.08000000000001</v>
      </c>
      <c r="AW1066" s="60">
        <v>161.08000000000001</v>
      </c>
      <c r="AX1066" s="60">
        <v>161.09</v>
      </c>
      <c r="AY1066" s="61">
        <f t="shared" si="436"/>
        <v>966.49000000000012</v>
      </c>
      <c r="AZ1066" s="56">
        <f t="shared" si="427"/>
        <v>1932.9700000000003</v>
      </c>
      <c r="BA1066" s="62">
        <f t="shared" si="446"/>
        <v>113829.89</v>
      </c>
      <c r="BB1066" s="62">
        <f t="shared" si="443"/>
        <v>113829.89000000004</v>
      </c>
      <c r="BC1066" s="62">
        <f t="shared" si="447"/>
        <v>0</v>
      </c>
      <c r="BD1066" s="63"/>
      <c r="BE1066" s="57"/>
      <c r="BF1066" s="35" t="e">
        <f>VLOOKUP(A:A,'2023-2027'!A:G,1,+FALSE)</f>
        <v>#N/A</v>
      </c>
      <c r="BG1066" s="7" t="e">
        <f t="shared" si="438"/>
        <v>#N/A</v>
      </c>
      <c r="BH1066" s="35"/>
    </row>
    <row r="1067" spans="1:60" ht="12" hidden="1" customHeight="1" outlineLevel="1" x14ac:dyDescent="0.2">
      <c r="A1067" s="59" t="s">
        <v>2423</v>
      </c>
      <c r="B1067" s="59" t="s">
        <v>69</v>
      </c>
      <c r="C1067" s="59" t="s">
        <v>81</v>
      </c>
      <c r="D1067" s="65" t="s">
        <v>2424</v>
      </c>
      <c r="E1067" s="59" t="s">
        <v>1799</v>
      </c>
      <c r="F1067" s="60">
        <v>5022</v>
      </c>
      <c r="G1067" s="60">
        <v>5022</v>
      </c>
      <c r="H1067" s="59"/>
      <c r="I1067" s="59"/>
      <c r="J1067" s="59"/>
      <c r="K1067" s="60">
        <v>5022</v>
      </c>
      <c r="L1067" s="60">
        <v>5022</v>
      </c>
      <c r="M1067" s="59"/>
      <c r="N1067" s="59"/>
      <c r="O1067" s="59"/>
      <c r="P1067" s="67"/>
      <c r="Q1067" s="67"/>
      <c r="R1067" s="61">
        <f t="shared" si="432"/>
        <v>0</v>
      </c>
      <c r="S1067" s="61"/>
      <c r="T1067" s="61"/>
      <c r="U1067" s="61"/>
      <c r="V1067" s="61"/>
      <c r="W1067" s="61"/>
      <c r="X1067" s="61">
        <f t="shared" si="433"/>
        <v>0</v>
      </c>
      <c r="Y1067" s="61"/>
      <c r="Z1067" s="61"/>
      <c r="AA1067" s="61"/>
      <c r="AB1067" s="61"/>
      <c r="AC1067" s="61"/>
      <c r="AD1067" s="61"/>
      <c r="AE1067" s="61">
        <f t="shared" si="434"/>
        <v>0</v>
      </c>
      <c r="AF1067" s="62">
        <f t="shared" si="419"/>
        <v>0</v>
      </c>
      <c r="AG1067" s="62">
        <f t="shared" si="420"/>
        <v>0</v>
      </c>
      <c r="AH1067" s="62">
        <f t="shared" si="437"/>
        <v>0</v>
      </c>
      <c r="AI1067" s="63"/>
      <c r="AJ1067" s="63"/>
      <c r="AK1067" s="62"/>
      <c r="AL1067" s="61"/>
      <c r="AM1067" s="61"/>
      <c r="AN1067" s="61"/>
      <c r="AO1067" s="61"/>
      <c r="AP1067" s="61"/>
      <c r="AQ1067" s="61"/>
      <c r="AR1067" s="61">
        <f t="shared" si="435"/>
        <v>0</v>
      </c>
      <c r="AS1067" s="61"/>
      <c r="AT1067" s="61"/>
      <c r="AU1067" s="61"/>
      <c r="AV1067" s="61"/>
      <c r="AW1067" s="61"/>
      <c r="AX1067" s="61"/>
      <c r="AY1067" s="61">
        <f t="shared" si="436"/>
        <v>0</v>
      </c>
      <c r="AZ1067" s="56">
        <f t="shared" si="427"/>
        <v>0</v>
      </c>
      <c r="BA1067" s="62">
        <f t="shared" si="446"/>
        <v>0</v>
      </c>
      <c r="BB1067" s="62">
        <f t="shared" si="443"/>
        <v>0</v>
      </c>
      <c r="BC1067" s="62">
        <f t="shared" si="447"/>
        <v>0</v>
      </c>
      <c r="BD1067" s="63"/>
      <c r="BE1067" s="57"/>
      <c r="BF1067" s="35" t="e">
        <f>VLOOKUP(A:A,'2023-2027'!A:G,1,+FALSE)</f>
        <v>#N/A</v>
      </c>
      <c r="BG1067" s="7" t="e">
        <f t="shared" si="438"/>
        <v>#N/A</v>
      </c>
      <c r="BH1067" s="35"/>
    </row>
    <row r="1068" spans="1:60" ht="12" hidden="1" customHeight="1" outlineLevel="1" x14ac:dyDescent="0.2">
      <c r="A1068" s="59" t="s">
        <v>2425</v>
      </c>
      <c r="B1068" s="59" t="s">
        <v>69</v>
      </c>
      <c r="C1068" s="59" t="s">
        <v>81</v>
      </c>
      <c r="D1068" s="66" t="s">
        <v>2426</v>
      </c>
      <c r="E1068" s="59" t="s">
        <v>1890</v>
      </c>
      <c r="F1068" s="60">
        <v>294426.43</v>
      </c>
      <c r="G1068" s="60">
        <v>217283.3</v>
      </c>
      <c r="H1068" s="60">
        <v>77143.13</v>
      </c>
      <c r="I1068" s="59"/>
      <c r="J1068" s="60">
        <v>15428.64</v>
      </c>
      <c r="K1068" s="59"/>
      <c r="L1068" s="59"/>
      <c r="M1068" s="60">
        <v>294426.43</v>
      </c>
      <c r="N1068" s="60">
        <v>232711.94</v>
      </c>
      <c r="O1068" s="60">
        <v>61714.49</v>
      </c>
      <c r="P1068" s="55"/>
      <c r="Q1068" s="55"/>
      <c r="R1068" s="61">
        <f t="shared" si="432"/>
        <v>1285.72</v>
      </c>
      <c r="S1068" s="61">
        <v>1285.72</v>
      </c>
      <c r="T1068" s="61">
        <v>1285.72</v>
      </c>
      <c r="U1068" s="61">
        <v>1285.72</v>
      </c>
      <c r="V1068" s="61">
        <v>1285.72</v>
      </c>
      <c r="W1068" s="61">
        <v>1285.72</v>
      </c>
      <c r="X1068" s="61">
        <f t="shared" si="433"/>
        <v>7714.3200000000006</v>
      </c>
      <c r="Y1068" s="61">
        <v>1285.72</v>
      </c>
      <c r="Z1068" s="61">
        <v>1285.72</v>
      </c>
      <c r="AA1068" s="61">
        <v>1285.72</v>
      </c>
      <c r="AB1068" s="61">
        <v>1285.72</v>
      </c>
      <c r="AC1068" s="61">
        <v>1285.72</v>
      </c>
      <c r="AD1068" s="61">
        <v>1285.72</v>
      </c>
      <c r="AE1068" s="61">
        <f t="shared" si="434"/>
        <v>7714.3200000000006</v>
      </c>
      <c r="AF1068" s="62">
        <f t="shared" si="419"/>
        <v>294426.43</v>
      </c>
      <c r="AG1068" s="62">
        <f t="shared" si="420"/>
        <v>248140.58000000002</v>
      </c>
      <c r="AH1068" s="62">
        <f t="shared" si="437"/>
        <v>46285.849999999977</v>
      </c>
      <c r="AI1068" s="63"/>
      <c r="AJ1068" s="63"/>
      <c r="AK1068" s="62"/>
      <c r="AL1068" s="61">
        <v>1285.72</v>
      </c>
      <c r="AM1068" s="61">
        <v>1285.72</v>
      </c>
      <c r="AN1068" s="61">
        <v>1285.72</v>
      </c>
      <c r="AO1068" s="61">
        <v>1285.72</v>
      </c>
      <c r="AP1068" s="61">
        <v>1285.72</v>
      </c>
      <c r="AQ1068" s="61">
        <v>1285.72</v>
      </c>
      <c r="AR1068" s="61">
        <f t="shared" si="435"/>
        <v>7714.3200000000006</v>
      </c>
      <c r="AS1068" s="61">
        <v>1285.72</v>
      </c>
      <c r="AT1068" s="61">
        <v>1285.72</v>
      </c>
      <c r="AU1068" s="61">
        <v>1285.72</v>
      </c>
      <c r="AV1068" s="61">
        <v>1285.72</v>
      </c>
      <c r="AW1068" s="61">
        <v>1285.72</v>
      </c>
      <c r="AX1068" s="61">
        <v>1285.72</v>
      </c>
      <c r="AY1068" s="61">
        <f t="shared" si="436"/>
        <v>7714.3200000000006</v>
      </c>
      <c r="AZ1068" s="56">
        <f t="shared" si="427"/>
        <v>15428.640000000001</v>
      </c>
      <c r="BA1068" s="62">
        <f t="shared" si="446"/>
        <v>294426.43</v>
      </c>
      <c r="BB1068" s="62">
        <f t="shared" si="443"/>
        <v>263569.21999999997</v>
      </c>
      <c r="BC1068" s="62">
        <f t="shared" si="447"/>
        <v>30857.210000000021</v>
      </c>
      <c r="BD1068" s="63"/>
      <c r="BE1068" s="57"/>
      <c r="BF1068" s="35" t="str">
        <f>VLOOKUP(A:A,'2023-2027'!A:G,1,+FALSE)</f>
        <v>Ячейка КСО-СЭЩ №1</v>
      </c>
      <c r="BG1068" s="7" t="b">
        <f t="shared" si="438"/>
        <v>1</v>
      </c>
      <c r="BH1068" s="35">
        <f>VLOOKUP(A:A,'2023-2027'!A:AT,43,+FALSE)</f>
        <v>1635.7000000000005</v>
      </c>
    </row>
    <row r="1069" spans="1:60" ht="12" hidden="1" customHeight="1" outlineLevel="1" x14ac:dyDescent="0.2">
      <c r="A1069" s="59" t="s">
        <v>2427</v>
      </c>
      <c r="B1069" s="59" t="s">
        <v>69</v>
      </c>
      <c r="C1069" s="59" t="s">
        <v>81</v>
      </c>
      <c r="D1069" s="66" t="s">
        <v>2428</v>
      </c>
      <c r="E1069" s="59" t="s">
        <v>1890</v>
      </c>
      <c r="F1069" s="60">
        <v>294426.43</v>
      </c>
      <c r="G1069" s="60">
        <v>217283.3</v>
      </c>
      <c r="H1069" s="60">
        <v>77143.13</v>
      </c>
      <c r="I1069" s="59"/>
      <c r="J1069" s="60">
        <v>15428.64</v>
      </c>
      <c r="K1069" s="59"/>
      <c r="L1069" s="59"/>
      <c r="M1069" s="60">
        <v>294426.43</v>
      </c>
      <c r="N1069" s="60">
        <v>232711.94</v>
      </c>
      <c r="O1069" s="60">
        <v>61714.49</v>
      </c>
      <c r="P1069" s="55"/>
      <c r="Q1069" s="55"/>
      <c r="R1069" s="61">
        <f t="shared" si="432"/>
        <v>1285.72</v>
      </c>
      <c r="S1069" s="61">
        <v>1285.72</v>
      </c>
      <c r="T1069" s="61">
        <v>1285.72</v>
      </c>
      <c r="U1069" s="61">
        <v>1285.72</v>
      </c>
      <c r="V1069" s="61">
        <v>1285.72</v>
      </c>
      <c r="W1069" s="61">
        <v>1285.72</v>
      </c>
      <c r="X1069" s="61">
        <f t="shared" si="433"/>
        <v>7714.3200000000006</v>
      </c>
      <c r="Y1069" s="61">
        <v>1285.72</v>
      </c>
      <c r="Z1069" s="61">
        <v>1285.72</v>
      </c>
      <c r="AA1069" s="61">
        <v>1285.72</v>
      </c>
      <c r="AB1069" s="61">
        <v>1285.72</v>
      </c>
      <c r="AC1069" s="61">
        <v>1285.72</v>
      </c>
      <c r="AD1069" s="61">
        <v>1285.72</v>
      </c>
      <c r="AE1069" s="61">
        <f t="shared" si="434"/>
        <v>7714.3200000000006</v>
      </c>
      <c r="AF1069" s="62">
        <f t="shared" si="419"/>
        <v>294426.43</v>
      </c>
      <c r="AG1069" s="62">
        <f t="shared" si="420"/>
        <v>248140.58000000002</v>
      </c>
      <c r="AH1069" s="62">
        <f t="shared" si="437"/>
        <v>46285.849999999977</v>
      </c>
      <c r="AI1069" s="63"/>
      <c r="AJ1069" s="63"/>
      <c r="AK1069" s="62"/>
      <c r="AL1069" s="61">
        <v>1285.72</v>
      </c>
      <c r="AM1069" s="61">
        <v>1285.72</v>
      </c>
      <c r="AN1069" s="61">
        <v>1285.72</v>
      </c>
      <c r="AO1069" s="61">
        <v>1285.72</v>
      </c>
      <c r="AP1069" s="61">
        <v>1285.72</v>
      </c>
      <c r="AQ1069" s="61">
        <v>1285.72</v>
      </c>
      <c r="AR1069" s="61">
        <f t="shared" si="435"/>
        <v>7714.3200000000006</v>
      </c>
      <c r="AS1069" s="61">
        <v>1285.72</v>
      </c>
      <c r="AT1069" s="61">
        <v>1285.72</v>
      </c>
      <c r="AU1069" s="61">
        <v>1285.72</v>
      </c>
      <c r="AV1069" s="61">
        <v>1285.72</v>
      </c>
      <c r="AW1069" s="61">
        <v>1285.72</v>
      </c>
      <c r="AX1069" s="61">
        <v>1285.72</v>
      </c>
      <c r="AY1069" s="61">
        <f t="shared" si="436"/>
        <v>7714.3200000000006</v>
      </c>
      <c r="AZ1069" s="56">
        <f t="shared" si="427"/>
        <v>15428.640000000001</v>
      </c>
      <c r="BA1069" s="62">
        <f t="shared" si="446"/>
        <v>294426.43</v>
      </c>
      <c r="BB1069" s="62">
        <f t="shared" si="443"/>
        <v>263569.21999999997</v>
      </c>
      <c r="BC1069" s="62">
        <f t="shared" si="447"/>
        <v>30857.210000000021</v>
      </c>
      <c r="BD1069" s="63"/>
      <c r="BE1069" s="57"/>
      <c r="BF1069" s="35" t="str">
        <f>VLOOKUP(A:A,'2023-2027'!A:G,1,+FALSE)</f>
        <v>Ячейка КСО-СЭЩ №2</v>
      </c>
      <c r="BG1069" s="7" t="b">
        <f t="shared" si="438"/>
        <v>1</v>
      </c>
      <c r="BH1069" s="35">
        <f>VLOOKUP(A:A,'2023-2027'!A:AT,43,+FALSE)</f>
        <v>1635.7000000000005</v>
      </c>
    </row>
    <row r="1070" spans="1:60" ht="12" hidden="1" customHeight="1" outlineLevel="1" x14ac:dyDescent="0.2">
      <c r="A1070" s="59" t="s">
        <v>2429</v>
      </c>
      <c r="B1070" s="59" t="s">
        <v>69</v>
      </c>
      <c r="C1070" s="59" t="s">
        <v>81</v>
      </c>
      <c r="D1070" s="66" t="s">
        <v>2430</v>
      </c>
      <c r="E1070" s="59" t="s">
        <v>1890</v>
      </c>
      <c r="F1070" s="60">
        <v>294426.40999999997</v>
      </c>
      <c r="G1070" s="60">
        <v>217283.3</v>
      </c>
      <c r="H1070" s="60">
        <v>77143.11</v>
      </c>
      <c r="I1070" s="59"/>
      <c r="J1070" s="60">
        <v>15428.64</v>
      </c>
      <c r="K1070" s="59"/>
      <c r="L1070" s="59"/>
      <c r="M1070" s="60">
        <v>294426.40999999997</v>
      </c>
      <c r="N1070" s="60">
        <v>232711.94</v>
      </c>
      <c r="O1070" s="60">
        <v>61714.47</v>
      </c>
      <c r="P1070" s="55"/>
      <c r="Q1070" s="55"/>
      <c r="R1070" s="61">
        <f t="shared" si="432"/>
        <v>1285.72</v>
      </c>
      <c r="S1070" s="61">
        <v>1285.72</v>
      </c>
      <c r="T1070" s="61">
        <v>1285.72</v>
      </c>
      <c r="U1070" s="61">
        <v>1285.72</v>
      </c>
      <c r="V1070" s="61">
        <v>1285.72</v>
      </c>
      <c r="W1070" s="61">
        <v>1285.72</v>
      </c>
      <c r="X1070" s="61">
        <f t="shared" si="433"/>
        <v>7714.3200000000006</v>
      </c>
      <c r="Y1070" s="61">
        <v>1285.72</v>
      </c>
      <c r="Z1070" s="61">
        <v>1285.72</v>
      </c>
      <c r="AA1070" s="61">
        <v>1285.72</v>
      </c>
      <c r="AB1070" s="61">
        <v>1285.72</v>
      </c>
      <c r="AC1070" s="61">
        <v>1285.72</v>
      </c>
      <c r="AD1070" s="61">
        <v>1285.72</v>
      </c>
      <c r="AE1070" s="61">
        <f t="shared" si="434"/>
        <v>7714.3200000000006</v>
      </c>
      <c r="AF1070" s="62">
        <f t="shared" si="419"/>
        <v>294426.40999999997</v>
      </c>
      <c r="AG1070" s="62">
        <f t="shared" si="420"/>
        <v>248140.58000000002</v>
      </c>
      <c r="AH1070" s="62">
        <f t="shared" si="437"/>
        <v>46285.829999999958</v>
      </c>
      <c r="AI1070" s="63"/>
      <c r="AJ1070" s="63"/>
      <c r="AK1070" s="62"/>
      <c r="AL1070" s="61">
        <v>1285.72</v>
      </c>
      <c r="AM1070" s="61">
        <v>1285.72</v>
      </c>
      <c r="AN1070" s="61">
        <v>1285.72</v>
      </c>
      <c r="AO1070" s="61">
        <v>1285.72</v>
      </c>
      <c r="AP1070" s="61">
        <v>1285.72</v>
      </c>
      <c r="AQ1070" s="61">
        <v>1285.72</v>
      </c>
      <c r="AR1070" s="61">
        <f t="shared" si="435"/>
        <v>7714.3200000000006</v>
      </c>
      <c r="AS1070" s="61">
        <v>1285.72</v>
      </c>
      <c r="AT1070" s="61">
        <v>1285.72</v>
      </c>
      <c r="AU1070" s="61">
        <v>1285.72</v>
      </c>
      <c r="AV1070" s="61">
        <v>1285.72</v>
      </c>
      <c r="AW1070" s="61">
        <v>1285.72</v>
      </c>
      <c r="AX1070" s="61">
        <v>1285.72</v>
      </c>
      <c r="AY1070" s="61">
        <f t="shared" si="436"/>
        <v>7714.3200000000006</v>
      </c>
      <c r="AZ1070" s="56">
        <f t="shared" si="427"/>
        <v>15428.640000000001</v>
      </c>
      <c r="BA1070" s="62">
        <f t="shared" si="446"/>
        <v>294426.40999999997</v>
      </c>
      <c r="BB1070" s="62">
        <f t="shared" si="443"/>
        <v>263569.21999999997</v>
      </c>
      <c r="BC1070" s="62">
        <f t="shared" si="447"/>
        <v>30857.190000000002</v>
      </c>
      <c r="BD1070" s="63"/>
      <c r="BE1070" s="57"/>
      <c r="BF1070" s="35" t="str">
        <f>VLOOKUP(A:A,'2023-2027'!A:G,1,+FALSE)</f>
        <v>Ячейка КСО-СЭЩ №3</v>
      </c>
      <c r="BG1070" s="7" t="b">
        <f t="shared" si="438"/>
        <v>1</v>
      </c>
      <c r="BH1070" s="35">
        <f>VLOOKUP(A:A,'2023-2027'!A:AT,43,+FALSE)</f>
        <v>1635.7000000000005</v>
      </c>
    </row>
    <row r="1071" spans="1:60" ht="12" hidden="1" customHeight="1" outlineLevel="1" x14ac:dyDescent="0.2">
      <c r="A1071" s="59" t="s">
        <v>2431</v>
      </c>
      <c r="B1071" s="59" t="s">
        <v>69</v>
      </c>
      <c r="C1071" s="59" t="s">
        <v>81</v>
      </c>
      <c r="D1071" s="66" t="s">
        <v>2432</v>
      </c>
      <c r="E1071" s="59" t="s">
        <v>1890</v>
      </c>
      <c r="F1071" s="60">
        <v>294426.43</v>
      </c>
      <c r="G1071" s="60">
        <v>217283.3</v>
      </c>
      <c r="H1071" s="60">
        <v>77143.13</v>
      </c>
      <c r="I1071" s="59"/>
      <c r="J1071" s="60">
        <v>15428.64</v>
      </c>
      <c r="K1071" s="59"/>
      <c r="L1071" s="59"/>
      <c r="M1071" s="60">
        <v>294426.43</v>
      </c>
      <c r="N1071" s="60">
        <v>232711.94</v>
      </c>
      <c r="O1071" s="60">
        <v>61714.49</v>
      </c>
      <c r="P1071" s="55"/>
      <c r="Q1071" s="55"/>
      <c r="R1071" s="61">
        <f t="shared" si="432"/>
        <v>1285.72</v>
      </c>
      <c r="S1071" s="61">
        <v>1285.72</v>
      </c>
      <c r="T1071" s="61">
        <v>1285.72</v>
      </c>
      <c r="U1071" s="61">
        <v>1285.72</v>
      </c>
      <c r="V1071" s="61">
        <v>1285.72</v>
      </c>
      <c r="W1071" s="61">
        <v>1285.72</v>
      </c>
      <c r="X1071" s="61">
        <f t="shared" si="433"/>
        <v>7714.3200000000006</v>
      </c>
      <c r="Y1071" s="61">
        <v>1285.72</v>
      </c>
      <c r="Z1071" s="61">
        <v>1285.72</v>
      </c>
      <c r="AA1071" s="61">
        <v>1285.72</v>
      </c>
      <c r="AB1071" s="61">
        <v>1285.72</v>
      </c>
      <c r="AC1071" s="61">
        <v>1285.72</v>
      </c>
      <c r="AD1071" s="61">
        <v>1285.72</v>
      </c>
      <c r="AE1071" s="61">
        <f t="shared" si="434"/>
        <v>7714.3200000000006</v>
      </c>
      <c r="AF1071" s="62">
        <f t="shared" ref="AF1071" si="448">M1071</f>
        <v>294426.43</v>
      </c>
      <c r="AG1071" s="62">
        <f t="shared" ref="AG1071" si="449">N1071+R1071+S1071+T1071+U1071+V1071+W1071+Y1071+Z1071+AA1071+AB1071+AC1071+AD1071</f>
        <v>248140.58000000002</v>
      </c>
      <c r="AH1071" s="62">
        <f t="shared" si="437"/>
        <v>46285.849999999977</v>
      </c>
      <c r="AI1071" s="63"/>
      <c r="AJ1071" s="63"/>
      <c r="AK1071" s="62"/>
      <c r="AL1071" s="61">
        <v>1285.72</v>
      </c>
      <c r="AM1071" s="61">
        <v>1285.72</v>
      </c>
      <c r="AN1071" s="61">
        <v>1285.72</v>
      </c>
      <c r="AO1071" s="61">
        <v>1285.72</v>
      </c>
      <c r="AP1071" s="61">
        <v>1285.72</v>
      </c>
      <c r="AQ1071" s="61">
        <v>1285.72</v>
      </c>
      <c r="AR1071" s="61">
        <f t="shared" si="435"/>
        <v>7714.3200000000006</v>
      </c>
      <c r="AS1071" s="61">
        <v>1285.72</v>
      </c>
      <c r="AT1071" s="61">
        <v>1285.72</v>
      </c>
      <c r="AU1071" s="61">
        <v>1285.72</v>
      </c>
      <c r="AV1071" s="61">
        <v>1285.72</v>
      </c>
      <c r="AW1071" s="61">
        <v>1285.72</v>
      </c>
      <c r="AX1071" s="61">
        <v>1285.72</v>
      </c>
      <c r="AY1071" s="61">
        <f t="shared" si="436"/>
        <v>7714.3200000000006</v>
      </c>
      <c r="AZ1071" s="56">
        <f t="shared" si="427"/>
        <v>15428.640000000001</v>
      </c>
      <c r="BA1071" s="62">
        <f t="shared" si="446"/>
        <v>294426.43</v>
      </c>
      <c r="BB1071" s="62">
        <f t="shared" si="443"/>
        <v>263569.21999999997</v>
      </c>
      <c r="BC1071" s="62">
        <f t="shared" si="447"/>
        <v>30857.210000000021</v>
      </c>
      <c r="BD1071" s="63"/>
      <c r="BE1071" s="57"/>
      <c r="BF1071" s="35" t="str">
        <f>VLOOKUP(A:A,'2023-2027'!A:G,1,+FALSE)</f>
        <v>Ячейка КСО-СЭЩ №4</v>
      </c>
      <c r="BG1071" s="7" t="b">
        <f>OR(EXACT(BF1071,$A$4:$A$1071))</f>
        <v>1</v>
      </c>
      <c r="BH1071" s="35">
        <f>VLOOKUP(A:A,'2023-2027'!A:AT,43,+FALSE)</f>
        <v>1635.7000000000005</v>
      </c>
    </row>
    <row r="1072" spans="1:60" s="58" customFormat="1" ht="13.15" hidden="1" customHeight="1" x14ac:dyDescent="0.2">
      <c r="A1072" s="322" t="s">
        <v>129</v>
      </c>
      <c r="B1072" s="322"/>
      <c r="C1072" s="322"/>
      <c r="D1072" s="322"/>
      <c r="E1072" s="322"/>
      <c r="F1072" s="86">
        <f t="shared" ref="F1072:BE1072" si="450">F9+F20+F51+F156+F177+F260+F287+F445+F458+F525+F538+F1006</f>
        <v>1782144270.9800007</v>
      </c>
      <c r="G1072" s="86">
        <f t="shared" si="450"/>
        <v>774383498.56000042</v>
      </c>
      <c r="H1072" s="86">
        <f t="shared" si="450"/>
        <v>1177845824.6699994</v>
      </c>
      <c r="I1072" s="86">
        <f t="shared" si="450"/>
        <v>39428275.350000001</v>
      </c>
      <c r="J1072" s="86">
        <f t="shared" si="450"/>
        <v>85933917.289999962</v>
      </c>
      <c r="K1072" s="86">
        <f t="shared" si="450"/>
        <v>3815065.4499999997</v>
      </c>
      <c r="L1072" s="86">
        <f t="shared" si="450"/>
        <v>3638743.8099999996</v>
      </c>
      <c r="M1072" s="86">
        <f t="shared" si="450"/>
        <v>1987483557.250001</v>
      </c>
      <c r="N1072" s="86">
        <f t="shared" si="450"/>
        <v>856678672.03999984</v>
      </c>
      <c r="O1072" s="86">
        <f t="shared" si="450"/>
        <v>1131163861.0900002</v>
      </c>
      <c r="P1072" s="87">
        <f t="shared" si="450"/>
        <v>781872021.00000024</v>
      </c>
      <c r="Q1072" s="87">
        <f t="shared" si="450"/>
        <v>17201184.002944395</v>
      </c>
      <c r="R1072" s="86">
        <f t="shared" si="450"/>
        <v>7154123.1058333367</v>
      </c>
      <c r="S1072" s="86">
        <f t="shared" si="450"/>
        <v>7153937.1755334586</v>
      </c>
      <c r="T1072" s="86">
        <f t="shared" si="450"/>
        <v>7152394.0813664589</v>
      </c>
      <c r="U1072" s="86">
        <f t="shared" si="450"/>
        <v>7151031.4396994589</v>
      </c>
      <c r="V1072" s="86">
        <f t="shared" si="450"/>
        <v>7142046.1496994589</v>
      </c>
      <c r="W1072" s="86">
        <f t="shared" si="450"/>
        <v>7141162.3405327592</v>
      </c>
      <c r="X1072" s="86">
        <f t="shared" si="450"/>
        <v>42894694.292664886</v>
      </c>
      <c r="Y1072" s="86">
        <f t="shared" si="450"/>
        <v>7140333.9088657591</v>
      </c>
      <c r="Z1072" s="86">
        <f t="shared" si="450"/>
        <v>7140333.91386576</v>
      </c>
      <c r="AA1072" s="86">
        <f t="shared" si="450"/>
        <v>7136092.061365759</v>
      </c>
      <c r="AB1072" s="86">
        <f t="shared" si="450"/>
        <v>7958753.2321470054</v>
      </c>
      <c r="AC1072" s="86">
        <f t="shared" si="450"/>
        <v>7958753.1988137048</v>
      </c>
      <c r="AD1072" s="86">
        <f t="shared" si="450"/>
        <v>7956137.5971471053</v>
      </c>
      <c r="AE1072" s="86">
        <f t="shared" si="450"/>
        <v>45290403.912205033</v>
      </c>
      <c r="AF1072" s="86">
        <f t="shared" si="450"/>
        <v>2040222753.5</v>
      </c>
      <c r="AG1072" s="86">
        <f t="shared" si="450"/>
        <v>944820907.46487045</v>
      </c>
      <c r="AH1072" s="86">
        <f t="shared" si="450"/>
        <v>1095402729.9009645</v>
      </c>
      <c r="AI1072" s="87">
        <f>AI20+AI51+AI156+AI177+AI260+AI287+AI445+AI458+AI525+AI538+AI1006</f>
        <v>763261152.17000031</v>
      </c>
      <c r="AJ1072" s="87">
        <f>AJ20+AJ51+AJ156+AJ177+AJ260+AJ287+AJ445+AJ458+AJ525+AJ538+AJ1006</f>
        <v>16791745.347740006</v>
      </c>
      <c r="AK1072" s="86"/>
      <c r="AL1072" s="86">
        <f t="shared" si="450"/>
        <v>8206186.1291474365</v>
      </c>
      <c r="AM1072" s="86">
        <f t="shared" si="450"/>
        <v>8146521.9891474377</v>
      </c>
      <c r="AN1072" s="86">
        <f t="shared" si="450"/>
        <v>8122566.887481438</v>
      </c>
      <c r="AO1072" s="86">
        <f t="shared" si="450"/>
        <v>8110330.0874814373</v>
      </c>
      <c r="AP1072" s="86">
        <f t="shared" si="450"/>
        <v>8109358.0008144379</v>
      </c>
      <c r="AQ1072" s="86">
        <f t="shared" si="450"/>
        <v>8105688.1421477674</v>
      </c>
      <c r="AR1072" s="86">
        <f t="shared" si="450"/>
        <v>48800651.23621989</v>
      </c>
      <c r="AS1072" s="86">
        <f t="shared" si="450"/>
        <v>8103410.4752699668</v>
      </c>
      <c r="AT1072" s="86">
        <f t="shared" si="450"/>
        <v>8097762.1308144666</v>
      </c>
      <c r="AU1072" s="86">
        <f t="shared" si="450"/>
        <v>8095867.9808144663</v>
      </c>
      <c r="AV1072" s="86">
        <f t="shared" si="450"/>
        <v>8094226.4008144662</v>
      </c>
      <c r="AW1072" s="86">
        <f t="shared" si="450"/>
        <v>8093320.9008144662</v>
      </c>
      <c r="AX1072" s="86">
        <f t="shared" si="450"/>
        <v>8086681.1916477662</v>
      </c>
      <c r="AY1072" s="86">
        <f t="shared" si="450"/>
        <v>48571269.080175541</v>
      </c>
      <c r="AZ1072" s="86">
        <f t="shared" si="427"/>
        <v>97371920.316395432</v>
      </c>
      <c r="BA1072" s="86">
        <f t="shared" si="450"/>
        <v>2145736354.5700002</v>
      </c>
      <c r="BB1072" s="86">
        <f t="shared" si="450"/>
        <v>1042192827.7812653</v>
      </c>
      <c r="BC1072" s="86">
        <f t="shared" si="450"/>
        <v>1103544410.6620233</v>
      </c>
      <c r="BD1072" s="87">
        <f t="shared" si="450"/>
        <v>715010735.39923072</v>
      </c>
      <c r="BE1072" s="87">
        <f t="shared" si="450"/>
        <v>15729063.189103067</v>
      </c>
    </row>
    <row r="1073" spans="1:60" s="58" customFormat="1" ht="21.75" hidden="1" customHeight="1" x14ac:dyDescent="0.2">
      <c r="A1073" s="328" t="s">
        <v>2433</v>
      </c>
      <c r="B1073" s="328"/>
      <c r="C1073" s="328"/>
      <c r="D1073" s="328"/>
      <c r="E1073" s="88"/>
      <c r="F1073" s="89"/>
      <c r="G1073" s="89"/>
      <c r="H1073" s="89"/>
      <c r="I1073" s="89"/>
      <c r="J1073" s="89"/>
      <c r="K1073" s="89"/>
      <c r="L1073" s="89"/>
      <c r="M1073" s="89"/>
      <c r="N1073" s="89"/>
      <c r="O1073" s="89"/>
      <c r="P1073" s="90"/>
      <c r="Q1073" s="90"/>
      <c r="R1073" s="89"/>
      <c r="S1073" s="89"/>
      <c r="T1073" s="89"/>
      <c r="U1073" s="89"/>
      <c r="V1073" s="89"/>
      <c r="W1073" s="89"/>
      <c r="X1073" s="89"/>
      <c r="Y1073" s="89"/>
      <c r="Z1073" s="89"/>
      <c r="AA1073" s="89"/>
      <c r="AB1073" s="89"/>
      <c r="AC1073" s="89"/>
      <c r="AD1073" s="89"/>
      <c r="AE1073" s="89"/>
      <c r="AF1073" s="89"/>
      <c r="AG1073" s="89"/>
      <c r="AH1073" s="89"/>
      <c r="AI1073" s="90"/>
      <c r="AJ1073" s="90"/>
      <c r="AK1073" s="89"/>
      <c r="AL1073" s="89"/>
      <c r="AM1073" s="89"/>
      <c r="AN1073" s="89"/>
      <c r="AO1073" s="89"/>
      <c r="AP1073" s="89"/>
      <c r="AQ1073" s="89"/>
      <c r="AR1073" s="89"/>
      <c r="AS1073" s="89"/>
      <c r="AT1073" s="89"/>
      <c r="AU1073" s="89"/>
      <c r="AV1073" s="89"/>
      <c r="AW1073" s="89"/>
      <c r="AX1073" s="89"/>
      <c r="AY1073" s="89"/>
      <c r="AZ1073" s="89"/>
      <c r="BA1073" s="89"/>
      <c r="BB1073" s="89"/>
      <c r="BC1073" s="89"/>
      <c r="BD1073" s="90"/>
      <c r="BE1073" s="90"/>
    </row>
    <row r="1074" spans="1:60" ht="13.15" hidden="1" customHeight="1" x14ac:dyDescent="0.2">
      <c r="A1074" s="79" t="s">
        <v>2434</v>
      </c>
      <c r="B1074" s="79" t="s">
        <v>124</v>
      </c>
      <c r="C1074" s="91"/>
      <c r="D1074" s="91"/>
      <c r="E1074" s="91"/>
      <c r="F1074" s="92"/>
      <c r="G1074" s="92"/>
      <c r="H1074" s="92"/>
      <c r="I1074" s="92"/>
      <c r="J1074" s="92"/>
      <c r="K1074" s="92"/>
      <c r="L1074" s="92"/>
      <c r="M1074" s="92"/>
      <c r="N1074" s="92"/>
      <c r="O1074" s="92"/>
      <c r="P1074" s="55">
        <f>'[6]Расчёт налога на имущ.2022 факт'!AA361</f>
        <v>4696.340000000002</v>
      </c>
      <c r="Q1074" s="55">
        <f>P1074*2.2%</f>
        <v>103.31948000000006</v>
      </c>
      <c r="R1074" s="93"/>
      <c r="S1074" s="93"/>
      <c r="T1074" s="93"/>
      <c r="U1074" s="93"/>
      <c r="V1074" s="93"/>
      <c r="W1074" s="93"/>
      <c r="X1074" s="93"/>
      <c r="Y1074" s="93"/>
      <c r="Z1074" s="93"/>
      <c r="AA1074" s="93"/>
      <c r="AB1074" s="93"/>
      <c r="AC1074" s="93"/>
      <c r="AD1074" s="93"/>
      <c r="AE1074" s="93"/>
      <c r="AF1074" s="93"/>
      <c r="AG1074" s="93"/>
      <c r="AH1074" s="93"/>
      <c r="AI1074" s="55">
        <f>'[6]Расщ.налога на имущ. 2023'!AB359</f>
        <v>1565.5399999999997</v>
      </c>
      <c r="AJ1074" s="55">
        <f>AI1074*2.2%</f>
        <v>34.441879999999998</v>
      </c>
      <c r="AK1074" s="93"/>
      <c r="AL1074" s="93"/>
      <c r="AM1074" s="93"/>
      <c r="AN1074" s="93"/>
      <c r="AO1074" s="93"/>
      <c r="AP1074" s="93"/>
      <c r="AQ1074" s="93"/>
      <c r="AR1074" s="93"/>
      <c r="AS1074" s="93"/>
      <c r="AT1074" s="93"/>
      <c r="AU1074" s="93"/>
      <c r="AV1074" s="93"/>
      <c r="AW1074" s="93"/>
      <c r="AX1074" s="93"/>
      <c r="AY1074" s="93"/>
      <c r="AZ1074" s="93"/>
      <c r="BA1074" s="93"/>
      <c r="BB1074" s="93"/>
      <c r="BC1074" s="93"/>
      <c r="BD1074" s="55"/>
      <c r="BE1074" s="55"/>
    </row>
    <row r="1075" spans="1:60" ht="13.15" hidden="1" customHeight="1" x14ac:dyDescent="0.2">
      <c r="A1075" s="79" t="s">
        <v>2435</v>
      </c>
      <c r="B1075" s="79" t="s">
        <v>124</v>
      </c>
      <c r="C1075" s="91"/>
      <c r="D1075" s="91"/>
      <c r="E1075" s="91"/>
      <c r="F1075" s="92"/>
      <c r="G1075" s="92"/>
      <c r="H1075" s="92"/>
      <c r="I1075" s="92"/>
      <c r="J1075" s="92"/>
      <c r="K1075" s="92"/>
      <c r="L1075" s="92"/>
      <c r="M1075" s="92"/>
      <c r="N1075" s="92"/>
      <c r="O1075" s="92"/>
      <c r="P1075" s="55">
        <f>'[6]Расчёт налога на имущ.2022 факт'!AA362</f>
        <v>47519.390000000007</v>
      </c>
      <c r="Q1075" s="55">
        <f t="shared" ref="Q1075:Q1076" si="451">P1075*2.2%</f>
        <v>1045.4265800000003</v>
      </c>
      <c r="R1075" s="93"/>
      <c r="S1075" s="93"/>
      <c r="T1075" s="93"/>
      <c r="U1075" s="93"/>
      <c r="V1075" s="93"/>
      <c r="W1075" s="93"/>
      <c r="X1075" s="93"/>
      <c r="Y1075" s="93"/>
      <c r="Z1075" s="93"/>
      <c r="AA1075" s="93"/>
      <c r="AB1075" s="93"/>
      <c r="AC1075" s="93"/>
      <c r="AD1075" s="93"/>
      <c r="AE1075" s="93"/>
      <c r="AF1075" s="93"/>
      <c r="AG1075" s="93"/>
      <c r="AH1075" s="93"/>
      <c r="AI1075" s="55">
        <f>'[6]Расщ.налога на имущ. 2023'!AB360</f>
        <v>15839.870000000006</v>
      </c>
      <c r="AJ1075" s="55">
        <f t="shared" ref="AJ1075:AJ1076" si="452">AI1075*2.2%</f>
        <v>348.47714000000019</v>
      </c>
      <c r="AK1075" s="93"/>
      <c r="AL1075" s="93"/>
      <c r="AM1075" s="93"/>
      <c r="AN1075" s="93"/>
      <c r="AO1075" s="93"/>
      <c r="AP1075" s="93"/>
      <c r="AQ1075" s="93"/>
      <c r="AR1075" s="93"/>
      <c r="AS1075" s="93"/>
      <c r="AT1075" s="93"/>
      <c r="AU1075" s="93"/>
      <c r="AV1075" s="93"/>
      <c r="AW1075" s="93"/>
      <c r="AX1075" s="93"/>
      <c r="AY1075" s="93"/>
      <c r="AZ1075" s="93"/>
      <c r="BA1075" s="93"/>
      <c r="BB1075" s="93"/>
      <c r="BC1075" s="93"/>
      <c r="BD1075" s="55"/>
      <c r="BE1075" s="55"/>
    </row>
    <row r="1076" spans="1:60" ht="13.15" hidden="1" customHeight="1" x14ac:dyDescent="0.2">
      <c r="A1076" s="79" t="s">
        <v>2436</v>
      </c>
      <c r="B1076" s="79" t="s">
        <v>124</v>
      </c>
      <c r="C1076" s="91"/>
      <c r="D1076" s="91"/>
      <c r="E1076" s="91"/>
      <c r="F1076" s="92"/>
      <c r="G1076" s="92"/>
      <c r="H1076" s="92"/>
      <c r="I1076" s="92"/>
      <c r="J1076" s="92"/>
      <c r="K1076" s="92"/>
      <c r="L1076" s="92"/>
      <c r="M1076" s="92"/>
      <c r="N1076" s="92"/>
      <c r="O1076" s="92"/>
      <c r="P1076" s="55">
        <f>'[6]Расчёт налога на имущ.2022 факт'!AA363</f>
        <v>6589.909999999998</v>
      </c>
      <c r="Q1076" s="55">
        <f t="shared" si="451"/>
        <v>144.97801999999996</v>
      </c>
      <c r="R1076" s="93"/>
      <c r="S1076" s="93"/>
      <c r="T1076" s="93"/>
      <c r="U1076" s="93"/>
      <c r="V1076" s="93"/>
      <c r="W1076" s="93"/>
      <c r="X1076" s="93"/>
      <c r="Y1076" s="93"/>
      <c r="Z1076" s="93"/>
      <c r="AA1076" s="93"/>
      <c r="AB1076" s="93"/>
      <c r="AC1076" s="93"/>
      <c r="AD1076" s="93"/>
      <c r="AE1076" s="93"/>
      <c r="AF1076" s="93"/>
      <c r="AG1076" s="93"/>
      <c r="AH1076" s="93"/>
      <c r="AI1076" s="55">
        <f>'[6]Расщ.налога на имущ. 2023'!AB361</f>
        <v>2196.7000000000003</v>
      </c>
      <c r="AJ1076" s="55">
        <f t="shared" si="452"/>
        <v>48.327400000000011</v>
      </c>
      <c r="AK1076" s="93"/>
      <c r="AL1076" s="93"/>
      <c r="AM1076" s="93"/>
      <c r="AN1076" s="93"/>
      <c r="AO1076" s="93"/>
      <c r="AP1076" s="93"/>
      <c r="AQ1076" s="93"/>
      <c r="AR1076" s="93"/>
      <c r="AS1076" s="93"/>
      <c r="AT1076" s="93"/>
      <c r="AU1076" s="93"/>
      <c r="AV1076" s="93"/>
      <c r="AW1076" s="93"/>
      <c r="AX1076" s="93"/>
      <c r="AY1076" s="93"/>
      <c r="AZ1076" s="93"/>
      <c r="BA1076" s="93"/>
      <c r="BB1076" s="93"/>
      <c r="BC1076" s="93"/>
      <c r="BD1076" s="55"/>
      <c r="BE1076" s="55"/>
    </row>
    <row r="1077" spans="1:60" ht="11.45" hidden="1" customHeight="1" x14ac:dyDescent="0.2">
      <c r="P1077" s="94">
        <f>P1072+P1074+P1075+P1076</f>
        <v>781930826.64000022</v>
      </c>
      <c r="Q1077" s="94">
        <f>Q1072+Q1074+Q1075+Q1076</f>
        <v>17202477.727024395</v>
      </c>
      <c r="AI1077" s="94">
        <f>AI1072+AI1074+AI1075+AI1076</f>
        <v>763280754.28000033</v>
      </c>
      <c r="AJ1077" s="94">
        <f>AJ1072+AJ1074+AJ1075+AJ1076</f>
        <v>16792176.594160002</v>
      </c>
      <c r="AK1077" s="95"/>
      <c r="BD1077" s="96">
        <f>BD1072+BD1074+BD1075+BD1076</f>
        <v>715010735.39923072</v>
      </c>
      <c r="BE1077" s="96">
        <f>BE1072+BE1074+BE1075+BE1076</f>
        <v>15729063.189103067</v>
      </c>
      <c r="BH1077" s="97">
        <f>SUM(BH10:BH1076)</f>
        <v>6216257.7561513875</v>
      </c>
    </row>
    <row r="1078" spans="1:60" ht="11.45" customHeight="1" x14ac:dyDescent="0.2">
      <c r="P1078" s="95"/>
      <c r="Q1078" s="95"/>
      <c r="AI1078" s="95"/>
      <c r="AJ1078" s="95"/>
      <c r="AK1078" s="95"/>
      <c r="BD1078" s="97"/>
      <c r="BE1078" s="97"/>
    </row>
    <row r="1079" spans="1:60" ht="11.45" customHeight="1" x14ac:dyDescent="0.2">
      <c r="C1079" s="98" t="s">
        <v>2437</v>
      </c>
      <c r="D1079" s="324" t="s">
        <v>1098</v>
      </c>
      <c r="E1079" s="325"/>
      <c r="F1079" s="62">
        <f t="shared" ref="F1079:W1079" si="453">F9+F448+F449+F450+F451+F452+F454+F455+F456</f>
        <v>5059248.54</v>
      </c>
      <c r="G1079" s="62">
        <f t="shared" si="453"/>
        <v>444554.88999999996</v>
      </c>
      <c r="H1079" s="62">
        <f t="shared" si="453"/>
        <v>4614693.6499999994</v>
      </c>
      <c r="I1079" s="62">
        <f t="shared" si="453"/>
        <v>0</v>
      </c>
      <c r="J1079" s="78">
        <f t="shared" si="453"/>
        <v>387048.76</v>
      </c>
      <c r="K1079" s="62">
        <f t="shared" si="453"/>
        <v>36542.22</v>
      </c>
      <c r="L1079" s="62">
        <f t="shared" si="453"/>
        <v>36542.22</v>
      </c>
      <c r="M1079" s="62">
        <f t="shared" si="453"/>
        <v>5022706.32</v>
      </c>
      <c r="N1079" s="62">
        <f t="shared" si="453"/>
        <v>795061.42999999993</v>
      </c>
      <c r="O1079" s="62">
        <f t="shared" si="453"/>
        <v>4227644.8899999987</v>
      </c>
      <c r="P1079" s="62">
        <f t="shared" si="453"/>
        <v>0</v>
      </c>
      <c r="Q1079" s="62">
        <f t="shared" si="453"/>
        <v>0</v>
      </c>
      <c r="R1079" s="62">
        <f t="shared" si="453"/>
        <v>32254.063333333332</v>
      </c>
      <c r="S1079" s="62">
        <f t="shared" si="453"/>
        <v>32254.063330599995</v>
      </c>
      <c r="T1079" s="62">
        <f t="shared" si="453"/>
        <v>32254.063330599995</v>
      </c>
      <c r="U1079" s="62">
        <f t="shared" si="453"/>
        <v>32254.063330599995</v>
      </c>
      <c r="V1079" s="62">
        <f t="shared" si="453"/>
        <v>32254.063330599995</v>
      </c>
      <c r="W1079" s="62">
        <f t="shared" si="453"/>
        <v>32254.063330599995</v>
      </c>
      <c r="X1079" s="61">
        <f t="shared" ref="X1079:X1086" si="454">R1079+S1079+T1079+U1079+V1079+W1079</f>
        <v>193524.37998633331</v>
      </c>
      <c r="Y1079" s="62">
        <f t="shared" ref="Y1079:AD1079" si="455">Y9+Y448+Y449+Y450+Y451+Y452+Y454+Y455+Y456</f>
        <v>32254.063330599995</v>
      </c>
      <c r="Z1079" s="62">
        <f t="shared" si="455"/>
        <v>32254.063330599995</v>
      </c>
      <c r="AA1079" s="62">
        <f t="shared" si="455"/>
        <v>32254.063330599995</v>
      </c>
      <c r="AB1079" s="62">
        <f t="shared" si="455"/>
        <v>32254.063330599995</v>
      </c>
      <c r="AC1079" s="62">
        <f t="shared" si="455"/>
        <v>32254.063330599995</v>
      </c>
      <c r="AD1079" s="62">
        <f t="shared" si="455"/>
        <v>32253.976663999994</v>
      </c>
      <c r="AE1079" s="61">
        <f t="shared" ref="AE1079:AE1086" si="456">Y1079+Z1079+AA1079+AB1079+AC1079+AD1079</f>
        <v>193524.29331699995</v>
      </c>
      <c r="AF1079" s="62">
        <f t="shared" ref="AF1079:BE1079" si="457">AF9+AF448+AF449+AF450+AF451+AF452+AF454+AF455+AF456</f>
        <v>5022706.32</v>
      </c>
      <c r="AG1079" s="62">
        <f t="shared" si="457"/>
        <v>1182110.1033033337</v>
      </c>
      <c r="AH1079" s="62">
        <f t="shared" si="457"/>
        <v>3840596.216696667</v>
      </c>
      <c r="AI1079" s="62">
        <f t="shared" si="457"/>
        <v>0</v>
      </c>
      <c r="AJ1079" s="62">
        <f t="shared" si="457"/>
        <v>0</v>
      </c>
      <c r="AK1079" s="62"/>
      <c r="AL1079" s="62">
        <f t="shared" si="457"/>
        <v>31970.006663999993</v>
      </c>
      <c r="AM1079" s="62">
        <f t="shared" si="457"/>
        <v>31970.006663999993</v>
      </c>
      <c r="AN1079" s="62">
        <f t="shared" si="457"/>
        <v>31970.006663999993</v>
      </c>
      <c r="AO1079" s="62">
        <f t="shared" si="457"/>
        <v>31969.876663999996</v>
      </c>
      <c r="AP1079" s="62">
        <f t="shared" si="457"/>
        <v>31157.996663999995</v>
      </c>
      <c r="AQ1079" s="62">
        <f t="shared" si="457"/>
        <v>31157.996663999995</v>
      </c>
      <c r="AR1079" s="62">
        <f>AR9+AR448+AR449+AR450+AR451+AR452+AR454+AR455+AR456</f>
        <v>190195.88998399998</v>
      </c>
      <c r="AS1079" s="62">
        <f t="shared" si="457"/>
        <v>31157.996663999995</v>
      </c>
      <c r="AT1079" s="62">
        <f t="shared" si="457"/>
        <v>31157.996663999995</v>
      </c>
      <c r="AU1079" s="62">
        <f t="shared" si="457"/>
        <v>31157.996663999995</v>
      </c>
      <c r="AV1079" s="62">
        <f t="shared" si="457"/>
        <v>31157.996663999995</v>
      </c>
      <c r="AW1079" s="62">
        <f t="shared" si="457"/>
        <v>31157.996663999995</v>
      </c>
      <c r="AX1079" s="62">
        <f t="shared" si="457"/>
        <v>31157.996663999995</v>
      </c>
      <c r="AY1079" s="62">
        <f t="shared" si="457"/>
        <v>186947.97998399998</v>
      </c>
      <c r="AZ1079" s="62">
        <f t="shared" ref="AZ1079" si="458">AZ9+AZ448+AZ449+AZ450+AZ451+AZ452+AZ454+AZ455+AZ456</f>
        <v>377143.86996799998</v>
      </c>
      <c r="BA1079" s="62">
        <f t="shared" si="457"/>
        <v>5022706.32</v>
      </c>
      <c r="BB1079" s="62">
        <f t="shared" si="457"/>
        <v>1559253.9732713341</v>
      </c>
      <c r="BC1079" s="62">
        <f t="shared" si="457"/>
        <v>3463452.3467286662</v>
      </c>
      <c r="BD1079" s="62">
        <f t="shared" si="457"/>
        <v>0</v>
      </c>
      <c r="BE1079" s="62">
        <f t="shared" si="457"/>
        <v>0</v>
      </c>
    </row>
    <row r="1080" spans="1:60" ht="11.45" customHeight="1" x14ac:dyDescent="0.2">
      <c r="C1080" s="61" t="s">
        <v>76</v>
      </c>
      <c r="D1080" s="324" t="s">
        <v>1098</v>
      </c>
      <c r="E1080" s="325"/>
      <c r="F1080" s="62">
        <f t="shared" ref="F1080:W1080" si="459">F20</f>
        <v>22813883.149999999</v>
      </c>
      <c r="G1080" s="62">
        <f t="shared" si="459"/>
        <v>8656967.8499999996</v>
      </c>
      <c r="H1080" s="62">
        <f t="shared" si="459"/>
        <v>14156915.300000001</v>
      </c>
      <c r="I1080" s="62">
        <f t="shared" si="459"/>
        <v>83250</v>
      </c>
      <c r="J1080" s="78">
        <f t="shared" si="459"/>
        <v>1938181.78</v>
      </c>
      <c r="K1080" s="62">
        <f t="shared" si="459"/>
        <v>121508</v>
      </c>
      <c r="L1080" s="62">
        <f t="shared" si="459"/>
        <v>121508</v>
      </c>
      <c r="M1080" s="62">
        <f t="shared" si="459"/>
        <v>22775625.149999999</v>
      </c>
      <c r="N1080" s="62">
        <f t="shared" si="459"/>
        <v>10473641.630000001</v>
      </c>
      <c r="O1080" s="62">
        <f t="shared" si="459"/>
        <v>12301983.52</v>
      </c>
      <c r="P1080" s="62">
        <f t="shared" si="459"/>
        <v>1773381.34</v>
      </c>
      <c r="Q1080" s="62">
        <f t="shared" si="459"/>
        <v>39014.389479999998</v>
      </c>
      <c r="R1080" s="62">
        <f t="shared" si="459"/>
        <v>161515.14833333337</v>
      </c>
      <c r="S1080" s="62">
        <f t="shared" si="459"/>
        <v>161515.14833303</v>
      </c>
      <c r="T1080" s="62">
        <f t="shared" si="459"/>
        <v>161515.14833303</v>
      </c>
      <c r="U1080" s="62">
        <f t="shared" si="459"/>
        <v>161515.14833303</v>
      </c>
      <c r="V1080" s="62">
        <f t="shared" si="459"/>
        <v>161515.14833303</v>
      </c>
      <c r="W1080" s="62">
        <f t="shared" si="459"/>
        <v>161515.14833303</v>
      </c>
      <c r="X1080" s="61">
        <f t="shared" si="454"/>
        <v>969090.88999848347</v>
      </c>
      <c r="Y1080" s="62">
        <f t="shared" ref="Y1080:AD1080" si="460">Y20</f>
        <v>161515.14833303</v>
      </c>
      <c r="Z1080" s="62">
        <f t="shared" si="460"/>
        <v>161515.14833303</v>
      </c>
      <c r="AA1080" s="62">
        <f t="shared" si="460"/>
        <v>161515.14833303</v>
      </c>
      <c r="AB1080" s="62">
        <f t="shared" si="460"/>
        <v>161515.14833303</v>
      </c>
      <c r="AC1080" s="62">
        <f t="shared" si="460"/>
        <v>161515.14833303</v>
      </c>
      <c r="AD1080" s="62">
        <f t="shared" si="460"/>
        <v>161515.14833303</v>
      </c>
      <c r="AE1080" s="61">
        <f t="shared" si="456"/>
        <v>969090.88999818009</v>
      </c>
      <c r="AF1080" s="62">
        <f t="shared" ref="AF1080:BE1080" si="461">AF20</f>
        <v>22775625.149999999</v>
      </c>
      <c r="AG1080" s="62">
        <f t="shared" si="461"/>
        <v>12411823.409996664</v>
      </c>
      <c r="AH1080" s="62">
        <f t="shared" si="461"/>
        <v>10363801.740003338</v>
      </c>
      <c r="AI1080" s="62">
        <f t="shared" si="461"/>
        <v>1657123.4800000002</v>
      </c>
      <c r="AJ1080" s="62">
        <f t="shared" si="461"/>
        <v>36456.716560000008</v>
      </c>
      <c r="AK1080" s="62"/>
      <c r="AL1080" s="62">
        <f t="shared" si="461"/>
        <v>161515.14833303</v>
      </c>
      <c r="AM1080" s="62">
        <f t="shared" si="461"/>
        <v>161515.14833303</v>
      </c>
      <c r="AN1080" s="62">
        <f t="shared" si="461"/>
        <v>161515.14833303</v>
      </c>
      <c r="AO1080" s="62">
        <f t="shared" si="461"/>
        <v>161515.14833303</v>
      </c>
      <c r="AP1080" s="62">
        <f t="shared" si="461"/>
        <v>161515.14833303</v>
      </c>
      <c r="AQ1080" s="62">
        <f t="shared" si="461"/>
        <v>161515.14833303</v>
      </c>
      <c r="AR1080" s="62">
        <f t="shared" si="461"/>
        <v>969090.88999818009</v>
      </c>
      <c r="AS1080" s="62">
        <f t="shared" si="461"/>
        <v>160741.60999973002</v>
      </c>
      <c r="AT1080" s="62">
        <f t="shared" si="461"/>
        <v>160633.21999973</v>
      </c>
      <c r="AU1080" s="62">
        <f t="shared" si="461"/>
        <v>160633.21999973</v>
      </c>
      <c r="AV1080" s="62">
        <f t="shared" si="461"/>
        <v>160633.21999973</v>
      </c>
      <c r="AW1080" s="62">
        <f t="shared" si="461"/>
        <v>160633.21999973</v>
      </c>
      <c r="AX1080" s="62">
        <f t="shared" si="461"/>
        <v>160633.21999973</v>
      </c>
      <c r="AY1080" s="62">
        <f t="shared" si="461"/>
        <v>963907.70999838016</v>
      </c>
      <c r="AZ1080" s="62">
        <f t="shared" ref="AZ1080" si="462">AZ20</f>
        <v>1932998.5999965603</v>
      </c>
      <c r="BA1080" s="62">
        <f t="shared" si="461"/>
        <v>22775625.149999999</v>
      </c>
      <c r="BB1080" s="62">
        <f t="shared" si="461"/>
        <v>14344822.009993231</v>
      </c>
      <c r="BC1080" s="62">
        <f t="shared" si="461"/>
        <v>8430803.1400067732</v>
      </c>
      <c r="BD1080" s="62">
        <f t="shared" si="461"/>
        <v>1540865.5600000003</v>
      </c>
      <c r="BE1080" s="62">
        <f t="shared" si="461"/>
        <v>33899.042320000008</v>
      </c>
    </row>
    <row r="1081" spans="1:60" ht="11.45" customHeight="1" x14ac:dyDescent="0.2">
      <c r="C1081" s="61" t="s">
        <v>2438</v>
      </c>
      <c r="D1081" s="324" t="s">
        <v>1091</v>
      </c>
      <c r="E1081" s="325"/>
      <c r="F1081" s="99">
        <f t="shared" ref="F1081:W1081" si="463">F51+F156+F446+F447+F453+F457+F458+F1006</f>
        <v>1132060662.900001</v>
      </c>
      <c r="G1081" s="99">
        <f t="shared" si="463"/>
        <v>510630039.24000037</v>
      </c>
      <c r="H1081" s="99">
        <f t="shared" si="463"/>
        <v>621789599.53999925</v>
      </c>
      <c r="I1081" s="99">
        <f t="shared" si="463"/>
        <v>992284.11</v>
      </c>
      <c r="J1081" s="100">
        <f t="shared" si="463"/>
        <v>49444240.129999965</v>
      </c>
      <c r="K1081" s="99">
        <f t="shared" si="463"/>
        <v>994386.20999999985</v>
      </c>
      <c r="L1081" s="99">
        <f t="shared" si="463"/>
        <v>994386.20999999985</v>
      </c>
      <c r="M1081" s="99">
        <f t="shared" si="463"/>
        <v>1132058560.8000011</v>
      </c>
      <c r="N1081" s="99">
        <f t="shared" si="463"/>
        <v>559079893.15999973</v>
      </c>
      <c r="O1081" s="99">
        <f t="shared" si="463"/>
        <v>573337643.52000022</v>
      </c>
      <c r="P1081" s="99">
        <f t="shared" si="463"/>
        <v>320825292.79000002</v>
      </c>
      <c r="Q1081" s="99">
        <f t="shared" si="463"/>
        <v>7058155.9949844005</v>
      </c>
      <c r="R1081" s="99">
        <f t="shared" si="463"/>
        <v>4119797.1583333388</v>
      </c>
      <c r="S1081" s="99">
        <f t="shared" si="463"/>
        <v>4119797.1580310054</v>
      </c>
      <c r="T1081" s="99">
        <f t="shared" si="463"/>
        <v>4118254.0638640053</v>
      </c>
      <c r="U1081" s="99">
        <f t="shared" si="463"/>
        <v>4116891.4221970057</v>
      </c>
      <c r="V1081" s="99">
        <f t="shared" si="463"/>
        <v>4107906.1321970057</v>
      </c>
      <c r="W1081" s="99">
        <f t="shared" si="463"/>
        <v>4107906.1321970057</v>
      </c>
      <c r="X1081" s="61">
        <f t="shared" si="454"/>
        <v>24690552.06681937</v>
      </c>
      <c r="Y1081" s="99">
        <f t="shared" ref="Y1081:AD1081" si="464">Y51+Y156+Y446+Y447+Y453+Y457+Y458+Y1006</f>
        <v>4107077.7321970053</v>
      </c>
      <c r="Z1081" s="99">
        <f t="shared" si="464"/>
        <v>4107077.7321970053</v>
      </c>
      <c r="AA1081" s="99">
        <f t="shared" si="464"/>
        <v>4107077.7321970053</v>
      </c>
      <c r="AB1081" s="99">
        <f t="shared" si="464"/>
        <v>4106617.3521970054</v>
      </c>
      <c r="AC1081" s="99">
        <f t="shared" si="464"/>
        <v>4106617.3321970054</v>
      </c>
      <c r="AD1081" s="99">
        <f t="shared" si="464"/>
        <v>4106617.2921970054</v>
      </c>
      <c r="AE1081" s="61">
        <f t="shared" si="456"/>
        <v>24641085.173182033</v>
      </c>
      <c r="AF1081" s="99">
        <f t="shared" ref="AF1081:BE1081" si="465">AF51+AF156+AF446+AF447+AF453+AF457+AF458+AF1006</f>
        <v>1026544959.7300011</v>
      </c>
      <c r="AG1081" s="99">
        <f t="shared" si="465"/>
        <v>608411530.40000176</v>
      </c>
      <c r="AH1081" s="99">
        <f t="shared" si="465"/>
        <v>418133429.32999933</v>
      </c>
      <c r="AI1081" s="99">
        <f t="shared" si="465"/>
        <v>299112668.98000002</v>
      </c>
      <c r="AJ1081" s="99">
        <f t="shared" si="465"/>
        <v>6580478.7175599998</v>
      </c>
      <c r="AK1081" s="99"/>
      <c r="AL1081" s="99">
        <f t="shared" si="465"/>
        <v>4372287.6191970054</v>
      </c>
      <c r="AM1081" s="99">
        <f t="shared" si="465"/>
        <v>4317124.2891970053</v>
      </c>
      <c r="AN1081" s="99">
        <f t="shared" si="465"/>
        <v>4317124.2891970053</v>
      </c>
      <c r="AO1081" s="99">
        <f t="shared" si="465"/>
        <v>4317124.2991970051</v>
      </c>
      <c r="AP1081" s="99">
        <f t="shared" si="465"/>
        <v>4317124.2991970051</v>
      </c>
      <c r="AQ1081" s="99">
        <f t="shared" si="465"/>
        <v>4317124.2991970051</v>
      </c>
      <c r="AR1081" s="99">
        <f t="shared" si="465"/>
        <v>25957909.095181987</v>
      </c>
      <c r="AS1081" s="99">
        <f t="shared" si="465"/>
        <v>4315813.3891970059</v>
      </c>
      <c r="AT1081" s="99">
        <f t="shared" si="465"/>
        <v>4315679.6891970057</v>
      </c>
      <c r="AU1081" s="99">
        <f t="shared" si="465"/>
        <v>4313785.5391970053</v>
      </c>
      <c r="AV1081" s="99">
        <f t="shared" si="465"/>
        <v>4313785.5391970053</v>
      </c>
      <c r="AW1081" s="99">
        <f t="shared" si="465"/>
        <v>4313785.5391970053</v>
      </c>
      <c r="AX1081" s="99">
        <f t="shared" si="465"/>
        <v>4313785.2900303053</v>
      </c>
      <c r="AY1081" s="99">
        <f t="shared" si="465"/>
        <v>25886634.986015283</v>
      </c>
      <c r="AZ1081" s="99">
        <f t="shared" ref="AZ1081" si="466">AZ51+AZ156+AZ446+AZ447+AZ453+AZ457+AZ458+AZ1006</f>
        <v>51844544.081197269</v>
      </c>
      <c r="BA1081" s="99">
        <f t="shared" si="465"/>
        <v>1132058560.8000011</v>
      </c>
      <c r="BB1081" s="99">
        <f t="shared" si="465"/>
        <v>660256074.48119831</v>
      </c>
      <c r="BC1081" s="99">
        <f t="shared" si="465"/>
        <v>471802486.31880116</v>
      </c>
      <c r="BD1081" s="99">
        <f t="shared" si="465"/>
        <v>277106870.29923069</v>
      </c>
      <c r="BE1081" s="99">
        <f t="shared" si="465"/>
        <v>6095178.1569030751</v>
      </c>
    </row>
    <row r="1082" spans="1:60" ht="11.45" customHeight="1" x14ac:dyDescent="0.2">
      <c r="C1082" s="61" t="s">
        <v>124</v>
      </c>
      <c r="D1082" s="324" t="s">
        <v>124</v>
      </c>
      <c r="E1082" s="325"/>
      <c r="F1082" s="62">
        <f t="shared" ref="F1082:W1082" si="467">F177</f>
        <v>49873016.799999997</v>
      </c>
      <c r="G1082" s="62">
        <f t="shared" si="467"/>
        <v>8946859.75</v>
      </c>
      <c r="H1082" s="62">
        <f t="shared" si="467"/>
        <v>40926157.049999997</v>
      </c>
      <c r="I1082" s="62">
        <f t="shared" si="467"/>
        <v>668541.32999999996</v>
      </c>
      <c r="J1082" s="78">
        <f t="shared" si="467"/>
        <v>2651647.4900000002</v>
      </c>
      <c r="K1082" s="62">
        <f t="shared" si="467"/>
        <v>521636.64</v>
      </c>
      <c r="L1082" s="62">
        <f t="shared" si="467"/>
        <v>517936.64000000001</v>
      </c>
      <c r="M1082" s="62">
        <f t="shared" si="467"/>
        <v>50019921.490000002</v>
      </c>
      <c r="N1082" s="62">
        <f t="shared" si="467"/>
        <v>11080570.6</v>
      </c>
      <c r="O1082" s="62">
        <f t="shared" si="467"/>
        <v>38939350.890000001</v>
      </c>
      <c r="P1082" s="62">
        <f>P177+P1074+P1075+P1076</f>
        <v>23563933.350000001</v>
      </c>
      <c r="Q1082" s="62">
        <f>Q177+Q1074+Q1075+Q1076</f>
        <v>518406.53369999997</v>
      </c>
      <c r="R1082" s="62">
        <f t="shared" si="467"/>
        <v>220669.49333333323</v>
      </c>
      <c r="S1082" s="62">
        <f t="shared" si="467"/>
        <v>220669.49333619993</v>
      </c>
      <c r="T1082" s="62">
        <f t="shared" si="467"/>
        <v>220669.49333619993</v>
      </c>
      <c r="U1082" s="62">
        <f t="shared" si="467"/>
        <v>220669.49333619993</v>
      </c>
      <c r="V1082" s="62">
        <f t="shared" si="467"/>
        <v>220669.49333619993</v>
      </c>
      <c r="W1082" s="62">
        <f t="shared" si="467"/>
        <v>219785.68416949993</v>
      </c>
      <c r="X1082" s="61">
        <f t="shared" si="454"/>
        <v>1323133.1508476329</v>
      </c>
      <c r="Y1082" s="62">
        <f t="shared" ref="Y1082:AD1082" si="468">Y177</f>
        <v>219785.66416949994</v>
      </c>
      <c r="Z1082" s="62">
        <f t="shared" si="468"/>
        <v>219785.66416949994</v>
      </c>
      <c r="AA1082" s="62">
        <f t="shared" si="468"/>
        <v>219785.66416949994</v>
      </c>
      <c r="AB1082" s="62">
        <f t="shared" si="468"/>
        <v>219785.66416949994</v>
      </c>
      <c r="AC1082" s="62">
        <f t="shared" si="468"/>
        <v>219785.66416949994</v>
      </c>
      <c r="AD1082" s="62">
        <f t="shared" si="468"/>
        <v>219785.66416949994</v>
      </c>
      <c r="AE1082" s="61">
        <f t="shared" si="456"/>
        <v>1318713.9850169995</v>
      </c>
      <c r="AF1082" s="62">
        <f t="shared" ref="AF1082:BE1082" si="469">AF177</f>
        <v>50019921.490000002</v>
      </c>
      <c r="AG1082" s="62">
        <f t="shared" si="469"/>
        <v>13722417.735864639</v>
      </c>
      <c r="AH1082" s="62">
        <f t="shared" si="469"/>
        <v>36298387.619968839</v>
      </c>
      <c r="AI1082" s="62">
        <f>AI177+AI1074+AI1075+AI1076</f>
        <v>22789505.959999997</v>
      </c>
      <c r="AJ1082" s="62">
        <f>AJ177+AJ1074+AJ1075+AJ1076</f>
        <v>501369.13111999986</v>
      </c>
      <c r="AK1082" s="62"/>
      <c r="AL1082" s="62">
        <f t="shared" si="469"/>
        <v>209144.58666949996</v>
      </c>
      <c r="AM1082" s="62">
        <f t="shared" si="469"/>
        <v>209144.51666949995</v>
      </c>
      <c r="AN1082" s="62">
        <f t="shared" si="469"/>
        <v>209144.51666949995</v>
      </c>
      <c r="AO1082" s="62">
        <f t="shared" si="469"/>
        <v>209144.51666949995</v>
      </c>
      <c r="AP1082" s="62">
        <f t="shared" si="469"/>
        <v>209144.51666949995</v>
      </c>
      <c r="AQ1082" s="62">
        <f t="shared" si="469"/>
        <v>209144.51666949995</v>
      </c>
      <c r="AR1082" s="62">
        <f t="shared" si="469"/>
        <v>1254867.1700170008</v>
      </c>
      <c r="AS1082" s="62">
        <f t="shared" si="469"/>
        <v>209144.51666949995</v>
      </c>
      <c r="AT1082" s="62">
        <f t="shared" si="469"/>
        <v>209144.51666949995</v>
      </c>
      <c r="AU1082" s="62">
        <f t="shared" si="469"/>
        <v>209144.51666949995</v>
      </c>
      <c r="AV1082" s="62">
        <f t="shared" si="469"/>
        <v>209144.51666949995</v>
      </c>
      <c r="AW1082" s="62">
        <f t="shared" si="469"/>
        <v>209144.61666949996</v>
      </c>
      <c r="AX1082" s="62">
        <f t="shared" si="469"/>
        <v>202528.16666949994</v>
      </c>
      <c r="AY1082" s="62">
        <f t="shared" si="469"/>
        <v>1248250.8500170007</v>
      </c>
      <c r="AZ1082" s="62">
        <f t="shared" ref="AZ1082" si="470">AZ177</f>
        <v>2503118.0200340012</v>
      </c>
      <c r="BA1082" s="62">
        <f t="shared" si="469"/>
        <v>50019921.490000002</v>
      </c>
      <c r="BB1082" s="62">
        <f t="shared" si="469"/>
        <v>16225535.755898632</v>
      </c>
      <c r="BC1082" s="62">
        <f t="shared" si="469"/>
        <v>33795269.599934824</v>
      </c>
      <c r="BD1082" s="62">
        <f t="shared" si="469"/>
        <v>22043210.264999982</v>
      </c>
      <c r="BE1082" s="62">
        <f t="shared" si="469"/>
        <v>484950.62582999968</v>
      </c>
    </row>
    <row r="1083" spans="1:60" ht="11.45" customHeight="1" x14ac:dyDescent="0.2">
      <c r="C1083" s="61" t="s">
        <v>79</v>
      </c>
      <c r="D1083" s="324" t="s">
        <v>79</v>
      </c>
      <c r="E1083" s="325"/>
      <c r="F1083" s="62">
        <f t="shared" ref="F1083:W1083" si="471">F260</f>
        <v>9369010.5099999998</v>
      </c>
      <c r="G1083" s="62">
        <f t="shared" si="471"/>
        <v>4977501.7300000004</v>
      </c>
      <c r="H1083" s="62">
        <f t="shared" si="471"/>
        <v>4391508.78</v>
      </c>
      <c r="I1083" s="62">
        <f t="shared" si="471"/>
        <v>0</v>
      </c>
      <c r="J1083" s="78">
        <f t="shared" si="471"/>
        <v>277769.36</v>
      </c>
      <c r="K1083" s="62">
        <f t="shared" si="471"/>
        <v>93459.14</v>
      </c>
      <c r="L1083" s="62">
        <f t="shared" si="471"/>
        <v>93459.14</v>
      </c>
      <c r="M1083" s="62">
        <f t="shared" si="471"/>
        <v>9275551.3699999992</v>
      </c>
      <c r="N1083" s="62">
        <f t="shared" si="471"/>
        <v>5161811.95</v>
      </c>
      <c r="O1083" s="62">
        <f t="shared" si="471"/>
        <v>4113739.42</v>
      </c>
      <c r="P1083" s="62">
        <f t="shared" si="471"/>
        <v>3659885.92</v>
      </c>
      <c r="Q1083" s="62">
        <f t="shared" si="471"/>
        <v>80517.490239999999</v>
      </c>
      <c r="R1083" s="62">
        <f t="shared" si="471"/>
        <v>23147.446666666667</v>
      </c>
      <c r="S1083" s="62">
        <f t="shared" si="471"/>
        <v>23147.446666669999</v>
      </c>
      <c r="T1083" s="62">
        <f t="shared" si="471"/>
        <v>23147.446666669999</v>
      </c>
      <c r="U1083" s="62">
        <f t="shared" si="471"/>
        <v>23147.446666669999</v>
      </c>
      <c r="V1083" s="62">
        <f t="shared" si="471"/>
        <v>23147.446666669999</v>
      </c>
      <c r="W1083" s="62">
        <f t="shared" si="471"/>
        <v>23147.446666669999</v>
      </c>
      <c r="X1083" s="61">
        <f t="shared" si="454"/>
        <v>138884.68000001667</v>
      </c>
      <c r="Y1083" s="62">
        <f t="shared" ref="Y1083:AD1083" si="472">Y260</f>
        <v>23147.446666669999</v>
      </c>
      <c r="Z1083" s="62">
        <f t="shared" si="472"/>
        <v>23147.446666669999</v>
      </c>
      <c r="AA1083" s="62">
        <f t="shared" si="472"/>
        <v>23147.446666669999</v>
      </c>
      <c r="AB1083" s="62">
        <f t="shared" si="472"/>
        <v>23147.446666669999</v>
      </c>
      <c r="AC1083" s="62">
        <f t="shared" si="472"/>
        <v>23147.446666669999</v>
      </c>
      <c r="AD1083" s="62">
        <f t="shared" si="472"/>
        <v>23147.446666669999</v>
      </c>
      <c r="AE1083" s="61">
        <f t="shared" si="456"/>
        <v>138884.68000001999</v>
      </c>
      <c r="AF1083" s="62">
        <f t="shared" ref="AF1083:BE1083" si="473">AF260</f>
        <v>9275551.3699999992</v>
      </c>
      <c r="AG1083" s="62">
        <f t="shared" si="473"/>
        <v>5439581.3100000368</v>
      </c>
      <c r="AH1083" s="62">
        <f t="shared" si="473"/>
        <v>3835970.0599999642</v>
      </c>
      <c r="AI1083" s="62">
        <f t="shared" si="473"/>
        <v>3467399.2</v>
      </c>
      <c r="AJ1083" s="62">
        <f t="shared" si="473"/>
        <v>76282.782399999996</v>
      </c>
      <c r="AK1083" s="62"/>
      <c r="AL1083" s="62">
        <f t="shared" si="473"/>
        <v>23147.446666669999</v>
      </c>
      <c r="AM1083" s="62">
        <f t="shared" si="473"/>
        <v>23147.446666669999</v>
      </c>
      <c r="AN1083" s="62">
        <f t="shared" si="473"/>
        <v>23147.446666669999</v>
      </c>
      <c r="AO1083" s="62">
        <f t="shared" si="473"/>
        <v>23147.446666669999</v>
      </c>
      <c r="AP1083" s="62">
        <f t="shared" si="473"/>
        <v>23147.446666669999</v>
      </c>
      <c r="AQ1083" s="62">
        <f t="shared" si="473"/>
        <v>23147.446666669999</v>
      </c>
      <c r="AR1083" s="62">
        <f t="shared" si="473"/>
        <v>138884.68000002002</v>
      </c>
      <c r="AS1083" s="62">
        <f t="shared" si="473"/>
        <v>23147.446666669999</v>
      </c>
      <c r="AT1083" s="62">
        <f t="shared" si="473"/>
        <v>23147.446666669999</v>
      </c>
      <c r="AU1083" s="62">
        <f t="shared" si="473"/>
        <v>23147.446666669999</v>
      </c>
      <c r="AV1083" s="62">
        <f t="shared" si="473"/>
        <v>23147.446666669999</v>
      </c>
      <c r="AW1083" s="62">
        <f t="shared" si="473"/>
        <v>23147.446666669999</v>
      </c>
      <c r="AX1083" s="62">
        <f t="shared" si="473"/>
        <v>23147.446666669999</v>
      </c>
      <c r="AY1083" s="62">
        <f t="shared" si="473"/>
        <v>138884.68000002002</v>
      </c>
      <c r="AZ1083" s="62">
        <f t="shared" ref="AZ1083" si="474">AZ260</f>
        <v>277769.36000004003</v>
      </c>
      <c r="BA1083" s="62">
        <f t="shared" si="473"/>
        <v>9275551.3699999992</v>
      </c>
      <c r="BB1083" s="62">
        <f t="shared" si="473"/>
        <v>5717350.6700000754</v>
      </c>
      <c r="BC1083" s="62">
        <f t="shared" si="473"/>
        <v>3558200.6999999238</v>
      </c>
      <c r="BD1083" s="62">
        <f t="shared" si="473"/>
        <v>3274912.4799999981</v>
      </c>
      <c r="BE1083" s="62">
        <f t="shared" si="473"/>
        <v>72048.074559999965</v>
      </c>
    </row>
    <row r="1084" spans="1:60" ht="11.45" customHeight="1" x14ac:dyDescent="0.2">
      <c r="C1084" s="61" t="s">
        <v>31</v>
      </c>
      <c r="D1084" s="324" t="s">
        <v>2439</v>
      </c>
      <c r="E1084" s="325"/>
      <c r="F1084" s="62">
        <f t="shared" ref="F1084:W1084" si="475">F287</f>
        <v>9215891.4799999893</v>
      </c>
      <c r="G1084" s="62">
        <f t="shared" si="475"/>
        <v>4982803.799999998</v>
      </c>
      <c r="H1084" s="62">
        <f t="shared" si="475"/>
        <v>4233087.68</v>
      </c>
      <c r="I1084" s="62">
        <f t="shared" si="475"/>
        <v>189451.46000000002</v>
      </c>
      <c r="J1084" s="78">
        <f t="shared" si="475"/>
        <v>594251.82999999984</v>
      </c>
      <c r="K1084" s="62">
        <f t="shared" si="475"/>
        <v>60530.720000000001</v>
      </c>
      <c r="L1084" s="62">
        <f t="shared" si="475"/>
        <v>60530.720000000001</v>
      </c>
      <c r="M1084" s="62">
        <f t="shared" si="475"/>
        <v>9344812.2199999895</v>
      </c>
      <c r="N1084" s="62">
        <f t="shared" si="475"/>
        <v>5516524.9100000039</v>
      </c>
      <c r="O1084" s="62">
        <f t="shared" si="475"/>
        <v>3828287.3100000038</v>
      </c>
      <c r="P1084" s="62">
        <f t="shared" si="475"/>
        <v>0</v>
      </c>
      <c r="Q1084" s="62">
        <f t="shared" si="475"/>
        <v>0</v>
      </c>
      <c r="R1084" s="62">
        <f t="shared" si="475"/>
        <v>49520.985833333347</v>
      </c>
      <c r="S1084" s="62">
        <f t="shared" si="475"/>
        <v>49524.625833200014</v>
      </c>
      <c r="T1084" s="62">
        <f t="shared" si="475"/>
        <v>49524.625833200014</v>
      </c>
      <c r="U1084" s="62">
        <f t="shared" si="475"/>
        <v>49524.625833200014</v>
      </c>
      <c r="V1084" s="62">
        <f t="shared" si="475"/>
        <v>49524.625833200014</v>
      </c>
      <c r="W1084" s="62">
        <f t="shared" si="475"/>
        <v>49524.625833200014</v>
      </c>
      <c r="X1084" s="61">
        <f t="shared" si="454"/>
        <v>297144.1149993334</v>
      </c>
      <c r="Y1084" s="62">
        <f t="shared" ref="Y1084:AD1084" si="476">Y287</f>
        <v>49524.625833200014</v>
      </c>
      <c r="Z1084" s="62">
        <f t="shared" si="476"/>
        <v>49524.625833200014</v>
      </c>
      <c r="AA1084" s="62">
        <f t="shared" si="476"/>
        <v>49524.625833200014</v>
      </c>
      <c r="AB1084" s="62">
        <f t="shared" si="476"/>
        <v>873993.40078111656</v>
      </c>
      <c r="AC1084" s="62">
        <f t="shared" si="476"/>
        <v>873993.40078111656</v>
      </c>
      <c r="AD1084" s="62">
        <f t="shared" si="476"/>
        <v>873993.40078111656</v>
      </c>
      <c r="AE1084" s="61">
        <f t="shared" si="456"/>
        <v>2770554.0798429498</v>
      </c>
      <c r="AF1084" s="62">
        <f t="shared" ref="AF1084:BE1084" si="477">AF287</f>
        <v>167642817.00999999</v>
      </c>
      <c r="AG1084" s="62">
        <f t="shared" si="477"/>
        <v>8584223.1048422884</v>
      </c>
      <c r="AH1084" s="62">
        <f t="shared" si="477"/>
        <v>159058593.90515769</v>
      </c>
      <c r="AI1084" s="62">
        <f t="shared" si="477"/>
        <v>0</v>
      </c>
      <c r="AJ1084" s="62">
        <f t="shared" si="477"/>
        <v>0</v>
      </c>
      <c r="AK1084" s="62"/>
      <c r="AL1084" s="62">
        <f t="shared" si="477"/>
        <v>873993.40078111656</v>
      </c>
      <c r="AM1084" s="62">
        <f t="shared" si="477"/>
        <v>873993.40078111656</v>
      </c>
      <c r="AN1084" s="62">
        <f t="shared" si="477"/>
        <v>873993.40078111656</v>
      </c>
      <c r="AO1084" s="62">
        <f t="shared" si="477"/>
        <v>873993.40078111656</v>
      </c>
      <c r="AP1084" s="62">
        <f t="shared" si="477"/>
        <v>873993.40078111656</v>
      </c>
      <c r="AQ1084" s="62">
        <f t="shared" si="477"/>
        <v>873993.40078111656</v>
      </c>
      <c r="AR1084" s="62">
        <f t="shared" si="477"/>
        <v>5243960.4046867006</v>
      </c>
      <c r="AS1084" s="62">
        <f t="shared" si="477"/>
        <v>873993.40078111656</v>
      </c>
      <c r="AT1084" s="62">
        <f t="shared" si="477"/>
        <v>873993.40078111656</v>
      </c>
      <c r="AU1084" s="62">
        <f t="shared" si="477"/>
        <v>873993.40078111656</v>
      </c>
      <c r="AV1084" s="62">
        <f t="shared" si="477"/>
        <v>873993.40078111656</v>
      </c>
      <c r="AW1084" s="62">
        <f t="shared" si="477"/>
        <v>873993.40078111656</v>
      </c>
      <c r="AX1084" s="62">
        <f t="shared" si="477"/>
        <v>873993.40078111656</v>
      </c>
      <c r="AY1084" s="62">
        <f t="shared" si="477"/>
        <v>5243960.4046867006</v>
      </c>
      <c r="AZ1084" s="62">
        <f t="shared" ref="AZ1084" si="478">AZ287</f>
        <v>10487920.809373401</v>
      </c>
      <c r="BA1084" s="62">
        <f t="shared" si="477"/>
        <v>167642817.00999999</v>
      </c>
      <c r="BB1084" s="62">
        <f t="shared" si="477"/>
        <v>19072143.914215695</v>
      </c>
      <c r="BC1084" s="62">
        <f t="shared" si="477"/>
        <v>148570673.09578431</v>
      </c>
      <c r="BD1084" s="62">
        <f t="shared" si="477"/>
        <v>0</v>
      </c>
      <c r="BE1084" s="62">
        <f t="shared" si="477"/>
        <v>0</v>
      </c>
    </row>
    <row r="1085" spans="1:60" ht="11.45" customHeight="1" x14ac:dyDescent="0.2">
      <c r="C1085" s="61" t="s">
        <v>19</v>
      </c>
      <c r="D1085" s="324" t="s">
        <v>2440</v>
      </c>
      <c r="E1085" s="325"/>
      <c r="F1085" s="62">
        <f t="shared" ref="F1085:W1085" si="479">F525</f>
        <v>5500152.5099999998</v>
      </c>
      <c r="G1085" s="62">
        <f t="shared" si="479"/>
        <v>3557870.0700000003</v>
      </c>
      <c r="H1085" s="62">
        <f t="shared" si="479"/>
        <v>1942282.44</v>
      </c>
      <c r="I1085" s="62">
        <f t="shared" si="479"/>
        <v>0</v>
      </c>
      <c r="J1085" s="78">
        <f t="shared" si="479"/>
        <v>270605.40000000002</v>
      </c>
      <c r="K1085" s="62">
        <f t="shared" si="479"/>
        <v>0</v>
      </c>
      <c r="L1085" s="62">
        <f t="shared" si="479"/>
        <v>0</v>
      </c>
      <c r="M1085" s="62">
        <f t="shared" si="479"/>
        <v>5500152.5099999998</v>
      </c>
      <c r="N1085" s="62">
        <f t="shared" si="479"/>
        <v>3828475.47</v>
      </c>
      <c r="O1085" s="62">
        <f t="shared" si="479"/>
        <v>1671677.04</v>
      </c>
      <c r="P1085" s="62">
        <f t="shared" si="479"/>
        <v>1098142.5</v>
      </c>
      <c r="Q1085" s="62">
        <f t="shared" si="479"/>
        <v>24159.135000000002</v>
      </c>
      <c r="R1085" s="62">
        <f t="shared" si="479"/>
        <v>22550.442499999997</v>
      </c>
      <c r="S1085" s="62">
        <f t="shared" si="479"/>
        <v>22360.872499699999</v>
      </c>
      <c r="T1085" s="62">
        <f t="shared" si="479"/>
        <v>22360.872499699999</v>
      </c>
      <c r="U1085" s="62">
        <f t="shared" si="479"/>
        <v>22360.872499699999</v>
      </c>
      <c r="V1085" s="62">
        <f t="shared" si="479"/>
        <v>22360.872499699999</v>
      </c>
      <c r="W1085" s="62">
        <f t="shared" si="479"/>
        <v>22360.872499699999</v>
      </c>
      <c r="X1085" s="61">
        <f t="shared" si="454"/>
        <v>134354.80499849998</v>
      </c>
      <c r="Y1085" s="62">
        <f t="shared" ref="Y1085:AD1085" si="480">Y525</f>
        <v>22360.872499699999</v>
      </c>
      <c r="Z1085" s="62">
        <f t="shared" si="480"/>
        <v>22360.872499699999</v>
      </c>
      <c r="AA1085" s="62">
        <f t="shared" si="480"/>
        <v>22360.872499699999</v>
      </c>
      <c r="AB1085" s="62">
        <f t="shared" si="480"/>
        <v>22360.872499699999</v>
      </c>
      <c r="AC1085" s="62">
        <f t="shared" si="480"/>
        <v>22360.872499699999</v>
      </c>
      <c r="AD1085" s="62">
        <f t="shared" si="480"/>
        <v>22360.8224997</v>
      </c>
      <c r="AE1085" s="61">
        <f t="shared" si="456"/>
        <v>134165.18499819998</v>
      </c>
      <c r="AF1085" s="62">
        <f t="shared" ref="AF1085:BE1085" si="481">AF525</f>
        <v>5500152.5099999998</v>
      </c>
      <c r="AG1085" s="62">
        <f t="shared" si="481"/>
        <v>4096995.4599966994</v>
      </c>
      <c r="AH1085" s="62">
        <f t="shared" si="481"/>
        <v>1403157.0500033</v>
      </c>
      <c r="AI1085" s="62">
        <f t="shared" si="481"/>
        <v>976282.42000000027</v>
      </c>
      <c r="AJ1085" s="62">
        <f t="shared" si="481"/>
        <v>21478.213240000012</v>
      </c>
      <c r="AK1085" s="62"/>
      <c r="AL1085" s="62">
        <f t="shared" si="481"/>
        <v>22297.802499699999</v>
      </c>
      <c r="AM1085" s="62">
        <f t="shared" si="481"/>
        <v>22297.802499699999</v>
      </c>
      <c r="AN1085" s="62">
        <f t="shared" si="481"/>
        <v>22297.802499699999</v>
      </c>
      <c r="AO1085" s="62">
        <f t="shared" si="481"/>
        <v>22297.802499699999</v>
      </c>
      <c r="AP1085" s="62">
        <f t="shared" si="481"/>
        <v>22297.802499699999</v>
      </c>
      <c r="AQ1085" s="62">
        <f t="shared" si="481"/>
        <v>22297.802499699999</v>
      </c>
      <c r="AR1085" s="62">
        <f t="shared" si="481"/>
        <v>133786.81499819999</v>
      </c>
      <c r="AS1085" s="62">
        <f t="shared" si="481"/>
        <v>22297.802499699999</v>
      </c>
      <c r="AT1085" s="62">
        <f t="shared" si="481"/>
        <v>22297.802499699999</v>
      </c>
      <c r="AU1085" s="62">
        <f t="shared" si="481"/>
        <v>22297.802499699999</v>
      </c>
      <c r="AV1085" s="62">
        <f t="shared" si="481"/>
        <v>22297.802499699999</v>
      </c>
      <c r="AW1085" s="62">
        <f t="shared" si="481"/>
        <v>22297.802499699999</v>
      </c>
      <c r="AX1085" s="62">
        <f t="shared" si="481"/>
        <v>22297.692499699999</v>
      </c>
      <c r="AY1085" s="62">
        <f t="shared" si="481"/>
        <v>133786.7049982</v>
      </c>
      <c r="AZ1085" s="62">
        <f t="shared" ref="AZ1085" si="482">AZ525</f>
        <v>267573.51999639999</v>
      </c>
      <c r="BA1085" s="62">
        <f t="shared" si="481"/>
        <v>5500152.5099999998</v>
      </c>
      <c r="BB1085" s="62">
        <f t="shared" si="481"/>
        <v>4364568.9799930993</v>
      </c>
      <c r="BC1085" s="62">
        <f t="shared" si="481"/>
        <v>1135583.5300069</v>
      </c>
      <c r="BD1085" s="62">
        <f t="shared" si="481"/>
        <v>855748.68000000087</v>
      </c>
      <c r="BE1085" s="62">
        <f t="shared" si="481"/>
        <v>18826.470960000021</v>
      </c>
    </row>
    <row r="1086" spans="1:60" ht="11.45" customHeight="1" x14ac:dyDescent="0.2">
      <c r="C1086" s="61" t="s">
        <v>44</v>
      </c>
      <c r="D1086" s="324" t="s">
        <v>1098</v>
      </c>
      <c r="E1086" s="325"/>
      <c r="F1086" s="62">
        <f>F538</f>
        <v>548252405.08999979</v>
      </c>
      <c r="G1086" s="62">
        <f>G538</f>
        <v>232186901.22999999</v>
      </c>
      <c r="H1086" s="62">
        <f t="shared" ref="H1086:BE1086" si="483">H538</f>
        <v>485791580.23000002</v>
      </c>
      <c r="I1086" s="62">
        <f t="shared" si="483"/>
        <v>37494748.450000003</v>
      </c>
      <c r="J1086" s="78">
        <f t="shared" si="483"/>
        <v>30370172.539999999</v>
      </c>
      <c r="K1086" s="62">
        <f t="shared" si="483"/>
        <v>1987002.52</v>
      </c>
      <c r="L1086" s="62">
        <f t="shared" si="483"/>
        <v>1814380.88</v>
      </c>
      <c r="M1086" s="62">
        <f t="shared" si="483"/>
        <v>753486227.38999999</v>
      </c>
      <c r="N1086" s="62">
        <f t="shared" si="483"/>
        <v>260742692.88999999</v>
      </c>
      <c r="O1086" s="62">
        <f t="shared" si="483"/>
        <v>492743534.5</v>
      </c>
      <c r="P1086" s="62">
        <f t="shared" si="483"/>
        <v>431010190.74000025</v>
      </c>
      <c r="Q1086" s="62">
        <f t="shared" si="483"/>
        <v>9482224.1836199909</v>
      </c>
      <c r="R1086" s="62">
        <f t="shared" si="483"/>
        <v>2524668.3674999983</v>
      </c>
      <c r="S1086" s="62">
        <f t="shared" si="483"/>
        <v>2524668.367503054</v>
      </c>
      <c r="T1086" s="62">
        <f t="shared" si="483"/>
        <v>2524668.367503054</v>
      </c>
      <c r="U1086" s="62">
        <f t="shared" si="483"/>
        <v>2524668.367503054</v>
      </c>
      <c r="V1086" s="62">
        <f t="shared" si="483"/>
        <v>2524668.367503054</v>
      </c>
      <c r="W1086" s="62">
        <f t="shared" si="483"/>
        <v>2524668.367503054</v>
      </c>
      <c r="X1086" s="61">
        <f t="shared" si="454"/>
        <v>15148010.20501527</v>
      </c>
      <c r="Y1086" s="62">
        <f t="shared" si="483"/>
        <v>2524668.3558360538</v>
      </c>
      <c r="Z1086" s="62">
        <f t="shared" si="483"/>
        <v>2524668.3608360542</v>
      </c>
      <c r="AA1086" s="62">
        <f t="shared" si="483"/>
        <v>2520426.5083360542</v>
      </c>
      <c r="AB1086" s="62">
        <f t="shared" si="483"/>
        <v>2519079.2841693843</v>
      </c>
      <c r="AC1086" s="62">
        <f t="shared" si="483"/>
        <v>2519079.2708360841</v>
      </c>
      <c r="AD1086" s="62">
        <f t="shared" si="483"/>
        <v>2516463.8458360843</v>
      </c>
      <c r="AE1086" s="61">
        <f t="shared" si="456"/>
        <v>15124385.625849716</v>
      </c>
      <c r="AF1086" s="62">
        <f t="shared" si="483"/>
        <v>753441019.91999924</v>
      </c>
      <c r="AG1086" s="62">
        <f t="shared" si="483"/>
        <v>290972225.94086492</v>
      </c>
      <c r="AH1086" s="62">
        <f t="shared" si="483"/>
        <v>462468793.97913527</v>
      </c>
      <c r="AI1086" s="62">
        <f t="shared" si="483"/>
        <v>435277774.24000025</v>
      </c>
      <c r="AJ1086" s="62">
        <f t="shared" si="483"/>
        <v>9576111.0332800057</v>
      </c>
      <c r="AK1086" s="62"/>
      <c r="AL1086" s="62">
        <f t="shared" si="483"/>
        <v>2511830.1183364145</v>
      </c>
      <c r="AM1086" s="62">
        <f t="shared" si="483"/>
        <v>2507329.3783364142</v>
      </c>
      <c r="AN1086" s="62">
        <f t="shared" si="483"/>
        <v>2483374.2766704145</v>
      </c>
      <c r="AO1086" s="62">
        <f t="shared" si="483"/>
        <v>2471137.5966704148</v>
      </c>
      <c r="AP1086" s="62">
        <f t="shared" si="483"/>
        <v>2470977.3900034148</v>
      </c>
      <c r="AQ1086" s="62">
        <f t="shared" si="483"/>
        <v>2467307.5313367443</v>
      </c>
      <c r="AR1086" s="62">
        <f t="shared" si="483"/>
        <v>14911956.291353805</v>
      </c>
      <c r="AS1086" s="62">
        <f t="shared" si="483"/>
        <v>2467114.3127922444</v>
      </c>
      <c r="AT1086" s="62">
        <f t="shared" si="483"/>
        <v>2461708.0583367441</v>
      </c>
      <c r="AU1086" s="62">
        <f t="shared" si="483"/>
        <v>2461708.0583367441</v>
      </c>
      <c r="AV1086" s="62">
        <f t="shared" si="483"/>
        <v>2460066.478336744</v>
      </c>
      <c r="AW1086" s="62">
        <f t="shared" si="483"/>
        <v>2459160.8783367444</v>
      </c>
      <c r="AX1086" s="62">
        <f t="shared" si="483"/>
        <v>2459137.9783367449</v>
      </c>
      <c r="AY1086" s="62">
        <f t="shared" si="483"/>
        <v>14768895.764475964</v>
      </c>
      <c r="AZ1086" s="62">
        <f t="shared" ref="AZ1086" si="484">AZ538</f>
        <v>29680852.055829771</v>
      </c>
      <c r="BA1086" s="62">
        <f t="shared" si="483"/>
        <v>753441019.91999924</v>
      </c>
      <c r="BB1086" s="62">
        <f t="shared" si="483"/>
        <v>320653077.99669486</v>
      </c>
      <c r="BC1086" s="62">
        <f t="shared" si="483"/>
        <v>432787941.93076068</v>
      </c>
      <c r="BD1086" s="62">
        <f t="shared" si="483"/>
        <v>410189128.11499989</v>
      </c>
      <c r="BE1086" s="62">
        <f t="shared" si="483"/>
        <v>9024160.8185299933</v>
      </c>
    </row>
    <row r="1087" spans="1:60" s="58" customFormat="1" ht="11.45" customHeight="1" x14ac:dyDescent="0.2">
      <c r="C1087" s="56" t="s">
        <v>129</v>
      </c>
      <c r="D1087" s="326"/>
      <c r="E1087" s="327"/>
      <c r="F1087" s="69">
        <f>F1080+F1081+F1082+F1083+F1084+F1085+F1086+F1079</f>
        <v>1782144270.980001</v>
      </c>
      <c r="G1087" s="69">
        <f>G1080+G1081+G1082+G1083+G1084+G1085+G1086+G1079</f>
        <v>774383498.56000042</v>
      </c>
      <c r="H1087" s="69">
        <f t="shared" ref="H1087:O1087" si="485">H1080+H1081+H1082+H1083+H1084+H1085+H1086+H1079</f>
        <v>1177845824.6699991</v>
      </c>
      <c r="I1087" s="69">
        <f t="shared" si="485"/>
        <v>39428275.350000001</v>
      </c>
      <c r="J1087" s="69">
        <f t="shared" si="485"/>
        <v>85933917.289999977</v>
      </c>
      <c r="K1087" s="69">
        <f t="shared" si="485"/>
        <v>3815065.45</v>
      </c>
      <c r="L1087" s="69">
        <f t="shared" si="485"/>
        <v>3638743.81</v>
      </c>
      <c r="M1087" s="69">
        <f t="shared" si="485"/>
        <v>1987483557.2500012</v>
      </c>
      <c r="N1087" s="69">
        <f t="shared" si="485"/>
        <v>856678672.03999972</v>
      </c>
      <c r="O1087" s="69">
        <f t="shared" si="485"/>
        <v>1131163861.0900004</v>
      </c>
      <c r="P1087" s="69">
        <f>SUM(P1079:P1086)</f>
        <v>781930826.64000034</v>
      </c>
      <c r="Q1087" s="69">
        <f>SUM(Q1079:Q1086)</f>
        <v>17202477.727024391</v>
      </c>
      <c r="R1087" s="69">
        <f t="shared" ref="R1087:BC1087" si="486">R1080+R1081+R1082+R1083+R1084+R1085+R1086+R1079</f>
        <v>7154123.1058333376</v>
      </c>
      <c r="S1087" s="69">
        <f t="shared" si="486"/>
        <v>7153937.1755334586</v>
      </c>
      <c r="T1087" s="69">
        <f t="shared" si="486"/>
        <v>7152394.0813664589</v>
      </c>
      <c r="U1087" s="69">
        <f t="shared" si="486"/>
        <v>7151031.4396994598</v>
      </c>
      <c r="V1087" s="69">
        <f t="shared" si="486"/>
        <v>7142046.1496994589</v>
      </c>
      <c r="W1087" s="69">
        <f t="shared" si="486"/>
        <v>7141162.3405327592</v>
      </c>
      <c r="X1087" s="69">
        <f t="shared" si="486"/>
        <v>42894694.292664938</v>
      </c>
      <c r="Y1087" s="69">
        <f t="shared" si="486"/>
        <v>7140333.9088657591</v>
      </c>
      <c r="Z1087" s="69">
        <f t="shared" si="486"/>
        <v>7140333.913865759</v>
      </c>
      <c r="AA1087" s="69">
        <f t="shared" si="486"/>
        <v>7136092.061365759</v>
      </c>
      <c r="AB1087" s="69">
        <f t="shared" si="486"/>
        <v>7958753.2321470054</v>
      </c>
      <c r="AC1087" s="69">
        <f t="shared" si="486"/>
        <v>7958753.1988137057</v>
      </c>
      <c r="AD1087" s="69">
        <f t="shared" si="486"/>
        <v>7956137.5971471062</v>
      </c>
      <c r="AE1087" s="69">
        <f t="shared" si="486"/>
        <v>45290403.912205093</v>
      </c>
      <c r="AF1087" s="69">
        <f t="shared" si="486"/>
        <v>2040222753.5000002</v>
      </c>
      <c r="AG1087" s="69">
        <f t="shared" si="486"/>
        <v>944820907.46487033</v>
      </c>
      <c r="AH1087" s="69">
        <f t="shared" si="486"/>
        <v>1095402729.9009645</v>
      </c>
      <c r="AI1087" s="69">
        <f>SUM(AI1079:AI1086)</f>
        <v>763280754.28000021</v>
      </c>
      <c r="AJ1087" s="69">
        <f>SUM(AJ1079:AJ1086)</f>
        <v>16792176.594160005</v>
      </c>
      <c r="AK1087" s="69"/>
      <c r="AL1087" s="69">
        <f t="shared" si="486"/>
        <v>8206186.1291474365</v>
      </c>
      <c r="AM1087" s="69">
        <f t="shared" si="486"/>
        <v>8146521.9891474359</v>
      </c>
      <c r="AN1087" s="69">
        <f t="shared" si="486"/>
        <v>8122566.8874814361</v>
      </c>
      <c r="AO1087" s="69">
        <f t="shared" si="486"/>
        <v>8110330.0874814354</v>
      </c>
      <c r="AP1087" s="69">
        <f t="shared" si="486"/>
        <v>8109358.000814436</v>
      </c>
      <c r="AQ1087" s="69">
        <f t="shared" si="486"/>
        <v>8105688.1421477655</v>
      </c>
      <c r="AR1087" s="101">
        <f t="shared" si="486"/>
        <v>48800651.23621989</v>
      </c>
      <c r="AS1087" s="69">
        <f t="shared" si="486"/>
        <v>8103410.4752699668</v>
      </c>
      <c r="AT1087" s="69">
        <f t="shared" si="486"/>
        <v>8097762.1308144657</v>
      </c>
      <c r="AU1087" s="69">
        <f t="shared" si="486"/>
        <v>8095867.9808144653</v>
      </c>
      <c r="AV1087" s="69">
        <f t="shared" si="486"/>
        <v>8094226.4008144652</v>
      </c>
      <c r="AW1087" s="69">
        <f t="shared" si="486"/>
        <v>8093320.9008144662</v>
      </c>
      <c r="AX1087" s="69">
        <f t="shared" si="486"/>
        <v>8086681.1916477662</v>
      </c>
      <c r="AY1087" s="101">
        <f t="shared" si="486"/>
        <v>48571269.080175549</v>
      </c>
      <c r="AZ1087" s="101">
        <f t="shared" ref="AZ1087" si="487">AZ1080+AZ1081+AZ1082+AZ1083+AZ1084+AZ1085+AZ1086+AZ1079</f>
        <v>97371920.316395432</v>
      </c>
      <c r="BA1087" s="69">
        <f t="shared" si="486"/>
        <v>2145736354.5700004</v>
      </c>
      <c r="BB1087" s="69">
        <f t="shared" si="486"/>
        <v>1042192827.7812653</v>
      </c>
      <c r="BC1087" s="69">
        <f t="shared" si="486"/>
        <v>1103544410.6620231</v>
      </c>
      <c r="BD1087" s="69">
        <f>SUM(BD1079:BD1086)</f>
        <v>715010735.3992306</v>
      </c>
      <c r="BE1087" s="69">
        <f>SUM(BE1079:BE1086)</f>
        <v>15729063.189103067</v>
      </c>
    </row>
    <row r="1088" spans="1:60" ht="11.45" customHeight="1" x14ac:dyDescent="0.2">
      <c r="AI1088" s="95">
        <f>AI1072-'[7]Расщ.налога на имущ. 2023'!$AB$356</f>
        <v>0</v>
      </c>
      <c r="AJ1088" s="95">
        <f>AJ1072-'[7]Расщ.налога на имущ. 2023'!$AD$356</f>
        <v>0</v>
      </c>
      <c r="AK1088" s="95"/>
    </row>
    <row r="1089" spans="6:56" ht="10.9" customHeight="1" x14ac:dyDescent="0.2">
      <c r="F1089" s="95">
        <f>F1072-F1087</f>
        <v>0</v>
      </c>
      <c r="G1089" s="95">
        <f t="shared" ref="G1089:BC1089" si="488">G1072-G1087</f>
        <v>0</v>
      </c>
      <c r="H1089" s="95">
        <f t="shared" si="488"/>
        <v>0</v>
      </c>
      <c r="I1089" s="95">
        <f t="shared" si="488"/>
        <v>0</v>
      </c>
      <c r="J1089" s="95">
        <f t="shared" si="488"/>
        <v>0</v>
      </c>
      <c r="K1089" s="95">
        <f t="shared" si="488"/>
        <v>0</v>
      </c>
      <c r="L1089" s="95">
        <f t="shared" si="488"/>
        <v>0</v>
      </c>
      <c r="M1089" s="95">
        <f t="shared" si="488"/>
        <v>0</v>
      </c>
      <c r="N1089" s="95">
        <f t="shared" si="488"/>
        <v>0</v>
      </c>
      <c r="O1089" s="95">
        <f t="shared" si="488"/>
        <v>0</v>
      </c>
      <c r="P1089" s="95"/>
      <c r="Q1089" s="95"/>
      <c r="R1089" s="95">
        <f t="shared" si="488"/>
        <v>0</v>
      </c>
      <c r="S1089" s="95">
        <f t="shared" si="488"/>
        <v>0</v>
      </c>
      <c r="T1089" s="95">
        <f t="shared" si="488"/>
        <v>0</v>
      </c>
      <c r="U1089" s="95">
        <f t="shared" si="488"/>
        <v>0</v>
      </c>
      <c r="V1089" s="95">
        <f t="shared" si="488"/>
        <v>0</v>
      </c>
      <c r="W1089" s="95">
        <f t="shared" si="488"/>
        <v>0</v>
      </c>
      <c r="X1089" s="95">
        <f t="shared" si="488"/>
        <v>0</v>
      </c>
      <c r="Y1089" s="95">
        <f t="shared" si="488"/>
        <v>0</v>
      </c>
      <c r="Z1089" s="95">
        <f t="shared" si="488"/>
        <v>0</v>
      </c>
      <c r="AA1089" s="95">
        <f t="shared" si="488"/>
        <v>0</v>
      </c>
      <c r="AB1089" s="95">
        <f t="shared" si="488"/>
        <v>0</v>
      </c>
      <c r="AC1089" s="95">
        <f t="shared" si="488"/>
        <v>0</v>
      </c>
      <c r="AD1089" s="95">
        <f t="shared" si="488"/>
        <v>0</v>
      </c>
      <c r="AE1089" s="95">
        <f t="shared" si="488"/>
        <v>-5.9604644775390625E-8</v>
      </c>
      <c r="AF1089" s="95">
        <f t="shared" si="488"/>
        <v>0</v>
      </c>
      <c r="AG1089" s="95">
        <f t="shared" si="488"/>
        <v>0</v>
      </c>
      <c r="AH1089" s="95">
        <f t="shared" si="488"/>
        <v>0</v>
      </c>
      <c r="AI1089" s="95"/>
      <c r="AJ1089" s="95"/>
      <c r="AK1089" s="95"/>
      <c r="AL1089" s="95">
        <f t="shared" si="488"/>
        <v>0</v>
      </c>
      <c r="AM1089" s="95">
        <f t="shared" si="488"/>
        <v>0</v>
      </c>
      <c r="AN1089" s="95">
        <f t="shared" si="488"/>
        <v>0</v>
      </c>
      <c r="AO1089" s="95">
        <f t="shared" si="488"/>
        <v>0</v>
      </c>
      <c r="AP1089" s="95">
        <f t="shared" si="488"/>
        <v>0</v>
      </c>
      <c r="AQ1089" s="95">
        <f t="shared" si="488"/>
        <v>0</v>
      </c>
      <c r="AR1089" s="95">
        <f t="shared" si="488"/>
        <v>0</v>
      </c>
      <c r="AS1089" s="95">
        <f t="shared" si="488"/>
        <v>0</v>
      </c>
      <c r="AT1089" s="95">
        <f t="shared" si="488"/>
        <v>0</v>
      </c>
      <c r="AU1089" s="95">
        <f t="shared" si="488"/>
        <v>0</v>
      </c>
      <c r="AV1089" s="95">
        <f t="shared" si="488"/>
        <v>0</v>
      </c>
      <c r="AW1089" s="95">
        <f t="shared" si="488"/>
        <v>0</v>
      </c>
      <c r="AX1089" s="95">
        <f t="shared" si="488"/>
        <v>0</v>
      </c>
      <c r="AY1089" s="95">
        <f t="shared" si="488"/>
        <v>0</v>
      </c>
      <c r="AZ1089" s="95"/>
      <c r="BA1089" s="95">
        <f t="shared" si="488"/>
        <v>0</v>
      </c>
      <c r="BB1089" s="95">
        <f t="shared" si="488"/>
        <v>0</v>
      </c>
      <c r="BC1089" s="95">
        <f t="shared" si="488"/>
        <v>0</v>
      </c>
      <c r="BD1089" s="95"/>
    </row>
    <row r="1090" spans="6:56" ht="11.45" customHeight="1" x14ac:dyDescent="0.2">
      <c r="AZ1090" s="95">
        <f>AZ1080+AZ1081+AZ1084+AZ1086+AZ1079</f>
        <v>94323459.416364998</v>
      </c>
    </row>
    <row r="1092" spans="6:56" ht="11.45" customHeight="1" x14ac:dyDescent="0.2">
      <c r="Y1092" s="95"/>
    </row>
    <row r="1094" spans="6:56" ht="11.45" customHeight="1" x14ac:dyDescent="0.2">
      <c r="J1094" s="48">
        <f>J267/12</f>
        <v>4355.54</v>
      </c>
      <c r="X1094" s="48">
        <f>X52+AE52</f>
        <v>4350235.0703666667</v>
      </c>
      <c r="AR1094" s="95"/>
      <c r="AV1094" s="95"/>
    </row>
  </sheetData>
  <autoFilter ref="A7:BH1077" xr:uid="{00000000-0009-0000-0000-000003000000}">
    <filterColumn colId="3">
      <filters>
        <filter val="00000049"/>
      </filters>
    </filterColumn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</autoFilter>
  <mergeCells count="54">
    <mergeCell ref="D1084:E1084"/>
    <mergeCell ref="D1085:E1085"/>
    <mergeCell ref="D1086:E1086"/>
    <mergeCell ref="D1087:E1087"/>
    <mergeCell ref="A1073:D1073"/>
    <mergeCell ref="D1079:E1079"/>
    <mergeCell ref="D1080:E1080"/>
    <mergeCell ref="D1081:E1081"/>
    <mergeCell ref="D1082:E1082"/>
    <mergeCell ref="D1083:E1083"/>
    <mergeCell ref="A445:E445"/>
    <mergeCell ref="A458:E458"/>
    <mergeCell ref="A525:E525"/>
    <mergeCell ref="A538:E538"/>
    <mergeCell ref="A1006:E1006"/>
    <mergeCell ref="A1072:E1072"/>
    <mergeCell ref="BC7:BC8"/>
    <mergeCell ref="A51:E51"/>
    <mergeCell ref="A156:E156"/>
    <mergeCell ref="A177:E177"/>
    <mergeCell ref="A260:E260"/>
    <mergeCell ref="A287:E287"/>
    <mergeCell ref="O7:O8"/>
    <mergeCell ref="AF7:AF8"/>
    <mergeCell ref="AG7:AG8"/>
    <mergeCell ref="AH7:AH8"/>
    <mergeCell ref="BA7:BA8"/>
    <mergeCell ref="BB7:BB8"/>
    <mergeCell ref="I7:I8"/>
    <mergeCell ref="J7:J8"/>
    <mergeCell ref="K7:K8"/>
    <mergeCell ref="L7:L8"/>
    <mergeCell ref="M7:M8"/>
    <mergeCell ref="N7:N8"/>
    <mergeCell ref="AL6:AY7"/>
    <mergeCell ref="BA6:BC6"/>
    <mergeCell ref="I6:L6"/>
    <mergeCell ref="M6:O6"/>
    <mergeCell ref="BD6:BD8"/>
    <mergeCell ref="BE6:BE8"/>
    <mergeCell ref="A7:A8"/>
    <mergeCell ref="D7:D8"/>
    <mergeCell ref="E7:E8"/>
    <mergeCell ref="F7:F8"/>
    <mergeCell ref="G7:G8"/>
    <mergeCell ref="H7:H8"/>
    <mergeCell ref="P6:P8"/>
    <mergeCell ref="Q6:Q8"/>
    <mergeCell ref="R6:AD7"/>
    <mergeCell ref="AF6:AH6"/>
    <mergeCell ref="AI6:AI8"/>
    <mergeCell ref="AJ6:AJ8"/>
    <mergeCell ref="A6:E6"/>
    <mergeCell ref="F6:H6"/>
  </mergeCells>
  <pageMargins left="0.19685039370078741" right="0.19685039370078741" top="0.39370078740157483" bottom="0.39370078740157483" header="0" footer="0"/>
  <pageSetup paperSize="9" fitToHeight="0" pageOrder="overThenDown" orientation="portrait" r:id="rId1"/>
  <headerFooter>
    <oddHeader>&amp;L&amp;"Microsoft Sans Serif,normal"&amp;8&amp;D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2023-2027</vt:lpstr>
      <vt:lpstr>08.03</vt:lpstr>
      <vt:lpstr>Лист1</vt:lpstr>
      <vt:lpstr>Амортизация</vt:lpstr>
      <vt:lpstr>2024 Предприятие01</vt:lpstr>
      <vt:lpstr>СВОД 2022-2024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Кравцова Елена Алексеевна</dc:creator>
  <cp:lastModifiedBy>Ильшат А. Багаутдинов</cp:lastModifiedBy>
  <dcterms:created xsi:type="dcterms:W3CDTF">2023-06-05T11:27:54Z</dcterms:created>
  <dcterms:modified xsi:type="dcterms:W3CDTF">2024-01-22T11:30:53Z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1.0</vt:lpwstr>
  </property>
  <property fmtid="{D5CDD505-2E9C-101B-9397-08002B2CF9AE}" pid="3" name="CurrentVersion">
    <vt:lpwstr>1.0</vt:lpwstr>
  </property>
</Properties>
</file>